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18855" windowHeight="11985"/>
  </bookViews>
  <sheets>
    <sheet name="Hoja 1" sheetId="1" r:id="rId1"/>
  </sheets>
  <calcPr calcId="124519"/>
</workbook>
</file>

<file path=xl/sharedStrings.xml><?xml version="1.0" encoding="utf-8"?>
<sst xmlns="http://schemas.openxmlformats.org/spreadsheetml/2006/main" count="59920" uniqueCount="59920">
  <si>
    <t xml:space="preserve">Obra:</t>
  </si>
  <si>
    <t xml:space="preserve">BASE DE DATOS IRES</t>
  </si>
  <si>
    <t xml:space="preserve">Banco de precios</t>
  </si>
  <si>
    <t xml:space="preserve">Código</t>
  </si>
  <si>
    <t xml:space="preserve">Tipo</t>
  </si>
  <si>
    <t xml:space="preserve">Ud</t>
  </si>
  <si>
    <t xml:space="preserve">Resumen</t>
  </si>
  <si>
    <t xml:space="preserve">Cantidad</t>
  </si>
  <si>
    <t xml:space="preserve">Precio (€)</t>
  </si>
  <si>
    <t xml:space="preserve">Importe (€)</t>
  </si>
  <si>
    <t xml:space="preserve">BASE DE DATOS IRES</t>
  </si>
  <si>
    <t xml:space="preserve">Capítulo</t>
  </si>
  <si>
    <t xml:space="preserve">PRELIMINARES</t>
  </si>
  <si>
    <t xml:space="preserve">Capítulo</t>
  </si>
  <si>
    <t xml:space="preserve">o PRELIMINARES</t>
  </si>
  <si>
    <t xml:space="preserve">LIMPIEZAS</t>
  </si>
  <si>
    <t xml:space="preserve">Capítulo</t>
  </si>
  <si>
    <t xml:space="preserve">XXXXXXXXXX LIMPIEZAS</t>
  </si>
  <si>
    <t xml:space="preserve">LMP-REVESTIMIENTOS-PARED</t>
  </si>
  <si>
    <t xml:space="preserve">Capítulo</t>
  </si>
  <si>
    <t xml:space="preserve">XXXXXXXXX LIMPIEZA DE REVESTIMIENTOS EN PARED</t>
  </si>
  <si>
    <t xml:space="preserve">LMP-MAN-ALICATADO-000-AT</t>
  </si>
  <si>
    <t xml:space="preserve">Partida</t>
  </si>
  <si>
    <t xml:space="preserve">m2</t>
  </si>
  <si>
    <t xml:space="preserve">XXXX  LIMPIEZA A MANO EN ANDAMIO TUBULAR DE ALICATADO CERÁMICO Y/O LADRILLO O.V.-KLINKER</t>
  </si>
  <si>
    <t xml:space="preserve">LIMPIEZA A MANO EN ANDAMIO TUBULAR DE ALICATADO CERÁMICO Y/O LADRILLO O.V.-KLINKER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</si>
  <si>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</si>
  <si>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</si>
  <si>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</si>
  <si>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</si>
  <si>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</si>
  <si>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</si>
  <si>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</si>
  <si>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</si>
  <si>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</si>
  <si>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</si>
  <si>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</si>
  <si>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</si>
  <si>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</si>
  <si>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</si>
  <si>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</si>
  <si>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</si>
  <si>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</si>
  <si>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</si>
  <si>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</si>
  <si>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</si>
  <si>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LMP-MAN-ALICATADO-000-AT</t>
  </si>
  <si>
    <t xml:space="preserve">LMP-MAN-ALICATADO-000-MS</t>
  </si>
  <si>
    <t xml:space="preserve">Partida</t>
  </si>
  <si>
    <t xml:space="preserve">m2</t>
  </si>
  <si>
    <t xml:space="preserve">XXXX  LIMPIEZA A MANO EN MEDIO SUSPENDIDO/COLGADO DE ALICATADO CERÁMICO Y/O LADRILLO O.V.-KLINKER</t>
  </si>
  <si>
    <t xml:space="preserve">LIMPIEZA A MANO EN MEDIO SUSPENDIDO/COLGADO DE ALICATADO CERÁMICO Y/O LADRILLO O.V.-KLINKER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</si>
  <si>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</si>
  <si>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</si>
  <si>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</si>
  <si>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</si>
  <si>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</si>
  <si>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</si>
  <si>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</si>
  <si>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</si>
  <si>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</si>
  <si>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</si>
  <si>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</si>
  <si>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</si>
  <si>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</si>
  <si>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</si>
  <si>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</si>
  <si>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</si>
  <si>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</si>
  <si>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</si>
  <si>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</si>
  <si>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</si>
  <si>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LMP-MAN-ALICATADO-000-MS</t>
  </si>
  <si>
    <t xml:space="preserve">LMP-MAN-ALICATADO-DTG-AT</t>
  </si>
  <si>
    <t xml:space="preserve">Partida</t>
  </si>
  <si>
    <t xml:space="preserve">m2</t>
  </si>
  <si>
    <t xml:space="preserve">XXXX  LIMPIEZA A MANO EN ANDAMIO TUBULAR Y CON DETERGENTE DILUIDO DE ALICATADO CERÁMICO Y/O LADRILLO O.V.-KLINKER</t>
  </si>
  <si>
    <t xml:space="preserve">LIMPIEZA A MANO EN ANDAMIO TUBULAR Y CON DETERGENTE DILUIDO DE ALICATADO CERÁMICO Y/O LADRILLO O.V.-KLINKER</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</si>
  <si>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</si>
  <si>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</si>
  <si>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</si>
  <si>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</si>
  <si>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</si>
  <si>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</si>
  <si>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</si>
  <si>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</si>
  <si>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</si>
  <si>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</si>
  <si>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</si>
  <si>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</si>
  <si>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</si>
  <si>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</si>
  <si>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</si>
  <si>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</si>
  <si>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</si>
  <si>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</si>
  <si>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</si>
  <si>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</si>
  <si>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</si>
  <si>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</si>
  <si>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</si>
  <si>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</si>
  <si>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LMP-MAN-ALICATADO-DTG-AT</t>
  </si>
  <si>
    <t xml:space="preserve">LMP-MAN-ALICATADO-DTG-MS</t>
  </si>
  <si>
    <t xml:space="preserve">Partida</t>
  </si>
  <si>
    <t xml:space="preserve">m2</t>
  </si>
  <si>
    <t xml:space="preserve">XXXX LIMPIEZA A MANO EN MEDIO SUSPENDIDO/COLGADO Y CON DETERGENTE DILUIDO DE ALICATADO CERÁMICO Y/O LADRILLO O.V.-KLINKER</t>
  </si>
  <si>
    <t xml:space="preserve">LIMPIEZA A MANO EN MEDIO SUSPENDIDO/COLGADO Y CON DETERGENTE DILUIDO DE ALICATADO CERÁMICO Y/O LADRILLO O.V.-KLINKER</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</si>
  <si>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</si>
  <si>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</si>
  <si>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</si>
  <si>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</si>
  <si>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</si>
  <si>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</si>
  <si>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</si>
  <si>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</si>
  <si>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</si>
  <si>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</si>
  <si>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</si>
  <si>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</si>
  <si>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</si>
  <si>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</si>
  <si>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</si>
  <si>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</si>
  <si>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</si>
  <si>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</si>
  <si>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</si>
  <si>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</si>
  <si>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</si>
  <si>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</si>
  <si>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</si>
  <si>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</si>
  <si>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LMP-MAN-ALICATADO-DTG-MS</t>
  </si>
  <si>
    <t xml:space="preserve">LMP-MAN-ALICATADO-LEJ-AT</t>
  </si>
  <si>
    <t xml:space="preserve">Partida</t>
  </si>
  <si>
    <t xml:space="preserve">m2</t>
  </si>
  <si>
    <t xml:space="preserve">XXXX LIMPIEZA A MANO EN ANDAMIO TUBULAR Y CON LEJÍA DILUIDA DE ALICATADO CERÁMICO Y/O LADRILLO O.V.-KLINKER</t>
  </si>
  <si>
    <t xml:space="preserve">LIMPIEZA A MANO EN ANDAMIO TUBULAR Y CON LEJÍA DILUIDA DE ALICATADO CERÁMICO Y/O LADRILLO O.V.-KLINKER</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</si>
  <si>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</si>
  <si>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</si>
  <si>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</si>
  <si>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</si>
  <si>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</si>
  <si>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</si>
  <si>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</si>
  <si>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</si>
  <si>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</si>
  <si>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</si>
  <si>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</si>
  <si>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</si>
  <si>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</si>
  <si>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</si>
  <si>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</si>
  <si>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</si>
  <si>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</si>
  <si>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</si>
  <si>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</si>
  <si>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</si>
  <si>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</si>
  <si>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</si>
  <si>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</si>
  <si>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</si>
  <si>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LMP-MAN-ALICATADO-LEJ-AT</t>
  </si>
  <si>
    <t xml:space="preserve">LMP-MAN-ALICATADO-LEJ-MS</t>
  </si>
  <si>
    <t xml:space="preserve">Partida</t>
  </si>
  <si>
    <t xml:space="preserve">m2</t>
  </si>
  <si>
    <t xml:space="preserve">XXXX LIMPIEZA A MANO EN MEDIO SUSPENDIDO/COLGADO Y CON LEJÍA DILUIDA DE ALICATADO CERÁMICO Y/O LADRILLO O.V.-KLINKER</t>
  </si>
  <si>
    <t xml:space="preserve">LIMPIEZA A MANO EN MEDIO SUSPENDIDO/COLGADO Y CON LEJÍA DILUIDA DE ALICATADO CERÁMICO Y/O LADRILLO O.V.-KLINKER</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</si>
  <si>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</si>
  <si>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</si>
  <si>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</si>
  <si>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</si>
  <si>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</si>
  <si>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</si>
  <si>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</si>
  <si>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</si>
  <si>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</si>
  <si>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</si>
  <si>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</si>
  <si>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</si>
  <si>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</si>
  <si>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</si>
  <si>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</si>
  <si>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</si>
  <si>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</si>
  <si>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</si>
  <si>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</si>
  <si>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</si>
  <si>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</si>
  <si>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</si>
  <si>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</si>
  <si>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</si>
  <si>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LMP-MAN-ALICATADO-LEJ-MS</t>
  </si>
  <si>
    <t xml:space="preserve">LMP-MAN-BALD.HIDRAULICAS-000-AT</t>
  </si>
  <si>
    <t xml:space="preserve">Partida</t>
  </si>
  <si>
    <t xml:space="preserve">m2</t>
  </si>
  <si>
    <t xml:space="preserve">XXXX LIMPIEZA A MANO EN ANDAMIO TUBULAR DE BALDOSAS HIDRÁULICAS O PÉTREAS ARTIFICIALES</t>
  </si>
  <si>
    <t xml:space="preserve">LIMPIEZA A MANO EN ANDAMIO TUBULAR DE BALDOSAS HIDRÁULICAS O PÉTREAS ARTIFICIALES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</si>
  <si>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</si>
  <si>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</si>
  <si>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</si>
  <si>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</si>
  <si>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</si>
  <si>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</si>
  <si>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</si>
  <si>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</si>
  <si>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</si>
  <si>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</si>
  <si>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</si>
  <si>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</si>
  <si>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</si>
  <si>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</si>
  <si>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</si>
  <si>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</si>
  <si>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</si>
  <si>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</si>
  <si>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</si>
  <si>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</si>
  <si>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LMP-MAN-BALD.HIDRAULICAS-000-AT</t>
  </si>
  <si>
    <t xml:space="preserve">LMP-MAN-BALD.HIDRAULICAS-000-MS</t>
  </si>
  <si>
    <t xml:space="preserve">Partida</t>
  </si>
  <si>
    <t xml:space="preserve">m2</t>
  </si>
  <si>
    <t xml:space="preserve">XXXX LIMPIEZA A MANO EN MEDIO SUSPENDIDO/COLGADO DE BALDOSAS HIDRÁULICAS O PÉTREAS ARTIFICIALES</t>
  </si>
  <si>
    <t xml:space="preserve">LIMPIEZA A MANO EN MEDIO SUSPENDIDO/COLGADO DE BALDOSAS HIDRÁULICAS O PÉTREAS ARTIFICIALES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</si>
  <si>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</si>
  <si>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</si>
  <si>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</si>
  <si>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</si>
  <si>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</si>
  <si>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</si>
  <si>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</si>
  <si>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</si>
  <si>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</si>
  <si>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</si>
  <si>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</si>
  <si>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</si>
  <si>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</si>
  <si>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</si>
  <si>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</si>
  <si>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</si>
  <si>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</si>
  <si>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</si>
  <si>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</si>
  <si>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</si>
  <si>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LMP-MAN-BALD.HIDRAULICAS-000-MS</t>
  </si>
  <si>
    <t xml:space="preserve">LMP-MAN-BALD.HIDRAULICAS-DTG-AT</t>
  </si>
  <si>
    <t xml:space="preserve">Partida</t>
  </si>
  <si>
    <t xml:space="preserve">m2</t>
  </si>
  <si>
    <t xml:space="preserve">XXXX LIMPIEZA A MANO EN ANDAMIO TUBULAR Y CON DETERGENTE DILUIDO DE BALDOSAS HIDRÁULICAS O PÉTREAS ARTIFICIALES</t>
  </si>
  <si>
    <t xml:space="preserve">LIMPIEZA A MANO EN ANDAMIO TUBULAR Y CON DETERGENTE DILUIDO DE BALDOSAS HIDRÁULICAS O PÉTREAS ARTIFICIALES</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</si>
  <si>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</si>
  <si>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</si>
  <si>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</si>
  <si>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</si>
  <si>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</si>
  <si>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</si>
  <si>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</si>
  <si>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</si>
  <si>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</si>
  <si>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</si>
  <si>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</si>
  <si>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</si>
  <si>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</si>
  <si>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</si>
  <si>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</si>
  <si>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</si>
  <si>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</si>
  <si>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</si>
  <si>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</si>
  <si>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</si>
  <si>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</si>
  <si>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</si>
  <si>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</si>
  <si>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</si>
  <si>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LMP-MAN-BALD.HIDRAULICAS-DTG-AT</t>
  </si>
  <si>
    <t xml:space="preserve">LMP-MAN-BALD.HIDRAULICAS-DTG-MS</t>
  </si>
  <si>
    <t xml:space="preserve">Partida</t>
  </si>
  <si>
    <t xml:space="preserve">m2</t>
  </si>
  <si>
    <t xml:space="preserve">XXXX LIMPIEZA A MANO EN MEDIO SUSPENDIDO/COLGADO Y CON DETERGENTE DILUIDO DE BALDOSAS HIDRÁULICAS O PÉTREAS ARTIFICIALES</t>
  </si>
  <si>
    <t xml:space="preserve">LIMPIEZA A MANO EN MEDIO SUSPENDIDO/COLGADO Y CON DETERGENTE DILUIDO DE BALDOSAS HIDRÁULICAS O PÉTREAS ARTIFICIALES</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</si>
  <si>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</si>
  <si>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</si>
  <si>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</si>
  <si>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</si>
  <si>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</si>
  <si>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</si>
  <si>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</si>
  <si>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</si>
  <si>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</si>
  <si>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</si>
  <si>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</si>
  <si>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</si>
  <si>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</si>
  <si>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</si>
  <si>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</si>
  <si>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</si>
  <si>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</si>
  <si>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</si>
  <si>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</si>
  <si>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</si>
  <si>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</si>
  <si>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</si>
  <si>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</si>
  <si>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</si>
  <si>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LMP-MAN-BALD.HIDRAULICAS-DTG-MS</t>
  </si>
  <si>
    <t xml:space="preserve">LMP-MAN-BALD.HIDRAULICAS-LEJ-AT</t>
  </si>
  <si>
    <t xml:space="preserve">Partida</t>
  </si>
  <si>
    <t xml:space="preserve">m2</t>
  </si>
  <si>
    <t xml:space="preserve">XXXX LIMPIEZA A MANO EN ANDAMIO TUBULAR Y CON LEJIA DILUIDA DE BALDOSAS HIDRÁULICAS O PÉTREAS ARTIFICIALES</t>
  </si>
  <si>
    <t xml:space="preserve">LIMPIEZA A MANO EN ANDAMIO TUBULAR Y CON LEJIA DILUIDA DE BALDOSAS HIDRÁULICAS O PÉTREAS ARTIFICIALES</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</si>
  <si>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</si>
  <si>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</si>
  <si>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</si>
  <si>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</si>
  <si>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</si>
  <si>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</si>
  <si>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</si>
  <si>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</si>
  <si>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</si>
  <si>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</si>
  <si>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</si>
  <si>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</si>
  <si>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</si>
  <si>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</si>
  <si>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</si>
  <si>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</si>
  <si>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</si>
  <si>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</si>
  <si>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</si>
  <si>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</si>
  <si>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</si>
  <si>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</si>
  <si>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</si>
  <si>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</si>
  <si>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LMP-MAN-BALD.HIDRAULICAS-LEJ-AT</t>
  </si>
  <si>
    <t xml:space="preserve">LMP-MAN-BALD.HIDRAULICAS-LEJ-MS</t>
  </si>
  <si>
    <t xml:space="preserve">Partida</t>
  </si>
  <si>
    <t xml:space="preserve">m2</t>
  </si>
  <si>
    <t xml:space="preserve">XXXX LIMPIEZA A MANO EN MEDIO SUSPENDIDO/COLGADO Y CON LEJIA DILUIDA DE BALDOSAS HIDRÁULICAS O PÉTREAS ARTIFICIALES</t>
  </si>
  <si>
    <t xml:space="preserve">LIMPIEZA A MANO EN MEDIO SUSPENDIDO/COLGADO Y CON LEJIA DILUIDA DE BALDOSAS HIDRÁULICAS O PÉTREAS ARTIFICIALES</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</si>
  <si>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</si>
  <si>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</si>
  <si>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</si>
  <si>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</si>
  <si>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</si>
  <si>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</si>
  <si>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</si>
  <si>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</si>
  <si>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</si>
  <si>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</si>
  <si>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</si>
  <si>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</si>
  <si>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</si>
  <si>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</si>
  <si>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</si>
  <si>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</si>
  <si>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</si>
  <si>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</si>
  <si>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</si>
  <si>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</si>
  <si>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</si>
  <si>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</si>
  <si>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</si>
  <si>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</si>
  <si>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LMP-MAN-BALD.HIDRAULICAS-LEJ-MS</t>
  </si>
  <si>
    <t xml:space="preserve">LMP-MAN-HORMIGON/MORTERO-000-AT</t>
  </si>
  <si>
    <t xml:space="preserve">Partida</t>
  </si>
  <si>
    <t xml:space="preserve">m2</t>
  </si>
  <si>
    <t xml:space="preserve">XXXX LIMPIEZA A MANO EN ANDAMIO TUBULAR DE HORMIGÓN Y/O MORTERO</t>
  </si>
  <si>
    <t xml:space="preserve">LIMPIEZA A MANO EN ANDAMIO TUBULAR DE HORMIGÓN Y/O MORTERO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</si>
  <si>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</si>
  <si>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</si>
  <si>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</si>
  <si>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</si>
  <si>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</si>
  <si>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</si>
  <si>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</si>
  <si>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</si>
  <si>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</si>
  <si>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</si>
  <si>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</si>
  <si>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</si>
  <si>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</si>
  <si>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</si>
  <si>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</si>
  <si>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</si>
  <si>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</si>
  <si>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</si>
  <si>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</si>
  <si>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</si>
  <si>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LMP-MAN-HORMIGON/MORTERO-000-AT</t>
  </si>
  <si>
    <t xml:space="preserve">LMP-MAN-HORMIGON/MORTERO-000-MS</t>
  </si>
  <si>
    <t xml:space="preserve">Partida</t>
  </si>
  <si>
    <t xml:space="preserve">m2</t>
  </si>
  <si>
    <t xml:space="preserve">XXXX LIMPIEZA A MANO EN MEDIO SUSPENDIDO/COLGADO DE HORMIGÓN Y/O MORTERO</t>
  </si>
  <si>
    <t xml:space="preserve">LIMPIEZA A MANO EN MEDIO SUSPENDIDO/COLGADO DE HORMIGÓN Y/O MORTERO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</si>
  <si>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</si>
  <si>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</si>
  <si>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</si>
  <si>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</si>
  <si>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</si>
  <si>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</si>
  <si>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</si>
  <si>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</si>
  <si>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</si>
  <si>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</si>
  <si>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</si>
  <si>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</si>
  <si>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</si>
  <si>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</si>
  <si>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</si>
  <si>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</si>
  <si>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</si>
  <si>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</si>
  <si>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</si>
  <si>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</si>
  <si>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LMP-MAN-HORMIGON/MORTERO-000-MS</t>
  </si>
  <si>
    <t xml:space="preserve">LMP-MAN-HORMIGON/MORTERO-DTG-AT</t>
  </si>
  <si>
    <t xml:space="preserve">Partida</t>
  </si>
  <si>
    <t xml:space="preserve">m2</t>
  </si>
  <si>
    <t xml:space="preserve">XXXX LIMPIEZA A MANO EN ANDAMIO TUBULAR Y CON DETERGENTE DILUIDO DE HORMIGÓN Y/O MORTERO</t>
  </si>
  <si>
    <t xml:space="preserve">LIMPIEZA A MANO EN ANDAMIO TUBULAR Y CON DETERGENTE DILUIDO DE HORMIGÓN Y/O MORTERO</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</si>
  <si>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</si>
  <si>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</si>
  <si>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</si>
  <si>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</si>
  <si>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</si>
  <si>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</si>
  <si>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</si>
  <si>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</si>
  <si>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</si>
  <si>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</si>
  <si>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</si>
  <si>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</si>
  <si>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</si>
  <si>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</si>
  <si>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</si>
  <si>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</si>
  <si>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</si>
  <si>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</si>
  <si>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</si>
  <si>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</si>
  <si>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</si>
  <si>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</si>
  <si>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</si>
  <si>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</si>
  <si>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LMP-MAN-HORMIGON/MORTERO-DTG-AT</t>
  </si>
  <si>
    <t xml:space="preserve">LMP-MAN-HORMIGON/MORTERO-DTG-MS</t>
  </si>
  <si>
    <t xml:space="preserve">Partida</t>
  </si>
  <si>
    <t xml:space="preserve">m2</t>
  </si>
  <si>
    <t xml:space="preserve">XXXX LIMPIEZA A MANO EN MEDIO SUSPENDIDO/COLGADO Y CON DETERGENTE DILUIDO DE HORMIGÓN Y/O MORTERO</t>
  </si>
  <si>
    <t xml:space="preserve">LIMPIEZA A MANO EN MEDIO SUSPENDIDO/COLGADO Y CON DETERGENTE DILUIDO DE HORMIGÓN Y/O MORTERO</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</si>
  <si>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</si>
  <si>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</si>
  <si>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</si>
  <si>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</si>
  <si>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</si>
  <si>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</si>
  <si>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</si>
  <si>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</si>
  <si>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</si>
  <si>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</si>
  <si>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</si>
  <si>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</si>
  <si>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</si>
  <si>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</si>
  <si>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</si>
  <si>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</si>
  <si>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</si>
  <si>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</si>
  <si>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</si>
  <si>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</si>
  <si>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</si>
  <si>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</si>
  <si>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</si>
  <si>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</si>
  <si>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LMP-MAN-HORMIGON/MORTERO-DTG-MS</t>
  </si>
  <si>
    <t xml:space="preserve">LMP-MAN-HORMIGON/MORTERO-LEJ-AT</t>
  </si>
  <si>
    <t xml:space="preserve">Partida</t>
  </si>
  <si>
    <t xml:space="preserve">m2</t>
  </si>
  <si>
    <t xml:space="preserve">XXXX LIMPIEZA A MANO EN ANDAMIO TUBULAR Y CON LEJIA DILUIDA DE HORMIGÓN Y/O MORTERO</t>
  </si>
  <si>
    <t xml:space="preserve">LIMPIEZA A MANO EN ANDAMIO TUBULAR Y CON LEJIA DILUIDA DE HORMIGÓN Y/O MORTERO</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</si>
  <si>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</si>
  <si>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</si>
  <si>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</si>
  <si>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</si>
  <si>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</si>
  <si>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</si>
  <si>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</si>
  <si>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</si>
  <si>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</si>
  <si>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</si>
  <si>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</si>
  <si>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</si>
  <si>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</si>
  <si>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</si>
  <si>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</si>
  <si>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</si>
  <si>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</si>
  <si>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</si>
  <si>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</si>
  <si>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</si>
  <si>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</si>
  <si>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</si>
  <si>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</si>
  <si>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</si>
  <si>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LMP-MAN-HORMIGON/MORTERO-LEJ-AT</t>
  </si>
  <si>
    <t xml:space="preserve">LMP-MAN-HORMIGON/MORTERO-LEJ-MS</t>
  </si>
  <si>
    <t xml:space="preserve">Partida</t>
  </si>
  <si>
    <t xml:space="preserve">m2</t>
  </si>
  <si>
    <t xml:space="preserve">XXXX LIMPIEZA A MANO EN MEDIO SUSPENDIDO/COLGADO Y CON LEJIA DILUIDA DE HORMIGÓN Y/O MORTERO</t>
  </si>
  <si>
    <t xml:space="preserve">LIMPIEZA A MANO EN MEDIO SUSPENDIDO/COLGADO Y CON LEJIA DILUIDA DE HORMIGÓN Y/O MORTERO</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</si>
  <si>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</si>
  <si>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</si>
  <si>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</si>
  <si>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</si>
  <si>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</si>
  <si>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</si>
  <si>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</si>
  <si>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</si>
  <si>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</si>
  <si>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</si>
  <si>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</si>
  <si>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</si>
  <si>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</si>
  <si>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</si>
  <si>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</si>
  <si>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</si>
  <si>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</si>
  <si>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</si>
  <si>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</si>
  <si>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</si>
  <si>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</si>
  <si>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</si>
  <si>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</si>
  <si>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</si>
  <si>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LMP-MAN-HORMIGON/MORTERO-LEJ-MS</t>
  </si>
  <si>
    <t xml:space="preserve">LMP-MAN-SILLERIA-000-MS</t>
  </si>
  <si>
    <t xml:space="preserve">Partida</t>
  </si>
  <si>
    <t xml:space="preserve">m2</t>
  </si>
  <si>
    <t xml:space="preserve">XXXX LIMPIEZA A MANO EN ANDAMIO TUBULAR DE SILLERÍA Y/O LADRILLO O.V.-TEJAR</t>
  </si>
  <si>
    <t xml:space="preserve">LIMPIEZA A MANO EN ANDAMIO TUBULAR DE SILLERÍA Y/O LADRILLO O.V.-TEJAR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</si>
  <si>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</si>
  <si>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</si>
  <si>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</si>
  <si>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</si>
  <si>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</si>
  <si>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</si>
  <si>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</si>
  <si>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</si>
  <si>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</si>
  <si>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</si>
  <si>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</si>
  <si>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</si>
  <si>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</si>
  <si>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</si>
  <si>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</si>
  <si>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</si>
  <si>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</si>
  <si>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</si>
  <si>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</si>
  <si>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</si>
  <si>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LMP-MAN-SILLERIA-000-MS</t>
  </si>
  <si>
    <t xml:space="preserve">LMP-MAN-SILLERIA-000-AT</t>
  </si>
  <si>
    <t xml:space="preserve">Partida</t>
  </si>
  <si>
    <t xml:space="preserve">m2</t>
  </si>
  <si>
    <t xml:space="preserve">XXXX LIMPIEZA A MANO EN ANDAMIO TUBULAR DE SILLERÍA Y/O LADRILLO O.V.-TEJAR</t>
  </si>
  <si>
    <t xml:space="preserve">LIMPIEZA A MANO EN ANDAMIO TUBULAR DE SILLERÍA Y/O LADRILLO O.V.-TEJAR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</si>
  <si>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</si>
  <si>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</si>
  <si>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</si>
  <si>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</si>
  <si>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</si>
  <si>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</si>
  <si>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</si>
  <si>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</si>
  <si>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</si>
  <si>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</si>
  <si>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</si>
  <si>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</si>
  <si>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</si>
  <si>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</si>
  <si>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</si>
  <si>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</si>
  <si>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</si>
  <si>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</si>
  <si>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</si>
  <si>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</si>
  <si>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LMP-MAN-SILLERIA-000-AT</t>
  </si>
  <si>
    <t xml:space="preserve">LMP-MAN-SILLERIA-DTG-AT</t>
  </si>
  <si>
    <t xml:space="preserve">Partida</t>
  </si>
  <si>
    <t xml:space="preserve">m2</t>
  </si>
  <si>
    <t xml:space="preserve">XXXX LIMPIEZA A MANO EN ANDAMIO TUBULAR Y CON DETERGENTE DILUIDO DE SILLERÍA Y/O LADRILLO O.V.-TEJAR</t>
  </si>
  <si>
    <t xml:space="preserve">LIMPIEZA A MANO EN ANDAMIO TUBULAR Y CON DETERGENTE DILUIDO DE SILLERÍA Y/O LADRILLO O.V.-TEJAR</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</si>
  <si>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</si>
  <si>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</si>
  <si>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</si>
  <si>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</si>
  <si>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</si>
  <si>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</si>
  <si>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</si>
  <si>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</si>
  <si>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</si>
  <si>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</si>
  <si>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</si>
  <si>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</si>
  <si>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</si>
  <si>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</si>
  <si>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</si>
  <si>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</si>
  <si>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</si>
  <si>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</si>
  <si>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</si>
  <si>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</si>
  <si>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</si>
  <si>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</si>
  <si>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</si>
  <si>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</si>
  <si>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LMP-MAN-SILLERIA-DTG-AT</t>
  </si>
  <si>
    <t xml:space="preserve">LMP-MAN-SILLERIA-DTG-MS</t>
  </si>
  <si>
    <t xml:space="preserve">Partida</t>
  </si>
  <si>
    <t xml:space="preserve">m2</t>
  </si>
  <si>
    <t xml:space="preserve">XXXX LIMPIEZA A MANO EN MEDIO SUSPENDIDO/COLGADO Y CON DETERGENTE DILUIDO DE SILLERÍA Y/O LADRILLO O.V.-TEJAR</t>
  </si>
  <si>
    <t xml:space="preserve">LIMPIEZA A MANO EN MEDIO SUSPENDIDO/COLGADO Y CON DETERGENTE DILUIDO DE SILLERÍA Y/O LADRILLO O.V.-TEJAR</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</si>
  <si>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</si>
  <si>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</si>
  <si>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</si>
  <si>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</si>
  <si>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</si>
  <si>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</si>
  <si>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</si>
  <si>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</si>
  <si>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</si>
  <si>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</si>
  <si>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</si>
  <si>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</si>
  <si>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</si>
  <si>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</si>
  <si>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</si>
  <si>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</si>
  <si>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</si>
  <si>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</si>
  <si>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</si>
  <si>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</si>
  <si>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</si>
  <si>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</si>
  <si>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</si>
  <si>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</si>
  <si>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LMP-MAN-SILLERIA-DTG-MS</t>
  </si>
  <si>
    <t xml:space="preserve">LMP-MAN-SILLERIA-LEJ-AT</t>
  </si>
  <si>
    <t xml:space="preserve">Partida</t>
  </si>
  <si>
    <t xml:space="preserve">m2</t>
  </si>
  <si>
    <t xml:space="preserve">XXXX LIMPIEZA A MANO EN ANDAMIO TUBULAR Y CON LEJIA DILUIDA DE SILLERÍA Y/O LADRILLO O.V.-TEJAR</t>
  </si>
  <si>
    <t xml:space="preserve">LIMPIEZA A MANO EN ANDAMIO TUBULAR Y CON LEJIA DILUIDA DE SILLERÍA Y/O LADRILLO O.V.-TEJAR</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</si>
  <si>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</si>
  <si>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</si>
  <si>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</si>
  <si>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</si>
  <si>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</si>
  <si>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</si>
  <si>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</si>
  <si>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</si>
  <si>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</si>
  <si>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</si>
  <si>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</si>
  <si>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</si>
  <si>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</si>
  <si>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</si>
  <si>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</si>
  <si>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</si>
  <si>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</si>
  <si>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</si>
  <si>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</si>
  <si>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</si>
  <si>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</si>
  <si>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</si>
  <si>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</si>
  <si>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</si>
  <si>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LMP-MAN-SILLERIA-LEJ-AT</t>
  </si>
  <si>
    <t xml:space="preserve">LMP-MAN-SILLERIA-LEJ-MS</t>
  </si>
  <si>
    <t xml:space="preserve">Partida</t>
  </si>
  <si>
    <t xml:space="preserve">m2</t>
  </si>
  <si>
    <t xml:space="preserve">XXXX LIMPIEZA A MANO EN MEDIO SUSPENDIDO/COLGADO Y CON LEJIA DILUIDA DE SILLERÍA Y/O LADRILLO O.V.-TEJAR</t>
  </si>
  <si>
    <t xml:space="preserve">LIMPIEZA A MANO EN MEDIO SUSPENDIDO/COLGADO Y CON LEJIA DILUIDA DE SILLERÍA Y/O LADRILLO O.V.-TEJAR</t>
  </si>
  <si>
    <t xml:space="preserve">ma-bm-25046417</t>
  </si>
  <si>
    <t xml:space="preserve">Material</t>
  </si>
  <si>
    <t xml:space="preserve">envase</t>
  </si>
  <si>
    <t xml:space="preserve">Lejía para limpieza y desinfección de superficies EL CHÉ (5 litros/envase).   Ref. bm-25046417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</si>
  <si>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</si>
  <si>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</si>
  <si>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</si>
  <si>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</si>
  <si>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</si>
  <si>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</si>
  <si>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</si>
  <si>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</si>
  <si>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</si>
  <si>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</si>
  <si>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</si>
  <si>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</si>
  <si>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</si>
  <si>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</si>
  <si>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</si>
  <si>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</si>
  <si>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</si>
  <si>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</si>
  <si>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</si>
  <si>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</si>
  <si>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LMP-MAN-SILLERIA-LEJ-MS</t>
  </si>
  <si>
    <t xml:space="preserve">LMP-MAQ-ALICATADO-000-AT</t>
  </si>
  <si>
    <t xml:space="preserve">Partida</t>
  </si>
  <si>
    <t xml:space="preserve">m2</t>
  </si>
  <si>
    <t xml:space="preserve">XXXX LIMPIEZA A MÁQUINA EN ANDAMIO TUBULAR DE ALICATADO CERÁMICO Y/O LADRILLO O.V.-KLINKER</t>
  </si>
  <si>
    <t xml:space="preserve">LIMPIEZA A MÁQUINA EN ANDAMIO TUBULAR DE ALICATADO CERÁMICO Y/O LADRILLO O.V.-KLINKER</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</si>
  <si>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</si>
  <si>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</si>
  <si>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</si>
  <si>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</si>
  <si>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</si>
  <si>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</si>
  <si>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</si>
  <si>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</si>
  <si>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</si>
  <si>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</si>
  <si>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</si>
  <si>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</si>
  <si>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</si>
  <si>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</si>
  <si>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</si>
  <si>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</si>
  <si>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</si>
  <si>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</si>
  <si>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</si>
  <si>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</si>
  <si>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</si>
  <si>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</si>
  <si>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</si>
  <si>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</si>
  <si>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LMP-MAQ-ALICATADO-000-AT</t>
  </si>
  <si>
    <t xml:space="preserve">LMP-MAQ-ALICATADO-000-MS</t>
  </si>
  <si>
    <t xml:space="preserve">Partida</t>
  </si>
  <si>
    <t xml:space="preserve">m2</t>
  </si>
  <si>
    <t xml:space="preserve">XXXX LIMPIEZA A MÁQUINA EN MEDIO SUSPENDIDO/COLGADO DE ALICATADO CERÁMICO Y/O LADRILLO O.V.-KLINKER</t>
  </si>
  <si>
    <t xml:space="preserve">LIMPIEZA A MÁQUINA EN MEDIO SUSPENDIDO/COLGADO DE ALICATADO CERÁMICO Y/O LADRILLO O.V.-KLINKER</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</si>
  <si>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</si>
  <si>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</si>
  <si>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</si>
  <si>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</si>
  <si>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</si>
  <si>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</si>
  <si>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</si>
  <si>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</si>
  <si>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</si>
  <si>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</si>
  <si>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</si>
  <si>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</si>
  <si>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</si>
  <si>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</si>
  <si>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</si>
  <si>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</si>
  <si>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</si>
  <si>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</si>
  <si>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</si>
  <si>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</si>
  <si>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</si>
  <si>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</si>
  <si>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</si>
  <si>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</si>
  <si>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LMP-MAQ-ALICATADO-000-MS</t>
  </si>
  <si>
    <t xml:space="preserve">LMP-MAQ-ALICATADO-DTG-AT</t>
  </si>
  <si>
    <t xml:space="preserve">Partida</t>
  </si>
  <si>
    <t xml:space="preserve">m2</t>
  </si>
  <si>
    <t xml:space="preserve">XXXX LIMPIEZA A MÁQUINA EN ANDAMIO TUBULAR Y CON DETERGENTE DILIUIDO DE ALICATADO CERÁMICO Y/O LADRILLO O.V.-KLINKER</t>
  </si>
  <si>
    <t xml:space="preserve">LIMPIEZA A MÁQUINA EN ANDAMIO TUBULAR Y CON DETERGENTE DILIUIDO DE ALICATADO CERÁMICO Y/O LADRILLO O.V.-KLINKER</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</si>
  <si>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</si>
  <si>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</si>
  <si>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</si>
  <si>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</si>
  <si>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</si>
  <si>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</si>
  <si>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</si>
  <si>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</si>
  <si>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</si>
  <si>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</si>
  <si>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</si>
  <si>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</si>
  <si>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</si>
  <si>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</si>
  <si>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</si>
  <si>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</si>
  <si>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</si>
  <si>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</si>
  <si>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</si>
  <si>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</si>
  <si>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</si>
  <si>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</si>
  <si>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</si>
  <si>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</si>
  <si>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</si>
  <si>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</si>
  <si>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</si>
  <si>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</si>
  <si>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LMP-MAQ-ALICATADO-DTG-AT</t>
  </si>
  <si>
    <t xml:space="preserve">LMP-MAQ-ALICATADO-DTG-MS</t>
  </si>
  <si>
    <t xml:space="preserve">Partida</t>
  </si>
  <si>
    <t xml:space="preserve">m2</t>
  </si>
  <si>
    <t xml:space="preserve">XXXX LIMPIEZA A MANO EN MEDIO SUSPENDIDO/COLGADO Y CON DETERGENTE DILUIDO DE ALICATADO CERÁMICO Y/O LADRILLO O.V.-KLINKER</t>
  </si>
  <si>
    <t xml:space="preserve">LIMPIEZA A MANO EN MEDIO SUSPENDIDO/COLGADO Y CON DETERGENTE DILUIDO DE ALICATADO CERÁMICO Y/O LADRILLO O.V.-KLINKER</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</si>
  <si>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</si>
  <si>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</si>
  <si>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</si>
  <si>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</si>
  <si>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</si>
  <si>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</si>
  <si>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</si>
  <si>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</si>
  <si>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</si>
  <si>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</si>
  <si>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</si>
  <si>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</si>
  <si>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</si>
  <si>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</si>
  <si>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</si>
  <si>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</si>
  <si>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</si>
  <si>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</si>
  <si>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</si>
  <si>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</si>
  <si>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</si>
  <si>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</si>
  <si>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</si>
  <si>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</si>
  <si>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</si>
  <si>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</si>
  <si>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</si>
  <si>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</si>
  <si>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LMP-MAQ-ALICATADO-DTG-MS</t>
  </si>
  <si>
    <t xml:space="preserve">LMP-MAQ-ALICATADO-LEJ-AT</t>
  </si>
  <si>
    <t xml:space="preserve">Partida</t>
  </si>
  <si>
    <t xml:space="preserve">m2</t>
  </si>
  <si>
    <t xml:space="preserve">XXXX LIMPIEZA A MÁQUINA EN ANDAMIO TUBULAR Y CON LEJIA DILUIDA DE ALICATADO CERÁMICO Y/O LADRILLO O.V.-KLINKER</t>
  </si>
  <si>
    <t xml:space="preserve">LIMPIEZA A MÁQUINA EN ANDAMIO TUBULAR Y CON LEJIA DILUIDA DE ALICATADO CERÁMICO Y/O LADRILLO O.V.-KLINKER</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</si>
  <si>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</si>
  <si>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</si>
  <si>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</si>
  <si>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</si>
  <si>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</si>
  <si>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</si>
  <si>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</si>
  <si>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</si>
  <si>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</si>
  <si>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</si>
  <si>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</si>
  <si>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</si>
  <si>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</si>
  <si>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</si>
  <si>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</si>
  <si>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</si>
  <si>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</si>
  <si>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</si>
  <si>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</si>
  <si>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</si>
  <si>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</si>
  <si>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</si>
  <si>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</si>
  <si>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</si>
  <si>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</si>
  <si>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</si>
  <si>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</si>
  <si>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</si>
  <si>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LMP-MAQ-ALICATADO-LEJ-AT</t>
  </si>
  <si>
    <t xml:space="preserve">LMP-MAQ-ALICATADO-LEJ-MS</t>
  </si>
  <si>
    <t xml:space="preserve">Partida</t>
  </si>
  <si>
    <t xml:space="preserve">m2</t>
  </si>
  <si>
    <t xml:space="preserve">XXXX LIMPIEZA A MÁQUINA EN MEDIO SUSPENDIDO/COLGADO Y CON LEJIA DILUIDA DE ALICATADO CERÁMICO Y/O LADRILLO O.V.-KLINKER</t>
  </si>
  <si>
    <t xml:space="preserve">LIMPIEZA A MÁQUINA EN MEDIO SUSPENDIDO/COLGADO Y CON LEJIA DILUIDA DE ALICATADO CERÁMICO Y/O LADRILLO O.V.-KLINKER</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</si>
  <si>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</si>
  <si>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</si>
  <si>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</si>
  <si>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</si>
  <si>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</si>
  <si>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</si>
  <si>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</si>
  <si>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</si>
  <si>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</si>
  <si>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</si>
  <si>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</si>
  <si>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</si>
  <si>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</si>
  <si>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</si>
  <si>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</si>
  <si>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</si>
  <si>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</si>
  <si>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</si>
  <si>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</si>
  <si>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</si>
  <si>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</si>
  <si>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</si>
  <si>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</si>
  <si>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</si>
  <si>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</si>
  <si>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</si>
  <si>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</si>
  <si>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</si>
  <si>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LMP-MAQ-ALICATADO-LEJ-MS</t>
  </si>
  <si>
    <t xml:space="preserve">LMP-MAQ-BALD.HIDRAULICAS-000-AT</t>
  </si>
  <si>
    <t xml:space="preserve">Partida</t>
  </si>
  <si>
    <t xml:space="preserve">m2</t>
  </si>
  <si>
    <t xml:space="preserve">XXXX LIMPIEZA A MÁQUINA EN ANDAMIO TUBULAR DE BALDOSAS HIDRÁULICAS O PÉTREAS ARTIFICIALES</t>
  </si>
  <si>
    <t xml:space="preserve">bb</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</si>
  <si>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</si>
  <si>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</si>
  <si>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</si>
  <si>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</si>
  <si>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</si>
  <si>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</si>
  <si>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</si>
  <si>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</si>
  <si>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</si>
  <si>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</si>
  <si>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</si>
  <si>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</si>
  <si>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</si>
  <si>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</si>
  <si>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</si>
  <si>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</si>
  <si>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</si>
  <si>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</si>
  <si>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</si>
  <si>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</si>
  <si>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</si>
  <si>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</si>
  <si>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</si>
  <si>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</si>
  <si>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LMP-MAQ-BALD.HIDRAULICAS-000-AT</t>
  </si>
  <si>
    <t xml:space="preserve">LMP-MAQ-BALD.HIDRAULICAS-000-MS</t>
  </si>
  <si>
    <t xml:space="preserve">Partida</t>
  </si>
  <si>
    <t xml:space="preserve">m2</t>
  </si>
  <si>
    <t xml:space="preserve">XXXX LIMPIEZA A MÁQUINA EN MEDIO SUSPENDIDO/COLGADO DE BALDOSAS HIDRÁULICAS O PÉTREAS ARTIFICIALES</t>
  </si>
  <si>
    <t xml:space="preserve">LIMPIEZA A MÁQUINA EN MEDIO SUSPENDIDO/COLGADO Y CON DETERGENTE DILIUIDO DE BALDOSAS HIDRÁULICAS O PÉTREAS ARTIFICIALES</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</si>
  <si>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</si>
  <si>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</si>
  <si>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</si>
  <si>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</si>
  <si>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</si>
  <si>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</si>
  <si>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</si>
  <si>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</si>
  <si>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</si>
  <si>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</si>
  <si>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</si>
  <si>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</si>
  <si>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</si>
  <si>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</si>
  <si>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</si>
  <si>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</si>
  <si>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</si>
  <si>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</si>
  <si>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</si>
  <si>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</si>
  <si>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</si>
  <si>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</si>
  <si>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</si>
  <si>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</si>
  <si>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LMP-MAQ-BALD.HIDRAULICAS-000-MS</t>
  </si>
  <si>
    <t xml:space="preserve">LMP-MAQ-BALD.HIDRAULICAS-DTG-AT</t>
  </si>
  <si>
    <t xml:space="preserve">Partida</t>
  </si>
  <si>
    <t xml:space="preserve">m2</t>
  </si>
  <si>
    <t xml:space="preserve">XXXX LIMPIEZA A MÁQUINA EN ANDAMIO TUBULAR Y CON DETERGENTE DILIUIDO DE BALDOSAS HIDRÁULICAS O PÉTREAS ARTIFICIALES</t>
  </si>
  <si>
    <t xml:space="preserve">LIMPIEZA A MÁQUINA EN ANDAMIO TUBULAR Y CON DETERGENTE DILIUIDO DE BALDOSAS HIDRÁULICAS O PÉTREAS ARTIFICIALES</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</si>
  <si>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</si>
  <si>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</si>
  <si>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</si>
  <si>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</si>
  <si>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</si>
  <si>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</si>
  <si>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</si>
  <si>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</si>
  <si>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</si>
  <si>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</si>
  <si>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</si>
  <si>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</si>
  <si>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</si>
  <si>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</si>
  <si>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</si>
  <si>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</si>
  <si>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</si>
  <si>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</si>
  <si>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</si>
  <si>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</si>
  <si>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</si>
  <si>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</si>
  <si>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</si>
  <si>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</si>
  <si>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</si>
  <si>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</si>
  <si>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</si>
  <si>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</si>
  <si>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LMP-MAQ-BALD.HIDRAULICAS-DTG-AT</t>
  </si>
  <si>
    <t xml:space="preserve">LMP-MAQ-BALD.HIDRAULICAS-DTG-MS</t>
  </si>
  <si>
    <t xml:space="preserve">Partida</t>
  </si>
  <si>
    <t xml:space="preserve">m2</t>
  </si>
  <si>
    <t xml:space="preserve">XXXX LIMPIEZA A MÁQUINA EN MEDIO SUSPENDIDO/COLGADO Y CON DETERGENTE DILIUIDO DE BALDOSAS HIDRÁULICAS O PÉTREAS ARTIFICIALES</t>
  </si>
  <si>
    <t xml:space="preserve">LIMPIEZA A MÁQUINA EN MEDIO SUSPENDIDO/COLGADO Y CON DETERGENTE DILIUIDO DE BALDOSAS HIDRÁULICAS O PÉTREAS ARTIFICIALES</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</si>
  <si>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</si>
  <si>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</si>
  <si>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</si>
  <si>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</si>
  <si>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</si>
  <si>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</si>
  <si>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</si>
  <si>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</si>
  <si>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</si>
  <si>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</si>
  <si>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</si>
  <si>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</si>
  <si>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</si>
  <si>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</si>
  <si>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</si>
  <si>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</si>
  <si>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</si>
  <si>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</si>
  <si>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</si>
  <si>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</si>
  <si>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</si>
  <si>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</si>
  <si>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</si>
  <si>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</si>
  <si>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</si>
  <si>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</si>
  <si>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</si>
  <si>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</si>
  <si>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LMP-MAQ-BALD.HIDRAULICAS-DTG-MS</t>
  </si>
  <si>
    <t xml:space="preserve">LMP-MAQ-BALD.HIDRAULICAS-LEJ-AT</t>
  </si>
  <si>
    <t xml:space="preserve">Partida</t>
  </si>
  <si>
    <t xml:space="preserve">m2</t>
  </si>
  <si>
    <t xml:space="preserve">XXXX LIMPIEZA A MÁQUINA EN ANDAMIO TUBULAR Y CON LEJIA DILUIDA DE BALDOSAS HIDRÁULICAS O PÉTREAS ARTIFICIALES</t>
  </si>
  <si>
    <t xml:space="preserve">LIMPIEZA A MÁQUINA EN ANDAMIO TUBULAR Y CON LEJIA DILUIDA DE BALDOSAS HIDRÁULICAS O PÉTREAS ARTIFICIALES</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</si>
  <si>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</si>
  <si>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</si>
  <si>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</si>
  <si>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</si>
  <si>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</si>
  <si>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</si>
  <si>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</si>
  <si>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</si>
  <si>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</si>
  <si>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</si>
  <si>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</si>
  <si>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</si>
  <si>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</si>
  <si>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</si>
  <si>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</si>
  <si>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</si>
  <si>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</si>
  <si>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</si>
  <si>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</si>
  <si>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</si>
  <si>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</si>
  <si>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</si>
  <si>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</si>
  <si>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</si>
  <si>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</si>
  <si>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</si>
  <si>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</si>
  <si>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</si>
  <si>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LMP-MAQ-BALD.HIDRAULICAS-LEJ-AT</t>
  </si>
  <si>
    <t xml:space="preserve">LMP-MAQ-BALD.HIDRAULICAS-LEJ-MS</t>
  </si>
  <si>
    <t xml:space="preserve">Partida</t>
  </si>
  <si>
    <t xml:space="preserve">m2</t>
  </si>
  <si>
    <t xml:space="preserve">XXXX LIMPIEZA A MÁQUINA EN MEDIO SUSPENDIDO/COLGADO Y CON LEJIA DILUIDA DE BALDOSAS HIDRÁULICAS O PÉTREAS ARTIFICIALES</t>
  </si>
  <si>
    <t xml:space="preserve">LIMPIEZA A MÁQUINA EN MEDIO SUSPENDIDO/COLGADO Y CON LEJIA DILUIDA DE BALDOSAS HIDRÁULICAS O PÉTREAS ARTIFICIALES</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</si>
  <si>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</si>
  <si>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</si>
  <si>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</si>
  <si>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</si>
  <si>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</si>
  <si>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</si>
  <si>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</si>
  <si>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</si>
  <si>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</si>
  <si>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</si>
  <si>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</si>
  <si>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</si>
  <si>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</si>
  <si>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</si>
  <si>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</si>
  <si>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</si>
  <si>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</si>
  <si>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</si>
  <si>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</si>
  <si>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</si>
  <si>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</si>
  <si>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</si>
  <si>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</si>
  <si>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</si>
  <si>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</si>
  <si>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</si>
  <si>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</si>
  <si>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</si>
  <si>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LMP-MAQ-BALD.HIDRAULICAS-LEJ-MS</t>
  </si>
  <si>
    <t xml:space="preserve">LMP-MAQ-HORMIGON/MORTERO-000-AT</t>
  </si>
  <si>
    <t xml:space="preserve">Partida</t>
  </si>
  <si>
    <t xml:space="preserve">m2</t>
  </si>
  <si>
    <t xml:space="preserve">XXXX LIMPIEZA A MÁQUINA EN ANDAMIO TUBULAR DE HORMIGÓN Y/O MORTERO</t>
  </si>
  <si>
    <t xml:space="preserve">LIMPIEZA A MÁQUINA EN ANDAMIO TUBULAR DE HORMIGÓN Y/O MORTERO</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</si>
  <si>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</si>
  <si>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</si>
  <si>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</si>
  <si>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</si>
  <si>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</si>
  <si>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</si>
  <si>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</si>
  <si>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</si>
  <si>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</si>
  <si>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</si>
  <si>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</si>
  <si>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</si>
  <si>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</si>
  <si>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</si>
  <si>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</si>
  <si>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</si>
  <si>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</si>
  <si>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</si>
  <si>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</si>
  <si>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</si>
  <si>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</si>
  <si>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</si>
  <si>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</si>
  <si>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</si>
  <si>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LMP-MAQ-HORMIGON/MORTERO-000-AT</t>
  </si>
  <si>
    <t xml:space="preserve">LMP-MAQ-HORMIGON/MORTERO-000-MS</t>
  </si>
  <si>
    <t xml:space="preserve">Partida</t>
  </si>
  <si>
    <t xml:space="preserve">m2</t>
  </si>
  <si>
    <t xml:space="preserve">XXXX LIMPIEZA A MÁQUINA EN MEDIO SUSPENDIDO/COLGADO DE HORMIGÓN Y/O MORTERO</t>
  </si>
  <si>
    <t xml:space="preserve">LIMPIEZA A MÁQUINA EN MEDIO SUSPENDIDO/COLGADO DE HORMIGÓN Y/O MORTERO</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</si>
  <si>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</si>
  <si>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</si>
  <si>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</si>
  <si>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</si>
  <si>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</si>
  <si>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</si>
  <si>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</si>
  <si>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</si>
  <si>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</si>
  <si>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</si>
  <si>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</si>
  <si>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</si>
  <si>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</si>
  <si>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</si>
  <si>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</si>
  <si>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</si>
  <si>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</si>
  <si>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</si>
  <si>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</si>
  <si>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</si>
  <si>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</si>
  <si>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</si>
  <si>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</si>
  <si>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</si>
  <si>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LMP-MAQ-HORMIGON/MORTERO-000-MS</t>
  </si>
  <si>
    <t xml:space="preserve">LMP-MAQ-HORMIGON/MORTERO-DTG-AT</t>
  </si>
  <si>
    <t xml:space="preserve">Partida</t>
  </si>
  <si>
    <t xml:space="preserve">m2</t>
  </si>
  <si>
    <t xml:space="preserve">XXXX LIMPIEZA A MÁQUINA EN ANDAMIO TUBULAR Y CON DETERGENTE DILUIDO DE HORMIGÓN Y/O MORTERO</t>
  </si>
  <si>
    <t xml:space="preserve">LIMPIEZA A MÁQUINA EN ANDAMIO TUBULAR Y CON DETERGENTE DILUIDO DE HORMIGÓN Y/O MORTERO</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</si>
  <si>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</si>
  <si>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</si>
  <si>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</si>
  <si>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</si>
  <si>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</si>
  <si>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</si>
  <si>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</si>
  <si>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</si>
  <si>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</si>
  <si>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</si>
  <si>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</si>
  <si>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</si>
  <si>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</si>
  <si>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</si>
  <si>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</si>
  <si>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</si>
  <si>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</si>
  <si>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</si>
  <si>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</si>
  <si>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</si>
  <si>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</si>
  <si>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</si>
  <si>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</si>
  <si>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</si>
  <si>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</si>
  <si>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</si>
  <si>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</si>
  <si>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</si>
  <si>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LMP-MAQ-HORMIGON/MORTERO-DTG-AT</t>
  </si>
  <si>
    <t xml:space="preserve">LMP-MAQ-HORMIGON/MORTERO-DTG-MS</t>
  </si>
  <si>
    <t xml:space="preserve">Partida</t>
  </si>
  <si>
    <t xml:space="preserve">m2</t>
  </si>
  <si>
    <t xml:space="preserve">XXXX LIMPIEZA A MÁQUINA EN MEDIO SUSPENDIDO/COLGADO Y CON DETERGENTE DILIUIDO DE HORMIGÓN Y/O MORTERO</t>
  </si>
  <si>
    <t xml:space="preserve">LIMPIEZA A MÁQUINA EN MEDIO SUSPENDIDO/COLGADO Y CON DETERGENTE DILIUIDO DE HORMIGÓN Y/O MORTERO</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</si>
  <si>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</si>
  <si>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</si>
  <si>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</si>
  <si>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</si>
  <si>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</si>
  <si>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</si>
  <si>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</si>
  <si>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</si>
  <si>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</si>
  <si>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</si>
  <si>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</si>
  <si>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</si>
  <si>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</si>
  <si>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</si>
  <si>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</si>
  <si>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</si>
  <si>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</si>
  <si>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</si>
  <si>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</si>
  <si>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</si>
  <si>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</si>
  <si>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</si>
  <si>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</si>
  <si>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</si>
  <si>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</si>
  <si>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</si>
  <si>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</si>
  <si>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</si>
  <si>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LMP-MAQ-HORMIGON/MORTERO-DTG-MS</t>
  </si>
  <si>
    <t xml:space="preserve">LMP-MAQ-HORMIGON/MORTERO-LEJ-AT</t>
  </si>
  <si>
    <t xml:space="preserve">Partida</t>
  </si>
  <si>
    <t xml:space="preserve">m2</t>
  </si>
  <si>
    <t xml:space="preserve">XXXX LIMPIEZA A MÁQUINA EN ANDAMIO TUBULAR Y CON LEJIA DILUIDA DE HORMIGÓN Y/O MORTERO</t>
  </si>
  <si>
    <t xml:space="preserve">LIMPIEZA A MÁQUINA EN ANDAMIO TUBULAR Y CON LEJIA DILUIDA DE HORMIGÓN Y/O MORTERO</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</si>
  <si>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</si>
  <si>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</si>
  <si>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</si>
  <si>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</si>
  <si>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</si>
  <si>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</si>
  <si>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</si>
  <si>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</si>
  <si>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</si>
  <si>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</si>
  <si>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</si>
  <si>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</si>
  <si>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</si>
  <si>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</si>
  <si>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</si>
  <si>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</si>
  <si>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</si>
  <si>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</si>
  <si>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</si>
  <si>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</si>
  <si>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</si>
  <si>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</si>
  <si>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</si>
  <si>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</si>
  <si>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</si>
  <si>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</si>
  <si>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</si>
  <si>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</si>
  <si>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LMP-MAQ-HORMIGON/MORTERO-LEJ-AT</t>
  </si>
  <si>
    <t xml:space="preserve">LMP-MAQ-HORMIGON/MORTERO-LEJ-MS</t>
  </si>
  <si>
    <t xml:space="preserve">Partida</t>
  </si>
  <si>
    <t xml:space="preserve">m2</t>
  </si>
  <si>
    <t xml:space="preserve">XXXX LIMPIEZA A MÁQUINA EN MEDIO SUSPENDIDO/COLGADO Y CON LEJIA DILUIDA DE HORMIGÓN Y/O MORTERO</t>
  </si>
  <si>
    <t xml:space="preserve">LIMPIEZA A MÁQUINA EN MEDIO SUSPENDIDO/COLGADO Y CON LEJIA DILUIDA DE HORMIGÓN Y/O MORTERO</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</si>
  <si>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</si>
  <si>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</si>
  <si>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</si>
  <si>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</si>
  <si>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</si>
  <si>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</si>
  <si>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</si>
  <si>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</si>
  <si>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</si>
  <si>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</si>
  <si>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</si>
  <si>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</si>
  <si>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</si>
  <si>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</si>
  <si>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</si>
  <si>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</si>
  <si>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</si>
  <si>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</si>
  <si>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</si>
  <si>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</si>
  <si>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</si>
  <si>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</si>
  <si>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</si>
  <si>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</si>
  <si>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</si>
  <si>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</si>
  <si>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</si>
  <si>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</si>
  <si>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LMP-MAQ-HORMIGON/MORTERO-LEJ-MS</t>
  </si>
  <si>
    <t xml:space="preserve">LMP-MAQ-SILLERIA-000-AT</t>
  </si>
  <si>
    <t xml:space="preserve">Partida</t>
  </si>
  <si>
    <t xml:space="preserve">m2</t>
  </si>
  <si>
    <t xml:space="preserve">XXXX LIMPIEZA A MÁQUINA EN ANDAMIO TUBULAR DE SILLERÍA Y/O LADRILLO O.V.-TEJAR</t>
  </si>
  <si>
    <t xml:space="preserve">LIMPIEZA A MÁQUINA EN ANDAMIO TUBULAR DE SILLERÍA Y/O LADRILLO O.V.-TEJAR</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</si>
  <si>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</si>
  <si>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</si>
  <si>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</si>
  <si>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</si>
  <si>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</si>
  <si>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</si>
  <si>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</si>
  <si>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</si>
  <si>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</si>
  <si>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</si>
  <si>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</si>
  <si>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</si>
  <si>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</si>
  <si>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</si>
  <si>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</si>
  <si>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</si>
  <si>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</si>
  <si>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</si>
  <si>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</si>
  <si>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</si>
  <si>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</si>
  <si>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</si>
  <si>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</si>
  <si>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</si>
  <si>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LMP-MAQ-SILLERIA-000-AT</t>
  </si>
  <si>
    <t xml:space="preserve">LMP-MAQ-SILLERIA-000-MS</t>
  </si>
  <si>
    <t xml:space="preserve">Partida</t>
  </si>
  <si>
    <t xml:space="preserve">m2</t>
  </si>
  <si>
    <t xml:space="preserve">XXXX LIMPIEZA A MÁQUINA EN MEDIO SUSPENDIDO/COLGADO DE SILLERÍA Y/O LADRILLO O.V.-TEJAR</t>
  </si>
  <si>
    <t xml:space="preserve">LIMPIEZA A MÁQUINA EN MEDIO SUSPENDIDO/COLGADO DE SILLERÍA Y/O LADRILLO O.V.-TEJAR</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</si>
  <si>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</si>
  <si>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</si>
  <si>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</si>
  <si>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</si>
  <si>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</si>
  <si>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</si>
  <si>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</si>
  <si>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</si>
  <si>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</si>
  <si>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</si>
  <si>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</si>
  <si>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</si>
  <si>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</si>
  <si>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</si>
  <si>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</si>
  <si>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</si>
  <si>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</si>
  <si>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</si>
  <si>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</si>
  <si>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</si>
  <si>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</si>
  <si>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</si>
  <si>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</si>
  <si>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</si>
  <si>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LMP-MAQ-SILLERIA-000-MS</t>
  </si>
  <si>
    <t xml:space="preserve">LMP-MAQ-SILLERIA-DTG-AT</t>
  </si>
  <si>
    <t xml:space="preserve">Partida</t>
  </si>
  <si>
    <t xml:space="preserve">m2</t>
  </si>
  <si>
    <t xml:space="preserve">XXXX LIMPIEZA A MÁQUINA EN ANDAMIO TUBULAR Y CON DETERGENTE DILIUIDO DE SILLERÍA Y/O LADRILLO O.V.-TEJAR</t>
  </si>
  <si>
    <t xml:space="preserve">LIMPIEZA A MÁQUINA EN ANDAMIO TUBULAR Y CON DETERGENTE DILIUIDO DE SILLERÍA Y/O LADRILLO O.V.-TEJAR</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</si>
  <si>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</si>
  <si>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</si>
  <si>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</si>
  <si>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</si>
  <si>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</si>
  <si>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</si>
  <si>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</si>
  <si>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</si>
  <si>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</si>
  <si>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</si>
  <si>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</si>
  <si>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</si>
  <si>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</si>
  <si>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</si>
  <si>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</si>
  <si>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</si>
  <si>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</si>
  <si>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</si>
  <si>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</si>
  <si>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</si>
  <si>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</si>
  <si>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</si>
  <si>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</si>
  <si>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</si>
  <si>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</si>
  <si>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</si>
  <si>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</si>
  <si>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</si>
  <si>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LMP-MAQ-SILLERIA-DTG-AT</t>
  </si>
  <si>
    <t xml:space="preserve">LMP-MAQ-SILLERIA-DTG-MS</t>
  </si>
  <si>
    <t xml:space="preserve">Partida</t>
  </si>
  <si>
    <t xml:space="preserve">m2</t>
  </si>
  <si>
    <t xml:space="preserve">XXXX LIMPIEZA A MÁQUINA EN MEDIO SUSPENDIDO/COLGADO Y CON DETERGENTE DILIUIDO DE SILLERÍA Y/O LADRILLO O.V.-TEJAR</t>
  </si>
  <si>
    <t xml:space="preserve">LIMPIEZA A MÁQUINA EN MEDIO SUSPENDIDO/COLGADO Y CON DETERGENTE DILIUIDO DE SILLERÍA Y/O LADRILLO O.V.-TEJAR</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</si>
  <si>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</si>
  <si>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</si>
  <si>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</si>
  <si>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</si>
  <si>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</si>
  <si>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</si>
  <si>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</si>
  <si>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</si>
  <si>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</si>
  <si>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</si>
  <si>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</si>
  <si>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</si>
  <si>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</si>
  <si>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</si>
  <si>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</si>
  <si>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</si>
  <si>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</si>
  <si>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</si>
  <si>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</si>
  <si>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</si>
  <si>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</si>
  <si>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</si>
  <si>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</si>
  <si>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</si>
  <si>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</si>
  <si>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</si>
  <si>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</si>
  <si>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</si>
  <si>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LMP-MAQ-SILLERIA-DTG-MS</t>
  </si>
  <si>
    <t xml:space="preserve">LMP-MAQ-SILLERIA-LEJ-AT</t>
  </si>
  <si>
    <t xml:space="preserve">Partida</t>
  </si>
  <si>
    <t xml:space="preserve">m2</t>
  </si>
  <si>
    <t xml:space="preserve">XXXX LIMPIEZA A MÁQUINA EN ANDAMIO TUBULAR Y CON LEJIA DILUIDA DE SILLERÍA Y/O LADRILLO O.V.-TEJAR</t>
  </si>
  <si>
    <t xml:space="preserve">LIMPIEZA A MÁQUINA EN ANDAMIO TUBULAR Y CON LEJIA DILUIDA DE SILLERÍA Y/O LADRILLO O.V.-TEJAR</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</si>
  <si>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</si>
  <si>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</si>
  <si>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</si>
  <si>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</si>
  <si>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</si>
  <si>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</si>
  <si>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</si>
  <si>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</si>
  <si>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</si>
  <si>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</si>
  <si>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</si>
  <si>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</si>
  <si>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</si>
  <si>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</si>
  <si>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</si>
  <si>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</si>
  <si>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</si>
  <si>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</si>
  <si>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</si>
  <si>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</si>
  <si>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</si>
  <si>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</si>
  <si>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</si>
  <si>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</si>
  <si>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</si>
  <si>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</si>
  <si>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</si>
  <si>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</si>
  <si>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LMP-MAQ-SILLERIA-LEJ-AT</t>
  </si>
  <si>
    <t xml:space="preserve">LMP-MAQ-SILLERIA-LEJ-MS</t>
  </si>
  <si>
    <t xml:space="preserve">Partida</t>
  </si>
  <si>
    <t xml:space="preserve">m2</t>
  </si>
  <si>
    <t xml:space="preserve">XXXX LIMPIEZA A MÁQUINA EN MEDIO SUSPENDIDO/COLGADO Y CON LEJIA DILUIDA DE SILLERÍA Y/O LADRILLO O.V.-TEJAR</t>
  </si>
  <si>
    <t xml:space="preserve">LIMPIEZA A MÁQUINA EN MEDIO SUSPENDIDO/COLGADO Y CON LEJIA DILUIDA DE SILLERÍA Y/O LADRILLO O.V.-TEJAR</t>
  </si>
  <si>
    <t xml:space="preserve">ma-bm-25046417</t>
  </si>
  <si>
    <t xml:space="preserve">Material</t>
  </si>
  <si>
    <t xml:space="preserve">envase</t>
  </si>
  <si>
    <t xml:space="preserve">Lejía para limpieza y desinfección de superficies EL CHÉ (5 litros/envase).   Ref. bm-25046417</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</si>
  <si>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</si>
  <si>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</si>
  <si>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</si>
  <si>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</si>
  <si>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</si>
  <si>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</si>
  <si>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</si>
  <si>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</si>
  <si>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</si>
  <si>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</si>
  <si>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</si>
  <si>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</si>
  <si>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</si>
  <si>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</si>
  <si>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</si>
  <si>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</si>
  <si>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</si>
  <si>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</si>
  <si>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</si>
  <si>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</si>
  <si>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</si>
  <si>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</si>
  <si>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</si>
  <si>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</si>
  <si>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LMP-MAQ-SILLERIA-LEJ-MS</t>
  </si>
  <si>
    <t xml:space="preserve">LMP-CHORRO-SILICATO.ALUM-V-AT</t>
  </si>
  <si>
    <t xml:space="preserve">Partida</t>
  </si>
  <si>
    <t xml:space="preserve">m2</t>
  </si>
  <si>
    <t xml:space="preserve">XXXX LIMPIEZA MECANICA DE PARAMENTO VERTICAL DE FACHADA CON PROYECCION DE CHORRO ABRASIVO (SILICATO DE ALUMINIO), MEDIANTE EL USO DE ANDAMIO TUBULAR</t>
  </si>
  <si>
    <t xml:space="preserve">LIMPIEZA MECANICA DE PARAMENTO VERTICAL DE FACHADA CON PROYECCION DE CHORRO ABRASIVO (SILICATO DE ALUMINIO), MEDIANTE EL USO DE ANDAMIO TUBULAR</t>
  </si>
  <si>
    <t xml:space="preserve">ma-jomafa-9997</t>
  </si>
  <si>
    <t xml:space="preserve">Material</t>
  </si>
  <si>
    <t xml:space="preserve">saco</t>
  </si>
  <si>
    <t xml:space="preserve">Silicato de Aluminio RUGOS 2000; grano 50/80 y medida 0,10-0,50 (25 kg/saco).   Ref. jomafa-9997</t>
  </si>
  <si>
    <t xml:space="preserve">alq-chorreadora-mym-01</t>
  </si>
  <si>
    <t xml:space="preserve">Maquinaria</t>
  </si>
  <si>
    <t xml:space="preserve">h</t>
  </si>
  <si>
    <t xml:space="preserve">Alquiler de Equipo Arenador Chorro de Arena.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</si>
  <si>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</si>
  <si>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</si>
  <si>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</si>
  <si>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</si>
  <si>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</si>
  <si>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</si>
  <si>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</si>
  <si>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</si>
  <si>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</si>
  <si>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</si>
  <si>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</si>
  <si>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</si>
  <si>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</si>
  <si>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</si>
  <si>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</si>
  <si>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</si>
  <si>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</si>
  <si>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</si>
  <si>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</si>
  <si>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</si>
  <si>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</si>
  <si>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</si>
  <si>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</si>
  <si>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</si>
  <si>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LMP-CHORRO-SILICATO.ALUM-V-AT</t>
  </si>
  <si>
    <t xml:space="preserve">LMP-CHORRO-SILICATO.ALUM-H-MS</t>
  </si>
  <si>
    <t xml:space="preserve">Partida</t>
  </si>
  <si>
    <t xml:space="preserve">m2</t>
  </si>
  <si>
    <t xml:space="preserve">XXXX LIMPIEZA MECANICA DE PARAMENTO HORIZONTAL DE FACHADA CON PROYECCION DE CHORRO ABRASIVO (SILICATO DE ALUMINIO), MEDIANTE EL USO DE MEDIO SUSPENDIDO/COLGADO</t>
  </si>
  <si>
    <t xml:space="preserve">LIMPIEZA MECANICA DE PARAMENTO HORIZONTAL DE FACHADA CON PROYECCION DE CHORRO ABRASIVO (SILICATO DE ALUMINIO), MEDIANTE EL USO DE MEDIO SUSPENDIDO/COLGADO</t>
  </si>
  <si>
    <t xml:space="preserve">ma-jomafa-9997</t>
  </si>
  <si>
    <t xml:space="preserve">Material</t>
  </si>
  <si>
    <t xml:space="preserve">saco</t>
  </si>
  <si>
    <t xml:space="preserve">Silicato de Aluminio RUGOS 2000; grano 50/80 y medida 0,10-0,50 (25 kg/saco).   Ref. jomafa-9997</t>
  </si>
  <si>
    <t xml:space="preserve">alq-chorreadora-mym-01</t>
  </si>
  <si>
    <t xml:space="preserve">Maquinaria</t>
  </si>
  <si>
    <t xml:space="preserve">h</t>
  </si>
  <si>
    <t xml:space="preserve">Alquiler de Equipo Arenador Chorro de Arena.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</si>
  <si>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</si>
  <si>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</si>
  <si>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</si>
  <si>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</si>
  <si>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</si>
  <si>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</si>
  <si>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</si>
  <si>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</si>
  <si>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</si>
  <si>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</si>
  <si>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</si>
  <si>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</si>
  <si>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</si>
  <si>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</si>
  <si>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</si>
  <si>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</si>
  <si>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</si>
  <si>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</si>
  <si>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</si>
  <si>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</si>
  <si>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</si>
  <si>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</si>
  <si>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</si>
  <si>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</si>
  <si>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LMP-CHORRO-SILICATO.ALUM-H-MS</t>
  </si>
  <si>
    <t xml:space="preserve">LMP-CHORRO-SILICATO.ALUM-H-AT</t>
  </si>
  <si>
    <t xml:space="preserve">Partida</t>
  </si>
  <si>
    <t xml:space="preserve">m2</t>
  </si>
  <si>
    <t xml:space="preserve">XXXX LIMPIEZA MECANICA DE PARAMENTO HORIZONTAL DE FACHADA CON PROYECCION DE CHORRO ABRASIVO (SILICATO DE ALUMINIO), MEDIANTE EL USO DE ANDAMIO TUBULAR</t>
  </si>
  <si>
    <t xml:space="preserve">LIMPIEZA MECANICA DE PARAMENTO HORIZONTAL DE FACHADA CON PROYECCION DE CHORRO ABRASIVO (SILICATO DE ALUMINIO), MEDIANTE EL USO DE ANDAMIO TUBULAR</t>
  </si>
  <si>
    <t xml:space="preserve">ma-jomafa-9997</t>
  </si>
  <si>
    <t xml:space="preserve">Material</t>
  </si>
  <si>
    <t xml:space="preserve">saco</t>
  </si>
  <si>
    <t xml:space="preserve">Silicato de Aluminio RUGOS 2000; grano 50/80 y medida 0,10-0,50 (25 kg/saco).   Ref. jomafa-9997</t>
  </si>
  <si>
    <t xml:space="preserve">alq-chorreadora-mym-01</t>
  </si>
  <si>
    <t xml:space="preserve">Maquinaria</t>
  </si>
  <si>
    <t xml:space="preserve">h</t>
  </si>
  <si>
    <t xml:space="preserve">Alquiler de Equipo Arenador Chorro de Arena.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</si>
  <si>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</si>
  <si>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</si>
  <si>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</si>
  <si>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</si>
  <si>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</si>
  <si>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</si>
  <si>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</si>
  <si>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</si>
  <si>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</si>
  <si>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</si>
  <si>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</si>
  <si>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</si>
  <si>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</si>
  <si>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</si>
  <si>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</si>
  <si>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</si>
  <si>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</si>
  <si>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</si>
  <si>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</si>
  <si>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</si>
  <si>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</si>
  <si>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</si>
  <si>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</si>
  <si>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</si>
  <si>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LMP-CHORRO-SILICATO.ALUM-H-AT</t>
  </si>
  <si>
    <t xml:space="preserve">LMP-REVESTIMIENTOS-PARED</t>
  </si>
  <si>
    <t xml:space="preserve">LMP-REVESTIMIENTOS-SUELO</t>
  </si>
  <si>
    <t xml:space="preserve">Capítulo</t>
  </si>
  <si>
    <t xml:space="preserve">XXXXXXXX LIMPIEZA DE REVESTIMIENTOS EN SUELO</t>
  </si>
  <si>
    <t xml:space="preserve">LIMPIEZA-PAVIMENTO-01</t>
  </si>
  <si>
    <t xml:space="preserve">Partida</t>
  </si>
  <si>
    <t xml:space="preserve">m2</t>
  </si>
  <si>
    <t xml:space="preserve">XXXX LIMPIEZA DE PAVIMENTOS CON DETERGENTE SUAVE</t>
  </si>
  <si>
    <t xml:space="preserve">LIMPIEZA DE PAVIMENTOS EN PATIOS CON DETERGENTE SUAVE</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</si>
  <si>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</si>
  <si>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</si>
  <si>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</si>
  <si>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</si>
  <si>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</si>
  <si>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</si>
  <si>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</si>
  <si>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</si>
  <si>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</si>
  <si>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</si>
  <si>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</si>
  <si>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</si>
  <si>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</si>
  <si>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</si>
  <si>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</si>
  <si>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</si>
  <si>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</si>
  <si>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</si>
  <si>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</si>
  <si>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</si>
  <si>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</si>
  <si>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</si>
  <si>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</si>
  <si>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</si>
  <si>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</si>
  <si>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</si>
  <si>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</si>
  <si>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</si>
  <si>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LIMPIEZA-PAVIMENTO-01</t>
  </si>
  <si>
    <t xml:space="preserve">LMP-REVESTIMIENTOS-SUELO</t>
  </si>
  <si>
    <t xml:space="preserve">OTROS.TRATAMIENTOS</t>
  </si>
  <si>
    <t xml:space="preserve">Capítulo</t>
  </si>
  <si>
    <t xml:space="preserve">XXXXXXXX OTROS TRATAMIENTOS</t>
  </si>
  <si>
    <t xml:space="preserve">OTROS.TRATAMIENTOS-PARAMENTOS</t>
  </si>
  <si>
    <t xml:space="preserve">Capítulo</t>
  </si>
  <si>
    <t xml:space="preserve">XXXXXXXX OTROS TRATAMIENTOS EN PARAMENTOS</t>
  </si>
  <si>
    <t xml:space="preserve">OTP-BRILLO.MARMOL-V-AT-01</t>
  </si>
  <si>
    <t xml:space="preserve">Partida</t>
  </si>
  <si>
    <t xml:space="preserve">m2</t>
  </si>
  <si>
    <t xml:space="preserve">XXXX ABRILLANTAMIENTO MECÁNICO DE MÁRMOL EN PARAMENTOS VERTICALES, MEDIANTE EL USO DE ANDAMIO TUBULAR</t>
  </si>
  <si>
    <t xml:space="preserve">ABRILLANTAMIENTO MECÁNICO DE MÁRMOL EN PARAMENTOS VERTICALES, MEDIANTE EL USO DE ANDAMIO TUBULAR</t>
  </si>
  <si>
    <t xml:space="preserve">ma-lp-00195806</t>
  </si>
  <si>
    <t xml:space="preserve">Material</t>
  </si>
  <si>
    <t xml:space="preserve">envase</t>
  </si>
  <si>
    <t xml:space="preserve">Abrillantador protector de mármol interior PASO de CEYS (1 litro/envase).   Ref. lp-00195806</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</si>
  <si>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</si>
  <si>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</si>
  <si>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</si>
  <si>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</si>
  <si>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</si>
  <si>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</si>
  <si>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</si>
  <si>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</si>
  <si>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</si>
  <si>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</si>
  <si>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</si>
  <si>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</si>
  <si>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</si>
  <si>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</si>
  <si>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</si>
  <si>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</si>
  <si>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</si>
  <si>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</si>
  <si>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</si>
  <si>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</si>
  <si>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</si>
  <si>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</si>
  <si>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</si>
  <si>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</si>
  <si>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OTP-BRILLO.MARMOL-V-AT-01</t>
  </si>
  <si>
    <t xml:space="preserve">OTP-BRILLO.MARMOL-V-MS-01</t>
  </si>
  <si>
    <t xml:space="preserve">Partida</t>
  </si>
  <si>
    <t xml:space="preserve">m2</t>
  </si>
  <si>
    <t xml:space="preserve">XXXX ABRILLANTAMIENTO MECÁNICO DE MÁRMOL EN PARAMENTOS VERTICALES, MEDIANTE EL USO DE MEDIO SUSPENDIDO/COLGADO</t>
  </si>
  <si>
    <t xml:space="preserve">ABRILLANTAMIENTO MECÁNICO DE MÁRMOL EN PARAMENTOS VERTICALES, MEDIANTE EL USO DE MEDIO SUSPENDIDO/COLGADO</t>
  </si>
  <si>
    <t xml:space="preserve">ma-lp-00195806</t>
  </si>
  <si>
    <t xml:space="preserve">Material</t>
  </si>
  <si>
    <t xml:space="preserve">envase</t>
  </si>
  <si>
    <t xml:space="preserve">Abrillantador protector de mármol interior PASO de CEYS (1 litro/envase).   Ref. lp-00195806</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</si>
  <si>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</si>
  <si>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</si>
  <si>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</si>
  <si>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</si>
  <si>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</si>
  <si>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</si>
  <si>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</si>
  <si>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</si>
  <si>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</si>
  <si>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</si>
  <si>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</si>
  <si>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</si>
  <si>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</si>
  <si>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</si>
  <si>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</si>
  <si>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</si>
  <si>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</si>
  <si>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</si>
  <si>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</si>
  <si>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</si>
  <si>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</si>
  <si>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</si>
  <si>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</si>
  <si>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</si>
  <si>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OTP-BRILLO.MARMOL-V-MS-01</t>
  </si>
  <si>
    <t xml:space="preserve">OTROS.TRATAMIENTOS-PARAMENTOS</t>
  </si>
  <si>
    <t xml:space="preserve">OTROS.TRATAMIENTOS</t>
  </si>
  <si>
    <t xml:space="preserve">LIMPIEZAS</t>
  </si>
  <si>
    <t xml:space="preserve">PRE</t>
  </si>
  <si>
    <t xml:space="preserve">Capítulo</t>
  </si>
  <si>
    <t xml:space="preserve">o PRELIMINARES OK</t>
  </si>
  <si>
    <t xml:space="preserve">NOTA1</t>
  </si>
  <si>
    <t xml:space="preserve">Partida</t>
  </si>
  <si>
    <t xml:space="preserve">NOTA 1: ELEMENTOS PARTICULARES A CARGO DE LA PROPIEDAD</t>
  </si>
  <si>
    <t xml:space="preserve">El desmontaje, acopio y posterior montaje con medios manuales y/o mecánicos de todos aquellos elementos particulares, como pueden ser los toldos y su estructura, persianas alicantinas, aires acondicionados, tendederos, mobiliario, plantas, brezo, tarimas de madera, etc... para poder llevar a cabo los trabajos de rehabilitación, correran a cargo de la propiedad y deben realizarse previamente al inicio de los trabajos.</t>
  </si>
  <si>
    <t xml:space="preserve">NOTA2</t>
  </si>
  <si>
    <t xml:space="preserve">Partida</t>
  </si>
  <si>
    <t xml:space="preserve">NOTA 2: ORIGEN DE LAS FILTRACIONES</t>
  </si>
  <si>
    <t xml:space="preserve">**Nota Aclaratoria: Alcance de los Trabajos de Reparación en Cubierta**
Se deja constancia de que los trabajos presupuestados en este documento están orientados a la reparación de los defectos detectados visualmente en la cubierta.
Es importante señalar que esta intervención se considera un arreglo de lo detectado en la visita realizada y no un estudio exhaustivo para determinar la causa raíz de las filtraciones. Por lo tanto, no podemos garantizar que el origen de la misma se encuentre exclusivamente en el área intervenida ni que futuras filtraciones no se manifiesten en otros puntos de la cubierta.
Para una solución definitiva y encontrar el origen de la filtración, se recomienda realizar un estudio y pruebas de los demas elementos que pudieran provocar dicha filtración, que permita identificar y corregir cualquier otra deficiencia que pueda estar presente.</t>
  </si>
  <si>
    <t xml:space="preserve">PRE001</t>
  </si>
  <si>
    <t xml:space="preserve">Partida</t>
  </si>
  <si>
    <t xml:space="preserve">PAR</t>
  </si>
  <si>
    <t xml:space="preserve">o PROTECCION DE PAVIMENTOS Y MOBILIARIO</t>
  </si>
  <si>
    <t xml:space="preserve">Proteccion de pavimento y mobiliario en el interior de vivienda mediante la cubricion con lamina de plastico y/o carton, que se mantendra durante los trabajos de rehabilitacion o reforma, y posterior retirada de la proteccion.</t>
  </si>
  <si>
    <t xml:space="preserve">ma-lp-00139017</t>
  </si>
  <si>
    <t xml:space="preserve">Material</t>
  </si>
  <si>
    <t xml:space="preserve">rollo</t>
  </si>
  <si>
    <t xml:space="preserve">Cartón ondulado (50x0,90 m/rollo)   Ref. lp-00139017</t>
  </si>
  <si>
    <t xml:space="preserve">ma-lp-00534910</t>
  </si>
  <si>
    <t xml:space="preserve">Material</t>
  </si>
  <si>
    <t xml:space="preserve">rollo</t>
  </si>
  <si>
    <t xml:space="preserve">Cinta pintor KREPP 29 mm (45 m/rollo).   Ref. lp-00534910</t>
  </si>
  <si>
    <t xml:space="preserve">ma-lp-00007667</t>
  </si>
  <si>
    <t xml:space="preserve">Material</t>
  </si>
  <si>
    <t xml:space="preserve">und</t>
  </si>
  <si>
    <t xml:space="preserve">Plástico cubretodo grueso MIARCO; 4x5 m/und   Ref. lp-00007667</t>
  </si>
  <si>
    <t xml:space="preserve">ma-lp-00222965</t>
  </si>
  <si>
    <t xml:space="preserve">Material</t>
  </si>
  <si>
    <t xml:space="preserve">und</t>
  </si>
  <si>
    <t xml:space="preserve">Tablero de encofrar tricapa de madera de abeto 1970x500x27 mm   Ref. lp-00222965</t>
  </si>
  <si>
    <t xml:space="preserve">ma-lp-00006257</t>
  </si>
  <si>
    <t xml:space="preserve">Material</t>
  </si>
  <si>
    <t xml:space="preserve">und</t>
  </si>
  <si>
    <t xml:space="preserve">Tablero MDF 2440x1220x10 mm   Ref. lp-00006257</t>
  </si>
  <si>
    <t xml:space="preserve">ma-lp-00535305</t>
  </si>
  <si>
    <t xml:space="preserve">Material</t>
  </si>
  <si>
    <t xml:space="preserve">und</t>
  </si>
  <si>
    <t xml:space="preserve">Toldo multiusos PROTEX; 2x3 m   Ref. lp-00535305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</si>
  <si>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</si>
  <si>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</si>
  <si>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</si>
  <si>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</si>
  <si>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</si>
  <si>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</si>
  <si>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</si>
  <si>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</si>
  <si>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</si>
  <si>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</si>
  <si>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</si>
  <si>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</si>
  <si>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</si>
  <si>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</si>
  <si>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</si>
  <si>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</si>
  <si>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</si>
  <si>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</si>
  <si>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</si>
  <si>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</si>
  <si>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PRE001</t>
  </si>
  <si>
    <t xml:space="preserve">PRE002</t>
  </si>
  <si>
    <t xml:space="preserve">Partida</t>
  </si>
  <si>
    <t xml:space="preserve">und</t>
  </si>
  <si>
    <t xml:space="preserve">o PROTECCIÓN DE ASCENSOR</t>
  </si>
  <si>
    <t xml:space="preserve">Protección de ascensor interior de edificios mediante 100% de cubrición de suelo y paramentos, con tablero de madera, lámina plástica, cartón corrugado y cinta adhesiva, que se mantendrá durante la ejecución de la obra; no incluye posterior retirada, recogida y carga sobre contenedor</t>
  </si>
  <si>
    <t xml:space="preserve">ma-lp-00006257</t>
  </si>
  <si>
    <t xml:space="preserve">Material</t>
  </si>
  <si>
    <t xml:space="preserve">und</t>
  </si>
  <si>
    <t xml:space="preserve">Tablero MDF 2440x1220x10 mm   Ref. lp-00006257</t>
  </si>
  <si>
    <t xml:space="preserve">ma-lp-00007667</t>
  </si>
  <si>
    <t xml:space="preserve">Material</t>
  </si>
  <si>
    <t xml:space="preserve">und</t>
  </si>
  <si>
    <t xml:space="preserve">Plástico cubretodo grueso MIARCO; 4x5 m/und   Ref. lp-00007667</t>
  </si>
  <si>
    <t xml:space="preserve">ma-lp-00139017</t>
  </si>
  <si>
    <t xml:space="preserve">Material</t>
  </si>
  <si>
    <t xml:space="preserve">rollo</t>
  </si>
  <si>
    <t xml:space="preserve">Cartón ondulado (50x0,90 m/rollo)   Ref. lp-00139017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</si>
  <si>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</si>
  <si>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</si>
  <si>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</si>
  <si>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</si>
  <si>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</si>
  <si>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</si>
  <si>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</si>
  <si>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</si>
  <si>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</si>
  <si>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</si>
  <si>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</si>
  <si>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</si>
  <si>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</si>
  <si>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</si>
  <si>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</si>
  <si>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</si>
  <si>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</si>
  <si>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</si>
  <si>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</si>
  <si>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</si>
  <si>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</si>
  <si>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</si>
  <si>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</si>
  <si>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</si>
  <si>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PRE002</t>
  </si>
  <si>
    <t xml:space="preserve">PRE003</t>
  </si>
  <si>
    <t xml:space="preserve">Partida</t>
  </si>
  <si>
    <t xml:space="preserve">PAR</t>
  </si>
  <si>
    <t xml:space="preserve">o TRASLADO DE MOBILIARIO Y/O PLANTAS</t>
  </si>
  <si>
    <t xml:space="preserve">Traslado de mobiliario dentro del predio de la ejecución de la obra, mediante carretilla y/o transpaleta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</si>
  <si>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</si>
  <si>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</si>
  <si>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</si>
  <si>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</si>
  <si>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</si>
  <si>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</si>
  <si>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</si>
  <si>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</si>
  <si>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</si>
  <si>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</si>
  <si>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</si>
  <si>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</si>
  <si>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</si>
  <si>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</si>
  <si>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</si>
  <si>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</si>
  <si>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</si>
  <si>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</si>
  <si>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</si>
  <si>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</si>
  <si>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PRE003</t>
  </si>
  <si>
    <t xml:space="preserve">PRE004</t>
  </si>
  <si>
    <t xml:space="preserve">Partida</t>
  </si>
  <si>
    <t xml:space="preserve">m2</t>
  </si>
  <si>
    <t xml:space="preserve">o PROTECCIÓN DE VENTANAS EN ÁREAS EXTERIORES DEL EDIFICIO DURANTE LA EJECUCIÓN DE LA OBRA MEDIANTE EL USO DE MEDIO SUSPENDIDO/COLGADO</t>
  </si>
  <si>
    <t xml:space="preserve">Protección de ventanas en el exterior de edificios mediante cubrición con lámina plástica, cartón corrugado y cinta adhesiva, que se mantendrá durante la ejecución de la obra; no incluye posterior retirada, recogida y carga sobre contenedor</t>
  </si>
  <si>
    <t xml:space="preserve">ma-lp-00006257</t>
  </si>
  <si>
    <t xml:space="preserve">Material</t>
  </si>
  <si>
    <t xml:space="preserve">und</t>
  </si>
  <si>
    <t xml:space="preserve">Tablero MDF 2440x1220x10 mm   Ref. lp-00006257</t>
  </si>
  <si>
    <t xml:space="preserve">ma-lp-00139017</t>
  </si>
  <si>
    <t xml:space="preserve">Material</t>
  </si>
  <si>
    <t xml:space="preserve">rollo</t>
  </si>
  <si>
    <t xml:space="preserve">Cartón ondulado (50x0,90 m/rollo)   Ref. lp-00139017</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</si>
  <si>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</si>
  <si>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</si>
  <si>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</si>
  <si>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</si>
  <si>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</si>
  <si>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</si>
  <si>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</si>
  <si>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</si>
  <si>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</si>
  <si>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</si>
  <si>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</si>
  <si>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</si>
  <si>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</si>
  <si>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</si>
  <si>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</si>
  <si>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</si>
  <si>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</si>
  <si>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</si>
  <si>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</si>
  <si>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</si>
  <si>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</si>
  <si>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</si>
  <si>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</si>
  <si>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</si>
  <si>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</si>
  <si>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</si>
  <si>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</si>
  <si>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</si>
  <si>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PRE004</t>
  </si>
  <si>
    <t xml:space="preserve">PRE005</t>
  </si>
  <si>
    <t xml:space="preserve">Partida</t>
  </si>
  <si>
    <t xml:space="preserve">M2</t>
  </si>
  <si>
    <t xml:space="preserve">o LIMPIEZA DE PARAMENTO DE FACHADA CON DETERGENTE O SALFUMAN</t>
  </si>
  <si>
    <t xml:space="preserve">Limpieza manual de paramento de fachada con presencia de suciedad, grasas o polvo mediante la aplicación de detergente alcalino o acido, con un rendimiento de 0,2 l/m² y aclarado posterior de la superficie con abundante agua limpia hasta eliminar los residuos del producto aplicado.</t>
  </si>
  <si>
    <t xml:space="preserve">ma-lp-00394142</t>
  </si>
  <si>
    <t xml:space="preserve">Material</t>
  </si>
  <si>
    <t xml:space="preserve">envase</t>
  </si>
  <si>
    <t xml:space="preserve">Detergente neutro concentrado para limpieza y mantenimiento FILACLEANER (1 litro/envase).   Ref. lp-00394142</t>
  </si>
  <si>
    <t xml:space="preserve">ma-lp-00557771</t>
  </si>
  <si>
    <t xml:space="preserve">Material</t>
  </si>
  <si>
    <t xml:space="preserve">ud</t>
  </si>
  <si>
    <t xml:space="preserve">Salfuman 5 L (aguafuerte)</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</si>
  <si>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</si>
  <si>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</si>
  <si>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</si>
  <si>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</si>
  <si>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</si>
  <si>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</si>
  <si>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</si>
  <si>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</si>
  <si>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</si>
  <si>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</si>
  <si>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</si>
  <si>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</si>
  <si>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</si>
  <si>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</si>
  <si>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</si>
  <si>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</si>
  <si>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</si>
  <si>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</si>
  <si>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</si>
  <si>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</si>
  <si>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</si>
  <si>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</si>
  <si>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</si>
  <si>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</si>
  <si>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PRE005</t>
  </si>
  <si>
    <t xml:space="preserve">PRE006</t>
  </si>
  <si>
    <t xml:space="preserve">Partida</t>
  </si>
  <si>
    <t xml:space="preserve">M2</t>
  </si>
  <si>
    <t xml:space="preserve">o LIMPIEZA DE PAVIMENTO CERAMICO</t>
  </si>
  <si>
    <t xml:space="preserve">Limpieza de pavimento cerámico de baldosín catalán en estado de conservación regular, eliminando manchas, sales, eflorescencias salinas y microorganismos, mediante el vertido sobre la superficie de una disolución acuosa de ácido acético y cepillado.</t>
  </si>
  <si>
    <t xml:space="preserve">ma-pequinsa-acido.acetico-5</t>
  </si>
  <si>
    <t xml:space="preserve">Material</t>
  </si>
  <si>
    <t xml:space="preserve">envase</t>
  </si>
  <si>
    <t xml:space="preserve">Ácido acético en solución al 80% de PEQUINSA (5 litros/envase).   Ref. pequinsa-acido.acetico-5</t>
  </si>
  <si>
    <t xml:space="preserve">ma-lp-00394142</t>
  </si>
  <si>
    <t xml:space="preserve">Material</t>
  </si>
  <si>
    <t xml:space="preserve">envase</t>
  </si>
  <si>
    <t xml:space="preserve">Detergente neutro concentrado para limpieza y mantenimiento FILACLEANER (1 litro/envase).   Ref. lp-00394142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</si>
  <si>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</si>
  <si>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</si>
  <si>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</si>
  <si>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</si>
  <si>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</si>
  <si>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</si>
  <si>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</si>
  <si>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</si>
  <si>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</si>
  <si>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</si>
  <si>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</si>
  <si>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</si>
  <si>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</si>
  <si>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</si>
  <si>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</si>
  <si>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</si>
  <si>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</si>
  <si>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PRE006</t>
  </si>
  <si>
    <t xml:space="preserve">PRE007</t>
  </si>
  <si>
    <t xml:space="preserve">Partida</t>
  </si>
  <si>
    <t xml:space="preserve">M2</t>
  </si>
  <si>
    <t xml:space="preserve">o LIMPIEZA DE PARAMENTO DE FACHADA CON FUGNICIDA</t>
  </si>
  <si>
    <t xml:space="preserve">Limpieza química de fachada de fábrica de ladrillos cerámicos cara vista en estado de conservación regular, mediante la aplicación con cepillo de lejía con un 10% de agua, aclarado con lanza de agua a presión, aplicación con brocha de la imprimación fungicida, y limpieza final con lanza de agua a presión, a fin de eliminar hongos, algas y mohos; considerando un grado de complejidad medio.</t>
  </si>
  <si>
    <t xml:space="preserve">ma-pinturas.es-01</t>
  </si>
  <si>
    <t xml:space="preserve">Material</t>
  </si>
  <si>
    <t xml:space="preserve">envase</t>
  </si>
  <si>
    <t xml:space="preserve">Líquido imprimador-saneador de fachadas con alguicida y fungicida (5 litros/envase).   Ref. pinturas.es-01</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</si>
  <si>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</si>
  <si>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</si>
  <si>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</si>
  <si>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</si>
  <si>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</si>
  <si>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</si>
  <si>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</si>
  <si>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</si>
  <si>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</si>
  <si>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</si>
  <si>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</si>
  <si>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</si>
  <si>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</si>
  <si>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</si>
  <si>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</si>
  <si>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</si>
  <si>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</si>
  <si>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</si>
  <si>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</si>
  <si>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</si>
  <si>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</si>
  <si>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</si>
  <si>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</si>
  <si>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</si>
  <si>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PRE007</t>
  </si>
  <si>
    <t xml:space="preserve">PRE008</t>
  </si>
  <si>
    <t xml:space="preserve">Partida</t>
  </si>
  <si>
    <t xml:space="preserve">M2</t>
  </si>
  <si>
    <t xml:space="preserve">o LIMPIEZA DE PARAMENTO DE FACHADA CON FAKOLITH FK-12</t>
  </si>
  <si>
    <t xml:space="preserve">Limpieza de enfoscado y revoco de estuco de cal de todo el  cerramiento vertical de fachada principal, con medios mecánicos, mediante proyección de agua a presión controlada con máquina hidrolimpiadora y producto desincrustante neutro tipo FK-12 (Fakolith) sin afectar el color ni la textura de los elementos, dejando toda la superficie exenta de suciedades e impurezas.</t>
  </si>
  <si>
    <t xml:space="preserve">ma-pintam-01</t>
  </si>
  <si>
    <t xml:space="preserve">Material</t>
  </si>
  <si>
    <t xml:space="preserve">envase</t>
  </si>
  <si>
    <t xml:space="preserve">Limpiador FAKOLITH FK-12 para daños de Humedad+Salitre+Moho+Verdín (5 litros/envase).   Ref pintam-01</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</si>
  <si>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</si>
  <si>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</si>
  <si>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</si>
  <si>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</si>
  <si>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</si>
  <si>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</si>
  <si>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</si>
  <si>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</si>
  <si>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</si>
  <si>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</si>
  <si>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</si>
  <si>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</si>
  <si>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</si>
  <si>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</si>
  <si>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</si>
  <si>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</si>
  <si>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</si>
  <si>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</si>
  <si>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</si>
  <si>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</si>
  <si>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</si>
  <si>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PRE008</t>
  </si>
  <si>
    <t xml:space="preserve">PRE009</t>
  </si>
  <si>
    <t xml:space="preserve">Partida</t>
  </si>
  <si>
    <t xml:space="preserve">M2</t>
  </si>
  <si>
    <t xml:space="preserve">o LIMPIEZA DE PIEDRA NATURAL EN FACHADA CON KEIM</t>
  </si>
  <si>
    <t xml:space="preserve">Limpieza de las superficies con detergente líquido biodegradable, con producto específico para superficies de piedra naturaleza, hormigón u obra vista, tipo KEIM LIMPIADOR DE PIEDRA, con una proporción de 1:10 partes de agua, recomendado por fabricante y adaptante la disolución a las necesidades del paramento. Este detergente es adecuado para limpiar grasas, aceites y polución. Se aplicará con pincel. Posteriormente, las zonas tratadas se limpiarán con agua a presión, de abajo a arriba, finalmente las superficies así limpiadas se aclararán posteriormente con agua.</t>
  </si>
  <si>
    <t xml:space="preserve">ma-altermat-01330LP</t>
  </si>
  <si>
    <t xml:space="preserve">Material</t>
  </si>
  <si>
    <t xml:space="preserve">bidón</t>
  </si>
  <si>
    <t xml:space="preserve">Limpiador de piedra natural STEINREINIGER-N de KEIM (10 kg/bidón).   Ref. altermat-01330LP</t>
  </si>
  <si>
    <t xml:space="preserve">alq-vaporeta-mh-01</t>
  </si>
  <si>
    <t xml:space="preserve">Maquinaria</t>
  </si>
  <si>
    <t xml:space="preserve">h</t>
  </si>
  <si>
    <t xml:space="preserve">Alquiler de Equipo Eléctrico Limpiador a Vapor (Vaporeta).   Ref. MIL HERRAMIENTAS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</si>
  <si>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</si>
  <si>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</si>
  <si>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</si>
  <si>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</si>
  <si>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</si>
  <si>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</si>
  <si>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</si>
  <si>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</si>
  <si>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</si>
  <si>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</si>
  <si>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</si>
  <si>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</si>
  <si>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</si>
  <si>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</si>
  <si>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</si>
  <si>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</si>
  <si>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</si>
  <si>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PRE009</t>
  </si>
  <si>
    <t xml:space="preserve">PRE010</t>
  </si>
  <si>
    <t xml:space="preserve">Partida</t>
  </si>
  <si>
    <t xml:space="preserve">M2</t>
  </si>
  <si>
    <t xml:space="preserve">o LIMPIEZA MECANICA DE FACHADA CON PROYECCION  DE CHORRO ABRASIVO</t>
  </si>
  <si>
    <t xml:space="preserve">Limpieza mecánica de fachada de mampostería en estado de conservación regular, mediante proyección controlada de chorro de abrasivo seco (silicato de aluminio), considerando un grado de complejidad medio.</t>
  </si>
  <si>
    <t xml:space="preserve">ma-jomafa-9997</t>
  </si>
  <si>
    <t xml:space="preserve">Material</t>
  </si>
  <si>
    <t xml:space="preserve">saco</t>
  </si>
  <si>
    <t xml:space="preserve">Silicato de Aluminio RUGOS 2000; grano 50/80 y medida 0,10-0,50 (25 kg/saco).   Ref. jomafa-9997</t>
  </si>
  <si>
    <t xml:space="preserve">alq-chorreadora-mym-01</t>
  </si>
  <si>
    <t xml:space="preserve">Maquinaria</t>
  </si>
  <si>
    <t xml:space="preserve">h</t>
  </si>
  <si>
    <t xml:space="preserve">Alquiler de Equipo Arenador Chorro de Arena.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</si>
  <si>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</si>
  <si>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</si>
  <si>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</si>
  <si>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</si>
  <si>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</si>
  <si>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</si>
  <si>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</si>
  <si>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</si>
  <si>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</si>
  <si>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</si>
  <si>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</si>
  <si>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</si>
  <si>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</si>
  <si>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</si>
  <si>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</si>
  <si>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</si>
  <si>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</si>
  <si>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</si>
  <si>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</si>
  <si>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</si>
  <si>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</si>
  <si>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</si>
  <si>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</si>
  <si>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</si>
  <si>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PRE010</t>
  </si>
  <si>
    <t xml:space="preserve">PRE010TV</t>
  </si>
  <si>
    <t xml:space="preserve">Partida</t>
  </si>
  <si>
    <t xml:space="preserve">M2</t>
  </si>
  <si>
    <t xml:space="preserve">o LIMPIEZA MECANICA DE FACHADA CON PROYECCION  DE CHORRO ABRASIVO C/TRABAJOS VERTICALES</t>
  </si>
  <si>
    <t xml:space="preserve">LIMPIEZA MECANICA DE PARAMENTO VERTICAL DE FACHADA CON PROYECCION DE CHORRO ABRASIVO (SILICATO DE ALUMINIO), MEDIANTE EL USO DE MEDIO SUSPENDIDO/COLGADO</t>
  </si>
  <si>
    <t xml:space="preserve">ma-jomafa-9997</t>
  </si>
  <si>
    <t xml:space="preserve">Material</t>
  </si>
  <si>
    <t xml:space="preserve">saco</t>
  </si>
  <si>
    <t xml:space="preserve">Silicato de Aluminio RUGOS 2000; grano 50/80 y medida 0,10-0,50 (25 kg/saco).   Ref. jomafa-9997</t>
  </si>
  <si>
    <t xml:space="preserve">alq-chorreadora-mym-01</t>
  </si>
  <si>
    <t xml:space="preserve">Maquinaria</t>
  </si>
  <si>
    <t xml:space="preserve">h</t>
  </si>
  <si>
    <t xml:space="preserve">Alquiler de Equipo Arenador Chorro de Arena.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</si>
  <si>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</si>
  <si>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</si>
  <si>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</si>
  <si>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</si>
  <si>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</si>
  <si>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</si>
  <si>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</si>
  <si>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</si>
  <si>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</si>
  <si>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</si>
  <si>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</si>
  <si>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</si>
  <si>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</si>
  <si>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</si>
  <si>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</si>
  <si>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</si>
  <si>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</si>
  <si>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</si>
  <si>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</si>
  <si>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</si>
  <si>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</si>
  <si>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</si>
  <si>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</si>
  <si>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</si>
  <si>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PRE010TV</t>
  </si>
  <si>
    <t xml:space="preserve">PRE011</t>
  </si>
  <si>
    <t xml:space="preserve">Partida</t>
  </si>
  <si>
    <t xml:space="preserve">U</t>
  </si>
  <si>
    <t xml:space="preserve">o PROTECCIÓN DE FAROLAS FIJADAS A PARAMENTOS</t>
  </si>
  <si>
    <t xml:space="preserve">Suministro y colocación de protección durante la ejecución de obra de farolas murales fijadas a paramentos verticales de fachada.</t>
  </si>
  <si>
    <t xml:space="preserve">ma-lp-00535305</t>
  </si>
  <si>
    <t xml:space="preserve">Material</t>
  </si>
  <si>
    <t xml:space="preserve">und</t>
  </si>
  <si>
    <t xml:space="preserve">Toldo multiusos PROTEX; 2x3 m   Ref. lp-00535305</t>
  </si>
  <si>
    <t xml:space="preserve">ma-lp-00534911</t>
  </si>
  <si>
    <t xml:space="preserve">Material</t>
  </si>
  <si>
    <t xml:space="preserve">rollo</t>
  </si>
  <si>
    <t xml:space="preserve">Cinta pintor KREPP 36 mm (45 m/rollo).   Ref. lp-00534911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</si>
  <si>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</si>
  <si>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</si>
  <si>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</si>
  <si>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</si>
  <si>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</si>
  <si>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</si>
  <si>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</si>
  <si>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</si>
  <si>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</si>
  <si>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</si>
  <si>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</si>
  <si>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</si>
  <si>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</si>
  <si>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</si>
  <si>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</si>
  <si>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</si>
  <si>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</si>
  <si>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</si>
  <si>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</si>
  <si>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</si>
  <si>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PRE011</t>
  </si>
  <si>
    <t xml:space="preserve">PRE012</t>
  </si>
  <si>
    <t xml:space="preserve">Partida</t>
  </si>
  <si>
    <t xml:space="preserve">M2</t>
  </si>
  <si>
    <t xml:space="preserve">o APEO DE FORJADO</t>
  </si>
  <si>
    <t xml:space="preserve">Montaje y desmontaje de apeo de forjado horizontal y voladizo, con altura libre de planta de hasta 3 m, compuesto por 4 puntales metálicos telescópicos y tablones de madera.</t>
  </si>
  <si>
    <t xml:space="preserve">00019465</t>
  </si>
  <si>
    <t xml:space="preserve">Material</t>
  </si>
  <si>
    <t xml:space="preserve">u</t>
  </si>
  <si>
    <t xml:space="preserve">PUNTAL P3N 1,6X3 M Ref.: 00019465</t>
  </si>
  <si>
    <t xml:space="preserve">00222965</t>
  </si>
  <si>
    <t xml:space="preserve">Material</t>
  </si>
  <si>
    <t xml:space="preserve">u</t>
  </si>
  <si>
    <t xml:space="preserve">TABLERO ENCOFRAR TRICAPA 1970X500X27 MM Ref.: 00222965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</si>
  <si>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</si>
  <si>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</si>
  <si>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</si>
  <si>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</si>
  <si>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</si>
  <si>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</si>
  <si>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</si>
  <si>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</si>
  <si>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</si>
  <si>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</si>
  <si>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</si>
  <si>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</si>
  <si>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</si>
  <si>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</si>
  <si>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</si>
  <si>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</si>
  <si>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</si>
  <si>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PRE012</t>
  </si>
  <si>
    <t xml:space="preserve">PRE013</t>
  </si>
  <si>
    <t xml:space="preserve">Partida</t>
  </si>
  <si>
    <t xml:space="preserve">U</t>
  </si>
  <si>
    <t xml:space="preserve">o APUNTALAMIENTO DE VIGAS</t>
  </si>
  <si>
    <t xml:space="preserve">Montaje y desmontaje de puntales en vigas horizontales de madera en mal estado situada a una altura de mas de 3 m de altura, compuesto por 5 puntales metálicos telescópicos y tablones de madera.</t>
  </si>
  <si>
    <t xml:space="preserve">ma-lp-00222965</t>
  </si>
  <si>
    <t xml:space="preserve">Material</t>
  </si>
  <si>
    <t xml:space="preserve">und</t>
  </si>
  <si>
    <t xml:space="preserve">Tablero de encofrar tricapa de madera de abeto 1970x500x27 mm   Ref. lp-00222965</t>
  </si>
  <si>
    <t xml:space="preserve">ma-lp-00019466</t>
  </si>
  <si>
    <t xml:space="preserve">Material</t>
  </si>
  <si>
    <t xml:space="preserve">und</t>
  </si>
  <si>
    <t xml:space="preserve">Puntal metálico telescópico P4N; 4 m Ø 48x2 / Ø 40x2   Ref. lp-00019466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</si>
  <si>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</si>
  <si>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</si>
  <si>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</si>
  <si>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</si>
  <si>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</si>
  <si>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</si>
  <si>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</si>
  <si>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</si>
  <si>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</si>
  <si>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</si>
  <si>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</si>
  <si>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</si>
  <si>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</si>
  <si>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</si>
  <si>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</si>
  <si>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</si>
  <si>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</si>
  <si>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PRE013</t>
  </si>
  <si>
    <t xml:space="preserve">PRE014</t>
  </si>
  <si>
    <t xml:space="preserve">Partida</t>
  </si>
  <si>
    <t xml:space="preserve">U</t>
  </si>
  <si>
    <t xml:space="preserve">o DESMONTAJE Y POSTERIOR MONTAJE DE EQUIPO DE AIRE ACONDICIONADO</t>
  </si>
  <si>
    <t xml:space="preserve">Desmontaje y posterior montaje de las unidades exteriores del sistema de aire acondicionado, con medios manuales (incluye los accesorios y soportes de fijación). Acopiarlos. Montarlos, una vez realizado los trabajos situandolos en el mismo lugar. (No se incluye la reposicion de Gas frigorifico). Previa la retirada se comprobará por parte de la empresa constructora su correcto funcionamiento. Éstas se darán a los diferentes propietarios para que las almacenen hasta la finalización de las obras.</t>
  </si>
  <si>
    <t xml:space="preserve">ma-lm-87272580</t>
  </si>
  <si>
    <t xml:space="preserve">Material</t>
  </si>
  <si>
    <t xml:space="preserve">envase</t>
  </si>
  <si>
    <t xml:space="preserve">Gas refrigerante orgánico GASICA V2 (226 gr/envase).   Ref. lm-87272580</t>
  </si>
  <si>
    <t xml:space="preserve">ma-lp-00016978</t>
  </si>
  <si>
    <t xml:space="preserve">Material</t>
  </si>
  <si>
    <t xml:space="preserve">envase</t>
  </si>
  <si>
    <t xml:space="preserve">Aflojatodo en Spray WD-40 (200 ml/envase).   Ref. lp-00016978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</si>
  <si>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</si>
  <si>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</si>
  <si>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</si>
  <si>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</si>
  <si>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</si>
  <si>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</si>
  <si>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</si>
  <si>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</si>
  <si>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</si>
  <si>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</si>
  <si>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</si>
  <si>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</si>
  <si>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</si>
  <si>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</si>
  <si>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</si>
  <si>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</si>
  <si>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</si>
  <si>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PRE014</t>
  </si>
  <si>
    <t xml:space="preserve">PRE015</t>
  </si>
  <si>
    <t xml:space="preserve">Partida</t>
  </si>
  <si>
    <t xml:space="preserve">M</t>
  </si>
  <si>
    <t xml:space="preserve">o ENMALLADO DE BALCONES</t>
  </si>
  <si>
    <t xml:space="preserve">Suministro y colocación de redes anti-desprendimientos en cantos de forjado, mediante red de protección, en color verde. Fijada en techo de balcon y atadas a parte inferior de barandillas. Incluido los complementos necesarios para su fijación, clips para mallas, cuerdas de unión, bridas, y tacos con arandela plástica.</t>
  </si>
  <si>
    <t xml:space="preserve">ma-lp-00225436</t>
  </si>
  <si>
    <t xml:space="preserve">Material</t>
  </si>
  <si>
    <t xml:space="preserve">caja</t>
  </si>
  <si>
    <t xml:space="preserve">Taco con plato de 60 mm para fijación mecánica de placa aislante; medidas: 10x110 mm (200 pzas/caja).   Ref. lp-00225436</t>
  </si>
  <si>
    <t xml:space="preserve">ma-lp-00112954</t>
  </si>
  <si>
    <t xml:space="preserve">Material</t>
  </si>
  <si>
    <t xml:space="preserve">und</t>
  </si>
  <si>
    <t xml:space="preserve">Malla para protección de fachadas verde/negro 6x20 m  Ref.: lp-00112954</t>
  </si>
  <si>
    <t xml:space="preserve">ma-lp-00514905</t>
  </si>
  <si>
    <t xml:space="preserve">Material</t>
  </si>
  <si>
    <t xml:space="preserve">bolsa</t>
  </si>
  <si>
    <t xml:space="preserve">Bridas plásticas 300x4,8 mm (100 pzas/bolsa)   Ref. lp-00514905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</si>
  <si>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</si>
  <si>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</si>
  <si>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</si>
  <si>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</si>
  <si>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</si>
  <si>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</si>
  <si>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</si>
  <si>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</si>
  <si>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</si>
  <si>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</si>
  <si>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</si>
  <si>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</si>
  <si>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</si>
  <si>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</si>
  <si>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</si>
  <si>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</si>
  <si>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</si>
  <si>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PRE015</t>
  </si>
  <si>
    <t xml:space="preserve">PRE016</t>
  </si>
  <si>
    <t xml:space="preserve">Partida</t>
  </si>
  <si>
    <t xml:space="preserve">PAR</t>
  </si>
  <si>
    <t xml:space="preserve">o DESMONTAJE Y POSTERIOR MONTAJE DE PLACAS DE CLARABOIA</t>
  </si>
  <si>
    <t xml:space="preserve">Desmontaje y posterior montaje de placas de policarbonato y/o cristal para la correcta ejecucion de los trabajos, con medios manuales, sin afectar a la estabilidad de la estructura. 
Nota: Las placas, pueden sufrir daños por el tiempo de vida del mismo material, en dicho caso estos suministros y trabajos se presupuestaran aparte.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</si>
  <si>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</si>
  <si>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</si>
  <si>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</si>
  <si>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</si>
  <si>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</si>
  <si>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</si>
  <si>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</si>
  <si>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</si>
  <si>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</si>
  <si>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</si>
  <si>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</si>
  <si>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</si>
  <si>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</si>
  <si>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</si>
  <si>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</si>
  <si>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</si>
  <si>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</si>
  <si>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PRE016</t>
  </si>
  <si>
    <t xml:space="preserve">PRE017</t>
  </si>
  <si>
    <t xml:space="preserve">Partida</t>
  </si>
  <si>
    <t xml:space="preserve">U</t>
  </si>
  <si>
    <t xml:space="preserve">o TOMAS DE SERVICIOS DE LUZ Y AGUA REQUERIDOS DURANTE LA EJECUCIÓN DE LA OBRA</t>
  </si>
  <si>
    <t xml:space="preserve">Tomas de servicios de luz y agua requeridos durante la ejecución de la obra</t>
  </si>
  <si>
    <t xml:space="preserve">ma-lp-00532429</t>
  </si>
  <si>
    <t xml:space="preserve">Material</t>
  </si>
  <si>
    <t xml:space="preserve">rollo</t>
  </si>
  <si>
    <t xml:space="preserve">Manguera BIGMAT 25x25 1” y 7 bar (25 m/rollo).   Ref. lp-00532429</t>
  </si>
  <si>
    <t xml:space="preserve">ma-bm-10893295</t>
  </si>
  <si>
    <t xml:space="preserve">Material</t>
  </si>
  <si>
    <t xml:space="preserve">cubo</t>
  </si>
  <si>
    <t xml:space="preserve">Cubo de basura de polipropileno con tapa; color negro de UNIVERSAL (100 litros/cubo).   Ref. bm-10893295</t>
  </si>
  <si>
    <t xml:space="preserve">ma-lp-00535168</t>
  </si>
  <si>
    <t xml:space="preserve">Material</t>
  </si>
  <si>
    <t xml:space="preserve">pza</t>
  </si>
  <si>
    <t xml:space="preserve">Racor acople de AQUA 19 mm para prolongación de manguera.   Ref. lp-00535168</t>
  </si>
  <si>
    <t xml:space="preserve">ma-lp-00254198</t>
  </si>
  <si>
    <t xml:space="preserve">Material</t>
  </si>
  <si>
    <t xml:space="preserve">pza</t>
  </si>
  <si>
    <t xml:space="preserve">Pistola de riego ECO con control de caudal y multijet 7 posiciones.   Ref. lp-00254198</t>
  </si>
  <si>
    <t xml:space="preserve">ma-lp-00010889</t>
  </si>
  <si>
    <t xml:space="preserve">Material</t>
  </si>
  <si>
    <t xml:space="preserve">rollo</t>
  </si>
  <si>
    <t xml:space="preserve">Cinta Teflón PTFE de GYMCOL 25 mm (25 m/rollo).   Ref. lp-00010889</t>
  </si>
  <si>
    <t xml:space="preserve">ma-lp-00261116</t>
  </si>
  <si>
    <t xml:space="preserve">Material</t>
  </si>
  <si>
    <t xml:space="preserve">m</t>
  </si>
  <si>
    <t xml:space="preserve">Manguera flexible PVC H05VV-F 3G2,5 CPR de RCT.   Ref. lp-00261116</t>
  </si>
  <si>
    <t xml:space="preserve">ma-lp-00013301</t>
  </si>
  <si>
    <t xml:space="preserve">Material</t>
  </si>
  <si>
    <t xml:space="preserve">pza</t>
  </si>
  <si>
    <t xml:space="preserve">Base 4 tomas 2P+TTL 10-16 A 250 V; color blanco.   Ref. lp-00013301</t>
  </si>
  <si>
    <t xml:space="preserve">ma-lp-00532380</t>
  </si>
  <si>
    <t xml:space="preserve">Material</t>
  </si>
  <si>
    <t xml:space="preserve">rollo</t>
  </si>
  <si>
    <t xml:space="preserve">Cinta aislante vulcanizada; color negro (19 mm x 9,15 m/rollo).   Ref. lp-00532380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</si>
  <si>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</si>
  <si>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</si>
  <si>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</si>
  <si>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</si>
  <si>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</si>
  <si>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</si>
  <si>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</si>
  <si>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</si>
  <si>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</si>
  <si>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</si>
  <si>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</si>
  <si>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</si>
  <si>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</si>
  <si>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</si>
  <si>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</si>
  <si>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</si>
  <si>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</si>
  <si>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</si>
  <si>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</si>
  <si>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</si>
  <si>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PRE017</t>
  </si>
  <si>
    <t xml:space="preserve">PRE018</t>
  </si>
  <si>
    <t xml:space="preserve">Partida</t>
  </si>
  <si>
    <t xml:space="preserve">m</t>
  </si>
  <si>
    <t xml:space="preserve">o TRATAMIENTO LINEAL CURATIVO Y PREVENTIVO ANTIMOHO Y FUNGUCIDA EN ELEMENTOS DE MADERA (ancho &lt;= 30 cm)</t>
  </si>
  <si>
    <t xml:space="preserve">TRATAMIENTO LINEAL CURATIVO Y PREVENTIVO ANTIMOHO Y FUNGUCIDA EN ELEMENTOS DE MADERA (ancho &lt;= 30 cm)</t>
  </si>
  <si>
    <t xml:space="preserve">ma-pintam-01</t>
  </si>
  <si>
    <t xml:space="preserve">Material</t>
  </si>
  <si>
    <t xml:space="preserve">envase</t>
  </si>
  <si>
    <t xml:space="preserve">Limpiador FAKOLITH FK-12 para daños de Humedad+Salitre+Moho+Verdín (5 litros/envase).   Ref pintam-01</t>
  </si>
  <si>
    <t xml:space="preserve">ma-pinturas.es-01</t>
  </si>
  <si>
    <t xml:space="preserve">Material</t>
  </si>
  <si>
    <t xml:space="preserve">envase</t>
  </si>
  <si>
    <t xml:space="preserve">Líquido imprimador-saneador de fachadas con alguicida y fungicida (5 litros/envase).   Ref. pinturas.es-01</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</si>
  <si>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</si>
  <si>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</si>
  <si>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</si>
  <si>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</si>
  <si>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</si>
  <si>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</si>
  <si>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</si>
  <si>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</si>
  <si>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</si>
  <si>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</si>
  <si>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</si>
  <si>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</si>
  <si>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</si>
  <si>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</si>
  <si>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</si>
  <si>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</si>
  <si>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</si>
  <si>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</si>
  <si>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</si>
  <si>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</si>
  <si>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</si>
  <si>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</si>
  <si>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</si>
  <si>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</si>
  <si>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PRE018</t>
  </si>
  <si>
    <t xml:space="preserve">PRE019</t>
  </si>
  <si>
    <t xml:space="preserve">Partida</t>
  </si>
  <si>
    <t xml:space="preserve">PAR</t>
  </si>
  <si>
    <t xml:space="preserve">o CATA DE INSPECCION EN PAVIMENTO</t>
  </si>
  <si>
    <t xml:space="preserve">Apertura de cata para la correcta ejecución de la inspeccion en pavimento, realizado con medios manuales. Incluye: transporte de residuos inertes, producidos por demolición a vertedero específico. Apertura de acuerdo a las indicaciones de la direccion facultativa.
Segun lo encontrado se presupuestara aparte la solucion y la reposicion de las aperturas realizadas.</t>
  </si>
  <si>
    <t xml:space="preserve">ma-lp-00019688</t>
  </si>
  <si>
    <t xml:space="preserve">Material</t>
  </si>
  <si>
    <t xml:space="preserve">und</t>
  </si>
  <si>
    <t xml:space="preserve">Saco de rafia para materiales y escombros; 50x90 cm    Ref. lp-00019688</t>
  </si>
  <si>
    <t xml:space="preserve">BIGBAG01</t>
  </si>
  <si>
    <t xml:space="preserve">Material</t>
  </si>
  <si>
    <t xml:space="preserve">saco</t>
  </si>
  <si>
    <t xml:space="preserve">Big Bag runa 1m3</t>
  </si>
  <si>
    <t xml:space="preserve">mo-salarial-ayudante</t>
  </si>
  <si>
    <t xml:space="preserve">Mano de obra</t>
  </si>
  <si>
    <t xml:space="preserve">h</t>
  </si>
  <si>
    <t xml:space="preserve">Ayudante</t>
  </si>
  <si>
    <t xml:space="preserve">PRE019</t>
  </si>
  <si>
    <t xml:space="preserve">PRE020</t>
  </si>
  <si>
    <t xml:space="preserve">Partida</t>
  </si>
  <si>
    <t xml:space="preserve">PAR</t>
  </si>
  <si>
    <t xml:space="preserve">o TOMA DE SERVICIO</t>
  </si>
  <si>
    <t xml:space="preserve">Realización de conexión de luz y agua por parte de la empresa constructora a los respectivos servicios de los elementos comunes mediante todos los trabajos y elementos auxiliares necesarios para proveer de luz y agua a los equipos que así lo requieran por la realización de los trabajos descritos en el proyecto.</t>
  </si>
  <si>
    <t xml:space="preserve">ma-lp-00532429</t>
  </si>
  <si>
    <t xml:space="preserve">Material</t>
  </si>
  <si>
    <t xml:space="preserve">rollo</t>
  </si>
  <si>
    <t xml:space="preserve">Manguera BIGMAT 25x25 1” y 7 bar (25 m/rollo).   Ref. lp-00532429</t>
  </si>
  <si>
    <t xml:space="preserve">ma-bm-10893295</t>
  </si>
  <si>
    <t xml:space="preserve">Material</t>
  </si>
  <si>
    <t xml:space="preserve">cubo</t>
  </si>
  <si>
    <t xml:space="preserve">Cubo de basura de polipropileno con tapa; color negro de UNIVERSAL (100 litros/cubo).   Ref. bm-10893295</t>
  </si>
  <si>
    <t xml:space="preserve">ma-lp-00535168</t>
  </si>
  <si>
    <t xml:space="preserve">Material</t>
  </si>
  <si>
    <t xml:space="preserve">pza</t>
  </si>
  <si>
    <t xml:space="preserve">Racor acople de AQUA 19 mm para prolongación de manguera.   Ref. lp-00535168</t>
  </si>
  <si>
    <t xml:space="preserve">ma-lp-00254198</t>
  </si>
  <si>
    <t xml:space="preserve">Material</t>
  </si>
  <si>
    <t xml:space="preserve">pza</t>
  </si>
  <si>
    <t xml:space="preserve">Pistola de riego ECO con control de caudal y multijet 7 posiciones.   Ref. lp-00254198</t>
  </si>
  <si>
    <t xml:space="preserve">ma-lp-00010889</t>
  </si>
  <si>
    <t xml:space="preserve">Material</t>
  </si>
  <si>
    <t xml:space="preserve">rollo</t>
  </si>
  <si>
    <t xml:space="preserve">Cinta Teflón PTFE de GYMCOL 25 mm (25 m/rollo).   Ref. lp-00010889</t>
  </si>
  <si>
    <t xml:space="preserve">ma-lp-00261116</t>
  </si>
  <si>
    <t xml:space="preserve">Material</t>
  </si>
  <si>
    <t xml:space="preserve">m</t>
  </si>
  <si>
    <t xml:space="preserve">Manguera flexible PVC H05VV-F 3G2,5 CPR de RCT.   Ref. lp-00261116</t>
  </si>
  <si>
    <t xml:space="preserve">ma-lp-00013301</t>
  </si>
  <si>
    <t xml:space="preserve">Material</t>
  </si>
  <si>
    <t xml:space="preserve">pza</t>
  </si>
  <si>
    <t xml:space="preserve">Base 4 tomas 2P+TTL 10-16 A 250 V; color blanco.   Ref. lp-00013301</t>
  </si>
  <si>
    <t xml:space="preserve">ma-lp-00532380</t>
  </si>
  <si>
    <t xml:space="preserve">Material</t>
  </si>
  <si>
    <t xml:space="preserve">rollo</t>
  </si>
  <si>
    <t xml:space="preserve">Cinta aislante vulcanizada; color negro (19 mm x 9,15 m/rollo).   Ref. lp-00532380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</si>
  <si>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</si>
  <si>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</si>
  <si>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</si>
  <si>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</si>
  <si>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</si>
  <si>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</si>
  <si>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</si>
  <si>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</si>
  <si>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</si>
  <si>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</si>
  <si>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</si>
  <si>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</si>
  <si>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</si>
  <si>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</si>
  <si>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</si>
  <si>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</si>
  <si>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</si>
  <si>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</si>
  <si>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</si>
  <si>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</si>
  <si>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PRE020</t>
  </si>
  <si>
    <t xml:space="preserve">PRE021</t>
  </si>
  <si>
    <t xml:space="preserve">Partida</t>
  </si>
  <si>
    <t xml:space="preserve">PAR</t>
  </si>
  <si>
    <t xml:space="preserve">o REORDENACION DE CABLEADO EXISTENTE</t>
  </si>
  <si>
    <t xml:space="preserve">Reordenación del cableado existente en fachada principal, retirando aquellos que estén anulados (previa confirmación de la propiedad) y unificando el resto de líneas, desplazándolas por su ordenación dentro de los límites que permita el cableado existente, con abrazaderas de plástico, apretándolas a fachada con grapas específicas para el uso. No se contempla la derivación. Esta partida únicamente incluye el ordenamiento de los cables, en ningún caso reducciones ni ampliaciones ni ningún otro tipo de modificación en dichas instalaciones, de carácter particular.
NOTA: No incluye trabajos a realizar por compañía suministradora en caso necesario por la ejecución de los trabajos.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</si>
  <si>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</si>
  <si>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</si>
  <si>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</si>
  <si>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</si>
  <si>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</si>
  <si>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</si>
  <si>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</si>
  <si>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</si>
  <si>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</si>
  <si>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</si>
  <si>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</si>
  <si>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</si>
  <si>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</si>
  <si>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</si>
  <si>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</si>
  <si>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</si>
  <si>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</si>
  <si>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PRE021</t>
  </si>
  <si>
    <t xml:space="preserve">PRE022</t>
  </si>
  <si>
    <t xml:space="preserve">Partida</t>
  </si>
  <si>
    <t xml:space="preserve">UD</t>
  </si>
  <si>
    <t xml:space="preserve">o PROTECCION DE TOLDOS EXISTENTES</t>
  </si>
  <si>
    <t xml:space="preserve">Suministro y colocación de láminas de polietileno transparente envolviendo los toldos o cortinas existentes que no se prevén desmontar por la ejecución de los trabajos, fijadas con cinta adhesiva, para protegerlo ante la suciedad y polvo ocasionado por los trabajos de rehabilitación. Incluso posterior retirada de láminas, recogida y carga sobre contenedor.</t>
  </si>
  <si>
    <t xml:space="preserve">ma-lp-00139017</t>
  </si>
  <si>
    <t xml:space="preserve">Material</t>
  </si>
  <si>
    <t xml:space="preserve">rollo</t>
  </si>
  <si>
    <t xml:space="preserve">Cartón ondulado (50x0,90 m/rollo)   Ref. lp-00139017</t>
  </si>
  <si>
    <t xml:space="preserve">ma-lp-00535305</t>
  </si>
  <si>
    <t xml:space="preserve">Material</t>
  </si>
  <si>
    <t xml:space="preserve">und</t>
  </si>
  <si>
    <t xml:space="preserve">Toldo multiusos PROTEX; 2x3 m   Ref. lp-00535305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</si>
  <si>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</si>
  <si>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</si>
  <si>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</si>
  <si>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</si>
  <si>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</si>
  <si>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</si>
  <si>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</si>
  <si>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</si>
  <si>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</si>
  <si>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</si>
  <si>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</si>
  <si>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</si>
  <si>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</si>
  <si>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</si>
  <si>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</si>
  <si>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</si>
  <si>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</si>
  <si>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</si>
  <si>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</si>
  <si>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</si>
  <si>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PRE022</t>
  </si>
  <si>
    <t xml:space="preserve">PRE023</t>
  </si>
  <si>
    <t xml:space="preserve">Partida</t>
  </si>
  <si>
    <t xml:space="preserve">M2</t>
  </si>
  <si>
    <t xml:space="preserve">o LIMPIEZA CON SANEART S DE ARTIC</t>
  </si>
  <si>
    <t xml:space="preserve">Limpieza de enfoscado y revoco de estuco de cal de todo el  cerramiento vertical de fachada principal, con medios mecánicos, mediante proyección de agua a presión controlada con máquina hidrolimpiadora y producto se aplicará producto biocida Saneart S (Artic). Es inhibidor del desarrollo de bacterias grama positivas, grama negativas, virus, liquenes, musgos y algas. Esporicida y miquicida.</t>
  </si>
  <si>
    <t xml:space="preserve">ma-web1</t>
  </si>
  <si>
    <t xml:space="preserve">Material</t>
  </si>
  <si>
    <t xml:space="preserve">ud</t>
  </si>
  <si>
    <t xml:space="preserve">SANEART S biocida Artic de 25L</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</si>
  <si>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</si>
  <si>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</si>
  <si>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</si>
  <si>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</si>
  <si>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</si>
  <si>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</si>
  <si>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</si>
  <si>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</si>
  <si>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</si>
  <si>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</si>
  <si>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</si>
  <si>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</si>
  <si>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</si>
  <si>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</si>
  <si>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</si>
  <si>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</si>
  <si>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</si>
  <si>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</si>
  <si>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</si>
  <si>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</si>
  <si>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</si>
  <si>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PRE023</t>
  </si>
  <si>
    <t xml:space="preserve">PRE024</t>
  </si>
  <si>
    <t xml:space="preserve">Partida</t>
  </si>
  <si>
    <t xml:space="preserve">M2</t>
  </si>
  <si>
    <t xml:space="preserve">o LIMPIEZA DE FACHADA CON DESINCRUSTANTES BIODECAPANTE UNIVERSAL MACS SG-94</t>
  </si>
  <si>
    <t xml:space="preserve">Limpieza sobre paramento vertical de mortero de cal, de polvo, restos orgánicos y biodepósitos-detritus con medios manuales no agresivos e instrumentos desincrustantes Biodecapante Universal libre de hidrocarburos clorados y 100% ecológico tipo MACS SG-94.</t>
  </si>
  <si>
    <t xml:space="preserve">ma-web-1</t>
  </si>
  <si>
    <t xml:space="preserve">Material</t>
  </si>
  <si>
    <t xml:space="preserve">UD</t>
  </si>
  <si>
    <t xml:space="preserve">Desincrustantes Biodecapante  MACS SG-94 de 5L</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</si>
  <si>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</si>
  <si>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</si>
  <si>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</si>
  <si>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</si>
  <si>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</si>
  <si>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</si>
  <si>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</si>
  <si>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</si>
  <si>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</si>
  <si>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</si>
  <si>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</si>
  <si>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</si>
  <si>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</si>
  <si>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</si>
  <si>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</si>
  <si>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</si>
  <si>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</si>
  <si>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</si>
  <si>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</si>
  <si>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</si>
  <si>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</si>
  <si>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PRE024</t>
  </si>
  <si>
    <t xml:space="preserve">PRE025</t>
  </si>
  <si>
    <t xml:space="preserve">Partida</t>
  </si>
  <si>
    <t xml:space="preserve">PAR</t>
  </si>
  <si>
    <t xml:space="preserve">o PROTECCION DE ZONA POR EL PASO DE ANDAMIO</t>
  </si>
  <si>
    <t xml:space="preserve">Protecciones de las paredes, mobiliario, pavimento, etc con cartones, plásticos, etc. Lo necesario para evitar cualquier lesión durante el traslado del andamio por el interior del edificio. Se realizará un reportaje fotográfico del estado actual para garantizar que no exista daños sobrevenidos.</t>
  </si>
  <si>
    <t xml:space="preserve">ma-lp-00139017</t>
  </si>
  <si>
    <t xml:space="preserve">Material</t>
  </si>
  <si>
    <t xml:space="preserve">rollo</t>
  </si>
  <si>
    <t xml:space="preserve">Cartón ondulado (50x0,90 m/rollo)   Ref. lp-00139017</t>
  </si>
  <si>
    <t xml:space="preserve">ma-lp-00534910</t>
  </si>
  <si>
    <t xml:space="preserve">Material</t>
  </si>
  <si>
    <t xml:space="preserve">rollo</t>
  </si>
  <si>
    <t xml:space="preserve">Cinta pintor KREPP 29 mm (45 m/rollo).   Ref. lp-00534910</t>
  </si>
  <si>
    <t xml:space="preserve">ma-lp-00007667</t>
  </si>
  <si>
    <t xml:space="preserve">Material</t>
  </si>
  <si>
    <t xml:space="preserve">und</t>
  </si>
  <si>
    <t xml:space="preserve">Plástico cubretodo grueso MIARCO; 4x5 m/und   Ref. lp-00007667</t>
  </si>
  <si>
    <t xml:space="preserve">ma-lp-00222965</t>
  </si>
  <si>
    <t xml:space="preserve">Material</t>
  </si>
  <si>
    <t xml:space="preserve">und</t>
  </si>
  <si>
    <t xml:space="preserve">Tablero de encofrar tricapa de madera de abeto 1970x500x27 mm   Ref. lp-00222965</t>
  </si>
  <si>
    <t xml:space="preserve">ma-lp-00006257</t>
  </si>
  <si>
    <t xml:space="preserve">Material</t>
  </si>
  <si>
    <t xml:space="preserve">und</t>
  </si>
  <si>
    <t xml:space="preserve">Tablero MDF 2440x1220x10 mm   Ref. lp-00006257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</si>
  <si>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</si>
  <si>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</si>
  <si>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</si>
  <si>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</si>
  <si>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</si>
  <si>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</si>
  <si>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</si>
  <si>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</si>
  <si>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</si>
  <si>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</si>
  <si>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</si>
  <si>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</si>
  <si>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</si>
  <si>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</si>
  <si>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</si>
  <si>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</si>
  <si>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</si>
  <si>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</si>
  <si>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</si>
  <si>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</si>
  <si>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PRE025</t>
  </si>
  <si>
    <t xml:space="preserve">PRE026</t>
  </si>
  <si>
    <t xml:space="preserve">Partida</t>
  </si>
  <si>
    <t xml:space="preserve">UD</t>
  </si>
  <si>
    <t xml:space="preserve">o CLAUSURA DE SALIDA A LOS BALCONES</t>
  </si>
  <si>
    <t xml:space="preserve">Proteccion y/o clausura de las aberturas de acceso a los balcones, tipo balconera, con la colocación de 3º de puntales telescópicos por balconera y hasta 2,00 ml de malla naranja, para evitar el acceso a andamios de personas ajenas a la obra.</t>
  </si>
  <si>
    <t xml:space="preserve">ma-lap-00018624</t>
  </si>
  <si>
    <t xml:space="preserve">Material</t>
  </si>
  <si>
    <t xml:space="preserve">ud</t>
  </si>
  <si>
    <t xml:space="preserve">Malla señalización naranja 1x50m</t>
  </si>
  <si>
    <t xml:space="preserve">00019466</t>
  </si>
  <si>
    <t xml:space="preserve">Material</t>
  </si>
  <si>
    <t xml:space="preserve">u</t>
  </si>
  <si>
    <t xml:space="preserve">PUNTAL P4N 2X4 M Ref.: 00019466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</si>
  <si>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</si>
  <si>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</si>
  <si>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</si>
  <si>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</si>
  <si>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</si>
  <si>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</si>
  <si>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</si>
  <si>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</si>
  <si>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</si>
  <si>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</si>
  <si>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</si>
  <si>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</si>
  <si>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</si>
  <si>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</si>
  <si>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</si>
  <si>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</si>
  <si>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</si>
  <si>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</si>
  <si>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</si>
  <si>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</si>
  <si>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PRE026</t>
  </si>
  <si>
    <t xml:space="preserve">PRE027</t>
  </si>
  <si>
    <t xml:space="preserve">Partida</t>
  </si>
  <si>
    <t xml:space="preserve">M2</t>
  </si>
  <si>
    <t xml:space="preserve">o LIMPIEZA CON HIERBICIDA ( FC )</t>
  </si>
  <si>
    <t xml:space="preserve">LIMPIEZA CON HIERBICIDA</t>
  </si>
  <si>
    <t xml:space="preserve">ma-herbicida-01</t>
  </si>
  <si>
    <t xml:space="preserve">Material</t>
  </si>
  <si>
    <t xml:space="preserve">ud</t>
  </si>
  <si>
    <t xml:space="preserve">Herbicida de 5L</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</si>
  <si>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</si>
  <si>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</si>
  <si>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</si>
  <si>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</si>
  <si>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</si>
  <si>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</si>
  <si>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</si>
  <si>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</si>
  <si>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</si>
  <si>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</si>
  <si>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</si>
  <si>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</si>
  <si>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</si>
  <si>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</si>
  <si>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</si>
  <si>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</si>
  <si>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</si>
  <si>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</si>
  <si>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</si>
  <si>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</si>
  <si>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</si>
  <si>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PRE027</t>
  </si>
  <si>
    <t xml:space="preserve">AND001</t>
  </si>
  <si>
    <t xml:space="preserve">Partida</t>
  </si>
  <si>
    <t xml:space="preserve">M2</t>
  </si>
  <si>
    <t xml:space="preserve">o ANDAMIO EN FACHADA</t>
  </si>
  <si>
    <t xml:space="preserve">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</si>
  <si>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 xml:space="preserve">alq-andamio/m2-fijo</t>
  </si>
  <si>
    <t xml:space="preserve">Maquinaria</t>
  </si>
  <si>
    <t xml:space="preserve">m2</t>
  </si>
  <si>
    <t xml:space="preserve">Alquiler de Sistema de Andamios Tubulares Metálicos Fijos con Bases Regulables; incluye Montaje, Desmontaje y Transportes Asociados.</t>
  </si>
  <si>
    <t xml:space="preserve">ma-lp-00112954</t>
  </si>
  <si>
    <t xml:space="preserve">Material</t>
  </si>
  <si>
    <t xml:space="preserve">und</t>
  </si>
  <si>
    <t xml:space="preserve">Malla para protección de fachadas verde/negro 6x20 m  Ref.: lp-00112954</t>
  </si>
  <si>
    <t xml:space="preserve">ma-lp-00535305</t>
  </si>
  <si>
    <t xml:space="preserve">Material</t>
  </si>
  <si>
    <t xml:space="preserve">und</t>
  </si>
  <si>
    <t xml:space="preserve">Toldo multiusos PROTEX; 2x3 m   Ref. lp-00535305</t>
  </si>
  <si>
    <t xml:space="preserve">ma-lp-00514905</t>
  </si>
  <si>
    <t xml:space="preserve">Material</t>
  </si>
  <si>
    <t xml:space="preserve">bolsa</t>
  </si>
  <si>
    <t xml:space="preserve">Bridas plásticas 300x4,8 mm (100 pzas/bolsa)   Ref. lp-00514905</t>
  </si>
  <si>
    <t xml:space="preserve">m.o.And</t>
  </si>
  <si>
    <t xml:space="preserve">Mano de obra</t>
  </si>
  <si>
    <t xml:space="preserve">h</t>
  </si>
  <si>
    <t xml:space="preserve">Mano de Obra de ANDAMIO</t>
  </si>
  <si>
    <t xml:space="preserve">AND001</t>
  </si>
  <si>
    <t xml:space="preserve">AND001.2</t>
  </si>
  <si>
    <t xml:space="preserve">Partida</t>
  </si>
  <si>
    <t xml:space="preserve">DIA</t>
  </si>
  <si>
    <t xml:space="preserve">o AMORTIZACIÓN DIARIA DE 500M2 DE ANDAMIO TUBULAR METÁLICO</t>
  </si>
  <si>
    <t xml:space="preserve">Amortización diaria de andamio tubular metálico fijo, formado por marcos de 70 cm de ancho y altura &lt;= 200 cm, con bases regulables, travesaños de tubo, tubos de trabada, plataformas de trabajo de ancho como mínimo de 60 cm, escaleras de acceso, barandillas laterales, zócalos y red de protección de poliamida colocada en toda la cara exterior y amarradores cada 20 m2 de fachada.</t>
  </si>
  <si>
    <t xml:space="preserve">amortd</t>
  </si>
  <si>
    <t xml:space="preserve">Material</t>
  </si>
  <si>
    <t xml:space="preserve">m2</t>
  </si>
  <si>
    <t xml:space="preserve">Alquiler diario de andamio tubular</t>
  </si>
  <si>
    <t xml:space="preserve">AND001.2</t>
  </si>
  <si>
    <t xml:space="preserve">AND001.3</t>
  </si>
  <si>
    <t xml:space="preserve">Partida</t>
  </si>
  <si>
    <t xml:space="preserve">MES</t>
  </si>
  <si>
    <t xml:space="preserve">o AMORTIZACIÓN MENSUAL DE 500M2 DE ANDAMIO TUBULAR METÁLICO</t>
  </si>
  <si>
    <t xml:space="preserve">Alquiler, durante 30 días naturales, de andamio tubular normalizado, tipo multidireccional, hasta 10 m de altura máxima de trabajo,  formado por estructura tubular de acero galvanizado en caliente, de 48,3 mm de diámetro y 3,2 mm de espesor, sin duplicidad de  elementos verticales, compuesto por plataformas de trabajo de 60 cm de ancho, dispuestas cada 2 m de altura, escalera interior con  trampilla, barandilla trasera con dos barras y rodapié, y barandilla delantera con una barra; para la ejecución de fachada de 500 m².</t>
  </si>
  <si>
    <t xml:space="preserve">amortd</t>
  </si>
  <si>
    <t xml:space="preserve">Material</t>
  </si>
  <si>
    <t xml:space="preserve">m2</t>
  </si>
  <si>
    <t xml:space="preserve">Alquiler diario de andamio tubular</t>
  </si>
  <si>
    <t xml:space="preserve">AND001.3</t>
  </si>
  <si>
    <t xml:space="preserve">AND001.4</t>
  </si>
  <si>
    <t xml:space="preserve">Partida</t>
  </si>
  <si>
    <t xml:space="preserve">UD</t>
  </si>
  <si>
    <t xml:space="preserve">oTRANSPORTE Y RETIRADA DE 500M2 DE ANDAMIO TUBULAR DE FACHADA.</t>
  </si>
  <si>
    <t xml:space="preserve">Transporte y retirada de andamio tubular normalizado, tipo multidireccional, hasta 10 m de altura máxima de trabajo, formado por estructura tubular de acero galvanizado en caliente, sin duplicidad de elementos verticales y plataformas de trabajo de 60 cm de ancho; para ejecución de fachada de 500 m².</t>
  </si>
  <si>
    <t xml:space="preserve">mq13ats013a</t>
  </si>
  <si>
    <t xml:space="preserve">Maquinaria</t>
  </si>
  <si>
    <t xml:space="preserve">Ud</t>
  </si>
  <si>
    <t xml:space="preserve">Repercusión, por m², de transporte a obra y retirada de andamio tubular normalizado, tipo multidireccional, de 10 m de altura máxima de trabajo, constituido por estructura tubular de acero galvanizado en caliente, de 48,3 mm de diámetro y 3,2 mm de espesor, sin duplicidad de elementos verticales, fabricado cumpliendo las exigencias de calidad recogidas en la norma UNE-EN ISO 9001, según UNE-EN 12810 y UNE-EN 12811; compuesto de plataformas de trabajo de 60 cm de ancho, dispuestas cada 2 m de altura, escalera interior con trampilla, barandilla trasera con dos barras y rodapié, y barandilla delantera con una barra; para ejecución de fachada; incluso red flexible, tipo mosquitera monofilamento, de polietileno 100%.</t>
  </si>
  <si>
    <t xml:space="preserve">%</t>
  </si>
  <si>
    <t xml:space="preserve">%</t>
  </si>
  <si>
    <t xml:space="preserve">Costes directos complementarios</t>
  </si>
  <si>
    <t xml:space="preserve">AND001.4</t>
  </si>
  <si>
    <t xml:space="preserve">AND001.5</t>
  </si>
  <si>
    <t xml:space="preserve">Partida</t>
  </si>
  <si>
    <t xml:space="preserve">UD</t>
  </si>
  <si>
    <t xml:space="preserve">oMONTAJE Y DESMONTAJE DE 500M2 DE ANDAMIO TUBULAR DE FACHADA.</t>
  </si>
  <si>
    <t xml:space="preserve">Montaje y desmontaje de andamio tubular normalizado, tipo multidireccional, hasta 10 m de altura máxima de trabajo, formado por estructura tubular de acero galvanizado en caliente, sin duplicidad de elementos verticales y plataformas de trabajo de 60 cm de ancho; para ejecución de fachada de 250 m², según planos de montaje, considerando una distancia máxima de 20 m entre el punto de descarga de los materiales y el punto más alejado del montaje. Incluso montaje y desmontaje de red flexible, tipo mosquitera monofilamento, de polietileno 100%, accesorios, sistemas de protección, anclajes y reposiciones.</t>
  </si>
  <si>
    <t xml:space="preserve">mq13ats011a</t>
  </si>
  <si>
    <t xml:space="preserve">Maquinaria</t>
  </si>
  <si>
    <t xml:space="preserve">Ud</t>
  </si>
  <si>
    <t xml:space="preserve">Repercusión, por m², de montaje de andamio tubular normalizado, tipo multidireccional, de 10 m de altura máxima de trabajo, constituido por estructura tubular de acero galvanizado en caliente, de 48,3 mm de diámetro y 3,2 mm de espesor, sin duplicidad de elementos verticales, fabricado cumpliendo las exigencias de calidad recogidas en la norma UNE-EN ISO 9001, según UNE-EN 12810 y UNE-EN 12811; compuesto de plataformas de trabajo de 60 cm de ancho, dispuestas cada 2 m de altura, escalera interior con trampilla, barandilla trasera con dos barras y rodapié, y barandilla delantera con una barra; para ejecución de fachada; incluso red flexible, tipo mosquitera monofilamento, de polietileno 100%.</t>
  </si>
  <si>
    <t xml:space="preserve">mq13ats012a</t>
  </si>
  <si>
    <t xml:space="preserve">Maquinaria</t>
  </si>
  <si>
    <t xml:space="preserve">Ud</t>
  </si>
  <si>
    <t xml:space="preserve">Repercusión, por m², de desmontaje de andamio tubular normalizado, tipo multidireccional, de 10 m de altura máxima de trabajo, constituido por estructura tubular de acero galvanizado en caliente, de 48,3 mm de diámetro y 3,2 mm de espesor, sin duplicidad de elementos verticales, fabricado cumpliendo las exigencias de calidad recogidas en la norma UNE-EN ISO 9001, según UNE-EN 12810 y UNE-EN 12811; compuesto de plataformas de trabajo de 60 cm de ancho, dispuestas cada 2 m de altura, escalera interior con trampilla, barandilla trasera con dos barras y rodapié, y barandilla delantera con una barra; para ejecución de fachada; incluso red flexible, tipo mosquitera monofilamento, de polietileno 100%.</t>
  </si>
  <si>
    <t xml:space="preserve">%</t>
  </si>
  <si>
    <t xml:space="preserve">%</t>
  </si>
  <si>
    <t xml:space="preserve">Costes directos complementarios</t>
  </si>
  <si>
    <t xml:space="preserve">AND001.5</t>
  </si>
  <si>
    <t xml:space="preserve">AND002</t>
  </si>
  <si>
    <t xml:space="preserve">Partida</t>
  </si>
  <si>
    <t xml:space="preserve">M2</t>
  </si>
  <si>
    <t xml:space="preserve">o ANDAMIO EN FACHADA POSTERIOR</t>
  </si>
  <si>
    <t xml:space="preserve">Andamio en fachada posteior: 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</si>
  <si>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 xml:space="preserve">alq-andamio/m2-fijo</t>
  </si>
  <si>
    <t xml:space="preserve">Maquinaria</t>
  </si>
  <si>
    <t xml:space="preserve">m2</t>
  </si>
  <si>
    <t xml:space="preserve">Alquiler de Sistema de Andamios Tubulares Metálicos Fijos con Bases Regulables; incluye Montaje, Desmontaje y Transportes Asociados.</t>
  </si>
  <si>
    <t xml:space="preserve">ma-lp-00112954</t>
  </si>
  <si>
    <t xml:space="preserve">Material</t>
  </si>
  <si>
    <t xml:space="preserve">und</t>
  </si>
  <si>
    <t xml:space="preserve">Malla para protección de fachadas verde/negro 6x20 m  Ref.: lp-00112954</t>
  </si>
  <si>
    <t xml:space="preserve">ma-lp-00535305</t>
  </si>
  <si>
    <t xml:space="preserve">Material</t>
  </si>
  <si>
    <t xml:space="preserve">und</t>
  </si>
  <si>
    <t xml:space="preserve">Toldo multiusos PROTEX; 2x3 m   Ref. lp-00535305</t>
  </si>
  <si>
    <t xml:space="preserve">ma-lp-00514905</t>
  </si>
  <si>
    <t xml:space="preserve">Material</t>
  </si>
  <si>
    <t xml:space="preserve">bolsa</t>
  </si>
  <si>
    <t xml:space="preserve">Bridas plásticas 300x4,8 mm (100 pzas/bolsa)   Ref. lp-00514905</t>
  </si>
  <si>
    <t xml:space="preserve">m.o.And</t>
  </si>
  <si>
    <t xml:space="preserve">Mano de obra</t>
  </si>
  <si>
    <t xml:space="preserve">h</t>
  </si>
  <si>
    <t xml:space="preserve">Mano de Obra de ANDAMIO</t>
  </si>
  <si>
    <t xml:space="preserve">AND002</t>
  </si>
  <si>
    <t xml:space="preserve">AND003</t>
  </si>
  <si>
    <t xml:space="preserve">Partida</t>
  </si>
  <si>
    <t xml:space="preserve">M2</t>
  </si>
  <si>
    <t xml:space="preserve">o ANDAMIO EN PATIO</t>
  </si>
  <si>
    <t xml:space="preserve">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</si>
  <si>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 xml:space="preserve">alq-andamio/m2-fijo</t>
  </si>
  <si>
    <t xml:space="preserve">Maquinaria</t>
  </si>
  <si>
    <t xml:space="preserve">m2</t>
  </si>
  <si>
    <t xml:space="preserve">Alquiler de Sistema de Andamios Tubulares Metálicos Fijos con Bases Regulables; incluye Montaje, Desmontaje y Transportes Asociados.</t>
  </si>
  <si>
    <t xml:space="preserve">ma-lp-00112954</t>
  </si>
  <si>
    <t xml:space="preserve">Material</t>
  </si>
  <si>
    <t xml:space="preserve">und</t>
  </si>
  <si>
    <t xml:space="preserve">Malla para protección de fachadas verde/negro 6x20 m  Ref.: lp-00112954</t>
  </si>
  <si>
    <t xml:space="preserve">ma-lp-00535305</t>
  </si>
  <si>
    <t xml:space="preserve">Material</t>
  </si>
  <si>
    <t xml:space="preserve">und</t>
  </si>
  <si>
    <t xml:space="preserve">Toldo multiusos PROTEX; 2x3 m   Ref. lp-00535305</t>
  </si>
  <si>
    <t xml:space="preserve">ma-lp-00514905</t>
  </si>
  <si>
    <t xml:space="preserve">Material</t>
  </si>
  <si>
    <t xml:space="preserve">bolsa</t>
  </si>
  <si>
    <t xml:space="preserve">Bridas plásticas 300x4,8 mm (100 pzas/bolsa)   Ref. lp-00514905</t>
  </si>
  <si>
    <t xml:space="preserve">m.o.And</t>
  </si>
  <si>
    <t xml:space="preserve">Mano de obra</t>
  </si>
  <si>
    <t xml:space="preserve">h</t>
  </si>
  <si>
    <t xml:space="preserve">Mano de Obra de ANDAMIO</t>
  </si>
  <si>
    <t xml:space="preserve">AND003</t>
  </si>
  <si>
    <t xml:space="preserve">AND004</t>
  </si>
  <si>
    <t xml:space="preserve">Partida</t>
  </si>
  <si>
    <t xml:space="preserve">DIA</t>
  </si>
  <si>
    <t xml:space="preserve">o ALQUILER DIARIO DE ANDAMIO MOVIL</t>
  </si>
  <si>
    <t xml:space="preserve">Alquiler diario de torre de trabajo móvil, situada a una altura de 4.20 m con plataforma de trabajo de 3x1 m², formada por estructura tubular de acero galvanizado en caliente de 48,3 mm y 3,2 mm de espesor, preparada para soportar una carga de 2,0 kN/m² uniformemente distribuida sobre la plataforma y una carga puntual de 1,5 kN.</t>
  </si>
  <si>
    <t xml:space="preserve">alq-andamio-0.75x4.20-tq-dia</t>
  </si>
  <si>
    <t xml:space="preserve">Maquinaria</t>
  </si>
  <si>
    <t xml:space="preserve">dia</t>
  </si>
  <si>
    <t xml:space="preserve">Alquiler diario de Torre 4,20 m de Andamio Tubular de Aluminio (Largo x Ancho x Altura de Trabajo: 1,80x0,75 m).   Ref. TOOLQUICK</t>
  </si>
  <si>
    <t xml:space="preserve">AND004</t>
  </si>
  <si>
    <t xml:space="preserve">AND005</t>
  </si>
  <si>
    <t xml:space="preserve">Partida</t>
  </si>
  <si>
    <t xml:space="preserve">MES</t>
  </si>
  <si>
    <t xml:space="preserve">o PROTECCIÓN DE PASO PEATONAL</t>
  </si>
  <si>
    <t xml:space="preserve">Alquiler, transporte, montaje y desmontaje de estructura de protección para paso peatonal, con paso libre de 1,5 m de anchura, 3,0 m de altura y 7,0m de largo, formada por estructura tubular de acero galvanizado en caliente, con techo superior para protección de peatones, y visera para evitar la caída de objetos en fachada.</t>
  </si>
  <si>
    <t xml:space="preserve">andpe1</t>
  </si>
  <si>
    <t xml:space="preserve">Material</t>
  </si>
  <si>
    <t xml:space="preserve">u</t>
  </si>
  <si>
    <t xml:space="preserve">Alquiler mensual de estructura de protección para paso</t>
  </si>
  <si>
    <t xml:space="preserve">AND005</t>
  </si>
  <si>
    <t xml:space="preserve">AND006</t>
  </si>
  <si>
    <t xml:space="preserve">Partida</t>
  </si>
  <si>
    <t xml:space="preserve">M2</t>
  </si>
  <si>
    <t xml:space="preserve">o S/I MALLA DE PROTECCIÓN DE FACHADAS VERDE/NEGRO</t>
  </si>
  <si>
    <t xml:space="preserve">Suministro y colocacion de malla en fachada, para proteccion de peatones por caida de objetos.</t>
  </si>
  <si>
    <t xml:space="preserve">ma-lp-00112954</t>
  </si>
  <si>
    <t xml:space="preserve">Material</t>
  </si>
  <si>
    <t xml:space="preserve">und</t>
  </si>
  <si>
    <t xml:space="preserve">Malla para protección de fachadas verde/negro 6x20 m  Ref.: lp-00112954</t>
  </si>
  <si>
    <t xml:space="preserve">ma-lp-00535305</t>
  </si>
  <si>
    <t xml:space="preserve">Material</t>
  </si>
  <si>
    <t xml:space="preserve">und</t>
  </si>
  <si>
    <t xml:space="preserve">Toldo multiusos PROTEX; 2x3 m   Ref. lp-00535305</t>
  </si>
  <si>
    <t xml:space="preserve">ma-lp-00514905</t>
  </si>
  <si>
    <t xml:space="preserve">Material</t>
  </si>
  <si>
    <t xml:space="preserve">bolsa</t>
  </si>
  <si>
    <t xml:space="preserve">Bridas plásticas 300x4,8 mm (100 pzas/bolsa)   Ref. lp-00514905</t>
  </si>
  <si>
    <t xml:space="preserve">moc-std1-andamio</t>
  </si>
  <si>
    <t xml:space="preserve">Partida</t>
  </si>
  <si>
    <t xml:space="preserve">h</t>
  </si>
  <si>
    <t xml:space="preserve">Cuadrilla Std1 Andamio - 1 Oficial de 1ª y 1 Ayudante</t>
  </si>
  <si>
    <t xml:space="preserve">m.o.And</t>
  </si>
  <si>
    <t xml:space="preserve">Mano de obra</t>
  </si>
  <si>
    <t xml:space="preserve">h</t>
  </si>
  <si>
    <t xml:space="preserve">Mano de Obra de ANDAMIO</t>
  </si>
  <si>
    <t xml:space="preserve">moc-std1-andamio</t>
  </si>
  <si>
    <t xml:space="preserve">mo%</t>
  </si>
  <si>
    <t xml:space="preserve">%</t>
  </si>
  <si>
    <t xml:space="preserve">Herramientas Menores</t>
  </si>
  <si>
    <t xml:space="preserve">AND006</t>
  </si>
  <si>
    <t xml:space="preserve">AND007</t>
  </si>
  <si>
    <t xml:space="preserve">Partida</t>
  </si>
  <si>
    <t xml:space="preserve">M</t>
  </si>
  <si>
    <t xml:space="preserve">o LONAS DE EVACUACIÓN EN ANDAMIO TUBULAR</t>
  </si>
  <si>
    <t xml:space="preserve">Suministro, montaje, aprovechamiento y desmontaje de lonas de evacuación de PVC en la parte inferior del andamio, específicamente diseñadas para labores de limpieza con agua a presión, provista de orificios específicos para la conexión de las mangueras de evacuación, y envolviendo la primera planta del andamio, incluso suministro y colocación de las mangueras de evacuación, y atado de éstas a los pies del andamio, para garantizar una evacuación controlada del agua residual resultante de la limpieza.</t>
  </si>
  <si>
    <t xml:space="preserve">ma-lp-00566617</t>
  </si>
  <si>
    <t xml:space="preserve">Material</t>
  </si>
  <si>
    <t xml:space="preserve">toldo</t>
  </si>
  <si>
    <t xml:space="preserve">Toldo Multiusos BIGMAT para sujeción y protección a la lluvia; color azul (6x10 m/toldo).   Ref. lp-00566617</t>
  </si>
  <si>
    <t xml:space="preserve">ma-lp-00392493</t>
  </si>
  <si>
    <t xml:space="preserve">Material</t>
  </si>
  <si>
    <t xml:space="preserve">pza</t>
  </si>
  <si>
    <t xml:space="preserve">Sumidero sifonado descarga lateral de MODEM CH11-01 (11,5x11,5 cm).   Ref. lp-00392493</t>
  </si>
  <si>
    <t xml:space="preserve">ma-lp-00001390</t>
  </si>
  <si>
    <t xml:space="preserve">Material</t>
  </si>
  <si>
    <t xml:space="preserve">pza</t>
  </si>
  <si>
    <t xml:space="preserve">Codo evacuación M-H PVC 87º x 125 mm; color gris.   Ref. lp-00001390</t>
  </si>
  <si>
    <t xml:space="preserve">ma-bm-10885763</t>
  </si>
  <si>
    <t xml:space="preserve">Material</t>
  </si>
  <si>
    <t xml:space="preserve">rollo</t>
  </si>
  <si>
    <t xml:space="preserve">Hidrotubo PVC flexible; diámetros 20 y 25 mm, color gris (25 m/rollo).   Ref. bm-10885763</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</si>
  <si>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</si>
  <si>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</si>
  <si>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</si>
  <si>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</si>
  <si>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</si>
  <si>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</si>
  <si>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</si>
  <si>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</si>
  <si>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ma-lp-00514905</t>
  </si>
  <si>
    <t xml:space="preserve">Material</t>
  </si>
  <si>
    <t xml:space="preserve">bolsa</t>
  </si>
  <si>
    <t xml:space="preserve">Bridas plásticas 300x4,8 mm (100 pzas/bolsa)   Ref. lp-00514905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</si>
  <si>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</si>
  <si>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</si>
  <si>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</si>
  <si>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</si>
  <si>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</si>
  <si>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</si>
  <si>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</si>
  <si>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</si>
  <si>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</si>
  <si>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</si>
  <si>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</si>
  <si>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</si>
  <si>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</si>
  <si>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</si>
  <si>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</si>
  <si>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</si>
  <si>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</si>
  <si>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</si>
  <si>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</si>
  <si>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</si>
  <si>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AND007</t>
  </si>
  <si>
    <t xml:space="preserve">AND008</t>
  </si>
  <si>
    <t xml:space="preserve">Partida</t>
  </si>
  <si>
    <t xml:space="preserve">MES</t>
  </si>
  <si>
    <t xml:space="preserve">o ALARMA EN ANDAMIO</t>
  </si>
  <si>
    <t xml:space="preserve">Suministro, instalación, conexión y alquiler de sistema de alarma ubicado en la parte inferior del andamio para evitar el acceso de intrusos a las diferentes viviendas del edificio mientras el andamio esté instalado. Incluye la colocación de rótulos de presencia de sistema de seguridad.</t>
  </si>
  <si>
    <t xml:space="preserve">Alarma-Andamios</t>
  </si>
  <si>
    <t xml:space="preserve">Sin clasificar</t>
  </si>
  <si>
    <t xml:space="preserve">und</t>
  </si>
  <si>
    <t xml:space="preserve">Sub-Contrato de Alquiler de 1 mes</t>
  </si>
  <si>
    <t xml:space="preserve">AND008</t>
  </si>
  <si>
    <t xml:space="preserve">AND009</t>
  </si>
  <si>
    <t xml:space="preserve">Partida</t>
  </si>
  <si>
    <t xml:space="preserve">UD</t>
  </si>
  <si>
    <t xml:space="preserve">o LONAS PUBLICITARIAS</t>
  </si>
  <si>
    <t xml:space="preserve">Suministro y colocación de lonas publicitarias provisionales de señalización de comercios existentes en planta baja con unas dimensiones aproximadas de 150x80 cm. Retirada de las mismas una vez finalizadas las obras de rehabilitación de fachada.</t>
  </si>
  <si>
    <t xml:space="preserve">ma-lona-publi</t>
  </si>
  <si>
    <t xml:space="preserve">Material</t>
  </si>
  <si>
    <t xml:space="preserve">ud</t>
  </si>
  <si>
    <t xml:space="preserve">Lonas microperforadas con refuerzo perimetral y ojales cada 50 cm, impresas CMYK 1 cara. Medida 150 x 80 cm.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</si>
  <si>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</si>
  <si>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</si>
  <si>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</si>
  <si>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</si>
  <si>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</si>
  <si>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</si>
  <si>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</si>
  <si>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</si>
  <si>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</si>
  <si>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</si>
  <si>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</si>
  <si>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</si>
  <si>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</si>
  <si>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</si>
  <si>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</si>
  <si>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</si>
  <si>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</si>
  <si>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AND009</t>
  </si>
  <si>
    <t xml:space="preserve">AUX001</t>
  </si>
  <si>
    <t xml:space="preserve">Partida</t>
  </si>
  <si>
    <t xml:space="preserve">LINEA</t>
  </si>
  <si>
    <t xml:space="preserve">o TRABAJOS VERTICALES</t>
  </si>
  <si>
    <t xml:space="preserve">Técnica de trabajos verticales, utilizando cuerdas homologadas que cumplirán la normativa vigente, fijadas a anclajes instalados en elementos estructurales seguros, arnés y cinturón de seguridad, silla, cuerdas, fijaciones y conjunto de elementos para llevar a cabo los trabajos de manera segura y eficiente, así como los correspondientes elementos de seguridad.</t>
  </si>
  <si>
    <t xml:space="preserve">VERT1</t>
  </si>
  <si>
    <t xml:space="preserve">Material</t>
  </si>
  <si>
    <t xml:space="preserve">par</t>
  </si>
  <si>
    <t xml:space="preserve">Conjunto de material y útiles (cuerdas, silla, etc) para la realización de trabajos con técnicas de trabajos verticales</t>
  </si>
  <si>
    <t xml:space="preserve">m.o.TV</t>
  </si>
  <si>
    <t xml:space="preserve">Mano de obra</t>
  </si>
  <si>
    <t xml:space="preserve">h</t>
  </si>
  <si>
    <t xml:space="preserve">Montaje y desmontaje de cuerdas: 1 Oficial y 1 Ayudante</t>
  </si>
  <si>
    <t xml:space="preserve">AUX001</t>
  </si>
  <si>
    <t xml:space="preserve">AUX002</t>
  </si>
  <si>
    <t xml:space="preserve">Partida</t>
  </si>
  <si>
    <t xml:space="preserve">MES</t>
  </si>
  <si>
    <t xml:space="preserve">o CANASTA COLGANTE</t>
  </si>
  <si>
    <t xml:space="preserve">Conjunto de personal, material y útiles para la realización de trabajos con técnicas de trabajos verticales, con personal colgado mediante pescante con contrapesos y canasta. Incluida parte proporcional de montaje y desmontaje de instalaciones y elementos de soporte, cuerdas de acero, fijaciones, plataformas y conjunto de elementos para llevar a cabo los trabajos de manera segura y eficiente, así como los correspondientes elementos de seguridad.</t>
  </si>
  <si>
    <t xml:space="preserve">VERT2</t>
  </si>
  <si>
    <t xml:space="preserve">Maquinaria</t>
  </si>
  <si>
    <t xml:space="preserve">MES</t>
  </si>
  <si>
    <t xml:space="preserve">Cabina Basic 500 Manual con Pescante y contrapesos</t>
  </si>
  <si>
    <t xml:space="preserve">trnsprtires</t>
  </si>
  <si>
    <t xml:space="preserve">Maquinaria</t>
  </si>
  <si>
    <t xml:space="preserve">par</t>
  </si>
  <si>
    <t xml:space="preserve">Transporte furgoneta</t>
  </si>
  <si>
    <t xml:space="preserve">m.o.canasta</t>
  </si>
  <si>
    <t xml:space="preserve">Mano de obra</t>
  </si>
  <si>
    <t xml:space="preserve">h</t>
  </si>
  <si>
    <t xml:space="preserve">Montaje y desmontaje de canasta: 1 Oficial y 1 Ayudante</t>
  </si>
  <si>
    <t xml:space="preserve">AUX002</t>
  </si>
  <si>
    <t xml:space="preserve">AUX003</t>
  </si>
  <si>
    <t xml:space="preserve">Partida</t>
  </si>
  <si>
    <t xml:space="preserve">UD</t>
  </si>
  <si>
    <t xml:space="preserve">o LINEA DE VIDA</t>
  </si>
  <si>
    <t xml:space="preserve">Suministro y colocacion de linea de vida anticaídas deslizante que se desplaza sin intervención manual, incluye: 1 Un anticaídas deslizante, 1 Un absorbedor de energía, 2 mosquetones, 1 Un anillo de cinta de 150cm, 1 cuerda 11 mm con terminal cosido y disipador de energía integrado, 1 lastre, placa de señalización y conjunto de dos precintos de seguridad. Incluso fijaciones para la sujeción de los componentes de la línea de anclaje al soporte.</t>
  </si>
  <si>
    <t xml:space="preserve">Linea</t>
  </si>
  <si>
    <t xml:space="preserve">Material</t>
  </si>
  <si>
    <t xml:space="preserve">u</t>
  </si>
  <si>
    <t xml:space="preserve">Petzl ASAP Lock Fall Arrest Kit - 10 m - S-L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</si>
  <si>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</si>
  <si>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</si>
  <si>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</si>
  <si>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</si>
  <si>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</si>
  <si>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</si>
  <si>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</si>
  <si>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</si>
  <si>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</si>
  <si>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</si>
  <si>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</si>
  <si>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</si>
  <si>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</si>
  <si>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</si>
  <si>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</si>
  <si>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</si>
  <si>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</si>
  <si>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AUX003</t>
  </si>
  <si>
    <t xml:space="preserve">AUX004</t>
  </si>
  <si>
    <t xml:space="preserve">Partida</t>
  </si>
  <si>
    <t xml:space="preserve">MES</t>
  </si>
  <si>
    <t xml:space="preserve">o MES DE PLATAFORMA ELEVADORA DE TIJERAS</t>
  </si>
  <si>
    <t xml:space="preserve">Alquiler diario de plataforma elevadora de tijera, motor diésel, de 12 m de altura máxima de trabajo. El precio incluye el mantenimiento y el seguro de responsabilidad civil.</t>
  </si>
  <si>
    <t xml:space="preserve">BTID12</t>
  </si>
  <si>
    <t xml:space="preserve">Maquinaria</t>
  </si>
  <si>
    <t xml:space="preserve">DIA</t>
  </si>
  <si>
    <t xml:space="preserve">PLATAFORMA TIJERA DIESEL 12M ALQUILER DIARIO 63.27€</t>
  </si>
  <si>
    <t xml:space="preserve">SEGURO</t>
  </si>
  <si>
    <t xml:space="preserve">Material</t>
  </si>
  <si>
    <t xml:space="preserve">PAR</t>
  </si>
  <si>
    <t xml:space="preserve">SEGURO 14% (DÍAS NATURALES)</t>
  </si>
  <si>
    <t xml:space="preserve">RESID</t>
  </si>
  <si>
    <t xml:space="preserve">Material</t>
  </si>
  <si>
    <t xml:space="preserve">PAR</t>
  </si>
  <si>
    <t xml:space="preserve">GESTIÓN DE RESIDUOS 14€ (POR CONTRATO).</t>
  </si>
  <si>
    <t xml:space="preserve">ENTRG1</t>
  </si>
  <si>
    <t xml:space="preserve">Material</t>
  </si>
  <si>
    <t xml:space="preserve">PAR</t>
  </si>
  <si>
    <t xml:space="preserve">PORTES DE ENTREGA</t>
  </si>
  <si>
    <t xml:space="preserve">RECO1</t>
  </si>
  <si>
    <t xml:space="preserve">Material</t>
  </si>
  <si>
    <t xml:space="preserve">PAR</t>
  </si>
  <si>
    <t xml:space="preserve">PORTE DE RECOGIDA</t>
  </si>
  <si>
    <t xml:space="preserve">FIAN</t>
  </si>
  <si>
    <t xml:space="preserve">Material</t>
  </si>
  <si>
    <t xml:space="preserve">PAR</t>
  </si>
  <si>
    <t xml:space="preserve">FIANZA DE ALQUILER Y CONSUMO DE COMBUSTIBLE</t>
  </si>
  <si>
    <t xml:space="preserve">SEGURO14</t>
  </si>
  <si>
    <t xml:space="preserve">Material</t>
  </si>
  <si>
    <t xml:space="preserve">par</t>
  </si>
  <si>
    <t xml:space="preserve">Seguro obligatorio 14% (Cálculo días naturales)</t>
  </si>
  <si>
    <t xml:space="preserve">DIESEL</t>
  </si>
  <si>
    <t xml:space="preserve">Material</t>
  </si>
  <si>
    <t xml:space="preserve">l</t>
  </si>
  <si>
    <t xml:space="preserve">Diesel</t>
  </si>
  <si>
    <t xml:space="preserve">operador1</t>
  </si>
  <si>
    <t xml:space="preserve">Mano de obra</t>
  </si>
  <si>
    <t xml:space="preserve">h</t>
  </si>
  <si>
    <t xml:space="preserve">Operador plataforma de tijera</t>
  </si>
  <si>
    <t xml:space="preserve">AUX004</t>
  </si>
  <si>
    <t xml:space="preserve">AUX005</t>
  </si>
  <si>
    <t xml:space="preserve">Partida</t>
  </si>
  <si>
    <t xml:space="preserve">DIA</t>
  </si>
  <si>
    <t xml:space="preserve">o DIA  DE PLATAFORMA ELEVADORA DE TIJERAS</t>
  </si>
  <si>
    <t xml:space="preserve">ALQUILER DIA DE PLATAFORMA ELEVADORA DE TIJERAS</t>
  </si>
  <si>
    <t xml:space="preserve">BTID12</t>
  </si>
  <si>
    <t xml:space="preserve">Maquinaria</t>
  </si>
  <si>
    <t xml:space="preserve">DIA</t>
  </si>
  <si>
    <t xml:space="preserve">PLATAFORMA TIJERA DIESEL 12M ALQUILER DIARIO 63.27€</t>
  </si>
  <si>
    <t xml:space="preserve">SEGURO</t>
  </si>
  <si>
    <t xml:space="preserve">Material</t>
  </si>
  <si>
    <t xml:space="preserve">PAR</t>
  </si>
  <si>
    <t xml:space="preserve">SEGURO 14% (DÍAS NATURALES)</t>
  </si>
  <si>
    <t xml:space="preserve">RESID</t>
  </si>
  <si>
    <t xml:space="preserve">Material</t>
  </si>
  <si>
    <t xml:space="preserve">PAR</t>
  </si>
  <si>
    <t xml:space="preserve">GESTIÓN DE RESIDUOS 14€ (POR CONTRATO).</t>
  </si>
  <si>
    <t xml:space="preserve">ENTRG1</t>
  </si>
  <si>
    <t xml:space="preserve">Material</t>
  </si>
  <si>
    <t xml:space="preserve">PAR</t>
  </si>
  <si>
    <t xml:space="preserve">PORTES DE ENTREGA</t>
  </si>
  <si>
    <t xml:space="preserve">RECO1</t>
  </si>
  <si>
    <t xml:space="preserve">Material</t>
  </si>
  <si>
    <t xml:space="preserve">PAR</t>
  </si>
  <si>
    <t xml:space="preserve">PORTE DE RECOGIDA</t>
  </si>
  <si>
    <t xml:space="preserve">FIAN</t>
  </si>
  <si>
    <t xml:space="preserve">Material</t>
  </si>
  <si>
    <t xml:space="preserve">PAR</t>
  </si>
  <si>
    <t xml:space="preserve">FIANZA DE ALQUILER Y CONSUMO DE COMBUSTIBLE</t>
  </si>
  <si>
    <t xml:space="preserve">DIESEL</t>
  </si>
  <si>
    <t xml:space="preserve">Material</t>
  </si>
  <si>
    <t xml:space="preserve">l</t>
  </si>
  <si>
    <t xml:space="preserve">Diesel</t>
  </si>
  <si>
    <t xml:space="preserve">operador1</t>
  </si>
  <si>
    <t xml:space="preserve">Mano de obra</t>
  </si>
  <si>
    <t xml:space="preserve">h</t>
  </si>
  <si>
    <t xml:space="preserve">Operador plataforma de tijera</t>
  </si>
  <si>
    <t xml:space="preserve">AUX005</t>
  </si>
  <si>
    <t xml:space="preserve">AUX006</t>
  </si>
  <si>
    <t xml:space="preserve">Partida</t>
  </si>
  <si>
    <t xml:space="preserve">U</t>
  </si>
  <si>
    <t xml:space="preserve">o TRANSPORTE DE PLATAFORMA ELEVADORA</t>
  </si>
  <si>
    <t xml:space="preserve">Transporte a obra y retirada de plataforma elevadora de tijera, motor diésel, de 18 m de altura máxima de trabajo.</t>
  </si>
  <si>
    <t xml:space="preserve">ENTRG1</t>
  </si>
  <si>
    <t xml:space="preserve">Material</t>
  </si>
  <si>
    <t xml:space="preserve">PAR</t>
  </si>
  <si>
    <t xml:space="preserve">PORTES DE ENTREGA</t>
  </si>
  <si>
    <t xml:space="preserve">RECO1</t>
  </si>
  <si>
    <t xml:space="preserve">Material</t>
  </si>
  <si>
    <t xml:space="preserve">PAR</t>
  </si>
  <si>
    <t xml:space="preserve">PORTE DE RECOGIDA</t>
  </si>
  <si>
    <t xml:space="preserve">AUX006</t>
  </si>
  <si>
    <t xml:space="preserve">AUX007</t>
  </si>
  <si>
    <t xml:space="preserve">Partida</t>
  </si>
  <si>
    <t xml:space="preserve">UD</t>
  </si>
  <si>
    <t xml:space="preserve">o PERMISO DE OCUPACION DE VIA PUBLICA</t>
  </si>
  <si>
    <t xml:space="preserve">Permiso de ocupacion de via publica para plataforma elevadora de tijeras</t>
  </si>
  <si>
    <t xml:space="preserve">permiso1</t>
  </si>
  <si>
    <t xml:space="preserve">Material</t>
  </si>
  <si>
    <t xml:space="preserve">par</t>
  </si>
  <si>
    <t xml:space="preserve">Permiso de ocupacion de via plublica</t>
  </si>
  <si>
    <t xml:space="preserve">AUX007</t>
  </si>
  <si>
    <t xml:space="preserve">AUX008</t>
  </si>
  <si>
    <t xml:space="preserve">Partida</t>
  </si>
  <si>
    <t xml:space="preserve">ML</t>
  </si>
  <si>
    <t xml:space="preserve">o MARQUESINA DE PROTECCION</t>
  </si>
  <si>
    <t xml:space="preserve">Marquesina de protección perimetral del edificio en la primera planta ante la posible caída de objetos formada por: brazos plegables, tipo ménsula, de perfil hueco de acero de 60x40x2 mm, con un tramo horizontal y un tramo inclinado a 45°, fijados al forjado cada 2,5 m con soportes tipo Omega previamente anclados al forjado con fijaciones mecánicas y plataforma de chapa de acero galvanizado, que protege una zona de 1,5 m de anchura, apoyada sobre los brazos tipo ménsula y con solape entre chapas. Incluso tornillos para la sujeción de las chapas a los brazos.</t>
  </si>
  <si>
    <t xml:space="preserve">BARZ1</t>
  </si>
  <si>
    <t xml:space="preserve">Material</t>
  </si>
  <si>
    <t xml:space="preserve">u</t>
  </si>
  <si>
    <t xml:space="preserve">ménsula</t>
  </si>
  <si>
    <t xml:space="preserve">OM1</t>
  </si>
  <si>
    <t xml:space="preserve">Material</t>
  </si>
  <si>
    <t xml:space="preserve">u</t>
  </si>
  <si>
    <t xml:space="preserve">Soporte tipo Omega de chapa de acero, de 60x40 mm y 5 mm de espesor</t>
  </si>
  <si>
    <t xml:space="preserve">fij2</t>
  </si>
  <si>
    <t xml:space="preserve">Material</t>
  </si>
  <si>
    <t xml:space="preserve">u</t>
  </si>
  <si>
    <t xml:space="preserve">Fijación compuesta por taco químico, arandela y tornillo de acero</t>
  </si>
  <si>
    <t xml:space="preserve">chp1</t>
  </si>
  <si>
    <t xml:space="preserve">Material</t>
  </si>
  <si>
    <t xml:space="preserve">m2</t>
  </si>
  <si>
    <t xml:space="preserve">Chapa perfilada de acero galvanizado, de 1 mm de espesor</t>
  </si>
  <si>
    <t xml:space="preserve">TOR1</t>
  </si>
  <si>
    <t xml:space="preserve">Material</t>
  </si>
  <si>
    <t xml:space="preserve">u</t>
  </si>
  <si>
    <t xml:space="preserve">Tornillo galvanizado con taco de plástico y arandela plomo/hierro, para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</si>
  <si>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</si>
  <si>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</si>
  <si>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</si>
  <si>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</si>
  <si>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</si>
  <si>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</si>
  <si>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</si>
  <si>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</si>
  <si>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</si>
  <si>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</si>
  <si>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</si>
  <si>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</si>
  <si>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</si>
  <si>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</si>
  <si>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</si>
  <si>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</si>
  <si>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</si>
  <si>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AUX008</t>
  </si>
  <si>
    <t xml:space="preserve">AUX009</t>
  </si>
  <si>
    <t xml:space="preserve">Partida</t>
  </si>
  <si>
    <t xml:space="preserve">MES</t>
  </si>
  <si>
    <t xml:space="preserve">o ANDAMIO COLGANTE DE 5.50M</t>
  </si>
  <si>
    <t xml:space="preserve">Alquiler, montaje y tranporte de andamio colgante de 5.50m; Incluida parte proporcional de montaje y desmontaje de instalaciones y elementos de soporte, cuerdas de acero, fijaciones, plataformas y conjunto de elementos para llevar a cabo los trabajos de manera segura y eficiente, así como los correspondientes elementos de seguridad.</t>
  </si>
  <si>
    <t xml:space="preserve">PRE025.01</t>
  </si>
  <si>
    <t xml:space="preserve">Material</t>
  </si>
  <si>
    <t xml:space="preserve">u</t>
  </si>
  <si>
    <t xml:space="preserve">Alquiler un mes días andamio colgante eléctrico 5,50 mts</t>
  </si>
  <si>
    <t xml:space="preserve">PRE025.02</t>
  </si>
  <si>
    <t xml:space="preserve">Material</t>
  </si>
  <si>
    <t xml:space="preserve">u</t>
  </si>
  <si>
    <t xml:space="preserve">Montaje, subir material y conexión eléctrica</t>
  </si>
  <si>
    <t xml:space="preserve">PRE025.03</t>
  </si>
  <si>
    <t xml:space="preserve">Material</t>
  </si>
  <si>
    <t xml:space="preserve">u</t>
  </si>
  <si>
    <t xml:space="preserve">Desmontaje y bajada material</t>
  </si>
  <si>
    <t xml:space="preserve">PRE025.04</t>
  </si>
  <si>
    <t xml:space="preserve">Material</t>
  </si>
  <si>
    <t xml:space="preserve">u</t>
  </si>
  <si>
    <t xml:space="preserve">Cambios de ubicación</t>
  </si>
  <si>
    <t xml:space="preserve">PRE025.05</t>
  </si>
  <si>
    <t xml:space="preserve">Material</t>
  </si>
  <si>
    <t xml:space="preserve">u</t>
  </si>
  <si>
    <t xml:space="preserve">Transporte andamio colgante 5,50 mts</t>
  </si>
  <si>
    <t xml:space="preserve">AUX009</t>
  </si>
  <si>
    <t xml:space="preserve">AUX010</t>
  </si>
  <si>
    <t xml:space="preserve">Partida</t>
  </si>
  <si>
    <t xml:space="preserve">MES</t>
  </si>
  <si>
    <t xml:space="preserve">o ALQUILER DE PUNTALES</t>
  </si>
  <si>
    <t xml:space="preserve">Alquiler de puntales en vigas horizontales de madera en mal estado situada a una altura de mas de 3 m de altura, compuesto por 5 puntales metálicos telescópicos y tablones de madera.</t>
  </si>
  <si>
    <t xml:space="preserve">ma-lp-00019466</t>
  </si>
  <si>
    <t xml:space="preserve">Material</t>
  </si>
  <si>
    <t xml:space="preserve">und</t>
  </si>
  <si>
    <t xml:space="preserve">Puntal metálico telescópico P4N; 4 m Ø 48x2 / Ø 40x2   Ref. lp-00019466</t>
  </si>
  <si>
    <t xml:space="preserve">ma-lp-00222965</t>
  </si>
  <si>
    <t xml:space="preserve">Material</t>
  </si>
  <si>
    <t xml:space="preserve">und</t>
  </si>
  <si>
    <t xml:space="preserve">Tablero de encofrar tricapa de madera de abeto 1970x500x27 mm   Ref. lp-00222965</t>
  </si>
  <si>
    <t xml:space="preserve">AUX010</t>
  </si>
  <si>
    <t xml:space="preserve">AUX011</t>
  </si>
  <si>
    <t xml:space="preserve">Partida</t>
  </si>
  <si>
    <t xml:space="preserve">ML</t>
  </si>
  <si>
    <t xml:space="preserve">o VALLA PEATONAL PERIMETRAL</t>
  </si>
  <si>
    <t xml:space="preserve">Delimitación de la zona de excavaciones abiertas mediante vallado perimetral formado por vallas peatonales de hierro, de 1,10x2,50 m, color amarillo, con barrotes verticales montados sobre bastidor de tubo, con dos pies metálicos, amortizables en 20 usos.</t>
  </si>
  <si>
    <t xml:space="preserve">ma-lp-00020205</t>
  </si>
  <si>
    <t xml:space="preserve">Material</t>
  </si>
  <si>
    <t xml:space="preserve">und</t>
  </si>
  <si>
    <t xml:space="preserve">Valla metálica 1 pie para obra de ALTRAD; color amarillo.   Ref. lp-00020205</t>
  </si>
  <si>
    <t xml:space="preserve">mo-seguridad.y.salud-peon</t>
  </si>
  <si>
    <t xml:space="preserve">Mano de obra</t>
  </si>
  <si>
    <t xml:space="preserve">h</t>
  </si>
  <si>
    <t xml:space="preserve">Peón especializado en Seguridad y Salud</t>
  </si>
  <si>
    <t xml:space="preserve">AUX011</t>
  </si>
  <si>
    <t xml:space="preserve">AUX012</t>
  </si>
  <si>
    <t xml:space="preserve">Partida</t>
  </si>
  <si>
    <t xml:space="preserve">U</t>
  </si>
  <si>
    <t xml:space="preserve">o CONO REFLECTOR DE 75CM</t>
  </si>
  <si>
    <t xml:space="preserve">Con d'abalisament reflector de 75 cm d'altura, de 2 peces, amb cos de polietilè i base de cautxú, amb 1 banda reflectora de 300 mm d'amplada i retroreflectància nivell 1 (E.G.), amortitzable en 10 usos</t>
  </si>
  <si>
    <t xml:space="preserve">ma-lp-00557162</t>
  </si>
  <si>
    <t xml:space="preserve">Material</t>
  </si>
  <si>
    <t xml:space="preserve">und</t>
  </si>
  <si>
    <t xml:space="preserve">Cono de señalización (2 pzas de 75 cm/und).   Ref. lp-00557162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</si>
  <si>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</si>
  <si>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</si>
  <si>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</si>
  <si>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</si>
  <si>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</si>
  <si>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</si>
  <si>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</si>
  <si>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</si>
  <si>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</si>
  <si>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</si>
  <si>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</si>
  <si>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</si>
  <si>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</si>
  <si>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</si>
  <si>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</si>
  <si>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</si>
  <si>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</si>
  <si>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AUX012</t>
  </si>
  <si>
    <t xml:space="preserve">AUX013</t>
  </si>
  <si>
    <t xml:space="preserve">Partida</t>
  </si>
  <si>
    <t xml:space="preserve">und</t>
  </si>
  <si>
    <t xml:space="preserve">o MEDIOS AUXILIARES PARA TRABAJOS EN ALTURA</t>
  </si>
  <si>
    <t xml:space="preserve">Medios auxiliares necesarios para llevar a cabo todos los trabajos de la obra (torrilla, escaleras, puntales, andamios, grueta, hormigonera, compresor, taladro, etc…). Estos medios serán especialmente necesarios para llevar a cabo los trabajos en las plantas ático y sobreático.</t>
  </si>
  <si>
    <t xml:space="preserve">ma-lp-00559942</t>
  </si>
  <si>
    <t xml:space="preserve">Material</t>
  </si>
  <si>
    <t xml:space="preserve">und</t>
  </si>
  <si>
    <t xml:space="preserve">Andamio móvil 1,8 metros (h plataforma = 90 cm).   Ref. lp-00559942</t>
  </si>
  <si>
    <t xml:space="preserve">ma-lp-00145530</t>
  </si>
  <si>
    <t xml:space="preserve">Material</t>
  </si>
  <si>
    <t xml:space="preserve">pack</t>
  </si>
  <si>
    <t xml:space="preserve">Caballete/Borriqueta plegable JUNIOR de STANLEY (2 pzas/pack).   Ref. lp-00145530</t>
  </si>
  <si>
    <t xml:space="preserve">ma-bauhaus-14416274</t>
  </si>
  <si>
    <t xml:space="preserve">Material</t>
  </si>
  <si>
    <t xml:space="preserve">pza</t>
  </si>
  <si>
    <t xml:space="preserve">Tablero aserrado de madera sin pulir de abeto rojo (300 x 20 x 4 cm/pza).   Ref. bauhaus-14416274</t>
  </si>
  <si>
    <t xml:space="preserve">ma-lp-00461515</t>
  </si>
  <si>
    <t xml:space="preserve">Material</t>
  </si>
  <si>
    <t xml:space="preserve">und</t>
  </si>
  <si>
    <t xml:space="preserve">Escalera tijera de aluminio STEPPY 3 tramos de TENDO (h trabajo = 2,68 m).   Ref. lp-00461515</t>
  </si>
  <si>
    <t xml:space="preserve">ma-lp-00556967</t>
  </si>
  <si>
    <t xml:space="preserve">Material</t>
  </si>
  <si>
    <t xml:space="preserve">und</t>
  </si>
  <si>
    <t xml:space="preserve">Escalera multiposición de aluminio 4x4 BIGMAT de LITAN (h = 3,83 m).   Ref. lp-00556967</t>
  </si>
  <si>
    <t xml:space="preserve">AUX013</t>
  </si>
  <si>
    <t xml:space="preserve">AUX014</t>
  </si>
  <si>
    <t xml:space="preserve">Partida</t>
  </si>
  <si>
    <t xml:space="preserve">MES</t>
  </si>
  <si>
    <t xml:space="preserve">o ANDAMIO COLGANTE DE 12.00M</t>
  </si>
  <si>
    <t xml:space="preserve">Alquiler, montaje y tranporte de andamio colgante de 12.00m; Incluida parte proporcional de montaje y desmontaje de instalaciones y elementos de soporte, cuerdas de acero, fijaciones, plataformas y conjunto de elementos para llevar a cabo los trabajos de manera segura y eficiente, así como los correspondientes elementos de seguridad.</t>
  </si>
  <si>
    <t xml:space="preserve">aux014.1</t>
  </si>
  <si>
    <t xml:space="preserve">Material</t>
  </si>
  <si>
    <t xml:space="preserve">pa</t>
  </si>
  <si>
    <t xml:space="preserve">Alquiler mensual de andamio colgante electrico de 12m</t>
  </si>
  <si>
    <t xml:space="preserve">aux014.2</t>
  </si>
  <si>
    <t xml:space="preserve">Material</t>
  </si>
  <si>
    <t xml:space="preserve">pa</t>
  </si>
  <si>
    <t xml:space="preserve">Montaje, subir material (ascensor) y conexion electrica</t>
  </si>
  <si>
    <t xml:space="preserve">aux014.3</t>
  </si>
  <si>
    <t xml:space="preserve">Material</t>
  </si>
  <si>
    <t xml:space="preserve">pa</t>
  </si>
  <si>
    <t xml:space="preserve">Desmontaje y bajada de material</t>
  </si>
  <si>
    <t xml:space="preserve">aux014.4</t>
  </si>
  <si>
    <t xml:space="preserve">Material</t>
  </si>
  <si>
    <t xml:space="preserve">pa</t>
  </si>
  <si>
    <t xml:space="preserve">Cambio de lugar</t>
  </si>
  <si>
    <t xml:space="preserve">aux014.5</t>
  </si>
  <si>
    <t xml:space="preserve">Material</t>
  </si>
  <si>
    <t xml:space="preserve">pa</t>
  </si>
  <si>
    <t xml:space="preserve">Transporte</t>
  </si>
  <si>
    <t xml:space="preserve">AUX014</t>
  </si>
  <si>
    <t xml:space="preserve">AUX015</t>
  </si>
  <si>
    <t xml:space="preserve">Partida</t>
  </si>
  <si>
    <t xml:space="preserve">H</t>
  </si>
  <si>
    <t xml:space="preserve">o PLATAFORMA ELEVADORA SUBE MUEBLES A VENTANAS</t>
  </si>
  <si>
    <t xml:space="preserve">Plataforma elevadora con acceso a terrazas o ventanas, para la elevacion de muebles.</t>
  </si>
  <si>
    <t xml:space="preserve">PLATF1</t>
  </si>
  <si>
    <t xml:space="preserve">Maquinaria</t>
  </si>
  <si>
    <t xml:space="preserve">h</t>
  </si>
  <si>
    <t xml:space="preserve">Plataforma elevadora con acceso a terrazas o ventanas, para la elevacion de muebles, Incluye: Operario</t>
  </si>
  <si>
    <t xml:space="preserve">PLATF2</t>
  </si>
  <si>
    <t xml:space="preserve">Maquinaria</t>
  </si>
  <si>
    <t xml:space="preserve">h</t>
  </si>
  <si>
    <t xml:space="preserve">Precio apartir de la 2da hora</t>
  </si>
  <si>
    <t xml:space="preserve">perm1</t>
  </si>
  <si>
    <t xml:space="preserve">Sin clasificar</t>
  </si>
  <si>
    <t xml:space="preserve">par</t>
  </si>
  <si>
    <t xml:space="preserve">Gestion del permiso por parte del industrial de la plataforma</t>
  </si>
  <si>
    <t xml:space="preserve">AUX015</t>
  </si>
  <si>
    <t xml:space="preserve">AUX016</t>
  </si>
  <si>
    <t xml:space="preserve">Partida</t>
  </si>
  <si>
    <t xml:space="preserve">UD</t>
  </si>
  <si>
    <t xml:space="preserve">o ANDAMIO ACCESO A CUBIERTA PARA 6 NIVELES EN FACHADA PRINCIPAL</t>
  </si>
  <si>
    <t xml:space="preserve">Andamio para acceder a cubierta en fachada principal para 6 niveles (18m) Incluye: 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</si>
  <si>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 xml:space="preserve">juanvillamil</t>
  </si>
  <si>
    <t xml:space="preserve">Sin clasificar</t>
  </si>
  <si>
    <t xml:space="preserve">par</t>
  </si>
  <si>
    <t xml:space="preserve">Precio dado por Andamios Juan Villamil</t>
  </si>
  <si>
    <t xml:space="preserve">AUX016</t>
  </si>
  <si>
    <t xml:space="preserve">AUX017</t>
  </si>
  <si>
    <t xml:space="preserve">Partida</t>
  </si>
  <si>
    <t xml:space="preserve">UD</t>
  </si>
  <si>
    <t xml:space="preserve">o ANDAMIO ACCESO A CUBIERTA PARA 6 NIVELES EN FACHADA POSTERIOR</t>
  </si>
  <si>
    <t xml:space="preserve">Andamio para acceder a cubierta en fachada posterior para 6 niveles (18m) Incluye: 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</si>
  <si>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 xml:space="preserve">juanvillamil</t>
  </si>
  <si>
    <t xml:space="preserve">Sin clasificar</t>
  </si>
  <si>
    <t xml:space="preserve">par</t>
  </si>
  <si>
    <t xml:space="preserve">Precio dado por Andamios Juan Villamil</t>
  </si>
  <si>
    <t xml:space="preserve">AUX017</t>
  </si>
  <si>
    <t xml:space="preserve">PRE-MOB-PROTECCION-01.MUEBLE/M3</t>
  </si>
  <si>
    <t xml:space="preserve">Partida</t>
  </si>
  <si>
    <t xml:space="preserve">m2</t>
  </si>
  <si>
    <t xml:space="preserve">XXXX PROTECCIÓN DE MOBILIARIO DURANTE LA EJECUCIÓN DE LA OBRA (DENSIDAD APROX. = 1 MUEBLE/M3)</t>
  </si>
  <si>
    <t xml:space="preserve">Suministro y colocación de láminas de polietileno transparente sobre el mobiliario (aproximadamente 1 ud/m³), solapadas entre sí al menos 15 cm y fijadas con cinta adhesiva, para protegerlo frente a la suciedad y el polvo ocasionado por los trabajos de rehabilitación.</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</si>
  <si>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</si>
  <si>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</si>
  <si>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</si>
  <si>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</si>
  <si>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</si>
  <si>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</si>
  <si>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</si>
  <si>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</si>
  <si>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</si>
  <si>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</si>
  <si>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</si>
  <si>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</si>
  <si>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</si>
  <si>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</si>
  <si>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</si>
  <si>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</si>
  <si>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</si>
  <si>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</si>
  <si>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</si>
  <si>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</si>
  <si>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</si>
  <si>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</si>
  <si>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</si>
  <si>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</si>
  <si>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</si>
  <si>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</si>
  <si>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</si>
  <si>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</si>
  <si>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PRE-MOB-PROTECCION-01.MUEBLE/M3</t>
  </si>
  <si>
    <t xml:space="preserve">PRE-MOB-PROTECCION-02.MUEBLE/M3</t>
  </si>
  <si>
    <t xml:space="preserve">Partida</t>
  </si>
  <si>
    <t xml:space="preserve">m2</t>
  </si>
  <si>
    <t xml:space="preserve">XXXX PROTECCIÓN DE MOBILIARIO DURANTE LA EJECUCIÓN DE LA OBRA (DENSIDAD APROX. = 2 MUEBLES/M3)</t>
  </si>
  <si>
    <t xml:space="preserve">Suministro y colocación de láminas de polietileno transparente sobre el mobiliario (aproximadamente 1 ud/m³), solapadas entre sí al menos 15 cm y fijadas con cinta adhesiva, para protegerlo frente a la suciedad y el polvo ocasionado por los trabajos de rehabilitación.</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</si>
  <si>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</si>
  <si>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</si>
  <si>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</si>
  <si>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</si>
  <si>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</si>
  <si>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</si>
  <si>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</si>
  <si>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</si>
  <si>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</si>
  <si>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</si>
  <si>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</si>
  <si>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</si>
  <si>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</si>
  <si>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</si>
  <si>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</si>
  <si>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</si>
  <si>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</si>
  <si>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</si>
  <si>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</si>
  <si>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</si>
  <si>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</si>
  <si>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</si>
  <si>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</si>
  <si>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</si>
  <si>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</si>
  <si>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</si>
  <si>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</si>
  <si>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</si>
  <si>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PRE-MOB-PROTECCION-02.MUEBLE/M3</t>
  </si>
  <si>
    <t xml:space="preserve">PRE-MOB-PROTECCION-03.MUEBLE/M3</t>
  </si>
  <si>
    <t xml:space="preserve">Partida</t>
  </si>
  <si>
    <t xml:space="preserve">m2</t>
  </si>
  <si>
    <t xml:space="preserve">XXXX PROTECCIÓN DE MOBILIARIO DURANTE LA EJECUCIÓN DE LA OBRA (DENSIDAD APROX. = 3 MUEBLES/M3)</t>
  </si>
  <si>
    <t xml:space="preserve">Suministro y colocación de láminas de polietileno transparente sobre el mobiliario (aproximadamente 1 ud/m³), solapadas entre sí al menos 15 cm y fijadas con cinta adhesiva, para protegerlo frente a la suciedad y el polvo ocasionado por los trabajos de rehabilitación.</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</si>
  <si>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</si>
  <si>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</si>
  <si>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</si>
  <si>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</si>
  <si>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</si>
  <si>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</si>
  <si>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</si>
  <si>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</si>
  <si>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</si>
  <si>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</si>
  <si>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</si>
  <si>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</si>
  <si>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</si>
  <si>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</si>
  <si>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</si>
  <si>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</si>
  <si>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</si>
  <si>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</si>
  <si>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</si>
  <si>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</si>
  <si>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</si>
  <si>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</si>
  <si>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</si>
  <si>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</si>
  <si>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</si>
  <si>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</si>
  <si>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</si>
  <si>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</si>
  <si>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PRE-MOB-PROTECCION-03.MUEBLE/M3</t>
  </si>
  <si>
    <t xml:space="preserve">PRE-MOB-PROTECCION-07.MUEBLE/M3</t>
  </si>
  <si>
    <t xml:space="preserve">Partida</t>
  </si>
  <si>
    <t xml:space="preserve">m2</t>
  </si>
  <si>
    <t xml:space="preserve">XXXX PROTECCIÓN DE MOBILIARIO DURANTE LA EJECUCIÓN DE LA OBRA (DENSIDAD APROX. = 7 MUEBLES/M3)</t>
  </si>
  <si>
    <t xml:space="preserve">Suministro y colocación de láminas de polietileno transparente sobre el mobiliario (aproximadamente 1 ud/m³), solapadas entre sí al menos 15 cm y fijadas con cinta adhesiva, para protegerlo frente a la suciedad y el polvo ocasionado por los trabajos de rehabilitación.</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</si>
  <si>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</si>
  <si>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</si>
  <si>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</si>
  <si>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</si>
  <si>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</si>
  <si>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</si>
  <si>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</si>
  <si>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</si>
  <si>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</si>
  <si>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</si>
  <si>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</si>
  <si>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</si>
  <si>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</si>
  <si>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</si>
  <si>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</si>
  <si>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</si>
  <si>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</si>
  <si>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</si>
  <si>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</si>
  <si>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</si>
  <si>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</si>
  <si>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</si>
  <si>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</si>
  <si>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</si>
  <si>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</si>
  <si>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</si>
  <si>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</si>
  <si>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</si>
  <si>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PRE-MOB-PROTECCION-07.MUEBLE/M3</t>
  </si>
  <si>
    <t xml:space="preserve">PRE-MOB-PROTECCION-10.MUEBLE/M3</t>
  </si>
  <si>
    <t xml:space="preserve">Partida</t>
  </si>
  <si>
    <t xml:space="preserve">m2</t>
  </si>
  <si>
    <t xml:space="preserve">XXXX PROTECCIÓN DE MOBILIARIO DURANTE LA EJECUCIÓN DE LA OBRA (DENSIDAD APROX. = 10 MUEBLES/M3)</t>
  </si>
  <si>
    <t xml:space="preserve">Suministro y colocación de láminas de polietileno transparente sobre el mobiliario (aproximadamente 1 ud/m³), solapadas entre sí al menos 15 cm y fijadas con cinta adhesiva, para protegerlo frente a la suciedad y el polvo ocasionado por los trabajos de rehabilitación.</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</si>
  <si>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</si>
  <si>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</si>
  <si>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</si>
  <si>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</si>
  <si>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</si>
  <si>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</si>
  <si>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</si>
  <si>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</si>
  <si>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</si>
  <si>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</si>
  <si>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</si>
  <si>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</si>
  <si>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</si>
  <si>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</si>
  <si>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</si>
  <si>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</si>
  <si>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</si>
  <si>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</si>
  <si>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</si>
  <si>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</si>
  <si>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</si>
  <si>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</si>
  <si>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</si>
  <si>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</si>
  <si>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</si>
  <si>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</si>
  <si>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</si>
  <si>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</si>
  <si>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PRE-MOB-PROTECCION-10.MUEBLE/M3</t>
  </si>
  <si>
    <t xml:space="preserve">PRE-MOB-TRASLADO-01.MUEBLE/M3</t>
  </si>
  <si>
    <t xml:space="preserve">Partida</t>
  </si>
  <si>
    <t xml:space="preserve">m2</t>
  </si>
  <si>
    <t xml:space="preserve">XXXX TRASLADO DE MOBILIARIO DENTRO DEL PREDIO DE LA EJECUCIÓN DE LA OBRA (DENSIDAD APROX. = 1 MUEBLE/M3 Y HASTA 500 KG/M3); MEDIANTE CARRETILLA Y/O TRANSPALETA</t>
  </si>
  <si>
    <t xml:space="preserve">Traslado de mobiliario dentro del predio de la ejecución de la obra (densidad aprox. = 1 Mueble/m3 y hasta 500 kg/m3); mediante carretilla y/o transpaleta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</si>
  <si>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</si>
  <si>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</si>
  <si>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</si>
  <si>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</si>
  <si>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</si>
  <si>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</si>
  <si>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</si>
  <si>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</si>
  <si>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</si>
  <si>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</si>
  <si>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</si>
  <si>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</si>
  <si>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</si>
  <si>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</si>
  <si>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</si>
  <si>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</si>
  <si>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</si>
  <si>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</si>
  <si>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</si>
  <si>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</si>
  <si>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PRE-MOB-TRASLADO-01.MUEBLE/M3</t>
  </si>
  <si>
    <t xml:space="preserve">PRE-MOB-TRASLADO-02.MUEBLE/M3</t>
  </si>
  <si>
    <t xml:space="preserve">Partida</t>
  </si>
  <si>
    <t xml:space="preserve">m2</t>
  </si>
  <si>
    <t xml:space="preserve">XXXX TRASLADO DE MOBILIARIO DENTRO DEL PREDIO DE LA EJECUCIÓN DE LA OBRA (DENSIDAD APROX. = 2 MUEBLES/M3 Y HASTA 500 KG/M3); MEDIANTE CARRETILLA Y/O TRANSPALETA</t>
  </si>
  <si>
    <t xml:space="preserve">Traslado de mobiliario dentro del predio de la ejecución de la obra (densidad aprox. = 2 Muebles/m3 y hasta 500 kg/m3); mediante carretilla y/o transpaleta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</si>
  <si>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</si>
  <si>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</si>
  <si>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</si>
  <si>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</si>
  <si>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</si>
  <si>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</si>
  <si>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</si>
  <si>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</si>
  <si>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</si>
  <si>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</si>
  <si>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</si>
  <si>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</si>
  <si>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</si>
  <si>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</si>
  <si>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</si>
  <si>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</si>
  <si>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</si>
  <si>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</si>
  <si>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</si>
  <si>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</si>
  <si>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PRE-MOB-TRASLADO-02.MUEBLE/M3</t>
  </si>
  <si>
    <t xml:space="preserve">PRE-MOB-TRASLADO-03.MUEBLE/M3</t>
  </si>
  <si>
    <t xml:space="preserve">Partida</t>
  </si>
  <si>
    <t xml:space="preserve">m2</t>
  </si>
  <si>
    <t xml:space="preserve">XXXX TRASLADO DE MOBILIARIO DENTRO DEL PREDIO DE LA EJECUCIÓN DE LA OBRA (DENSIDAD APROX. = 3 MUEBLES/M3 Y HASTA 500 KG/M3); MEDIANTE CARRETILLA Y/O TRANSPALETA</t>
  </si>
  <si>
    <t xml:space="preserve">Traslado de mobiliario dentro del predio de la ejecución de la obra (densidad aprox. = 3 Muebles/m3 y hasta 500 kg/m3); mediante carretilla y/o transpaleta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</si>
  <si>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</si>
  <si>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</si>
  <si>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</si>
  <si>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</si>
  <si>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</si>
  <si>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</si>
  <si>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</si>
  <si>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</si>
  <si>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</si>
  <si>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</si>
  <si>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</si>
  <si>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</si>
  <si>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</si>
  <si>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</si>
  <si>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</si>
  <si>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</si>
  <si>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</si>
  <si>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</si>
  <si>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</si>
  <si>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</si>
  <si>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PRE-MOB-TRASLADO-03.MUEBLE/M3</t>
  </si>
  <si>
    <t xml:space="preserve">PRE-MOB-TRASLADO-07.MUEBLE/M3</t>
  </si>
  <si>
    <t xml:space="preserve">Partida</t>
  </si>
  <si>
    <t xml:space="preserve">m2</t>
  </si>
  <si>
    <t xml:space="preserve">XXXX TRASLADO DE MOBILIARIO DENTRO DEL PREDIO DE LA EJECUCIÓN DE LA OBRA (DENSIDAD APROX. = 7 MUEBLES/M3 Y HASTA 500 KG/M3); MEDIANTE CARRETILLA Y/O TRANSPALETA</t>
  </si>
  <si>
    <t xml:space="preserve">Traslado de mobiliario dentro del predio de la ejecución de la obra (densidad aprox. = 7 Muebles/m3 y hasta 500 kg/m3); mediante carretilla y/o transpaleta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</si>
  <si>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</si>
  <si>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</si>
  <si>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</si>
  <si>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</si>
  <si>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</si>
  <si>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</si>
  <si>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</si>
  <si>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</si>
  <si>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</si>
  <si>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</si>
  <si>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</si>
  <si>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</si>
  <si>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</si>
  <si>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</si>
  <si>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</si>
  <si>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</si>
  <si>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</si>
  <si>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</si>
  <si>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</si>
  <si>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</si>
  <si>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PRE-MOB-TRASLADO-07.MUEBLE/M3</t>
  </si>
  <si>
    <t xml:space="preserve">PRE-SUELO-PROTECCION-01</t>
  </si>
  <si>
    <t xml:space="preserve">Partida</t>
  </si>
  <si>
    <t xml:space="preserve">m2</t>
  </si>
  <si>
    <t xml:space="preserve">XXXX PROTECCIÓN DE SUELOS EN ÁREAS INTERIORES DEL EDIFICIO DURANTE LA EJECUCIÓN DE LA OBRA</t>
  </si>
  <si>
    <t xml:space="preserve">Protección de suelos en el interior de edificios mediante cubrición con lámina plástica, cartón corrugado y cinta adhesiva, que se mantendrá durante la ejecución de la obra; no incluye posterior retirada, recogida y carga sobre contenedor</t>
  </si>
  <si>
    <t xml:space="preserve">ma-lp-00007667</t>
  </si>
  <si>
    <t xml:space="preserve">Material</t>
  </si>
  <si>
    <t xml:space="preserve">und</t>
  </si>
  <si>
    <t xml:space="preserve">Plástico cubretodo grueso MIARCO; 4x5 m/und   Ref. lp-00007667</t>
  </si>
  <si>
    <t xml:space="preserve">ma-lp-00139017</t>
  </si>
  <si>
    <t xml:space="preserve">Material</t>
  </si>
  <si>
    <t xml:space="preserve">rollo</t>
  </si>
  <si>
    <t xml:space="preserve">Cartón ondulado (50x0,90 m/rollo)   Ref. lp-00139017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</si>
  <si>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</si>
  <si>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</si>
  <si>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</si>
  <si>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</si>
  <si>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</si>
  <si>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</si>
  <si>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</si>
  <si>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</si>
  <si>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</si>
  <si>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</si>
  <si>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</si>
  <si>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</si>
  <si>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</si>
  <si>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</si>
  <si>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</si>
  <si>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</si>
  <si>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</si>
  <si>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</si>
  <si>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</si>
  <si>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</si>
  <si>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</si>
  <si>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</si>
  <si>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</si>
  <si>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</si>
  <si>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PRE-SUELO-PROTECCION-01</t>
  </si>
  <si>
    <t xml:space="preserve">PRE-SUELO.Y.PARED-PROTECCION-02</t>
  </si>
  <si>
    <t xml:space="preserve">Partida</t>
  </si>
  <si>
    <t xml:space="preserve">m2</t>
  </si>
  <si>
    <t xml:space="preserve">XXXX PROTECCIÓN DE SUELOS Y PAREDES EN PASILLOS INTERIORES DEL EDIFICIO DURANTE LA EJECUCIÓN DE LA OBRA</t>
  </si>
  <si>
    <t xml:space="preserve">Protección de suelos en el interior de edificios mediante cubrición con lámina plástica, cartón corrugado y cinta adhesiva, que se mantendrá durante la ejecución de la obra; no incluye posterior retirada, recogida y carga sobre contenedor.</t>
  </si>
  <si>
    <t xml:space="preserve">ma-lp-00007667</t>
  </si>
  <si>
    <t xml:space="preserve">Material</t>
  </si>
  <si>
    <t xml:space="preserve">und</t>
  </si>
  <si>
    <t xml:space="preserve">Plástico cubretodo grueso MIARCO; 4x5 m/und   Ref. lp-00007667</t>
  </si>
  <si>
    <t xml:space="preserve">ma-lp-00139017</t>
  </si>
  <si>
    <t xml:space="preserve">Material</t>
  </si>
  <si>
    <t xml:space="preserve">rollo</t>
  </si>
  <si>
    <t xml:space="preserve">Cartón ondulado (50x0,90 m/rollo)   Ref. lp-00139017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</si>
  <si>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</si>
  <si>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</si>
  <si>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</si>
  <si>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</si>
  <si>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</si>
  <si>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</si>
  <si>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</si>
  <si>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</si>
  <si>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</si>
  <si>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</si>
  <si>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</si>
  <si>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</si>
  <si>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</si>
  <si>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</si>
  <si>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</si>
  <si>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</si>
  <si>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</si>
  <si>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</si>
  <si>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</si>
  <si>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</si>
  <si>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</si>
  <si>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</si>
  <si>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</si>
  <si>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</si>
  <si>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PRE-SUELO.Y.PARED-PROTECCION-02</t>
  </si>
  <si>
    <t xml:space="preserve">PRE-VENTANA-PROTECCION-AT</t>
  </si>
  <si>
    <t xml:space="preserve">Partida</t>
  </si>
  <si>
    <t xml:space="preserve">m2</t>
  </si>
  <si>
    <t xml:space="preserve">XXXX PROTECCIÓN DE VENTANAS EN ÁREAS EXTERIORES DEL EDIFICIO DURANTE LA EJECUCIÓN DE LA OBRA MEDIANTE EL USO DE ANDAMIO TUBULAR</t>
  </si>
  <si>
    <t xml:space="preserve">Protección de ventanas en el exterior de edificios mediante cubrición con lámina plástica, cartón corrugado y cinta adhesiva, que se mantendrá durante la ejecución de la obra; no incluye posterior retirada, recogida y carga sobre contenedor</t>
  </si>
  <si>
    <t xml:space="preserve">ma-lp-00139017</t>
  </si>
  <si>
    <t xml:space="preserve">Material</t>
  </si>
  <si>
    <t xml:space="preserve">rollo</t>
  </si>
  <si>
    <t xml:space="preserve">Cartón ondulado (50x0,90 m/rollo)   Ref. lp-00139017</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</si>
  <si>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</si>
  <si>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</si>
  <si>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</si>
  <si>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</si>
  <si>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</si>
  <si>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</si>
  <si>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</si>
  <si>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</si>
  <si>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</si>
  <si>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</si>
  <si>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</si>
  <si>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</si>
  <si>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</si>
  <si>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</si>
  <si>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</si>
  <si>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</si>
  <si>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</si>
  <si>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</si>
  <si>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</si>
  <si>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</si>
  <si>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</si>
  <si>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</si>
  <si>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</si>
  <si>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</si>
  <si>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</si>
  <si>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</si>
  <si>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</si>
  <si>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</si>
  <si>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PRE-VENTANA-PROTECCION-AT</t>
  </si>
  <si>
    <t xml:space="preserve">AUX</t>
  </si>
  <si>
    <t xml:space="preserve">Partida</t>
  </si>
  <si>
    <t xml:space="preserve">PAR</t>
  </si>
  <si>
    <t xml:space="preserve">XXXX BORRIQUETA METALICA</t>
  </si>
  <si>
    <t xml:space="preserve">Suministro y colocacion de borriqueta metalica para la correcta ejecucion de los trabajos en parte baja de techo, formada por estructura tubular de acero, tablones de madera.</t>
  </si>
  <si>
    <t xml:space="preserve">ma-lp-00016940</t>
  </si>
  <si>
    <t xml:space="preserve">Material</t>
  </si>
  <si>
    <t xml:space="preserve">und</t>
  </si>
  <si>
    <t xml:space="preserve">Caballete/Borriqueta fija para andamio estándar (1x0,7 m/und).   Ref. lp-00016940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</si>
  <si>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</si>
  <si>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</si>
  <si>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</si>
  <si>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</si>
  <si>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</si>
  <si>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</si>
  <si>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</si>
  <si>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</si>
  <si>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</si>
  <si>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</si>
  <si>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</si>
  <si>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</si>
  <si>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</si>
  <si>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</si>
  <si>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</si>
  <si>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</si>
  <si>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</si>
  <si>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AUX</t>
  </si>
  <si>
    <t xml:space="preserve">PRE-TTMTO.CURATIVO-PARAMENTO-01</t>
  </si>
  <si>
    <t xml:space="preserve">Partida</t>
  </si>
  <si>
    <t xml:space="preserve">m2</t>
  </si>
  <si>
    <t xml:space="preserve">XXXX TRATAMIENTO CURATIVO Y PREVENTIVO ANTIMOHO Y FUNGUCIDA EN PARAMENTO DE FACHADA (FCH)</t>
  </si>
  <si>
    <t xml:space="preserve">Tratamiento curativo y preventivo antimoho y fungucida en paramento de fachada (FCH)</t>
  </si>
  <si>
    <t xml:space="preserve">ma-pintunova-01</t>
  </si>
  <si>
    <t xml:space="preserve">Material</t>
  </si>
  <si>
    <t xml:space="preserve">envase</t>
  </si>
  <si>
    <t xml:space="preserve">Limpiador de fachadas con conservante antimoho de BLATEM (5 litros/envase).   Ref. pintunova-01</t>
  </si>
  <si>
    <t xml:space="preserve">ma-ferberpainting-01</t>
  </si>
  <si>
    <t xml:space="preserve">Material</t>
  </si>
  <si>
    <t xml:space="preserve">envase</t>
  </si>
  <si>
    <t xml:space="preserve">Líquido para tratamiento fungicida de paredes FERBERPAINTING (5 litros/envase).   Ref. ferberpainting-01</t>
  </si>
  <si>
    <t xml:space="preserve">ma-pintam-01</t>
  </si>
  <si>
    <t xml:space="preserve">Material</t>
  </si>
  <si>
    <t xml:space="preserve">envase</t>
  </si>
  <si>
    <t xml:space="preserve">Limpiador FAKOLITH FK-12 para daños de Humedad+Salitre+Moho+Verdín (5 litros/envase).   Ref pintam-01</t>
  </si>
  <si>
    <t xml:space="preserve">ma-pinturas.es-01</t>
  </si>
  <si>
    <t xml:space="preserve">Material</t>
  </si>
  <si>
    <t xml:space="preserve">envase</t>
  </si>
  <si>
    <t xml:space="preserve">Líquido imprimador-saneador de fachadas con alguicida y fungicida (5 litros/envase).   Ref. pinturas.es-01</t>
  </si>
  <si>
    <t xml:space="preserve">alq-hidrolimpiadora-ra-01</t>
  </si>
  <si>
    <t xml:space="preserve">Maquinaria</t>
  </si>
  <si>
    <t xml:space="preserve">h</t>
  </si>
  <si>
    <t xml:space="preserve">Alquiler de HidroLimpiadora Eléctrica 200 bares.   Ref. RENTAIRE</t>
  </si>
  <si>
    <t xml:space="preserve">ma-lm-87907803</t>
  </si>
  <si>
    <t xml:space="preserve">Material</t>
  </si>
  <si>
    <t xml:space="preserve">envase</t>
  </si>
  <si>
    <t xml:space="preserve">Impregnante hidrófugo y fungicida SIKAGARD-711 ES; incoloro (5 litros/envase).   Ref. lm-87907803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</si>
  <si>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</si>
  <si>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</si>
  <si>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</si>
  <si>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</si>
  <si>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</si>
  <si>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</si>
  <si>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</si>
  <si>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</si>
  <si>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</si>
  <si>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</si>
  <si>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</si>
  <si>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</si>
  <si>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</si>
  <si>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</si>
  <si>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</si>
  <si>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</si>
  <si>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</si>
  <si>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</si>
  <si>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</si>
  <si>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</si>
  <si>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PRE-TTMTO.CURATIVO-PARAMENTO-01</t>
  </si>
  <si>
    <t xml:space="preserve">PRE</t>
  </si>
  <si>
    <t xml:space="preserve">PRELIMINARES</t>
  </si>
  <si>
    <t xml:space="preserve">DEMOLICIONES.Y.CONEXOS</t>
  </si>
  <si>
    <t xml:space="preserve">Capítulo</t>
  </si>
  <si>
    <t xml:space="preserve">o DEMOLICIONES, REPICADOS, DECAPADOS, REMOCIONES, DESMONTAJES</t>
  </si>
  <si>
    <t xml:space="preserve">DEM-REVESTIMIENTOS</t>
  </si>
  <si>
    <t xml:space="preserve">Capítulo</t>
  </si>
  <si>
    <t xml:space="preserve">XXXXXXXX DEMOLICIÓN DE REVESTIMIENTOS</t>
  </si>
  <si>
    <t xml:space="preserve">DEM-ALICATADOS</t>
  </si>
  <si>
    <t xml:space="preserve">Capítulo</t>
  </si>
  <si>
    <t xml:space="preserve">XXXXXXX DEMOLICIÓN DE ALICATADOS</t>
  </si>
  <si>
    <t xml:space="preserve">DEM-MAN-ALICATADO-PETREO-AT</t>
  </si>
  <si>
    <t xml:space="preserve">Partida</t>
  </si>
  <si>
    <t xml:space="preserve">m2</t>
  </si>
  <si>
    <t xml:space="preserve">XXXX DEMOLICIÓN A MANO DE ALICATADOS EN BALDOSAS HIDRÁULICAS O PÉTREAS MEDIANTE EL USO DE ANDAMIO TUBULAR</t>
  </si>
  <si>
    <t xml:space="preserve">DEMOLICIÓN A MANO DE ALICATADOS EN BALDOSAS HIDRÁULICAS O PÉTREAS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</si>
  <si>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</si>
  <si>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</si>
  <si>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</si>
  <si>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</si>
  <si>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</si>
  <si>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</si>
  <si>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</si>
  <si>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</si>
  <si>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</si>
  <si>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</si>
  <si>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</si>
  <si>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</si>
  <si>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</si>
  <si>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</si>
  <si>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</si>
  <si>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</si>
  <si>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</si>
  <si>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</si>
  <si>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</si>
  <si>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</si>
  <si>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DEM-MAN-ALICATADO-PETREO-AT</t>
  </si>
  <si>
    <t xml:space="preserve">DEM-MAN-ALICATADO-PETREO-MS</t>
  </si>
  <si>
    <t xml:space="preserve">Partida</t>
  </si>
  <si>
    <t xml:space="preserve">m2</t>
  </si>
  <si>
    <t xml:space="preserve">XXXX DEMOLICIÓN A MANO DE ALICATADOS EN BALDOSAS HIDRÁULICAS O PÉTREAS MEDIANTE EL USO DE MEDIO SUSPENDIDO/COLGADO</t>
  </si>
  <si>
    <t xml:space="preserve">DEMOLICIÓN A MANO DE ALICATADOS EN BALDOSAS HIDRÁULICAS O PÉTREAS MEDIANTE EL USO DE MEDIO SUSPENDIDO/COLGADO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</si>
  <si>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</si>
  <si>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</si>
  <si>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</si>
  <si>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</si>
  <si>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</si>
  <si>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</si>
  <si>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</si>
  <si>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</si>
  <si>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</si>
  <si>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</si>
  <si>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</si>
  <si>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</si>
  <si>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</si>
  <si>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</si>
  <si>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</si>
  <si>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</si>
  <si>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</si>
  <si>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</si>
  <si>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</si>
  <si>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</si>
  <si>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DEM-MAN-ALICATADO-PETREO-MS</t>
  </si>
  <si>
    <t xml:space="preserve">DEM-MAQ-ALICATADO-PETREO-AT</t>
  </si>
  <si>
    <t xml:space="preserve">Partida</t>
  </si>
  <si>
    <t xml:space="preserve">m2</t>
  </si>
  <si>
    <t xml:space="preserve">XXXX DEMOLICIÓN A MÁQUINA CON EQUIPO LIVIANO DE ALICATADOS EN BALDOSAS HIDRÁULICAS O PÉTREAS MEDIANTE EL USO DE ANDAMIO TUBULAR</t>
  </si>
  <si>
    <t xml:space="preserve">DEMOLICIÓN A MÁQUINA CON EQUIPO LIVIANO DE ALICATADOS EN BALDOSAS HIDRÁULICAS O PÉTREAS MEDIANTE EL USO DE ANDAMIO TUBULAR</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</si>
  <si>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</si>
  <si>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</si>
  <si>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</si>
  <si>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</si>
  <si>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</si>
  <si>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</si>
  <si>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</si>
  <si>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</si>
  <si>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</si>
  <si>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</si>
  <si>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</si>
  <si>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</si>
  <si>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</si>
  <si>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</si>
  <si>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</si>
  <si>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</si>
  <si>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</si>
  <si>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</si>
  <si>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</si>
  <si>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</si>
  <si>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</si>
  <si>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</si>
  <si>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</si>
  <si>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</si>
  <si>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</si>
  <si>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</si>
  <si>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</si>
  <si>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</si>
  <si>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</si>
  <si>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DEM-MAQ-ALICATADO-PETREO-AT</t>
  </si>
  <si>
    <t xml:space="preserve">DEM-MAQ-ALICATADO-PETREO-MS</t>
  </si>
  <si>
    <t xml:space="preserve">Partida</t>
  </si>
  <si>
    <t xml:space="preserve">m2</t>
  </si>
  <si>
    <t xml:space="preserve">XXXX DEMOLICIÓN A MÁQUINA CON EQUIPO LIVIANO DE ALICATADOS EN BALDOSAS HIDRÁULICAS O PÉTREAS MEDIANTE EL USO DE MEDIO SUSPENDIDO/COLGADO</t>
  </si>
  <si>
    <t xml:space="preserve">DEMOLICIÓN A MÁQUINA CON EQUIPO LIVIANO DE ALICATADOS EN BALDOSAS HIDRÁULICAS O PÉTREAS MEDIANTE EL USO DE MEDIO SUSPENDIDO/COLGADO</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</si>
  <si>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</si>
  <si>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</si>
  <si>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</si>
  <si>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</si>
  <si>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</si>
  <si>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</si>
  <si>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</si>
  <si>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</si>
  <si>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</si>
  <si>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</si>
  <si>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</si>
  <si>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</si>
  <si>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</si>
  <si>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</si>
  <si>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</si>
  <si>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</si>
  <si>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</si>
  <si>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</si>
  <si>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</si>
  <si>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</si>
  <si>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</si>
  <si>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</si>
  <si>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</si>
  <si>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</si>
  <si>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</si>
  <si>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</si>
  <si>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</si>
  <si>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</si>
  <si>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</si>
  <si>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DEM-MAQ-ALICATADO-PETREO-MS</t>
  </si>
  <si>
    <t xml:space="preserve">DEM-MAQ-ALICATADO-CERAMICO-AT</t>
  </si>
  <si>
    <t xml:space="preserve">Partida</t>
  </si>
  <si>
    <t xml:space="preserve">m2</t>
  </si>
  <si>
    <t xml:space="preserve">XXXX DEMOLICIÓN A MÁQUINA CON EQUIPO LIVIANO DE ALICATADOS CERÁMICOS MEDIANTE EL USO DE ANDAMIO TUBULAR</t>
  </si>
  <si>
    <t xml:space="preserve">DEMOLICIÓN A MÁQUINA CON EQUIPO LIVIANO DE ALICATADOS CERÁMICOS MEDIANTE EL USO DE ANDAMIO TUBULAR</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</si>
  <si>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</si>
  <si>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</si>
  <si>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</si>
  <si>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</si>
  <si>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</si>
  <si>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</si>
  <si>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</si>
  <si>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</si>
  <si>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</si>
  <si>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</si>
  <si>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</si>
  <si>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</si>
  <si>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</si>
  <si>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</si>
  <si>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</si>
  <si>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</si>
  <si>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</si>
  <si>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</si>
  <si>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</si>
  <si>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</si>
  <si>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</si>
  <si>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</si>
  <si>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</si>
  <si>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</si>
  <si>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</si>
  <si>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</si>
  <si>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</si>
  <si>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</si>
  <si>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</si>
  <si>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DEM-MAQ-ALICATADO-CERAMICO-AT</t>
  </si>
  <si>
    <t xml:space="preserve">DEM-MAQ-ALICATADO-CERAMICO-MS</t>
  </si>
  <si>
    <t xml:space="preserve">Partida</t>
  </si>
  <si>
    <t xml:space="preserve">m2</t>
  </si>
  <si>
    <t xml:space="preserve">XXXX DEMOLICIÓN A MÁQUINA CON EQUIPO LIVIANO DE ALICATADOS CERÁMICOS MEDIANTE EL USO DE MEDIO SUSPENDIDO/COLGADO</t>
  </si>
  <si>
    <t xml:space="preserve">DEMOLICIÓN A MÁQUINA CON EQUIPO LIVIANO DE ALICATADOS CERÁMICOS MEDIANTE EL USO DE MEDIO SUSPENDIDO/COLGADO</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</si>
  <si>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</si>
  <si>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</si>
  <si>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</si>
  <si>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</si>
  <si>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</si>
  <si>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</si>
  <si>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</si>
  <si>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</si>
  <si>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</si>
  <si>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</si>
  <si>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</si>
  <si>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</si>
  <si>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</si>
  <si>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</si>
  <si>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</si>
  <si>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</si>
  <si>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</si>
  <si>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</si>
  <si>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</si>
  <si>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</si>
  <si>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</si>
  <si>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</si>
  <si>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</si>
  <si>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</si>
  <si>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</si>
  <si>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</si>
  <si>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</si>
  <si>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</si>
  <si>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</si>
  <si>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DEM-MAQ-ALICATADO-CERAMICO-MS</t>
  </si>
  <si>
    <t xml:space="preserve">DEM-ALICATADOS</t>
  </si>
  <si>
    <t xml:space="preserve">DEM-APLACADOS</t>
  </si>
  <si>
    <t xml:space="preserve">Capítulo</t>
  </si>
  <si>
    <t xml:space="preserve">XXXXXXX DEMOLICIÓN DE APLACADOS</t>
  </si>
  <si>
    <t xml:space="preserve">DEM-MAN-APLACADO-PETREO-AT</t>
  </si>
  <si>
    <t xml:space="preserve">Partida</t>
  </si>
  <si>
    <t xml:space="preserve">m2</t>
  </si>
  <si>
    <t xml:space="preserve">XXXX DEMOLICIÓN A MANO DE APLACADOS EN BALDOSAS HIDRÁULICAS O PÉTREAS ARTIFICIALES MEDIANTE EL USO DE ANDAMIO TUBULAR</t>
  </si>
  <si>
    <t xml:space="preserve">DEMOLICIÓN A MANO DE APLACADOS EN BALDOSAS HIDRÁULICAS O PÉTREAS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</si>
  <si>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</si>
  <si>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</si>
  <si>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</si>
  <si>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</si>
  <si>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</si>
  <si>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</si>
  <si>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</si>
  <si>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</si>
  <si>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</si>
  <si>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</si>
  <si>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</si>
  <si>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</si>
  <si>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</si>
  <si>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</si>
  <si>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</si>
  <si>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</si>
  <si>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</si>
  <si>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</si>
  <si>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</si>
  <si>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</si>
  <si>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DEM-MAN-APLACADO-PETREO-AT</t>
  </si>
  <si>
    <t xml:space="preserve">DEM-MAN-APLACADO-PETREO-MS</t>
  </si>
  <si>
    <t xml:space="preserve">Partida</t>
  </si>
  <si>
    <t xml:space="preserve">m2</t>
  </si>
  <si>
    <t xml:space="preserve">XXXX DEMOLICIÓN A MANO DE APLACADOS EN BALDOSAS HIDRÁULICAS O PÉTREAS ARTIFICIALES MEDIANTE EL USO DE MEDIO SUSPENDIDO/COLGADO</t>
  </si>
  <si>
    <t xml:space="preserve">DEMOLICIÓN A MANO DE APLACADOS EN BALDOSAS HIDRÁULICAS O PÉTREAS ARTIFICIALES MEDIANTE EL USO DE MEDIO SUSPENDIDO/COLGADO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</si>
  <si>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</si>
  <si>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</si>
  <si>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</si>
  <si>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</si>
  <si>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</si>
  <si>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</si>
  <si>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</si>
  <si>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</si>
  <si>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</si>
  <si>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</si>
  <si>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</si>
  <si>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</si>
  <si>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</si>
  <si>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</si>
  <si>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</si>
  <si>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</si>
  <si>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</si>
  <si>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</si>
  <si>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</si>
  <si>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</si>
  <si>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DEM-MAN-APLACADO-PETREO-MS</t>
  </si>
  <si>
    <t xml:space="preserve">DEM-MAQ-APLACADO-PETREO-AT</t>
  </si>
  <si>
    <t xml:space="preserve">Partida</t>
  </si>
  <si>
    <t xml:space="preserve">m2</t>
  </si>
  <si>
    <t xml:space="preserve">XXXX DEMOLICIÓN A MÁQUINA CON EQUIPO LIVIANO DE APLACADOS EN BALDOSAS HIDRÁULICAS O PÉTREAS ARTIFICIALES (FCH)</t>
  </si>
  <si>
    <t xml:space="preserve">DEMOLICIÓN A MÁQUINA CON EQUIPO LIVIANO DE APLACADOS EN BALDOSAS HIDRÁULICAS O PÉTREAS ARTIFICIALES MEDIANTE EL USO DE ANDAMIO TUBULAR</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</si>
  <si>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</si>
  <si>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</si>
  <si>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</si>
  <si>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</si>
  <si>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</si>
  <si>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</si>
  <si>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</si>
  <si>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</si>
  <si>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</si>
  <si>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</si>
  <si>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</si>
  <si>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</si>
  <si>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</si>
  <si>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</si>
  <si>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</si>
  <si>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</si>
  <si>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</si>
  <si>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</si>
  <si>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</si>
  <si>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</si>
  <si>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</si>
  <si>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</si>
  <si>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</si>
  <si>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</si>
  <si>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</si>
  <si>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</si>
  <si>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</si>
  <si>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</si>
  <si>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</si>
  <si>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DEM-MAQ-APLACADO-PETREO-AT</t>
  </si>
  <si>
    <t xml:space="preserve">DEM-MAQ-APLACADO-PETREO-MS</t>
  </si>
  <si>
    <t xml:space="preserve">Partida</t>
  </si>
  <si>
    <t xml:space="preserve">m2</t>
  </si>
  <si>
    <t xml:space="preserve">XXXX DEMOLICIÓN A MÁQUINA CON EQUIPO LIVIANO DE APLACADOS EN BALDOSAS HIDRÁULICAS O PÉTREAS ARTIFICIALES MEDIANTE EL USO DE MEDIO SUSPENDIDO/COLGADO</t>
  </si>
  <si>
    <t xml:space="preserve">DEMOLICIÓN A MÁQUINA CON EQUIPO LIVIANO DE APLACADOS EN BALDOSAS HIDRÁULICAS O PÉTREAS ARTIFICIALES MEDIANTE EL USO DE MEDIO SUSPENDIDO/COLGADO</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</si>
  <si>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</si>
  <si>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</si>
  <si>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</si>
  <si>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</si>
  <si>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</si>
  <si>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</si>
  <si>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</si>
  <si>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</si>
  <si>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</si>
  <si>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</si>
  <si>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</si>
  <si>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</si>
  <si>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</si>
  <si>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</si>
  <si>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</si>
  <si>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</si>
  <si>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</si>
  <si>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</si>
  <si>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</si>
  <si>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</si>
  <si>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</si>
  <si>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</si>
  <si>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</si>
  <si>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</si>
  <si>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</si>
  <si>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</si>
  <si>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</si>
  <si>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</si>
  <si>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</si>
  <si>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DEM-MAQ-APLACADO-PETREO-MS</t>
  </si>
  <si>
    <t xml:space="preserve">DEM-MAN-APLACADO-CERAMICO-AT</t>
  </si>
  <si>
    <t xml:space="preserve">Partida</t>
  </si>
  <si>
    <t xml:space="preserve">m2</t>
  </si>
  <si>
    <t xml:space="preserve">XXXX DEMOLICIÓN A MANO DE APLACADOS CERÁMICOS MEDIANTE EL USO DE ANDAMIO TUBULAR</t>
  </si>
  <si>
    <t xml:space="preserve">APLACADO A MANO DE APLACADOS CERÁMICOS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</si>
  <si>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</si>
  <si>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</si>
  <si>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</si>
  <si>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</si>
  <si>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</si>
  <si>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</si>
  <si>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</si>
  <si>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</si>
  <si>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</si>
  <si>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</si>
  <si>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</si>
  <si>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</si>
  <si>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</si>
  <si>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</si>
  <si>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</si>
  <si>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</si>
  <si>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</si>
  <si>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</si>
  <si>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</si>
  <si>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</si>
  <si>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DEM-MAN-APLACADO-CERAMICO-AT</t>
  </si>
  <si>
    <t xml:space="preserve">DEM-MAN-APLACADO-CERAMICO-MS</t>
  </si>
  <si>
    <t xml:space="preserve">Partida</t>
  </si>
  <si>
    <t xml:space="preserve">m2</t>
  </si>
  <si>
    <t xml:space="preserve">XXXX DEMOLICIÓN A MANO DE APLACADOS CERÁMICOS MEDIANTE EL USO DE MEDIO SUSPENDIDO/COLGADO</t>
  </si>
  <si>
    <t xml:space="preserve">DEMOLICIÓN A MANO DE APLACADOS CERÁMICOS MEDIANTE EL USO DE MEDIO SUSPENDIDO/COLGADO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</si>
  <si>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</si>
  <si>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</si>
  <si>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</si>
  <si>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</si>
  <si>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</si>
  <si>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</si>
  <si>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</si>
  <si>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</si>
  <si>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</si>
  <si>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</si>
  <si>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</si>
  <si>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</si>
  <si>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</si>
  <si>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</si>
  <si>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</si>
  <si>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</si>
  <si>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</si>
  <si>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</si>
  <si>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</si>
  <si>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</si>
  <si>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DEM-MAN-APLACADO-CERAMICO-MS</t>
  </si>
  <si>
    <t xml:space="preserve">DEM-MAQ-APLACADO-CERAMICO-AT</t>
  </si>
  <si>
    <t xml:space="preserve">Partida</t>
  </si>
  <si>
    <t xml:space="preserve">m2</t>
  </si>
  <si>
    <t xml:space="preserve">XXXX DEMOLICIÓN A MÁQUINA CON EQUIPO LIVIANO DE APLACADOS CERÁMICOS MEDIANTE EL USO DE ANDAMIO TUBULAR</t>
  </si>
  <si>
    <t xml:space="preserve">DEMOLICIÓN A MÁQUINA CON EQUIPO LIVIANO DE APLACADOS CERÁMICOS MEDIANTE EL USO DE ANDAMIO TUBULAR</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</si>
  <si>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</si>
  <si>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</si>
  <si>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</si>
  <si>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</si>
  <si>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</si>
  <si>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</si>
  <si>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</si>
  <si>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</si>
  <si>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</si>
  <si>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</si>
  <si>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</si>
  <si>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</si>
  <si>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</si>
  <si>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</si>
  <si>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</si>
  <si>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</si>
  <si>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</si>
  <si>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</si>
  <si>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</si>
  <si>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</si>
  <si>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</si>
  <si>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</si>
  <si>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</si>
  <si>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</si>
  <si>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</si>
  <si>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</si>
  <si>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</si>
  <si>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</si>
  <si>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</si>
  <si>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DEM-MAQ-APLACADO-CERAMICO-AT</t>
  </si>
  <si>
    <t xml:space="preserve">DEM-MAQ-APLACADO-CERAMICO-MS</t>
  </si>
  <si>
    <t xml:space="preserve">Partida</t>
  </si>
  <si>
    <t xml:space="preserve">m2</t>
  </si>
  <si>
    <t xml:space="preserve">XXXX DEMOLICIÓN A MÁQUINA CON EQUIPO LIVIANO DE APLACADOS CERÁMICOS MEDIANTE EL USO DE MEDIO SUSPENDIDO/COLGADO</t>
  </si>
  <si>
    <t xml:space="preserve">DEMOLICIÓN A MÁQUINA CON EQUIPO LIVIANO DE APLACADOS CERÁMICOS MEDIANTE EL USO DE MEDIO SUSPENDIDO/COLGADO</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</si>
  <si>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</si>
  <si>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</si>
  <si>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</si>
  <si>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</si>
  <si>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</si>
  <si>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</si>
  <si>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</si>
  <si>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</si>
  <si>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</si>
  <si>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</si>
  <si>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</si>
  <si>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</si>
  <si>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</si>
  <si>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</si>
  <si>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</si>
  <si>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</si>
  <si>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</si>
  <si>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</si>
  <si>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</si>
  <si>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</si>
  <si>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</si>
  <si>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</si>
  <si>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</si>
  <si>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</si>
  <si>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</si>
  <si>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</si>
  <si>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</si>
  <si>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</si>
  <si>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</si>
  <si>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DEM-MAQ-APLACADO-CERAMICO-MS</t>
  </si>
  <si>
    <t xml:space="preserve">DEM-APLACADOS</t>
  </si>
  <si>
    <t xml:space="preserve">DEM-BOVEDA.DE.FABRICA</t>
  </si>
  <si>
    <t xml:space="preserve">Capítulo</t>
  </si>
  <si>
    <t xml:space="preserve">XXXXXXX DEMOLICIÓN DE BÓVEDA DE FABRICA</t>
  </si>
  <si>
    <t xml:space="preserve">DEM-BOVEDA.DE.FABRICA</t>
  </si>
  <si>
    <t xml:space="preserve">DEM-ENFOSCADOS</t>
  </si>
  <si>
    <t xml:space="preserve">Capítulo</t>
  </si>
  <si>
    <t xml:space="preserve">XXXXXXX DEMOLICIÓN DE ENFOSCADOS</t>
  </si>
  <si>
    <t xml:space="preserve">DEM-ENFOSCADO-CANTO.FORJA-30-AT</t>
  </si>
  <si>
    <t xml:space="preserve">Partida</t>
  </si>
  <si>
    <t xml:space="preserve">m</t>
  </si>
  <si>
    <t xml:space="preserve">XXXX DEMOLICIÓN A MANO DE ENFOSCADO EN CANTO DE FORJADO (ancho &lt;= 30 cm) MEDIANTE EL USO DE ANDAMIO TUBULAR</t>
  </si>
  <si>
    <t xml:space="preserve">DEMOLICIÓN A MANO DE ENFOSCADO EN CANTO DE FORJADO (ancho &lt;= 30 cm)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</si>
  <si>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</si>
  <si>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</si>
  <si>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</si>
  <si>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</si>
  <si>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</si>
  <si>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</si>
  <si>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</si>
  <si>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</si>
  <si>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</si>
  <si>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</si>
  <si>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</si>
  <si>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</si>
  <si>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</si>
  <si>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</si>
  <si>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</si>
  <si>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</si>
  <si>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</si>
  <si>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</si>
  <si>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</si>
  <si>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</si>
  <si>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DEM-ENFOSCADO-CANTO.FORJA-30-AT</t>
  </si>
  <si>
    <t xml:space="preserve">DEM-ENFOSCADO-CANTO.FORJA-30-MS</t>
  </si>
  <si>
    <t xml:space="preserve">Partida</t>
  </si>
  <si>
    <t xml:space="preserve">m</t>
  </si>
  <si>
    <t xml:space="preserve">XXXX DEMOLICIÓN A MANO DE ENFOSCADO EN CANTO DE FORJADO (ancho &lt;= 30 cm) MEDIANTE EL USO DE MEDIO SUSPENDIDO/COLGADO</t>
  </si>
  <si>
    <t xml:space="preserve">DEMOLICIÓN A MANO DE ENFOSCADO EN CANTO DE FORJADO (ancho &lt;= 30 cm) MEDIANTE EL USO DE MEDIO SUSPENDIDO/COLGADO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</si>
  <si>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</si>
  <si>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</si>
  <si>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</si>
  <si>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</si>
  <si>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</si>
  <si>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</si>
  <si>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</si>
  <si>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</si>
  <si>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</si>
  <si>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</si>
  <si>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</si>
  <si>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</si>
  <si>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</si>
  <si>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</si>
  <si>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</si>
  <si>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</si>
  <si>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</si>
  <si>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</si>
  <si>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</si>
  <si>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</si>
  <si>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DEM-ENFOSCADO-CANTO.FORJA-30-MS</t>
  </si>
  <si>
    <t xml:space="preserve">DEM-ENFOSCADO-CANTO.FORJA-50-AT</t>
  </si>
  <si>
    <t xml:space="preserve">Partida</t>
  </si>
  <si>
    <t xml:space="preserve">m</t>
  </si>
  <si>
    <t xml:space="preserve">XXXX DEMOLICIÓN A MANO DE ENFOSCADO EN CANTO DE FORJADO (30 cm &lt; ancho &lt;= 50 cm) MEDIANTE EL USO DE ANDAMIO TUBULAR</t>
  </si>
  <si>
    <t xml:space="preserve">DEMOLICIÓN A MANO DE ENFOSCADO EN CANTO DE FORJADO (30 cm &lt; ancho &lt;= 50 cm)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</si>
  <si>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</si>
  <si>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</si>
  <si>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</si>
  <si>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</si>
  <si>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</si>
  <si>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</si>
  <si>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</si>
  <si>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</si>
  <si>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</si>
  <si>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</si>
  <si>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</si>
  <si>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</si>
  <si>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</si>
  <si>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</si>
  <si>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</si>
  <si>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</si>
  <si>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</si>
  <si>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</si>
  <si>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</si>
  <si>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</si>
  <si>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DEM-ENFOSCADO-CANTO.FORJA-50-AT</t>
  </si>
  <si>
    <t xml:space="preserve">DEM-ENFOSCADO-CANTO.FORJA-50-MS</t>
  </si>
  <si>
    <t xml:space="preserve">Partida</t>
  </si>
  <si>
    <t xml:space="preserve">m</t>
  </si>
  <si>
    <t xml:space="preserve">XXXX DEMOLICIÓN A MANO DE ENFOSCADO EN CANTO DE FORJADO (30 cm &lt; ancho &lt;= 50 cm) MEDIANTE EL USO DE MEDIO SUSPENDIDO/COLGADO</t>
  </si>
  <si>
    <t xml:space="preserve">DEMOLICIÓN A MANO DE ENFOSCADO EN CANTO DE FORJADO (30 cm &lt; ancho &lt;= 50 cm) MEDIANTE EL USO DE MEDIO SUSPENDIDO/COLGADO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</si>
  <si>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</si>
  <si>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</si>
  <si>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</si>
  <si>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</si>
  <si>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</si>
  <si>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</si>
  <si>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</si>
  <si>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</si>
  <si>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</si>
  <si>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</si>
  <si>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</si>
  <si>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</si>
  <si>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</si>
  <si>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</si>
  <si>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</si>
  <si>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</si>
  <si>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</si>
  <si>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</si>
  <si>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</si>
  <si>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</si>
  <si>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DEM-ENFOSCADO-CANTO.FORJA-50-MS</t>
  </si>
  <si>
    <t xml:space="preserve">DEM-ENFOSCADOS</t>
  </si>
  <si>
    <t xml:space="preserve">DEM-HORMIGON</t>
  </si>
  <si>
    <t xml:space="preserve">Capítulo</t>
  </si>
  <si>
    <t xml:space="preserve">XXXXXXX DEMOLICIÓN DE HORMIGÓN</t>
  </si>
  <si>
    <t xml:space="preserve">DEM-RECUBRIMIENTO</t>
  </si>
  <si>
    <t xml:space="preserve">Capítulo</t>
  </si>
  <si>
    <t xml:space="preserve">XXXXXX DEMOLICIÓN DE CAPA DE RECUBRIMIENTO DE HORMIGÓN</t>
  </si>
  <si>
    <t xml:space="preserve">DEM-RECUBRIMIENTO</t>
  </si>
  <si>
    <t xml:space="preserve">DEM-HORMIGON</t>
  </si>
  <si>
    <t xml:space="preserve">DEM-IMPERMEABILIZACIONES</t>
  </si>
  <si>
    <t xml:space="preserve">Capítulo</t>
  </si>
  <si>
    <t xml:space="preserve">XXXXXXX DEMOLICIONES DE IMPERMEABILIZACIONES</t>
  </si>
  <si>
    <t xml:space="preserve">DEM-PAV.y.IMPERMEABILIZACION-GCA</t>
  </si>
  <si>
    <t xml:space="preserve">Partida</t>
  </si>
  <si>
    <t xml:space="preserve">m2</t>
  </si>
  <si>
    <t xml:space="preserve">XXXX DEMOLICIÓN DE PAVIMENTO E IMPERMEABILIZACIÓN EXISTENTES (GRADO DE COMPLEJIDAD ALTO)</t>
  </si>
  <si>
    <t xml:space="preserve">DEMOLICIÓN DE PAVIMENTO E IMPERMEABILIZACIÓN EXISTENTES (GRADO DE COMPLEJIDAD ALTO)</t>
  </si>
  <si>
    <t xml:space="preserve">alq-martillo-mym-16kg</t>
  </si>
  <si>
    <t xml:space="preserve">Maquinaria</t>
  </si>
  <si>
    <t xml:space="preserve">h</t>
  </si>
  <si>
    <t xml:space="preserve">Alquiler de Martillo Eléctrico Picador-Demoledor 16 kg.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</si>
  <si>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</si>
  <si>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</si>
  <si>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</si>
  <si>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</si>
  <si>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</si>
  <si>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</si>
  <si>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</si>
  <si>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</si>
  <si>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</si>
  <si>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</si>
  <si>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</si>
  <si>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</si>
  <si>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</si>
  <si>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</si>
  <si>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</si>
  <si>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</si>
  <si>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</si>
  <si>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</si>
  <si>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</si>
  <si>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</si>
  <si>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DEM-PAV.y.IMPERMEABILIZACION-GCA</t>
  </si>
  <si>
    <t xml:space="preserve">DEM-IMPERMEABILIZACIONES</t>
  </si>
  <si>
    <t xml:space="preserve">DEM-SOLADOS</t>
  </si>
  <si>
    <t xml:space="preserve">Capítulo</t>
  </si>
  <si>
    <t xml:space="preserve">XXXXXXX DEMOLICIÓN DE SOLADOS</t>
  </si>
  <si>
    <t xml:space="preserve">DEM-SOLADOS-01</t>
  </si>
  <si>
    <t xml:space="preserve">Partida</t>
  </si>
  <si>
    <t xml:space="preserve">m2</t>
  </si>
  <si>
    <t xml:space="preserve">XXXX DEMOLICIÓN A MANO DE SOLADO CERÁMICO</t>
  </si>
  <si>
    <t xml:space="preserve">DEMOLICIÓN A MANO DE SOLADO CERÁMICO</t>
  </si>
  <si>
    <t xml:space="preserve">DEM-SOLADOS-02</t>
  </si>
  <si>
    <t xml:space="preserve">Partida</t>
  </si>
  <si>
    <t xml:space="preserve">m2</t>
  </si>
  <si>
    <t xml:space="preserve">XXXX DEMOLICIÓN A MANO DE SOLADO EN BALDOSAS HIDRÁULICAS O PÉTREAS ARTIFICIALES</t>
  </si>
  <si>
    <t xml:space="preserve">DEMOLICIÓN A MANO DE SOLADO EN BALDOSAS HIDRÁULICAS O PÉTREAS ARTIFICIALES</t>
  </si>
  <si>
    <t xml:space="preserve">DEM-SOLADOS-03</t>
  </si>
  <si>
    <t xml:space="preserve">Partida</t>
  </si>
  <si>
    <t xml:space="preserve">m2</t>
  </si>
  <si>
    <t xml:space="preserve">XXXX DEMOLICIÓN A MÁQUINA DE SOLADO CERÁMICO</t>
  </si>
  <si>
    <t xml:space="preserve">DEMOLICIÓN A MÁQUINA DE SOLADO CERÁMICO</t>
  </si>
  <si>
    <t xml:space="preserve">DEM-SOLADOS-04</t>
  </si>
  <si>
    <t xml:space="preserve">Partida</t>
  </si>
  <si>
    <t xml:space="preserve">m2</t>
  </si>
  <si>
    <t xml:space="preserve">XXXX DEMOLICIÓN A MÁQUINA DE SOLADO EN BALDOSAS HIDRÁULICAS O PÉTREAS ARTIFICIALES</t>
  </si>
  <si>
    <t xml:space="preserve">DEMOLICIÓN A MÁQUINA DE SOLADO EN BALDOSAS HIDRÁULICAS O PÉTREAS ARTIFICIALES</t>
  </si>
  <si>
    <t xml:space="preserve">DEM-SOLADOS</t>
  </si>
  <si>
    <t xml:space="preserve">DEM-SOLERAS</t>
  </si>
  <si>
    <t xml:space="preserve">Capítulo</t>
  </si>
  <si>
    <t xml:space="preserve">XXXXXXX DEMOLICIÓN DE SOLERAS</t>
  </si>
  <si>
    <t xml:space="preserve">DEM-SOLERAS-01</t>
  </si>
  <si>
    <t xml:space="preserve">Partida</t>
  </si>
  <si>
    <t xml:space="preserve">m2</t>
  </si>
  <si>
    <t xml:space="preserve">XXXXXX DEMOLICIÓN A MÁQUINA CON EQUIPO liviano DE SOLERA DE HORMIGÓN ARMADO (e=15 cm)</t>
  </si>
  <si>
    <t xml:space="preserve">DEMOLICIÓN A MÁQUINA CON EQUIPO LIVIANO DE SOLERA DE HORMIGÓN ARMADO (e=15 cm)</t>
  </si>
  <si>
    <t xml:space="preserve">alq-martillo-mym-16kg</t>
  </si>
  <si>
    <t xml:space="preserve">Maquinaria</t>
  </si>
  <si>
    <t xml:space="preserve">h</t>
  </si>
  <si>
    <t xml:space="preserve">Alquiler de Martillo Eléctrico Picador-Demoledor 16 kg.   Ref. MÁQUINAS Y MÁQUINAS</t>
  </si>
  <si>
    <t xml:space="preserve">alq-demoledor-mf-0088381693349</t>
  </si>
  <si>
    <t xml:space="preserve">Partida</t>
  </si>
  <si>
    <t xml:space="preserve">h</t>
  </si>
  <si>
    <t xml:space="preserve">Alquiler de Martillo Demoledor Eléctrico MAKITA HM1812 2000W (32 kg)   Ref. 0088381693349</t>
  </si>
  <si>
    <t xml:space="preserve">mq-mf-0088381693349</t>
  </si>
  <si>
    <t xml:space="preserve">Maquinaria</t>
  </si>
  <si>
    <t xml:space="preserve">und</t>
  </si>
  <si>
    <t xml:space="preserve">Martillo Demoledor Eléctrico MAKITA HM1812 2000W (32 kg)   Ref. 0088381693349</t>
  </si>
  <si>
    <t xml:space="preserve">alq-demoledor-mf-0088381693349</t>
  </si>
  <si>
    <t xml:space="preserve">alq-soplete-mym-01</t>
  </si>
  <si>
    <t xml:space="preserve">Maquinaria</t>
  </si>
  <si>
    <t xml:space="preserve">h</t>
  </si>
  <si>
    <t xml:space="preserve">Alquiler de Equipo de Oxi-Corte.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</si>
  <si>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</si>
  <si>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</si>
  <si>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</si>
  <si>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</si>
  <si>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</si>
  <si>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</si>
  <si>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</si>
  <si>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</si>
  <si>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</si>
  <si>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</si>
  <si>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</si>
  <si>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</si>
  <si>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</si>
  <si>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</si>
  <si>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</si>
  <si>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</si>
  <si>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</si>
  <si>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</si>
  <si>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</si>
  <si>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</si>
  <si>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DEM-SOLERAS-01</t>
  </si>
  <si>
    <t xml:space="preserve">DEM-SOLERAS-02</t>
  </si>
  <si>
    <t xml:space="preserve">Partida</t>
  </si>
  <si>
    <t xml:space="preserve">m2</t>
  </si>
  <si>
    <t xml:space="preserve">XXXX DEMOLICIÓN A MÁQUINA CON EQUIPO PESADO DE SOLERA DE HORMIGÓN ARMADO (e=20 cm)</t>
  </si>
  <si>
    <t xml:space="preserve">DEMOLICIÓN A MÁQUINA CON EQUIPO PESADO DE SOLERA DE HORMIGÓN ARMADO (e=20 cm)</t>
  </si>
  <si>
    <t xml:space="preserve">alq-martillo.neum.rompedor-ra-01</t>
  </si>
  <si>
    <t xml:space="preserve">Maquinaria</t>
  </si>
  <si>
    <t xml:space="preserve">h</t>
  </si>
  <si>
    <t xml:space="preserve">Alquiler de Martillo Neumático Rompedor 24 kg (Longitud 686 mm; Consumo de Aire: 1,25 m3).   Ref. RENTAIRE</t>
  </si>
  <si>
    <t xml:space="preserve">alq-martillo.neum.picador-ra-01</t>
  </si>
  <si>
    <t xml:space="preserve">Maquinaria</t>
  </si>
  <si>
    <t xml:space="preserve">h</t>
  </si>
  <si>
    <t xml:space="preserve">Alquiler de Martillo Neumático Picador 10 kg (Longitud 490 mm; Consumo de Aire: 0,95 m3).   Ref. RENTAIRE</t>
  </si>
  <si>
    <t xml:space="preserve">alq-compresor-ra-01</t>
  </si>
  <si>
    <t xml:space="preserve">Maquinaria</t>
  </si>
  <si>
    <t xml:space="preserve">h</t>
  </si>
  <si>
    <t xml:space="preserve">Alquiler de Compresor Móvil 4litros/8kg presión, Caudal 4.000 LPM, Peso 1.025 kg.   Ref. RENTAIRE</t>
  </si>
  <si>
    <t xml:space="preserve">alq-soplete-mym-01</t>
  </si>
  <si>
    <t xml:space="preserve">Maquinaria</t>
  </si>
  <si>
    <t xml:space="preserve">h</t>
  </si>
  <si>
    <t xml:space="preserve">Alquiler de Equipo de Oxi-Corte.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</si>
  <si>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</si>
  <si>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</si>
  <si>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</si>
  <si>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</si>
  <si>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</si>
  <si>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</si>
  <si>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</si>
  <si>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</si>
  <si>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</si>
  <si>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</si>
  <si>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</si>
  <si>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</si>
  <si>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</si>
  <si>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</si>
  <si>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</si>
  <si>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</si>
  <si>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</si>
  <si>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</si>
  <si>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</si>
  <si>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</si>
  <si>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DEM-SOLERAS-02</t>
  </si>
  <si>
    <t xml:space="preserve">DEM-SOLERAS</t>
  </si>
  <si>
    <t xml:space="preserve">DEM-VIERTEAGUAS-MIMBELES</t>
  </si>
  <si>
    <t xml:space="preserve">Capítulo</t>
  </si>
  <si>
    <t xml:space="preserve">XXXXXXX DEMOLICIÓN DE VIERTEAGUAS Y MIMBELES</t>
  </si>
  <si>
    <t xml:space="preserve">DEM-CUBREMUROS</t>
  </si>
  <si>
    <t xml:space="preserve">Capítulo</t>
  </si>
  <si>
    <t xml:space="preserve">XXXXXX DEMOLICIÓN DE CUBREMUROS Y PASAMANOS EN MUROS DE CORONACIÓN</t>
  </si>
  <si>
    <t xml:space="preserve">DEM-CUBREMUROS</t>
  </si>
  <si>
    <t xml:space="preserve">DEM-MIMBELES</t>
  </si>
  <si>
    <t xml:space="preserve">Capítulo</t>
  </si>
  <si>
    <t xml:space="preserve">XXXXXX DEMOLICIÓN DE MIMBELES</t>
  </si>
  <si>
    <t xml:space="preserve">DEM-MIMBELES</t>
  </si>
  <si>
    <t xml:space="preserve">DEM-VIERTEAGUAS</t>
  </si>
  <si>
    <t xml:space="preserve">Capítulo</t>
  </si>
  <si>
    <t xml:space="preserve">XXXXXX DEMOLICIÓN DE VIERTEAGUAS</t>
  </si>
  <si>
    <t xml:space="preserve">DEM-VIERTEAGUAS</t>
  </si>
  <si>
    <t xml:space="preserve">DEM-VIERTEAGUAS-MIMBELES</t>
  </si>
  <si>
    <t xml:space="preserve">DEM-REVESTIMIENTOS</t>
  </si>
  <si>
    <t xml:space="preserve">DEMOLICIONES-HEBERT</t>
  </si>
  <si>
    <t xml:space="preserve">Capítulo</t>
  </si>
  <si>
    <t xml:space="preserve">o DEMOLICIONES OK</t>
  </si>
  <si>
    <t xml:space="preserve">DEM001</t>
  </si>
  <si>
    <t xml:space="preserve">Partida</t>
  </si>
  <si>
    <t xml:space="preserve">M2</t>
  </si>
  <si>
    <t xml:space="preserve">o DEMOLICIÓN DE FALSO TECHO EN PLADUR ( RE / VE / BT / BJ / MT / AM / RF )</t>
  </si>
  <si>
    <t xml:space="preserve">Demolición de falso techo continuo de placas de yeso o de escayola, situado a una altura menor de 4 m, con medios manuales, sin deteriorar los elementos constructivos contiguos, y carga manual sobre camión o contenedor. El precio incluye la demolición de la estructura metálica de sujeción.</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</si>
  <si>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</si>
  <si>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</si>
  <si>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</si>
  <si>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</si>
  <si>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</si>
  <si>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</si>
  <si>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</si>
  <si>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</si>
  <si>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</si>
  <si>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</si>
  <si>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</si>
  <si>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</si>
  <si>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</si>
  <si>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</si>
  <si>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</si>
  <si>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</si>
  <si>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</si>
  <si>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</si>
  <si>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</si>
  <si>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</si>
  <si>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DEM001</t>
  </si>
  <si>
    <t xml:space="preserve">DEM002</t>
  </si>
  <si>
    <t xml:space="preserve">Partida</t>
  </si>
  <si>
    <t xml:space="preserve">M2</t>
  </si>
  <si>
    <t xml:space="preserve">o DEMOLICION DE MURO DE FABRICA ( RE / VE / BT / BJ / MT / AM / RF )</t>
  </si>
  <si>
    <t xml:space="preserve">Demolición de partición interior de muro, formada por ladrillo macizo de 11/12 cm de espesor, con medios manuales, sin afectar a la estabilidad de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</si>
  <si>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</si>
  <si>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</si>
  <si>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</si>
  <si>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</si>
  <si>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</si>
  <si>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</si>
  <si>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</si>
  <si>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</si>
  <si>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</si>
  <si>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</si>
  <si>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</si>
  <si>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</si>
  <si>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</si>
  <si>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</si>
  <si>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</si>
  <si>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</si>
  <si>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</si>
  <si>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</si>
  <si>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</si>
  <si>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</si>
  <si>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DEM002</t>
  </si>
  <si>
    <t xml:space="preserve">DEM002TV</t>
  </si>
  <si>
    <t xml:space="preserve">Partida</t>
  </si>
  <si>
    <t xml:space="preserve">M2</t>
  </si>
  <si>
    <t xml:space="preserve">o DEMOLICION DE MURO DE FABRICA C/TRABAJOS VERTICALES ( FC / PT / ME )</t>
  </si>
  <si>
    <t xml:space="preserve">DEMOLICION DE MURO DE FABRICA C/TRABAJOS VERTICALES ( FC / ME )</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</si>
  <si>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</si>
  <si>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</si>
  <si>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</si>
  <si>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</si>
  <si>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</si>
  <si>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</si>
  <si>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</si>
  <si>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</si>
  <si>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</si>
  <si>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</si>
  <si>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</si>
  <si>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</si>
  <si>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</si>
  <si>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</si>
  <si>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</si>
  <si>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</si>
  <si>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</si>
  <si>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</si>
  <si>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</si>
  <si>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</si>
  <si>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DEM002TV</t>
  </si>
  <si>
    <t xml:space="preserve">DEM003</t>
  </si>
  <si>
    <t xml:space="preserve">Partida</t>
  </si>
  <si>
    <t xml:space="preserve">M2</t>
  </si>
  <si>
    <t xml:space="preserve">o DEMOLICIÓN DE ALICATADO CERÁMICO ( VE / BJ / MT / AM / RF )</t>
  </si>
  <si>
    <t xml:space="preserve">Demolición de alicatado ceramico, con medios manuales, sin deteriorar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</si>
  <si>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</si>
  <si>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</si>
  <si>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</si>
  <si>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</si>
  <si>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</si>
  <si>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</si>
  <si>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</si>
  <si>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</si>
  <si>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</si>
  <si>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</si>
  <si>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</si>
  <si>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</si>
  <si>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</si>
  <si>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</si>
  <si>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</si>
  <si>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</si>
  <si>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</si>
  <si>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</si>
  <si>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</si>
  <si>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</si>
  <si>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DEM003</t>
  </si>
  <si>
    <t xml:space="preserve">DEM003TV</t>
  </si>
  <si>
    <t xml:space="preserve">Partida</t>
  </si>
  <si>
    <t xml:space="preserve">M2</t>
  </si>
  <si>
    <t xml:space="preserve">o DEMOLICIÓN DE ALICATADO CERÁMICO C/TRABAJOS VERTICALES ( FC)</t>
  </si>
  <si>
    <t xml:space="preserve">Demolición de alicatado ceramico con trabajos verticales, con medios manuales, sin deteriorar los elementos constructivos contiguos, y carga manual sobre camión o contenedor.</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</si>
  <si>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</si>
  <si>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</si>
  <si>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</si>
  <si>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</si>
  <si>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</si>
  <si>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</si>
  <si>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</si>
  <si>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</si>
  <si>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</si>
  <si>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</si>
  <si>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</si>
  <si>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</si>
  <si>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</si>
  <si>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</si>
  <si>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</si>
  <si>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</si>
  <si>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</si>
  <si>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</si>
  <si>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</si>
  <si>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</si>
  <si>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DEM003TV</t>
  </si>
  <si>
    <t xml:space="preserve">DEM004</t>
  </si>
  <si>
    <t xml:space="preserve">Partida</t>
  </si>
  <si>
    <t xml:space="preserve">M2</t>
  </si>
  <si>
    <t xml:space="preserve">o RETIRO A MANO DE CAPA DE IMPERMEABILIZACION EN CUBIERTA (CUB)</t>
  </si>
  <si>
    <t xml:space="preserve">Retirada de capa de impermeabilizacion en cubierta plana, con medios manuales y carga manual sobre camion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</si>
  <si>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</si>
  <si>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</si>
  <si>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</si>
  <si>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</si>
  <si>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</si>
  <si>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</si>
  <si>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</si>
  <si>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</si>
  <si>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</si>
  <si>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</si>
  <si>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</si>
  <si>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</si>
  <si>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</si>
  <si>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</si>
  <si>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</si>
  <si>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</si>
  <si>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</si>
  <si>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</si>
  <si>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</si>
  <si>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</si>
  <si>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DEM004</t>
  </si>
  <si>
    <t xml:space="preserve">DEM005</t>
  </si>
  <si>
    <t xml:space="preserve">Partida</t>
  </si>
  <si>
    <t xml:space="preserve">M</t>
  </si>
  <si>
    <t xml:space="preserve">o DESMONTAJE DE CONJUNTO DE MOBILIARIO DE COCINA</t>
  </si>
  <si>
    <t xml:space="preserve">Desmontaje de conjunto de mobiliario de cocina, con medios manuales, sin afectar a la estabilidad de los elementos resistentes a los que puedan estar unidos, y carga manual sobre camión o contenedor. El precio incluye el desmontaje de los accesorios.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</si>
  <si>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</si>
  <si>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</si>
  <si>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</si>
  <si>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</si>
  <si>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</si>
  <si>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</si>
  <si>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</si>
  <si>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</si>
  <si>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</si>
  <si>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</si>
  <si>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</si>
  <si>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</si>
  <si>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</si>
  <si>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</si>
  <si>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</si>
  <si>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</si>
  <si>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</si>
  <si>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DEM005</t>
  </si>
  <si>
    <t xml:space="preserve">DEM006</t>
  </si>
  <si>
    <t xml:space="preserve">Partida</t>
  </si>
  <si>
    <t xml:space="preserve">M</t>
  </si>
  <si>
    <t xml:space="preserve">o DEMOLICION DE VIERTEAGUAS CERÁMICO  ( FC / PT / CB )</t>
  </si>
  <si>
    <t xml:space="preserve">Demolición de vierteaguas, con medios manuales, sin deteriorar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</si>
  <si>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</si>
  <si>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</si>
  <si>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</si>
  <si>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</si>
  <si>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</si>
  <si>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</si>
  <si>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</si>
  <si>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</si>
  <si>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</si>
  <si>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</si>
  <si>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</si>
  <si>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</si>
  <si>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</si>
  <si>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</si>
  <si>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</si>
  <si>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</si>
  <si>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</si>
  <si>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</si>
  <si>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</si>
  <si>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</si>
  <si>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DEM006</t>
  </si>
  <si>
    <t xml:space="preserve">DEM006TV</t>
  </si>
  <si>
    <t xml:space="preserve">Partida</t>
  </si>
  <si>
    <t xml:space="preserve">M</t>
  </si>
  <si>
    <t xml:space="preserve">o DEMOLICION DE VIERTEAGUAS CERÁMICO CON TRABAJOS VERTICALES  ( FC / PT )</t>
  </si>
  <si>
    <t xml:space="preserve">Demolición de vierteaguas CON TRABAJOS VERTICALES, con medios manuales, sin deteriorar los elementos constructivos contiguos, y carga manual sobre camión o contenedor.</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</si>
  <si>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</si>
  <si>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</si>
  <si>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</si>
  <si>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</si>
  <si>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</si>
  <si>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</si>
  <si>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</si>
  <si>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</si>
  <si>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</si>
  <si>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</si>
  <si>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</si>
  <si>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</si>
  <si>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</si>
  <si>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</si>
  <si>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</si>
  <si>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</si>
  <si>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</si>
  <si>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</si>
  <si>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</si>
  <si>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</si>
  <si>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DEM006TV</t>
  </si>
  <si>
    <t xml:space="preserve">DEM007</t>
  </si>
  <si>
    <t xml:space="preserve">Partida</t>
  </si>
  <si>
    <t xml:space="preserve">M</t>
  </si>
  <si>
    <t xml:space="preserve">o DEMOLICION DE VIERTEAGUAS DE PIEDRA NATURAL  ( FC / PT / CB )</t>
  </si>
  <si>
    <t xml:space="preserve">DEMOLICION A MANO Y CON ANDAMIO TUBULAR DE VIERTEAGUAS DE PIEDRA NATURAL</t>
  </si>
  <si>
    <t xml:space="preserve">alq-martillo-mym-32kg</t>
  </si>
  <si>
    <t xml:space="preserve">Maquinaria</t>
  </si>
  <si>
    <t xml:space="preserve">h</t>
  </si>
  <si>
    <t xml:space="preserve">Alquiler de Martillo Eléctrico Picador-Demoledor 32 kg.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</si>
  <si>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</si>
  <si>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</si>
  <si>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</si>
  <si>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</si>
  <si>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</si>
  <si>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</si>
  <si>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</si>
  <si>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</si>
  <si>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</si>
  <si>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</si>
  <si>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</si>
  <si>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</si>
  <si>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</si>
  <si>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</si>
  <si>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</si>
  <si>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</si>
  <si>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</si>
  <si>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</si>
  <si>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</si>
  <si>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</si>
  <si>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DEM007</t>
  </si>
  <si>
    <t xml:space="preserve">DEM007TV</t>
  </si>
  <si>
    <t xml:space="preserve">Partida</t>
  </si>
  <si>
    <t xml:space="preserve">M</t>
  </si>
  <si>
    <t xml:space="preserve">o DEMOLICION DE VIERTEAGUAS DE PIEDRA NATURAL CON TRABAJOS VERTICALES  ( FC / PT )</t>
  </si>
  <si>
    <t xml:space="preserve">DEMOLICION A MANO Y EN MEDIO SUSPENDIDO/COLGADO DE VIERTEAGUAS DE PIEDRA NATURAL</t>
  </si>
  <si>
    <t xml:space="preserve">alq-martillo-mym-32kg</t>
  </si>
  <si>
    <t xml:space="preserve">Maquinaria</t>
  </si>
  <si>
    <t xml:space="preserve">h</t>
  </si>
  <si>
    <t xml:space="preserve">Alquiler de Martillo Eléctrico Picador-Demoledor 32 kg.   Ref. MÁQUINAS Y MÁQUINAS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</si>
  <si>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</si>
  <si>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</si>
  <si>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</si>
  <si>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</si>
  <si>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</si>
  <si>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</si>
  <si>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</si>
  <si>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</si>
  <si>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</si>
  <si>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</si>
  <si>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</si>
  <si>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</si>
  <si>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</si>
  <si>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</si>
  <si>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</si>
  <si>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</si>
  <si>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</si>
  <si>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</si>
  <si>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</si>
  <si>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</si>
  <si>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DEM007TV</t>
  </si>
  <si>
    <t xml:space="preserve">DEM008</t>
  </si>
  <si>
    <t xml:space="preserve">Partida</t>
  </si>
  <si>
    <t xml:space="preserve">M</t>
  </si>
  <si>
    <t xml:space="preserve">o DEMOLICIÓN DE MIMBEL ( FC / PT / CB )</t>
  </si>
  <si>
    <t xml:space="preserve">Demolición de mimbel cerámico en cubierta plana, con medios manuales, sin afectar a la estabilidad de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</si>
  <si>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</si>
  <si>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</si>
  <si>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</si>
  <si>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</si>
  <si>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</si>
  <si>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</si>
  <si>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</si>
  <si>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</si>
  <si>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</si>
  <si>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</si>
  <si>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</si>
  <si>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</si>
  <si>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</si>
  <si>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</si>
  <si>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</si>
  <si>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</si>
  <si>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</si>
  <si>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</si>
  <si>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</si>
  <si>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</si>
  <si>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DEM008</t>
  </si>
  <si>
    <t xml:space="preserve">DEM008TV</t>
  </si>
  <si>
    <t xml:space="preserve">Partida</t>
  </si>
  <si>
    <t xml:space="preserve">M</t>
  </si>
  <si>
    <t xml:space="preserve">o DEMOLICIÓN DE MIMBEL CON TRABAJOS VERTICALES</t>
  </si>
  <si>
    <t xml:space="preserve">Demolición de mimbel cerámico en cornisa CON TRABAJOS VERTICALES, con medios manuales, sin afectar a la estabilidad de los elementos constructivos contiguos, y carga manual sobre camión o contenedor.</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</si>
  <si>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</si>
  <si>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</si>
  <si>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</si>
  <si>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</si>
  <si>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</si>
  <si>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</si>
  <si>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</si>
  <si>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</si>
  <si>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</si>
  <si>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</si>
  <si>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</si>
  <si>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</si>
  <si>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</si>
  <si>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</si>
  <si>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</si>
  <si>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</si>
  <si>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</si>
  <si>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</si>
  <si>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</si>
  <si>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</si>
  <si>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DEM008TV</t>
  </si>
  <si>
    <t xml:space="preserve">DEM009</t>
  </si>
  <si>
    <t xml:space="preserve">Partida</t>
  </si>
  <si>
    <t xml:space="preserve">M</t>
  </si>
  <si>
    <t xml:space="preserve">o DEMOLICIÓN DE CUBREMURO ( FC / PT / CB )</t>
  </si>
  <si>
    <t xml:space="preserve">Demolición de cubremuro cerámico, con medios manuales, sin afectar a la estabilidad de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</si>
  <si>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</si>
  <si>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</si>
  <si>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</si>
  <si>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</si>
  <si>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</si>
  <si>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</si>
  <si>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</si>
  <si>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</si>
  <si>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</si>
  <si>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</si>
  <si>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</si>
  <si>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</si>
  <si>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</si>
  <si>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</si>
  <si>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</si>
  <si>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</si>
  <si>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</si>
  <si>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</si>
  <si>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</si>
  <si>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</si>
  <si>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DEM009</t>
  </si>
  <si>
    <t xml:space="preserve">DEM009TV</t>
  </si>
  <si>
    <t xml:space="preserve">Partida</t>
  </si>
  <si>
    <t xml:space="preserve">M</t>
  </si>
  <si>
    <t xml:space="preserve">o DEMOLICION DE CUBREMURO CON TRABAJOS VERTICALES ( FC / PT / CB )</t>
  </si>
  <si>
    <t xml:space="preserve">Demolición de cubremuro cerámico CON TRABAJOS VERTICALES, con medios manuales, sin afectar a la estabilidad de los elementos constructivos contiguos, y carga manual sobre camión o contenedor.</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</si>
  <si>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</si>
  <si>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</si>
  <si>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</si>
  <si>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</si>
  <si>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</si>
  <si>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</si>
  <si>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</si>
  <si>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</si>
  <si>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</si>
  <si>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</si>
  <si>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</si>
  <si>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</si>
  <si>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</si>
  <si>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</si>
  <si>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</si>
  <si>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</si>
  <si>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</si>
  <si>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</si>
  <si>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</si>
  <si>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</si>
  <si>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DEM009TV</t>
  </si>
  <si>
    <t xml:space="preserve">DEM010</t>
  </si>
  <si>
    <t xml:space="preserve">Partida</t>
  </si>
  <si>
    <t xml:space="preserve">M2</t>
  </si>
  <si>
    <t xml:space="preserve">o DEMOLICION DE PAVIMENTO ( FC / PT / CB / VE / CL / RF )</t>
  </si>
  <si>
    <t xml:space="preserve">Demolición de pavimento existente, con medios manuales, sin deteriorar los elementos constructivos contiguos, y carga manual sobre camión o contenedor. El precio incluye el picado del material de agarre adherido al soporte, pero no incluye la demolición de la base soporte.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</si>
  <si>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</si>
  <si>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</si>
  <si>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</si>
  <si>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</si>
  <si>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</si>
  <si>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</si>
  <si>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</si>
  <si>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</si>
  <si>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</si>
  <si>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</si>
  <si>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</si>
  <si>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</si>
  <si>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</si>
  <si>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</si>
  <si>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</si>
  <si>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</si>
  <si>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</si>
  <si>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DEM010</t>
  </si>
  <si>
    <t xml:space="preserve">DEM011</t>
  </si>
  <si>
    <t xml:space="preserve">Partida</t>
  </si>
  <si>
    <t xml:space="preserve">M2</t>
  </si>
  <si>
    <t xml:space="preserve">o DEMOLICION DE TABIQUE PLACAS DE YESO ( VE / RF)</t>
  </si>
  <si>
    <t xml:space="preserve">Demolición de tabique de placas de yeso laminado, instaladas sobre una estructura simple, con medios manuales, sin afectar a la estabilidad de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</si>
  <si>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</si>
  <si>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</si>
  <si>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</si>
  <si>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</si>
  <si>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</si>
  <si>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</si>
  <si>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</si>
  <si>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</si>
  <si>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</si>
  <si>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</si>
  <si>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</si>
  <si>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</si>
  <si>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</si>
  <si>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</si>
  <si>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</si>
  <si>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</si>
  <si>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</si>
  <si>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DEM011</t>
  </si>
  <si>
    <t xml:space="preserve">DEM012</t>
  </si>
  <si>
    <t xml:space="preserve">Partida</t>
  </si>
  <si>
    <t xml:space="preserve">ML</t>
  </si>
  <si>
    <t xml:space="preserve">o RETIRADA DE JUNTA DE DILATACION ( CB )</t>
  </si>
  <si>
    <t xml:space="preserve">Retirada del material de sellado existente en junta de dilatación de estructura, con amoladora equipada con disco de corte de diamante, y limpieza posterior.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</si>
  <si>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</si>
  <si>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</si>
  <si>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</si>
  <si>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</si>
  <si>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</si>
  <si>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</si>
  <si>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</si>
  <si>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</si>
  <si>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</si>
  <si>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</si>
  <si>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</si>
  <si>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</si>
  <si>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</si>
  <si>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</si>
  <si>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</si>
  <si>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</si>
  <si>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</si>
  <si>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DEM012</t>
  </si>
  <si>
    <t xml:space="preserve">DEM013</t>
  </si>
  <si>
    <t xml:space="preserve">Partida</t>
  </si>
  <si>
    <t xml:space="preserve">M2</t>
  </si>
  <si>
    <t xml:space="preserve">o LEVANTADO DE PAVIMENTO LAMINADO ( VE / RF )</t>
  </si>
  <si>
    <t xml:space="preserve">Levantado de pavimento laminado existente en el interior, de lamas, con medios manuales, sin deteriorar los elementos constructivos contiguos, y carga manual sobre camión o contenedor. El precio no incluye la demolición de la base soporte.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</si>
  <si>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</si>
  <si>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</si>
  <si>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</si>
  <si>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</si>
  <si>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</si>
  <si>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</si>
  <si>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</si>
  <si>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</si>
  <si>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</si>
  <si>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</si>
  <si>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</si>
  <si>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</si>
  <si>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</si>
  <si>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</si>
  <si>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</si>
  <si>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</si>
  <si>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</si>
  <si>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DEM013</t>
  </si>
  <si>
    <t xml:space="preserve">DEM014</t>
  </si>
  <si>
    <t xml:space="preserve">Partida</t>
  </si>
  <si>
    <t xml:space="preserve">M2</t>
  </si>
  <si>
    <t xml:space="preserve">o DEMOLICION DE SOLERA</t>
  </si>
  <si>
    <t xml:space="preserve">Demolición de solera de hormigón armado de 15 cm de espesor, con medios manuales y equipo de oxicorte, sin deteriorar los elementos constructivos contiguos, y carga manual sobre camión o contenedor.
NOTA: Se demolerán únicamente las zonas necesarias para el cambio de los colectores soterrados de la red de evacuación general del edificio y el cambio de la pequeña red de evacuación privativa de la entidad de planta baja correspondiente. Ver planos de derribo para comprobar las zonas a derribar y excavar.</t>
  </si>
  <si>
    <t xml:space="preserve">alq-martillo.neum.picador-ra-01</t>
  </si>
  <si>
    <t xml:space="preserve">Maquinaria</t>
  </si>
  <si>
    <t xml:space="preserve">h</t>
  </si>
  <si>
    <t xml:space="preserve">Alquiler de Martillo Neumático Picador 10 kg (Longitud 490 mm; Consumo de Aire: 0,95 m3).   Ref. RENTAIRE</t>
  </si>
  <si>
    <t xml:space="preserve">alq-martillo.neum.rompedor-ra-01</t>
  </si>
  <si>
    <t xml:space="preserve">Maquinaria</t>
  </si>
  <si>
    <t xml:space="preserve">h</t>
  </si>
  <si>
    <t xml:space="preserve">Alquiler de Martillo Neumático Rompedor 24 kg (Longitud 686 mm; Consumo de Aire: 1,25 m3).   Ref. RENTAIRE</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</si>
  <si>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</si>
  <si>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</si>
  <si>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</si>
  <si>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</si>
  <si>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</si>
  <si>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</si>
  <si>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</si>
  <si>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</si>
  <si>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</si>
  <si>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</si>
  <si>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</si>
  <si>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</si>
  <si>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</si>
  <si>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</si>
  <si>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</si>
  <si>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</si>
  <si>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</si>
  <si>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</si>
  <si>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</si>
  <si>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</si>
  <si>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</si>
  <si>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</si>
  <si>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</si>
  <si>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</si>
  <si>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DEM014</t>
  </si>
  <si>
    <t xml:space="preserve">DEM015</t>
  </si>
  <si>
    <t xml:space="preserve">Partida</t>
  </si>
  <si>
    <t xml:space="preserve">M2</t>
  </si>
  <si>
    <t xml:space="preserve">o DEMOLICION DE CUBIERTA PLANA TRANSITABLE ( CB )</t>
  </si>
  <si>
    <t xml:space="preserve">Demolición completa de cubierta plana transitable, no ventilada, con pavimento cerámico; con martillo neumático, sin afectar a la estabilidad de los elementos constructivos contiguos, y carga manual sobre camión o contenedor. El precio incluye la demolición de todas las capas que componen la cubierta, incluyendo la capa de formación de pendientes y la impermeabilizacion.</t>
  </si>
  <si>
    <t xml:space="preserve">alq-martillo-mym-16kg</t>
  </si>
  <si>
    <t xml:space="preserve">Maquinaria</t>
  </si>
  <si>
    <t xml:space="preserve">h</t>
  </si>
  <si>
    <t xml:space="preserve">Alquiler de Martillo Eléctrico Picador-Demoledor 16 kg.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</si>
  <si>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</si>
  <si>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</si>
  <si>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</si>
  <si>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</si>
  <si>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</si>
  <si>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</si>
  <si>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</si>
  <si>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</si>
  <si>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</si>
  <si>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</si>
  <si>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</si>
  <si>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</si>
  <si>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</si>
  <si>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</si>
  <si>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</si>
  <si>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</si>
  <si>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</si>
  <si>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</si>
  <si>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</si>
  <si>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</si>
  <si>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</si>
  <si>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DEM015</t>
  </si>
  <si>
    <t xml:space="preserve">DEM016</t>
  </si>
  <si>
    <t xml:space="preserve">Partida</t>
  </si>
  <si>
    <t xml:space="preserve">M3</t>
  </si>
  <si>
    <t xml:space="preserve">o DEMOLICION DE VIGA DE HORMIGON ( RE )</t>
  </si>
  <si>
    <t xml:space="preserve">Demolición de viga de hormigón armado, con medios manuales, martillo neumático y equipo de oxicorte, y carga manual sobre camión o contenedor.</t>
  </si>
  <si>
    <t xml:space="preserve">alq-martillo.neum.picador-ra-01</t>
  </si>
  <si>
    <t xml:space="preserve">Maquinaria</t>
  </si>
  <si>
    <t xml:space="preserve">h</t>
  </si>
  <si>
    <t xml:space="preserve">Alquiler de Martillo Neumático Picador 10 kg (Longitud 490 mm; Consumo de Aire: 0,95 m3).   Ref. RENTAIRE</t>
  </si>
  <si>
    <t xml:space="preserve">alq-martillo.neum.rompedor-ra-01</t>
  </si>
  <si>
    <t xml:space="preserve">Maquinaria</t>
  </si>
  <si>
    <t xml:space="preserve">h</t>
  </si>
  <si>
    <t xml:space="preserve">Alquiler de Martillo Neumático Rompedor 24 kg (Longitud 686 mm; Consumo de Aire: 1,25 m3).   Ref. RENTAIRE</t>
  </si>
  <si>
    <t xml:space="preserve">alq-compresor-ra-01</t>
  </si>
  <si>
    <t xml:space="preserve">Maquinaria</t>
  </si>
  <si>
    <t xml:space="preserve">h</t>
  </si>
  <si>
    <t xml:space="preserve">Alquiler de Compresor Móvil 4litros/8kg presión, Caudal 4.000 LPM, Peso 1.025 kg.   Ref. RENTAIRE</t>
  </si>
  <si>
    <t xml:space="preserve">alq-soplete-mym-01</t>
  </si>
  <si>
    <t xml:space="preserve">Maquinaria</t>
  </si>
  <si>
    <t xml:space="preserve">h</t>
  </si>
  <si>
    <t xml:space="preserve">Alquiler de Equipo de Oxi-Corte.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</si>
  <si>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</si>
  <si>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</si>
  <si>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</si>
  <si>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</si>
  <si>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</si>
  <si>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</si>
  <si>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</si>
  <si>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</si>
  <si>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</si>
  <si>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</si>
  <si>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</si>
  <si>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</si>
  <si>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</si>
  <si>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</si>
  <si>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</si>
  <si>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</si>
  <si>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</si>
  <si>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DEM016</t>
  </si>
  <si>
    <t xml:space="preserve">DEM017</t>
  </si>
  <si>
    <t xml:space="preserve">Partida</t>
  </si>
  <si>
    <t xml:space="preserve">M2</t>
  </si>
  <si>
    <t xml:space="preserve">o DEMOLICION DE FACHADA CON PANELES PREFABRICADOS DE HORMIGON</t>
  </si>
  <si>
    <t xml:space="preserve">Demolición de cerramiento de fachada formado por paneles prefabricados de hormigón de hasta 20 cm de espesor, dispuestos en posición vertical, con medios mecánicos, sin deteriorar los elementos constructivos a los que están sujetos, y carga mecánica sobre camión o contenedor.</t>
  </si>
  <si>
    <t xml:space="preserve">alq-martillo.neum.picador-ra-01</t>
  </si>
  <si>
    <t xml:space="preserve">Maquinaria</t>
  </si>
  <si>
    <t xml:space="preserve">h</t>
  </si>
  <si>
    <t xml:space="preserve">Alquiler de Martillo Neumático Picador 10 kg (Longitud 490 mm; Consumo de Aire: 0,95 m3).   Ref. RENTAIRE</t>
  </si>
  <si>
    <t xml:space="preserve">alq-martillo.neum.rompedor-ra-01</t>
  </si>
  <si>
    <t xml:space="preserve">Maquinaria</t>
  </si>
  <si>
    <t xml:space="preserve">h</t>
  </si>
  <si>
    <t xml:space="preserve">Alquiler de Martillo Neumático Rompedor 24 kg (Longitud 686 mm; Consumo de Aire: 1,25 m3).   Ref. RENTAIRE</t>
  </si>
  <si>
    <t xml:space="preserve">alq-compresor-ra-01</t>
  </si>
  <si>
    <t xml:space="preserve">Maquinaria</t>
  </si>
  <si>
    <t xml:space="preserve">h</t>
  </si>
  <si>
    <t xml:space="preserve">Alquiler de Compresor Móvil 4litros/8kg presión, Caudal 4.000 LPM, Peso 1.025 kg.   Ref. RENTAIRE</t>
  </si>
  <si>
    <t xml:space="preserve">alq-soplete-mym-01</t>
  </si>
  <si>
    <t xml:space="preserve">Maquinaria</t>
  </si>
  <si>
    <t xml:space="preserve">h</t>
  </si>
  <si>
    <t xml:space="preserve">Alquiler de Equipo de Oxi-Corte.   Ref. MÁQUINAS Y MÁQUINAS</t>
  </si>
  <si>
    <t xml:space="preserve">alq-grua.autopropulsada-60ton</t>
  </si>
  <si>
    <t xml:space="preserve">Maquinaria</t>
  </si>
  <si>
    <t xml:space="preserve">h</t>
  </si>
  <si>
    <t xml:space="preserve">Grúa Autopropulsada de Brazo Telescópico con Capacidad de Elevación de 60 ton y 58 m de altura máxima de trabajo (Referencia: Generador de Precios)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</si>
  <si>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</si>
  <si>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</si>
  <si>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</si>
  <si>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</si>
  <si>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</si>
  <si>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</si>
  <si>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</si>
  <si>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</si>
  <si>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</si>
  <si>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</si>
  <si>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</si>
  <si>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</si>
  <si>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</si>
  <si>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</si>
  <si>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</si>
  <si>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</si>
  <si>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</si>
  <si>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DEM017</t>
  </si>
  <si>
    <t xml:space="preserve">DEM018</t>
  </si>
  <si>
    <t xml:space="preserve">Partida</t>
  </si>
  <si>
    <t xml:space="preserve">m2</t>
  </si>
  <si>
    <t xml:space="preserve">o DEMOLICIÓN A MÁQUINA DE BÓVEDA DE FÁBRICA DE LADRILLO CERÁMICO ( RE / VE / RF )</t>
  </si>
  <si>
    <t xml:space="preserve">DEMOLICIÓN A MÁQUINA CON EQUIPO PESADO DE BÓVEDA DE FÁBRICA DE LADRILLO CERÁMICO MACIZO DE 1/2 PIE DE ESPESOR</t>
  </si>
  <si>
    <t xml:space="preserve">alq-martillo.neum.rompedor-ra-01</t>
  </si>
  <si>
    <t xml:space="preserve">Maquinaria</t>
  </si>
  <si>
    <t xml:space="preserve">h</t>
  </si>
  <si>
    <t xml:space="preserve">Alquiler de Martillo Neumático Rompedor 24 kg (Longitud 686 mm; Consumo de Aire: 1,25 m3).   Ref. RENTAIRE</t>
  </si>
  <si>
    <t xml:space="preserve">alq-martillo.neum.picador-ra-01</t>
  </si>
  <si>
    <t xml:space="preserve">Maquinaria</t>
  </si>
  <si>
    <t xml:space="preserve">h</t>
  </si>
  <si>
    <t xml:space="preserve">Alquiler de Martillo Neumático Picador 10 kg (Longitud 490 mm; Consumo de Aire: 0,95 m3).   Ref. RENTAIRE</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</si>
  <si>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</si>
  <si>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</si>
  <si>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</si>
  <si>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</si>
  <si>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</si>
  <si>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</si>
  <si>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</si>
  <si>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</si>
  <si>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</si>
  <si>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</si>
  <si>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</si>
  <si>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</si>
  <si>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</si>
  <si>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</si>
  <si>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</si>
  <si>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</si>
  <si>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</si>
  <si>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</si>
  <si>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</si>
  <si>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</si>
  <si>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</si>
  <si>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</si>
  <si>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</si>
  <si>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</si>
  <si>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DEM018</t>
  </si>
  <si>
    <t xml:space="preserve">DEM019</t>
  </si>
  <si>
    <t xml:space="preserve">Partida</t>
  </si>
  <si>
    <t xml:space="preserve">m2</t>
  </si>
  <si>
    <t xml:space="preserve">o DEMOLICIÓN DE ENFOSCADO EN MURO</t>
  </si>
  <si>
    <t xml:space="preserve">Demolicion de enfoscado en mal estado, con medios manuales, sin deteriorar los elementos constructivos contiguos, y carga manual sobre camión o contenedor.</t>
  </si>
  <si>
    <t xml:space="preserve">alq-martillo-mym-16kg</t>
  </si>
  <si>
    <t xml:space="preserve">Maquinaria</t>
  </si>
  <si>
    <t xml:space="preserve">h</t>
  </si>
  <si>
    <t xml:space="preserve">Alquiler de Martillo Eléctrico Picador-Demoledor 16 kg.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</si>
  <si>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</si>
  <si>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</si>
  <si>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</si>
  <si>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</si>
  <si>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</si>
  <si>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</si>
  <si>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</si>
  <si>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</si>
  <si>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</si>
  <si>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</si>
  <si>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</si>
  <si>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</si>
  <si>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</si>
  <si>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</si>
  <si>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</si>
  <si>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</si>
  <si>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</si>
  <si>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</si>
  <si>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</si>
  <si>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</si>
  <si>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DEM019</t>
  </si>
  <si>
    <t xml:space="preserve">DEM019TV</t>
  </si>
  <si>
    <t xml:space="preserve">Partida</t>
  </si>
  <si>
    <t xml:space="preserve">m2</t>
  </si>
  <si>
    <t xml:space="preserve">o DEMOLICIÓN DE ENFOSCADO EN MURO CON TRABAJOS VERTICALES</t>
  </si>
  <si>
    <t xml:space="preserve">Demolicion de enfoscado en mal estado CON TRABAJOS VERTICALES, con medios manuales, sin deteriorar los elementos constructivos contiguos, y carga manual sobre camión o contenedor.</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</si>
  <si>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</si>
  <si>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</si>
  <si>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</si>
  <si>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</si>
  <si>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</si>
  <si>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</si>
  <si>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</si>
  <si>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</si>
  <si>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</si>
  <si>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</si>
  <si>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</si>
  <si>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</si>
  <si>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</si>
  <si>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</si>
  <si>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</si>
  <si>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</si>
  <si>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</si>
  <si>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</si>
  <si>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</si>
  <si>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</si>
  <si>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DEM019TV</t>
  </si>
  <si>
    <t xml:space="preserve">DEM020</t>
  </si>
  <si>
    <t xml:space="preserve">Partida</t>
  </si>
  <si>
    <t xml:space="preserve">M2</t>
  </si>
  <si>
    <t xml:space="preserve">o DEMOLICIÓN DE ENFOSCADO EN TECHO</t>
  </si>
  <si>
    <t xml:space="preserve">Demolición a mano de enfoscado en paramentos horizontales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</si>
  <si>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</si>
  <si>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</si>
  <si>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</si>
  <si>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</si>
  <si>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</si>
  <si>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</si>
  <si>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</si>
  <si>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</si>
  <si>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</si>
  <si>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</si>
  <si>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</si>
  <si>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</si>
  <si>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</si>
  <si>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</si>
  <si>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</si>
  <si>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</si>
  <si>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</si>
  <si>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</si>
  <si>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</si>
  <si>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</si>
  <si>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DEM020</t>
  </si>
  <si>
    <t xml:space="preserve">DEM020TV</t>
  </si>
  <si>
    <t xml:space="preserve">Partida</t>
  </si>
  <si>
    <t xml:space="preserve">M2</t>
  </si>
  <si>
    <t xml:space="preserve">o DEMOLICIÓN DE ENFOSCADO EN TECHO CON TRABAJOS VERTICALES</t>
  </si>
  <si>
    <t xml:space="preserve">Demolición a mano de enfoscado en paramentos horizontales de fachada mediante el uso de medio suspendido/colgado</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</si>
  <si>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</si>
  <si>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</si>
  <si>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</si>
  <si>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</si>
  <si>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</si>
  <si>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</si>
  <si>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</si>
  <si>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</si>
  <si>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</si>
  <si>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</si>
  <si>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</si>
  <si>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</si>
  <si>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</si>
  <si>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</si>
  <si>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</si>
  <si>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</si>
  <si>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</si>
  <si>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</si>
  <si>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</si>
  <si>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</si>
  <si>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DEM020TV</t>
  </si>
  <si>
    <t xml:space="preserve">DEM021</t>
  </si>
  <si>
    <t xml:space="preserve">Partida</t>
  </si>
  <si>
    <t xml:space="preserve">M2</t>
  </si>
  <si>
    <t xml:space="preserve">o DEMOLICIÓN A MANO DE CAPA DE RECUBRIMIENTO EN HORMIGÓN</t>
  </si>
  <si>
    <t xml:space="preserve">DEMOLICIÓN A MANO DE CAPA DE RECUBRIMIENTO EN MIEMBROS DE HORMIGÓN.
Saneamiento del hormigón eliminando las zonas rotas o disgregadas y dejando al descubierto las armaduras oxidadas.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</si>
  <si>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</si>
  <si>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</si>
  <si>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</si>
  <si>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</si>
  <si>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</si>
  <si>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</si>
  <si>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</si>
  <si>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</si>
  <si>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</si>
  <si>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</si>
  <si>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</si>
  <si>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</si>
  <si>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</si>
  <si>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</si>
  <si>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</si>
  <si>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</si>
  <si>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</si>
  <si>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alq-soplador-fm-01</t>
  </si>
  <si>
    <t xml:space="preserve">Maquinaria</t>
  </si>
  <si>
    <t xml:space="preserve">h</t>
  </si>
  <si>
    <t xml:space="preserve">Alquiler de Soplador Eléctrico Portátil de Aire STIHL BR 600 MAGNUM</t>
  </si>
  <si>
    <t xml:space="preserve">mo%</t>
  </si>
  <si>
    <t xml:space="preserve">%</t>
  </si>
  <si>
    <t xml:space="preserve">Herramientas Menores</t>
  </si>
  <si>
    <t xml:space="preserve">DEM021</t>
  </si>
  <si>
    <t xml:space="preserve">DEM022</t>
  </si>
  <si>
    <t xml:space="preserve">Partida</t>
  </si>
  <si>
    <t xml:space="preserve">M2</t>
  </si>
  <si>
    <t xml:space="preserve">o DEMOLICIÓN A MÀQUINA DE CAPA DE RECUBRIMIENTO EN HORMIGÓN</t>
  </si>
  <si>
    <t xml:space="preserve">DEMOLICIÓN A MÀQUINA DE CAPA DE RECUBRIMIENTO EN MIEMBROS DE HORMIGÓN.
Saneamiento del hormigón eliminando las zonas rotas o disgregadas y dejando al descubierto las armaduras oxidadas.</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</si>
  <si>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</si>
  <si>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</si>
  <si>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</si>
  <si>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</si>
  <si>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</si>
  <si>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</si>
  <si>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</si>
  <si>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</si>
  <si>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</si>
  <si>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alq-soplador-fm-01</t>
  </si>
  <si>
    <t xml:space="preserve">Maquinaria</t>
  </si>
  <si>
    <t xml:space="preserve">h</t>
  </si>
  <si>
    <t xml:space="preserve">Alquiler de Soplador Eléctrico Portátil de Aire STIHL BR 600 MAGNUM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</si>
  <si>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</si>
  <si>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</si>
  <si>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</si>
  <si>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</si>
  <si>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</si>
  <si>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</si>
  <si>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</si>
  <si>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</si>
  <si>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</si>
  <si>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</si>
  <si>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</si>
  <si>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</si>
  <si>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</si>
  <si>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</si>
  <si>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</si>
  <si>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</si>
  <si>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</si>
  <si>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</si>
  <si>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</si>
  <si>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</si>
  <si>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DEM022</t>
  </si>
  <si>
    <t xml:space="preserve">DEM023</t>
  </si>
  <si>
    <t xml:space="preserve">Partida</t>
  </si>
  <si>
    <t xml:space="preserve">M</t>
  </si>
  <si>
    <t xml:space="preserve">o DEMOLICION DE BALCON</t>
  </si>
  <si>
    <t xml:space="preserve">Enderroc controlat de balcó format per biguetes metàl·liques i obra ceràmica, fins a deixar les bigues vistes, sense deteriorar els elements constructius contigus. Càrrega manual de runa sobre camió o contenidor, i transport a abocador autoritzat.</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</si>
  <si>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</si>
  <si>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</si>
  <si>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</si>
  <si>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</si>
  <si>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</si>
  <si>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</si>
  <si>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</si>
  <si>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</si>
  <si>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</si>
  <si>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</si>
  <si>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</si>
  <si>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</si>
  <si>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</si>
  <si>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</si>
  <si>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</si>
  <si>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</si>
  <si>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</si>
  <si>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alq-compresor-ra-01</t>
  </si>
  <si>
    <t xml:space="preserve">Maquinaria</t>
  </si>
  <si>
    <t xml:space="preserve">h</t>
  </si>
  <si>
    <t xml:space="preserve">Alquiler de Compresor Móvil 4litros/8kg presión, Caudal 4.000 LPM, Peso 1.025 kg.   Ref. RENTAIRE</t>
  </si>
  <si>
    <t xml:space="preserve">alq-martillo.neum.rompedor-ra-01</t>
  </si>
  <si>
    <t xml:space="preserve">Maquinaria</t>
  </si>
  <si>
    <t xml:space="preserve">h</t>
  </si>
  <si>
    <t xml:space="preserve">Alquiler de Martillo Neumático Rompedor 24 kg (Longitud 686 mm; Consumo de Aire: 1,25 m3).   Ref. RENTAIRE</t>
  </si>
  <si>
    <t xml:space="preserve">mo%</t>
  </si>
  <si>
    <t xml:space="preserve">%</t>
  </si>
  <si>
    <t xml:space="preserve">Herramientas Menores</t>
  </si>
  <si>
    <t xml:space="preserve">DEM023</t>
  </si>
  <si>
    <t xml:space="preserve">DEM024</t>
  </si>
  <si>
    <t xml:space="preserve">Partida</t>
  </si>
  <si>
    <t xml:space="preserve">M2</t>
  </si>
  <si>
    <t xml:space="preserve">o LEVANTADO DE REVESTIMIENTO DE PAPEL O TEXTIL</t>
  </si>
  <si>
    <t xml:space="preserve">Levantado de revestimiento de papel o textil en paramentos interiores, con medios manuales, sin deteriorar la superficie soporte, que quedará al descubierto y preparada para su posterior revestimiento,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</si>
  <si>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</si>
  <si>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</si>
  <si>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</si>
  <si>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</si>
  <si>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</si>
  <si>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</si>
  <si>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</si>
  <si>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</si>
  <si>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</si>
  <si>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</si>
  <si>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</si>
  <si>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</si>
  <si>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</si>
  <si>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</si>
  <si>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</si>
  <si>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</si>
  <si>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</si>
  <si>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</si>
  <si>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</si>
  <si>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</si>
  <si>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DEM024</t>
  </si>
  <si>
    <t xml:space="preserve">DEM025</t>
  </si>
  <si>
    <t xml:space="preserve">Partida</t>
  </si>
  <si>
    <t xml:space="preserve">M2</t>
  </si>
  <si>
    <t xml:space="preserve">o DEMOLICIÓN DE YESO</t>
  </si>
  <si>
    <t xml:space="preserve">Demolición de revestimiento de yeso, con medios manuales, sin deteriorar la  superficie soporte, que quedará al descubierto y preparada para su posterior revestimiento,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</si>
  <si>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</si>
  <si>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</si>
  <si>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</si>
  <si>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</si>
  <si>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</si>
  <si>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</si>
  <si>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</si>
  <si>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</si>
  <si>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</si>
  <si>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</si>
  <si>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</si>
  <si>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</si>
  <si>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</si>
  <si>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</si>
  <si>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</si>
  <si>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</si>
  <si>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</si>
  <si>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</si>
  <si>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</si>
  <si>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</si>
  <si>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DEM025</t>
  </si>
  <si>
    <t xml:space="preserve">DEMOLICIONES-HEBERT</t>
  </si>
  <si>
    <t xml:space="preserve">REMOCIONES.RETIROS.Y.DESMONTAJES</t>
  </si>
  <si>
    <t xml:space="preserve">Capítulo</t>
  </si>
  <si>
    <t xml:space="preserve">o RETIROS Y DESMONTAJES</t>
  </si>
  <si>
    <t xml:space="preserve">DESMONTAJES</t>
  </si>
  <si>
    <t xml:space="preserve">Capítulo</t>
  </si>
  <si>
    <t xml:space="preserve">o DESMONTAJES PRELIMINARES</t>
  </si>
  <si>
    <t xml:space="preserve">DES001</t>
  </si>
  <si>
    <t xml:space="preserve">Partida</t>
  </si>
  <si>
    <t xml:space="preserve">U</t>
  </si>
  <si>
    <t xml:space="preserve">o DESMONTAJE Y POSTERIOR MONTAJE DE PLATO DE DUCHA ( BJ /RF )</t>
  </si>
  <si>
    <t xml:space="preserve">Desmontaje de plato de ducha, con medios manuales, y recuperación, acopio y montaje del material en el mismo emplazamiento, sin afectar a la estabilidad de los elementos constructivos a los que pueda estar sujeto,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</si>
  <si>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</si>
  <si>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</si>
  <si>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</si>
  <si>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</si>
  <si>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</si>
  <si>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</si>
  <si>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</si>
  <si>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</si>
  <si>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</si>
  <si>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</si>
  <si>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</si>
  <si>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</si>
  <si>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</si>
  <si>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</si>
  <si>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</si>
  <si>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</si>
  <si>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</si>
  <si>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DES001</t>
  </si>
  <si>
    <t xml:space="preserve">DES002</t>
  </si>
  <si>
    <t xml:space="preserve">Partida</t>
  </si>
  <si>
    <t xml:space="preserve">U</t>
  </si>
  <si>
    <t xml:space="preserve">o DESMONTAJE DE VENTANA ( FC / PT / VE / RF )</t>
  </si>
  <si>
    <t xml:space="preserve">Desmontaje de ventana de madera con cristal en medidas de 1.03x0.68m de altura, situado en los rellanos de escalera, con medios manuales, sin deteriorar los elementos constructivos a los que esta sujeta, y carga manual sobre camion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</si>
  <si>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</si>
  <si>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</si>
  <si>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</si>
  <si>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</si>
  <si>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</si>
  <si>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</si>
  <si>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</si>
  <si>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</si>
  <si>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</si>
  <si>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</si>
  <si>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</si>
  <si>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</si>
  <si>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</si>
  <si>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</si>
  <si>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</si>
  <si>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</si>
  <si>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</si>
  <si>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DES002</t>
  </si>
  <si>
    <t xml:space="preserve">DES003</t>
  </si>
  <si>
    <t xml:space="preserve">Partida</t>
  </si>
  <si>
    <t xml:space="preserve">U</t>
  </si>
  <si>
    <t xml:space="preserve">o DESMONTAJE DE TOLDO ( FC )</t>
  </si>
  <si>
    <t xml:space="preserve">Desmontaje de toldo, situado en fachada y fijado al paramento, con medios manuales y recuperación del material para su posterior ubicación, sin deteriorar los elementos constructivos a los que está sujeto. El precio incluye el desmontaje de los accesorios y de los elementos de fijación.</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</si>
  <si>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</si>
  <si>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</si>
  <si>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</si>
  <si>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</si>
  <si>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</si>
  <si>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</si>
  <si>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</si>
  <si>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</si>
  <si>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</si>
  <si>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</si>
  <si>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</si>
  <si>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</si>
  <si>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</si>
  <si>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</si>
  <si>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</si>
  <si>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</si>
  <si>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</si>
  <si>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DES003</t>
  </si>
  <si>
    <t xml:space="preserve">DES004</t>
  </si>
  <si>
    <t xml:space="preserve">Partida</t>
  </si>
  <si>
    <t xml:space="preserve">ML</t>
  </si>
  <si>
    <t xml:space="preserve">o DESMONTAJE DE BARANDILLA ( FC / PT / VE / RF )</t>
  </si>
  <si>
    <t xml:space="preserve">Levantado con medios manuales y equipo de oxicorte, de barandilla en forma recta, de 100 cm de altura, sin deteriorar los elementos constructivos a los que está sujeta, y carga manual sobre camión o contenedor. El precio incluye el desmontaje de los accesorios y de los elementos de fijación.</t>
  </si>
  <si>
    <t xml:space="preserve">oxic</t>
  </si>
  <si>
    <t xml:space="preserve">Material</t>
  </si>
  <si>
    <t xml:space="preserve">h</t>
  </si>
  <si>
    <t xml:space="preserve">Equipo de oxicorte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</si>
  <si>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</si>
  <si>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</si>
  <si>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</si>
  <si>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</si>
  <si>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</si>
  <si>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</si>
  <si>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</si>
  <si>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</si>
  <si>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</si>
  <si>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</si>
  <si>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</si>
  <si>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</si>
  <si>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</si>
  <si>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</si>
  <si>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</si>
  <si>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</si>
  <si>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</si>
  <si>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DES004</t>
  </si>
  <si>
    <t xml:space="preserve">DES005</t>
  </si>
  <si>
    <t xml:space="preserve">Partida</t>
  </si>
  <si>
    <t xml:space="preserve">U</t>
  </si>
  <si>
    <t xml:space="preserve">o DESMONTAJE Y POSTERIOR MONTAJE DE INODORO ( BJ / AM / RF )</t>
  </si>
  <si>
    <t xml:space="preserve">Desmontaje y posterior montaje de inodoro, con medios manuales, recuperación, acopio y montaje del material en el mismo emplazamiento, sin afectar a la estabilidad de los elementos constructivos a los que pueda estar sujeto, y carga manual sobre camión o contenedor.</t>
  </si>
  <si>
    <t xml:space="preserve">ma-lp-00535305</t>
  </si>
  <si>
    <t xml:space="preserve">Material</t>
  </si>
  <si>
    <t xml:space="preserve">und</t>
  </si>
  <si>
    <t xml:space="preserve">Toldo multiusos PROTEX; 2x3 m   Ref. lp-00535305</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</si>
  <si>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</si>
  <si>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</si>
  <si>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</si>
  <si>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</si>
  <si>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</si>
  <si>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</si>
  <si>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</si>
  <si>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</si>
  <si>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</si>
  <si>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</si>
  <si>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</si>
  <si>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</si>
  <si>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</si>
  <si>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</si>
  <si>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</si>
  <si>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</si>
  <si>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</si>
  <si>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</si>
  <si>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</si>
  <si>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</si>
  <si>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</si>
  <si>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</si>
  <si>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</si>
  <si>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</si>
  <si>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</si>
  <si>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DES005</t>
  </si>
  <si>
    <t xml:space="preserve">DES006</t>
  </si>
  <si>
    <t xml:space="preserve">Partida</t>
  </si>
  <si>
    <t xml:space="preserve">U</t>
  </si>
  <si>
    <t xml:space="preserve">o DESMONTAJE Y ALMACENAMIENTO DE ANTENA (CB)</t>
  </si>
  <si>
    <t xml:space="preserve">Desmontaje y almacenamiento de antena de television sus correspondiente fijaciones, conexiones y mecanismos, para posibilitar el correcto acceso y ejecución de los trabajos en las zonas de intervención. Incluye el suministro y colocación de envoltorio protector de plástico una vez desmontado, garantizando la perfecta protección de este elemento durante la ejecución de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</si>
  <si>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</si>
  <si>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</si>
  <si>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</si>
  <si>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</si>
  <si>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</si>
  <si>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</si>
  <si>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</si>
  <si>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</si>
  <si>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</si>
  <si>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</si>
  <si>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</si>
  <si>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</si>
  <si>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</si>
  <si>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</si>
  <si>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</si>
  <si>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</si>
  <si>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</si>
  <si>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</si>
  <si>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</si>
  <si>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</si>
  <si>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</si>
  <si>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</si>
  <si>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</si>
  <si>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</si>
  <si>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</si>
  <si>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</si>
  <si>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</si>
  <si>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</si>
  <si>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DES006</t>
  </si>
  <si>
    <t xml:space="preserve">DES007</t>
  </si>
  <si>
    <t xml:space="preserve">Partida</t>
  </si>
  <si>
    <t xml:space="preserve">M2</t>
  </si>
  <si>
    <t xml:space="preserve">o DESMONTAJE Y ALMACENAMIENTO DE LÁMINAS DE POLICARBONATO ( PT / CB / VE / BJ / MT / AM )</t>
  </si>
  <si>
    <t xml:space="preserve">Desmontaje y almacenamiento de laminas de policarbonato con sus correspondiente fijaciones, para posibilitar el correcto acceso y ejecución de los trabajos contratados.</t>
  </si>
  <si>
    <t xml:space="preserve">ma-lp-00006257</t>
  </si>
  <si>
    <t xml:space="preserve">Material</t>
  </si>
  <si>
    <t xml:space="preserve">und</t>
  </si>
  <si>
    <t xml:space="preserve">Tablero MDF 2440x1220x10 mm   Ref. lp-00006257</t>
  </si>
  <si>
    <t xml:space="preserve">ma-lp-00007667</t>
  </si>
  <si>
    <t xml:space="preserve">Material</t>
  </si>
  <si>
    <t xml:space="preserve">und</t>
  </si>
  <si>
    <t xml:space="preserve">Plástico cubretodo grueso MIARCO; 4x5 m/und   Ref. lp-00007667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</si>
  <si>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</si>
  <si>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</si>
  <si>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</si>
  <si>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</si>
  <si>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</si>
  <si>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</si>
  <si>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</si>
  <si>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</si>
  <si>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</si>
  <si>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</si>
  <si>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</si>
  <si>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</si>
  <si>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</si>
  <si>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</si>
  <si>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</si>
  <si>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</si>
  <si>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</si>
  <si>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</si>
  <si>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</si>
  <si>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</si>
  <si>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DES007</t>
  </si>
  <si>
    <t xml:space="preserve">DES008</t>
  </si>
  <si>
    <t xml:space="preserve">Partida</t>
  </si>
  <si>
    <t xml:space="preserve">M2</t>
  </si>
  <si>
    <t xml:space="preserve">o DESMONTAJE Y ALMACENAMIENTO DE LÁMINAS DE VIDRIO ( PT / CB / VE / BJ / MT / AM )</t>
  </si>
  <si>
    <t xml:space="preserve">Desmontaje y almacenamiento de laminas de vidrio con sus correspondiente fijaciones, para posibilitar el correcto acceso y ejecución de los trabajos contratados.</t>
  </si>
  <si>
    <t xml:space="preserve">ma-lp-00006257</t>
  </si>
  <si>
    <t xml:space="preserve">Material</t>
  </si>
  <si>
    <t xml:space="preserve">und</t>
  </si>
  <si>
    <t xml:space="preserve">Tablero MDF 2440x1220x10 mm   Ref. lp-00006257</t>
  </si>
  <si>
    <t xml:space="preserve">ma-lp-00007667</t>
  </si>
  <si>
    <t xml:space="preserve">Material</t>
  </si>
  <si>
    <t xml:space="preserve">und</t>
  </si>
  <si>
    <t xml:space="preserve">Plástico cubretodo grueso MIARCO; 4x5 m/und   Ref. lp-00007667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</si>
  <si>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</si>
  <si>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</si>
  <si>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</si>
  <si>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</si>
  <si>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</si>
  <si>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</si>
  <si>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</si>
  <si>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</si>
  <si>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</si>
  <si>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</si>
  <si>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</si>
  <si>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</si>
  <si>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</si>
  <si>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</si>
  <si>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</si>
  <si>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</si>
  <si>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</si>
  <si>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</si>
  <si>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</si>
  <si>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</si>
  <si>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DES008</t>
  </si>
  <si>
    <t xml:space="preserve">DES009</t>
  </si>
  <si>
    <t xml:space="preserve">Partida</t>
  </si>
  <si>
    <t xml:space="preserve">M</t>
  </si>
  <si>
    <t xml:space="preserve">o DESMONTAJE Y ALMACENAMIENTO DE VALLADO</t>
  </si>
  <si>
    <t xml:space="preserve">Desmontaje y almacenamiento del sistema de vallado de sombre/ocultación existente con sus correspondiente fijaciones, conexiones y mecanismos, para posibilitar el correcto acceso y ejecución de los trabajos en las zonas de intervención. Incluye el suministro y colocación de envoltorio protector de plástico una vez desmontado, garantizando la perfecta protección de este elemento durante la ejecución de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</si>
  <si>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</si>
  <si>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</si>
  <si>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</si>
  <si>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</si>
  <si>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</si>
  <si>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</si>
  <si>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</si>
  <si>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</si>
  <si>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</si>
  <si>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</si>
  <si>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</si>
  <si>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</si>
  <si>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</si>
  <si>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</si>
  <si>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</si>
  <si>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</si>
  <si>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</si>
  <si>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</si>
  <si>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</si>
  <si>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</si>
  <si>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</si>
  <si>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</si>
  <si>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</si>
  <si>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</si>
  <si>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</si>
  <si>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</si>
  <si>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</si>
  <si>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</si>
  <si>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DES009</t>
  </si>
  <si>
    <t xml:space="preserve">DES010</t>
  </si>
  <si>
    <t xml:space="preserve">Partida</t>
  </si>
  <si>
    <t xml:space="preserve">U</t>
  </si>
  <si>
    <t xml:space="preserve">o DESMONTAJE DE TENDEDEROS CON CUERDAS ( PT / CB / BJ / MT / AM )</t>
  </si>
  <si>
    <t xml:space="preserve">Desmontaje y almacenamiento de tendederos con cuerdas con sus correspondiente fijaciones, para posibilitar el correcto acceso y ejecución de los trabajos contratados.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</si>
  <si>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</si>
  <si>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</si>
  <si>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</si>
  <si>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</si>
  <si>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</si>
  <si>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</si>
  <si>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</si>
  <si>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</si>
  <si>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</si>
  <si>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</si>
  <si>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</si>
  <si>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</si>
  <si>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</si>
  <si>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</si>
  <si>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</si>
  <si>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</si>
  <si>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</si>
  <si>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</si>
  <si>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</si>
  <si>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</si>
  <si>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DES010</t>
  </si>
  <si>
    <t xml:space="preserve">DES011</t>
  </si>
  <si>
    <t xml:space="preserve">Partida</t>
  </si>
  <si>
    <t xml:space="preserve">M</t>
  </si>
  <si>
    <t xml:space="preserve">o DESMONTAJE DE BAJANTE DE PVC</t>
  </si>
  <si>
    <t xml:space="preserve">Desmontaje de bajante de PVC, de 90mm A 160mm de diámetro máximo, con medios manuales, y carga manual sobre camión o contenedor. El precio incluye el desmontaje del material de sujeción, de los accesorios y de las piezas especiales.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</si>
  <si>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</si>
  <si>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</si>
  <si>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</si>
  <si>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</si>
  <si>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</si>
  <si>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</si>
  <si>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</si>
  <si>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</si>
  <si>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</si>
  <si>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</si>
  <si>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</si>
  <si>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</si>
  <si>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</si>
  <si>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</si>
  <si>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</si>
  <si>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</si>
  <si>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</si>
  <si>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</si>
  <si>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</si>
  <si>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</si>
  <si>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DES011</t>
  </si>
  <si>
    <t xml:space="preserve">DES011TV</t>
  </si>
  <si>
    <t xml:space="preserve">Partida</t>
  </si>
  <si>
    <t xml:space="preserve">M</t>
  </si>
  <si>
    <t xml:space="preserve">o DESMONTAJE DE BAJANTE DE PVC C/TRABAJOS VERTICALES</t>
  </si>
  <si>
    <t xml:space="preserve">Desmontaje de bajante de PVC CON TRABAJOS VERTICALES, de 90mm A 160mm de diámetro máximo, con medios manuales, y carga manual sobre camión o contenedor. El precio incluye el desmontaje del material de sujeción, de los accesorios y de las piezas especiales.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</si>
  <si>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</si>
  <si>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</si>
  <si>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</si>
  <si>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</si>
  <si>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</si>
  <si>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</si>
  <si>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</si>
  <si>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</si>
  <si>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</si>
  <si>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</si>
  <si>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</si>
  <si>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</si>
  <si>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</si>
  <si>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</si>
  <si>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</si>
  <si>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</si>
  <si>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</si>
  <si>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</si>
  <si>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</si>
  <si>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</si>
  <si>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DES011TV</t>
  </si>
  <si>
    <t xml:space="preserve">DES012</t>
  </si>
  <si>
    <t xml:space="preserve">Partida</t>
  </si>
  <si>
    <t xml:space="preserve">U</t>
  </si>
  <si>
    <t xml:space="preserve">o DESMONTAJE SIN RECUPERACIÓN DE BUZÓN ( VE )</t>
  </si>
  <si>
    <t xml:space="preserve">Desmontaje sin recuperacion de buzon, con sus correspondiente fijaciones, para posibilitar el correcto acceso y ejecución de los trabajos contratados.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</si>
  <si>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</si>
  <si>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</si>
  <si>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</si>
  <si>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</si>
  <si>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</si>
  <si>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</si>
  <si>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</si>
  <si>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</si>
  <si>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</si>
  <si>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</si>
  <si>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</si>
  <si>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</si>
  <si>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</si>
  <si>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</si>
  <si>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</si>
  <si>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</si>
  <si>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</si>
  <si>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</si>
  <si>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</si>
  <si>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</si>
  <si>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DES012</t>
  </si>
  <si>
    <t xml:space="preserve">DES013</t>
  </si>
  <si>
    <t xml:space="preserve">Partida</t>
  </si>
  <si>
    <t xml:space="preserve">U</t>
  </si>
  <si>
    <t xml:space="preserve">o DESMONTAJE Y POSTERIOR MONTAJE DE LAVABO ( BJ / AM / RF )</t>
  </si>
  <si>
    <t xml:space="preserve">Desmontaje y posterior montaje de inodoro, con medios manuales, recuperación, acopio y montaje del material en el mismo emplazamiento, sin afectar a la estabilidad de los elementos constructivos a los que pueda estar sujeto, y carga manual sobre camión o contenedor.</t>
  </si>
  <si>
    <t xml:space="preserve">ma-lp-00535305</t>
  </si>
  <si>
    <t xml:space="preserve">Material</t>
  </si>
  <si>
    <t xml:space="preserve">und</t>
  </si>
  <si>
    <t xml:space="preserve">Toldo multiusos PROTEX; 2x3 m   Ref. lp-00535305</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</si>
  <si>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</si>
  <si>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</si>
  <si>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</si>
  <si>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</si>
  <si>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</si>
  <si>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</si>
  <si>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</si>
  <si>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</si>
  <si>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</si>
  <si>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</si>
  <si>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</si>
  <si>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</si>
  <si>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</si>
  <si>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</si>
  <si>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</si>
  <si>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</si>
  <si>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</si>
  <si>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</si>
  <si>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</si>
  <si>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</si>
  <si>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</si>
  <si>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</si>
  <si>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</si>
  <si>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</si>
  <si>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</si>
  <si>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</si>
  <si>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</si>
  <si>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</si>
  <si>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DES013</t>
  </si>
  <si>
    <t xml:space="preserve">DES014</t>
  </si>
  <si>
    <t xml:space="preserve">Partida</t>
  </si>
  <si>
    <t xml:space="preserve">M</t>
  </si>
  <si>
    <t xml:space="preserve">o DESMONTAJE SIN RECUPERACIÓN DE CAJÓN DE PERSIANA ( FC / PT / RF )</t>
  </si>
  <si>
    <t xml:space="preserve">Levantado con medios manuales y sin recuperación, de cajón de persiana existente, sin deteriorar los elementos constructivos a los que está sujeto.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</si>
  <si>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</si>
  <si>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</si>
  <si>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</si>
  <si>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</si>
  <si>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</si>
  <si>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</si>
  <si>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</si>
  <si>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</si>
  <si>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</si>
  <si>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</si>
  <si>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</si>
  <si>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</si>
  <si>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</si>
  <si>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</si>
  <si>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</si>
  <si>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</si>
  <si>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</si>
  <si>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</si>
  <si>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</si>
  <si>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</si>
  <si>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DES014</t>
  </si>
  <si>
    <t xml:space="preserve">DES015</t>
  </si>
  <si>
    <t xml:space="preserve">Partida</t>
  </si>
  <si>
    <t xml:space="preserve">m2</t>
  </si>
  <si>
    <t xml:space="preserve">o DESMONTAJE CON RECUPERACIÓN DE PUERTA, BALCONERA, VENTANA O REJA ( FC / PT / VE / RF )</t>
  </si>
  <si>
    <t xml:space="preserve">Levantado con medios manuales y con recuperación, de puerta o balconera fijada al paramento mediante recibido en obra de fábrica, sin deteriorar los elementos constructivos a los que está sujeta; incluye acopio con suministro y colocación de envoltorios protectores para la unidad desmontada, garantizando la perfecta protección de este elemento durante la ejecución de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</si>
  <si>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</si>
  <si>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</si>
  <si>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</si>
  <si>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</si>
  <si>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</si>
  <si>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</si>
  <si>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</si>
  <si>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</si>
  <si>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</si>
  <si>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</si>
  <si>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</si>
  <si>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</si>
  <si>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</si>
  <si>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</si>
  <si>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</si>
  <si>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</si>
  <si>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</si>
  <si>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</si>
  <si>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</si>
  <si>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</si>
  <si>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</si>
  <si>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</si>
  <si>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</si>
  <si>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</si>
  <si>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</si>
  <si>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</si>
  <si>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</si>
  <si>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</si>
  <si>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</si>
  <si>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</si>
  <si>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</si>
  <si>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</si>
  <si>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</si>
  <si>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</si>
  <si>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</si>
  <si>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</si>
  <si>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DES015</t>
  </si>
  <si>
    <t xml:space="preserve">DES016</t>
  </si>
  <si>
    <t xml:space="preserve">Partida</t>
  </si>
  <si>
    <t xml:space="preserve">m2</t>
  </si>
  <si>
    <t xml:space="preserve">o DESMONTAJE SIN RECUPERACIÓN DE PUERTA, BALCONERA, VENTANA O REJA ( FC / PT / VE / RF )</t>
  </si>
  <si>
    <t xml:space="preserve">Levantado con medios manuales y sin recuperación, de puerta o balconera fijada al paramento mediante recibido en obra de fábrica, sin deteriorar los elementos constructivos a los que está sujeta.</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</si>
  <si>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</si>
  <si>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</si>
  <si>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</si>
  <si>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</si>
  <si>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</si>
  <si>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</si>
  <si>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</si>
  <si>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</si>
  <si>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</si>
  <si>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</si>
  <si>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</si>
  <si>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</si>
  <si>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</si>
  <si>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</si>
  <si>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</si>
  <si>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</si>
  <si>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</si>
  <si>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</si>
  <si>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</si>
  <si>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</si>
  <si>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</si>
  <si>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</si>
  <si>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</si>
  <si>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</si>
  <si>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</si>
  <si>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</si>
  <si>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</si>
  <si>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</si>
  <si>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DES016</t>
  </si>
  <si>
    <t xml:space="preserve">DES017</t>
  </si>
  <si>
    <t xml:space="preserve">Partida</t>
  </si>
  <si>
    <t xml:space="preserve">M2</t>
  </si>
  <si>
    <t xml:space="preserve">o DESMONTAJE DE TARIMA</t>
  </si>
  <si>
    <t xml:space="preserve">Desmontaje de tarima en exterior, con medios manuales, sin afectar a la estabilidad de los elementos constructivos a los que pueda estar sujeto,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</si>
  <si>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</si>
  <si>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</si>
  <si>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</si>
  <si>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</si>
  <si>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</si>
  <si>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</si>
  <si>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</si>
  <si>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</si>
  <si>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</si>
  <si>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</si>
  <si>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</si>
  <si>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</si>
  <si>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</si>
  <si>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</si>
  <si>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</si>
  <si>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</si>
  <si>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</si>
  <si>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</si>
  <si>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</si>
  <si>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</si>
  <si>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DES017</t>
  </si>
  <si>
    <t xml:space="preserve">DES018</t>
  </si>
  <si>
    <t xml:space="preserve">Partida</t>
  </si>
  <si>
    <t xml:space="preserve">U</t>
  </si>
  <si>
    <t xml:space="preserve">o DESMONTAJE Y REPOSICIÓN DE CORTINAS DE LONA ACRILICA</t>
  </si>
  <si>
    <t xml:space="preserve">Desmontaje y posterior colocación de cortinas existentes, de hasta 2000 mm de longitud aproximada, de lona acrílica, incluso elementos de fijación y accesorios, situado en techos de balcones y recibido a estructura del voladizo, con medios manuales, sin deteriorar los elementos constructivos a los que está sujeto. Incluso p/p de carga, descarga, limpieza, acopio, retirada y traslado dentro del mismo edificio a buen recaudo durante la realización de las obras para posterior colocación.</t>
  </si>
  <si>
    <t xml:space="preserve">ma-lp-00215083</t>
  </si>
  <si>
    <t xml:space="preserve">Material</t>
  </si>
  <si>
    <t xml:space="preserve">caja</t>
  </si>
  <si>
    <t xml:space="preserve">Taco DUOPOWER de FISCHER (50 pzas/caja).   Ref. lp-00215083</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</si>
  <si>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</si>
  <si>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</si>
  <si>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</si>
  <si>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</si>
  <si>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</si>
  <si>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</si>
  <si>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</si>
  <si>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</si>
  <si>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</si>
  <si>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</si>
  <si>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</si>
  <si>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</si>
  <si>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</si>
  <si>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</si>
  <si>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</si>
  <si>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</si>
  <si>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</si>
  <si>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</si>
  <si>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</si>
  <si>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</si>
  <si>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</si>
  <si>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</si>
  <si>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</si>
  <si>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</si>
  <si>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</si>
  <si>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</si>
  <si>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</si>
  <si>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</si>
  <si>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</si>
  <si>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</si>
  <si>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</si>
  <si>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</si>
  <si>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</si>
  <si>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</si>
  <si>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</si>
  <si>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</si>
  <si>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DES018</t>
  </si>
  <si>
    <t xml:space="preserve">DES019</t>
  </si>
  <si>
    <t xml:space="preserve">Partida</t>
  </si>
  <si>
    <t xml:space="preserve">U</t>
  </si>
  <si>
    <t xml:space="preserve">o DESMONTAJE Y REPOSICIÓN DE TOLDO DE LONA ACRILICA</t>
  </si>
  <si>
    <t xml:space="preserve">Desmontaje, retirada provisional, protección y almacenamiento de toldo existente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garantizando la perfecta protección de este elemento durante la ejecución de los trabajos.</t>
  </si>
  <si>
    <t xml:space="preserve">ma-lp-00215083</t>
  </si>
  <si>
    <t xml:space="preserve">Material</t>
  </si>
  <si>
    <t xml:space="preserve">caja</t>
  </si>
  <si>
    <t xml:space="preserve">Taco DUOPOWER de FISCHER (50 pzas/caja).   Ref. lp-00215083</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</si>
  <si>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</si>
  <si>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</si>
  <si>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</si>
  <si>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</si>
  <si>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</si>
  <si>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</si>
  <si>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</si>
  <si>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</si>
  <si>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</si>
  <si>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</si>
  <si>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</si>
  <si>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</si>
  <si>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</si>
  <si>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</si>
  <si>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</si>
  <si>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</si>
  <si>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</si>
  <si>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</si>
  <si>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</si>
  <si>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</si>
  <si>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</si>
  <si>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</si>
  <si>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</si>
  <si>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</si>
  <si>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</si>
  <si>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</si>
  <si>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</si>
  <si>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</si>
  <si>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</si>
  <si>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</si>
  <si>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</si>
  <si>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</si>
  <si>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</si>
  <si>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</si>
  <si>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</si>
  <si>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</si>
  <si>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DES019</t>
  </si>
  <si>
    <t xml:space="preserve">DES020</t>
  </si>
  <si>
    <t xml:space="preserve">Partida</t>
  </si>
  <si>
    <t xml:space="preserve">U</t>
  </si>
  <si>
    <t xml:space="preserve">o DESMONTAJE Y RECOLOCACIÓN PERSIANAS ALICANTINAS</t>
  </si>
  <si>
    <t xml:space="preserve">Retirada de persianas enrollables previo al inicio de las obras y entrega a los propietarios para su almacenamiento durante las obras. Una vez finalizadas las obras, se volverán a instalar las persianas en su lugar original utilizando el mismo sistema de anclaje existente.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</si>
  <si>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</si>
  <si>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</si>
  <si>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</si>
  <si>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</si>
  <si>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</si>
  <si>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</si>
  <si>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</si>
  <si>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</si>
  <si>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</si>
  <si>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</si>
  <si>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</si>
  <si>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</si>
  <si>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</si>
  <si>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</si>
  <si>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</si>
  <si>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</si>
  <si>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</si>
  <si>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</si>
  <si>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</si>
  <si>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</si>
  <si>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DES020</t>
  </si>
  <si>
    <t xml:space="preserve">DES021</t>
  </si>
  <si>
    <t xml:space="preserve">Partida</t>
  </si>
  <si>
    <t xml:space="preserve">ML</t>
  </si>
  <si>
    <t xml:space="preserve">o DESMONTAJE DE TUBERIAS HASTA 1"</t>
  </si>
  <si>
    <t xml:space="preserve">Desmontaje de tuberias de hasta 1" de diámetro, en instalación superficial de gas, con medios manuales, sin deteriorar los elementos constructivos a los que están sujetos, y carga manual sobre camión o contenedor.</t>
  </si>
  <si>
    <t xml:space="preserve">ma-bd-EAN.5059340418391</t>
  </si>
  <si>
    <t xml:space="preserve">Material</t>
  </si>
  <si>
    <t xml:space="preserve">pza</t>
  </si>
  <si>
    <t xml:space="preserve">Disco de corte ERBAUER inox/metal 125x1 mm.   Ref. bd-EAN.5059340418391</t>
  </si>
  <si>
    <t xml:space="preserve">ma-lp-00016980</t>
  </si>
  <si>
    <t xml:space="preserve">Material</t>
  </si>
  <si>
    <t xml:space="preserve">envase</t>
  </si>
  <si>
    <t xml:space="preserve">Aflojatodo en Spray WD-40 (500 ml/envase).   Ref. lp-00016980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</si>
  <si>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</si>
  <si>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</si>
  <si>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</si>
  <si>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</si>
  <si>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</si>
  <si>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</si>
  <si>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</si>
  <si>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</si>
  <si>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</si>
  <si>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</si>
  <si>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</si>
  <si>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</si>
  <si>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</si>
  <si>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</si>
  <si>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</si>
  <si>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</si>
  <si>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</si>
  <si>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</si>
  <si>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</si>
  <si>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</si>
  <si>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DES021</t>
  </si>
  <si>
    <t xml:space="preserve">DES022</t>
  </si>
  <si>
    <t xml:space="preserve">Partida</t>
  </si>
  <si>
    <t xml:space="preserve">U</t>
  </si>
  <si>
    <t xml:space="preserve">o DESMONTAJE Y POSTERIOR MONTAJE DE LUMINARIA</t>
  </si>
  <si>
    <t xml:space="preserve">Desmontaje de luminaria, instalada en superficie con medios manuales y recuperación,  acopio y montaje del material en el mismo emplazamiento, siendo el orden de ejecución del proceso inverso al de su instalación, sin  deteriorar los elementos constructivos a los que pueda estar sujeta,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</si>
  <si>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</si>
  <si>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</si>
  <si>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</si>
  <si>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</si>
  <si>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</si>
  <si>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</si>
  <si>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</si>
  <si>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</si>
  <si>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</si>
  <si>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</si>
  <si>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</si>
  <si>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</si>
  <si>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</si>
  <si>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</si>
  <si>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</si>
  <si>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</si>
  <si>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</si>
  <si>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</si>
  <si>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</si>
  <si>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</si>
  <si>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DES022</t>
  </si>
  <si>
    <t xml:space="preserve">DES023</t>
  </si>
  <si>
    <t xml:space="preserve">Partida</t>
  </si>
  <si>
    <t xml:space="preserve">U</t>
  </si>
  <si>
    <t xml:space="preserve">o DESMONTAJE SIN RECUPERACION DE LUMINARIA</t>
  </si>
  <si>
    <t xml:space="preserve">Desmontaje de luminaria, instalada en superficie con medios manuales, sin  deteriorar los elementos constructivos a los que pueda estar sujeta, y carga manual sobre camión o contenedor.</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</si>
  <si>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</si>
  <si>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</si>
  <si>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</si>
  <si>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</si>
  <si>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</si>
  <si>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</si>
  <si>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</si>
  <si>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</si>
  <si>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</si>
  <si>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</si>
  <si>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</si>
  <si>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</si>
  <si>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</si>
  <si>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</si>
  <si>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</si>
  <si>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</si>
  <si>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</si>
  <si>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</si>
  <si>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</si>
  <si>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</si>
  <si>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</si>
  <si>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</si>
  <si>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</si>
  <si>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</si>
  <si>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DES023</t>
  </si>
  <si>
    <t xml:space="preserve">DES024</t>
  </si>
  <si>
    <t xml:space="preserve">Partida</t>
  </si>
  <si>
    <t xml:space="preserve">U</t>
  </si>
  <si>
    <t xml:space="preserve">o DESMONTAJE SIN RECUPERACIÓN DE REJILLA DE VENTILACIÓN</t>
  </si>
  <si>
    <t xml:space="preserve">Desmontaje de rejilla 20X20cm, con medios manuales, y carga manual sobre camión o contenedor. El precio incluye el desmontaje de los accesorios y de los elementos de fijación.</t>
  </si>
  <si>
    <t xml:space="preserve">ma-lp-00016978</t>
  </si>
  <si>
    <t xml:space="preserve">Material</t>
  </si>
  <si>
    <t xml:space="preserve">envase</t>
  </si>
  <si>
    <t xml:space="preserve">Aflojatodo en Spray WD-40 (200 ml/envase).   Ref. lp-00016978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</si>
  <si>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</si>
  <si>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</si>
  <si>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</si>
  <si>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</si>
  <si>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</si>
  <si>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</si>
  <si>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</si>
  <si>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</si>
  <si>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</si>
  <si>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</si>
  <si>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</si>
  <si>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</si>
  <si>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</si>
  <si>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</si>
  <si>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</si>
  <si>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</si>
  <si>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</si>
  <si>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</si>
  <si>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</si>
  <si>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</si>
  <si>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DES024</t>
  </si>
  <si>
    <t xml:space="preserve">DES025</t>
  </si>
  <si>
    <t xml:space="preserve">Partida</t>
  </si>
  <si>
    <t xml:space="preserve">U</t>
  </si>
  <si>
    <t xml:space="preserve">o DESMONTAJE Y REPOSICION DE CORTINAS DE LONA ACRILICA</t>
  </si>
  <si>
    <t xml:space="preserve">Desmuntatge i posterior col·locació de cortines existents, de fins a 2000 mm de longitud aproximada, de lona acrílica, inclús elements de fixació i accessoris, situat en sostres de balcons i rebut a estructura del voladís, amb mitjans manuals, sense deteriorar els elements constructius als quals està subjecte. Fins i tot p/p de càrrega, descàrrega, neteja, aplec, retirada i trasllat dins del mateix edifici en lloc segur durant la realització de les obres per posterior col·locació.</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</si>
  <si>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</si>
  <si>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</si>
  <si>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</si>
  <si>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</si>
  <si>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</si>
  <si>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</si>
  <si>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</si>
  <si>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</si>
  <si>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</si>
  <si>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</si>
  <si>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</si>
  <si>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</si>
  <si>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</si>
  <si>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</si>
  <si>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</si>
  <si>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</si>
  <si>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</si>
  <si>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</si>
  <si>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</si>
  <si>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</si>
  <si>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</si>
  <si>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</si>
  <si>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</si>
  <si>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</si>
  <si>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</si>
  <si>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</si>
  <si>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</si>
  <si>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</si>
  <si>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</si>
  <si>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</si>
  <si>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</si>
  <si>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</si>
  <si>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DES025</t>
  </si>
  <si>
    <t xml:space="preserve">DES026</t>
  </si>
  <si>
    <t xml:space="preserve">Partida</t>
  </si>
  <si>
    <t xml:space="preserve">M</t>
  </si>
  <si>
    <t xml:space="preserve">o DESMONTAJE DE VIERTEAGUAS DE ALUMINIO</t>
  </si>
  <si>
    <t xml:space="preserve">Desmontaje de vierteaguas de aluminio, con medios manuales, sin deteriorar los elementos constructivos contiguos, y carga manual sobre camión o contenedor.</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</si>
  <si>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</si>
  <si>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</si>
  <si>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</si>
  <si>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</si>
  <si>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</si>
  <si>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</si>
  <si>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</si>
  <si>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</si>
  <si>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</si>
  <si>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</si>
  <si>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</si>
  <si>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</si>
  <si>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</si>
  <si>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</si>
  <si>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</si>
  <si>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</si>
  <si>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</si>
  <si>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</si>
  <si>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</si>
  <si>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</si>
  <si>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</si>
  <si>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</si>
  <si>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</si>
  <si>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</si>
  <si>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</si>
  <si>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</si>
  <si>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</si>
  <si>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</si>
  <si>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DES026</t>
  </si>
  <si>
    <t xml:space="preserve">DES027</t>
  </si>
  <si>
    <t xml:space="preserve">Partida</t>
  </si>
  <si>
    <t xml:space="preserve">U</t>
  </si>
  <si>
    <t xml:space="preserve">o DESMONTAJE DE PESCANTES METÁLICOS O  VIGA SUBE MUEBLES</t>
  </si>
  <si>
    <t xml:space="preserve">Eliminación de pescante metálico o viga sube muebles, mediante el repicado por medios manuales o mecánicos de la zona de empotramiento, para realizar corte con radial del mismo. Aplicación de protección de barrera contra la corrosión para acabar con el recrecido de la zona con material de agarre de mortero de reparación.</t>
  </si>
  <si>
    <t xml:space="preserve">ma-lp-00540827</t>
  </si>
  <si>
    <t xml:space="preserve">Material</t>
  </si>
  <si>
    <t xml:space="preserve">saco</t>
  </si>
  <si>
    <t xml:space="preserve">Mortero de reparación estructural R4 PROPAM REPAR TECHNO (25 kg/saco)   Ref. lp-00540827</t>
  </si>
  <si>
    <t xml:space="preserve">ma-lp-00540914</t>
  </si>
  <si>
    <t xml:space="preserve">Material</t>
  </si>
  <si>
    <t xml:space="preserve">saco</t>
  </si>
  <si>
    <t xml:space="preserve">Mortero de reparación y pasivante MAPEFER 1K (5 kg/saco)   Ref. lp-00540914</t>
  </si>
  <si>
    <t xml:space="preserve">alq-demoledor-lp-00254673</t>
  </si>
  <si>
    <t xml:space="preserve">Partida</t>
  </si>
  <si>
    <t xml:space="preserve">h</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</si>
  <si>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</si>
  <si>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</si>
  <si>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</si>
  <si>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</si>
  <si>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</si>
  <si>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</si>
  <si>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</si>
  <si>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</si>
  <si>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</si>
  <si>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</si>
  <si>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</si>
  <si>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</si>
  <si>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</si>
  <si>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</si>
  <si>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</si>
  <si>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</si>
  <si>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</si>
  <si>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</si>
  <si>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</si>
  <si>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</si>
  <si>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</si>
  <si>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</si>
  <si>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</si>
  <si>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</si>
  <si>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</si>
  <si>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</si>
  <si>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</si>
  <si>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</si>
  <si>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</si>
  <si>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</si>
  <si>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</si>
  <si>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</si>
  <si>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</si>
  <si>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</si>
  <si>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DES027</t>
  </si>
  <si>
    <t xml:space="preserve">DESM-TOLDOS-3a6</t>
  </si>
  <si>
    <t xml:space="preserve">Partida</t>
  </si>
  <si>
    <t xml:space="preserve">U</t>
  </si>
  <si>
    <t xml:space="preserve">XXXX DESMONTAJE, RETIRO PROVISIONAL, PROTECCIÓN Y ALMACENAMIENTO DE TOLDOS EXISTENTES (3 m2 &lt; SUPERFICIE &lt;= 6 m2) Y DE SUS CORRESPONDIENTE FIJACIONES, GUÍAS Y MECANISMOS ACTUALMENTE INSTALADOS EN EL ÁMBITO EXTERIOR DE FACHADA (FCH)</t>
  </si>
  <si>
    <t xml:space="preserve">Desmontaje, retirada provisional, protección y almacenamiento de toldos existentes (3 m2 &lt; superficie &lt;= 6 m2)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garantizando la perfecta protección de este elemento durante la ejecución de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</si>
  <si>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</si>
  <si>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</si>
  <si>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</si>
  <si>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</si>
  <si>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</si>
  <si>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</si>
  <si>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</si>
  <si>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</si>
  <si>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</si>
  <si>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</si>
  <si>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</si>
  <si>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</si>
  <si>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</si>
  <si>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</si>
  <si>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</si>
  <si>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</si>
  <si>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</si>
  <si>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</si>
  <si>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</si>
  <si>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</si>
  <si>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</si>
  <si>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</si>
  <si>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</si>
  <si>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</si>
  <si>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</si>
  <si>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</si>
  <si>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</si>
  <si>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</si>
  <si>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DESM-TOLDOS-3a6</t>
  </si>
  <si>
    <t xml:space="preserve">DESM-TOLDOS-6a8</t>
  </si>
  <si>
    <t xml:space="preserve">Partida</t>
  </si>
  <si>
    <t xml:space="preserve">U</t>
  </si>
  <si>
    <t xml:space="preserve">XXXX DESMONTAJE, RETIRO PROVISIONAL, PROTECCIÓN Y ALMACENAMIENTO DE TOLDOS EXISTENTES (6 m2 &lt; SUPERFICIE &lt;= 8 m2) Y DE SUS CORRESPONDIENTE FIJACIONES, GUÍAS Y MECANISMOS ACTUALMENTE INSTALADOS EN EL ÁMBITO EXTERIOR DE FACHADA (FCH)</t>
  </si>
  <si>
    <t xml:space="preserve">Desmontaje, retirada provisional, protección y almacenamiento de toldos existentes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Acopio en zona designada por el inquilino. Posterior montaje una vez realizado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</si>
  <si>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</si>
  <si>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</si>
  <si>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</si>
  <si>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</si>
  <si>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</si>
  <si>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</si>
  <si>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</si>
  <si>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</si>
  <si>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</si>
  <si>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</si>
  <si>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</si>
  <si>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</si>
  <si>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</si>
  <si>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</si>
  <si>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</si>
  <si>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</si>
  <si>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</si>
  <si>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</si>
  <si>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</si>
  <si>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</si>
  <si>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</si>
  <si>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</si>
  <si>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</si>
  <si>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</si>
  <si>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</si>
  <si>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</si>
  <si>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</si>
  <si>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</si>
  <si>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DESM-TOLDOS-6a8</t>
  </si>
  <si>
    <t xml:space="preserve">DESM-TENDEDEROS-02</t>
  </si>
  <si>
    <t xml:space="preserve">Partida</t>
  </si>
  <si>
    <t xml:space="preserve">U</t>
  </si>
  <si>
    <t xml:space="preserve">XXXX DESMONTAJE, RETIRO PROVISIONAL, PROTECCIÓN Y ALMACENAMIENTO DE TENDEDEROS Y CORDAJES EXISTENTES DISPUESTOS EN EL PLANO EXTERIOR DE LOS BALCONES EN CADA PLANTA Y EN PARAMENTOS DE FACHADA (FCH)</t>
  </si>
  <si>
    <t xml:space="preserve">DESMONTAJE, RETIRO PROVISIONAL, PROTECCIÓN Y ALMACENAMIENTO DE TENDEDEROS Y CORDAJES EXISTENTES DISPUESTOS EN EL PLANO EXTERIOR DE LOS BALCONES EN CADA PLANTA Y EN PARAMENTOS DE FACHADA (FCH)</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</si>
  <si>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</si>
  <si>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</si>
  <si>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</si>
  <si>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</si>
  <si>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</si>
  <si>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</si>
  <si>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</si>
  <si>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</si>
  <si>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</si>
  <si>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</si>
  <si>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</si>
  <si>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</si>
  <si>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</si>
  <si>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</si>
  <si>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</si>
  <si>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</si>
  <si>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</si>
  <si>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</si>
  <si>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</si>
  <si>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</si>
  <si>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</si>
  <si>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</si>
  <si>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</si>
  <si>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</si>
  <si>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</si>
  <si>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</si>
  <si>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</si>
  <si>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</si>
  <si>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DESM-TENDEDEROS-02</t>
  </si>
  <si>
    <t xml:space="preserve">DESM-C/RECUP.INODOROS-01</t>
  </si>
  <si>
    <t xml:space="preserve">Partida</t>
  </si>
  <si>
    <t xml:space="preserve">PZA</t>
  </si>
  <si>
    <t xml:space="preserve">XXXXXXXDESMONTAJE, RETIRO PROVISIONAL, PROTECCIÓN Y ALMACENAMIENTO DE INODORO EXISTENTE</t>
  </si>
  <si>
    <t xml:space="preserve">DESMONTAJE, RETIRO PROVISIONAL, PROTECCIÓN Y ALMACENAMIENTO DE INODORO EXISTENTE</t>
  </si>
  <si>
    <t xml:space="preserve">ma-lp-00535305</t>
  </si>
  <si>
    <t xml:space="preserve">Material</t>
  </si>
  <si>
    <t xml:space="preserve">und</t>
  </si>
  <si>
    <t xml:space="preserve">Toldo multiusos PROTEX; 2x3 m   Ref. lp-00535305</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</si>
  <si>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</si>
  <si>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</si>
  <si>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</si>
  <si>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</si>
  <si>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</si>
  <si>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</si>
  <si>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</si>
  <si>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</si>
  <si>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</si>
  <si>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</si>
  <si>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</si>
  <si>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</si>
  <si>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</si>
  <si>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</si>
  <si>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</si>
  <si>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</si>
  <si>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</si>
  <si>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</si>
  <si>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</si>
  <si>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</si>
  <si>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</si>
  <si>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</si>
  <si>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</si>
  <si>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</si>
  <si>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</si>
  <si>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</si>
  <si>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</si>
  <si>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</si>
  <si>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DESM-C/RECUP.INODOROS-01</t>
  </si>
  <si>
    <t xml:space="preserve">DESMONTAJES</t>
  </si>
  <si>
    <t xml:space="preserve">LEVANTADOS</t>
  </si>
  <si>
    <t xml:space="preserve">Capítulo</t>
  </si>
  <si>
    <t xml:space="preserve">XXXXXXXXX LEVANTADOS PRELIMINARES</t>
  </si>
  <si>
    <t xml:space="preserve">LEVANTADO-REJA-C/RECUP.-01</t>
  </si>
  <si>
    <t xml:space="preserve">Partida</t>
  </si>
  <si>
    <t xml:space="preserve">m2</t>
  </si>
  <si>
    <t xml:space="preserve">XXXXXXX LEVANTADO MANUAL Y CON RECUPERACIÓN DE REJA EXISTENTE</t>
  </si>
  <si>
    <t xml:space="preserve">Levantado con medios manuales y con recuperación, de reja fijada al paramento mediante recibido en obra de fábrica, sin deteriorar los elementos constructivos a los que está sujeta; incluye acopio con suministro y colocación de envoltorios protectores para la unidad desmontada, garantizando la perfecta protección de este elemento durante la ejecución de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</si>
  <si>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</si>
  <si>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</si>
  <si>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</si>
  <si>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</si>
  <si>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</si>
  <si>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</si>
  <si>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</si>
  <si>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</si>
  <si>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</si>
  <si>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</si>
  <si>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</si>
  <si>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</si>
  <si>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</si>
  <si>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</si>
  <si>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</si>
  <si>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</si>
  <si>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</si>
  <si>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</si>
  <si>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</si>
  <si>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</si>
  <si>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</si>
  <si>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</si>
  <si>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</si>
  <si>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</si>
  <si>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</si>
  <si>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</si>
  <si>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</si>
  <si>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</si>
  <si>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</si>
  <si>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</si>
  <si>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</si>
  <si>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</si>
  <si>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</si>
  <si>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</si>
  <si>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</si>
  <si>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</si>
  <si>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LEVANTADO-REJA-C/RECUP.-01</t>
  </si>
  <si>
    <t xml:space="preserve">LEVANTADO-REJA-S/RECUP.-01</t>
  </si>
  <si>
    <t xml:space="preserve">Partida</t>
  </si>
  <si>
    <t xml:space="preserve">m2</t>
  </si>
  <si>
    <t xml:space="preserve">XXXXXXX LEVANTADO MANUAL Y SIN RECUPERACIÓN DE REJA EXISTENTE</t>
  </si>
  <si>
    <t xml:space="preserve">Levantado con medios manuales y sin recuperación, de reja fijada al paramento mediante recibido en obra de fábrica, sin deteriorar los elementos constructivos a los que está sujeta.</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</si>
  <si>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</si>
  <si>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</si>
  <si>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</si>
  <si>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</si>
  <si>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</si>
  <si>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</si>
  <si>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</si>
  <si>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</si>
  <si>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</si>
  <si>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</si>
  <si>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</si>
  <si>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</si>
  <si>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</si>
  <si>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</si>
  <si>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</si>
  <si>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</si>
  <si>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</si>
  <si>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</si>
  <si>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</si>
  <si>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</si>
  <si>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</si>
  <si>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</si>
  <si>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</si>
  <si>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</si>
  <si>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</si>
  <si>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</si>
  <si>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</si>
  <si>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</si>
  <si>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LEVANTADO-REJA-S/RECUP.-01</t>
  </si>
  <si>
    <t xml:space="preserve">LEVANTADO-VENTANA-C/RECUP.-01</t>
  </si>
  <si>
    <t xml:space="preserve">Partida</t>
  </si>
  <si>
    <t xml:space="preserve">m2</t>
  </si>
  <si>
    <t xml:space="preserve">XXXXXXX LEVANTADO MANUAL Y CON RECUPERACIÓN DE VENTANA EXISTENTE</t>
  </si>
  <si>
    <t xml:space="preserve">Levantado con medios manuales y con recuperación, de ventana fijada al paramento mediante recibido en obra de fábrica, sin deteriorar los elementos constructivos a los que está sujeta; incluye acopio con suministro y colocación de envoltorios protectores para la unidad desmontada, garantizando la perfecta protección de este elemento durante la ejecución de los trabajos.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</si>
  <si>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</si>
  <si>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</si>
  <si>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</si>
  <si>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</si>
  <si>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</si>
  <si>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</si>
  <si>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</si>
  <si>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</si>
  <si>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</si>
  <si>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</si>
  <si>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</si>
  <si>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</si>
  <si>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</si>
  <si>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</si>
  <si>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</si>
  <si>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</si>
  <si>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</si>
  <si>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</si>
  <si>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</si>
  <si>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</si>
  <si>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</si>
  <si>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</si>
  <si>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</si>
  <si>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</si>
  <si>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</si>
  <si>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</si>
  <si>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</si>
  <si>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</si>
  <si>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</si>
  <si>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</si>
  <si>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</si>
  <si>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</si>
  <si>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</si>
  <si>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</si>
  <si>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</si>
  <si>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</si>
  <si>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LEVANTADO-VENTANA-C/RECUP.-01</t>
  </si>
  <si>
    <t xml:space="preserve">LEVANTADO-VENTANA-S/RECUP.-01</t>
  </si>
  <si>
    <t xml:space="preserve">Partida</t>
  </si>
  <si>
    <t xml:space="preserve">m2</t>
  </si>
  <si>
    <t xml:space="preserve">XXXXXXX LEVANTADO MANUAL Y SIN RECUPERACIÓN DE VENTANA EXISTENTE</t>
  </si>
  <si>
    <t xml:space="preserve">Levantado con medios manuales y sin recuperación, de ventana fijada al paramento mediante recibido en obra de fábrica, sin deteriorar los elementos constructivos a los que está sujeta.</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</si>
  <si>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</si>
  <si>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</si>
  <si>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</si>
  <si>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</si>
  <si>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</si>
  <si>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</si>
  <si>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</si>
  <si>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</si>
  <si>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</si>
  <si>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</si>
  <si>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</si>
  <si>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</si>
  <si>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</si>
  <si>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</si>
  <si>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</si>
  <si>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</si>
  <si>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</si>
  <si>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</si>
  <si>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</si>
  <si>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</si>
  <si>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</si>
  <si>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</si>
  <si>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</si>
  <si>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</si>
  <si>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</si>
  <si>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</si>
  <si>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</si>
  <si>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</si>
  <si>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LEVANTADO-VENTANA-S/RECUP.-01</t>
  </si>
  <si>
    <t xml:space="preserve">LEVANTADOS</t>
  </si>
  <si>
    <t xml:space="preserve">PREP</t>
  </si>
  <si>
    <t xml:space="preserve">Capítulo</t>
  </si>
  <si>
    <t xml:space="preserve">XXXXXX  PREPARACIONES</t>
  </si>
  <si>
    <t xml:space="preserve">REM-CAPAS.ACABADO</t>
  </si>
  <si>
    <t xml:space="preserve">Capítulo</t>
  </si>
  <si>
    <t xml:space="preserve">XXXXXX  REMOCIONES DE CAPAS DE ACABADO FINAL</t>
  </si>
  <si>
    <t xml:space="preserve">DECAPADOS-001</t>
  </si>
  <si>
    <t xml:space="preserve">Partida</t>
  </si>
  <si>
    <t xml:space="preserve">m2</t>
  </si>
  <si>
    <t xml:space="preserve">XXXXXX DECAPADO CON GEL ESPECIAL PARA MADERA</t>
  </si>
  <si>
    <t xml:space="preserve">DECAPADO DE MADERA (PRODUCTO V33)</t>
  </si>
  <si>
    <t xml:space="preserve">ma-lm-11471460</t>
  </si>
  <si>
    <t xml:space="preserve">Material</t>
  </si>
  <si>
    <t xml:space="preserve">envase</t>
  </si>
  <si>
    <t xml:space="preserve">Decapante Gel Express especial para Madera V33 (500 ml/envase).   Ref. lm-11471460</t>
  </si>
  <si>
    <t xml:space="preserve">alq-decapadora-tq-01</t>
  </si>
  <si>
    <t xml:space="preserve">Maquinaria</t>
  </si>
  <si>
    <t xml:space="preserve">h</t>
  </si>
  <si>
    <t xml:space="preserve">Alquiler de Decapadora de Pintura 1.600 W.   Ref. TOOLQUICK</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</si>
  <si>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</si>
  <si>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</si>
  <si>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</si>
  <si>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</si>
  <si>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</si>
  <si>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</si>
  <si>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</si>
  <si>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</si>
  <si>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</si>
  <si>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</si>
  <si>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</si>
  <si>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</si>
  <si>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</si>
  <si>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</si>
  <si>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</si>
  <si>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</si>
  <si>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DECAPADOS-001</t>
  </si>
  <si>
    <t xml:space="preserve">DECAPADOS-BALCONERAS-01</t>
  </si>
  <si>
    <t xml:space="preserve">Partida</t>
  </si>
  <si>
    <t xml:space="preserve">m2</t>
  </si>
  <si>
    <t xml:space="preserve">XXXXXX DECAPADO A MANO DE PINTURA AL BARNIZ/ESMALTE EXISTENTE EN BALCONERAS CON PRODUCTO BIODEGRADABLE DE KEIM</t>
  </si>
  <si>
    <t xml:space="preserve">Preparación de superficie de carpintería metálica o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</si>
  <si>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</si>
  <si>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</si>
  <si>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</si>
  <si>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</si>
  <si>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</si>
  <si>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</si>
  <si>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</si>
  <si>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</si>
  <si>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</si>
  <si>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</si>
  <si>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</si>
  <si>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</si>
  <si>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</si>
  <si>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</si>
  <si>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</si>
  <si>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</si>
  <si>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</si>
  <si>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</si>
  <si>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</si>
  <si>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</si>
  <si>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</si>
  <si>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</si>
  <si>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</si>
  <si>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</si>
  <si>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</si>
  <si>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</si>
  <si>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</si>
  <si>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</si>
  <si>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DECAPADOS-BALCONERAS-01</t>
  </si>
  <si>
    <t xml:space="preserve">DECAPADOS-BALCONERAS-02</t>
  </si>
  <si>
    <t xml:space="preserve">Partida</t>
  </si>
  <si>
    <t xml:space="preserve">m2</t>
  </si>
  <si>
    <t xml:space="preserve">XXXXXX DECAPADO A MANO DE PINTURA AL BARNIZ/ESMALTE EXISTENTE EN BALCONERAS CON PRODUCTO CONVENCIONAL DE ISAVAL</t>
  </si>
  <si>
    <t xml:space="preserve">Preparación de superficie de carpintería metálica o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</si>
  <si>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ma-servicolor-848016</t>
  </si>
  <si>
    <t xml:space="preserve">Material</t>
  </si>
  <si>
    <t xml:space="preserve">envase</t>
  </si>
  <si>
    <t xml:space="preserve">Decapante o quitapinturas universal de ISAVAL (4 litros/envase).   Ref. servicolor-848016</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</si>
  <si>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</si>
  <si>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</si>
  <si>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</si>
  <si>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</si>
  <si>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</si>
  <si>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</si>
  <si>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</si>
  <si>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</si>
  <si>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</si>
  <si>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</si>
  <si>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</si>
  <si>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</si>
  <si>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</si>
  <si>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</si>
  <si>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</si>
  <si>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</si>
  <si>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</si>
  <si>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</si>
  <si>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</si>
  <si>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</si>
  <si>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</si>
  <si>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</si>
  <si>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</si>
  <si>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</si>
  <si>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DECAPADOS-BALCONERAS-02</t>
  </si>
  <si>
    <t xml:space="preserve">DECAPADOS-BARANDA-01</t>
  </si>
  <si>
    <t xml:space="preserve">Partida</t>
  </si>
  <si>
    <t xml:space="preserve">m2</t>
  </si>
  <si>
    <t xml:space="preserve">XXXXXX DECAPADO A MANO DE PINTURA EXISTENTE EN BARANDILLAS Y VERJAS STANDARD CON PRODUCTO CONVENCIONAL</t>
  </si>
  <si>
    <t xml:space="preserve">DECAPADO MANUAL DE PINTURA EXISTENTE EN BARANDILLAS Y VERJAS STANDARD CON PRODUCTO CONVENCIONAL</t>
  </si>
  <si>
    <t xml:space="preserve">ma-lp-00107760</t>
  </si>
  <si>
    <t xml:space="preserve">Material</t>
  </si>
  <si>
    <t xml:space="preserve">envase</t>
  </si>
  <si>
    <t xml:space="preserve">Decapante o quitapinturas en gel BARPIMO (4 litros/envase)   Ref. lp-00107760.</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</si>
  <si>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</si>
  <si>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</si>
  <si>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</si>
  <si>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</si>
  <si>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</si>
  <si>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</si>
  <si>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</si>
  <si>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</si>
  <si>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</si>
  <si>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</si>
  <si>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</si>
  <si>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</si>
  <si>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</si>
  <si>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</si>
  <si>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</si>
  <si>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</si>
  <si>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</si>
  <si>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</si>
  <si>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</si>
  <si>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</si>
  <si>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</si>
  <si>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</si>
  <si>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</si>
  <si>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</si>
  <si>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DECAPADOS-BARANDA-01</t>
  </si>
  <si>
    <t xml:space="preserve">DECAPADOS-MALLORIQUINAS-01</t>
  </si>
  <si>
    <t xml:space="preserve">Partida</t>
  </si>
  <si>
    <t xml:space="preserve">m2</t>
  </si>
  <si>
    <t xml:space="preserve">XXXXXX DECAPADO A MANO DE PINTURA AL BARNIZ/ESMALTE EXISTENTE EN MALLORQUINAS DE MADERA/METAL CON PRODUCTO BIODEGRADABLE DE KEIM</t>
  </si>
  <si>
    <t xml:space="preserve">Preparación de superficie de carpintería metálica o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</si>
  <si>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</si>
  <si>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</si>
  <si>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</si>
  <si>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</si>
  <si>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</si>
  <si>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</si>
  <si>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</si>
  <si>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</si>
  <si>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</si>
  <si>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</si>
  <si>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</si>
  <si>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</si>
  <si>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</si>
  <si>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</si>
  <si>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</si>
  <si>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</si>
  <si>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</si>
  <si>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</si>
  <si>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</si>
  <si>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</si>
  <si>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</si>
  <si>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</si>
  <si>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</si>
  <si>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</si>
  <si>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</si>
  <si>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</si>
  <si>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</si>
  <si>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</si>
  <si>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DECAPADOS-MALLORIQUINAS-01</t>
  </si>
  <si>
    <t xml:space="preserve">DECAPADOS-MALLORQUINAS-02</t>
  </si>
  <si>
    <t xml:space="preserve">Partida</t>
  </si>
  <si>
    <t xml:space="preserve">m2</t>
  </si>
  <si>
    <t xml:space="preserve">XXXXXX DECAPADO A MANO DE PINTURA AL BARNIZ/ESMALTE EXISTENTE EN MALLORQUINAS DE MADERA/METAL CON PRODUCTO CONVENCIONAL DE ISAVAL</t>
  </si>
  <si>
    <t xml:space="preserve">Preparación de superficie de carpintería metálica o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</si>
  <si>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ma-servicolor-848016</t>
  </si>
  <si>
    <t xml:space="preserve">Material</t>
  </si>
  <si>
    <t xml:space="preserve">envase</t>
  </si>
  <si>
    <t xml:space="preserve">Decapante o quitapinturas universal de ISAVAL (4 litros/envase).   Ref. servicolor-848016</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</si>
  <si>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</si>
  <si>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</si>
  <si>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</si>
  <si>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</si>
  <si>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</si>
  <si>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</si>
  <si>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</si>
  <si>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</si>
  <si>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</si>
  <si>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</si>
  <si>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</si>
  <si>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</si>
  <si>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</si>
  <si>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</si>
  <si>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</si>
  <si>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</si>
  <si>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</si>
  <si>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</si>
  <si>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</si>
  <si>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</si>
  <si>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</si>
  <si>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</si>
  <si>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</si>
  <si>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</si>
  <si>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DECAPADOS-MALLORQUINAS-02</t>
  </si>
  <si>
    <t xml:space="preserve">DECAPADOS-MARCO-01</t>
  </si>
  <si>
    <t xml:space="preserve">Partida</t>
  </si>
  <si>
    <t xml:space="preserve">m</t>
  </si>
  <si>
    <t xml:space="preserve">XXXXXX DECAPADO A MANO DE PINTURA EXISTENTE EN MARCOS Y PERFILES CON PRODUCTO CONVENCIONAL</t>
  </si>
  <si>
    <t xml:space="preserve">DECAPADO MANUAL DE PINTURA EXISTENTE EN MARCOS Y PERFILES CON PRODUCTO CONVENCIONAL</t>
  </si>
  <si>
    <t xml:space="preserve">ma-lp-00107760</t>
  </si>
  <si>
    <t xml:space="preserve">Material</t>
  </si>
  <si>
    <t xml:space="preserve">envase</t>
  </si>
  <si>
    <t xml:space="preserve">Decapante o quitapinturas en gel BARPIMO (4 litros/envase)   Ref. lp-00107760.</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</si>
  <si>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</si>
  <si>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</si>
  <si>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</si>
  <si>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</si>
  <si>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</si>
  <si>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</si>
  <si>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</si>
  <si>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</si>
  <si>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</si>
  <si>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</si>
  <si>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</si>
  <si>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</si>
  <si>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</si>
  <si>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</si>
  <si>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</si>
  <si>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</si>
  <si>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</si>
  <si>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</si>
  <si>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</si>
  <si>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</si>
  <si>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</si>
  <si>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</si>
  <si>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</si>
  <si>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</si>
  <si>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DECAPADOS-MARCO-01</t>
  </si>
  <si>
    <t xml:space="preserve">DECAPADOS-PARED-01</t>
  </si>
  <si>
    <t xml:space="preserve">Partida</t>
  </si>
  <si>
    <t xml:space="preserve">m2</t>
  </si>
  <si>
    <t xml:space="preserve">XXXXXX DECAPADO A MANO DE PINTURA EXISTENTE EN PAREDES CON PRODUCTO CONVENCIONAL</t>
  </si>
  <si>
    <t xml:space="preserve">DECAPADO MANUAL DE PINTURA EXISTENTE EN PAREDES CON PRODUCTO CONVENCIONAL</t>
  </si>
  <si>
    <t xml:space="preserve">ma-lp-00107760</t>
  </si>
  <si>
    <t xml:space="preserve">Material</t>
  </si>
  <si>
    <t xml:space="preserve">envase</t>
  </si>
  <si>
    <t xml:space="preserve">Decapante o quitapinturas en gel BARPIMO (4 litros/envase)   Ref. lp-00107760.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</si>
  <si>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</si>
  <si>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</si>
  <si>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</si>
  <si>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</si>
  <si>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</si>
  <si>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</si>
  <si>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</si>
  <si>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</si>
  <si>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</si>
  <si>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</si>
  <si>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</si>
  <si>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</si>
  <si>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</si>
  <si>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</si>
  <si>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</si>
  <si>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</si>
  <si>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</si>
  <si>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</si>
  <si>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</si>
  <si>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</si>
  <si>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DECAPADOS-PARED-01</t>
  </si>
  <si>
    <t xml:space="preserve">DECAPADOS-PARED-02</t>
  </si>
  <si>
    <t xml:space="preserve">Partida</t>
  </si>
  <si>
    <t xml:space="preserve">m2</t>
  </si>
  <si>
    <t xml:space="preserve">XXXXXX DECAPADO A MANO DE PINTURA EXISTENTE EN PAREDES CON PRODUCTO BIODEGRADABLE</t>
  </si>
  <si>
    <t xml:space="preserve">DECAPADO A MANO DE PINTURA EXISTENTE EN PAREDES CON PRODUCTO BIODEGRADABLE</t>
  </si>
  <si>
    <t xml:space="preserve">ma-pp-00600000988J</t>
  </si>
  <si>
    <t xml:space="preserve">Material</t>
  </si>
  <si>
    <t xml:space="preserve">envase</t>
  </si>
  <si>
    <t xml:space="preserve">Decapante o quitapinturas en gel de PLX COATS ECODECAGRAFI (5 litros/envase)   Ref. pp-00600000988J</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</si>
  <si>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</si>
  <si>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</si>
  <si>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</si>
  <si>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</si>
  <si>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</si>
  <si>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</si>
  <si>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</si>
  <si>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</si>
  <si>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</si>
  <si>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</si>
  <si>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</si>
  <si>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</si>
  <si>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</si>
  <si>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</si>
  <si>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</si>
  <si>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</si>
  <si>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</si>
  <si>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</si>
  <si>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</si>
  <si>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</si>
  <si>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DECAPADOS-PARED-02</t>
  </si>
  <si>
    <t xml:space="preserve">DECAPADOS-GRANULITE-AT-01</t>
  </si>
  <si>
    <t xml:space="preserve">Partida</t>
  </si>
  <si>
    <t xml:space="preserve">m2</t>
  </si>
  <si>
    <t xml:space="preserve">XXXXXX DECAPADO MIXTO DE PINTURA TIPO GRANULITE EN PARED MEDIANTE EL USO DE ANDAMIO TUBULAR (BARPIMO)</t>
  </si>
  <si>
    <t xml:space="preserve">DECAPADO MIXTO DE PINTURA TIPO GRANULITE EN PARED MEDIANTE EL USO DE ANDAMIO TUBULAR (BARPIMO)</t>
  </si>
  <si>
    <t xml:space="preserve">ma-lp-00107760</t>
  </si>
  <si>
    <t xml:space="preserve">Material</t>
  </si>
  <si>
    <t xml:space="preserve">envase</t>
  </si>
  <si>
    <t xml:space="preserve">Decapante o quitapinturas en gel BARPIMO (4 litros/envase)   Ref. lp-00107760.</t>
  </si>
  <si>
    <t xml:space="preserve">alq-decapadora-tq-01</t>
  </si>
  <si>
    <t xml:space="preserve">Maquinaria</t>
  </si>
  <si>
    <t xml:space="preserve">h</t>
  </si>
  <si>
    <t xml:space="preserve">Alquiler de Decapadora de Pintura 1.600 W.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</si>
  <si>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</si>
  <si>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</si>
  <si>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</si>
  <si>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</si>
  <si>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</si>
  <si>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</si>
  <si>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</si>
  <si>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</si>
  <si>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</si>
  <si>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</si>
  <si>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</si>
  <si>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</si>
  <si>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</si>
  <si>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</si>
  <si>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</si>
  <si>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</si>
  <si>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</si>
  <si>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</si>
  <si>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</si>
  <si>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</si>
  <si>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DECAPADOS-GRANULITE-AT-01</t>
  </si>
  <si>
    <t xml:space="preserve">DECAPADOS-PARED-04</t>
  </si>
  <si>
    <t xml:space="preserve">Partida</t>
  </si>
  <si>
    <t xml:space="preserve">m2</t>
  </si>
  <si>
    <t xml:space="preserve">XXXXXX DECAPADO A MANO DE PINTURA EXISTENTE EN PAREDES CON DECAPANTE UNIVERSAL DE ISAVAL</t>
  </si>
  <si>
    <t xml:space="preserve">DECAPADO A MANO DE PINTURA EXISTENTE EN PAREDES CON DECAPANTE UNIVERSAL DE ISAVAL</t>
  </si>
  <si>
    <t xml:space="preserve">ma-servicolor-848016</t>
  </si>
  <si>
    <t xml:space="preserve">Material</t>
  </si>
  <si>
    <t xml:space="preserve">envase</t>
  </si>
  <si>
    <t xml:space="preserve">Decapante o quitapinturas universal de ISAVAL (4 litros/envase).   Ref. servicolor-848016</t>
  </si>
  <si>
    <t xml:space="preserve">alq-decapadora-tq-01</t>
  </si>
  <si>
    <t xml:space="preserve">Maquinaria</t>
  </si>
  <si>
    <t xml:space="preserve">h</t>
  </si>
  <si>
    <t xml:space="preserve">Alquiler de Decapadora de Pintura 1.600 W.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</si>
  <si>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</si>
  <si>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</si>
  <si>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</si>
  <si>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</si>
  <si>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</si>
  <si>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</si>
  <si>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</si>
  <si>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</si>
  <si>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</si>
  <si>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</si>
  <si>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</si>
  <si>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</si>
  <si>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</si>
  <si>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</si>
  <si>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</si>
  <si>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</si>
  <si>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</si>
  <si>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</si>
  <si>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</si>
  <si>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</si>
  <si>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DECAPADOS-PARED-04</t>
  </si>
  <si>
    <t xml:space="preserve">DECAPADOS-SUELO-01</t>
  </si>
  <si>
    <t xml:space="preserve">Partida</t>
  </si>
  <si>
    <t xml:space="preserve">m2</t>
  </si>
  <si>
    <t xml:space="preserve">XXXXXX DECAPADO A MANO DE SUELOS DE TERRACOTA O SIMILAR CON PRODUCTO CONVENCIONAL</t>
  </si>
  <si>
    <t xml:space="preserve">DECAPADO A MANO DE SUELOS DE TERRACOTA O SIMILAR CON PRODUCTO CONVENCIONAL</t>
  </si>
  <si>
    <t xml:space="preserve">ma-lp-00195801</t>
  </si>
  <si>
    <t xml:space="preserve">Material</t>
  </si>
  <si>
    <t xml:space="preserve">envase</t>
  </si>
  <si>
    <t xml:space="preserve">Decapante universal PASO para suelos porosos/no porosos (1 litro/envase)   Ref. lp-00195801</t>
  </si>
  <si>
    <t xml:space="preserve">ma-lp-00195803</t>
  </si>
  <si>
    <t xml:space="preserve">Material</t>
  </si>
  <si>
    <t xml:space="preserve">envase</t>
  </si>
  <si>
    <t xml:space="preserve">Protector abrillantador PASO para suelos de terracota o similar (1 litro/envase)   Ref. lp-00195803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</si>
  <si>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</si>
  <si>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</si>
  <si>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</si>
  <si>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</si>
  <si>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</si>
  <si>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</si>
  <si>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</si>
  <si>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</si>
  <si>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</si>
  <si>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</si>
  <si>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</si>
  <si>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</si>
  <si>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</si>
  <si>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</si>
  <si>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</si>
  <si>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</si>
  <si>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</si>
  <si>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</si>
  <si>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</si>
  <si>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</si>
  <si>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DECAPADOS-SUELO-01</t>
  </si>
  <si>
    <t xml:space="preserve">DECAPADOS-SUELO-02</t>
  </si>
  <si>
    <t xml:space="preserve">Partida</t>
  </si>
  <si>
    <t xml:space="preserve">m2</t>
  </si>
  <si>
    <t xml:space="preserve">XXXXXX DECAPADO A MANO DE SUELOS DE MADERA O SIMILAR CON PRODUCTO CONVENCIONAL</t>
  </si>
  <si>
    <t xml:space="preserve">DECAPADO A MANO DE SUELOS DE MADERA O SIMILAR CON PRODUCTO CONVENCIONAL</t>
  </si>
  <si>
    <t xml:space="preserve">ma-lp-00195801</t>
  </si>
  <si>
    <t xml:space="preserve">Material</t>
  </si>
  <si>
    <t xml:space="preserve">envase</t>
  </si>
  <si>
    <t xml:space="preserve">Decapante universal PASO para suelos porosos/no porosos (1 litro/envase)   Ref. lp-00195801</t>
  </si>
  <si>
    <t xml:space="preserve">ma-lp-00195808</t>
  </si>
  <si>
    <t xml:space="preserve">Material</t>
  </si>
  <si>
    <t xml:space="preserve">envase</t>
  </si>
  <si>
    <t xml:space="preserve">Protector abrillantador PASO para suelos de madera o similar (1 litro/envase)   Ref. lp-00195808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</si>
  <si>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</si>
  <si>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</si>
  <si>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</si>
  <si>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</si>
  <si>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</si>
  <si>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</si>
  <si>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</si>
  <si>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</si>
  <si>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</si>
  <si>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</si>
  <si>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</si>
  <si>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</si>
  <si>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</si>
  <si>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</si>
  <si>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</si>
  <si>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</si>
  <si>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</si>
  <si>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</si>
  <si>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</si>
  <si>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</si>
  <si>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DECAPADOS-SUELO-02</t>
  </si>
  <si>
    <t xml:space="preserve">DESBASTADOS-MAQ-PINTURA-ML-GCA</t>
  </si>
  <si>
    <t xml:space="preserve">Partida</t>
  </si>
  <si>
    <t xml:space="preserve">m</t>
  </si>
  <si>
    <t xml:space="preserve">XXXXXX DESBASTADO SUPERFICIAL A MÁQUINA CON EQUIPO LIVIANO DE PINTURA (ACTIVIDAD CON GRADO DE COMPLEJIDAD ALTO(GCA))</t>
  </si>
  <si>
    <t xml:space="preserve">DESBASTADO SUPERFICIAL A MÁQUINA CON EQUIPO LIVIANO DE PINTURA (ACTIVIDAD CON GRADO DE COMPLEJIDAD ALTO(GCA))</t>
  </si>
  <si>
    <t xml:space="preserve">alq-amolador-mym-01</t>
  </si>
  <si>
    <t xml:space="preserve">Maquinaria</t>
  </si>
  <si>
    <t xml:space="preserve">h</t>
  </si>
  <si>
    <t xml:space="preserve">Alquiler de Amolador Radial Eléctrico Portátil Diámetro 115 mm 750 W / 230 V.   Ref. MÁQUINAS Y MÁQUINAS</t>
  </si>
  <si>
    <t xml:space="preserve">ma-lp-00017597</t>
  </si>
  <si>
    <t xml:space="preserve">Material</t>
  </si>
  <si>
    <t xml:space="preserve">pza</t>
  </si>
  <si>
    <t xml:space="preserve">Cepillo Taza Acero 120 mm 50813-120 de BELLOTA.   Ref. lp-00017597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</si>
  <si>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</si>
  <si>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</si>
  <si>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</si>
  <si>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</si>
  <si>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</si>
  <si>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</si>
  <si>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</si>
  <si>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</si>
  <si>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</si>
  <si>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</si>
  <si>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</si>
  <si>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</si>
  <si>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</si>
  <si>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</si>
  <si>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</si>
  <si>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</si>
  <si>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</si>
  <si>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</si>
  <si>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</si>
  <si>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</si>
  <si>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DESBASTADOS-MAQ-PINTURA-ML-GCA</t>
  </si>
  <si>
    <t xml:space="preserve">DESBASTADOS-MAQ-PINTURA-ML-GCM</t>
  </si>
  <si>
    <t xml:space="preserve">Partida</t>
  </si>
  <si>
    <t xml:space="preserve">m</t>
  </si>
  <si>
    <t xml:space="preserve">XXXXXX DESBASTADO LINEAL A MÁQUINA CON EQUIPO LIVIANO DE PINTURA (ACTIVIDAD CON GRADO DE COMPLEJIDAD MEDIO (GCM))</t>
  </si>
  <si>
    <t xml:space="preserve">DESBASTADO LINEAL A MÁQUINA CON EQUIPO LIVIANO DE PINTURA (ACTIVIDAD CON GRADO DE COMPLEJIDAD MEDIO (GCM))</t>
  </si>
  <si>
    <t xml:space="preserve">alq-amolador-mym-01</t>
  </si>
  <si>
    <t xml:space="preserve">Maquinaria</t>
  </si>
  <si>
    <t xml:space="preserve">h</t>
  </si>
  <si>
    <t xml:space="preserve">Alquiler de Amolador Radial Eléctrico Portátil Diámetro 115 mm 750 W / 230 V.   Ref. MÁQUINAS Y MÁQUINAS</t>
  </si>
  <si>
    <t xml:space="preserve">ma-lp-00017597</t>
  </si>
  <si>
    <t xml:space="preserve">Material</t>
  </si>
  <si>
    <t xml:space="preserve">pza</t>
  </si>
  <si>
    <t xml:space="preserve">Cepillo Taza Acero 120 mm 50813-120 de BELLOTA.   Ref. lp-00017597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</si>
  <si>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</si>
  <si>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</si>
  <si>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</si>
  <si>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</si>
  <si>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</si>
  <si>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</si>
  <si>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</si>
  <si>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</si>
  <si>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</si>
  <si>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</si>
  <si>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</si>
  <si>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</si>
  <si>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</si>
  <si>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</si>
  <si>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</si>
  <si>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</si>
  <si>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</si>
  <si>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</si>
  <si>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</si>
  <si>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</si>
  <si>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DESBASTADOS-MAQ-PINTURA-ML-GCM</t>
  </si>
  <si>
    <t xml:space="preserve">DESBASTADOS-MAQ-PINTURA-M2-GCA</t>
  </si>
  <si>
    <t xml:space="preserve">Partida</t>
  </si>
  <si>
    <t xml:space="preserve">m2</t>
  </si>
  <si>
    <t xml:space="preserve">XXXXXX DESBASTADO SUPERFICIAL A MÁQUINA CON EQUIPO LIVIANO DE PINTURA (ACTIVIDAD CON GRADO DE COMPLEJIDAD ALTO (GCA))</t>
  </si>
  <si>
    <t xml:space="preserve">DESBASTADO SUPERFICIAL A MÁQUINA CON EQUIPO LIVIANO DE PINTURA (ACTIVIDAD CON GRADO DE COMPLEJIDAD ALTO (GCA))</t>
  </si>
  <si>
    <t xml:space="preserve">alq-amolador-mym-01</t>
  </si>
  <si>
    <t xml:space="preserve">Maquinaria</t>
  </si>
  <si>
    <t xml:space="preserve">h</t>
  </si>
  <si>
    <t xml:space="preserve">Alquiler de Amolador Radial Eléctrico Portátil Diámetro 115 mm 750 W / 230 V.   Ref. MÁQUINAS Y MÁQUINAS</t>
  </si>
  <si>
    <t xml:space="preserve">ma-lp-00017597</t>
  </si>
  <si>
    <t xml:space="preserve">Material</t>
  </si>
  <si>
    <t xml:space="preserve">pza</t>
  </si>
  <si>
    <t xml:space="preserve">Cepillo Taza Acero 120 mm 50813-120 de BELLOTA.   Ref. lp-00017597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</si>
  <si>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</si>
  <si>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</si>
  <si>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</si>
  <si>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</si>
  <si>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</si>
  <si>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</si>
  <si>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</si>
  <si>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</si>
  <si>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</si>
  <si>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</si>
  <si>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</si>
  <si>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</si>
  <si>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</si>
  <si>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</si>
  <si>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</si>
  <si>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</si>
  <si>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</si>
  <si>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</si>
  <si>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</si>
  <si>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</si>
  <si>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DESBASTADOS-MAQ-PINTURA-M2-GCA</t>
  </si>
  <si>
    <t xml:space="preserve">DESBASTADOS-MAQ-PINTURA-M2-GCM</t>
  </si>
  <si>
    <t xml:space="preserve">Partida</t>
  </si>
  <si>
    <t xml:space="preserve">m2</t>
  </si>
  <si>
    <t xml:space="preserve">XXXXXX DESBASTADO SUPERFICIAL A MÁQUINA CON EQUIPO LIVIANO DE PINTURA (ACTIVIDAD CON GRADO DE COMPLEJIDAD MEDIO (GCM))</t>
  </si>
  <si>
    <t xml:space="preserve">DESBASTADO SUPERFICIAL A MÁQUINA CON EQUIPO LIVIANO DE PINTURA (ACTIVIDAD CON GRADO DE COMPLEJIDAD MEDIO (GCM))</t>
  </si>
  <si>
    <t xml:space="preserve">alq-amolador-mym-01</t>
  </si>
  <si>
    <t xml:space="preserve">Maquinaria</t>
  </si>
  <si>
    <t xml:space="preserve">h</t>
  </si>
  <si>
    <t xml:space="preserve">Alquiler de Amolador Radial Eléctrico Portátil Diámetro 115 mm 750 W / 230 V.   Ref. MÁQUINAS Y MÁQUINAS</t>
  </si>
  <si>
    <t xml:space="preserve">ma-lp-00017597</t>
  </si>
  <si>
    <t xml:space="preserve">Material</t>
  </si>
  <si>
    <t xml:space="preserve">pza</t>
  </si>
  <si>
    <t xml:space="preserve">Cepillo Taza Acero 120 mm 50813-120 de BELLOTA.   Ref. lp-00017597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</si>
  <si>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</si>
  <si>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</si>
  <si>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</si>
  <si>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</si>
  <si>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</si>
  <si>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</si>
  <si>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</si>
  <si>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</si>
  <si>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</si>
  <si>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</si>
  <si>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</si>
  <si>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</si>
  <si>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</si>
  <si>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</si>
  <si>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</si>
  <si>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</si>
  <si>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</si>
  <si>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</si>
  <si>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</si>
  <si>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</si>
  <si>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DESBASTADOS-MAQ-PINTURA-M2-GCM</t>
  </si>
  <si>
    <t xml:space="preserve">PINT033XX</t>
  </si>
  <si>
    <t xml:space="preserve">Partida</t>
  </si>
  <si>
    <t xml:space="preserve">M2</t>
  </si>
  <si>
    <t xml:space="preserve">XXXXXX DECAPADO DE PINTURA EN MADERA</t>
  </si>
  <si>
    <t xml:space="preserve">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</si>
  <si>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</si>
  <si>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</si>
  <si>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</si>
  <si>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</si>
  <si>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</si>
  <si>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</si>
  <si>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</si>
  <si>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</si>
  <si>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</si>
  <si>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</si>
  <si>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</si>
  <si>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</si>
  <si>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</si>
  <si>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</si>
  <si>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</si>
  <si>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</si>
  <si>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</si>
  <si>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</si>
  <si>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</si>
  <si>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</si>
  <si>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</si>
  <si>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</si>
  <si>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</si>
  <si>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</si>
  <si>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</si>
  <si>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</si>
  <si>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</si>
  <si>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</si>
  <si>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PINT033XX</t>
  </si>
  <si>
    <t xml:space="preserve">PINT034XX</t>
  </si>
  <si>
    <t xml:space="preserve">Partida</t>
  </si>
  <si>
    <t xml:space="preserve">M2</t>
  </si>
  <si>
    <t xml:space="preserve">XXXXXX DECAPANTE DE PINTURA EN FACHADA CON DECAPANTE BIODEGRADABLE KEIM</t>
  </si>
  <si>
    <t xml:space="preserve">Trabajos de eliminación de pintura existente sobre paramentos de estuco. Se realizarán pruebas a obra para determinar el mejor sistema de decapado, que podrá ser mediante la aplicación de KEIM decapante biodegradable.</t>
  </si>
  <si>
    <t xml:space="preserve">ma-bc-s/c</t>
  </si>
  <si>
    <t xml:space="preserve">Material</t>
  </si>
  <si>
    <t xml:space="preserve">envase</t>
  </si>
  <si>
    <t xml:space="preserve">Decapante biodegradable KEIM-DISPERSIONSENTFERNER (5 kg/envase)   Ref. S/C</t>
  </si>
  <si>
    <t xml:space="preserve">DISNIT1407</t>
  </si>
  <si>
    <t xml:space="preserve">Material</t>
  </si>
  <si>
    <t xml:space="preserve">l</t>
  </si>
  <si>
    <t xml:space="preserve">Disolvente Nitro 1407 - MONTO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</si>
  <si>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</si>
  <si>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</si>
  <si>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</si>
  <si>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</si>
  <si>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</si>
  <si>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</si>
  <si>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</si>
  <si>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</si>
  <si>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</si>
  <si>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</si>
  <si>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</si>
  <si>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</si>
  <si>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</si>
  <si>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</si>
  <si>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</si>
  <si>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</si>
  <si>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</si>
  <si>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</si>
  <si>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</si>
  <si>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</si>
  <si>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PINT034XX</t>
  </si>
  <si>
    <t xml:space="preserve">REM-SELLADOS.DE.CRISTALES-MS-1</t>
  </si>
  <si>
    <t xml:space="preserve">Partida</t>
  </si>
  <si>
    <t xml:space="preserve">m</t>
  </si>
  <si>
    <t xml:space="preserve">XXXXXX REMOCIÓN DE SELLADOS DE JUNTAS ENTRE VIDRIO Y CARPINTERÍA, MEDIANTE EL USO DE MEDIO SUSPENDIDO/COLGADO</t>
  </si>
  <si>
    <t xml:space="preserve">REMOCIÓN DE SELLADOS DE JUNTAS ENTRE VIDRIO Y CARPINTERÍA, MEDIANTE EL USO DE MEDIO SUSPENDIDO/COLGADO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</si>
  <si>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</si>
  <si>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</si>
  <si>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</si>
  <si>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</si>
  <si>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</si>
  <si>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</si>
  <si>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</si>
  <si>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</si>
  <si>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</si>
  <si>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</si>
  <si>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</si>
  <si>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</si>
  <si>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</si>
  <si>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</si>
  <si>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</si>
  <si>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</si>
  <si>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</si>
  <si>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</si>
  <si>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</si>
  <si>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</si>
  <si>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REM-SELLADOS.DE.CRISTALES-MS-1</t>
  </si>
  <si>
    <t xml:space="preserve">REM-CAPAS.ACABADO</t>
  </si>
  <si>
    <t xml:space="preserve">REM-EQUIPOS</t>
  </si>
  <si>
    <t xml:space="preserve">Capítulo</t>
  </si>
  <si>
    <t xml:space="preserve">XXXXXX REMOCIÓN DE EQUIPOS</t>
  </si>
  <si>
    <t xml:space="preserve">REM-EQPS-AA</t>
  </si>
  <si>
    <t xml:space="preserve">Capítulo</t>
  </si>
  <si>
    <t xml:space="preserve">XXXXXX REMOCIÓN DE EQUIPOS DE AIRE ACONDICIONADO</t>
  </si>
  <si>
    <t xml:space="preserve">REM-EQPS-EAA-01</t>
  </si>
  <si>
    <t xml:space="preserve">Partida</t>
  </si>
  <si>
    <t xml:space="preserve">und</t>
  </si>
  <si>
    <t xml:space="preserve">XXXXXX REMOCIÓN CON RECUPERACIÓN DE UNIDAD CONDENSADORA DE EQUIPO SPLIT DE A/A DE 1 TON (12000 BTU/HR) HASTA 2 TON (24000 BTU/HR); INCLUYE LA DISPOSICIÓN TEMPORAL DE LA UNIDAD RECUPERADA EN EL ÁREA DE TRABAJO.</t>
  </si>
  <si>
    <t xml:space="preserve">Remoción con recuperación de unidad condensadora de equipo split de A/A de 1 ton (12000 BTU/hr) hasta 2 ton (24000 BTU/hr); incluye la disposición temporal de la unidad recuperada en el área de trabajo.</t>
  </si>
  <si>
    <t xml:space="preserve">ma-lp-00016978</t>
  </si>
  <si>
    <t xml:space="preserve">Material</t>
  </si>
  <si>
    <t xml:space="preserve">envase</t>
  </si>
  <si>
    <t xml:space="preserve">Aflojatodo en Spray WD-40 (200 ml/envase).   Ref. lp-00016978</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</si>
  <si>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</si>
  <si>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</si>
  <si>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</si>
  <si>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</si>
  <si>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</si>
  <si>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</si>
  <si>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</si>
  <si>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</si>
  <si>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</si>
  <si>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</si>
  <si>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</si>
  <si>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</si>
  <si>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</si>
  <si>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</si>
  <si>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</si>
  <si>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</si>
  <si>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</si>
  <si>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</si>
  <si>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</si>
  <si>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</si>
  <si>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</si>
  <si>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</si>
  <si>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</si>
  <si>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</si>
  <si>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</si>
  <si>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</si>
  <si>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</si>
  <si>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</si>
  <si>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REM-EQPS-EAA-01</t>
  </si>
  <si>
    <t xml:space="preserve">REM-EQPS-EAA-02</t>
  </si>
  <si>
    <t xml:space="preserve">Partida</t>
  </si>
  <si>
    <t xml:space="preserve">und</t>
  </si>
  <si>
    <t xml:space="preserve">XXXXXX REMOCIÓN CON RECUPERACIÓN DE UNIDAD CONDENSADORA DE EQUIPO SPLIT DE A/A DE 2,5 TON (30000 BTU/HR) HASTA 4 TON (48000 BTU/HR); INCLUYE LA DISPOSICIÓN TEMPORAL DE LA UNIDAD RECUPERADA EN EL ÁREA DE TRABAJO.</t>
  </si>
  <si>
    <t xml:space="preserve">Remoción con recuperación de unidad condensadora de equipo split de A/A de 2,5 ton (30000 BTU/hr) hasta 4 ton (48000 BTU/hr); incluye la disposición temporal de la unidad recuperada en el área de trabajo.</t>
  </si>
  <si>
    <t xml:space="preserve">ma-lp-00016978</t>
  </si>
  <si>
    <t xml:space="preserve">Material</t>
  </si>
  <si>
    <t xml:space="preserve">envase</t>
  </si>
  <si>
    <t xml:space="preserve">Aflojatodo en Spray WD-40 (200 ml/envase).   Ref. lp-00016978</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</si>
  <si>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</si>
  <si>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</si>
  <si>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</si>
  <si>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</si>
  <si>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</si>
  <si>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</si>
  <si>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</si>
  <si>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</si>
  <si>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</si>
  <si>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</si>
  <si>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</si>
  <si>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</si>
  <si>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</si>
  <si>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</si>
  <si>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</si>
  <si>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</si>
  <si>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</si>
  <si>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</si>
  <si>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</si>
  <si>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</si>
  <si>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</si>
  <si>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</si>
  <si>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</si>
  <si>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</si>
  <si>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</si>
  <si>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</si>
  <si>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</si>
  <si>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</si>
  <si>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REM-EQPS-EAA-02</t>
  </si>
  <si>
    <t xml:space="preserve">REM-EQPS-AA</t>
  </si>
  <si>
    <t xml:space="preserve">REM-EQUIPOS</t>
  </si>
  <si>
    <t xml:space="preserve">REM-LAMPARAS</t>
  </si>
  <si>
    <t xml:space="preserve">Capítulo</t>
  </si>
  <si>
    <t xml:space="preserve">XXXXXX REMOCIÓN DE LÁMPARAS</t>
  </si>
  <si>
    <t xml:space="preserve">REM-LAMPARAS-TECHO-02</t>
  </si>
  <si>
    <t xml:space="preserve">Partida</t>
  </si>
  <si>
    <t xml:space="preserve">und</t>
  </si>
  <si>
    <t xml:space="preserve">XXXXXX REMOCIÓN CON RECUPERACIÓN DE LÁMPARAS EMBUTIDAS EN TECHO</t>
  </si>
  <si>
    <t xml:space="preserve">REMOCIÓN CON RECUPERACIÓN DE LÁMPARAS EMBUTIDAS EN TECHO</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</si>
  <si>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</si>
  <si>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</si>
  <si>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</si>
  <si>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</si>
  <si>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</si>
  <si>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</si>
  <si>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</si>
  <si>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</si>
  <si>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</si>
  <si>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</si>
  <si>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</si>
  <si>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</si>
  <si>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</si>
  <si>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</si>
  <si>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</si>
  <si>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</si>
  <si>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</si>
  <si>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</si>
  <si>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</si>
  <si>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</si>
  <si>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</si>
  <si>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</si>
  <si>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</si>
  <si>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</si>
  <si>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</si>
  <si>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</si>
  <si>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</si>
  <si>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</si>
  <si>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REM-LAMPARAS-TECHO-02</t>
  </si>
  <si>
    <t xml:space="preserve">REM-LAMPARAS</t>
  </si>
  <si>
    <t xml:space="preserve">REM-MOBILIARIO</t>
  </si>
  <si>
    <t xml:space="preserve">Capítulo</t>
  </si>
  <si>
    <t xml:space="preserve">XXXXXX REMOCIÓN CON RECUPERACIÓN DE MOBILIARIO Y ENSERES</t>
  </si>
  <si>
    <t xml:space="preserve">REM-JARDINERIA-01</t>
  </si>
  <si>
    <t xml:space="preserve">Partida</t>
  </si>
  <si>
    <t xml:space="preserve">und</t>
  </si>
  <si>
    <t xml:space="preserve">XXXXXX REMOCIÓN CON RECUPERACIÓN DE VEGETACIÓN (JARDINERAS Y/O MACETAS)</t>
  </si>
  <si>
    <t xml:space="preserve">REMOCIÓN CON RECUPERACIÓN DE VEGETACIÓN (JARDINERAS Y/O MACETAS)</t>
  </si>
  <si>
    <t xml:space="preserve">ma-lp-00019688</t>
  </si>
  <si>
    <t xml:space="preserve">Material</t>
  </si>
  <si>
    <t xml:space="preserve">und</t>
  </si>
  <si>
    <t xml:space="preserve">Saco de rafia para materiales y escombros; 50x90 cm    Ref. lp-00019688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</si>
  <si>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</si>
  <si>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</si>
  <si>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</si>
  <si>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</si>
  <si>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</si>
  <si>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</si>
  <si>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</si>
  <si>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</si>
  <si>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</si>
  <si>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</si>
  <si>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</si>
  <si>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</si>
  <si>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</si>
  <si>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</si>
  <si>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</si>
  <si>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</si>
  <si>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</si>
  <si>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</si>
  <si>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</si>
  <si>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</si>
  <si>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REM-JARDINERIA-01</t>
  </si>
  <si>
    <t xml:space="preserve">REM-MUEBLES-01</t>
  </si>
  <si>
    <t xml:space="preserve">Partida</t>
  </si>
  <si>
    <t xml:space="preserve">und</t>
  </si>
  <si>
    <t xml:space="preserve">XXXXXX REMOCIÓN CON RECUPERACIÓN DE MUEBLES Y ENSERES</t>
  </si>
  <si>
    <t xml:space="preserve">REMOCIÓN CON RECUPERACIÓN DE MUEBLES Y ENSERES</t>
  </si>
  <si>
    <t xml:space="preserve">ma-lp-00007667</t>
  </si>
  <si>
    <t xml:space="preserve">Material</t>
  </si>
  <si>
    <t xml:space="preserve">und</t>
  </si>
  <si>
    <t xml:space="preserve">Plástico cubretodo grueso MIARCO; 4x5 m/und   Ref. lp-00007667</t>
  </si>
  <si>
    <t xml:space="preserve">ma-lp-00535305</t>
  </si>
  <si>
    <t xml:space="preserve">Material</t>
  </si>
  <si>
    <t xml:space="preserve">und</t>
  </si>
  <si>
    <t xml:space="preserve">Toldo multiusos PROTEX; 2x3 m   Ref. lp-00535305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</si>
  <si>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</si>
  <si>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</si>
  <si>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</si>
  <si>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</si>
  <si>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</si>
  <si>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</si>
  <si>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</si>
  <si>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</si>
  <si>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</si>
  <si>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</si>
  <si>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</si>
  <si>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</si>
  <si>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</si>
  <si>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</si>
  <si>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</si>
  <si>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</si>
  <si>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</si>
  <si>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</si>
  <si>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</si>
  <si>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</si>
  <si>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REM-MUEBLES-01</t>
  </si>
  <si>
    <t xml:space="preserve">REM-MOBILIARIO</t>
  </si>
  <si>
    <t xml:space="preserve">REM-TUBERIA</t>
  </si>
  <si>
    <t xml:space="preserve">Capítulo</t>
  </si>
  <si>
    <t xml:space="preserve">XXXXXX REMOCIÓN DE TUBERÍA</t>
  </si>
  <si>
    <t xml:space="preserve">REM-TUB-PLOMO-35</t>
  </si>
  <si>
    <t xml:space="preserve">Partida</t>
  </si>
  <si>
    <t xml:space="preserve">m</t>
  </si>
  <si>
    <t xml:space="preserve">XXXXXXX REMOCIÓN SIN RECUPERACIÓN DE TUBERÍA DE PLOMO 35 mm PARA MONTANTES DE AGUA POTABLE</t>
  </si>
  <si>
    <t xml:space="preserve">Remoción sin recuperación de tubería de plomo 35 mm para montantes de agua potable</t>
  </si>
  <si>
    <t xml:space="preserve">ma-bd-EAN.5059340418391</t>
  </si>
  <si>
    <t xml:space="preserve">Material</t>
  </si>
  <si>
    <t xml:space="preserve">pza</t>
  </si>
  <si>
    <t xml:space="preserve">Disco de corte ERBAUER inox/metal 125x1 mm.   Ref. bd-EAN.5059340418391</t>
  </si>
  <si>
    <t xml:space="preserve">ma-lp-00016980</t>
  </si>
  <si>
    <t xml:space="preserve">Material</t>
  </si>
  <si>
    <t xml:space="preserve">envase</t>
  </si>
  <si>
    <t xml:space="preserve">Aflojatodo en Spray WD-40 (500 ml/envase).   Ref. lp-00016980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</si>
  <si>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</si>
  <si>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</si>
  <si>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</si>
  <si>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</si>
  <si>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</si>
  <si>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</si>
  <si>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</si>
  <si>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</si>
  <si>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</si>
  <si>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</si>
  <si>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</si>
  <si>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</si>
  <si>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</si>
  <si>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</si>
  <si>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</si>
  <si>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</si>
  <si>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</si>
  <si>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</si>
  <si>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</si>
  <si>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</si>
  <si>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REM-TUB-PLOMO-35</t>
  </si>
  <si>
    <t xml:space="preserve">REM-TUBERIA</t>
  </si>
  <si>
    <t xml:space="preserve">PREP</t>
  </si>
  <si>
    <t xml:space="preserve">RETIROS</t>
  </si>
  <si>
    <t xml:space="preserve">Capítulo</t>
  </si>
  <si>
    <t xml:space="preserve">XXXXXX RETIROS PRELIMINARES</t>
  </si>
  <si>
    <t xml:space="preserve">RET-BARANDILLAS-01</t>
  </si>
  <si>
    <t xml:space="preserve">Partida</t>
  </si>
  <si>
    <t xml:space="preserve">m</t>
  </si>
  <si>
    <t xml:space="preserve">XXXXXX RETIRO DE BARANDILLAS METÁLICAS EXISTENTES</t>
  </si>
  <si>
    <t xml:space="preserve">RETIRO DE BARANDILLAS METÁLICAS EXISTENTES</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</si>
  <si>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</si>
  <si>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</si>
  <si>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</si>
  <si>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</si>
  <si>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</si>
  <si>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</si>
  <si>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</si>
  <si>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</si>
  <si>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</si>
  <si>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</si>
  <si>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</si>
  <si>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</si>
  <si>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</si>
  <si>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</si>
  <si>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</si>
  <si>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</si>
  <si>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</si>
  <si>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</si>
  <si>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</si>
  <si>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</si>
  <si>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</si>
  <si>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</si>
  <si>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</si>
  <si>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</si>
  <si>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</si>
  <si>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</si>
  <si>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</si>
  <si>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</si>
  <si>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RET-BARANDILLAS-01</t>
  </si>
  <si>
    <t xml:space="preserve">RET-EQPS.MENORES-01</t>
  </si>
  <si>
    <t xml:space="preserve">Partida</t>
  </si>
  <si>
    <t xml:space="preserve">und</t>
  </si>
  <si>
    <t xml:space="preserve">XXXXXX RETIRO SIN RECUPERACIÓN DE EQUIPOS MENORES Y OBSOLETOS</t>
  </si>
  <si>
    <t xml:space="preserve">RETIRO SIN RECUPERACIÓN DE EQUIPOS MENORES Y OBSOLETOS</t>
  </si>
  <si>
    <t xml:space="preserve">ma-lp-00016978</t>
  </si>
  <si>
    <t xml:space="preserve">Material</t>
  </si>
  <si>
    <t xml:space="preserve">envase</t>
  </si>
  <si>
    <t xml:space="preserve">Aflojatodo en Spray WD-40 (200 ml/envase).   Ref. lp-00016978</t>
  </si>
  <si>
    <t xml:space="preserve">mo-salarial-ayudante</t>
  </si>
  <si>
    <t xml:space="preserve">Mano de obra</t>
  </si>
  <si>
    <t xml:space="preserve">h</t>
  </si>
  <si>
    <t xml:space="preserve">Ayudante</t>
  </si>
  <si>
    <t xml:space="preserve">mo%</t>
  </si>
  <si>
    <t xml:space="preserve">%</t>
  </si>
  <si>
    <t xml:space="preserve">Herramientas Menores</t>
  </si>
  <si>
    <t xml:space="preserve">RET-EQPS.MENORES-01</t>
  </si>
  <si>
    <t xml:space="preserve">RET-PUERTA-01</t>
  </si>
  <si>
    <t xml:space="preserve">Partida</t>
  </si>
  <si>
    <t xml:space="preserve">und</t>
  </si>
  <si>
    <t xml:space="preserve">XXXXXX RETIRO SIN RECUPERACIÓN DE PUERTA Y MARCO EXISTENTES</t>
  </si>
  <si>
    <t xml:space="preserve">RETIRO SIN RECUPERACIÓN DE PUERTA Y MARCO EXISTENTES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</si>
  <si>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</si>
  <si>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</si>
  <si>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</si>
  <si>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</si>
  <si>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</si>
  <si>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</si>
  <si>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</si>
  <si>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</si>
  <si>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</si>
  <si>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</si>
  <si>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</si>
  <si>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</si>
  <si>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</si>
  <si>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</si>
  <si>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</si>
  <si>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</si>
  <si>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</si>
  <si>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</si>
  <si>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</si>
  <si>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</si>
  <si>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RET-PUERTA-01</t>
  </si>
  <si>
    <t xml:space="preserve">RET-TMP-TUBERIAS-AABB/GAS-01</t>
  </si>
  <si>
    <t xml:space="preserve">Partida</t>
  </si>
  <si>
    <t xml:space="preserve">m</t>
  </si>
  <si>
    <t xml:space="preserve">XXXXXX RETIRO TEMPORAL (DURANTE EJECUCIÓN DE LA OBRA) DE TUBERÍAS A VISTA DE AGUAS BLANCAS/GAS; INCLUYE REMOCIÓN SIN RECUPERACIÓN DE MATERIAL Y ACCESORIOS DE FIJACIÓN</t>
  </si>
  <si>
    <t xml:space="preserve">Retiro temporal (durante ejecución de la obra) de tuberías a vista de aguas blancas/gas; incluye remoción sin recuperación de material y accesorios de fijación</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</si>
  <si>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</si>
  <si>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</si>
  <si>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</si>
  <si>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</si>
  <si>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</si>
  <si>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</si>
  <si>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</si>
  <si>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</si>
  <si>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</si>
  <si>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</si>
  <si>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</si>
  <si>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</si>
  <si>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</si>
  <si>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</si>
  <si>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</si>
  <si>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</si>
  <si>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</si>
  <si>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</si>
  <si>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</si>
  <si>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</si>
  <si>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RET-TMP-TUBERIAS-AABB/GAS-01</t>
  </si>
  <si>
    <t xml:space="preserve">RETIROS</t>
  </si>
  <si>
    <t xml:space="preserve">REMOCIONES.RETIROS.Y.DESMONTAJES</t>
  </si>
  <si>
    <t xml:space="preserve">REPICADOS</t>
  </si>
  <si>
    <t xml:space="preserve">Capítulo</t>
  </si>
  <si>
    <t xml:space="preserve">XXXXXX REPICADOS DE REVOCO O REBOZADO</t>
  </si>
  <si>
    <t xml:space="preserve">REPICADOS-PARED-01</t>
  </si>
  <si>
    <t xml:space="preserve">Partida</t>
  </si>
  <si>
    <t xml:space="preserve">m2</t>
  </si>
  <si>
    <t xml:space="preserve">XXXX REPICADO A MANO DE REVOCO EN PARED</t>
  </si>
  <si>
    <t xml:space="preserve">Repicado de matterial en mal estado, con medios manuales, sin deteriorar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</si>
  <si>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</si>
  <si>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</si>
  <si>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</si>
  <si>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</si>
  <si>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</si>
  <si>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</si>
  <si>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</si>
  <si>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</si>
  <si>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</si>
  <si>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</si>
  <si>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</si>
  <si>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</si>
  <si>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</si>
  <si>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</si>
  <si>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</si>
  <si>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</si>
  <si>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</si>
  <si>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</si>
  <si>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</si>
  <si>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</si>
  <si>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REPICADOS-PARED-01</t>
  </si>
  <si>
    <t xml:space="preserve">REPICADOS-TECHO-01</t>
  </si>
  <si>
    <t xml:space="preserve">Partida</t>
  </si>
  <si>
    <t xml:space="preserve">m2</t>
  </si>
  <si>
    <t xml:space="preserve">XXXX REPICADO A MANO DE REVOCO EN TECHO</t>
  </si>
  <si>
    <t xml:space="preserve">Repicado de matterial en mal estado, con medios manuales, sin deteriorar los elementos constructivos contiguos,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</si>
  <si>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</si>
  <si>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</si>
  <si>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</si>
  <si>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</si>
  <si>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</si>
  <si>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</si>
  <si>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</si>
  <si>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</si>
  <si>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</si>
  <si>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</si>
  <si>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</si>
  <si>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</si>
  <si>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</si>
  <si>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</si>
  <si>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</si>
  <si>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</si>
  <si>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</si>
  <si>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</si>
  <si>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</si>
  <si>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</si>
  <si>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REPICADOS-TECHO-01</t>
  </si>
  <si>
    <t xml:space="preserve">REPICADOS</t>
  </si>
  <si>
    <t xml:space="preserve">DEMOLICIONES.Y.CONEXOS</t>
  </si>
  <si>
    <t xml:space="preserve">TERR</t>
  </si>
  <si>
    <t xml:space="preserve">Capítulo</t>
  </si>
  <si>
    <t xml:space="preserve">o Acondicionamento del terreno</t>
  </si>
  <si>
    <t xml:space="preserve">TERR001</t>
  </si>
  <si>
    <t xml:space="preserve">Partida</t>
  </si>
  <si>
    <t xml:space="preserve">ML</t>
  </si>
  <si>
    <t xml:space="preserve">o CANALETA DE DRENAJE</t>
  </si>
  <si>
    <t xml:space="preserve">Canaleta prefabricada de copolimero de polipropileno reforzado, en tramos de 100cm de longitud, 13cm de anchura y 5cm de altura, con rejilla de acero galvanizado, colocada sobre solera de hormigón en masa de 10 cm de espesor. Incluso accesorios de montaje, piezas especiales y elementos de sujeción.</t>
  </si>
  <si>
    <t xml:space="preserve">ma-lp-00392485</t>
  </si>
  <si>
    <t xml:space="preserve">Material</t>
  </si>
  <si>
    <t xml:space="preserve">u</t>
  </si>
  <si>
    <t xml:space="preserve">CANALETA NOR H5 13X100+REJILLA GALVANIZADA Ref.: 00392485</t>
  </si>
  <si>
    <t xml:space="preserve">KITMONT</t>
  </si>
  <si>
    <t xml:space="preserve">Material</t>
  </si>
  <si>
    <t xml:space="preserve">u</t>
  </si>
  <si>
    <t xml:space="preserve">Kit de accesorios y montaje</t>
  </si>
  <si>
    <t xml:space="preserve">ma-lp-00000068</t>
  </si>
  <si>
    <t xml:space="preserve">Material</t>
  </si>
  <si>
    <t xml:space="preserve">m3</t>
  </si>
  <si>
    <t xml:space="preserve">HORMIGÓN SECO H-20, EN BIG-BAG, LA PLATAFORMA Ref.: 00000068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</si>
  <si>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</si>
  <si>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</si>
  <si>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</si>
  <si>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</si>
  <si>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</si>
  <si>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</si>
  <si>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</si>
  <si>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</si>
  <si>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</si>
  <si>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</si>
  <si>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</si>
  <si>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</si>
  <si>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</si>
  <si>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</si>
  <si>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</si>
  <si>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</si>
  <si>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</si>
  <si>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</si>
  <si>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</si>
  <si>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</si>
  <si>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TERR001</t>
  </si>
  <si>
    <t xml:space="preserve">TERR02XX</t>
  </si>
  <si>
    <t xml:space="preserve">Partida</t>
  </si>
  <si>
    <t xml:space="preserve">ML</t>
  </si>
  <si>
    <t xml:space="preserve">XXXXXXARQUETA DE BOMBEO</t>
  </si>
  <si>
    <t xml:space="preserve">Arqueta de bombeo para elevación de aguas grises, instalación enterrada, formada por arqueta cuadrada de polipropileno con marco y tapa, tubería interior, bomba sumergible, interruptor de flotador, para control automático del nivel, válvula antirretorno. Incluso accesorios de montaje, piezas especiales y elementos de sujeción.</t>
  </si>
  <si>
    <t xml:space="preserve">m.o.1</t>
  </si>
  <si>
    <t xml:space="preserve">Mano de obra</t>
  </si>
  <si>
    <t xml:space="preserve">h</t>
  </si>
  <si>
    <t xml:space="preserve">Mano de Obra: 1 Oficial de 1ª, 1 Ayudante y 1/2 Ayudante</t>
  </si>
  <si>
    <t xml:space="preserve">TERR02XX</t>
  </si>
  <si>
    <t xml:space="preserve">TERR</t>
  </si>
  <si>
    <t xml:space="preserve">CIM</t>
  </si>
  <si>
    <t xml:space="preserve">Capítulo</t>
  </si>
  <si>
    <t xml:space="preserve">Cimentaciones</t>
  </si>
  <si>
    <t xml:space="preserve">CIM01</t>
  </si>
  <si>
    <t xml:space="preserve">Partida</t>
  </si>
  <si>
    <t xml:space="preserve">M3</t>
  </si>
  <si>
    <t xml:space="preserve">HORMIGON PARA MUROS DE CONTENCION HA-25/P/20IIa</t>
  </si>
  <si>
    <t xml:space="preserve">HORMIGON PARA MUROS DE CONTENCION HA-25/P/20IIa</t>
  </si>
  <si>
    <t xml:space="preserve">ma-promsa-HA25</t>
  </si>
  <si>
    <t xml:space="preserve">Material</t>
  </si>
  <si>
    <t xml:space="preserve">m3</t>
  </si>
  <si>
    <t xml:space="preserve">HA 25 B 20 IIa</t>
  </si>
  <si>
    <t xml:space="preserve">mq-promsa-Bomba</t>
  </si>
  <si>
    <t xml:space="preserve">Maquinaria</t>
  </si>
  <si>
    <t xml:space="preserve">u</t>
  </si>
  <si>
    <t xml:space="preserve">BOMBEO MINIMO 4H. HASTA PLUMA 36</t>
  </si>
  <si>
    <t xml:space="preserve">mq-promsa-Desplz</t>
  </si>
  <si>
    <t xml:space="preserve">Maquinaria</t>
  </si>
  <si>
    <t xml:space="preserve">u</t>
  </si>
  <si>
    <t xml:space="preserve">DESPLAZAMIENTO BOMBA HASTA PLUMA 36</t>
  </si>
  <si>
    <t xml:space="preserve">ma-promsa-Limp</t>
  </si>
  <si>
    <t xml:space="preserve">Material</t>
  </si>
  <si>
    <t xml:space="preserve">u</t>
  </si>
  <si>
    <t xml:space="preserve">Limpieza bomba, se facturará si no existe punto de lavado en obra</t>
  </si>
  <si>
    <t xml:space="preserve">m.o.1</t>
  </si>
  <si>
    <t xml:space="preserve">Mano de obra</t>
  </si>
  <si>
    <t xml:space="preserve">h</t>
  </si>
  <si>
    <t xml:space="preserve">Mano de Obra: 1 Oficial de 1ª, 1 Ayudante y 1/2 Ayudante</t>
  </si>
  <si>
    <t xml:space="preserve">CIM01</t>
  </si>
  <si>
    <t xml:space="preserve">CIM02</t>
  </si>
  <si>
    <t xml:space="preserve">Partida</t>
  </si>
  <si>
    <t xml:space="preserve">KG</t>
  </si>
  <si>
    <t xml:space="preserve">ACERO B-500 PARA ELABORACION Y MONTAJE EN LOSA DE CIMENTACION.</t>
  </si>
  <si>
    <t xml:space="preserve">Acero UNE-EN 10080 B 500 S para elaboración y montaje de la ferralla en losa de cimentación. Incluso alambre de atar y separadores.</t>
  </si>
  <si>
    <t xml:space="preserve">ma-lp-00277865</t>
  </si>
  <si>
    <t xml:space="preserve">Material</t>
  </si>
  <si>
    <t xml:space="preserve">pza</t>
  </si>
  <si>
    <t xml:space="preserve">Redondo acero corrugado diámetro 10 mm (2 m/pza)   Ref. lp-00277865</t>
  </si>
  <si>
    <t xml:space="preserve">00124026</t>
  </si>
  <si>
    <t xml:space="preserve">Material</t>
  </si>
  <si>
    <t xml:space="preserve">kg</t>
  </si>
  <si>
    <t xml:space="preserve">ALAMBRE DE ATAR 1,20 MM 25 KG Ref.: 00124026</t>
  </si>
  <si>
    <t xml:space="preserve">ma-Cype</t>
  </si>
  <si>
    <t xml:space="preserve">Material</t>
  </si>
  <si>
    <t xml:space="preserve">u</t>
  </si>
  <si>
    <t xml:space="preserve">Separador homologado de plástico, para armaduras de cimentaciones de varios diámetros</t>
  </si>
  <si>
    <t xml:space="preserve">m.o.1</t>
  </si>
  <si>
    <t xml:space="preserve">Mano de obra</t>
  </si>
  <si>
    <t xml:space="preserve">h</t>
  </si>
  <si>
    <t xml:space="preserve">Mano de Obra: 1 Oficial de 1ª, 1 Ayudante y 1/2 Ayudante</t>
  </si>
  <si>
    <t xml:space="preserve">CIM02</t>
  </si>
  <si>
    <t xml:space="preserve">CIM03</t>
  </si>
  <si>
    <t xml:space="preserve">Partida</t>
  </si>
  <si>
    <t xml:space="preserve">M2</t>
  </si>
  <si>
    <t xml:space="preserve">MURO DE HORMIGON LISO CARAVISTA BLANCO 20x40x20CM</t>
  </si>
  <si>
    <t xml:space="preserve">Muro de cierre para revestir de 20 cm de espesor de bloque agujereado de hormigón, de 20x40x20cm, liso, colocado con mortero mixto 1:2:10 de cemento portland color blanco</t>
  </si>
  <si>
    <t xml:space="preserve">01AYUDANTE</t>
  </si>
  <si>
    <t xml:space="preserve">Mano de obra</t>
  </si>
  <si>
    <t xml:space="preserve">h</t>
  </si>
  <si>
    <t xml:space="preserve">Mano de Obra: 1 Ayudante</t>
  </si>
  <si>
    <t xml:space="preserve">ma-pl-00001554</t>
  </si>
  <si>
    <t xml:space="preserve">Material</t>
  </si>
  <si>
    <t xml:space="preserve">u</t>
  </si>
  <si>
    <t xml:space="preserve">BLOQUE HORMIGÓN CARAVISTA LISO 20X20X40 CM BLANCO Ref.: 00001554</t>
  </si>
  <si>
    <t xml:space="preserve">CIM03</t>
  </si>
  <si>
    <t xml:space="preserve">CIM</t>
  </si>
  <si>
    <t xml:space="preserve">STRC</t>
  </si>
  <si>
    <t xml:space="preserve">Capítulo</t>
  </si>
  <si>
    <t xml:space="preserve">Estructuras</t>
  </si>
  <si>
    <t xml:space="preserve">STRCHA</t>
  </si>
  <si>
    <t xml:space="preserve">Capítulo</t>
  </si>
  <si>
    <t xml:space="preserve">o HORMIGON ARMADO</t>
  </si>
  <si>
    <t xml:space="preserve">HAR001</t>
  </si>
  <si>
    <t xml:space="preserve">Partida</t>
  </si>
  <si>
    <t xml:space="preserve">ML</t>
  </si>
  <si>
    <t xml:space="preserve">o REPARACION DE FRENTE DE FORJADO CON PROPAM REPAR 40, DE CANTO 30CM y 3CM</t>
  </si>
  <si>
    <t xml:space="preserve">Reparación de frente de forjado de hormigón armado, de canto 30 cm y 3 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</si>
  <si>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 xml:space="preserve">ma-lp-00539029</t>
  </si>
  <si>
    <t xml:space="preserve">Material</t>
  </si>
  <si>
    <t xml:space="preserve">envase</t>
  </si>
  <si>
    <t xml:space="preserve">Disolvente-Diluente Nitro BIGMAT (1 litro/envase)   Ref. lp-00539029</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</si>
  <si>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</si>
  <si>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</si>
  <si>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</si>
  <si>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</si>
  <si>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</si>
  <si>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</si>
  <si>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</si>
  <si>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</si>
  <si>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</si>
  <si>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</si>
  <si>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</si>
  <si>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</si>
  <si>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</si>
  <si>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</si>
  <si>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</si>
  <si>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</si>
  <si>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</si>
  <si>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</si>
  <si>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</si>
  <si>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</si>
  <si>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</si>
  <si>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</si>
  <si>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</si>
  <si>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</si>
  <si>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</si>
  <si>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</si>
  <si>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</si>
  <si>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</si>
  <si>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</si>
  <si>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</si>
  <si>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</si>
  <si>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</si>
  <si>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</si>
  <si>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</si>
  <si>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</si>
  <si>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</si>
  <si>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</si>
  <si>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</si>
  <si>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</si>
  <si>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</si>
  <si>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HAR001</t>
  </si>
  <si>
    <t xml:space="preserve">HAR001TV</t>
  </si>
  <si>
    <t xml:space="preserve">Partida</t>
  </si>
  <si>
    <t xml:space="preserve">ML</t>
  </si>
  <si>
    <t xml:space="preserve">o REPARACION DE FRENTE DE FORJADO CONPROPAM REPAR 40, DE CANTO 30CM y 3CM C/TRABAJOS VERTICALES</t>
  </si>
  <si>
    <t xml:space="preserve">Reparación de frente de forjado de hormigón armado CON TRABAJOS VERTICALES, de canto 30 cm y 3cm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</si>
  <si>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 xml:space="preserve">ma-lp-00539029</t>
  </si>
  <si>
    <t xml:space="preserve">Material</t>
  </si>
  <si>
    <t xml:space="preserve">envase</t>
  </si>
  <si>
    <t xml:space="preserve">Disolvente-Diluente Nitro BIGMAT (1 litro/envase)   Ref. lp-00539029</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</si>
  <si>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</si>
  <si>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</si>
  <si>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</si>
  <si>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</si>
  <si>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</si>
  <si>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</si>
  <si>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</si>
  <si>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</si>
  <si>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</si>
  <si>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</si>
  <si>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</si>
  <si>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</si>
  <si>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</si>
  <si>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</si>
  <si>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</si>
  <si>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</si>
  <si>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ma-lp-00540914</t>
  </si>
  <si>
    <t xml:space="preserve">Material</t>
  </si>
  <si>
    <t xml:space="preserve">saco</t>
  </si>
  <si>
    <t xml:space="preserve">Mortero de reparación y pasivante MAPEFER 1K (5 kg/saco)   Ref. lp-00540914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</si>
  <si>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</si>
  <si>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</si>
  <si>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</si>
  <si>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</si>
  <si>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</si>
  <si>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</si>
  <si>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</si>
  <si>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</si>
  <si>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</si>
  <si>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</si>
  <si>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</si>
  <si>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</si>
  <si>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</si>
  <si>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</si>
  <si>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</si>
  <si>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</si>
  <si>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</si>
  <si>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</si>
  <si>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</si>
  <si>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</si>
  <si>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HAR001TV</t>
  </si>
  <si>
    <t xml:space="preserve">HAR002</t>
  </si>
  <si>
    <t xml:space="preserve">Partida</t>
  </si>
  <si>
    <t xml:space="preserve">ML</t>
  </si>
  <si>
    <t xml:space="preserve">o REPARACION DE FRENTE DE FORJADO CON GEOLITE 40 DE KERAKOLL, DE CANTO 30CM y 3CM</t>
  </si>
  <si>
    <t xml:space="preserve">Reparació de cantells de balcons; consistent en el repicat puntual i neteja per mitjans manuals i / o mecànics fins a base ferma; aplicació de morter de reparació classe R4, tipus Geolite 40 de la marca Kerakoll; monocomponent, amb garantia de la passivació dels ferros (CA), tixotròpic, exempt de fibres orgàniques i d'enduriment semirápido (40min); per a la passivació, reparació, allisat i protecció monolítica del formigó degradat, segons norma EN1504. S'ha consideratuna afectació aproximada de 8 a 10 lesions per balcó de 9ml.</t>
  </si>
  <si>
    <t xml:space="preserve">ma-lp-00539210</t>
  </si>
  <si>
    <t xml:space="preserve">Material</t>
  </si>
  <si>
    <t xml:space="preserve">saco</t>
  </si>
  <si>
    <t xml:space="preserve">Mortero de reparación GEOLITE 40 de KERAKOLL (25 kg/saco)   Ref. lp-00539210</t>
  </si>
  <si>
    <t xml:space="preserve">ma-lp-00001705</t>
  </si>
  <si>
    <t xml:space="preserve">Material</t>
  </si>
  <si>
    <t xml:space="preserve">rollo</t>
  </si>
  <si>
    <t xml:space="preserve">Malla de fibra de vidrio azul para refuerzo de morteros y revocos (rollo 50x1 m)   Ref. lp-00001705</t>
  </si>
  <si>
    <t xml:space="preserve">ma-lp-00001672</t>
  </si>
  <si>
    <t xml:space="preserve">Material</t>
  </si>
  <si>
    <t xml:space="preserve">pza</t>
  </si>
  <si>
    <t xml:space="preserve">Redondo acero corrugado diámetro 10 mm (3 m/pza).   Ref. lp-00001672</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</si>
  <si>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</si>
  <si>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</si>
  <si>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</si>
  <si>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</si>
  <si>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</si>
  <si>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</si>
  <si>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</si>
  <si>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</si>
  <si>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</si>
  <si>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</si>
  <si>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</si>
  <si>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</si>
  <si>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</si>
  <si>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</si>
  <si>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</si>
  <si>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</si>
  <si>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</si>
  <si>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</si>
  <si>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</si>
  <si>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</si>
  <si>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</si>
  <si>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</si>
  <si>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</si>
  <si>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</si>
  <si>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</si>
  <si>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</si>
  <si>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</si>
  <si>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</si>
  <si>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</si>
  <si>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</si>
  <si>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</si>
  <si>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</si>
  <si>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HAR002</t>
  </si>
  <si>
    <t xml:space="preserve">HAR003</t>
  </si>
  <si>
    <t xml:space="preserve">Partida</t>
  </si>
  <si>
    <t xml:space="preserve">ML</t>
  </si>
  <si>
    <t xml:space="preserve">o REPARACION DE FRENTE DE FORJADO CON PROPAM REPAR 40, DE CANTO 30CM Y 8CM</t>
  </si>
  <si>
    <t xml:space="preserve">Reparación de frente de forjado de hormigón armado, de canto 30 cm y 8 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</si>
  <si>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 xml:space="preserve">ma-lp-00539029</t>
  </si>
  <si>
    <t xml:space="preserve">Material</t>
  </si>
  <si>
    <t xml:space="preserve">envase</t>
  </si>
  <si>
    <t xml:space="preserve">Disolvente-Diluente Nitro BIGMAT (1 litro/envase)   Ref. lp-00539029</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</si>
  <si>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</si>
  <si>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</si>
  <si>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</si>
  <si>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</si>
  <si>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</si>
  <si>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</si>
  <si>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</si>
  <si>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</si>
  <si>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ma-lp-00001672</t>
  </si>
  <si>
    <t xml:space="preserve">Material</t>
  </si>
  <si>
    <t xml:space="preserve">pza</t>
  </si>
  <si>
    <t xml:space="preserve">Redondo acero corrugado diámetro 10 mm (3 m/pza).   Ref. lp-00001672</t>
  </si>
  <si>
    <t xml:space="preserve">ma-lp-00016626</t>
  </si>
  <si>
    <t xml:space="preserve">Material</t>
  </si>
  <si>
    <t xml:space="preserve">cartucho</t>
  </si>
  <si>
    <t xml:space="preserve">Anclaje/Taco químico de resina FISCHER FIS VS 300 T (300 ml/cartucho).   Ref. lp-00016626</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</si>
  <si>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</si>
  <si>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</si>
  <si>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</si>
  <si>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</si>
  <si>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</si>
  <si>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</si>
  <si>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</si>
  <si>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</si>
  <si>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</si>
  <si>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</si>
  <si>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</si>
  <si>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</si>
  <si>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</si>
  <si>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</si>
  <si>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</si>
  <si>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</si>
  <si>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</si>
  <si>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</si>
  <si>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</si>
  <si>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</si>
  <si>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</si>
  <si>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</si>
  <si>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</si>
  <si>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</si>
  <si>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</si>
  <si>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</si>
  <si>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</si>
  <si>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</si>
  <si>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</si>
  <si>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</si>
  <si>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</si>
  <si>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</si>
  <si>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HAR003</t>
  </si>
  <si>
    <t xml:space="preserve">HAR003TV</t>
  </si>
  <si>
    <t xml:space="preserve">Partida</t>
  </si>
  <si>
    <t xml:space="preserve">ML</t>
  </si>
  <si>
    <t xml:space="preserve">o REPARACION DE FRENTE DE FORJADO CON PROPAM REPAR 40, DE CANTO 30CM Y 8CM C/TRABAJOS VERTICALES</t>
  </si>
  <si>
    <t xml:space="preserve">Reparación de frente de forjado de hormigón armado CON TRABAJOS VERTICALES, de canto 30 cm y 8cm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</si>
  <si>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 xml:space="preserve">ma-lp-00539029</t>
  </si>
  <si>
    <t xml:space="preserve">Material</t>
  </si>
  <si>
    <t xml:space="preserve">envase</t>
  </si>
  <si>
    <t xml:space="preserve">Disolvente-Diluente Nitro BIGMAT (1 litro/envase)   Ref. lp-00539029</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</si>
  <si>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</si>
  <si>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</si>
  <si>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</si>
  <si>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</si>
  <si>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</si>
  <si>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</si>
  <si>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</si>
  <si>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</si>
  <si>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ma-lp-00001672</t>
  </si>
  <si>
    <t xml:space="preserve">Material</t>
  </si>
  <si>
    <t xml:space="preserve">pza</t>
  </si>
  <si>
    <t xml:space="preserve">Redondo acero corrugado diámetro 10 mm (3 m/pza).   Ref. lp-00001672</t>
  </si>
  <si>
    <t xml:space="preserve">ma-lp-00016626</t>
  </si>
  <si>
    <t xml:space="preserve">Material</t>
  </si>
  <si>
    <t xml:space="preserve">cartucho</t>
  </si>
  <si>
    <t xml:space="preserve">Anclaje/Taco químico de resina FISCHER FIS VS 300 T (300 ml/cartucho).   Ref. lp-00016626</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</si>
  <si>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</si>
  <si>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</si>
  <si>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</si>
  <si>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</si>
  <si>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</si>
  <si>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</si>
  <si>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</si>
  <si>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</si>
  <si>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ma-lp-00540914</t>
  </si>
  <si>
    <t xml:space="preserve">Material</t>
  </si>
  <si>
    <t xml:space="preserve">saco</t>
  </si>
  <si>
    <t xml:space="preserve">Mortero de reparación y pasivante MAPEFER 1K (5 kg/saco)   Ref. lp-00540914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</si>
  <si>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</si>
  <si>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</si>
  <si>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</si>
  <si>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</si>
  <si>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</si>
  <si>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</si>
  <si>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</si>
  <si>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</si>
  <si>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</si>
  <si>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</si>
  <si>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</si>
  <si>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</si>
  <si>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</si>
  <si>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</si>
  <si>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</si>
  <si>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</si>
  <si>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</si>
  <si>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</si>
  <si>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</si>
  <si>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</si>
  <si>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HAR003TV</t>
  </si>
  <si>
    <t xml:space="preserve">HAR004</t>
  </si>
  <si>
    <t xml:space="preserve">Partida</t>
  </si>
  <si>
    <t xml:space="preserve">ML</t>
  </si>
  <si>
    <t xml:space="preserve">o REPICADO DE CANTO DE FORJADO</t>
  </si>
  <si>
    <t xml:space="preserve">Repicado de cantos de forjado, hasta dejar la estructura/armadura al descubierto con medios manuales, sin deteriorar los elementos constructivos contiguos, y carga manual sobre camión o contenedor.</t>
  </si>
  <si>
    <t xml:space="preserve">alq-martillo-mym-16kg</t>
  </si>
  <si>
    <t xml:space="preserve">Maquinaria</t>
  </si>
  <si>
    <t xml:space="preserve">h</t>
  </si>
  <si>
    <t xml:space="preserve">Alquiler de Martillo Eléctrico Picador-Demoledor 16 kg.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</si>
  <si>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</si>
  <si>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</si>
  <si>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</si>
  <si>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</si>
  <si>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</si>
  <si>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</si>
  <si>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</si>
  <si>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</si>
  <si>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</si>
  <si>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</si>
  <si>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</si>
  <si>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</si>
  <si>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</si>
  <si>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</si>
  <si>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</si>
  <si>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</si>
  <si>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</si>
  <si>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</si>
  <si>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</si>
  <si>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</si>
  <si>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HAR004</t>
  </si>
  <si>
    <t xml:space="preserve">HAR004TV</t>
  </si>
  <si>
    <t xml:space="preserve">Partida</t>
  </si>
  <si>
    <t xml:space="preserve">ML</t>
  </si>
  <si>
    <t xml:space="preserve">o REPICADO DE CANTO DE FORJADO C/TRABAJOS VERTICALES</t>
  </si>
  <si>
    <t xml:space="preserve">Repicado de cantos de forjado CON TRABAJOS VERTICALES, hasta dejar la estructura/armadura al descubierto con medios manuales, sin deteriorar los elementos constructivos contiguos, y carga manual sobre camión o contenedor.</t>
  </si>
  <si>
    <t xml:space="preserve">alq-martillo-mym-16kg</t>
  </si>
  <si>
    <t xml:space="preserve">Maquinaria</t>
  </si>
  <si>
    <t xml:space="preserve">h</t>
  </si>
  <si>
    <t xml:space="preserve">Alquiler de Martillo Eléctrico Picador-Demoledor 16 kg.   Ref. MÁQUINAS Y MÁQUINAS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</si>
  <si>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</si>
  <si>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</si>
  <si>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</si>
  <si>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</si>
  <si>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</si>
  <si>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</si>
  <si>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</si>
  <si>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</si>
  <si>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</si>
  <si>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</si>
  <si>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</si>
  <si>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</si>
  <si>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</si>
  <si>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</si>
  <si>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</si>
  <si>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</si>
  <si>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</si>
  <si>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</si>
  <si>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</si>
  <si>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</si>
  <si>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HAR004TV</t>
  </si>
  <si>
    <t xml:space="preserve">HAR005</t>
  </si>
  <si>
    <t xml:space="preserve">Partida</t>
  </si>
  <si>
    <t xml:space="preserve">M2</t>
  </si>
  <si>
    <t xml:space="preserve">o PROTECCION Y PASIVACION DE ARMADURA MAPEI MAPEFER</t>
  </si>
  <si>
    <t xml:space="preserve">Aplicación manual de imprimación de MAPEFER,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</si>
  <si>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</si>
  <si>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</si>
  <si>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</si>
  <si>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</si>
  <si>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</si>
  <si>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</si>
  <si>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</si>
  <si>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</si>
  <si>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</si>
  <si>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</si>
  <si>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</si>
  <si>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</si>
  <si>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</si>
  <si>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</si>
  <si>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</si>
  <si>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</si>
  <si>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</si>
  <si>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</si>
  <si>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</si>
  <si>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</si>
  <si>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</si>
  <si>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</si>
  <si>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</si>
  <si>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</si>
  <si>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</si>
  <si>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</si>
  <si>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</si>
  <si>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</si>
  <si>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HAR005</t>
  </si>
  <si>
    <t xml:space="preserve">HAR005TV</t>
  </si>
  <si>
    <t xml:space="preserve">Partida</t>
  </si>
  <si>
    <t xml:space="preserve">M2</t>
  </si>
  <si>
    <t xml:space="preserve">o PROTECCION Y PASIVACION DE ARMADURA MAPEI MAPEFER C/TRABAJOS VERTICALES</t>
  </si>
  <si>
    <t xml:space="preserve">Aplicación manual de imprimación de MAPEFER CON TRABAJOS VERTICALES,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</si>
  <si>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</si>
  <si>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</si>
  <si>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</si>
  <si>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</si>
  <si>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</si>
  <si>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</si>
  <si>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</si>
  <si>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</si>
  <si>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</si>
  <si>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</si>
  <si>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</si>
  <si>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</si>
  <si>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</si>
  <si>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</si>
  <si>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</si>
  <si>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</si>
  <si>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</si>
  <si>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</si>
  <si>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</si>
  <si>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</si>
  <si>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</si>
  <si>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</si>
  <si>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</si>
  <si>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</si>
  <si>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</si>
  <si>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</si>
  <si>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</si>
  <si>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</si>
  <si>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HAR005TV</t>
  </si>
  <si>
    <t xml:space="preserve">HAR006</t>
  </si>
  <si>
    <t xml:space="preserve">Partida</t>
  </si>
  <si>
    <t xml:space="preserve">M2</t>
  </si>
  <si>
    <t xml:space="preserve">o PROTECCION Y PASIVACION DE ARMADURA SIKA MONOTOP 910</t>
  </si>
  <si>
    <t xml:space="preserve">Aplicación manual de imprimación Sika Monotop - 910,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</si>
  <si>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 xml:space="preserve">ma-lm-sika.monotop.910s</t>
  </si>
  <si>
    <t xml:space="preserve">Material</t>
  </si>
  <si>
    <t xml:space="preserve">envase</t>
  </si>
  <si>
    <t xml:space="preserve">Pasivador de armaduras y puente de unión para morteros de reparación SIKA MONOTOP-910 S (4 kg/envase).   Ref. lm-sika.monotop.910s</t>
  </si>
  <si>
    <t xml:space="preserve">ma-om-10519845</t>
  </si>
  <si>
    <t xml:space="preserve">Material</t>
  </si>
  <si>
    <t xml:space="preserve">rollo</t>
  </si>
  <si>
    <t xml:space="preserve">Malla de refuerzo de fibra de vidrio ARMATOP 100 de SIKA (1x50 m/rollo; 175 gr/m2).   Ref. om-10519845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</si>
  <si>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</si>
  <si>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</si>
  <si>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</si>
  <si>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</si>
  <si>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</si>
  <si>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</si>
  <si>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</si>
  <si>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</si>
  <si>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</si>
  <si>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</si>
  <si>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</si>
  <si>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</si>
  <si>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</si>
  <si>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</si>
  <si>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</si>
  <si>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</si>
  <si>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</si>
  <si>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</si>
  <si>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</si>
  <si>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</si>
  <si>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HAR006</t>
  </si>
  <si>
    <t xml:space="preserve">HAR007</t>
  </si>
  <si>
    <t xml:space="preserve">Partida</t>
  </si>
  <si>
    <t xml:space="preserve">M2</t>
  </si>
  <si>
    <t xml:space="preserve">o PROTECCION Y PASIVACION DE ARMADURA  BETOPRIM DE PROPAMSA</t>
  </si>
  <si>
    <t xml:space="preserve">PASIVACIÓN "BETOPRIM/PROPAMSA" DE ARMADURA AL DESCUBIERTO EN FONDO DE LOSA; NO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</si>
  <si>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</si>
  <si>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</si>
  <si>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</si>
  <si>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</si>
  <si>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</si>
  <si>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</si>
  <si>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</si>
  <si>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</si>
  <si>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</si>
  <si>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</si>
  <si>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</si>
  <si>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</si>
  <si>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</si>
  <si>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</si>
  <si>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</si>
  <si>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</si>
  <si>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</si>
  <si>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</si>
  <si>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</si>
  <si>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</si>
  <si>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</si>
  <si>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</si>
  <si>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</si>
  <si>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</si>
  <si>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</si>
  <si>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</si>
  <si>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</si>
  <si>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</si>
  <si>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</si>
  <si>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</si>
  <si>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</si>
  <si>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</si>
  <si>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HAR007</t>
  </si>
  <si>
    <t xml:space="preserve">HAR008</t>
  </si>
  <si>
    <t xml:space="preserve">Partida</t>
  </si>
  <si>
    <t xml:space="preserve">M2</t>
  </si>
  <si>
    <t xml:space="preserve">o PROTECCION Y PASIVACION DE ARMADURA TOP ARMATEC 110 EPOCEM DE SIKA</t>
  </si>
  <si>
    <t xml:space="preserve">Puente de union y antioxidante con Sika Top Armatec-110 EpoCem en un revestimiento cementoso con resinas epoxi modificadas, de tres componentes y con inhibidor de corrosión usado para la protección de las armaduras del hormigón frente a la corrosión y como capa de adherencia.</t>
  </si>
  <si>
    <t xml:space="preserve">ma-manau-92355</t>
  </si>
  <si>
    <t xml:space="preserve">Material</t>
  </si>
  <si>
    <t xml:space="preserve">envase</t>
  </si>
  <si>
    <t xml:space="preserve">SIKA TOP ARMATEC 110 EPOCEM. (4kg)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</si>
  <si>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</si>
  <si>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</si>
  <si>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</si>
  <si>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</si>
  <si>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</si>
  <si>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</si>
  <si>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</si>
  <si>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</si>
  <si>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</si>
  <si>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</si>
  <si>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</si>
  <si>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</si>
  <si>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</si>
  <si>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</si>
  <si>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</si>
  <si>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</si>
  <si>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</si>
  <si>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</si>
  <si>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</si>
  <si>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</si>
  <si>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HAR008</t>
  </si>
  <si>
    <t xml:space="preserve">HAR009</t>
  </si>
  <si>
    <t xml:space="preserve">Partida</t>
  </si>
  <si>
    <t xml:space="preserve">M2</t>
  </si>
  <si>
    <t xml:space="preserve">o REPARACION ESTRUCTURAL DE HORMIGON CON MORTERO R4, PROPAM REPAR 40</t>
  </si>
  <si>
    <t xml:space="preserve">Aplicación manual de mortero PROPAM REPAR 40 de 15mm de espesor, modificado con polímeros, resistencia a compresión con inhibidores de corrosión para la reparación estructural de hormigón, clase R4, según UNE-EN 1504-3, Euroclase A1 de reacción al  fuego, según UNE-EN 13501-1, en capa de 15 mm de espesor medio, para reparación y refuerzo estructural de elemento de hormigón.</t>
  </si>
  <si>
    <t xml:space="preserve">ma-lp-00540825</t>
  </si>
  <si>
    <t xml:space="preserve">Material</t>
  </si>
  <si>
    <t xml:space="preserve">saco</t>
  </si>
  <si>
    <t xml:space="preserve">Mortero de reparación estructural R4 PROPAM REPAR 40 (25 kg/Saco)   Ref. lp-00540825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</si>
  <si>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</si>
  <si>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</si>
  <si>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</si>
  <si>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</si>
  <si>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</si>
  <si>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</si>
  <si>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</si>
  <si>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</si>
  <si>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</si>
  <si>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</si>
  <si>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</si>
  <si>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</si>
  <si>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</si>
  <si>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</si>
  <si>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</si>
  <si>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</si>
  <si>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</si>
  <si>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</si>
  <si>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</si>
  <si>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</si>
  <si>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HAR009</t>
  </si>
  <si>
    <t xml:space="preserve">HAR010</t>
  </si>
  <si>
    <t xml:space="preserve">Partida</t>
  </si>
  <si>
    <t xml:space="preserve">M2</t>
  </si>
  <si>
    <t xml:space="preserve">o REPARACION ESTRUCTURAL DE HORMIGON CON MORTERO R4, GEOLITE 40 DE KERAKOLL</t>
  </si>
  <si>
    <t xml:space="preserve">Aplicación manual de mortero GEOLITE 40 DE KERAKOLL de 15mm de espesor, Mortero de Reparación (Clase R4) para la reparación y refuerzo de estructuras de hormigón armado y mampostería (vigas, pilares, losas, balcones, rampas, cornisas). Eco-compatible, idóneo para Greenbuilding. Tixotrópico, de fraguado semi-rápido, 40 minutos, pintable tras 4 horas.</t>
  </si>
  <si>
    <t xml:space="preserve">ma-lp-00539210</t>
  </si>
  <si>
    <t xml:space="preserve">Material</t>
  </si>
  <si>
    <t xml:space="preserve">saco</t>
  </si>
  <si>
    <t xml:space="preserve">Mortero de reparación GEOLITE 40 de KERAKOLL (25 kg/saco)   Ref. lp-00539210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</si>
  <si>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</si>
  <si>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</si>
  <si>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</si>
  <si>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</si>
  <si>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</si>
  <si>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</si>
  <si>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</si>
  <si>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</si>
  <si>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</si>
  <si>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</si>
  <si>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</si>
  <si>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</si>
  <si>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</si>
  <si>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</si>
  <si>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</si>
  <si>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</si>
  <si>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</si>
  <si>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</si>
  <si>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</si>
  <si>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</si>
  <si>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HAR010</t>
  </si>
  <si>
    <t xml:space="preserve">HAR011</t>
  </si>
  <si>
    <t xml:space="preserve">Partida</t>
  </si>
  <si>
    <t xml:space="preserve">M2</t>
  </si>
  <si>
    <t xml:space="preserve">o REPARACION ESTRUCTURAL DE HORMIGON CON MORTERO R4, WEBEREP HORMIPLUS NEO</t>
  </si>
  <si>
    <t xml:space="preserve">Aplicación manual de mortero WEBEREP HORMIPLUS NEO de 15mm de espesor, modificado con polímeros, resistencia a compresión con inhibidores de corrosión para la reparación estructural de hormigón, clase R4, según UNE-EN 1504-3, Euroclase A1 de reacción al  fuego, según UNE-EN 13501-1, en capa de 15 mm de espesor medio, para reparación y refuerzo estructural de elemento de hormigón.</t>
  </si>
  <si>
    <t xml:space="preserve">ma-om-10764054</t>
  </si>
  <si>
    <t xml:space="preserve">Material</t>
  </si>
  <si>
    <t xml:space="preserve">saco</t>
  </si>
  <si>
    <t xml:space="preserve">Mortero de reparación R4 WEBEREP HORMIPLUS NEO (25 kg/saco).   Ref: om-10764054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</si>
  <si>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</si>
  <si>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</si>
  <si>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</si>
  <si>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</si>
  <si>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</si>
  <si>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</si>
  <si>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</si>
  <si>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</si>
  <si>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</si>
  <si>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</si>
  <si>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</si>
  <si>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</si>
  <si>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</si>
  <si>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</si>
  <si>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</si>
  <si>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</si>
  <si>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</si>
  <si>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</si>
  <si>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</si>
  <si>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</si>
  <si>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HAR011</t>
  </si>
  <si>
    <t xml:space="preserve">HAR012</t>
  </si>
  <si>
    <t xml:space="preserve">Partida</t>
  </si>
  <si>
    <t xml:space="preserve">M2</t>
  </si>
  <si>
    <t xml:space="preserve">o REPARACION ESTRUCTURAL DE HORMIGON CON MORTERO R4, SIKATOP 122</t>
  </si>
  <si>
    <t xml:space="preserve">Aplicación manual de mortero SIKATOP 122 de 15mm de espesor, mortero de Reparación es un mortero de dos componentes, a base de cemento, mejorado con resinas sintéticas, humo de sílice y fibras de poliamida; de altas resistencias mecánicas, especialmente indicado para la reparación y regularización de elementos de hormigón. Cumple con los requerimientos de la clase R4 de la UNE-EN 1504-3.</t>
  </si>
  <si>
    <t xml:space="preserve">ma-s.lucia-sikatop122</t>
  </si>
  <si>
    <t xml:space="preserve">Material</t>
  </si>
  <si>
    <t xml:space="preserve">kit</t>
  </si>
  <si>
    <t xml:space="preserve">Mortero de reparación estructural R4 del hormigón bicomponente SIKATOP-122 de SIKA (28 kg de mezcla A+B/kit).   Ref. s.lucia-sikatop122</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</si>
  <si>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</si>
  <si>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</si>
  <si>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</si>
  <si>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</si>
  <si>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</si>
  <si>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</si>
  <si>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</si>
  <si>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</si>
  <si>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</si>
  <si>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</si>
  <si>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</si>
  <si>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</si>
  <si>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</si>
  <si>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</si>
  <si>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</si>
  <si>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</si>
  <si>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</si>
  <si>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</si>
  <si>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</si>
  <si>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</si>
  <si>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</si>
  <si>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</si>
  <si>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</si>
  <si>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</si>
  <si>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HAR012</t>
  </si>
  <si>
    <t xml:space="preserve">HAR013</t>
  </si>
  <si>
    <t xml:space="preserve">Partida</t>
  </si>
  <si>
    <t xml:space="preserve">M2</t>
  </si>
  <si>
    <t xml:space="preserve">o REPARACION ESTRUCTURAL DE HORMIGON CON MORTERO R3, 15MM PROPAM REPAR 30</t>
  </si>
  <si>
    <t xml:space="preserve">Aplicación manual de mortero tixotrópico PROPAM REPAR 30 de 15mm de espesor, monocomponente, compuesto por cementos especiales, áridos seleccionados, fibras y  resinas sintéticas, modificado con polímeros, reforzado con fibras, resistente a los sulfatos, de retracción compensada, Propam Repar  30 "PROPAMSA", con una resistencia a compresión a 28 días mayor o igual a 25 N/mm² y un módulo de elasticidad mayor o igual a  15000 N/mm², clase R3, tipo PCC, según UNE-EN 1504-3, Euroclase A1 de reacción al fuego, según UNE-EN 13501-1, en capa de 15  mm de espesor medio, con acabado superficial fratasado con esponja o fratás, para reparación y refuerzo estructural de  hormigón.</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</si>
  <si>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</si>
  <si>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</si>
  <si>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</si>
  <si>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</si>
  <si>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</si>
  <si>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</si>
  <si>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</si>
  <si>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</si>
  <si>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</si>
  <si>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</si>
  <si>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</si>
  <si>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</si>
  <si>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</si>
  <si>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</si>
  <si>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</si>
  <si>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</si>
  <si>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</si>
  <si>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</si>
  <si>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</si>
  <si>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</si>
  <si>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</si>
  <si>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</si>
  <si>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</si>
  <si>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</si>
  <si>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</si>
  <si>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</si>
  <si>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</si>
  <si>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</si>
  <si>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HAR013</t>
  </si>
  <si>
    <t xml:space="preserve">HAR014</t>
  </si>
  <si>
    <t xml:space="preserve">Partida</t>
  </si>
  <si>
    <t xml:space="preserve">M2</t>
  </si>
  <si>
    <t xml:space="preserve">o REPARACION ESTRUCTURAL DE HORMIGON CON MORTERO R3, 10MM SIKA MONOTOP 612</t>
  </si>
  <si>
    <t xml:space="preserve">Aplicación manual de mortero tixotrópico SIKA MONOTOP 612 de 10mm de espesor, monocomponente, compuesto por cementos especiales, áridos seleccionados, fibras y  resinas sintéticas, modificado con polímeros, reforzado con fibras, resistente a los sulfatos, de retracción compensada, con una resistencia a compresión a 28 días mayor o igual a 25 N/mm² y un módulo de elasticidad mayor o igual a  15000 N/mm², clase R3, tipo PCC, según UNE-EN 1504-3, Euroclase A1 de reacción al fuego, según UNE-EN 13501-1, en capa de 15  mm de espesor medio, con acabado superficial fratasado con esponja o fratás, para reparación y refuerzo estructural de  hormigón.</t>
  </si>
  <si>
    <t xml:space="preserve">ma-manau-92339</t>
  </si>
  <si>
    <t xml:space="preserve">Material</t>
  </si>
  <si>
    <t xml:space="preserve">saco</t>
  </si>
  <si>
    <t xml:space="preserve">Mortero de Reparación Clase R3 SIKA MONOTOP-612 de SIKA (25 kg/saco).</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</si>
  <si>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</si>
  <si>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</si>
  <si>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</si>
  <si>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</si>
  <si>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</si>
  <si>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</si>
  <si>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</si>
  <si>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</si>
  <si>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</si>
  <si>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</si>
  <si>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</si>
  <si>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</si>
  <si>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</si>
  <si>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</si>
  <si>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</si>
  <si>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</si>
  <si>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</si>
  <si>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</si>
  <si>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</si>
  <si>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</si>
  <si>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</si>
  <si>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</si>
  <si>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</si>
  <si>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</si>
  <si>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HAR014</t>
  </si>
  <si>
    <t xml:space="preserve">HAR015</t>
  </si>
  <si>
    <t xml:space="preserve">Partida</t>
  </si>
  <si>
    <t xml:space="preserve">M2</t>
  </si>
  <si>
    <t xml:space="preserve">o REPARACION ESTRUCTURAL DE HORMIGON CON MORTERO R3, 5MM SIKA MONOTOP 620</t>
  </si>
  <si>
    <t xml:space="preserve">Aplicación manual de mortero tixotrópico SIKA MONOTOP 620 de 5mm de espesor, monocomponente, compuesto por cementos especiales, áridos seleccionados, fibras y  resinas sintéticas, modificado con polímeros, reforzado con fibras, resistente a los sulfatos, de retracción compensada, con una resistencia a compresión a 28 días mayor o igual a 25 N/mm² y un módulo de elasticidad mayor o igual a  15000 N/mm², clase R3, tipo PCC, según UNE-EN 1504-3, Euroclase A1 de reacción al fuego, según UNE-EN 13501-1, en capa de 15  mm de espesor medio, con acabado superficial fratasado con esponja o fratás, para reparación y refuerzo estructural de  hormigón.</t>
  </si>
  <si>
    <t xml:space="preserve">ma-s.lucia-sikamonotop-620-gris</t>
  </si>
  <si>
    <t xml:space="preserve">Material</t>
  </si>
  <si>
    <t xml:space="preserve">saco</t>
  </si>
  <si>
    <t xml:space="preserve">Mortero de Reparación R3 en Capa Fina, Alisado y Regularización de Superficies de Hormigón SIKA MONOTOP-620 de SIKA (25 kg/saco).   Ref. s.lucia-sikamonotop-620-gris</t>
  </si>
  <si>
    <t xml:space="preserve">ma-lp-00001705</t>
  </si>
  <si>
    <t xml:space="preserve">Material</t>
  </si>
  <si>
    <t xml:space="preserve">rollo</t>
  </si>
  <si>
    <t xml:space="preserve">Malla de fibra de vidrio azul para refuerzo de morteros y revocos (rollo 50x1 m)   Ref. lp-00001705</t>
  </si>
  <si>
    <t xml:space="preserve">ma-lp-00225432</t>
  </si>
  <si>
    <t xml:space="preserve">Material</t>
  </si>
  <si>
    <t xml:space="preserve">und</t>
  </si>
  <si>
    <t xml:space="preserve">Perfil cantonera de PVC con malla de fibra de vidrio (medida de la malla: 8x12 cm.; longitud: 2,5 m)   Ref. lp-00225432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</si>
  <si>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</si>
  <si>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</si>
  <si>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</si>
  <si>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</si>
  <si>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</si>
  <si>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</si>
  <si>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</si>
  <si>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</si>
  <si>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</si>
  <si>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</si>
  <si>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</si>
  <si>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</si>
  <si>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</si>
  <si>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</si>
  <si>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</si>
  <si>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</si>
  <si>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</si>
  <si>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</si>
  <si>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</si>
  <si>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</si>
  <si>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HAR015</t>
  </si>
  <si>
    <t xml:space="preserve">HAR016</t>
  </si>
  <si>
    <t xml:space="preserve">Partida</t>
  </si>
  <si>
    <t xml:space="preserve">M</t>
  </si>
  <si>
    <t xml:space="preserve">o REPARACIÓN DE FISURAS MENORES CON PROPAM REPAR 40</t>
  </si>
  <si>
    <t xml:space="preserve">La actividad requiere un repicado en profundidad, así como el relleno del espacio abierto con mortero de reparación reforzado con malla de fibra de vidrio antiálcali. Se abrirán los labios hasta 5 cm, y se asume un espesor de relleno de 3 cm.</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</si>
  <si>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</si>
  <si>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</si>
  <si>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</si>
  <si>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</si>
  <si>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</si>
  <si>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</si>
  <si>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</si>
  <si>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</si>
  <si>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</si>
  <si>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</si>
  <si>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</si>
  <si>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</si>
  <si>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</si>
  <si>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</si>
  <si>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</si>
  <si>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</si>
  <si>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</si>
  <si>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</si>
  <si>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</si>
  <si>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</si>
  <si>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</si>
  <si>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</si>
  <si>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</si>
  <si>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</si>
  <si>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</si>
  <si>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</si>
  <si>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</si>
  <si>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</si>
  <si>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</si>
  <si>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</si>
  <si>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</si>
  <si>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</si>
  <si>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HAR016</t>
  </si>
  <si>
    <t xml:space="preserve">HAR017</t>
  </si>
  <si>
    <t xml:space="preserve">Partida</t>
  </si>
  <si>
    <t xml:space="preserve">M</t>
  </si>
  <si>
    <t xml:space="preserve">o PASIVACIÓN FONDO DE PERFIL IPN14</t>
  </si>
  <si>
    <t xml:space="preserve">PASIVACIÓN FONDO DE PERFIL IPN14</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</si>
  <si>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</si>
  <si>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</si>
  <si>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</si>
  <si>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</si>
  <si>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</si>
  <si>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</si>
  <si>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</si>
  <si>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</si>
  <si>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</si>
  <si>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</si>
  <si>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</si>
  <si>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</si>
  <si>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</si>
  <si>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</si>
  <si>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</si>
  <si>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</si>
  <si>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</si>
  <si>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</si>
  <si>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</si>
  <si>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</si>
  <si>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</si>
  <si>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</si>
  <si>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</si>
  <si>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</si>
  <si>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HAR017</t>
  </si>
  <si>
    <t xml:space="preserve">HAR018</t>
  </si>
  <si>
    <t xml:space="preserve">Partida</t>
  </si>
  <si>
    <t xml:space="preserve">M3</t>
  </si>
  <si>
    <t xml:space="preserve">o HORMIGONADO tipo HA-25/F/10/XC3</t>
  </si>
  <si>
    <t xml:space="preserve">Hormigonado del conjunto con hormigón tipo HA-25/F/10/XC3, confeccionado en obra y aligerado con arcilla expandida tipo Arlita, vertido con medios manuales, incluye la colocación de malla electrosoldada ME 15x15 Ø 8 en ambos sentidos como capa de compresión.</t>
  </si>
  <si>
    <t xml:space="preserve">ma-barcell-hle-25</t>
  </si>
  <si>
    <t xml:space="preserve">Material</t>
  </si>
  <si>
    <t xml:space="preserve">m3</t>
  </si>
  <si>
    <t xml:space="preserve">hormigón HLE-25/FL/  XC3</t>
  </si>
  <si>
    <t xml:space="preserve">ma-barcell-bomba</t>
  </si>
  <si>
    <t xml:space="preserve">Maquinaria</t>
  </si>
  <si>
    <t xml:space="preserve">ud</t>
  </si>
  <si>
    <t xml:space="preserve">Servicio de autobomba hasta 28 ml de 4 h + 1 desplazamiento y limpieza vertedero</t>
  </si>
  <si>
    <t xml:space="preserve">HAR018</t>
  </si>
  <si>
    <t xml:space="preserve">HAR019</t>
  </si>
  <si>
    <t xml:space="preserve">Partida</t>
  </si>
  <si>
    <t xml:space="preserve">M2</t>
  </si>
  <si>
    <t xml:space="preserve">o LOSA MACIZA</t>
  </si>
  <si>
    <t xml:space="preserve">Losa maciza de hormigón armado, horizontal, con altura libre de planta de hasta 3 m, canto 24 cm, realizada con hormigón HA-25/F/20/XC2 fabricado en central, y vertido con cubilote, y acero UNE-EN 10080 B 500 S, con una cuantía aproximada de 21 kg/m²;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Incluso nervios y zunchos perimetrales de planta y huecos, alambre de atar, separadores, aplicación de líquido desencofrante y agente filmógeno, para el curado de hormigones y morteros. El precio incluye la elaboración de la ferralla (corte, doblado y conformado de elementos) en taller industrial y el montaje en el lugar definitivo de su colocación en obra, pero no incluye los pilares.</t>
  </si>
  <si>
    <t xml:space="preserve">ma-lp-00222965</t>
  </si>
  <si>
    <t xml:space="preserve">Material</t>
  </si>
  <si>
    <t xml:space="preserve">und</t>
  </si>
  <si>
    <t xml:space="preserve">Tablero de encofrar tricapa de madera de abeto 1970x500x27 mm   Ref. lp-00222965</t>
  </si>
  <si>
    <t xml:space="preserve">ma-lp-00006257</t>
  </si>
  <si>
    <t xml:space="preserve">Material</t>
  </si>
  <si>
    <t xml:space="preserve">und</t>
  </si>
  <si>
    <t xml:space="preserve">Tablero MDF 2440x1220x10 mm   Ref. lp-00006257</t>
  </si>
  <si>
    <t xml:space="preserve">ma-lp-00019465</t>
  </si>
  <si>
    <t xml:space="preserve">Material</t>
  </si>
  <si>
    <t xml:space="preserve">und</t>
  </si>
  <si>
    <t xml:space="preserve">Puntal metálico telescópico P3N; 3 m Ø 48x1,6 / Ø 40x1,6   Ref. lp-00019465</t>
  </si>
  <si>
    <t xml:space="preserve">ma-lp-00001672</t>
  </si>
  <si>
    <t xml:space="preserve">Material</t>
  </si>
  <si>
    <t xml:space="preserve">pza</t>
  </si>
  <si>
    <t xml:space="preserve">Redondo acero corrugado diámetro 10 mm (3 m/pza).   Ref. lp-00001672</t>
  </si>
  <si>
    <t xml:space="preserve">ma-lp-00124026</t>
  </si>
  <si>
    <t xml:space="preserve">Material</t>
  </si>
  <si>
    <t xml:space="preserve">rollo</t>
  </si>
  <si>
    <t xml:space="preserve">Alambre de atar 1,20 mm (25 kg/rollo).   Ref. lp-00124026</t>
  </si>
  <si>
    <t xml:space="preserve">ma-lp-00001159</t>
  </si>
  <si>
    <t xml:space="preserve">Material</t>
  </si>
  <si>
    <t xml:space="preserve">saco</t>
  </si>
  <si>
    <t xml:space="preserve">Mortero seco H-25 de VALSEC (25 kg/saco).   Ref. lp-00001159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</si>
  <si>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</si>
  <si>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</si>
  <si>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</si>
  <si>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</si>
  <si>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</si>
  <si>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</si>
  <si>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</si>
  <si>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</si>
  <si>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</si>
  <si>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</si>
  <si>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</si>
  <si>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</si>
  <si>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</si>
  <si>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</si>
  <si>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</si>
  <si>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</si>
  <si>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</si>
  <si>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</si>
  <si>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</si>
  <si>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</si>
  <si>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HAR019</t>
  </si>
  <si>
    <t xml:space="preserve">HAR020</t>
  </si>
  <si>
    <t xml:space="preserve">Partida</t>
  </si>
  <si>
    <t xml:space="preserve">U</t>
  </si>
  <si>
    <t xml:space="preserve">o ANCLAJE QUIMICO</t>
  </si>
  <si>
    <t xml:space="preserve">Anclaje químico estructural, mediante perforación de 10 mm, relleno del orificio con inyección de resina epoxi, libre de estireno, y posterior inserción de varilla roscada con tuerca y arandela de acero galvanizado.</t>
  </si>
  <si>
    <t xml:space="preserve">ma-lp-00551136</t>
  </si>
  <si>
    <t xml:space="preserve">Material</t>
  </si>
  <si>
    <t xml:space="preserve">cartucho</t>
  </si>
  <si>
    <t xml:space="preserve">Anclaje/Taco químico resina epoxi sin estireno BIGMAT. cargas medias-altas (410 ml/cartucho)   Ref. lp-00551136</t>
  </si>
  <si>
    <t xml:space="preserve">ma-lp-00016912</t>
  </si>
  <si>
    <t xml:space="preserve">Material</t>
  </si>
  <si>
    <t xml:space="preserve">bolsa</t>
  </si>
  <si>
    <t xml:space="preserve">Espárrago/Varilla de inyección para anclaje químico FISCHER FIS GS; 10x165 mm (8 pzas/bolsa).   Ref. lp-00016912.</t>
  </si>
  <si>
    <t xml:space="preserve">ma-bm-10003607</t>
  </si>
  <si>
    <t xml:space="preserve">Material</t>
  </si>
  <si>
    <t xml:space="preserve">und</t>
  </si>
  <si>
    <t xml:space="preserve">Broca para hormigón SDS Plus-3 BOSCH CYL-3; 14x260 mm   Ref. bm-10003607</t>
  </si>
  <si>
    <t xml:space="preserve">ma-lp-00017168</t>
  </si>
  <si>
    <t xml:space="preserve">Material</t>
  </si>
  <si>
    <t xml:space="preserve">und</t>
  </si>
  <si>
    <t xml:space="preserve">Broca para metal BOSCH HSS-G; 12x134x205 mm   Ref. lp-00017168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</si>
  <si>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</si>
  <si>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</si>
  <si>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</si>
  <si>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</si>
  <si>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</si>
  <si>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</si>
  <si>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</si>
  <si>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</si>
  <si>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</si>
  <si>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</si>
  <si>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</si>
  <si>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</si>
  <si>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</si>
  <si>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</si>
  <si>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</si>
  <si>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</si>
  <si>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</si>
  <si>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</si>
  <si>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</si>
  <si>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</si>
  <si>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HAR020</t>
  </si>
  <si>
    <t xml:space="preserve">HAR021</t>
  </si>
  <si>
    <t xml:space="preserve">Partida</t>
  </si>
  <si>
    <t xml:space="preserve">ML</t>
  </si>
  <si>
    <t xml:space="preserve">o PERFIL GOTERON</t>
  </si>
  <si>
    <t xml:space="preserve">PERFIL GOTERON</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</si>
  <si>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</si>
  <si>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</si>
  <si>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</si>
  <si>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</si>
  <si>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</si>
  <si>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</si>
  <si>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</si>
  <si>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</si>
  <si>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</si>
  <si>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</si>
  <si>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</si>
  <si>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</si>
  <si>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</si>
  <si>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</si>
  <si>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</si>
  <si>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</si>
  <si>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</si>
  <si>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</si>
  <si>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</si>
  <si>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</si>
  <si>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</si>
  <si>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</si>
  <si>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</si>
  <si>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</si>
  <si>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HAR021</t>
  </si>
  <si>
    <t xml:space="preserve">HAR022</t>
  </si>
  <si>
    <t xml:space="preserve">Partida</t>
  </si>
  <si>
    <t xml:space="preserve">M2</t>
  </si>
  <si>
    <t xml:space="preserve">o RODEADO DE PILAR DE HORMIGON ARMADO CON FIBRA DE CARBON</t>
  </si>
  <si>
    <t xml:space="preserve">Rodeado de pilar de hormigón armado, mediante el sistema Mapewrap W "MAPEI SPAIN", formado por 1 capa de hojas de fibra de carbono unidireccional, Mapewrap C UNI-AX 300/20 W "MAPEI SPAIN", 300 g/m2, de 20 cm de 6 ancho y 20 cm de ancho 5100 MPa y elongación última 1,95%, impregnadas por ambas caras con Mapewrap 31 "MAPEI SPAIN" colocada sobre la superficie soporte de hormigón previamente imprimada con Mapewrap Primer 1 "MAPEI SPAIN", aplicada con brocha. El precio no incluye la preparación del soporte ni el revestimiento.
FASES:
Sobre pilar previamente reparado:
1.-Limpieza de la superficie y aplicación de imprimación epoxídica MAPEIWRAP PRIMERO 1.
2.-Colocación de bandas en aristas aplicadas de forma longitudinal en el eje del pilar de MAPEWRAP S FRABRIC, compuesto de tejido unidireccional de fibras de acero galvanizado de alta resistencia aplicado con adhesivo epoxídico de consistencia tixotrópica MAPEIWRAP 11 / MAPEIWRAP 12.
3.-Conexión a la base mediante porciones de MAPEWRAP S FABRIC, ancladas en la base del
pilar con fijación química epoxídica MAPEFIX EP 385 y encoladas sobre las bandas de tejido con adhesivo epoxídico, bicomponente, de consistencia tixotrópica MAPEWRAP 11 / MAPEWRAP 12.
4.-Colocación de una capa en forma de "U" de MAPEWRAP C UNI-AX, tejido unidireccional de fibra de carbono de alta resistencia y módulo elevado elástico, clase de sistema FRP 210C, aplicado con capa de regularización y encolado con adhesivo epoxídico de consistencia 1 PERA 12e impregnación en obra del tejido con adhesivo epoxídico de viscosidad media MAPEW- RAP 31. Longitud de superposición a la envoltura completa: mínimo 20 cm.
5.-Espolvorear arena de cuarzo seca a saturación sobre la superficie de la última capa de resina todavía fresca para preparar la superficie para posterior aplicación de capa de acabado.</t>
  </si>
  <si>
    <t xml:space="preserve">mt09rem020a</t>
  </si>
  <si>
    <t xml:space="preserve">Material</t>
  </si>
  <si>
    <t xml:space="preserve">kg</t>
  </si>
  <si>
    <t xml:space="preserve">Imprimación de dos componentes a base de resina epoxi, Mapewrap Primer 1 "MAPEI SPAIN", para aplicar con brocha o rodillo sobre elemento estructural a reforzar mediante hojas o laminados de fibra de carbono.</t>
  </si>
  <si>
    <t xml:space="preserve">mt09rem001n</t>
  </si>
  <si>
    <t xml:space="preserve">Material</t>
  </si>
  <si>
    <t xml:space="preserve">m²</t>
  </si>
  <si>
    <t xml:space="preserve">Hoja de fibra de carbono unidireccional, Mapewrap C UNI-AX 300/20 W "MAPEI SPAIN", 300 g/m², de 20 cm de anchura y 0,166 mm de espesor, resistencia a tracción 5100 MPa, módulo de elasticidad 245000 N/mm² y elongación última 1,95%, para refuerzo de estructuras.</t>
  </si>
  <si>
    <t xml:space="preserve">mt09rem030a</t>
  </si>
  <si>
    <t xml:space="preserve">Material</t>
  </si>
  <si>
    <t xml:space="preserve">kg</t>
  </si>
  <si>
    <t xml:space="preserve">Resina epoxi saturante, Mapewrap 31 "MAPEI SPAIN", para la aplicación con rodillo sobre soportes de hormigón o acero, en sistemas de refuerzo estructural mediante hojas de fibra de carbono, fibra de vidrio o fibra de aramida en pilares trabajando a compresión, vigas trabajando a cortante o flexión, según UNE-EN 1504-4.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</si>
  <si>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</si>
  <si>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</si>
  <si>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</si>
  <si>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</si>
  <si>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</si>
  <si>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</si>
  <si>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</si>
  <si>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</si>
  <si>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</si>
  <si>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</si>
  <si>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</si>
  <si>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</si>
  <si>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</si>
  <si>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</si>
  <si>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</si>
  <si>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</si>
  <si>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</si>
  <si>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</si>
  <si>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</si>
  <si>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</si>
  <si>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HAR022</t>
  </si>
  <si>
    <t xml:space="preserve">HAR00666</t>
  </si>
  <si>
    <t xml:space="preserve">Partida</t>
  </si>
  <si>
    <t xml:space="preserve">M2</t>
  </si>
  <si>
    <t xml:space="preserve">ENCOFRADO DE BALCON</t>
  </si>
  <si>
    <t xml:space="preserve">Montaje y desmontaje de sistema de encofrado para formación de balcón de hormigón armado, con acabado tipo industrial para revestir en su cara inferior y laterales, formado por: superficie encofrante de tablones de madera de pino, amortizables en 10 usos; y estructura soporte vertical de puntales metálicos, amortizables en 150 usos. Dejando un recubrimiento de los perfiles metálicos, de 4 cm. Incluso líquido desencofrante, para evitar la adherencia del hormigón al encofrado, y colocación de moldura de poliestireno o similar en perímetro de balcón siguiendo la geometría del modelo original.</t>
  </si>
  <si>
    <t xml:space="preserve">ma-lp-00222965</t>
  </si>
  <si>
    <t xml:space="preserve">Material</t>
  </si>
  <si>
    <t xml:space="preserve">und</t>
  </si>
  <si>
    <t xml:space="preserve">Tablero de encofrar tricapa de madera de abeto 1970x500x27 mm   Ref. lp-00222965</t>
  </si>
  <si>
    <t xml:space="preserve">ma-lp-00006257</t>
  </si>
  <si>
    <t xml:space="preserve">Material</t>
  </si>
  <si>
    <t xml:space="preserve">und</t>
  </si>
  <si>
    <t xml:space="preserve">Tablero MDF 2440x1220x10 mm   Ref. lp-00006257</t>
  </si>
  <si>
    <t xml:space="preserve">ma-lp-00019465</t>
  </si>
  <si>
    <t xml:space="preserve">Material</t>
  </si>
  <si>
    <t xml:space="preserve">und</t>
  </si>
  <si>
    <t xml:space="preserve">Puntal metálico telescópico P3N; 3 m Ø 48x1,6 / Ø 40x1,6   Ref. lp-00019465</t>
  </si>
  <si>
    <t xml:space="preserve">ma-lp-00124026</t>
  </si>
  <si>
    <t xml:space="preserve">Material</t>
  </si>
  <si>
    <t xml:space="preserve">rollo</t>
  </si>
  <si>
    <t xml:space="preserve">Alambre de atar 1,20 mm (25 kg/rollo).   Ref. lp-00124026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</si>
  <si>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</si>
  <si>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</si>
  <si>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</si>
  <si>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</si>
  <si>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</si>
  <si>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</si>
  <si>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</si>
  <si>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</si>
  <si>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</si>
  <si>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</si>
  <si>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</si>
  <si>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</si>
  <si>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</si>
  <si>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</si>
  <si>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</si>
  <si>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</si>
  <si>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</si>
  <si>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</si>
  <si>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</si>
  <si>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</si>
  <si>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HAR00666</t>
  </si>
  <si>
    <t xml:space="preserve">STCH101-BALCON-02</t>
  </si>
  <si>
    <t xml:space="preserve">Partida</t>
  </si>
  <si>
    <t xml:space="preserve">und</t>
  </si>
  <si>
    <t xml:space="preserve">Nuevo Balcón 4,70 m2</t>
  </si>
  <si>
    <t xml:space="preserve">Partida opcional según balcón. Derribo completo de balcón de 4.7m2. El nuevo balcón se ejecutará según detalle con estructura metálica de mensulas ancladas con tacos químicos en fachada y estructura de ladrillo y capa de compresión, según plano detalle. Incluye todos los acabados con enlucido de mortero de cal.</t>
  </si>
  <si>
    <t xml:space="preserve">DEM-MAN-ALICATADO-PETREO-AT</t>
  </si>
  <si>
    <t xml:space="preserve">Partida</t>
  </si>
  <si>
    <t xml:space="preserve">m2</t>
  </si>
  <si>
    <t xml:space="preserve">XXXX DEMOLICIÓN A MANO DE ALICATADOS EN BALDOSAS HIDRÁULICAS O PÉTREAS MEDIANTE EL USO DE ANDAMIO TUBULAR</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</si>
  <si>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</si>
  <si>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</si>
  <si>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</si>
  <si>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</si>
  <si>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</si>
  <si>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</si>
  <si>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</si>
  <si>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DEM-MAN-ALICATADO-PETREO-AT</t>
  </si>
  <si>
    <t xml:space="preserve">DEM-SOLERAS-02</t>
  </si>
  <si>
    <t xml:space="preserve">Partida</t>
  </si>
  <si>
    <t xml:space="preserve">m2</t>
  </si>
  <si>
    <t xml:space="preserve">XXXX DEMOLICIÓN A MÁQUINA CON EQUIPO PESADO DE SOLERA DE HORMIGÓN ARMADO (e=20 cm)</t>
  </si>
  <si>
    <t xml:space="preserve">alq-martillo.neum.rompedor-ra-01</t>
  </si>
  <si>
    <t xml:space="preserve">Maquinaria</t>
  </si>
  <si>
    <t xml:space="preserve">h</t>
  </si>
  <si>
    <t xml:space="preserve">Alquiler de Martillo Neumático Rompedor 24 kg (Longitud 686 mm; Consumo de Aire: 1,25 m3).   Ref. RENTAIRE</t>
  </si>
  <si>
    <t xml:space="preserve">alq-martillo.neum.picador-ra-01</t>
  </si>
  <si>
    <t xml:space="preserve">Maquinaria</t>
  </si>
  <si>
    <t xml:space="preserve">h</t>
  </si>
  <si>
    <t xml:space="preserve">Alquiler de Martillo Neumático Picador 10 kg (Longitud 490 mm; Consumo de Aire: 0,95 m3).   Ref. RENTAIRE</t>
  </si>
  <si>
    <t xml:space="preserve">alq-compresor-ra-01</t>
  </si>
  <si>
    <t xml:space="preserve">Maquinaria</t>
  </si>
  <si>
    <t xml:space="preserve">h</t>
  </si>
  <si>
    <t xml:space="preserve">Alquiler de Compresor Móvil 4litros/8kg presión, Caudal 4.000 LPM, Peso 1.025 kg.   Ref. RENTAIRE</t>
  </si>
  <si>
    <t xml:space="preserve">alq-soplete-mym-01</t>
  </si>
  <si>
    <t xml:space="preserve">Maquinaria</t>
  </si>
  <si>
    <t xml:space="preserve">h</t>
  </si>
  <si>
    <t xml:space="preserve">Alquiler de Equipo de Oxi-Corte.   Ref. MÁQUINAS Y MÁQUINAS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</si>
  <si>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</si>
  <si>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</si>
  <si>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</si>
  <si>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</si>
  <si>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</si>
  <si>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</si>
  <si>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</si>
  <si>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DEM-SOLERAS-02</t>
  </si>
  <si>
    <t xml:space="preserve">GES02-RAFIA.3.USOS</t>
  </si>
  <si>
    <t xml:space="preserve">Partida</t>
  </si>
  <si>
    <t xml:space="preserve">m3</t>
  </si>
  <si>
    <t xml:space="preserve">GESTIÓN DE RESIDUOS BIG BAG 1 m3 (3 Usos/Saco de Rafia)</t>
  </si>
  <si>
    <t xml:space="preserve">BIGBAG01</t>
  </si>
  <si>
    <t xml:space="preserve">Material</t>
  </si>
  <si>
    <t xml:space="preserve">saco</t>
  </si>
  <si>
    <t xml:space="preserve">Big Bag runa 1m3</t>
  </si>
  <si>
    <t xml:space="preserve">ma-lp-00019688</t>
  </si>
  <si>
    <t xml:space="preserve">Material</t>
  </si>
  <si>
    <t xml:space="preserve">und</t>
  </si>
  <si>
    <t xml:space="preserve">Saco de rafia para materiales y escombros; 50x90 cm    Ref. lp-00019688</t>
  </si>
  <si>
    <t xml:space="preserve">moc-std1-generico</t>
  </si>
  <si>
    <t xml:space="preserve">Partida</t>
  </si>
  <si>
    <t xml:space="preserve">h</t>
  </si>
  <si>
    <t xml:space="preserve">Cuadrilla Std1 - 1 Oficial de 1ª, 1 Ayudante y 1/5 Ayudante</t>
  </si>
  <si>
    <t xml:space="preserve">B%</t>
  </si>
  <si>
    <t xml:space="preserve">%</t>
  </si>
  <si>
    <t xml:space="preserve">Gestión del Certificado de Residuos</t>
  </si>
  <si>
    <t xml:space="preserve">GES02-RAFIA.3.USOS</t>
  </si>
  <si>
    <t xml:space="preserve">ma-hierromiguel-IPN160</t>
  </si>
  <si>
    <t xml:space="preserve">Material</t>
  </si>
  <si>
    <t xml:space="preserve">kg</t>
  </si>
  <si>
    <t xml:space="preserve">Perfil de acero estructural tipo IPN 160 mm (17,90 kg/m).   Ref. hierromiguel-IPN160</t>
  </si>
  <si>
    <t xml:space="preserve">STCH101-BALCON-02</t>
  </si>
  <si>
    <t xml:space="preserve">STCH101-BALCON-01</t>
  </si>
  <si>
    <t xml:space="preserve">Partida</t>
  </si>
  <si>
    <t xml:space="preserve">und</t>
  </si>
  <si>
    <t xml:space="preserve">Nueva capa de compresión en balcones, a partir de mallado de acero D6 c20cm BS500 y negativos anclados con HILTI HAS D12 en fachada (3 cada m2). Posterior aplicación de capa de compresión de 5cm con su encofrado perimetral y refuerzos grifados en canto de balcón (Balcón de 4,70 m2).</t>
  </si>
  <si>
    <t xml:space="preserve">Nueva capa de compresión en balcones, a partir de mallado de acero D6 c20cm BS500 y negativos anclados con HILTI HAS D12 en fachada (3 cada m2). Posterior aplicación de capa de compresión de 5cm con su encofrado perimetral y refuerzos grifados en canto de balcón.(Balcón de 4,70 m2)</t>
  </si>
  <si>
    <t xml:space="preserve">ma-lp-00001673</t>
  </si>
  <si>
    <t xml:space="preserve">Material</t>
  </si>
  <si>
    <t xml:space="preserve">pza</t>
  </si>
  <si>
    <t xml:space="preserve">Redondo acero corrugado diámetro 12 mm (3 m/pza).   Ref. lp-00001673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</si>
  <si>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</si>
  <si>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</si>
  <si>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</si>
  <si>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</si>
  <si>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</si>
  <si>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</si>
  <si>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</si>
  <si>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</si>
  <si>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ma-lp-00001179</t>
  </si>
  <si>
    <t xml:space="preserve">Material</t>
  </si>
  <si>
    <t xml:space="preserve">pza</t>
  </si>
  <si>
    <t xml:space="preserve">Mallazo de acero corrugado electrosoldado; cuadrícula de 20x20 cm, diámetro 5 mm (3x2,5 m/pza).   Ref. lp-00001179</t>
  </si>
  <si>
    <t xml:space="preserve">ma-lp-00540914</t>
  </si>
  <si>
    <t xml:space="preserve">Material</t>
  </si>
  <si>
    <t xml:space="preserve">saco</t>
  </si>
  <si>
    <t xml:space="preserve">Mortero de reparación y pasivante MAPEFER 1K (5 kg/saco)   Ref. lp-00540914</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</si>
  <si>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</si>
  <si>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</si>
  <si>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</si>
  <si>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</si>
  <si>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</si>
  <si>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</si>
  <si>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</si>
  <si>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</si>
  <si>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ma-lp-00001603A</t>
  </si>
  <si>
    <t xml:space="preserve">Material</t>
  </si>
  <si>
    <t xml:space="preserve">saco</t>
  </si>
  <si>
    <t xml:space="preserve">Mortero seco para aplicaciones en albañilería M-7,5 VALSEC; color gris (25 kg/saco)   Ref. lp-00001603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</si>
  <si>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</si>
  <si>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</si>
  <si>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</si>
  <si>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</si>
  <si>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</si>
  <si>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</si>
  <si>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</si>
  <si>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</si>
  <si>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</si>
  <si>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</si>
  <si>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</si>
  <si>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</si>
  <si>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</si>
  <si>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</si>
  <si>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</si>
  <si>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</si>
  <si>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</si>
  <si>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</si>
  <si>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</si>
  <si>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</si>
  <si>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</si>
  <si>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</si>
  <si>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</si>
  <si>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</si>
  <si>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</si>
  <si>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</si>
  <si>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</si>
  <si>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</si>
  <si>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STCH101-BALCON-01</t>
  </si>
  <si>
    <t xml:space="preserve">STRCHA12</t>
  </si>
  <si>
    <t xml:space="preserve">Partida</t>
  </si>
  <si>
    <t xml:space="preserve">M2</t>
  </si>
  <si>
    <t xml:space="preserve">XXXXXX LIMPIEZA AIRE A PRESION EN FACHADA</t>
  </si>
  <si>
    <t xml:space="preserve">LIMPIEZA AIRE A PRESION EN FACHADA</t>
  </si>
  <si>
    <t xml:space="preserve">car1</t>
  </si>
  <si>
    <t xml:space="preserve">Material</t>
  </si>
  <si>
    <t xml:space="preserve">h</t>
  </si>
  <si>
    <t xml:space="preserve">Equipo de chorro de agua a presion</t>
  </si>
  <si>
    <t xml:space="preserve">m.o.1</t>
  </si>
  <si>
    <t xml:space="preserve">Mano de obra</t>
  </si>
  <si>
    <t xml:space="preserve">h</t>
  </si>
  <si>
    <t xml:space="preserve">Mano de Obra: 1 Oficial de 1ª, 1 Ayudante y 1/2 Ayudante</t>
  </si>
  <si>
    <t xml:space="preserve">STRCHA12</t>
  </si>
  <si>
    <t xml:space="preserve">STRCHA13</t>
  </si>
  <si>
    <t xml:space="preserve">Partida</t>
  </si>
  <si>
    <t xml:space="preserve">ML</t>
  </si>
  <si>
    <t xml:space="preserve">XXXXXX LIMPIEZA AIRE A PRESION EN FRENTE DE FORJADO</t>
  </si>
  <si>
    <t xml:space="preserve">LIMPIEZA AIRE A PRESION EN FRENTE DE FORJADO</t>
  </si>
  <si>
    <t xml:space="preserve">car1</t>
  </si>
  <si>
    <t xml:space="preserve">Material</t>
  </si>
  <si>
    <t xml:space="preserve">h</t>
  </si>
  <si>
    <t xml:space="preserve">Equipo de chorro de agua a presion</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</si>
  <si>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</si>
  <si>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</si>
  <si>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</si>
  <si>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</si>
  <si>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</si>
  <si>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</si>
  <si>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</si>
  <si>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</si>
  <si>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</si>
  <si>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</si>
  <si>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</si>
  <si>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</si>
  <si>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</si>
  <si>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</si>
  <si>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</si>
  <si>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</si>
  <si>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</si>
  <si>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STRCHA13</t>
  </si>
  <si>
    <t xml:space="preserve">STRCHA18</t>
  </si>
  <si>
    <t xml:space="preserve">Partida</t>
  </si>
  <si>
    <t xml:space="preserve">M2</t>
  </si>
  <si>
    <t xml:space="preserve">XXXXXX PREPARACION DE SUPERFICIE DE HORMIGON ESTRUCTURAL, CON MEDIOS MANUALES</t>
  </si>
  <si>
    <t xml:space="preserve">Preparación de superficie de hormigón estructural, para la posterior aplicación de productos reparadores y protectores, mediante cepillado con cepillo de púas de acero, hasta eliminar una capa de 2 mm de espesor, y carga manual de los restos generados sobre camión o contenedor.</t>
  </si>
  <si>
    <t xml:space="preserve">m.o.1</t>
  </si>
  <si>
    <t xml:space="preserve">Mano de obra</t>
  </si>
  <si>
    <t xml:space="preserve">h</t>
  </si>
  <si>
    <t xml:space="preserve">Mano de Obra: 1 Oficial de 1ª, 1 Ayudante y 1/2 Ayudante</t>
  </si>
  <si>
    <t xml:space="preserve">STRCHA18</t>
  </si>
  <si>
    <t xml:space="preserve">STRCHA19</t>
  </si>
  <si>
    <t xml:space="preserve">Partida</t>
  </si>
  <si>
    <t xml:space="preserve">m</t>
  </si>
  <si>
    <t xml:space="preserve">XXXXXX PASIVACIÓN "MAPEFER/MAPEI" DE ARMADURA AL DESCUBIERTO EN CANTO DE FORJADO O VIGA DE CUELGUE (h &lt;= 30 cm); NO INCLUYE REFUERZO METÁLICO</t>
  </si>
  <si>
    <t xml:space="preserve">Aplicación manual de pasivacion Mapefer de mapei,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</si>
  <si>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</si>
  <si>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</si>
  <si>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</si>
  <si>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</si>
  <si>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</si>
  <si>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</si>
  <si>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</si>
  <si>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</si>
  <si>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</si>
  <si>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</si>
  <si>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</si>
  <si>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</si>
  <si>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</si>
  <si>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</si>
  <si>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</si>
  <si>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</si>
  <si>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</si>
  <si>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</si>
  <si>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</si>
  <si>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</si>
  <si>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</si>
  <si>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</si>
  <si>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</si>
  <si>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</si>
  <si>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</si>
  <si>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</si>
  <si>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</si>
  <si>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</si>
  <si>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</si>
  <si>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</si>
  <si>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</si>
  <si>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</si>
  <si>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STRCHA19</t>
  </si>
  <si>
    <t xml:space="preserve">DEM01-ELIMINAR</t>
  </si>
  <si>
    <t xml:space="preserve">Partida</t>
  </si>
  <si>
    <t xml:space="preserve">M2</t>
  </si>
  <si>
    <t xml:space="preserve">XXXXXX REPICADO DE ENFOSCADO</t>
  </si>
  <si>
    <t xml:space="preserve">Repicado de enfoscado de cemento, aplicado sobre paramento vertical de hasta 3 m de altura, con medios manuales, sin deteriorar la superficie soporte, que quedará al descubierto y preparada para su posterior revestimiento, y carga manual sobre camión o contenedor.</t>
  </si>
  <si>
    <t xml:space="preserve">m.o.1</t>
  </si>
  <si>
    <t xml:space="preserve">Mano de obra</t>
  </si>
  <si>
    <t xml:space="preserve">h</t>
  </si>
  <si>
    <t xml:space="preserve">Mano de Obra: 1 Oficial de 1ª, 1 Ayudante y 1/2 Ayudante</t>
  </si>
  <si>
    <t xml:space="preserve">DEM01-ELIMINAR</t>
  </si>
  <si>
    <t xml:space="preserve">ENCACHADO.MANUAL-GRAVILLA-10cm</t>
  </si>
  <si>
    <t xml:space="preserve">Partida</t>
  </si>
  <si>
    <t xml:space="preserve">m2</t>
  </si>
  <si>
    <t xml:space="preserve">XXXXXX ENCACHADO A MANO PARA BASE DE SOLERA O LECHO DE TUBERÍA CON GRAVILLA</t>
  </si>
  <si>
    <t xml:space="preserve">ENCACHADO A MANO PARA BASE DE SOLERA O LECHO DE TUBERÍA CON GRAVILLA</t>
  </si>
  <si>
    <t xml:space="preserve">ma-lp-00001630</t>
  </si>
  <si>
    <t xml:space="preserve">Material</t>
  </si>
  <si>
    <t xml:space="preserve">saco</t>
  </si>
  <si>
    <t xml:space="preserve">Grava gravilla fina (6/20) LA PLATAFORMA (15 kg/saco).   Ref. lp-00001630</t>
  </si>
  <si>
    <t xml:space="preserve">alq-pison.compactador-mym-68kg</t>
  </si>
  <si>
    <t xml:space="preserve">Maquinaria</t>
  </si>
  <si>
    <t xml:space="preserve">h</t>
  </si>
  <si>
    <t xml:space="preserve">Alquiler de Pisón-Compactador - Motor 3HO 68 kg.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</si>
  <si>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</si>
  <si>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</si>
  <si>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</si>
  <si>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</si>
  <si>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</si>
  <si>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</si>
  <si>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</si>
  <si>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</si>
  <si>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</si>
  <si>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</si>
  <si>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</si>
  <si>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</si>
  <si>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</si>
  <si>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</si>
  <si>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</si>
  <si>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</si>
  <si>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</si>
  <si>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ENCACHADO.MANUAL-GRAVILLA-10cm</t>
  </si>
  <si>
    <t xml:space="preserve">FACHYP-CANTO.FORJA-SR-AT</t>
  </si>
  <si>
    <t xml:space="preserve">Partida</t>
  </si>
  <si>
    <t xml:space="preserve">m</t>
  </si>
  <si>
    <t xml:space="preserve">RESTABLECIMIENTO DE CANTO DE FORJADO Y VIGAS DE CUELGUE, INCLUYENDO LA RECUPERACIÓN DE VOLÚMENES Y ARISTAS CON MORTERO DE REPARACIÓN TIXOTRÓPICO A BASE DE CEMENTO, Y EXCLUYE LA RESTAURACIÓN DE ARMADURA DE REFUERZO; MEDIANTE EL USO DE ANDAMIO TUBULAR</t>
  </si>
  <si>
    <t xml:space="preserve">Restablecimiento de canto de forjado y vigas de cuelgue, incluyendo la recuperación de volúmenes y aristas con mortero de reparación tixotrópico a base de cemento, y excluye la restauración de armadura de refuerzo; mediante el uso de andamio tubular</t>
  </si>
  <si>
    <t xml:space="preserve">ma-lp-00001705</t>
  </si>
  <si>
    <t xml:space="preserve">Material</t>
  </si>
  <si>
    <t xml:space="preserve">rollo</t>
  </si>
  <si>
    <t xml:space="preserve">Malla de fibra de vidrio azul para refuerzo de morteros y revocos (rollo 50x1 m)   Ref. lp-00001705</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</si>
  <si>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</si>
  <si>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</si>
  <si>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</si>
  <si>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</si>
  <si>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</si>
  <si>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</si>
  <si>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</si>
  <si>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</si>
  <si>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</si>
  <si>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</si>
  <si>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</si>
  <si>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</si>
  <si>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</si>
  <si>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</si>
  <si>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</si>
  <si>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</si>
  <si>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</si>
  <si>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</si>
  <si>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</si>
  <si>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</si>
  <si>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</si>
  <si>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</si>
  <si>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</si>
  <si>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</si>
  <si>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</si>
  <si>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</si>
  <si>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</si>
  <si>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</si>
  <si>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</si>
  <si>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</si>
  <si>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</si>
  <si>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</si>
  <si>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</si>
  <si>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</si>
  <si>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</si>
  <si>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</si>
  <si>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FACHYP-CANTO.FORJA-SR-AT</t>
  </si>
  <si>
    <t xml:space="preserve">REVPINT-ACRILSILOXANO-V-MS</t>
  </si>
  <si>
    <t xml:space="preserve">Partida</t>
  </si>
  <si>
    <t xml:space="preserve">m2</t>
  </si>
  <si>
    <t xml:space="preserve">XXXXXX PINTURA ACRILSILOXÁNICA EN PARAMENTOS VERTICALES DE FACHADAS CON PRODUCTO "REVETÓN ABSYDE"; MEDIANTE USO DE MEDIO SUSPENDIDO/COLGADO</t>
  </si>
  <si>
    <t xml:space="preserve">Pintura acrilsiloxánica en paramentos verticales de fachadas con producto "REVETÓN ABSYDE"; mediante uso de medio suspendido/colgado.</t>
  </si>
  <si>
    <t xml:space="preserve">ma-bricosyl-01</t>
  </si>
  <si>
    <t xml:space="preserve">Material</t>
  </si>
  <si>
    <t xml:space="preserve">bidón</t>
  </si>
  <si>
    <t xml:space="preserve">Pintura acrilsiloxánica para fachadas REVETÓN ABSYDE; color blanco y acabado mate. (15 litros/bidón).   Ref. bricosyl-01</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</si>
  <si>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</si>
  <si>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</si>
  <si>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</si>
  <si>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</si>
  <si>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</si>
  <si>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</si>
  <si>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</si>
  <si>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</si>
  <si>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</si>
  <si>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</si>
  <si>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</si>
  <si>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</si>
  <si>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</si>
  <si>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</si>
  <si>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</si>
  <si>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</si>
  <si>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</si>
  <si>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</si>
  <si>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</si>
  <si>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</si>
  <si>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REVPINT-ACRILSILOXANO-V-MS</t>
  </si>
  <si>
    <t xml:space="preserve">STRCHA18-MNR-BTP-PIE.BRD</t>
  </si>
  <si>
    <t xml:space="preserve">Partida</t>
  </si>
  <si>
    <t xml:space="preserve">pto</t>
  </si>
  <si>
    <t xml:space="preserve">XXXXXX PASIVACIÓN "BETOPRIM/PROPAMSA" DE PERFILES DE APOYO DE BARANDILLA AL DESCUBIERTO; NO INCLUYE REFUERZO METÁLICO COMPLEMENTARIO</t>
  </si>
  <si>
    <t xml:space="preserve">PASIVACIÓN "BETOPRIM/PROPAMSA" DE PERFILES DE APOYO DE BARANDILLA AL DESCUBIERTO; NO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</si>
  <si>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</si>
  <si>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</si>
  <si>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</si>
  <si>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</si>
  <si>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</si>
  <si>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</si>
  <si>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</si>
  <si>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</si>
  <si>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</si>
  <si>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</si>
  <si>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</si>
  <si>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</si>
  <si>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</si>
  <si>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</si>
  <si>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</si>
  <si>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</si>
  <si>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</si>
  <si>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</si>
  <si>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</si>
  <si>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</si>
  <si>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</si>
  <si>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</si>
  <si>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</si>
  <si>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</si>
  <si>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</si>
  <si>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</si>
  <si>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</si>
  <si>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</si>
  <si>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</si>
  <si>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</si>
  <si>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</si>
  <si>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</si>
  <si>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STRCHA18-MNR-BTP-PIE.BRD</t>
  </si>
  <si>
    <t xml:space="preserve">STRCHA03-MNR-H-MPF-SR</t>
  </si>
  <si>
    <t xml:space="preserve">Partida</t>
  </si>
  <si>
    <t xml:space="preserve">m2</t>
  </si>
  <si>
    <t xml:space="preserve">XXXXXX PASIVACIÓN "MAPEFER/MAPEI" DE ARMADURA AL DESCUBIERTO EN FONDO DE LOSA; NO INCLUYE REFUERZO METÁLICO COMPLEMENTARIO</t>
  </si>
  <si>
    <t xml:space="preserve">PASIVACIÓN "MAPEFER/MAPEI" DE ARMADURA AL DESCUBIERTO EN FONDO DE LOSA; NO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</si>
  <si>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</si>
  <si>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</si>
  <si>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</si>
  <si>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</si>
  <si>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</si>
  <si>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</si>
  <si>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</si>
  <si>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</si>
  <si>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</si>
  <si>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</si>
  <si>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</si>
  <si>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</si>
  <si>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</si>
  <si>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</si>
  <si>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</si>
  <si>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</si>
  <si>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</si>
  <si>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</si>
  <si>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</si>
  <si>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</si>
  <si>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</si>
  <si>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</si>
  <si>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</si>
  <si>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</si>
  <si>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</si>
  <si>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</si>
  <si>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</si>
  <si>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</si>
  <si>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</si>
  <si>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</si>
  <si>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</si>
  <si>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</si>
  <si>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STRCHA03-MNR-H-MPF-SR</t>
  </si>
  <si>
    <t xml:space="preserve">STRCHA03-MNR-V-MPF-SR-50</t>
  </si>
  <si>
    <t xml:space="preserve">Partida</t>
  </si>
  <si>
    <t xml:space="preserve">m</t>
  </si>
  <si>
    <t xml:space="preserve">XXXXXX PASIVACIÓN "MAPEFER/MAPEI" DE ARMADURA AL DESCUBIERTO EN CANTO DE FORJADO O VIGA DE CUELGUE (30 cm &lt; h &lt;= 50 cm); NO INCLUYE REFUERZO METÁLICO COMPLEMENTARIO</t>
  </si>
  <si>
    <t xml:space="preserve">PASIVACIÓN "MAPEFER/MAPEI" DE ARMADURA AL DESCUBIERTO EN CANTO DE FORJADO O VIGA DE CUELGUE (30 cm &lt; h &lt;= 50 cm); NO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</si>
  <si>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</si>
  <si>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</si>
  <si>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</si>
  <si>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</si>
  <si>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</si>
  <si>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</si>
  <si>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</si>
  <si>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</si>
  <si>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</si>
  <si>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</si>
  <si>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</si>
  <si>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</si>
  <si>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</si>
  <si>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</si>
  <si>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</si>
  <si>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</si>
  <si>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</si>
  <si>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</si>
  <si>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</si>
  <si>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</si>
  <si>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</si>
  <si>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</si>
  <si>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</si>
  <si>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</si>
  <si>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</si>
  <si>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</si>
  <si>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</si>
  <si>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</si>
  <si>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</si>
  <si>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</si>
  <si>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</si>
  <si>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</si>
  <si>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STRCHA03-MNR-V-MPF-SR-50</t>
  </si>
  <si>
    <t xml:space="preserve">STRCHA03-MNR-H-MPF-CR</t>
  </si>
  <si>
    <t xml:space="preserve">Partida</t>
  </si>
  <si>
    <t xml:space="preserve">m2</t>
  </si>
  <si>
    <t xml:space="preserve">XXXXXX PASIVACIÓN "MAPEFER/MAPEI" DE ARMADURA AL DESCUBIERTO EN FONDO DE LOSA; INCLUYE REFUERZO METÁLICO COMPLEMENTARIO</t>
  </si>
  <si>
    <t xml:space="preserve">PASIVACIÓN "MAPEFER/MAPEI" DE ARMADURA AL DESCUBIERTO EN FONDO DE LOSA;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</si>
  <si>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</si>
  <si>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</si>
  <si>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</si>
  <si>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</si>
  <si>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</si>
  <si>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</si>
  <si>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</si>
  <si>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</si>
  <si>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ma-lp-00001673</t>
  </si>
  <si>
    <t xml:space="preserve">Material</t>
  </si>
  <si>
    <t xml:space="preserve">pza</t>
  </si>
  <si>
    <t xml:space="preserve">Redondo acero corrugado diámetro 12 mm (3 m/pza).   Ref. lp-00001673</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</si>
  <si>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</si>
  <si>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</si>
  <si>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</si>
  <si>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</si>
  <si>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</si>
  <si>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</si>
  <si>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</si>
  <si>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</si>
  <si>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</si>
  <si>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</si>
  <si>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</si>
  <si>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</si>
  <si>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</si>
  <si>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</si>
  <si>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</si>
  <si>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</si>
  <si>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</si>
  <si>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</si>
  <si>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</si>
  <si>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</si>
  <si>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</si>
  <si>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</si>
  <si>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</si>
  <si>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</si>
  <si>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</si>
  <si>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</si>
  <si>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</si>
  <si>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</si>
  <si>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</si>
  <si>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</si>
  <si>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</si>
  <si>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</si>
  <si>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STRCHA03-MNR-H-MPF-CR</t>
  </si>
  <si>
    <t xml:space="preserve">STRCHA03-MNR-V-MPF-CR-30</t>
  </si>
  <si>
    <t xml:space="preserve">Partida</t>
  </si>
  <si>
    <t xml:space="preserve">m</t>
  </si>
  <si>
    <t xml:space="preserve">XXXXXX PASIVACIÓN "MAPEFER/MAPEI" DE ARMADURA AL DESCUBIERTO EN CANTO DE FORJADO O VIGA DE CUELGUE (h &lt; 30 cm); INCLUYE REFUERZO METÁLICO COMPLEMENTARIO</t>
  </si>
  <si>
    <t xml:space="preserve">PASIVACIÓN "MAPEFER/MAPEI" DE ARMADURA AL DESCUBIERTO EN CANTO DE FORJADO O VIGA DE CUELGUE;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</si>
  <si>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</si>
  <si>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</si>
  <si>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</si>
  <si>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</si>
  <si>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</si>
  <si>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</si>
  <si>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</si>
  <si>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</si>
  <si>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ma-lp-00277865</t>
  </si>
  <si>
    <t xml:space="preserve">Material</t>
  </si>
  <si>
    <t xml:space="preserve">pza</t>
  </si>
  <si>
    <t xml:space="preserve">Redondo acero corrugado diámetro 10 mm (2 m/pza)   Ref. lp-00277865</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</si>
  <si>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</si>
  <si>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</si>
  <si>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</si>
  <si>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</si>
  <si>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</si>
  <si>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</si>
  <si>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</si>
  <si>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</si>
  <si>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</si>
  <si>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</si>
  <si>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</si>
  <si>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</si>
  <si>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</si>
  <si>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</si>
  <si>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</si>
  <si>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</si>
  <si>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</si>
  <si>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</si>
  <si>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</si>
  <si>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</si>
  <si>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</si>
  <si>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</si>
  <si>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</si>
  <si>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</si>
  <si>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</si>
  <si>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</si>
  <si>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</si>
  <si>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</si>
  <si>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</si>
  <si>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</si>
  <si>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</si>
  <si>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</si>
  <si>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STRCHA03-MNR-V-MPF-CR-30</t>
  </si>
  <si>
    <t xml:space="preserve">STRCHA03-MNR-V-MPF-CR-50</t>
  </si>
  <si>
    <t xml:space="preserve">Partida</t>
  </si>
  <si>
    <t xml:space="preserve">m</t>
  </si>
  <si>
    <t xml:space="preserve">XXXXXX PASIVACIÓN "MAPEFER/MAPEI" DE ARMADURA AL DESCUBIERTO EN CANTO DE FORJADO O VIGA DE CUELGUE (30 cm &lt; h &lt;= 50 cm); INCLUYE REFUERZO METÁLICO COMPLEMENTARIO</t>
  </si>
  <si>
    <t xml:space="preserve">PASIVACIÓN "MAPEFER/MAPEI" DE ARMADURA AL DESCUBIERTO EN CANTO DE FORJADO O VIGA DE CUELGUE (30 cm &lt; h &lt;= 50 cm);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</si>
  <si>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</si>
  <si>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</si>
  <si>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</si>
  <si>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</si>
  <si>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</si>
  <si>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</si>
  <si>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</si>
  <si>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</si>
  <si>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ma-lp-00277865</t>
  </si>
  <si>
    <t xml:space="preserve">Material</t>
  </si>
  <si>
    <t xml:space="preserve">pza</t>
  </si>
  <si>
    <t xml:space="preserve">Redondo acero corrugado diámetro 10 mm (2 m/pza)   Ref. lp-00277865</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</si>
  <si>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</si>
  <si>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</si>
  <si>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</si>
  <si>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</si>
  <si>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</si>
  <si>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</si>
  <si>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</si>
  <si>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</si>
  <si>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ma-lp-00540914</t>
  </si>
  <si>
    <t xml:space="preserve">Material</t>
  </si>
  <si>
    <t xml:space="preserve">saco</t>
  </si>
  <si>
    <t xml:space="preserve">Mortero de reparación y pasivante MAPEFER 1K (5 kg/saco)   Ref. lp-00540914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</si>
  <si>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</si>
  <si>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</si>
  <si>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</si>
  <si>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</si>
  <si>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</si>
  <si>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</si>
  <si>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</si>
  <si>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</si>
  <si>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</si>
  <si>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</si>
  <si>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</si>
  <si>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</si>
  <si>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</si>
  <si>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</si>
  <si>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</si>
  <si>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</si>
  <si>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</si>
  <si>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</si>
  <si>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</si>
  <si>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</si>
  <si>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STRCHA03-MNR-V-MPF-CR-50</t>
  </si>
  <si>
    <t xml:space="preserve">STRCHA03-MNR-V-BTP-SR-30</t>
  </si>
  <si>
    <t xml:space="preserve">Partida</t>
  </si>
  <si>
    <t xml:space="preserve">m</t>
  </si>
  <si>
    <t xml:space="preserve">XXXXXX PASIVACIÓN "BETOPRIM/PROPAMSA" DE ARMADURA AL DESCUBIERTO EN CANTO DE FORJADO O VIGA DE CUELGUE (h &lt;= 30 cm); NO INCLUYE REFUERZO METÁLICO COMPLEMENTARIO</t>
  </si>
  <si>
    <t xml:space="preserve">PASIVACIÓN "BETOPRIM/PROPAMSA" DE ARMADURA AL DESCUBIERTO EN CANTO DE FORJADO O VIGA DE CUELGUE (h &lt;= 30 cm); NO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</si>
  <si>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</si>
  <si>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</si>
  <si>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</si>
  <si>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</si>
  <si>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</si>
  <si>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</si>
  <si>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</si>
  <si>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</si>
  <si>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</si>
  <si>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</si>
  <si>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</si>
  <si>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</si>
  <si>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</si>
  <si>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</si>
  <si>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</si>
  <si>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</si>
  <si>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</si>
  <si>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</si>
  <si>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</si>
  <si>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</si>
  <si>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</si>
  <si>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</si>
  <si>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</si>
  <si>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</si>
  <si>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</si>
  <si>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</si>
  <si>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</si>
  <si>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</si>
  <si>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</si>
  <si>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</si>
  <si>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</si>
  <si>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</si>
  <si>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STRCHA03-MNR-V-BTP-SR-30</t>
  </si>
  <si>
    <t xml:space="preserve">STRCHA03-MNR-V-BTP-SR-50</t>
  </si>
  <si>
    <t xml:space="preserve">Partida</t>
  </si>
  <si>
    <t xml:space="preserve">m</t>
  </si>
  <si>
    <t xml:space="preserve">XXXXXX PASIVACIÓN "BETOPRIM/PROPAMSA" DE ARMADURA AL DESCUBIERTO EN CANTO DE FORJADO O VIGA DE CUELGUE (30 cm &lt; h &lt;= 50 cm); NO INCLUYE REFUERZO METÁLICO COMPLEMENTARIO</t>
  </si>
  <si>
    <t xml:space="preserve">PASIVACIÓN "BETOPRIM/PROPAMSA" DE ARMADURA AL DESCUBIERTO EN CANTO DE FORJADO O VIGA DE CUELGUE (30 cm &lt; h &lt;= 50 cm); NO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</si>
  <si>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</si>
  <si>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</si>
  <si>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</si>
  <si>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</si>
  <si>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</si>
  <si>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</si>
  <si>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</si>
  <si>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</si>
  <si>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</si>
  <si>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</si>
  <si>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</si>
  <si>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</si>
  <si>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</si>
  <si>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</si>
  <si>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</si>
  <si>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</si>
  <si>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</si>
  <si>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</si>
  <si>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</si>
  <si>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</si>
  <si>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</si>
  <si>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</si>
  <si>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</si>
  <si>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</si>
  <si>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</si>
  <si>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</si>
  <si>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</si>
  <si>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</si>
  <si>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STRCHA03-MNR-V-BTP-SR-50</t>
  </si>
  <si>
    <t xml:space="preserve">STRCHA03-MNR-H-BTP-CR</t>
  </si>
  <si>
    <t xml:space="preserve">Partida</t>
  </si>
  <si>
    <t xml:space="preserve">m2</t>
  </si>
  <si>
    <t xml:space="preserve">XXXXXX PASIVACIÓN "BETOPRIM/PROPAMSA" DE ARMADURA AL DESCUBIERTO EN FONDO DE LOSA; INCLUYE REFUERZO METÁLICO COMPLEMENTARIO</t>
  </si>
  <si>
    <t xml:space="preserve">PASIVACIÓN "BETOPRIM/PROPAMSA" DE ARMADURA AL DESCUBIERTO EN FONDO DE LOSA;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</si>
  <si>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</si>
  <si>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</si>
  <si>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</si>
  <si>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</si>
  <si>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</si>
  <si>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</si>
  <si>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</si>
  <si>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</si>
  <si>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ma-lp-00001673</t>
  </si>
  <si>
    <t xml:space="preserve">Material</t>
  </si>
  <si>
    <t xml:space="preserve">pza</t>
  </si>
  <si>
    <t xml:space="preserve">Redondo acero corrugado diámetro 12 mm (3 m/pza).   Ref. lp-00001673</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</si>
  <si>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</si>
  <si>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</si>
  <si>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</si>
  <si>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</si>
  <si>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</si>
  <si>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</si>
  <si>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</si>
  <si>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</si>
  <si>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</si>
  <si>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</si>
  <si>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</si>
  <si>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</si>
  <si>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</si>
  <si>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</si>
  <si>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</si>
  <si>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</si>
  <si>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</si>
  <si>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</si>
  <si>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</si>
  <si>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</si>
  <si>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</si>
  <si>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</si>
  <si>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</si>
  <si>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</si>
  <si>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</si>
  <si>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</si>
  <si>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</si>
  <si>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</si>
  <si>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</si>
  <si>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</si>
  <si>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</si>
  <si>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</si>
  <si>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STRCHA03-MNR-H-BTP-CR</t>
  </si>
  <si>
    <t xml:space="preserve">STRCHA03-MNR-V-BTP-CR-30</t>
  </si>
  <si>
    <t xml:space="preserve">Partida</t>
  </si>
  <si>
    <t xml:space="preserve">m</t>
  </si>
  <si>
    <t xml:space="preserve">XXXXXX PASIVACIÓN "BETOPRIM/PROPAMSA" DE ARMADURA AL DESCUBIERTO EN CANTO DE FORJADO O VIGA DE CUELGUE (h &lt;= 30 cm); INCLUYE REFUERZO METÁLICO COMPLEMENTARIO</t>
  </si>
  <si>
    <t xml:space="preserve">PASIVACIÓN "BETOPRIM/PROPAMSA" DE ARMADURA AL DESCUBIERTO EN CANTO DE FORJADO O VIGA DE CUELGUE (h &lt;= 30 cm);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</si>
  <si>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</si>
  <si>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</si>
  <si>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</si>
  <si>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</si>
  <si>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</si>
  <si>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</si>
  <si>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</si>
  <si>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</si>
  <si>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ma-lp-00277865</t>
  </si>
  <si>
    <t xml:space="preserve">Material</t>
  </si>
  <si>
    <t xml:space="preserve">pza</t>
  </si>
  <si>
    <t xml:space="preserve">Redondo acero corrugado diámetro 10 mm (2 m/pza)   Ref. lp-00277865</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</si>
  <si>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</si>
  <si>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</si>
  <si>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</si>
  <si>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</si>
  <si>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</si>
  <si>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</si>
  <si>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</si>
  <si>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</si>
  <si>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</si>
  <si>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</si>
  <si>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</si>
  <si>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</si>
  <si>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</si>
  <si>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</si>
  <si>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</si>
  <si>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</si>
  <si>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</si>
  <si>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</si>
  <si>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</si>
  <si>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</si>
  <si>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</si>
  <si>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</si>
  <si>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</si>
  <si>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</si>
  <si>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</si>
  <si>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</si>
  <si>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</si>
  <si>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</si>
  <si>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</si>
  <si>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</si>
  <si>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</si>
  <si>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</si>
  <si>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STRCHA03-MNR-V-BTP-CR-30</t>
  </si>
  <si>
    <t xml:space="preserve">STRCHA03-MNR-V-BTP-CR-50</t>
  </si>
  <si>
    <t xml:space="preserve">Partida</t>
  </si>
  <si>
    <t xml:space="preserve">m</t>
  </si>
  <si>
    <t xml:space="preserve">XXXXXX PASIVACIÓN "BETOPRIM/PROPAMSA" DE ARMADURA AL DESCUBIERTO EN CANTO DE FORJADO O VIGA DE CUELGUE (30 cm &lt; h &lt;= 50 cm); INCLUYE REFUERZO METÁLICO COMPLEMENTARIO</t>
  </si>
  <si>
    <t xml:space="preserve">PASIVACIÓN "BETOPRIM/PROPAMSA" DE ARMADURA AL DESCUBIERTO EN CANTO DE FORJADO O VIGA DE CUELGUE (30 cm &lt; h &lt;= 50 cm); INCLUYE REFUERZO METÁLICO COMPLEMENTARIO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</si>
  <si>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</si>
  <si>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</si>
  <si>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</si>
  <si>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</si>
  <si>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ma-lp-00136728</t>
  </si>
  <si>
    <t xml:space="preserve">Material</t>
  </si>
  <si>
    <t xml:space="preserve">envase</t>
  </si>
  <si>
    <t xml:space="preserve">Convertidor de óxido CONVERTÓXIDO de BARPIMO (1 litro/envase).   Ref. lp-00136728</t>
  </si>
  <si>
    <t xml:space="preserve">ma-lp-00277865</t>
  </si>
  <si>
    <t xml:space="preserve">Material</t>
  </si>
  <si>
    <t xml:space="preserve">pza</t>
  </si>
  <si>
    <t xml:space="preserve">Redondo acero corrugado diámetro 10 mm (2 m/pza)   Ref. lp-00277865</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</si>
  <si>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</si>
  <si>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</si>
  <si>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</si>
  <si>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</si>
  <si>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</si>
  <si>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</si>
  <si>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</si>
  <si>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</si>
  <si>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</si>
  <si>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</si>
  <si>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</si>
  <si>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</si>
  <si>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</si>
  <si>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</si>
  <si>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</si>
  <si>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</si>
  <si>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</si>
  <si>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</si>
  <si>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</si>
  <si>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</si>
  <si>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</si>
  <si>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</si>
  <si>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</si>
  <si>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</si>
  <si>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</si>
  <si>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</si>
  <si>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</si>
  <si>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</si>
  <si>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</si>
  <si>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</si>
  <si>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</si>
  <si>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</si>
  <si>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STRCHA03-MNR-V-BTP-CR-50</t>
  </si>
  <si>
    <t xml:space="preserve">STRCHA15-MNR-H-BTP-CR</t>
  </si>
  <si>
    <t xml:space="preserve">Partida</t>
  </si>
  <si>
    <t xml:space="preserve">m2</t>
  </si>
  <si>
    <t xml:space="preserve">XXXXXX PASIVACIÓN Y PUENTE DE UNIÓN "BETOPRIM/PROPAMSA" ENTRE SOPORTES DE PARAMENTOS FONDO DE LOSA; INCLUYE REFUERZO METÁLICO COMPLEMENTARIO</t>
  </si>
  <si>
    <t xml:space="preserve">Pasivación y puente de unión "betoprim/propamsa" entre soportes de paramentos fondo de losa; no incluye refuerzo metálico complementario.
Esta opción consiste en asumir que el producto BETOPRIM de PROPAMSA se utiliza como Puente de Unión, con efecto secundario de Pasivador de los Refuerzos Metálicos existentes.</t>
  </si>
  <si>
    <t xml:space="preserve">ma-lp-00136728</t>
  </si>
  <si>
    <t xml:space="preserve">Material</t>
  </si>
  <si>
    <t xml:space="preserve">envase</t>
  </si>
  <si>
    <t xml:space="preserve">Convertidor de óxido CONVERTÓXIDO de BARPIMO (1 litro/envase).   Ref. lp-00136728</t>
  </si>
  <si>
    <t xml:space="preserve">ma-lp-00001673</t>
  </si>
  <si>
    <t xml:space="preserve">Material</t>
  </si>
  <si>
    <t xml:space="preserve">pza</t>
  </si>
  <si>
    <t xml:space="preserve">Redondo acero corrugado diámetro 12 mm (3 m/pza).   Ref. lp-00001673</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</si>
  <si>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</si>
  <si>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</si>
  <si>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</si>
  <si>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</si>
  <si>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</si>
  <si>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</si>
  <si>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</si>
  <si>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</si>
  <si>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</si>
  <si>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</si>
  <si>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</si>
  <si>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</si>
  <si>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</si>
  <si>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</si>
  <si>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</si>
  <si>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</si>
  <si>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</si>
  <si>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</si>
  <si>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</si>
  <si>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</si>
  <si>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</si>
  <si>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</si>
  <si>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</si>
  <si>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</si>
  <si>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</si>
  <si>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</si>
  <si>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</si>
  <si>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</si>
  <si>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</si>
  <si>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</si>
  <si>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</si>
  <si>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</si>
  <si>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STRCHA15-MNR-H-BTP-CR</t>
  </si>
  <si>
    <t xml:space="preserve">STRCHA15-MNR-V-BTP-CR-50</t>
  </si>
  <si>
    <t xml:space="preserve">Partida</t>
  </si>
  <si>
    <t xml:space="preserve">m</t>
  </si>
  <si>
    <t xml:space="preserve">XXXXXX PASIVACIÓN Y PUENTE DE UNIÓN "BETOPRIM/PROPAMSA" DE ARMADURA AL DESCUBIERTO EN CANTO DE FORJADO O VIGA DE CUELGUE (30 cm &lt; h &lt;= 50 cm); INCLUYE REFUERZO METÁLICO COMPLEMENTARIO</t>
  </si>
  <si>
    <t xml:space="preserve">PASIVACIÓN Y PUENTE DE UNIÓN "BETOPRIM/PROPAMSA" DE ARMADURA AL DESCUBIERTO EN CANTO DE FORJADO O VIGA DE CUELGUE (30 cm &lt; h &lt;= 50 cm); INCLUYE REFUERZO METÁLICO COMPLEMENTARIO.
Esta opción consiste en asumir que el producto BETOPRIM de PROPAMSA se utiliza como Puente de Unión, con efecto secundario de Pasivador de los Refuerzos Metálicos existentes.</t>
  </si>
  <si>
    <t xml:space="preserve">ma-lp-00136728</t>
  </si>
  <si>
    <t xml:space="preserve">Material</t>
  </si>
  <si>
    <t xml:space="preserve">envase</t>
  </si>
  <si>
    <t xml:space="preserve">Convertidor de óxido CONVERTÓXIDO de BARPIMO (1 litro/envase).   Ref. lp-00136728</t>
  </si>
  <si>
    <t xml:space="preserve">ma-lp-00277865</t>
  </si>
  <si>
    <t xml:space="preserve">Material</t>
  </si>
  <si>
    <t xml:space="preserve">pza</t>
  </si>
  <si>
    <t xml:space="preserve">Redondo acero corrugado diámetro 10 mm (2 m/pza)   Ref. lp-00277865</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</si>
  <si>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</si>
  <si>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</si>
  <si>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</si>
  <si>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</si>
  <si>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</si>
  <si>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</si>
  <si>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</si>
  <si>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</si>
  <si>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</si>
  <si>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</si>
  <si>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</si>
  <si>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</si>
  <si>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</si>
  <si>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</si>
  <si>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</si>
  <si>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</si>
  <si>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</si>
  <si>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</si>
  <si>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</si>
  <si>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</si>
  <si>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</si>
  <si>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</si>
  <si>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</si>
  <si>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</si>
  <si>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</si>
  <si>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</si>
  <si>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</si>
  <si>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</si>
  <si>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</si>
  <si>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</si>
  <si>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</si>
  <si>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</si>
  <si>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STRCHA15-MNR-V-BTP-CR-50</t>
  </si>
  <si>
    <t xml:space="preserve">STRCHA15-MNR-V-BTP-CR-30</t>
  </si>
  <si>
    <t xml:space="preserve">Partida</t>
  </si>
  <si>
    <t xml:space="preserve">m</t>
  </si>
  <si>
    <t xml:space="preserve">XXXXXX PASIVACIÓN Y PUENTE DE UNIÓN "BETOPRIM/PROPAMSA" DE ARMADURA AL DESCUBIERTO EN CANTO DE FORJADO O VIGA DE CUELGUE (h &lt;= 30 cm); INCLUYE REFUERZO METÁLICO COMPLEMENTARIO</t>
  </si>
  <si>
    <t xml:space="preserve">PASIVACIÓN Y PUENTE DE UNIÓN "BETOPRIM/PROPAMSA" DE ARMADURA AL DESCUBIERTO EN CANTO DE FORJADO O VIGA DE CUELGUE (h &lt;= 30 cm); INCLUYE REFUERZO METÁLICO COMPLEMENTARIO.
Esta opción consiste en asumir que el producto BETOPRIM de PROPAMSA se utiliza como Puente de Unión, con efecto secundario de Pasivador de los Refuerzos Metálicos existentes.</t>
  </si>
  <si>
    <t xml:space="preserve">ma-lp-00136728</t>
  </si>
  <si>
    <t xml:space="preserve">Material</t>
  </si>
  <si>
    <t xml:space="preserve">envase</t>
  </si>
  <si>
    <t xml:space="preserve">Convertidor de óxido CONVERTÓXIDO de BARPIMO (1 litro/envase).   Ref. lp-00136728</t>
  </si>
  <si>
    <t xml:space="preserve">ma-lp-00277865</t>
  </si>
  <si>
    <t xml:space="preserve">Material</t>
  </si>
  <si>
    <t xml:space="preserve">pza</t>
  </si>
  <si>
    <t xml:space="preserve">Redondo acero corrugado diámetro 10 mm (2 m/pza)   Ref. lp-00277865</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</si>
  <si>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</si>
  <si>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</si>
  <si>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</si>
  <si>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</si>
  <si>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</si>
  <si>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</si>
  <si>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</si>
  <si>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</si>
  <si>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</si>
  <si>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</si>
  <si>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</si>
  <si>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</si>
  <si>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</si>
  <si>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</si>
  <si>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</si>
  <si>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</si>
  <si>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</si>
  <si>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</si>
  <si>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</si>
  <si>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</si>
  <si>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</si>
  <si>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</si>
  <si>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</si>
  <si>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</si>
  <si>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</si>
  <si>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</si>
  <si>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</si>
  <si>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</si>
  <si>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</si>
  <si>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</si>
  <si>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</si>
  <si>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</si>
  <si>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STRCHA15-MNR-V-BTP-CR-30</t>
  </si>
  <si>
    <t xml:space="preserve">STRCHA16-MNR-H-15-GDK-CR</t>
  </si>
  <si>
    <t xml:space="preserve">Partida</t>
  </si>
  <si>
    <t xml:space="preserve">m2</t>
  </si>
  <si>
    <t xml:space="preserve">XXXXXX REPARACIÓN 15 mm DE FONDO DE LOSA DE HORMIGÓN ARMADO C/GEOLITE 40 DE KERAKOLL Y MAPEFER 1K DE MAPEI; INCLUYE REFUERZO METÁLICO COMPLEMENTARIO</t>
  </si>
  <si>
    <t xml:space="preserve">REPARACIÓN 15 mm DE FONDO DE LOSA DE HORMIGÓN ARMADO C/GEOLITE 40 DE KERAKOLL Y MAPEFER 1K DE MAPEI; INCLUYE REFUERZO METÁLICO COMPLEMENTARIO</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</si>
  <si>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</si>
  <si>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</si>
  <si>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</si>
  <si>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</si>
  <si>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</si>
  <si>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</si>
  <si>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</si>
  <si>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</si>
  <si>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ma-lp-00001705</t>
  </si>
  <si>
    <t xml:space="preserve">Material</t>
  </si>
  <si>
    <t xml:space="preserve">rollo</t>
  </si>
  <si>
    <t xml:space="preserve">Malla de fibra de vidrio azul para refuerzo de morteros y revocos (rollo 50x1 m)   Ref. lp-00001705</t>
  </si>
  <si>
    <t xml:space="preserve">ma-lp-00539210</t>
  </si>
  <si>
    <t xml:space="preserve">Material</t>
  </si>
  <si>
    <t xml:space="preserve">saco</t>
  </si>
  <si>
    <t xml:space="preserve">Mortero de reparación GEOLITE 40 de KERAKOLL (25 kg/saco)   Ref. lp-00539210</t>
  </si>
  <si>
    <t xml:space="preserve">ma-lp-00001673</t>
  </si>
  <si>
    <t xml:space="preserve">Material</t>
  </si>
  <si>
    <t xml:space="preserve">pza</t>
  </si>
  <si>
    <t xml:space="preserve">Redondo acero corrugado diámetro 12 mm (3 m/pza).   Ref. lp-00001673</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</si>
  <si>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</si>
  <si>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</si>
  <si>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</si>
  <si>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</si>
  <si>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</si>
  <si>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</si>
  <si>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</si>
  <si>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</si>
  <si>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</si>
  <si>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</si>
  <si>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</si>
  <si>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</si>
  <si>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</si>
  <si>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</si>
  <si>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</si>
  <si>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</si>
  <si>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</si>
  <si>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</si>
  <si>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</si>
  <si>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</si>
  <si>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</si>
  <si>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</si>
  <si>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</si>
  <si>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</si>
  <si>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</si>
  <si>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</si>
  <si>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</si>
  <si>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</si>
  <si>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</si>
  <si>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</si>
  <si>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</si>
  <si>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</si>
  <si>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</si>
  <si>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</si>
  <si>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</si>
  <si>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</si>
  <si>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STRCHA16-MNR-H-15-GDK-CR</t>
  </si>
  <si>
    <t xml:space="preserve">STRCHA16-MNR-H-15-TCH-CR</t>
  </si>
  <si>
    <t xml:space="preserve">Partida</t>
  </si>
  <si>
    <t xml:space="preserve">m2</t>
  </si>
  <si>
    <t xml:space="preserve">XXXXXX REPARACIÓN 15 mm DE FONDO DE LOSA DE HORMIGÓN ARMADO C/REPAR TECHNO Y BETOPRIM DE PROPAMSA; INCLUYE REFUERZO METÁLICO COMPLEMENTARIO</t>
  </si>
  <si>
    <t xml:space="preserve">REPARACIÓN 15 mm DE FONDO DE LOSA DE HORMIGÓN ARMADO C/REPAR TECHNO Y BETOPRIM DE PROPAMSA;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</si>
  <si>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</si>
  <si>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</si>
  <si>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</si>
  <si>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</si>
  <si>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</si>
  <si>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</si>
  <si>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</si>
  <si>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</si>
  <si>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ma-lp-00001705</t>
  </si>
  <si>
    <t xml:space="preserve">Material</t>
  </si>
  <si>
    <t xml:space="preserve">rollo</t>
  </si>
  <si>
    <t xml:space="preserve">Malla de fibra de vidrio azul para refuerzo de morteros y revocos (rollo 50x1 m)   Ref. lp-00001705</t>
  </si>
  <si>
    <t xml:space="preserve">ma-lp-00540827</t>
  </si>
  <si>
    <t xml:space="preserve">Material</t>
  </si>
  <si>
    <t xml:space="preserve">saco</t>
  </si>
  <si>
    <t xml:space="preserve">Mortero de reparación estructural R4 PROPAM REPAR TECHNO (25 kg/saco)   Ref. lp-00540827</t>
  </si>
  <si>
    <t xml:space="preserve">ma-lp-00001673</t>
  </si>
  <si>
    <t xml:space="preserve">Material</t>
  </si>
  <si>
    <t xml:space="preserve">pza</t>
  </si>
  <si>
    <t xml:space="preserve">Redondo acero corrugado diámetro 12 mm (3 m/pza).   Ref. lp-00001673</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</si>
  <si>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</si>
  <si>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</si>
  <si>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</si>
  <si>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</si>
  <si>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</si>
  <si>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</si>
  <si>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</si>
  <si>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</si>
  <si>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</si>
  <si>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</si>
  <si>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</si>
  <si>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</si>
  <si>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</si>
  <si>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</si>
  <si>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</si>
  <si>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</si>
  <si>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</si>
  <si>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</si>
  <si>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</si>
  <si>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</si>
  <si>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</si>
  <si>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</si>
  <si>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</si>
  <si>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</si>
  <si>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</si>
  <si>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</si>
  <si>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</si>
  <si>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</si>
  <si>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</si>
  <si>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</si>
  <si>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</si>
  <si>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</si>
  <si>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</si>
  <si>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</si>
  <si>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</si>
  <si>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</si>
  <si>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STRCHA16-MNR-H-15-TCH-CR</t>
  </si>
  <si>
    <t xml:space="preserve">STRCHA05</t>
  </si>
  <si>
    <t xml:space="preserve">Partida</t>
  </si>
  <si>
    <t xml:space="preserve">M2</t>
  </si>
  <si>
    <t xml:space="preserve">XXXXXX REPARACIÓN 15 mm DE FONDO DE LOSA DE HORMIGÓN ARMADO C/GEOLITE 40 DE KERAKOLL Y MAPEFER 1K DE MAPEI; INCLUYE REFUERZO METÁLICO COMPLEMENTARIO</t>
  </si>
  <si>
    <t xml:space="preserve">Reparación de hormigón armado, mediante picado del hormigón deteriorado, eliminando el hormigón en mal estado hasta llegar a las armaduras; recrecido del forjado con hormigón con mortero de reparacion estructural. El precio incluye el montaje y desmontaje del sistema de encofrado y el desplazamiento.</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</si>
  <si>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</si>
  <si>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</si>
  <si>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</si>
  <si>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</si>
  <si>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</si>
  <si>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</si>
  <si>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</si>
  <si>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</si>
  <si>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</si>
  <si>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</si>
  <si>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</si>
  <si>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</si>
  <si>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</si>
  <si>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</si>
  <si>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</si>
  <si>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</si>
  <si>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</si>
  <si>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</si>
  <si>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</si>
  <si>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</si>
  <si>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</si>
  <si>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</si>
  <si>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</si>
  <si>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</si>
  <si>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</si>
  <si>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STRCHA05</t>
  </si>
  <si>
    <t xml:space="preserve">STRCHA16-MNR-H-20-GDK-CR</t>
  </si>
  <si>
    <t xml:space="preserve">Partida</t>
  </si>
  <si>
    <t xml:space="preserve">m2</t>
  </si>
  <si>
    <t xml:space="preserve">XXXXXX REPARACIÓN 20 mm DE FONDO DE LOSA DE HORMIGÓN ARMADO C/GEOLITE 40 DE KERAKOLL Y MAPEFER 1K DE MAPEI; INCLUYE REFUERZO METÁLICO COMPLEMENTARIO</t>
  </si>
  <si>
    <t xml:space="preserve">REPARACIÓN 20 mm DE FONDO DE LOSA DE HORMIGÓN ARMADO C/GEOLITE 40 DE KERAKOLL Y MAPEFER 1K DE MAPEI; INCLUYE REFUERZO METÁLICO COMPLEMENTARIO</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</si>
  <si>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</si>
  <si>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</si>
  <si>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</si>
  <si>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</si>
  <si>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</si>
  <si>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</si>
  <si>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</si>
  <si>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</si>
  <si>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ma-lp-00001705</t>
  </si>
  <si>
    <t xml:space="preserve">Material</t>
  </si>
  <si>
    <t xml:space="preserve">rollo</t>
  </si>
  <si>
    <t xml:space="preserve">Malla de fibra de vidrio azul para refuerzo de morteros y revocos (rollo 50x1 m)   Ref. lp-00001705</t>
  </si>
  <si>
    <t xml:space="preserve">ma-lp-00539210</t>
  </si>
  <si>
    <t xml:space="preserve">Material</t>
  </si>
  <si>
    <t xml:space="preserve">saco</t>
  </si>
  <si>
    <t xml:space="preserve">Mortero de reparación GEOLITE 40 de KERAKOLL (25 kg/saco)   Ref. lp-00539210</t>
  </si>
  <si>
    <t xml:space="preserve">ma-lp-00001673</t>
  </si>
  <si>
    <t xml:space="preserve">Material</t>
  </si>
  <si>
    <t xml:space="preserve">pza</t>
  </si>
  <si>
    <t xml:space="preserve">Redondo acero corrugado diámetro 12 mm (3 m/pza).   Ref. lp-00001673</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</si>
  <si>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</si>
  <si>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</si>
  <si>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</si>
  <si>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</si>
  <si>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</si>
  <si>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</si>
  <si>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</si>
  <si>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</si>
  <si>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</si>
  <si>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</si>
  <si>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</si>
  <si>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</si>
  <si>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</si>
  <si>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</si>
  <si>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</si>
  <si>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</si>
  <si>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</si>
  <si>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</si>
  <si>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</si>
  <si>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</si>
  <si>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</si>
  <si>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</si>
  <si>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</si>
  <si>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</si>
  <si>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</si>
  <si>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</si>
  <si>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</si>
  <si>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</si>
  <si>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</si>
  <si>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</si>
  <si>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</si>
  <si>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</si>
  <si>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</si>
  <si>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</si>
  <si>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</si>
  <si>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</si>
  <si>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STRCHA16-MNR-H-20-GDK-CR</t>
  </si>
  <si>
    <t xml:space="preserve">STRCHA16-MNR-H-20-TCH-CR</t>
  </si>
  <si>
    <t xml:space="preserve">Partida</t>
  </si>
  <si>
    <t xml:space="preserve">m2</t>
  </si>
  <si>
    <t xml:space="preserve">XXXXXX REPARACIÓN 20 mm DE FONDO DE LOSA DE HORMIGÓN ARMADO C/REPAR TECHNO Y BETOPRIM DE PROPAMSA; INCLUYE REFUERZO METÁLICO COMPLEMENTARIO</t>
  </si>
  <si>
    <t xml:space="preserve">REPARACIÓN 20 mm DE FONDO DE LOSA DE HORMIGÓN ARMADO C/REPAR TECHNO Y BETOPRIM DE PROPAMSA;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</si>
  <si>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</si>
  <si>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</si>
  <si>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</si>
  <si>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</si>
  <si>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</si>
  <si>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</si>
  <si>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</si>
  <si>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</si>
  <si>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ma-lp-00001705</t>
  </si>
  <si>
    <t xml:space="preserve">Material</t>
  </si>
  <si>
    <t xml:space="preserve">rollo</t>
  </si>
  <si>
    <t xml:space="preserve">Malla de fibra de vidrio azul para refuerzo de morteros y revocos (rollo 50x1 m)   Ref. lp-00001705</t>
  </si>
  <si>
    <t xml:space="preserve">ma-lp-00540827</t>
  </si>
  <si>
    <t xml:space="preserve">Material</t>
  </si>
  <si>
    <t xml:space="preserve">saco</t>
  </si>
  <si>
    <t xml:space="preserve">Mortero de reparación estructural R4 PROPAM REPAR TECHNO (25 kg/saco)   Ref. lp-00540827</t>
  </si>
  <si>
    <t xml:space="preserve">ma-lp-00001673</t>
  </si>
  <si>
    <t xml:space="preserve">Material</t>
  </si>
  <si>
    <t xml:space="preserve">pza</t>
  </si>
  <si>
    <t xml:space="preserve">Redondo acero corrugado diámetro 12 mm (3 m/pza).   Ref. lp-00001673</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</si>
  <si>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</si>
  <si>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</si>
  <si>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</si>
  <si>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</si>
  <si>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</si>
  <si>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</si>
  <si>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</si>
  <si>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</si>
  <si>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</si>
  <si>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</si>
  <si>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</si>
  <si>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</si>
  <si>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</si>
  <si>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</si>
  <si>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</si>
  <si>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</si>
  <si>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</si>
  <si>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</si>
  <si>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</si>
  <si>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</si>
  <si>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</si>
  <si>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</si>
  <si>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</si>
  <si>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</si>
  <si>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</si>
  <si>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</si>
  <si>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</si>
  <si>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</si>
  <si>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</si>
  <si>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</si>
  <si>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</si>
  <si>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</si>
  <si>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</si>
  <si>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</si>
  <si>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</si>
  <si>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</si>
  <si>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STRCHA16-MNR-H-20-TCH-CR</t>
  </si>
  <si>
    <t xml:space="preserve">STRCHA16-MNR-V-15-GDK-CR-30</t>
  </si>
  <si>
    <t xml:space="preserve">Partida</t>
  </si>
  <si>
    <t xml:space="preserve">m</t>
  </si>
  <si>
    <t xml:space="preserve">XXXXXX REPARACIÓN 15 mm DE CANTOS DE FORJADO O VIGAS DE CUELGUE DE HORMIGÓN ARMADO C/GEOLITE 40 de KERAKOLL Y MAPEFER 1K DE MAPEI (h &lt;= 30 cm); INCLUYE REFUERZO METÁLICO COMPLEMENTARIO</t>
  </si>
  <si>
    <t xml:space="preserve">REPARACIÓN 15 mm DE CANTOS DE FORJADO O VIGAS DE CUELGUE DE HORMIGÓN ARMADO C/GEOLITE 40 de KERAKOLL Y MAPEFER 1K DE MAPEI (h &lt;= 30 cm); INCLUYE REFUERZO METÁLICO COMPLEMENTARIO</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</si>
  <si>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</si>
  <si>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</si>
  <si>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</si>
  <si>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</si>
  <si>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</si>
  <si>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</si>
  <si>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</si>
  <si>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</si>
  <si>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ma-lp-00001705</t>
  </si>
  <si>
    <t xml:space="preserve">Material</t>
  </si>
  <si>
    <t xml:space="preserve">rollo</t>
  </si>
  <si>
    <t xml:space="preserve">Malla de fibra de vidrio azul para refuerzo de morteros y revocos (rollo 50x1 m)   Ref. lp-00001705</t>
  </si>
  <si>
    <t xml:space="preserve">ma-lp-00539210</t>
  </si>
  <si>
    <t xml:space="preserve">Material</t>
  </si>
  <si>
    <t xml:space="preserve">saco</t>
  </si>
  <si>
    <t xml:space="preserve">Mortero de reparación GEOLITE 40 de KERAKOLL (25 kg/saco)   Ref. lp-00539210</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</si>
  <si>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</si>
  <si>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</si>
  <si>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</si>
  <si>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</si>
  <si>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</si>
  <si>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</si>
  <si>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</si>
  <si>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</si>
  <si>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</si>
  <si>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</si>
  <si>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</si>
  <si>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</si>
  <si>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</si>
  <si>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</si>
  <si>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</si>
  <si>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</si>
  <si>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</si>
  <si>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</si>
  <si>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</si>
  <si>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</si>
  <si>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</si>
  <si>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</si>
  <si>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</si>
  <si>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</si>
  <si>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</si>
  <si>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</si>
  <si>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</si>
  <si>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</si>
  <si>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</si>
  <si>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</si>
  <si>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</si>
  <si>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</si>
  <si>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</si>
  <si>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</si>
  <si>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</si>
  <si>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</si>
  <si>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</si>
  <si>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</si>
  <si>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</si>
  <si>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</si>
  <si>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</si>
  <si>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</si>
  <si>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</si>
  <si>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</si>
  <si>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STRCHA16-MNR-V-15-GDK-CR-30</t>
  </si>
  <si>
    <t xml:space="preserve">STRCHA16-MNR-V-15-GDK-CR-50</t>
  </si>
  <si>
    <t xml:space="preserve">Partida</t>
  </si>
  <si>
    <t xml:space="preserve">m</t>
  </si>
  <si>
    <t xml:space="preserve">XXXXXX REPARACIÓN 15 mm DE CANTOS DE FORJADO O VIGAS DE CUELGUE DE HORMIGÓN ARMADO C/GEOLITE 40 de KERAKOLL Y MAPEFER 1K DE MAPEI (30 cm &lt; h &lt;= 50 cm); INCLUYE REFUERZO METÁLICO COMPLEMENTARIO</t>
  </si>
  <si>
    <t xml:space="preserve">REPARACIÓN 15 mm DE CANTOS DE FORJADO O VIGAS DE CUELGUE DE HORMIGÓN ARMADO C/GEOLITE 40 de KERAKOLL Y MAPEFER 1K DE MAPEI (30 cm &lt; h &lt;= 50 cm); INCLUYE REFUERZO METÁLICO COMPLEMENTARIO</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</si>
  <si>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</si>
  <si>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</si>
  <si>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</si>
  <si>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</si>
  <si>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</si>
  <si>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</si>
  <si>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</si>
  <si>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</si>
  <si>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ma-lp-00001705</t>
  </si>
  <si>
    <t xml:space="preserve">Material</t>
  </si>
  <si>
    <t xml:space="preserve">rollo</t>
  </si>
  <si>
    <t xml:space="preserve">Malla de fibra de vidrio azul para refuerzo de morteros y revocos (rollo 50x1 m)   Ref. lp-00001705</t>
  </si>
  <si>
    <t xml:space="preserve">ma-lp-00539210</t>
  </si>
  <si>
    <t xml:space="preserve">Material</t>
  </si>
  <si>
    <t xml:space="preserve">saco</t>
  </si>
  <si>
    <t xml:space="preserve">Mortero de reparación GEOLITE 40 de KERAKOLL (25 kg/saco)   Ref. lp-00539210</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</si>
  <si>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</si>
  <si>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</si>
  <si>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</si>
  <si>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</si>
  <si>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</si>
  <si>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</si>
  <si>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</si>
  <si>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</si>
  <si>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</si>
  <si>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</si>
  <si>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</si>
  <si>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</si>
  <si>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</si>
  <si>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</si>
  <si>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</si>
  <si>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</si>
  <si>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</si>
  <si>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</si>
  <si>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</si>
  <si>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</si>
  <si>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</si>
  <si>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</si>
  <si>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</si>
  <si>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</si>
  <si>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</si>
  <si>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</si>
  <si>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</si>
  <si>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</si>
  <si>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</si>
  <si>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</si>
  <si>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</si>
  <si>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</si>
  <si>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</si>
  <si>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</si>
  <si>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</si>
  <si>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</si>
  <si>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</si>
  <si>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</si>
  <si>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</si>
  <si>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</si>
  <si>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</si>
  <si>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</si>
  <si>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</si>
  <si>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</si>
  <si>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STRCHA16-MNR-V-15-GDK-CR-50</t>
  </si>
  <si>
    <t xml:space="preserve">STRCHA16-MNR-V-15-TCH-CR-30</t>
  </si>
  <si>
    <t xml:space="preserve">Partida</t>
  </si>
  <si>
    <t xml:space="preserve">m</t>
  </si>
  <si>
    <t xml:space="preserve">XXXXXX REPARACIÓN 15 mm DE CANTOS DE FORJADO O VIGAS DE CUELGUE DE HORMIGÓN ARMADO C/REPAR TECHNO Y BETOPRIM DE PROPAMSA (h &lt;= 30 cm); INCLUYE REFUERZO METÁLICO COMPLEMENTARIO</t>
  </si>
  <si>
    <t xml:space="preserve">REPARACIÓN 15 mm DE CANTOS DE FORJADO O VIGAS DE CUELGUE DE HORMIGÓN ARMADO C/REPAR TECHNO Y BETOPRIM DE PROPAMSA (h &lt;= 30 cm);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</si>
  <si>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</si>
  <si>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</si>
  <si>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</si>
  <si>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</si>
  <si>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</si>
  <si>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</si>
  <si>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</si>
  <si>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</si>
  <si>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ma-lp-00001705</t>
  </si>
  <si>
    <t xml:space="preserve">Material</t>
  </si>
  <si>
    <t xml:space="preserve">rollo</t>
  </si>
  <si>
    <t xml:space="preserve">Malla de fibra de vidrio azul para refuerzo de morteros y revocos (rollo 50x1 m)   Ref. lp-00001705</t>
  </si>
  <si>
    <t xml:space="preserve">ma-lp-00540827</t>
  </si>
  <si>
    <t xml:space="preserve">Material</t>
  </si>
  <si>
    <t xml:space="preserve">saco</t>
  </si>
  <si>
    <t xml:space="preserve">Mortero de reparación estructural R4 PROPAM REPAR TECHNO (25 kg/saco)   Ref. lp-00540827</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</si>
  <si>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</si>
  <si>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</si>
  <si>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</si>
  <si>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</si>
  <si>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</si>
  <si>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</si>
  <si>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</si>
  <si>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</si>
  <si>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</si>
  <si>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</si>
  <si>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</si>
  <si>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</si>
  <si>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</si>
  <si>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</si>
  <si>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</si>
  <si>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</si>
  <si>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</si>
  <si>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</si>
  <si>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</si>
  <si>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</si>
  <si>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</si>
  <si>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</si>
  <si>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</si>
  <si>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</si>
  <si>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</si>
  <si>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</si>
  <si>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</si>
  <si>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</si>
  <si>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</si>
  <si>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</si>
  <si>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</si>
  <si>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</si>
  <si>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</si>
  <si>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</si>
  <si>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</si>
  <si>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</si>
  <si>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</si>
  <si>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</si>
  <si>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</si>
  <si>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</si>
  <si>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</si>
  <si>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</si>
  <si>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</si>
  <si>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</si>
  <si>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STRCHA16-MNR-V-15-TCH-CR-30</t>
  </si>
  <si>
    <t xml:space="preserve">STRCHA16-MNR-V-15-TCH-CR-50</t>
  </si>
  <si>
    <t xml:space="preserve">Partida</t>
  </si>
  <si>
    <t xml:space="preserve">m</t>
  </si>
  <si>
    <t xml:space="preserve">XXXXXX REPARACIÓN 15 mm DE CANTOS DE FORJADO O VIGAS DE CUELGUE DE HORMIGÓN ARMADO C/REPAR TECHNO Y BETOPRIM DE PROPAMSA (30 cm &lt; h &lt;= 50 cm); INCLUYE REFUERZO METÁLICO COMPLEMENTARIO</t>
  </si>
  <si>
    <t xml:space="preserve">REPARACIÓN 15 mm DE CANTOS DE FORJADO O VIGAS DE CUELGUE DE HORMIGÓN ARMADO C/REPAR TECHNO Y BETOPRIM DE PROPAMSA (30 cm &lt; h &lt;= 50 cm);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</si>
  <si>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</si>
  <si>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</si>
  <si>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</si>
  <si>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</si>
  <si>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</si>
  <si>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</si>
  <si>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</si>
  <si>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</si>
  <si>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ma-lp-00001705</t>
  </si>
  <si>
    <t xml:space="preserve">Material</t>
  </si>
  <si>
    <t xml:space="preserve">rollo</t>
  </si>
  <si>
    <t xml:space="preserve">Malla de fibra de vidrio azul para refuerzo de morteros y revocos (rollo 50x1 m)   Ref. lp-00001705</t>
  </si>
  <si>
    <t xml:space="preserve">ma-lp-00540827</t>
  </si>
  <si>
    <t xml:space="preserve">Material</t>
  </si>
  <si>
    <t xml:space="preserve">saco</t>
  </si>
  <si>
    <t xml:space="preserve">Mortero de reparación estructural R4 PROPAM REPAR TECHNO (25 kg/saco)   Ref. lp-00540827</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</si>
  <si>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</si>
  <si>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</si>
  <si>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</si>
  <si>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</si>
  <si>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</si>
  <si>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</si>
  <si>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</si>
  <si>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</si>
  <si>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</si>
  <si>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</si>
  <si>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</si>
  <si>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</si>
  <si>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</si>
  <si>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</si>
  <si>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</si>
  <si>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</si>
  <si>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</si>
  <si>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</si>
  <si>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</si>
  <si>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</si>
  <si>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</si>
  <si>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</si>
  <si>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</si>
  <si>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</si>
  <si>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</si>
  <si>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</si>
  <si>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</si>
  <si>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</si>
  <si>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</si>
  <si>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</si>
  <si>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</si>
  <si>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</si>
  <si>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</si>
  <si>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</si>
  <si>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</si>
  <si>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</si>
  <si>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</si>
  <si>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</si>
  <si>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</si>
  <si>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</si>
  <si>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</si>
  <si>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</si>
  <si>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</si>
  <si>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</si>
  <si>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STRCHA16-MNR-V-15-TCH-CR-50</t>
  </si>
  <si>
    <t xml:space="preserve">STRCHA16-MNR-V-20-GDK-CR-30</t>
  </si>
  <si>
    <t xml:space="preserve">Partida</t>
  </si>
  <si>
    <t xml:space="preserve">m</t>
  </si>
  <si>
    <t xml:space="preserve">XXXXXX REPARACIÓN 20 mm DE CANTOS DE FORJADO O VIGAS DE CUELGUE DE HORMIGÓN ARMADO C/GEOLITE 40 de KERAKOLL Y MAPEFER 1K DE MAPEI (h &lt;= 30 cm); INCLUYE REFUERZO METÁLICO COMPLEMENTARIO</t>
  </si>
  <si>
    <t xml:space="preserve">REPARACIÓN 20 mm DE CANTOS DE FORJADO O VIGAS DE CUELGUE DE HORMIGÓN ARMADO C/GEOLITE 40 de KERAKOLL Y MAPEFER 1K DE MAPEI (h &lt;= 30 cm); INCLUYE REFUERZO METÁLICO COMPLEMENTARIO</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</si>
  <si>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</si>
  <si>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</si>
  <si>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</si>
  <si>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</si>
  <si>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</si>
  <si>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</si>
  <si>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</si>
  <si>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</si>
  <si>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ma-lp-00001705</t>
  </si>
  <si>
    <t xml:space="preserve">Material</t>
  </si>
  <si>
    <t xml:space="preserve">rollo</t>
  </si>
  <si>
    <t xml:space="preserve">Malla de fibra de vidrio azul para refuerzo de morteros y revocos (rollo 50x1 m)   Ref. lp-00001705</t>
  </si>
  <si>
    <t xml:space="preserve">ma-lp-00539210</t>
  </si>
  <si>
    <t xml:space="preserve">Material</t>
  </si>
  <si>
    <t xml:space="preserve">saco</t>
  </si>
  <si>
    <t xml:space="preserve">Mortero de reparación GEOLITE 40 de KERAKOLL (25 kg/saco)   Ref. lp-00539210</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</si>
  <si>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</si>
  <si>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</si>
  <si>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</si>
  <si>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</si>
  <si>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</si>
  <si>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</si>
  <si>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</si>
  <si>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</si>
  <si>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</si>
  <si>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</si>
  <si>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</si>
  <si>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</si>
  <si>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</si>
  <si>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</si>
  <si>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</si>
  <si>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</si>
  <si>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</si>
  <si>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</si>
  <si>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</si>
  <si>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</si>
  <si>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</si>
  <si>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</si>
  <si>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</si>
  <si>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</si>
  <si>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</si>
  <si>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</si>
  <si>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</si>
  <si>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</si>
  <si>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</si>
  <si>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</si>
  <si>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</si>
  <si>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</si>
  <si>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</si>
  <si>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</si>
  <si>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</si>
  <si>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</si>
  <si>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</si>
  <si>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</si>
  <si>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</si>
  <si>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</si>
  <si>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</si>
  <si>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</si>
  <si>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</si>
  <si>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</si>
  <si>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STRCHA16-MNR-V-20-GDK-CR-30</t>
  </si>
  <si>
    <t xml:space="preserve">STRCHA16-MNR-V-20-GDK-CR-50</t>
  </si>
  <si>
    <t xml:space="preserve">Partida</t>
  </si>
  <si>
    <t xml:space="preserve">m</t>
  </si>
  <si>
    <t xml:space="preserve">XXXXXX REPARACIÓN 20 mm DE CANTOS DE FORJADO O VIGAS DE CUELGUE DE HORMIGÓN ARMADO C/GEOLITE 40 de KERAKOLL Y MAPEFER 1K DE MAPEI (30 cm &lt; h &lt;= 50 cm); INCLUYE REFUERZO METÁLICO COMPLEMENTARIO</t>
  </si>
  <si>
    <t xml:space="preserve">REPARACIÓN 20 mm DE CANTOS DE FORJADO O VIGAS DE CUELGUE DE HORMIGÓN ARMADO C/GEOLITE 40 de KERAKOLL Y MAPEFER 1K DE MAPEI (30 cm &lt; h &lt;= 50 cm); INCLUYE REFUERZO METÁLICO COMPLEMENTARIO</t>
  </si>
  <si>
    <t xml:space="preserve">ma-lp-00136728</t>
  </si>
  <si>
    <t xml:space="preserve">Material</t>
  </si>
  <si>
    <t xml:space="preserve">envase</t>
  </si>
  <si>
    <t xml:space="preserve">Convertidor de óxido CONVERTÓXIDO de BARPIMO (1 litro/envase).   Ref. lp-00136728</t>
  </si>
  <si>
    <t xml:space="preserve">ma-lp-00540914</t>
  </si>
  <si>
    <t xml:space="preserve">Material</t>
  </si>
  <si>
    <t xml:space="preserve">saco</t>
  </si>
  <si>
    <t xml:space="preserve">Mortero de reparación y pasivante MAPEFER 1K (5 kg/saco)   Ref. lp-00540914</t>
  </si>
  <si>
    <t xml:space="preserve">ma-lp-00001705</t>
  </si>
  <si>
    <t xml:space="preserve">Material</t>
  </si>
  <si>
    <t xml:space="preserve">rollo</t>
  </si>
  <si>
    <t xml:space="preserve">Malla de fibra de vidrio azul para refuerzo de morteros y revocos (rollo 50x1 m)   Ref. lp-00001705</t>
  </si>
  <si>
    <t xml:space="preserve">ma-lp-00539210</t>
  </si>
  <si>
    <t xml:space="preserve">Material</t>
  </si>
  <si>
    <t xml:space="preserve">saco</t>
  </si>
  <si>
    <t xml:space="preserve">Mortero de reparación GEOLITE 40 de KERAKOLL (25 kg/saco)   Ref. lp-00539210</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</si>
  <si>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</si>
  <si>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</si>
  <si>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</si>
  <si>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</si>
  <si>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</si>
  <si>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</si>
  <si>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</si>
  <si>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</si>
  <si>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</si>
  <si>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</si>
  <si>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</si>
  <si>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</si>
  <si>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</si>
  <si>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</si>
  <si>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</si>
  <si>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</si>
  <si>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</si>
  <si>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</si>
  <si>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</si>
  <si>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</si>
  <si>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</si>
  <si>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</si>
  <si>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</si>
  <si>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</si>
  <si>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</si>
  <si>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</si>
  <si>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</si>
  <si>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</si>
  <si>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</si>
  <si>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</si>
  <si>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</si>
  <si>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</si>
  <si>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</si>
  <si>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</si>
  <si>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</si>
  <si>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</si>
  <si>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</si>
  <si>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</si>
  <si>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</si>
  <si>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</si>
  <si>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</si>
  <si>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</si>
  <si>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</si>
  <si>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</si>
  <si>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STRCHA16-MNR-V-20-GDK-CR-50</t>
  </si>
  <si>
    <t xml:space="preserve">STRCHA16-MNR-V-20-TCH-CR-30</t>
  </si>
  <si>
    <t xml:space="preserve">Partida</t>
  </si>
  <si>
    <t xml:space="preserve">m</t>
  </si>
  <si>
    <t xml:space="preserve">XXXXXX REPARACIÓN 20 mm DE CANTOS DE FORJADO O VIGAS DE CUELGUE DE HORMIGÓN ARMADO C/REPAR TECHNO Y BETOPRIM DE PROPAMSA (h &lt;= 30 cm); INCLUYE REFUERZO METÁLICO COMPLEMENTARIO</t>
  </si>
  <si>
    <t xml:space="preserve">REPARACIÓN 20 mm DE CANTOS DE FORJADO O VIGAS DE CUELGUE DE HORMIGÓN ARMADO C/REPAR TECHNO Y BETOPRIM DE PROPAMSA (h &lt;= 30 cm);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</si>
  <si>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</si>
  <si>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</si>
  <si>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</si>
  <si>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</si>
  <si>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</si>
  <si>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</si>
  <si>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</si>
  <si>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</si>
  <si>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ma-lp-00001705</t>
  </si>
  <si>
    <t xml:space="preserve">Material</t>
  </si>
  <si>
    <t xml:space="preserve">rollo</t>
  </si>
  <si>
    <t xml:space="preserve">Malla de fibra de vidrio azul para refuerzo de morteros y revocos (rollo 50x1 m)   Ref. lp-00001705</t>
  </si>
  <si>
    <t xml:space="preserve">ma-lp-00540827</t>
  </si>
  <si>
    <t xml:space="preserve">Material</t>
  </si>
  <si>
    <t xml:space="preserve">saco</t>
  </si>
  <si>
    <t xml:space="preserve">Mortero de reparación estructural R4 PROPAM REPAR TECHNO (25 kg/saco)   Ref. lp-00540827</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</si>
  <si>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</si>
  <si>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</si>
  <si>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</si>
  <si>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</si>
  <si>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</si>
  <si>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</si>
  <si>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</si>
  <si>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</si>
  <si>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</si>
  <si>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</si>
  <si>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</si>
  <si>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</si>
  <si>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</si>
  <si>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</si>
  <si>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</si>
  <si>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</si>
  <si>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</si>
  <si>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</si>
  <si>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</si>
  <si>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</si>
  <si>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</si>
  <si>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</si>
  <si>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</si>
  <si>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</si>
  <si>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</si>
  <si>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</si>
  <si>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</si>
  <si>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</si>
  <si>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</si>
  <si>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</si>
  <si>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</si>
  <si>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</si>
  <si>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</si>
  <si>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</si>
  <si>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</si>
  <si>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</si>
  <si>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</si>
  <si>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</si>
  <si>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</si>
  <si>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</si>
  <si>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</si>
  <si>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</si>
  <si>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</si>
  <si>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</si>
  <si>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STRCHA16-MNR-V-20-TCH-CR-30</t>
  </si>
  <si>
    <t xml:space="preserve">STRCHA16-MNR-V-20-TCH-CR-50</t>
  </si>
  <si>
    <t xml:space="preserve">Partida</t>
  </si>
  <si>
    <t xml:space="preserve">m</t>
  </si>
  <si>
    <t xml:space="preserve">XXXXXX REPARACIÓN 20 mm DE CANTOS DE FORJADO O VIGAS DE CUELGUE DE HORMIGÓN ARMADO C/REPAR TECHNO Y BETOPRIM DE PROPAMSA (30 cm &lt; h &lt;= 50 cm); INCLUYE REFUERZO METÁLICO COMPLEMENTARIO</t>
  </si>
  <si>
    <t xml:space="preserve">REPARACIÓN 20 mm DE CANTOS DE FORJADO O VIGAS DE CUELGUE DE HORMIGÓN ARMADO C/REPAR TECHNO Y BETOPRIM DE PROPAMSA (30 cm &lt; h &lt;= 50 cm); INCLUYE REFUERZO METÁLICO COMPLEMENTARIO</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</si>
  <si>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</si>
  <si>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</si>
  <si>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</si>
  <si>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</si>
  <si>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</si>
  <si>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</si>
  <si>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</si>
  <si>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</si>
  <si>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ma-lp-00001705</t>
  </si>
  <si>
    <t xml:space="preserve">Material</t>
  </si>
  <si>
    <t xml:space="preserve">rollo</t>
  </si>
  <si>
    <t xml:space="preserve">Malla de fibra de vidrio azul para refuerzo de morteros y revocos (rollo 50x1 m)   Ref. lp-00001705</t>
  </si>
  <si>
    <t xml:space="preserve">ma-lp-00540827</t>
  </si>
  <si>
    <t xml:space="preserve">Material</t>
  </si>
  <si>
    <t xml:space="preserve">saco</t>
  </si>
  <si>
    <t xml:space="preserve">Mortero de reparación estructural R4 PROPAM REPAR TECHNO (25 kg/saco)   Ref. lp-00540827</t>
  </si>
  <si>
    <t xml:space="preserve">ma-lp-00277865</t>
  </si>
  <si>
    <t xml:space="preserve">Material</t>
  </si>
  <si>
    <t xml:space="preserve">pza</t>
  </si>
  <si>
    <t xml:space="preserve">Redondo acero corrugado diámetro 10 mm (2 m/pza)   Ref. lp-00277865</t>
  </si>
  <si>
    <t xml:space="preserve">ma-lp-00222965</t>
  </si>
  <si>
    <t xml:space="preserve">Material</t>
  </si>
  <si>
    <t xml:space="preserve">und</t>
  </si>
  <si>
    <t xml:space="preserve">Tablero de encofrar tricapa de madera de abeto 1970x500x27 mm   Ref. lp-00222965</t>
  </si>
  <si>
    <t xml:space="preserve">ma-lp-00351172</t>
  </si>
  <si>
    <t xml:space="preserve">Material</t>
  </si>
  <si>
    <t xml:space="preserve">caja</t>
  </si>
  <si>
    <t xml:space="preserve">Electrodo Rutilo 6013  2,5x350 mm (5kg o 55 varillas/caja)   Ref. lp-00351172</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</si>
  <si>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</si>
  <si>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</si>
  <si>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</si>
  <si>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</si>
  <si>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</si>
  <si>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</si>
  <si>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</si>
  <si>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</si>
  <si>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</si>
  <si>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</si>
  <si>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</si>
  <si>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</si>
  <si>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</si>
  <si>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</si>
  <si>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</si>
  <si>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</si>
  <si>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</si>
  <si>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</si>
  <si>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</si>
  <si>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</si>
  <si>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</si>
  <si>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</si>
  <si>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</si>
  <si>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</si>
  <si>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</si>
  <si>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</si>
  <si>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</si>
  <si>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</si>
  <si>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</si>
  <si>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</si>
  <si>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</si>
  <si>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</si>
  <si>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STRCHA16-MNR-V-20-TCH-CR-50</t>
  </si>
  <si>
    <t xml:space="preserve">STRCHA20-PERFIL10-BTP-AT</t>
  </si>
  <si>
    <t xml:space="preserve">Partida</t>
  </si>
  <si>
    <t xml:space="preserve">m</t>
  </si>
  <si>
    <t xml:space="preserve">XXXXXX PASIVACIÓN Y PUENTE DE UNIÓN "BETOPRIM/PROPAMSA" EN ANDAMIO TUBULAR DE PERFIL IPN10</t>
  </si>
  <si>
    <t xml:space="preserve">Pasivación y puente de unión "BETOPRIM/PROPAMSA" en andamio tubular de perfil IPN10</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</si>
  <si>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</si>
  <si>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</si>
  <si>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</si>
  <si>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</si>
  <si>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</si>
  <si>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</si>
  <si>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</si>
  <si>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</si>
  <si>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</si>
  <si>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</si>
  <si>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</si>
  <si>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</si>
  <si>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</si>
  <si>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</si>
  <si>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</si>
  <si>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</si>
  <si>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</si>
  <si>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</si>
  <si>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</si>
  <si>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</si>
  <si>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</si>
  <si>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</si>
  <si>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</si>
  <si>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</si>
  <si>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</si>
  <si>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</si>
  <si>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</si>
  <si>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</si>
  <si>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STRCHA20-PERFIL10-BTP-AT</t>
  </si>
  <si>
    <t xml:space="preserve">STRCHA20-PERFIL12-BTP-AT</t>
  </si>
  <si>
    <t xml:space="preserve">Partida</t>
  </si>
  <si>
    <t xml:space="preserve">m</t>
  </si>
  <si>
    <t xml:space="preserve">XXXXXX PASIVACIÓN Y PUENTE DE UNIÓN "BETOPRIM/PROPAMSA" EN ANDAMIO TUBULAR DE PERFIL IPN12</t>
  </si>
  <si>
    <t xml:space="preserve">Pasivación y puente de unión "BETOPRIM/PROPAMSA" en andamio tubular de perfil IPN12</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</si>
  <si>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</si>
  <si>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</si>
  <si>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</si>
  <si>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</si>
  <si>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</si>
  <si>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</si>
  <si>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</si>
  <si>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</si>
  <si>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</si>
  <si>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</si>
  <si>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</si>
  <si>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</si>
  <si>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</si>
  <si>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</si>
  <si>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</si>
  <si>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</si>
  <si>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</si>
  <si>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</si>
  <si>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</si>
  <si>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</si>
  <si>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</si>
  <si>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</si>
  <si>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</si>
  <si>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</si>
  <si>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</si>
  <si>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</si>
  <si>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</si>
  <si>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</si>
  <si>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STRCHA20-PERFIL12-BTP-AT</t>
  </si>
  <si>
    <t xml:space="preserve">STRCHA20-PERFIL14-BTP-AT</t>
  </si>
  <si>
    <t xml:space="preserve">Partida</t>
  </si>
  <si>
    <t xml:space="preserve">m</t>
  </si>
  <si>
    <t xml:space="preserve">XXXXXX PASIVACIÓN Y PUENTE DE UNIÓN "BETOPRIM/PROPAMSA" EN ANDAMIO TUBULAR DE PERFIL IPN14</t>
  </si>
  <si>
    <t xml:space="preserve">Pasivación y puente de unión "BETOPRIM/PROPAMSA" en andamio tubular de perfil IPN14</t>
  </si>
  <si>
    <t xml:space="preserve">ma-lp-00136728</t>
  </si>
  <si>
    <t xml:space="preserve">Material</t>
  </si>
  <si>
    <t xml:space="preserve">envase</t>
  </si>
  <si>
    <t xml:space="preserve">Convertidor de óxido CONVERTÓXIDO de BARPIMO (1 litro/envase).   Ref. lp-00136728</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</si>
  <si>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</si>
  <si>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</si>
  <si>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</si>
  <si>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</si>
  <si>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</si>
  <si>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</si>
  <si>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</si>
  <si>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</si>
  <si>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</si>
  <si>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</si>
  <si>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</si>
  <si>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</si>
  <si>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</si>
  <si>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</si>
  <si>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</si>
  <si>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</si>
  <si>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</si>
  <si>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</si>
  <si>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</si>
  <si>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</si>
  <si>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</si>
  <si>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</si>
  <si>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</si>
  <si>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</si>
  <si>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STRCHA20-PERFIL14-BTP-AT</t>
  </si>
  <si>
    <t xml:space="preserve">STRCHA</t>
  </si>
  <si>
    <t xml:space="preserve">STRCA</t>
  </si>
  <si>
    <t xml:space="preserve">Capítulo</t>
  </si>
  <si>
    <t xml:space="preserve">ACERO</t>
  </si>
  <si>
    <t xml:space="preserve">STRCA01</t>
  </si>
  <si>
    <t xml:space="preserve">Partida</t>
  </si>
  <si>
    <t xml:space="preserve">PAR</t>
  </si>
  <si>
    <t xml:space="preserve">REFUERZO DE VIGA C/ANGULO 90X90X9MM: PRINCIPE DE VAINA, 5 - PLANTA 4ª</t>
  </si>
  <si>
    <t xml:space="preserve">REFUERZO DE VIGA C/ANGULO 90X90X9MM: PRINCIPE DE VAINA, 5 - PLANTA 4ª</t>
  </si>
  <si>
    <t xml:space="preserve">STRCA0101</t>
  </si>
  <si>
    <t xml:space="preserve">Partida</t>
  </si>
  <si>
    <t xml:space="preserve">M2</t>
  </si>
  <si>
    <t xml:space="preserve">Enderroc integral de fals sostre de plaques de cartró-guix</t>
  </si>
  <si>
    <t xml:space="preserve">02AYUDANTES</t>
  </si>
  <si>
    <t xml:space="preserve">Mano de obra</t>
  </si>
  <si>
    <t xml:space="preserve">h</t>
  </si>
  <si>
    <t xml:space="preserve">Mano de obra: 2 Ayudantes</t>
  </si>
  <si>
    <t xml:space="preserve">STRCA0101</t>
  </si>
  <si>
    <t xml:space="preserve">STRCA0102</t>
  </si>
  <si>
    <t xml:space="preserve">Partida</t>
  </si>
  <si>
    <t xml:space="preserve">U</t>
  </si>
  <si>
    <t xml:space="preserve">Escatat integral de les bigues de fusta</t>
  </si>
  <si>
    <t xml:space="preserve">02AYUDANTES</t>
  </si>
  <si>
    <t xml:space="preserve">Mano de obra</t>
  </si>
  <si>
    <t xml:space="preserve">h</t>
  </si>
  <si>
    <t xml:space="preserve">Mano de obra: 2 Ayudantes</t>
  </si>
  <si>
    <t xml:space="preserve">STRCA0102</t>
  </si>
  <si>
    <t xml:space="preserve">STRCA0103</t>
  </si>
  <si>
    <t xml:space="preserve">Partida</t>
  </si>
  <si>
    <t xml:space="preserve">U</t>
  </si>
  <si>
    <t xml:space="preserve">Formació de nou forat per a extracció de fums de cuina al costat de l'existent</t>
  </si>
  <si>
    <t xml:space="preserve">GASFRIG</t>
  </si>
  <si>
    <t xml:space="preserve">Material</t>
  </si>
  <si>
    <t xml:space="preserve">U</t>
  </si>
  <si>
    <t xml:space="preserve">Gas frigorifico</t>
  </si>
  <si>
    <t xml:space="preserve">m.o.1</t>
  </si>
  <si>
    <t xml:space="preserve">Mano de obra</t>
  </si>
  <si>
    <t xml:space="preserve">h</t>
  </si>
  <si>
    <t xml:space="preserve">Mano de Obra: 1 Oficial de 1ª, 1 Ayudante y 1/2 Ayudante</t>
  </si>
  <si>
    <t xml:space="preserve">STRCA0103</t>
  </si>
  <si>
    <t xml:space="preserve">STRCA0104</t>
  </si>
  <si>
    <t xml:space="preserve">Partida</t>
  </si>
  <si>
    <t xml:space="preserve">U</t>
  </si>
  <si>
    <t xml:space="preserve">Subministrament i colocació de perfils angulars de 90x90x9mm</t>
  </si>
  <si>
    <t xml:space="preserve">PERANG90x90</t>
  </si>
  <si>
    <t xml:space="preserve">Material</t>
  </si>
  <si>
    <t xml:space="preserve">u</t>
  </si>
  <si>
    <t xml:space="preserve">Perfils angulars de 90x90x9mm de 344cm de llarg</t>
  </si>
  <si>
    <t xml:space="preserve">PLETINA</t>
  </si>
  <si>
    <t xml:space="preserve">Material</t>
  </si>
  <si>
    <t xml:space="preserve">u</t>
  </si>
  <si>
    <t xml:space="preserve">Platina de 150x90x8mm amb dos forats colissos de 14mm de diametre i 30mm d'alçada separats 90mm.</t>
  </si>
  <si>
    <t xml:space="preserve">ANCLM12</t>
  </si>
  <si>
    <t xml:space="preserve">Material</t>
  </si>
  <si>
    <t xml:space="preserve">u</t>
  </si>
  <si>
    <t xml:space="preserve">Anclaje pared M12</t>
  </si>
  <si>
    <t xml:space="preserve">00557751</t>
  </si>
  <si>
    <t xml:space="preserve">Material</t>
  </si>
  <si>
    <t xml:space="preserve">u</t>
  </si>
  <si>
    <t xml:space="preserve">ANCLAJE QUÍMICO BIGMAT EPOXI SIN ESTIRENO 300 ML Ref.: 00557751</t>
  </si>
  <si>
    <t xml:space="preserve">PERMISOVP</t>
  </si>
  <si>
    <t xml:space="preserve">Material</t>
  </si>
  <si>
    <t xml:space="preserve">u</t>
  </si>
  <si>
    <t xml:space="preserve">Permiso de Via publica</t>
  </si>
  <si>
    <t xml:space="preserve">WEBER600</t>
  </si>
  <si>
    <t xml:space="preserve">Material</t>
  </si>
  <si>
    <t xml:space="preserve">u</t>
  </si>
  <si>
    <t xml:space="preserve">WeberTec Grout 600 25Kg. Gris</t>
  </si>
  <si>
    <t xml:space="preserve">TRNS</t>
  </si>
  <si>
    <t xml:space="preserve">Maquinaria</t>
  </si>
  <si>
    <t xml:space="preserve">u</t>
  </si>
  <si>
    <t xml:space="preserve">Transporte</t>
  </si>
  <si>
    <t xml:space="preserve">GRUA</t>
  </si>
  <si>
    <t xml:space="preserve">Maquinaria</t>
  </si>
  <si>
    <t xml:space="preserve">u</t>
  </si>
  <si>
    <t xml:space="preserve">Grua</t>
  </si>
  <si>
    <t xml:space="preserve">m.o.1.e</t>
  </si>
  <si>
    <t xml:space="preserve">Mano de obra</t>
  </si>
  <si>
    <t xml:space="preserve">h</t>
  </si>
  <si>
    <t xml:space="preserve">Mano de obra Especializada: 1 Oficial + 2 Ayudante</t>
  </si>
  <si>
    <t xml:space="preserve">STRCA0104</t>
  </si>
  <si>
    <t xml:space="preserve">STRCA0105</t>
  </si>
  <si>
    <t xml:space="preserve">Partida</t>
  </si>
  <si>
    <t xml:space="preserve">U</t>
  </si>
  <si>
    <t xml:space="preserve">Reblert dels forats resultants en la jàssera de fusta del passadís</t>
  </si>
  <si>
    <t xml:space="preserve">00000364</t>
  </si>
  <si>
    <t xml:space="preserve">Material</t>
  </si>
  <si>
    <t xml:space="preserve">u</t>
  </si>
  <si>
    <t xml:space="preserve">LADRILLO CERÁMICO NATURAL HIDROFUGADO 24X11,5X5 MARRÓN Ref.: 00000364</t>
  </si>
  <si>
    <t xml:space="preserve">SIKA612U</t>
  </si>
  <si>
    <t xml:space="preserve">Material</t>
  </si>
  <si>
    <t xml:space="preserve">u</t>
  </si>
  <si>
    <t xml:space="preserve">Sika Monotop 612. 25 kg</t>
  </si>
  <si>
    <t xml:space="preserve">m.o.1</t>
  </si>
  <si>
    <t xml:space="preserve">Mano de obra</t>
  </si>
  <si>
    <t xml:space="preserve">h</t>
  </si>
  <si>
    <t xml:space="preserve">Mano de Obra: 1 Oficial de 1ª, 1 Ayudante y 1/2 Ayudante</t>
  </si>
  <si>
    <t xml:space="preserve">STRCA0105</t>
  </si>
  <si>
    <t xml:space="preserve">STRCA0106</t>
  </si>
  <si>
    <t xml:space="preserve">Partida</t>
  </si>
  <si>
    <t xml:space="preserve">M2</t>
  </si>
  <si>
    <t xml:space="preserve">Formació de nou fals sostre</t>
  </si>
  <si>
    <t xml:space="preserve">TECHHIDRO</t>
  </si>
  <si>
    <t xml:space="preserve">Material</t>
  </si>
  <si>
    <t xml:space="preserve">u</t>
  </si>
  <si>
    <t xml:space="preserve">Falso techo Hidrofugo  con Omega</t>
  </si>
  <si>
    <t xml:space="preserve">m.o.1</t>
  </si>
  <si>
    <t xml:space="preserve">Mano de obra</t>
  </si>
  <si>
    <t xml:space="preserve">h</t>
  </si>
  <si>
    <t xml:space="preserve">Mano de Obra: 1 Oficial de 1ª, 1 Ayudante y 1/2 Ayudante</t>
  </si>
  <si>
    <t xml:space="preserve">STRCA0106</t>
  </si>
  <si>
    <t xml:space="preserve">STRCA0107</t>
  </si>
  <si>
    <t xml:space="preserve">Partida</t>
  </si>
  <si>
    <t xml:space="preserve">M2</t>
  </si>
  <si>
    <t xml:space="preserve">Pintat de sostres i paraments de les estances afectades</t>
  </si>
  <si>
    <t xml:space="preserve">PINTACRI</t>
  </si>
  <si>
    <t xml:space="preserve">Material</t>
  </si>
  <si>
    <t xml:space="preserve">l</t>
  </si>
  <si>
    <t xml:space="preserve">Pintura acrilica</t>
  </si>
  <si>
    <t xml:space="preserve">IMP</t>
  </si>
  <si>
    <t xml:space="preserve">Material</t>
  </si>
  <si>
    <t xml:space="preserve">l</t>
  </si>
  <si>
    <t xml:space="preserve">Imprimacion</t>
  </si>
  <si>
    <t xml:space="preserve">m.o.1</t>
  </si>
  <si>
    <t xml:space="preserve">Mano de obra</t>
  </si>
  <si>
    <t xml:space="preserve">h</t>
  </si>
  <si>
    <t xml:space="preserve">Mano de Obra: 1 Oficial de 1ª, 1 Ayudante y 1/2 Ayudante</t>
  </si>
  <si>
    <t xml:space="preserve">STRCA0107</t>
  </si>
  <si>
    <t xml:space="preserve">GES001</t>
  </si>
  <si>
    <t xml:space="preserve">Partida</t>
  </si>
  <si>
    <t xml:space="preserve">M3</t>
  </si>
  <si>
    <t xml:space="preserve">GESTION DE RESIDUOS</t>
  </si>
  <si>
    <t xml:space="preserve">BIGBAG01</t>
  </si>
  <si>
    <t xml:space="preserve">Material</t>
  </si>
  <si>
    <t xml:space="preserve">saco</t>
  </si>
  <si>
    <t xml:space="preserve">Big Bag runa 1m3</t>
  </si>
  <si>
    <t xml:space="preserve">ma-lp-00019688</t>
  </si>
  <si>
    <t xml:space="preserve">Material</t>
  </si>
  <si>
    <t xml:space="preserve">und</t>
  </si>
  <si>
    <t xml:space="preserve">Saco de rafia para materiales y escombros; 50x90 cm    Ref. lp-00019688</t>
  </si>
  <si>
    <t xml:space="preserve">ADM01</t>
  </si>
  <si>
    <t xml:space="preserve">Material</t>
  </si>
  <si>
    <t xml:space="preserve">PAR</t>
  </si>
  <si>
    <t xml:space="preserve">Gestion del certificado de residuos</t>
  </si>
  <si>
    <t xml:space="preserve">moc-std1-generico</t>
  </si>
  <si>
    <t xml:space="preserve">Partida</t>
  </si>
  <si>
    <t xml:space="preserve">h</t>
  </si>
  <si>
    <t xml:space="preserve">Cuadrilla Std1 - 1 Oficial de 1ª, 1 Ayudante y 1/5 Ayudante</t>
  </si>
  <si>
    <t xml:space="preserve">GES001</t>
  </si>
  <si>
    <t xml:space="preserve">STRCA01</t>
  </si>
  <si>
    <t xml:space="preserve">STRCA02</t>
  </si>
  <si>
    <t xml:space="preserve">Partida</t>
  </si>
  <si>
    <t xml:space="preserve">PAR</t>
  </si>
  <si>
    <t xml:space="preserve">REFUERZO DE VIGA C/MECANOVIGA: SANT ANTONIO ABAT, 29 - LOCAL</t>
  </si>
  <si>
    <t xml:space="preserve">REFUERZO DE VIGA C/MECANOVIGA: SANT ANTONIO ABAT, 29 - LOCAL</t>
  </si>
  <si>
    <t xml:space="preserve">STRCA0201</t>
  </si>
  <si>
    <t xml:space="preserve">Partida</t>
  </si>
  <si>
    <t xml:space="preserve">U</t>
  </si>
  <si>
    <t xml:space="preserve">AYUDAS DE ALBAÑILERIA</t>
  </si>
  <si>
    <t xml:space="preserve">m.o.1</t>
  </si>
  <si>
    <t xml:space="preserve">Mano de obra</t>
  </si>
  <si>
    <t xml:space="preserve">h</t>
  </si>
  <si>
    <t xml:space="preserve">Mano de Obra: 1 Oficial de 1ª, 1 Ayudante y 1/2 Ayudante</t>
  </si>
  <si>
    <t xml:space="preserve">STRCA0201</t>
  </si>
  <si>
    <t xml:space="preserve">STRCA0202</t>
  </si>
  <si>
    <t xml:space="preserve">Partida</t>
  </si>
  <si>
    <t xml:space="preserve">U</t>
  </si>
  <si>
    <t xml:space="preserve">REFUERZO DE VIGA DE 4.04 M MECANOVIGA</t>
  </si>
  <si>
    <t xml:space="preserve">00551136</t>
  </si>
  <si>
    <t xml:space="preserve">Material</t>
  </si>
  <si>
    <t xml:space="preserve">u</t>
  </si>
  <si>
    <t xml:space="preserve">ANCLAJE QUÍMICO BIGMAT EPOXI SIN ESTIRENO 410 ML Ref.: 00551136</t>
  </si>
  <si>
    <t xml:space="preserve">00016913</t>
  </si>
  <si>
    <t xml:space="preserve">Material</t>
  </si>
  <si>
    <t xml:space="preserve">u</t>
  </si>
  <si>
    <t xml:space="preserve">VARILLA FIS GS M12X120 B FISCHER Ref.: 00016913</t>
  </si>
  <si>
    <t xml:space="preserve">ANCLM12</t>
  </si>
  <si>
    <t xml:space="preserve">Material</t>
  </si>
  <si>
    <t xml:space="preserve">u</t>
  </si>
  <si>
    <t xml:space="preserve">Anclaje pared M12</t>
  </si>
  <si>
    <t xml:space="preserve">00557751</t>
  </si>
  <si>
    <t xml:space="preserve">Material</t>
  </si>
  <si>
    <t xml:space="preserve">u</t>
  </si>
  <si>
    <t xml:space="preserve">ANCLAJE QUÍMICO BIGMAT EPOXI SIN ESTIRENO 300 ML Ref.: 00557751</t>
  </si>
  <si>
    <t xml:space="preserve">ret1</t>
  </si>
  <si>
    <t xml:space="preserve">Material</t>
  </si>
  <si>
    <t xml:space="preserve">u</t>
  </si>
  <si>
    <t xml:space="preserve">Retacado de las alas del perfil</t>
  </si>
  <si>
    <t xml:space="preserve">hor1</t>
  </si>
  <si>
    <t xml:space="preserve">Material</t>
  </si>
  <si>
    <t xml:space="preserve">u</t>
  </si>
  <si>
    <t xml:space="preserve">Horcel (espumante de mortero) 1 L</t>
  </si>
  <si>
    <t xml:space="preserve">horc1</t>
  </si>
  <si>
    <t xml:space="preserve">Material</t>
  </si>
  <si>
    <t xml:space="preserve">u</t>
  </si>
  <si>
    <t xml:space="preserve">Horcel (espumante de mortero) 1L</t>
  </si>
  <si>
    <t xml:space="preserve">IMPREV</t>
  </si>
  <si>
    <t xml:space="preserve">Material</t>
  </si>
  <si>
    <t xml:space="preserve">u</t>
  </si>
  <si>
    <t xml:space="preserve">Imprevistos</t>
  </si>
  <si>
    <t xml:space="preserve">m.o.1</t>
  </si>
  <si>
    <t xml:space="preserve">Mano de obra</t>
  </si>
  <si>
    <t xml:space="preserve">h</t>
  </si>
  <si>
    <t xml:space="preserve">Mano de Obra: 1 Oficial de 1ª, 1 Ayudante y 1/2 Ayudante</t>
  </si>
  <si>
    <t xml:space="preserve">cm</t>
  </si>
  <si>
    <t xml:space="preserve">Material</t>
  </si>
  <si>
    <t xml:space="preserve">kg</t>
  </si>
  <si>
    <t xml:space="preserve">Cemento portland</t>
  </si>
  <si>
    <t xml:space="preserve">HW-120</t>
  </si>
  <si>
    <t xml:space="preserve">Material</t>
  </si>
  <si>
    <t xml:space="preserve">u</t>
  </si>
  <si>
    <t xml:space="preserve">MVV 16 5000</t>
  </si>
  <si>
    <t xml:space="preserve">00551136</t>
  </si>
  <si>
    <t xml:space="preserve">Material</t>
  </si>
  <si>
    <t xml:space="preserve">u</t>
  </si>
  <si>
    <t xml:space="preserve">ANCLAJE QUÍMICO BIGMAT EPOXI SIN ESTIRENO 410 ML Ref.: 00551136</t>
  </si>
  <si>
    <t xml:space="preserve">00016913</t>
  </si>
  <si>
    <t xml:space="preserve">Material</t>
  </si>
  <si>
    <t xml:space="preserve">u</t>
  </si>
  <si>
    <t xml:space="preserve">VARILLA FIS GS M12X120 B FISCHER Ref.: 00016913</t>
  </si>
  <si>
    <t xml:space="preserve">Mort1</t>
  </si>
  <si>
    <t xml:space="preserve">Material</t>
  </si>
  <si>
    <t xml:space="preserve">kg</t>
  </si>
  <si>
    <t xml:space="preserve">Mortero (alas) modelo MVH 491-680</t>
  </si>
  <si>
    <t xml:space="preserve">TRNS</t>
  </si>
  <si>
    <t xml:space="preserve">Maquinaria</t>
  </si>
  <si>
    <t xml:space="preserve">u</t>
  </si>
  <si>
    <t xml:space="preserve">Transporte</t>
  </si>
  <si>
    <t xml:space="preserve">bomb1</t>
  </si>
  <si>
    <t xml:space="preserve">Material</t>
  </si>
  <si>
    <t xml:space="preserve">u</t>
  </si>
  <si>
    <t xml:space="preserve">Bomba de mortero celular + manguera</t>
  </si>
  <si>
    <t xml:space="preserve">cm</t>
  </si>
  <si>
    <t xml:space="preserve">Material</t>
  </si>
  <si>
    <t xml:space="preserve">kg</t>
  </si>
  <si>
    <t xml:space="preserve">Cemento portland</t>
  </si>
  <si>
    <t xml:space="preserve">STRCA0202</t>
  </si>
  <si>
    <t xml:space="preserve">STRCA0203</t>
  </si>
  <si>
    <t xml:space="preserve">Partida</t>
  </si>
  <si>
    <t xml:space="preserve">U</t>
  </si>
  <si>
    <t xml:space="preserve">REFUERZO DE 2 VIGAS CON ANGULO EN "L"</t>
  </si>
  <si>
    <t xml:space="preserve">mat2</t>
  </si>
  <si>
    <t xml:space="preserve">Material</t>
  </si>
  <si>
    <t xml:space="preserve">m</t>
  </si>
  <si>
    <t xml:space="preserve">Tubo cuadrado acero inoxidable 100 x 2,5 x 2,5 cm</t>
  </si>
  <si>
    <t xml:space="preserve">m.o.1.e</t>
  </si>
  <si>
    <t xml:space="preserve">Mano de obra</t>
  </si>
  <si>
    <t xml:space="preserve">h</t>
  </si>
  <si>
    <t xml:space="preserve">Mano de obra Especializada: 1 Oficial + 2 Ayudante</t>
  </si>
  <si>
    <t xml:space="preserve">STRCA0203</t>
  </si>
  <si>
    <t xml:space="preserve">STRCA02</t>
  </si>
  <si>
    <t xml:space="preserve">STRCA03</t>
  </si>
  <si>
    <t xml:space="preserve">Partida</t>
  </si>
  <si>
    <t xml:space="preserve">PAR</t>
  </si>
  <si>
    <t xml:space="preserve">PROTECCION PASIVA CONTRA INCENDIOS</t>
  </si>
  <si>
    <t xml:space="preserve">PROTECCION PASIVA CONTRA INCENDIOS</t>
  </si>
  <si>
    <t xml:space="preserve">STRCA0301</t>
  </si>
  <si>
    <t xml:space="preserve">Partida</t>
  </si>
  <si>
    <t xml:space="preserve">M2</t>
  </si>
  <si>
    <t xml:space="preserve">PROTECCION PASIVA CONTRA INCENDIOS DE ESTRUCTURA, CON MORTERO IGNIFUGO PROYECTADO ( PERLITA Y VERMICULITA)</t>
  </si>
  <si>
    <t xml:space="preserve">PERLI</t>
  </si>
  <si>
    <t xml:space="preserve">Material</t>
  </si>
  <si>
    <t xml:space="preserve">m3</t>
  </si>
  <si>
    <t xml:space="preserve">PERLIWOOL IGNIFUGO PERLITA Y VERMICULITA  300 Kg/m3 - 1.04€/KG</t>
  </si>
  <si>
    <t xml:space="preserve">alq-mezcladora1-s/c</t>
  </si>
  <si>
    <t xml:space="preserve">Maquinaria</t>
  </si>
  <si>
    <t xml:space="preserve">h</t>
  </si>
  <si>
    <t xml:space="preserve">Alquiler de Mezcladora Bombeadora para morteros</t>
  </si>
  <si>
    <t xml:space="preserve">m.o.1</t>
  </si>
  <si>
    <t xml:space="preserve">Mano de obra</t>
  </si>
  <si>
    <t xml:space="preserve">h</t>
  </si>
  <si>
    <t xml:space="preserve">Mano de Obra: 1 Oficial de 1ª, 1 Ayudante y 1/2 Ayudante</t>
  </si>
  <si>
    <t xml:space="preserve">STRCA0301</t>
  </si>
  <si>
    <t xml:space="preserve">STRCA03</t>
  </si>
  <si>
    <t xml:space="preserve">STRCA04</t>
  </si>
  <si>
    <t xml:space="preserve">Partida</t>
  </si>
  <si>
    <t xml:space="preserve">KG</t>
  </si>
  <si>
    <t xml:space="preserve">Acero laminado S235JR, perfil en caliente de las series IPN, IPE, HEB, HEA, HEM y UPN</t>
  </si>
  <si>
    <t xml:space="preserve">Acero laminado UNE-EN 10025 S235JR, en pieza simple de perfiles laminados en caliente de las series IPN, IPE, HEB, HEA, HEM y UPN, acabado con imprimación antioxidante, conformando elementos de anclaje, trabajado en taller y fijado mediante soldadura, para refuerzo estructural colocado a una altura de hasta 3 m. El precio incluye las soldaduras, los cortes, los despuntes, las piezas especiales, los casquillos y los elementos auxiliares de montaje.</t>
  </si>
  <si>
    <t xml:space="preserve">IPN</t>
  </si>
  <si>
    <t xml:space="preserve">Material</t>
  </si>
  <si>
    <t xml:space="preserve">kg</t>
  </si>
  <si>
    <t xml:space="preserve">Acero IPN</t>
  </si>
  <si>
    <t xml:space="preserve">SOLDADORA</t>
  </si>
  <si>
    <t xml:space="preserve">Material</t>
  </si>
  <si>
    <t xml:space="preserve">h</t>
  </si>
  <si>
    <t xml:space="preserve">Alquiler y auxiliares de soldadura</t>
  </si>
  <si>
    <t xml:space="preserve">00351244</t>
  </si>
  <si>
    <t xml:space="preserve">Material</t>
  </si>
  <si>
    <t xml:space="preserve">u</t>
  </si>
  <si>
    <t xml:space="preserve">ELECTRODO BASICO 3,2X350 MM 5 KG, 150 UDS Ref.: 00351244</t>
  </si>
  <si>
    <t xml:space="preserve">ma-lp-00016623</t>
  </si>
  <si>
    <t xml:space="preserve">Material</t>
  </si>
  <si>
    <t xml:space="preserve">u</t>
  </si>
  <si>
    <t xml:space="preserve">Anclaje químico Fischer FIS P PLUS 300 T cartucho de 300 ml + 1 boquilla mezcladora. Ref.: 00016623</t>
  </si>
  <si>
    <t xml:space="preserve">00016911</t>
  </si>
  <si>
    <t xml:space="preserve">Material</t>
  </si>
  <si>
    <t xml:space="preserve">u</t>
  </si>
  <si>
    <t xml:space="preserve">VARILLA FIS GS M10X120 B FISCHER Ref.: 00016911</t>
  </si>
  <si>
    <t xml:space="preserve">00016913</t>
  </si>
  <si>
    <t xml:space="preserve">Material</t>
  </si>
  <si>
    <t xml:space="preserve">u</t>
  </si>
  <si>
    <t xml:space="preserve">VARILLA FIS GS M12X120 B FISCHER Ref.: 00016913</t>
  </si>
  <si>
    <t xml:space="preserve">mo%</t>
  </si>
  <si>
    <t xml:space="preserve">%</t>
  </si>
  <si>
    <t xml:space="preserve">Herramientas Menores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</si>
  <si>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</si>
  <si>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</si>
  <si>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</si>
  <si>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</si>
  <si>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</si>
  <si>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</si>
  <si>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</si>
  <si>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</si>
  <si>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</si>
  <si>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</si>
  <si>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</si>
  <si>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</si>
  <si>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</si>
  <si>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</si>
  <si>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</si>
  <si>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</si>
  <si>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</si>
  <si>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STRCA04</t>
  </si>
  <si>
    <t xml:space="preserve">STRCA</t>
  </si>
  <si>
    <t xml:space="preserve">ESTRCRV</t>
  </si>
  <si>
    <t xml:space="preserve">Capítulo</t>
  </si>
  <si>
    <t xml:space="preserve">REFUERZOS DE VIGAS</t>
  </si>
  <si>
    <t xml:space="preserve">STRCRV01</t>
  </si>
  <si>
    <t xml:space="preserve">Partida</t>
  </si>
  <si>
    <t xml:space="preserve">U</t>
  </si>
  <si>
    <t xml:space="preserve">REFUERZO DE VIGA DE 4.04 M MECANOVIGA</t>
  </si>
  <si>
    <t xml:space="preserve">Suministro y colocacion de refuerzo en viga de metalica en mal estado o deteriorada, formado por perfiles, pletina union, de acero laminado UNE-EN 10025 S235JR, de 404 cm, apoyado sobre dos soportes metálicos de postensión, anclados al elemento de apoyo de la viga o vigueta de metalica, y posterior relleno de alas de la pieza en U con mortero de union R4 de retraccion controlada.</t>
  </si>
  <si>
    <t xml:space="preserve">00016913</t>
  </si>
  <si>
    <t xml:space="preserve">Material</t>
  </si>
  <si>
    <t xml:space="preserve">u</t>
  </si>
  <si>
    <t xml:space="preserve">VARILLA FIS GS M12X120 B FISCHER Ref.: 00016913</t>
  </si>
  <si>
    <t xml:space="preserve">ANCLM12</t>
  </si>
  <si>
    <t xml:space="preserve">Material</t>
  </si>
  <si>
    <t xml:space="preserve">u</t>
  </si>
  <si>
    <t xml:space="preserve">Anclaje pared M12</t>
  </si>
  <si>
    <t xml:space="preserve">00551136</t>
  </si>
  <si>
    <t xml:space="preserve">Material</t>
  </si>
  <si>
    <t xml:space="preserve">u</t>
  </si>
  <si>
    <t xml:space="preserve">ANCLAJE QUÍMICO BIGMAT EPOXI SIN ESTIRENO 410 ML Ref.: 00551136</t>
  </si>
  <si>
    <t xml:space="preserve">00557751</t>
  </si>
  <si>
    <t xml:space="preserve">Material</t>
  </si>
  <si>
    <t xml:space="preserve">u</t>
  </si>
  <si>
    <t xml:space="preserve">ANCLAJE QUÍMICO BIGMAT EPOXI SIN ESTIRENO 300 ML Ref.: 00557751</t>
  </si>
  <si>
    <t xml:space="preserve">ret1</t>
  </si>
  <si>
    <t xml:space="preserve">Material</t>
  </si>
  <si>
    <t xml:space="preserve">u</t>
  </si>
  <si>
    <t xml:space="preserve">Retacado de las alas del perfil</t>
  </si>
  <si>
    <t xml:space="preserve">hor1</t>
  </si>
  <si>
    <t xml:space="preserve">Material</t>
  </si>
  <si>
    <t xml:space="preserve">u</t>
  </si>
  <si>
    <t xml:space="preserve">Horcel (espumante de mortero) 1 L</t>
  </si>
  <si>
    <t xml:space="preserve">cm</t>
  </si>
  <si>
    <t xml:space="preserve">Material</t>
  </si>
  <si>
    <t xml:space="preserve">kg</t>
  </si>
  <si>
    <t xml:space="preserve">Cemento portland</t>
  </si>
  <si>
    <t xml:space="preserve">00551136</t>
  </si>
  <si>
    <t xml:space="preserve">Material</t>
  </si>
  <si>
    <t xml:space="preserve">u</t>
  </si>
  <si>
    <t xml:space="preserve">ANCLAJE QUÍMICO BIGMAT EPOXI SIN ESTIRENO 410 ML Ref.: 00551136</t>
  </si>
  <si>
    <t xml:space="preserve">HW-120</t>
  </si>
  <si>
    <t xml:space="preserve">Material</t>
  </si>
  <si>
    <t xml:space="preserve">u</t>
  </si>
  <si>
    <t xml:space="preserve">MVV 16 5000</t>
  </si>
  <si>
    <t xml:space="preserve">00016913</t>
  </si>
  <si>
    <t xml:space="preserve">Material</t>
  </si>
  <si>
    <t xml:space="preserve">u</t>
  </si>
  <si>
    <t xml:space="preserve">VARILLA FIS GS M12X120 B FISCHER Ref.: 00016913</t>
  </si>
  <si>
    <t xml:space="preserve">Mort1</t>
  </si>
  <si>
    <t xml:space="preserve">Material</t>
  </si>
  <si>
    <t xml:space="preserve">kg</t>
  </si>
  <si>
    <t xml:space="preserve">Mortero (alas) modelo MVH 491-680</t>
  </si>
  <si>
    <t xml:space="preserve">TRNS</t>
  </si>
  <si>
    <t xml:space="preserve">Maquinaria</t>
  </si>
  <si>
    <t xml:space="preserve">u</t>
  </si>
  <si>
    <t xml:space="preserve">Transporte</t>
  </si>
  <si>
    <t xml:space="preserve">horc1</t>
  </si>
  <si>
    <t xml:space="preserve">Material</t>
  </si>
  <si>
    <t xml:space="preserve">u</t>
  </si>
  <si>
    <t xml:space="preserve">Horcel (espumante de mortero) 1L</t>
  </si>
  <si>
    <t xml:space="preserve">bomb1</t>
  </si>
  <si>
    <t xml:space="preserve">Material</t>
  </si>
  <si>
    <t xml:space="preserve">u</t>
  </si>
  <si>
    <t xml:space="preserve">Bomba de mortero celular + manguera</t>
  </si>
  <si>
    <t xml:space="preserve">cm</t>
  </si>
  <si>
    <t xml:space="preserve">Material</t>
  </si>
  <si>
    <t xml:space="preserve">kg</t>
  </si>
  <si>
    <t xml:space="preserve">Cemento portland</t>
  </si>
  <si>
    <t xml:space="preserve">m.o.1.e</t>
  </si>
  <si>
    <t xml:space="preserve">Mano de obra</t>
  </si>
  <si>
    <t xml:space="preserve">h</t>
  </si>
  <si>
    <t xml:space="preserve">Mano de obra Especializada: 1 Oficial + 2 Ayudante</t>
  </si>
  <si>
    <t xml:space="preserve">IMPREV</t>
  </si>
  <si>
    <t xml:space="preserve">Material</t>
  </si>
  <si>
    <t xml:space="preserve">u</t>
  </si>
  <si>
    <t xml:space="preserve">Imprevistos</t>
  </si>
  <si>
    <t xml:space="preserve">STRCRV01</t>
  </si>
  <si>
    <t xml:space="preserve">STRCRV02</t>
  </si>
  <si>
    <t xml:space="preserve">Partida</t>
  </si>
  <si>
    <t xml:space="preserve">U</t>
  </si>
  <si>
    <t xml:space="preserve">REFUERZO DE VIGA DE 4.04 M NOU-BAU</t>
  </si>
  <si>
    <t xml:space="preserve">Suministro y colocacion de refuerzo en viga de metalica en mal estado o deteriorada, formado por perfiles, pletina union, de acero laminado UNE-EN 10025 S235JR, de 404 cm, apoyado sobre dos soportes metálicos de postensión, anclados al elemento de apoyo de la viga o vigueta de metalica, y posterior relleno de alas de la pieza en U con mortero de union R4 de retraccion controlada.</t>
  </si>
  <si>
    <t xml:space="preserve">VIG2</t>
  </si>
  <si>
    <t xml:space="preserve">Material</t>
  </si>
  <si>
    <t xml:space="preserve">u</t>
  </si>
  <si>
    <t xml:space="preserve">SUMINISTRO Y MONTAJE VIGAS DE 4.04M DE NOUBAU</t>
  </si>
  <si>
    <t xml:space="preserve">PRPTRAN</t>
  </si>
  <si>
    <t xml:space="preserve">Material</t>
  </si>
  <si>
    <t xml:space="preserve">u</t>
  </si>
  <si>
    <t xml:space="preserve">PREPARACION I TRANSPORTE</t>
  </si>
  <si>
    <t xml:space="preserve">STRCRV02</t>
  </si>
  <si>
    <t xml:space="preserve">STRCRV03</t>
  </si>
  <si>
    <t xml:space="preserve">Partida</t>
  </si>
  <si>
    <t xml:space="preserve">U</t>
  </si>
  <si>
    <t xml:space="preserve">REHABILITACION DE CABEZA DE VIGA</t>
  </si>
  <si>
    <t xml:space="preserve">Rehabilitacio de vigas de madera en cabeza de viga mediante sistema HERMS.
Incluye:
1) Protección de todo el mobiliario existente en la zona adyacente a la actuación, envolviendo los elementos con lámina de polietileno.
2) Apuntalamiento de la viga a tratar a 30cm de la pared, mediante alzaprima metalico, con descarga es sus extremos superior e inferior, sobre tablones de madera de 200x200x50mm. 
3) Apertura perimetral de la albañilería en el entorno de la viga para facilitar la extracción del trozo de viga en mal estado, y transporte de runa a vertedero.
4) Suministro e instalacion de refuerzo de viga con sistema HERMS de 30cm de largo, anclado a muro con tornillos M12.
5) Aplicación de pintura antioxidante.
6) Restitución de la albañilería mediante aplicación de mortero.
7) Revoco y dos manos de pintura similar a la existente.
8) Suministro y colocacion de techo de pladur, previa demolicion del mismo.</t>
  </si>
  <si>
    <t xml:space="preserve">STRCRV0301</t>
  </si>
  <si>
    <t xml:space="preserve">Partida</t>
  </si>
  <si>
    <t xml:space="preserve">M2</t>
  </si>
  <si>
    <t xml:space="preserve">PROTECCION DE PAVIMENTOS Y MOBILIARIO</t>
  </si>
  <si>
    <t xml:space="preserve">00139017</t>
  </si>
  <si>
    <t xml:space="preserve">Material</t>
  </si>
  <si>
    <t xml:space="preserve">u</t>
  </si>
  <si>
    <t xml:space="preserve">CARTÓN ONDULADO 50 M Ref.: 00139017</t>
  </si>
  <si>
    <t xml:space="preserve">00007667</t>
  </si>
  <si>
    <t xml:space="preserve">Material</t>
  </si>
  <si>
    <t xml:space="preserve">u</t>
  </si>
  <si>
    <t xml:space="preserve">PLÁSTICO CUBRETODO GRUESO 4X5 MIARCO Ref.: 00007667</t>
  </si>
  <si>
    <t xml:space="preserve">00534908</t>
  </si>
  <si>
    <t xml:space="preserve">Material</t>
  </si>
  <si>
    <t xml:space="preserve">u</t>
  </si>
  <si>
    <t xml:space="preserve">CINTA DE PINTOR KREPP 18 MM X 45 M Ref.: 00534908</t>
  </si>
  <si>
    <t xml:space="preserve">01AYUDANTE</t>
  </si>
  <si>
    <t xml:space="preserve">Mano de obra</t>
  </si>
  <si>
    <t xml:space="preserve">h</t>
  </si>
  <si>
    <t xml:space="preserve">Mano de Obra: 1 Ayudante</t>
  </si>
  <si>
    <t xml:space="preserve">STRCRV0301</t>
  </si>
  <si>
    <t xml:space="preserve">STRCRV0302</t>
  </si>
  <si>
    <t xml:space="preserve">Partida</t>
  </si>
  <si>
    <t xml:space="preserve">PAR</t>
  </si>
  <si>
    <t xml:space="preserve">AYUDAS DE ALBAÑILERIAS (entre 4ml)</t>
  </si>
  <si>
    <t xml:space="preserve">m.o.1</t>
  </si>
  <si>
    <t xml:space="preserve">Mano de obra</t>
  </si>
  <si>
    <t xml:space="preserve">h</t>
  </si>
  <si>
    <t xml:space="preserve">Mano de Obra: 1 Oficial de 1ª, 1 Ayudante y 1/2 Ayudante</t>
  </si>
  <si>
    <t xml:space="preserve">STRCRV0302</t>
  </si>
  <si>
    <t xml:space="preserve">STRCRV0303</t>
  </si>
  <si>
    <t xml:space="preserve">Partida</t>
  </si>
  <si>
    <t xml:space="preserve">M2</t>
  </si>
  <si>
    <t xml:space="preserve">PASIVADO Y TRATAMIENTO DE ARMADURA</t>
  </si>
  <si>
    <t xml:space="preserve">00540914</t>
  </si>
  <si>
    <t xml:space="preserve">Material</t>
  </si>
  <si>
    <t xml:space="preserve">kg</t>
  </si>
  <si>
    <t xml:space="preserve">MORTERO REPARACIÓN MAPEFER, 1K DE 5 KG Ref.: 00540914</t>
  </si>
  <si>
    <t xml:space="preserve">m.o.1</t>
  </si>
  <si>
    <t xml:space="preserve">Mano de obra</t>
  </si>
  <si>
    <t xml:space="preserve">h</t>
  </si>
  <si>
    <t xml:space="preserve">Mano de Obra: 1 Oficial de 1ª, 1 Ayudante y 1/2 Ayudante</t>
  </si>
  <si>
    <t xml:space="preserve">STRCRV0303</t>
  </si>
  <si>
    <t xml:space="preserve">STRCRV0304</t>
  </si>
  <si>
    <t xml:space="preserve">Partida</t>
  </si>
  <si>
    <t xml:space="preserve">U</t>
  </si>
  <si>
    <t xml:space="preserve">REFUERZO CABEZA DE VIGA DE MADERA HERMS</t>
  </si>
  <si>
    <t xml:space="preserve">CBZ1</t>
  </si>
  <si>
    <t xml:space="preserve">Material</t>
  </si>
  <si>
    <t xml:space="preserve">u</t>
  </si>
  <si>
    <t xml:space="preserve">Conjunto soporte cabeza de viga HERMS</t>
  </si>
  <si>
    <t xml:space="preserve">ANCLM12</t>
  </si>
  <si>
    <t xml:space="preserve">Material</t>
  </si>
  <si>
    <t xml:space="preserve">u</t>
  </si>
  <si>
    <t xml:space="preserve">Anclaje pared M12</t>
  </si>
  <si>
    <t xml:space="preserve">resn1</t>
  </si>
  <si>
    <t xml:space="preserve">Material</t>
  </si>
  <si>
    <t xml:space="preserve">u</t>
  </si>
  <si>
    <t xml:space="preserve">Cartuchos resina vinilester sin estireno</t>
  </si>
  <si>
    <t xml:space="preserve">r4s1</t>
  </si>
  <si>
    <t xml:space="preserve">Material</t>
  </si>
  <si>
    <t xml:space="preserve">u</t>
  </si>
  <si>
    <t xml:space="preserve">Sacos mortero de unión R4 de retracción controlada</t>
  </si>
  <si>
    <t xml:space="preserve">imprherms</t>
  </si>
  <si>
    <t xml:space="preserve">Material</t>
  </si>
  <si>
    <t xml:space="preserve">u</t>
  </si>
  <si>
    <t xml:space="preserve">Imprimación antioxidante TITAN SX-130 0,75 L</t>
  </si>
  <si>
    <t xml:space="preserve">disherms</t>
  </si>
  <si>
    <t xml:space="preserve">Material</t>
  </si>
  <si>
    <t xml:space="preserve">u</t>
  </si>
  <si>
    <t xml:space="preserve">Disolvente Universal TITAN</t>
  </si>
  <si>
    <t xml:space="preserve">rodl1</t>
  </si>
  <si>
    <t xml:space="preserve">Material</t>
  </si>
  <si>
    <t xml:space="preserve">u</t>
  </si>
  <si>
    <t xml:space="preserve">Rodillo espuma para imprimación</t>
  </si>
  <si>
    <t xml:space="preserve">m.o.1</t>
  </si>
  <si>
    <t xml:space="preserve">Mano de obra</t>
  </si>
  <si>
    <t xml:space="preserve">h</t>
  </si>
  <si>
    <t xml:space="preserve">Mano de Obra: 1 Oficial de 1ª, 1 Ayudante y 1/2 Ayudante</t>
  </si>
  <si>
    <t xml:space="preserve">STRCRV0304</t>
  </si>
  <si>
    <t xml:space="preserve">DEM01</t>
  </si>
  <si>
    <t xml:space="preserve">Partida</t>
  </si>
  <si>
    <t xml:space="preserve">M2</t>
  </si>
  <si>
    <t xml:space="preserve">DEMOLICION DE FALSO TECHO</t>
  </si>
  <si>
    <t xml:space="preserve">moc-std1-generico</t>
  </si>
  <si>
    <t xml:space="preserve">Partida</t>
  </si>
  <si>
    <t xml:space="preserve">h</t>
  </si>
  <si>
    <t xml:space="preserve">Cuadrilla Std1 - 1 Oficial de 1ª, 1 Ayudante y 1/5 Ayudante</t>
  </si>
  <si>
    <t xml:space="preserve">DEM01</t>
  </si>
  <si>
    <t xml:space="preserve">DEM002</t>
  </si>
  <si>
    <t xml:space="preserve">Partida</t>
  </si>
  <si>
    <t xml:space="preserve">M2</t>
  </si>
  <si>
    <t xml:space="preserve">o DEMOLICION DE MURO DE FABRICA ( RE / VE / BT / BJ / MT / AM / RF )</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</si>
  <si>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</si>
  <si>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</si>
  <si>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</si>
  <si>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</si>
  <si>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</si>
  <si>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</si>
  <si>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</si>
  <si>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DEM002</t>
  </si>
  <si>
    <t xml:space="preserve">GES001</t>
  </si>
  <si>
    <t xml:space="preserve">Partida</t>
  </si>
  <si>
    <t xml:space="preserve">M3</t>
  </si>
  <si>
    <t xml:space="preserve">GESTION DE RESIDUOS</t>
  </si>
  <si>
    <t xml:space="preserve">BIGBAG01</t>
  </si>
  <si>
    <t xml:space="preserve">Material</t>
  </si>
  <si>
    <t xml:space="preserve">saco</t>
  </si>
  <si>
    <t xml:space="preserve">Big Bag runa 1m3</t>
  </si>
  <si>
    <t xml:space="preserve">ma-lp-00019688</t>
  </si>
  <si>
    <t xml:space="preserve">Material</t>
  </si>
  <si>
    <t xml:space="preserve">und</t>
  </si>
  <si>
    <t xml:space="preserve">Saco de rafia para materiales y escombros; 50x90 cm    Ref. lp-00019688</t>
  </si>
  <si>
    <t xml:space="preserve">ADM01</t>
  </si>
  <si>
    <t xml:space="preserve">Material</t>
  </si>
  <si>
    <t xml:space="preserve">PAR</t>
  </si>
  <si>
    <t xml:space="preserve">Gestion del certificado de residuos</t>
  </si>
  <si>
    <t xml:space="preserve">moc-std1-generico</t>
  </si>
  <si>
    <t xml:space="preserve">Partida</t>
  </si>
  <si>
    <t xml:space="preserve">h</t>
  </si>
  <si>
    <t xml:space="preserve">Cuadrilla Std1 - 1 Oficial de 1ª, 1 Ayudante y 1/5 Ayudante</t>
  </si>
  <si>
    <t xml:space="preserve">GES001</t>
  </si>
  <si>
    <t xml:space="preserve">PRE013</t>
  </si>
  <si>
    <t xml:space="preserve">Partida</t>
  </si>
  <si>
    <t xml:space="preserve">U</t>
  </si>
  <si>
    <t xml:space="preserve">o APUNTALAMIENTO DE VIGAS</t>
  </si>
  <si>
    <t xml:space="preserve">ma-lp-00222965</t>
  </si>
  <si>
    <t xml:space="preserve">Material</t>
  </si>
  <si>
    <t xml:space="preserve">und</t>
  </si>
  <si>
    <t xml:space="preserve">Tablero de encofrar tricapa de madera de abeto 1970x500x27 mm   Ref. lp-00222965</t>
  </si>
  <si>
    <t xml:space="preserve">ma-lp-00019466</t>
  </si>
  <si>
    <t xml:space="preserve">Material</t>
  </si>
  <si>
    <t xml:space="preserve">und</t>
  </si>
  <si>
    <t xml:space="preserve">Puntal metálico telescópico P4N; 4 m Ø 48x2 / Ø 40x2   Ref. lp-00019466</t>
  </si>
  <si>
    <t xml:space="preserve">moc-std1-generico</t>
  </si>
  <si>
    <t xml:space="preserve">Partida</t>
  </si>
  <si>
    <t xml:space="preserve">h</t>
  </si>
  <si>
    <t xml:space="preserve">Cuadrilla Std1 - 1 Oficial de 1ª, 1 Ayudante y 1/5 Ayudante</t>
  </si>
  <si>
    <t xml:space="preserve">PRE013</t>
  </si>
  <si>
    <t xml:space="preserve">AUX</t>
  </si>
  <si>
    <t xml:space="preserve">Partida</t>
  </si>
  <si>
    <t xml:space="preserve">PAR</t>
  </si>
  <si>
    <t xml:space="preserve">XXXX BORRIQUETA METALICA</t>
  </si>
  <si>
    <t xml:space="preserve">ma-lp-00016940</t>
  </si>
  <si>
    <t xml:space="preserve">Material</t>
  </si>
  <si>
    <t xml:space="preserve">und</t>
  </si>
  <si>
    <t xml:space="preserve">Caballete/Borriqueta fija para andamio estándar (1x0,7 m/und).   Ref. lp-00016940</t>
  </si>
  <si>
    <t xml:space="preserve">moc-std1-generico</t>
  </si>
  <si>
    <t xml:space="preserve">Partida</t>
  </si>
  <si>
    <t xml:space="preserve">h</t>
  </si>
  <si>
    <t xml:space="preserve">Cuadrilla Std1 - 1 Oficial de 1ª, 1 Ayudante y 1/5 Ayudante</t>
  </si>
  <si>
    <t xml:space="preserve">AUX</t>
  </si>
  <si>
    <t xml:space="preserve">PINT002</t>
  </si>
  <si>
    <t xml:space="preserve">Partida</t>
  </si>
  <si>
    <t xml:space="preserve">M2</t>
  </si>
  <si>
    <t xml:space="preserve">o PINTURA TRANSPIRABLE PALAS-INTERFACHADAS</t>
  </si>
  <si>
    <t xml:space="preserve">0120100600</t>
  </si>
  <si>
    <t xml:space="preserve">Material</t>
  </si>
  <si>
    <t xml:space="preserve">U</t>
  </si>
  <si>
    <t xml:space="preserve">FT-PALAS INTER FACHADAS BLANCO 14L       PINTURAS PALACIOS</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</si>
  <si>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</si>
  <si>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</si>
  <si>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</si>
  <si>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</si>
  <si>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</si>
  <si>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</si>
  <si>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</si>
  <si>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</si>
  <si>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</si>
  <si>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</si>
  <si>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</si>
  <si>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</si>
  <si>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</si>
  <si>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</si>
  <si>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</si>
  <si>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</si>
  <si>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</si>
  <si>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</si>
  <si>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</si>
  <si>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</si>
  <si>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</si>
  <si>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</si>
  <si>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</si>
  <si>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</si>
  <si>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</si>
  <si>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</si>
  <si>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</si>
  <si>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PINT002</t>
  </si>
  <si>
    <t xml:space="preserve">REV05</t>
  </si>
  <si>
    <t xml:space="preserve">Partida</t>
  </si>
  <si>
    <t xml:space="preserve">M2</t>
  </si>
  <si>
    <t xml:space="preserve">REVESTIMIENTO DE YESO</t>
  </si>
  <si>
    <t xml:space="preserve">ma-lp-00001706</t>
  </si>
  <si>
    <t xml:space="preserve">Material</t>
  </si>
  <si>
    <t xml:space="preserve">rollo</t>
  </si>
  <si>
    <t xml:space="preserve">Malla de fibra de vidrio para yeso REGARSA con luz de 5x5 mm (50 m/rollo)   Ref. lp-00001706</t>
  </si>
  <si>
    <t xml:space="preserve">ma-lp-00579020</t>
  </si>
  <si>
    <t xml:space="preserve">Material</t>
  </si>
  <si>
    <t xml:space="preserve">saco</t>
  </si>
  <si>
    <t xml:space="preserve">Yeso controlado LONGIPS PREMIUM de PLACO (17 kg/saco).   Ref. lp-00579020</t>
  </si>
  <si>
    <t xml:space="preserve">ma-lp-00018144</t>
  </si>
  <si>
    <t xml:space="preserve">Material</t>
  </si>
  <si>
    <t xml:space="preserve">pza</t>
  </si>
  <si>
    <t xml:space="preserve">Esquinero pequeño monocapa para carga de 8 mm (2,5 m/pza).   Ref. lp-00018144</t>
  </si>
  <si>
    <t xml:space="preserve">00018338</t>
  </si>
  <si>
    <t xml:space="preserve">Material</t>
  </si>
  <si>
    <t xml:space="preserve">m</t>
  </si>
  <si>
    <t xml:space="preserve">GUARDAVIVO PVC 2,50 M Ref.: 00018338</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</si>
  <si>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</si>
  <si>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</si>
  <si>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</si>
  <si>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</si>
  <si>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</si>
  <si>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</si>
  <si>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</si>
  <si>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REV05</t>
  </si>
  <si>
    <t xml:space="preserve">FACHTEC03-OK</t>
  </si>
  <si>
    <t xml:space="preserve">Partida</t>
  </si>
  <si>
    <t xml:space="preserve">M2</t>
  </si>
  <si>
    <t xml:space="preserve">FALSO TECHO NORMAL</t>
  </si>
  <si>
    <t xml:space="preserve">m.o.1</t>
  </si>
  <si>
    <t xml:space="preserve">Mano de obra</t>
  </si>
  <si>
    <t xml:space="preserve">h</t>
  </si>
  <si>
    <t xml:space="preserve">Mano de Obra: 1 Oficial de 1ª, 1 Ayudante y 1/2 Ayudante</t>
  </si>
  <si>
    <t xml:space="preserve">tech1</t>
  </si>
  <si>
    <t xml:space="preserve">Material</t>
  </si>
  <si>
    <t xml:space="preserve">u</t>
  </si>
  <si>
    <t xml:space="preserve">Falso techo continuo NORMAL adosado, liso, 12,5+15+15</t>
  </si>
  <si>
    <t xml:space="preserve">FACHTEC03-OK</t>
  </si>
  <si>
    <t xml:space="preserve">STRCRV03</t>
  </si>
  <si>
    <t xml:space="preserve">STRCRV04</t>
  </si>
  <si>
    <t xml:space="preserve">Partida</t>
  </si>
  <si>
    <t xml:space="preserve">ML</t>
  </si>
  <si>
    <t xml:space="preserve">REFUERZO DE VIGA DE MECANOVIGA MVV12</t>
  </si>
  <si>
    <t xml:space="preserve">Rehabilitacio de vigas de madera en cabeza de viga mediante sistema HERMS.
Incluye:
1) Protección de todo el mobiliario existente en la zona adyacente a la actuación, envolviendo los elementos con lámina de polietileno.
2) Apuntalamiento de la viga a tratar a 30cm de la pared, mediante alzaprima metalico, con descarga es sus extremos superior e inferior, sobre tablones de madera de 200x200x50mm. 
3) Apertura perimetral de la albañilería en el entorno de la viga para facilitar la extracción del trozo de viga en mal estado, y transporte de runa a vertedero.
4) Suministro e instalacion de refuerzo de viga con sistema HERMS de 30cm de largo, anclado a muro con tornillos M12.
5) Aplicación de pintura antioxidante.
6) Restitución de la albañilería mediante aplicación de mortero.
7) Revoco y dos manos de pintura similar a la existente.
8) Suministro y colocacion de techo de pladur, previa demolicion del mismo.</t>
  </si>
  <si>
    <t xml:space="preserve">STRCRV0401</t>
  </si>
  <si>
    <t xml:space="preserve">Partida</t>
  </si>
  <si>
    <t xml:space="preserve">PAR</t>
  </si>
  <si>
    <t xml:space="preserve">MEDIOS AUXILIARES ANDAMIO</t>
  </si>
  <si>
    <t xml:space="preserve">00016940</t>
  </si>
  <si>
    <t xml:space="preserve">Material</t>
  </si>
  <si>
    <t xml:space="preserve">u</t>
  </si>
  <si>
    <t xml:space="preserve">BORRIQUETA FIJA 1 M Ref.: 00016940</t>
  </si>
  <si>
    <t xml:space="preserve">m.o.1</t>
  </si>
  <si>
    <t xml:space="preserve">Mano de obra</t>
  </si>
  <si>
    <t xml:space="preserve">h</t>
  </si>
  <si>
    <t xml:space="preserve">Mano de Obra: 1 Oficial de 1ª, 1 Ayudante y 1/2 Ayudante</t>
  </si>
  <si>
    <t xml:space="preserve">STRCRV0401</t>
  </si>
  <si>
    <t xml:space="preserve">STRCRV0402</t>
  </si>
  <si>
    <t xml:space="preserve">Partida</t>
  </si>
  <si>
    <t xml:space="preserve">par</t>
  </si>
  <si>
    <t xml:space="preserve">DEMOLICION DE MURO DE FABRICA</t>
  </si>
  <si>
    <t xml:space="preserve">02AYUDANTES</t>
  </si>
  <si>
    <t xml:space="preserve">Mano de obra</t>
  </si>
  <si>
    <t xml:space="preserve">h</t>
  </si>
  <si>
    <t xml:space="preserve">Mano de obra: 2 Ayudantes</t>
  </si>
  <si>
    <t xml:space="preserve">STRCRV0402</t>
  </si>
  <si>
    <t xml:space="preserve">STRCRV0403</t>
  </si>
  <si>
    <t xml:space="preserve">Partida</t>
  </si>
  <si>
    <t xml:space="preserve">par</t>
  </si>
  <si>
    <t xml:space="preserve">APUNTALAMIENTO DE VIGAS</t>
  </si>
  <si>
    <t xml:space="preserve">m.o.1</t>
  </si>
  <si>
    <t xml:space="preserve">Mano de obra</t>
  </si>
  <si>
    <t xml:space="preserve">h</t>
  </si>
  <si>
    <t xml:space="preserve">Mano de Obra: 1 Oficial de 1ª, 1 Ayudante y 1/2 Ayudante</t>
  </si>
  <si>
    <t xml:space="preserve">00019466</t>
  </si>
  <si>
    <t xml:space="preserve">Material</t>
  </si>
  <si>
    <t xml:space="preserve">u</t>
  </si>
  <si>
    <t xml:space="preserve">PUNTAL P4N 2X4 M Ref.: 00019466</t>
  </si>
  <si>
    <t xml:space="preserve">00222965</t>
  </si>
  <si>
    <t xml:space="preserve">Material</t>
  </si>
  <si>
    <t xml:space="preserve">u</t>
  </si>
  <si>
    <t xml:space="preserve">TABLERO ENCOFRAR TRICAPA 1970X500X27 MM Ref.: 00222965</t>
  </si>
  <si>
    <t xml:space="preserve">STRCRV0403</t>
  </si>
  <si>
    <t xml:space="preserve">STRCRV0404</t>
  </si>
  <si>
    <t xml:space="preserve">Partida</t>
  </si>
  <si>
    <t xml:space="preserve">PAR</t>
  </si>
  <si>
    <t xml:space="preserve">PROTECCION DE PAVIMENTOS Y MOBILIARIO (entre 8m2)</t>
  </si>
  <si>
    <t xml:space="preserve">00139017</t>
  </si>
  <si>
    <t xml:space="preserve">Material</t>
  </si>
  <si>
    <t xml:space="preserve">u</t>
  </si>
  <si>
    <t xml:space="preserve">CARTÓN ONDULADO 50 M Ref.: 00139017</t>
  </si>
  <si>
    <t xml:space="preserve">00007667</t>
  </si>
  <si>
    <t xml:space="preserve">Material</t>
  </si>
  <si>
    <t xml:space="preserve">u</t>
  </si>
  <si>
    <t xml:space="preserve">PLÁSTICO CUBRETODO GRUESO 4X5 MIARCO Ref.: 00007667</t>
  </si>
  <si>
    <t xml:space="preserve">cint</t>
  </si>
  <si>
    <t xml:space="preserve">Material</t>
  </si>
  <si>
    <t xml:space="preserve">u</t>
  </si>
  <si>
    <t xml:space="preserve">CINTA DE PINTOR NOVIPRO 50 M X 19 MM  Ref.: 00399328</t>
  </si>
  <si>
    <t xml:space="preserve">01AYUDANTE</t>
  </si>
  <si>
    <t xml:space="preserve">Mano de obra</t>
  </si>
  <si>
    <t xml:space="preserve">h</t>
  </si>
  <si>
    <t xml:space="preserve">Mano de Obra: 1 Ayudante</t>
  </si>
  <si>
    <t xml:space="preserve">STRCRV0404</t>
  </si>
  <si>
    <t xml:space="preserve">STRCRV0405</t>
  </si>
  <si>
    <t xml:space="preserve">Partida</t>
  </si>
  <si>
    <t xml:space="preserve">par</t>
  </si>
  <si>
    <t xml:space="preserve">DEMOLICION DE TECHO  (entre 8m2)</t>
  </si>
  <si>
    <t xml:space="preserve">m.o.1</t>
  </si>
  <si>
    <t xml:space="preserve">Mano de obra</t>
  </si>
  <si>
    <t xml:space="preserve">h</t>
  </si>
  <si>
    <t xml:space="preserve">Mano de Obra: 1 Oficial de 1ª, 1 Ayudante y 1/2 Ayudante</t>
  </si>
  <si>
    <t xml:space="preserve">STRCRV0405</t>
  </si>
  <si>
    <t xml:space="preserve">STRCRV0406</t>
  </si>
  <si>
    <t xml:space="preserve">Partida</t>
  </si>
  <si>
    <t xml:space="preserve">par</t>
  </si>
  <si>
    <t xml:space="preserve">AYUDAS DE ALBAÑILERIAS (entre 4ml)</t>
  </si>
  <si>
    <t xml:space="preserve">m.o.1</t>
  </si>
  <si>
    <t xml:space="preserve">Mano de obra</t>
  </si>
  <si>
    <t xml:space="preserve">h</t>
  </si>
  <si>
    <t xml:space="preserve">Mano de Obra: 1 Oficial de 1ª, 1 Ayudante y 1/2 Ayudante</t>
  </si>
  <si>
    <t xml:space="preserve">STRCRV0406</t>
  </si>
  <si>
    <t xml:space="preserve">STRCRV0407</t>
  </si>
  <si>
    <t xml:space="preserve">Partida</t>
  </si>
  <si>
    <t xml:space="preserve">M2</t>
  </si>
  <si>
    <t xml:space="preserve">PASIVADO Y TRATAMIENTO DE ARMADURA</t>
  </si>
  <si>
    <t xml:space="preserve">00540914</t>
  </si>
  <si>
    <t xml:space="preserve">Material</t>
  </si>
  <si>
    <t xml:space="preserve">kg</t>
  </si>
  <si>
    <t xml:space="preserve">MORTERO REPARACIÓN MAPEFER, 1K DE 5 KG Ref.: 00540914</t>
  </si>
  <si>
    <t xml:space="preserve">m.o.1</t>
  </si>
  <si>
    <t xml:space="preserve">Mano de obra</t>
  </si>
  <si>
    <t xml:space="preserve">h</t>
  </si>
  <si>
    <t xml:space="preserve">Mano de Obra: 1 Oficial de 1ª, 1 Ayudante y 1/2 Ayudante</t>
  </si>
  <si>
    <t xml:space="preserve">STRCRV0407</t>
  </si>
  <si>
    <t xml:space="preserve">STRCRV0408</t>
  </si>
  <si>
    <t xml:space="preserve">Partida</t>
  </si>
  <si>
    <t xml:space="preserve">u</t>
  </si>
  <si>
    <t xml:space="preserve">REFUERZO DE VIGA DE 4.00 M (Dividido entre 4m)</t>
  </si>
  <si>
    <t xml:space="preserve">HW-120</t>
  </si>
  <si>
    <t xml:space="preserve">Material</t>
  </si>
  <si>
    <t xml:space="preserve">u</t>
  </si>
  <si>
    <t xml:space="preserve">MVV 16 5000</t>
  </si>
  <si>
    <t xml:space="preserve">RED1</t>
  </si>
  <si>
    <t xml:space="preserve">Material</t>
  </si>
  <si>
    <t xml:space="preserve">u</t>
  </si>
  <si>
    <t xml:space="preserve">Resina de dos comp. epoxi sin estireno 410ml</t>
  </si>
  <si>
    <t xml:space="preserve">00016913</t>
  </si>
  <si>
    <t xml:space="preserve">Material</t>
  </si>
  <si>
    <t xml:space="preserve">u</t>
  </si>
  <si>
    <t xml:space="preserve">VARILLA FIS GS M12X120 B FISCHER Ref.: 00016913</t>
  </si>
  <si>
    <t xml:space="preserve">Mort1</t>
  </si>
  <si>
    <t xml:space="preserve">Material</t>
  </si>
  <si>
    <t xml:space="preserve">kg</t>
  </si>
  <si>
    <t xml:space="preserve">Mortero (alas) modelo MVH 491-680</t>
  </si>
  <si>
    <t xml:space="preserve">trns</t>
  </si>
  <si>
    <t xml:space="preserve">Material</t>
  </si>
  <si>
    <t xml:space="preserve">u</t>
  </si>
  <si>
    <t xml:space="preserve">Transporte</t>
  </si>
  <si>
    <t xml:space="preserve">hor1</t>
  </si>
  <si>
    <t xml:space="preserve">Material</t>
  </si>
  <si>
    <t xml:space="preserve">u</t>
  </si>
  <si>
    <t xml:space="preserve">Horcel (espumante de mortero) 1 L</t>
  </si>
  <si>
    <t xml:space="preserve">bomb1</t>
  </si>
  <si>
    <t xml:space="preserve">Material</t>
  </si>
  <si>
    <t xml:space="preserve">u</t>
  </si>
  <si>
    <t xml:space="preserve">Bomba de mortero celular + manguera</t>
  </si>
  <si>
    <t xml:space="preserve">cm</t>
  </si>
  <si>
    <t xml:space="preserve">Material</t>
  </si>
  <si>
    <t xml:space="preserve">kg</t>
  </si>
  <si>
    <t xml:space="preserve">Cemento portland</t>
  </si>
  <si>
    <t xml:space="preserve">m.o.1.e</t>
  </si>
  <si>
    <t xml:space="preserve">Mano de obra</t>
  </si>
  <si>
    <t xml:space="preserve">h</t>
  </si>
  <si>
    <t xml:space="preserve">Mano de obra Especializada: 1 Oficial + 2 Ayudante</t>
  </si>
  <si>
    <t xml:space="preserve">STRCRV0408</t>
  </si>
  <si>
    <t xml:space="preserve">STRCRV0409</t>
  </si>
  <si>
    <t xml:space="preserve">Partida</t>
  </si>
  <si>
    <t xml:space="preserve">m</t>
  </si>
  <si>
    <t xml:space="preserve">FALSO TECHO DE PLADUR (entre 8m2)</t>
  </si>
  <si>
    <t xml:space="preserve">fis1</t>
  </si>
  <si>
    <t xml:space="preserve">Material</t>
  </si>
  <si>
    <t xml:space="preserve">m2</t>
  </si>
  <si>
    <t xml:space="preserve">falso techo 44€/m2</t>
  </si>
  <si>
    <t xml:space="preserve">STRCRV0409</t>
  </si>
  <si>
    <t xml:space="preserve">STRCRV0410</t>
  </si>
  <si>
    <t xml:space="preserve">Partida</t>
  </si>
  <si>
    <t xml:space="preserve">par</t>
  </si>
  <si>
    <t xml:space="preserve">PINTURA PLASTICA  (entre 8m2)</t>
  </si>
  <si>
    <t xml:space="preserve">PINTACRI</t>
  </si>
  <si>
    <t xml:space="preserve">Material</t>
  </si>
  <si>
    <t xml:space="preserve">l</t>
  </si>
  <si>
    <t xml:space="preserve">Pintura acrilica</t>
  </si>
  <si>
    <t xml:space="preserve">IMP</t>
  </si>
  <si>
    <t xml:space="preserve">Material</t>
  </si>
  <si>
    <t xml:space="preserve">l</t>
  </si>
  <si>
    <t xml:space="preserve">Imprimacion</t>
  </si>
  <si>
    <t xml:space="preserve">m.o.1</t>
  </si>
  <si>
    <t xml:space="preserve">Mano de obra</t>
  </si>
  <si>
    <t xml:space="preserve">h</t>
  </si>
  <si>
    <t xml:space="preserve">Mano de Obra: 1 Oficial de 1ª, 1 Ayudante y 1/2 Ayudante</t>
  </si>
  <si>
    <t xml:space="preserve">STRCRV0410</t>
  </si>
  <si>
    <t xml:space="preserve">STRCRV0411</t>
  </si>
  <si>
    <t xml:space="preserve">Partida</t>
  </si>
  <si>
    <t xml:space="preserve">par</t>
  </si>
  <si>
    <t xml:space="preserve">GESTION DE RESIDUOS BIG BAG 1M3</t>
  </si>
  <si>
    <t xml:space="preserve">BIGBAG01</t>
  </si>
  <si>
    <t xml:space="preserve">Material</t>
  </si>
  <si>
    <t xml:space="preserve">saco</t>
  </si>
  <si>
    <t xml:space="preserve">Big Bag runa 1m3</t>
  </si>
  <si>
    <t xml:space="preserve">m.o.1</t>
  </si>
  <si>
    <t xml:space="preserve">Mano de obra</t>
  </si>
  <si>
    <t xml:space="preserve">h</t>
  </si>
  <si>
    <t xml:space="preserve">Mano de Obra: 1 Oficial de 1ª, 1 Ayudante y 1/2 Ayudante</t>
  </si>
  <si>
    <t xml:space="preserve">STRCRV0411</t>
  </si>
  <si>
    <t xml:space="preserve">STRCRV0412</t>
  </si>
  <si>
    <t xml:space="preserve">Partida</t>
  </si>
  <si>
    <t xml:space="preserve">m2</t>
  </si>
  <si>
    <t xml:space="preserve">REVESTIMIENTO DE YESO</t>
  </si>
  <si>
    <t xml:space="preserve">ma-om-10519845</t>
  </si>
  <si>
    <t xml:space="preserve">Material</t>
  </si>
  <si>
    <t xml:space="preserve">rollo</t>
  </si>
  <si>
    <t xml:space="preserve">Malla de refuerzo de fibra de vidrio ARMATOP 100 de SIKA (1x50 m/rollo; 175 gr/m2).   Ref. om-10519845</t>
  </si>
  <si>
    <t xml:space="preserve">00095260</t>
  </si>
  <si>
    <t xml:space="preserve">Material</t>
  </si>
  <si>
    <t xml:space="preserve">kg</t>
  </si>
  <si>
    <t xml:space="preserve">YESO MANUAL CONTROLADO S1 17 KG LA PLATAFORMA Ref.: 00095260</t>
  </si>
  <si>
    <t xml:space="preserve">00018338</t>
  </si>
  <si>
    <t xml:space="preserve">Material</t>
  </si>
  <si>
    <t xml:space="preserve">m</t>
  </si>
  <si>
    <t xml:space="preserve">GUARDAVIVO PVC 2,50 M Ref.: 00018338</t>
  </si>
  <si>
    <t xml:space="preserve">m.o.1</t>
  </si>
  <si>
    <t xml:space="preserve">Mano de obra</t>
  </si>
  <si>
    <t xml:space="preserve">h</t>
  </si>
  <si>
    <t xml:space="preserve">Mano de Obra: 1 Oficial de 1ª, 1 Ayudante y 1/2 Ayudante</t>
  </si>
  <si>
    <t xml:space="preserve">STRCRV0412</t>
  </si>
  <si>
    <t xml:space="preserve">WEBER600</t>
  </si>
  <si>
    <t xml:space="preserve">Material</t>
  </si>
  <si>
    <t xml:space="preserve">u</t>
  </si>
  <si>
    <t xml:space="preserve">WeberTec Grout 600 25Kg. Gris</t>
  </si>
  <si>
    <t xml:space="preserve">STRCRV04</t>
  </si>
  <si>
    <t xml:space="preserve">STRCRV05</t>
  </si>
  <si>
    <t xml:space="preserve">Partida</t>
  </si>
  <si>
    <t xml:space="preserve">U</t>
  </si>
  <si>
    <t xml:space="preserve">REFUERZO DE VIGA DE 4.85M MVV16</t>
  </si>
  <si>
    <t xml:space="preserve">REFUERZO DE VIGA DE 4.85M MVV16</t>
  </si>
  <si>
    <t xml:space="preserve">MVV16S</t>
  </si>
  <si>
    <t xml:space="preserve">Material</t>
  </si>
  <si>
    <t xml:space="preserve">u</t>
  </si>
  <si>
    <t xml:space="preserve">Viga MVV15 de 4.85m</t>
  </si>
  <si>
    <t xml:space="preserve">RED1</t>
  </si>
  <si>
    <t xml:space="preserve">Material</t>
  </si>
  <si>
    <t xml:space="preserve">u</t>
  </si>
  <si>
    <t xml:space="preserve">Resina de dos comp. epoxi sin estireno 410ml</t>
  </si>
  <si>
    <t xml:space="preserve">varM12</t>
  </si>
  <si>
    <t xml:space="preserve">Material</t>
  </si>
  <si>
    <t xml:space="preserve">u</t>
  </si>
  <si>
    <t xml:space="preserve">Varilla roscada M12 con arandela y tuerca</t>
  </si>
  <si>
    <t xml:space="preserve">r4s1</t>
  </si>
  <si>
    <t xml:space="preserve">Material</t>
  </si>
  <si>
    <t xml:space="preserve">u</t>
  </si>
  <si>
    <t xml:space="preserve">Sacos mortero de unión R4 de retracción controlada</t>
  </si>
  <si>
    <t xml:space="preserve">trns2</t>
  </si>
  <si>
    <t xml:space="preserve">Material</t>
  </si>
  <si>
    <t xml:space="preserve">U</t>
  </si>
  <si>
    <t xml:space="preserve">Transporte a obra</t>
  </si>
  <si>
    <t xml:space="preserve">hor1</t>
  </si>
  <si>
    <t xml:space="preserve">Material</t>
  </si>
  <si>
    <t xml:space="preserve">u</t>
  </si>
  <si>
    <t xml:space="preserve">Horcel (espumante de mortero) 1 L</t>
  </si>
  <si>
    <t xml:space="preserve">bomb1</t>
  </si>
  <si>
    <t xml:space="preserve">Material</t>
  </si>
  <si>
    <t xml:space="preserve">u</t>
  </si>
  <si>
    <t xml:space="preserve">Bomba de mortero celular + manguera</t>
  </si>
  <si>
    <t xml:space="preserve">cm</t>
  </si>
  <si>
    <t xml:space="preserve">Material</t>
  </si>
  <si>
    <t xml:space="preserve">kg</t>
  </si>
  <si>
    <t xml:space="preserve">Cemento portland</t>
  </si>
  <si>
    <t xml:space="preserve">m.o.1.e</t>
  </si>
  <si>
    <t xml:space="preserve">Mano de obra</t>
  </si>
  <si>
    <t xml:space="preserve">h</t>
  </si>
  <si>
    <t xml:space="preserve">Mano de obra Especializada: 1 Oficial + 2 Ayudante</t>
  </si>
  <si>
    <t xml:space="preserve">STRCRV05</t>
  </si>
  <si>
    <t xml:space="preserve">STRCRV06</t>
  </si>
  <si>
    <t xml:space="preserve">Partida</t>
  </si>
  <si>
    <t xml:space="preserve">U</t>
  </si>
  <si>
    <t xml:space="preserve">REFUERZO DE VIGA MECANOVIGA 4.30M ppto 25.0008</t>
  </si>
  <si>
    <t xml:space="preserve">Suministro hasta pie del punto de montaje y colocación de vigas de la casa Mecanovia, incluido todas las piezas y materiales necesarias para su correcta ejecución, 1 kits MVV 12 de 4300mm</t>
  </si>
  <si>
    <t xml:space="preserve">MVV12-4250</t>
  </si>
  <si>
    <t xml:space="preserve">Material</t>
  </si>
  <si>
    <t xml:space="preserve">kit</t>
  </si>
  <si>
    <t xml:space="preserve">Viga de mecanoviga mod. MVV12-4250</t>
  </si>
  <si>
    <t xml:space="preserve">RED1</t>
  </si>
  <si>
    <t xml:space="preserve">Material</t>
  </si>
  <si>
    <t xml:space="preserve">u</t>
  </si>
  <si>
    <t xml:space="preserve">Resina de dos comp. epoxi sin estireno 410ml</t>
  </si>
  <si>
    <t xml:space="preserve">varM12</t>
  </si>
  <si>
    <t xml:space="preserve">Material</t>
  </si>
  <si>
    <t xml:space="preserve">u</t>
  </si>
  <si>
    <t xml:space="preserve">Varilla roscada M12 con arandela y tuerca</t>
  </si>
  <si>
    <t xml:space="preserve">M.O.MECANOV2</t>
  </si>
  <si>
    <t xml:space="preserve">Mano de obra</t>
  </si>
  <si>
    <t xml:space="preserve">H</t>
  </si>
  <si>
    <t xml:space="preserve">Colocacion de kits MVV e inyectado con bomba</t>
  </si>
  <si>
    <t xml:space="preserve">trns2</t>
  </si>
  <si>
    <t xml:space="preserve">Material</t>
  </si>
  <si>
    <t xml:space="preserve">U</t>
  </si>
  <si>
    <t xml:space="preserve">Transporte a obra</t>
  </si>
  <si>
    <t xml:space="preserve">M.O.MECANOVIGA</t>
  </si>
  <si>
    <t xml:space="preserve">Mano de obra</t>
  </si>
  <si>
    <t xml:space="preserve">h</t>
  </si>
  <si>
    <t xml:space="preserve">Subida de material a obra MECANOVIGA</t>
  </si>
  <si>
    <t xml:space="preserve">cm</t>
  </si>
  <si>
    <t xml:space="preserve">Material</t>
  </si>
  <si>
    <t xml:space="preserve">kg</t>
  </si>
  <si>
    <t xml:space="preserve">Cemento portland</t>
  </si>
  <si>
    <t xml:space="preserve">STRCRV06</t>
  </si>
  <si>
    <t xml:space="preserve">STRCRV07</t>
  </si>
  <si>
    <t xml:space="preserve">Partida</t>
  </si>
  <si>
    <t xml:space="preserve">ML</t>
  </si>
  <si>
    <t xml:space="preserve">PERFIL DE REFUERZO BAJO VIGUETA DE BALCON UPN-140</t>
  </si>
  <si>
    <t xml:space="preserve">Suministro y colocación de perfil metálico tipo UPN 140 o equivalente, acabado con imprimación antioxidante, por formación de escuadra por apoyo de viga en voladizo, formado por un tramo horizontal bajo viga y un tramo inferior a 30 grados, soldados entre sí en extremo o según indicaciones de la DF, y fijado maciza cuadrada de 200x200x8 mm o geometría que permita el emplazamiento, fijada con varilla roscada de acero inoxidable y taco químico (no se permite tornillos de expansión).Rellenado de espacio entre el perfil de refuerzo y la viga existente con mortero de baja retracción SIKA MONOTOP. Incluso replanteo, repercusión de medios auxiliares necesarios, y limpieza de restos.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</si>
  <si>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</si>
  <si>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</si>
  <si>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</si>
  <si>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</si>
  <si>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</si>
  <si>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</si>
  <si>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</si>
  <si>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</si>
  <si>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</si>
  <si>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</si>
  <si>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</si>
  <si>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</si>
  <si>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</si>
  <si>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</si>
  <si>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</si>
  <si>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</si>
  <si>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</si>
  <si>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PRE013</t>
  </si>
  <si>
    <t xml:space="preserve">Partida</t>
  </si>
  <si>
    <t xml:space="preserve">U</t>
  </si>
  <si>
    <t xml:space="preserve">o APUNTALAMIENTO DE VIGAS</t>
  </si>
  <si>
    <t xml:space="preserve">ma-lp-00222965</t>
  </si>
  <si>
    <t xml:space="preserve">Material</t>
  </si>
  <si>
    <t xml:space="preserve">und</t>
  </si>
  <si>
    <t xml:space="preserve">Tablero de encofrar tricapa de madera de abeto 1970x500x27 mm   Ref. lp-00222965</t>
  </si>
  <si>
    <t xml:space="preserve">ma-lp-00019466</t>
  </si>
  <si>
    <t xml:space="preserve">Material</t>
  </si>
  <si>
    <t xml:space="preserve">und</t>
  </si>
  <si>
    <t xml:space="preserve">Puntal metálico telescópico P4N; 4 m Ø 48x2 / Ø 40x2   Ref. lp-00019466</t>
  </si>
  <si>
    <t xml:space="preserve">moc-std1-generico</t>
  </si>
  <si>
    <t xml:space="preserve">Partida</t>
  </si>
  <si>
    <t xml:space="preserve">h</t>
  </si>
  <si>
    <t xml:space="preserve">Cuadrilla Std1 - 1 Oficial de 1ª, 1 Ayudante y 1/5 Ayudante</t>
  </si>
  <si>
    <t xml:space="preserve">PRE013</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</si>
  <si>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</si>
  <si>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</si>
  <si>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</si>
  <si>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</si>
  <si>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</si>
  <si>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</si>
  <si>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</si>
  <si>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</si>
  <si>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ma-bi-s/c-002</t>
  </si>
  <si>
    <t xml:space="preserve">Material</t>
  </si>
  <si>
    <t xml:space="preserve">pza</t>
  </si>
  <si>
    <t xml:space="preserve">Pletina o barra maciza de acero inoxidable AISI-304 BA acabado exterior pulido industrial; 50x10x1000 mm (1 m/pza).   Ref. BRICOINOX-S/C-002</t>
  </si>
  <si>
    <t xml:space="preserve">STRCA04</t>
  </si>
  <si>
    <t xml:space="preserve">Partida</t>
  </si>
  <si>
    <t xml:space="preserve">KG</t>
  </si>
  <si>
    <t xml:space="preserve">Acero laminado S235JR, perfil en caliente de las series IPN, IPE, HEB, HEA, HEM y UPN</t>
  </si>
  <si>
    <t xml:space="preserve">IPN</t>
  </si>
  <si>
    <t xml:space="preserve">Material</t>
  </si>
  <si>
    <t xml:space="preserve">kg</t>
  </si>
  <si>
    <t xml:space="preserve">Acero IPN</t>
  </si>
  <si>
    <t xml:space="preserve">SOLDADORA</t>
  </si>
  <si>
    <t xml:space="preserve">Material</t>
  </si>
  <si>
    <t xml:space="preserve">h</t>
  </si>
  <si>
    <t xml:space="preserve">Alquiler y auxiliares de soldadura</t>
  </si>
  <si>
    <t xml:space="preserve">00351244</t>
  </si>
  <si>
    <t xml:space="preserve">Material</t>
  </si>
  <si>
    <t xml:space="preserve">u</t>
  </si>
  <si>
    <t xml:space="preserve">ELECTRODO BASICO 3,2X350 MM 5 KG, 150 UDS Ref.: 00351244</t>
  </si>
  <si>
    <t xml:space="preserve">ma-lp-00016623</t>
  </si>
  <si>
    <t xml:space="preserve">Material</t>
  </si>
  <si>
    <t xml:space="preserve">u</t>
  </si>
  <si>
    <t xml:space="preserve">Anclaje químico Fischer FIS P PLUS 300 T cartucho de 300 ml + 1 boquilla mezcladora. Ref.: 00016623</t>
  </si>
  <si>
    <t xml:space="preserve">00016911</t>
  </si>
  <si>
    <t xml:space="preserve">Material</t>
  </si>
  <si>
    <t xml:space="preserve">u</t>
  </si>
  <si>
    <t xml:space="preserve">VARILLA FIS GS M10X120 B FISCHER Ref.: 00016911</t>
  </si>
  <si>
    <t xml:space="preserve">00016913</t>
  </si>
  <si>
    <t xml:space="preserve">Material</t>
  </si>
  <si>
    <t xml:space="preserve">u</t>
  </si>
  <si>
    <t xml:space="preserve">VARILLA FIS GS M12X120 B FISCHER Ref.: 00016913</t>
  </si>
  <si>
    <t xml:space="preserve">mo%</t>
  </si>
  <si>
    <t xml:space="preserve">%</t>
  </si>
  <si>
    <t xml:space="preserve">Herramientas Menores</t>
  </si>
  <si>
    <t xml:space="preserve">moc-std1-generico</t>
  </si>
  <si>
    <t xml:space="preserve">Partida</t>
  </si>
  <si>
    <t xml:space="preserve">h</t>
  </si>
  <si>
    <t xml:space="preserve">Cuadrilla Std1 - 1 Oficial de 1ª, 1 Ayudante y 1/5 Ayudante</t>
  </si>
  <si>
    <t xml:space="preserve">STRCA04</t>
  </si>
  <si>
    <t xml:space="preserve">STRCRV07</t>
  </si>
  <si>
    <t xml:space="preserve">ESTRCRV</t>
  </si>
  <si>
    <t xml:space="preserve">STRC</t>
  </si>
  <si>
    <t xml:space="preserve">FACH</t>
  </si>
  <si>
    <t xml:space="preserve">Capítulo</t>
  </si>
  <si>
    <t xml:space="preserve">Fachadas y particiones</t>
  </si>
  <si>
    <t xml:space="preserve">01.14</t>
  </si>
  <si>
    <t xml:space="preserve">Partida</t>
  </si>
  <si>
    <t xml:space="preserve">ml</t>
  </si>
  <si>
    <t xml:space="preserve">Remat de planxa prelacada, d= 60 cm, remat superior</t>
  </si>
  <si>
    <t xml:space="preserve">Subministrament i col·locació de perfil metàl·lic per a remat superior d’envà pluvial, en trobada amb mur superior de remat de coberta o terrat, de xapa plegada d'alumini lacat en color, amb 60 micres de gruix mínim de pel·lícula seca, espessor 1,5 mm, desenvolupament de fins a 600 mm i 3 plecs formant goteró en la seva cara exterior, fixat mecànicament amb ancoratge mecànic amb tac de niló i cargol d'acer galvanitzat, de cap aixamfranat, per a fixació d'element no estructural sobre fàbrica. Inclou el segellat dels junts entre peces i la col·locació de doble cordó de segellat en la unió amb el mur amb segellador adhesiu monocomponent. Inclús replanteig, execució del forat i neteja amb aire a pressió, col·locació del cargol i cargolat directament en la perforació, aplicació del parell de collada amb clau dinamomètrica i neteja de restes.
NOTA: Trobada amb el ràfec inclinat superior.
Ràfec inclinat: 1 x 1,50 = 1,50</t>
  </si>
  <si>
    <t xml:space="preserve">HRR100</t>
  </si>
  <si>
    <t xml:space="preserve">Partida</t>
  </si>
  <si>
    <t xml:space="preserve">m</t>
  </si>
  <si>
    <t xml:space="preserve">Pieza de remate de aluminio prelacado.</t>
  </si>
  <si>
    <t xml:space="preserve">mt20rca010lw</t>
  </si>
  <si>
    <t xml:space="preserve">Material</t>
  </si>
  <si>
    <t xml:space="preserve">m</t>
  </si>
  <si>
    <t xml:space="preserve">Pieza de remate de chapa plegada de aluminio prelacado, espesor 1.5 mm, desarrollo 600 mm y 3 pliegues.</t>
  </si>
  <si>
    <t xml:space="preserve">ma-manomano-562170</t>
  </si>
  <si>
    <t xml:space="preserve">Material</t>
  </si>
  <si>
    <t xml:space="preserve">caja</t>
  </si>
  <si>
    <t xml:space="preserve">Taco alargado DuoXpand 10x140 mm FISCHER FUS acero (50 pzas/caja).   Ref. manomano-562170</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</si>
  <si>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</si>
  <si>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</si>
  <si>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</si>
  <si>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</si>
  <si>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ma-lm-339080</t>
  </si>
  <si>
    <t xml:space="preserve">Material</t>
  </si>
  <si>
    <t xml:space="preserve">cartucho</t>
  </si>
  <si>
    <t xml:space="preserve">Masilla de poliuretano SIKAFLEX 11FC de SIKA; color marrón (300 cm3/cartucho).   Ref. lm-339080</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</si>
  <si>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</si>
  <si>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</si>
  <si>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</si>
  <si>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</si>
  <si>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</si>
  <si>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</si>
  <si>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</si>
  <si>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</si>
  <si>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</si>
  <si>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</si>
  <si>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</si>
  <si>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</si>
  <si>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t>
  </si>
  <si>
    <t xml:space="preserve">%</t>
  </si>
  <si>
    <t xml:space="preserve">Costes directos complementarios</t>
  </si>
  <si>
    <t xml:space="preserve">HRR100</t>
  </si>
  <si>
    <t xml:space="preserve">01.14</t>
  </si>
  <si>
    <t xml:space="preserve">FACHYP</t>
  </si>
  <si>
    <t xml:space="preserve">Capítulo</t>
  </si>
  <si>
    <t xml:space="preserve">FACHADAS Y PATIOS</t>
  </si>
  <si>
    <t xml:space="preserve">FACH001</t>
  </si>
  <si>
    <t xml:space="preserve">Partida</t>
  </si>
  <si>
    <t xml:space="preserve">U</t>
  </si>
  <si>
    <t xml:space="preserve">o REPARACION DE GRIETA CON GRAPA INOX</t>
  </si>
  <si>
    <t xml:space="preserve">Reparación de grieta en fábrica de ladrillo cerámico mediante el cosido estático de la misma con grapas de acero inox de 0.20x0.095m de 10 mm de diámetro, cruzando transversalmente la grieta, recibidas con mortero reparador, modificado con polímeros, reforzado con fibras, de muy alta resistencia mecánica y retracción compensada, clase R3.</t>
  </si>
  <si>
    <t xml:space="preserve">ma-lp-00278894</t>
  </si>
  <si>
    <t xml:space="preserve">Material</t>
  </si>
  <si>
    <t xml:space="preserve">pza</t>
  </si>
  <si>
    <t xml:space="preserve">Grapa de acero inoxidable para reparar grietas en fachadas (200x95x10 mm).   Ref. lp-00278894</t>
  </si>
  <si>
    <t xml:space="preserve">ma-prolisur-P1631</t>
  </si>
  <si>
    <t xml:space="preserve">Material</t>
  </si>
  <si>
    <t xml:space="preserve">saco</t>
  </si>
  <si>
    <t xml:space="preserve">Mortero de reparación estructural R3 PROPAM REPAR 30 - equivalente a SIKA MONOTOP 612 (25kg/saco).   Ref. prolisur-P1631</t>
  </si>
  <si>
    <t xml:space="preserve">ma-lp-00016626</t>
  </si>
  <si>
    <t xml:space="preserve">Material</t>
  </si>
  <si>
    <t xml:space="preserve">cartucho</t>
  </si>
  <si>
    <t xml:space="preserve">Anclaje/Taco químico de resina FISCHER FIS VS 300 T (300 ml/cartucho).   Ref. lp-00016626</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</si>
  <si>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</si>
  <si>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</si>
  <si>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</si>
  <si>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</si>
  <si>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</si>
  <si>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</si>
  <si>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</si>
  <si>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</si>
  <si>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</si>
  <si>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</si>
  <si>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</si>
  <si>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</si>
  <si>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</si>
  <si>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</si>
  <si>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</si>
  <si>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</si>
  <si>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</si>
  <si>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</si>
  <si>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</si>
  <si>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</si>
  <si>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</si>
  <si>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</si>
  <si>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</si>
  <si>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</si>
  <si>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FACH001</t>
  </si>
  <si>
    <t xml:space="preserve">FACH001TV</t>
  </si>
  <si>
    <t xml:space="preserve">Partida</t>
  </si>
  <si>
    <t xml:space="preserve">U</t>
  </si>
  <si>
    <t xml:space="preserve">o REPARACION DE GRIETA CON GRAPA INOX C/TRABAJOS VERTICALES</t>
  </si>
  <si>
    <t xml:space="preserve">Reparación de grieta en fábrica de ladrillo cerámico mediante el cosido estático de la misma con grapas de acero inox de 0.20x0.095m de 10 mm de diámetro, cruzando transversalmente la grieta, recibidas con mortero reparador, modificado con polímeros, reforzado con fibras, de muy alta resistencia mecánica y retracción compensada, clase R3.</t>
  </si>
  <si>
    <t xml:space="preserve">ma-lp-00278894</t>
  </si>
  <si>
    <t xml:space="preserve">Material</t>
  </si>
  <si>
    <t xml:space="preserve">pza</t>
  </si>
  <si>
    <t xml:space="preserve">Grapa de acero inoxidable para reparar grietas en fachadas (200x95x10 mm).   Ref. lp-00278894</t>
  </si>
  <si>
    <t xml:space="preserve">ma-prolisur-P1631</t>
  </si>
  <si>
    <t xml:space="preserve">Material</t>
  </si>
  <si>
    <t xml:space="preserve">saco</t>
  </si>
  <si>
    <t xml:space="preserve">Mortero de reparación estructural R3 PROPAM REPAR 30 - equivalente a SIKA MONOTOP 612 (25kg/saco).   Ref. prolisur-P1631</t>
  </si>
  <si>
    <t xml:space="preserve">ma-lp-00016626</t>
  </si>
  <si>
    <t xml:space="preserve">Material</t>
  </si>
  <si>
    <t xml:space="preserve">cartucho</t>
  </si>
  <si>
    <t xml:space="preserve">Anclaje/Taco químico de resina FISCHER FIS VS 300 T (300 ml/cartucho).   Ref. lp-00016626</t>
  </si>
  <si>
    <t xml:space="preserve">ma-lp-00001705</t>
  </si>
  <si>
    <t xml:space="preserve">Material</t>
  </si>
  <si>
    <t xml:space="preserve">rollo</t>
  </si>
  <si>
    <t xml:space="preserve">Malla de fibra de vidrio azul para refuerzo de morteros y revocos (rollo 50x1 m)   Ref. lp-00001705</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</si>
  <si>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</si>
  <si>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</si>
  <si>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</si>
  <si>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</si>
  <si>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</si>
  <si>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</si>
  <si>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</si>
  <si>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</si>
  <si>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</si>
  <si>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</si>
  <si>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</si>
  <si>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</si>
  <si>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</si>
  <si>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</si>
  <si>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</si>
  <si>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</si>
  <si>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</si>
  <si>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</si>
  <si>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</si>
  <si>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</si>
  <si>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FACH001TV</t>
  </si>
  <si>
    <t xml:space="preserve">FACH002</t>
  </si>
  <si>
    <t xml:space="preserve">Partida</t>
  </si>
  <si>
    <t xml:space="preserve">M</t>
  </si>
  <si>
    <t xml:space="preserve">REPARACION DE GRIETA CON GRAPA INOX</t>
  </si>
  <si>
    <t xml:space="preserve">Reparación de grieta en fábrica de ladrillo cerámico mediante el cosido estático de la misma con grapas 1 a cada 30cm de acero inox de 0.20x0.095m de 10 mm de diámetro, cruzando transversalmente la grieta, recibidas con mortero reparador, modificado con polímeros, reforzado con fibras, de muy alta resistencia mecánica y retracción compensada, clase R3.</t>
  </si>
  <si>
    <t xml:space="preserve">ma-lp-00278894</t>
  </si>
  <si>
    <t xml:space="preserve">Material</t>
  </si>
  <si>
    <t xml:space="preserve">pza</t>
  </si>
  <si>
    <t xml:space="preserve">Grapa de acero inoxidable para reparar grietas en fachadas (200x95x10 mm).   Ref. lp-00278894</t>
  </si>
  <si>
    <t xml:space="preserve">ma-prolisur-P1631</t>
  </si>
  <si>
    <t xml:space="preserve">Material</t>
  </si>
  <si>
    <t xml:space="preserve">saco</t>
  </si>
  <si>
    <t xml:space="preserve">Mortero de reparación estructural R3 PROPAM REPAR 30 - equivalente a SIKA MONOTOP 612 (25kg/saco).   Ref. prolisur-P1631</t>
  </si>
  <si>
    <t xml:space="preserve">ma-lp-00016626</t>
  </si>
  <si>
    <t xml:space="preserve">Material</t>
  </si>
  <si>
    <t xml:space="preserve">cartucho</t>
  </si>
  <si>
    <t xml:space="preserve">Anclaje/Taco químico de resina FISCHER FIS VS 300 T (300 ml/cartucho).   Ref. lp-00016626</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</si>
  <si>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</si>
  <si>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</si>
  <si>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</si>
  <si>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</si>
  <si>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</si>
  <si>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</si>
  <si>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</si>
  <si>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</si>
  <si>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</si>
  <si>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</si>
  <si>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</si>
  <si>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</si>
  <si>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</si>
  <si>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</si>
  <si>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</si>
  <si>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</si>
  <si>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</si>
  <si>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</si>
  <si>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</si>
  <si>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</si>
  <si>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</si>
  <si>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</si>
  <si>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</si>
  <si>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</si>
  <si>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FACH002</t>
  </si>
  <si>
    <t xml:space="preserve">FACH002TV</t>
  </si>
  <si>
    <t xml:space="preserve">Partida</t>
  </si>
  <si>
    <t xml:space="preserve">M</t>
  </si>
  <si>
    <t xml:space="preserve">REPARACION DE GRIETA CON GRAPA INOX C/TRABAJOS VERTICALES</t>
  </si>
  <si>
    <t xml:space="preserve">Reparación de grieta  C/TRABAJOS VERTICALES en fábrica de ladrillo cerámico mediante el cosido estático de la misma con grapas 1 a cada 30cm de acero inox de 0.20x0.095m de 10 mm de diámetro, cruzando transversalmente la grieta, recibidas con mortero reparador, modificado con polímeros, reforzado con fibras, de muy alta resistencia mecánica y retracción compensada, clase R3.</t>
  </si>
  <si>
    <t xml:space="preserve">ma-lp-00278894</t>
  </si>
  <si>
    <t xml:space="preserve">Material</t>
  </si>
  <si>
    <t xml:space="preserve">pza</t>
  </si>
  <si>
    <t xml:space="preserve">Grapa de acero inoxidable para reparar grietas en fachadas (200x95x10 mm).   Ref. lp-00278894</t>
  </si>
  <si>
    <t xml:space="preserve">ma-prolisur-P1631</t>
  </si>
  <si>
    <t xml:space="preserve">Material</t>
  </si>
  <si>
    <t xml:space="preserve">saco</t>
  </si>
  <si>
    <t xml:space="preserve">Mortero de reparación estructural R3 PROPAM REPAR 30 - equivalente a SIKA MONOTOP 612 (25kg/saco).   Ref. prolisur-P1631</t>
  </si>
  <si>
    <t xml:space="preserve">ma-lp-00016626</t>
  </si>
  <si>
    <t xml:space="preserve">Material</t>
  </si>
  <si>
    <t xml:space="preserve">cartucho</t>
  </si>
  <si>
    <t xml:space="preserve">Anclaje/Taco químico de resina FISCHER FIS VS 300 T (300 ml/cartucho).   Ref. lp-00016626</t>
  </si>
  <si>
    <t xml:space="preserve">ma-lp-00001705</t>
  </si>
  <si>
    <t xml:space="preserve">Material</t>
  </si>
  <si>
    <t xml:space="preserve">rollo</t>
  </si>
  <si>
    <t xml:space="preserve">Malla de fibra de vidrio azul para refuerzo de morteros y revocos (rollo 50x1 m)   Ref. lp-00001705</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</si>
  <si>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</si>
  <si>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</si>
  <si>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</si>
  <si>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</si>
  <si>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</si>
  <si>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</si>
  <si>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</si>
  <si>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</si>
  <si>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</si>
  <si>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</si>
  <si>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</si>
  <si>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</si>
  <si>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</si>
  <si>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</si>
  <si>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</si>
  <si>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</si>
  <si>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</si>
  <si>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</si>
  <si>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</si>
  <si>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</si>
  <si>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FACH002TV</t>
  </si>
  <si>
    <t xml:space="preserve">FACH003</t>
  </si>
  <si>
    <t xml:space="preserve">Partida</t>
  </si>
  <si>
    <t xml:space="preserve">m2</t>
  </si>
  <si>
    <t xml:space="preserve">APLACADO CON LADRILLO PICHOLÍN REFRACTARIO C/TRABAJOS VERTICALES</t>
  </si>
  <si>
    <t xml:space="preserve">Restitución de la obra vista C/TRABAJOS VERTICALES, piezas de picholín 22x5,5x3cm cogidas con mortero y relleno de juntas.</t>
  </si>
  <si>
    <t xml:space="preserve">ma-lp-00001196</t>
  </si>
  <si>
    <t xml:space="preserve">Material</t>
  </si>
  <si>
    <t xml:space="preserve">pza</t>
  </si>
  <si>
    <t xml:space="preserve">Ladrillo picholín refractario cortado (22x5,5x3 cm/pza).   Ref. lp-00001196</t>
  </si>
  <si>
    <t xml:space="preserve">ma-lm-17553375</t>
  </si>
  <si>
    <t xml:space="preserve">Material</t>
  </si>
  <si>
    <t xml:space="preserve">pack</t>
  </si>
  <si>
    <t xml:space="preserve">Puente de unión epóxico bicomponente para adherencia entre hormigones frescos y endurecidos BETOPOX 93 de PROPAMSA (pack 5 kg de Componentes A y B).   Ref. lm-17553375</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</si>
  <si>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</si>
  <si>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</si>
  <si>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</si>
  <si>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</si>
  <si>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</si>
  <si>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</si>
  <si>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</si>
  <si>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</si>
  <si>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</si>
  <si>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</si>
  <si>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</si>
  <si>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</si>
  <si>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</si>
  <si>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</si>
  <si>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</si>
  <si>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</si>
  <si>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</si>
  <si>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</si>
  <si>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</si>
  <si>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</si>
  <si>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</si>
  <si>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</si>
  <si>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</si>
  <si>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</si>
  <si>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</si>
  <si>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</si>
  <si>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</si>
  <si>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</si>
  <si>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FACH003</t>
  </si>
  <si>
    <t xml:space="preserve">FACH004</t>
  </si>
  <si>
    <t xml:space="preserve">Partida</t>
  </si>
  <si>
    <t xml:space="preserve">m</t>
  </si>
  <si>
    <t xml:space="preserve">APLACADO CON LADRILLO PICHOLÍN REFRACTARIO C/TRABAJOS VERTICALES</t>
  </si>
  <si>
    <t xml:space="preserve">Restitución de la obra vista C/TRABAJOS VERTICALES, piezas de picholín 22x5,5x3cm cogidas con mortero y relleno de juntas.</t>
  </si>
  <si>
    <t xml:space="preserve">ma-lp-00001196</t>
  </si>
  <si>
    <t xml:space="preserve">Material</t>
  </si>
  <si>
    <t xml:space="preserve">pza</t>
  </si>
  <si>
    <t xml:space="preserve">Ladrillo picholín refractario cortado (22x5,5x3 cm/pza).   Ref. lp-00001196</t>
  </si>
  <si>
    <t xml:space="preserve">ma-lm-17553375</t>
  </si>
  <si>
    <t xml:space="preserve">Material</t>
  </si>
  <si>
    <t xml:space="preserve">pack</t>
  </si>
  <si>
    <t xml:space="preserve">Puente de unión epóxico bicomponente para adherencia entre hormigones frescos y endurecidos BETOPOX 93 de PROPAMSA (pack 5 kg de Componentes A y B).   Ref. lm-17553375</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</si>
  <si>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</si>
  <si>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</si>
  <si>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</si>
  <si>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</si>
  <si>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</si>
  <si>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</si>
  <si>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</si>
  <si>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</si>
  <si>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</si>
  <si>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</si>
  <si>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</si>
  <si>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</si>
  <si>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</si>
  <si>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</si>
  <si>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</si>
  <si>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</si>
  <si>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</si>
  <si>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</si>
  <si>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</si>
  <si>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</si>
  <si>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</si>
  <si>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</si>
  <si>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</si>
  <si>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</si>
  <si>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</si>
  <si>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</si>
  <si>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</si>
  <si>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</si>
  <si>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FACH004</t>
  </si>
  <si>
    <t xml:space="preserve">FACH005</t>
  </si>
  <si>
    <t xml:space="preserve">Partida</t>
  </si>
  <si>
    <t xml:space="preserve">U</t>
  </si>
  <si>
    <t xml:space="preserve">NEGATIVOS EN LOSAS DE BALCON</t>
  </si>
  <si>
    <t xml:space="preserve">Suministro y colocación de negativos en losa de balcón, fijados a muro de fachada con taladro y taco químico, mediante barras corrugadas de 10mm de diámetro y 1m de longitud.</t>
  </si>
  <si>
    <t xml:space="preserve">ma-bm-10003607</t>
  </si>
  <si>
    <t xml:space="preserve">Material</t>
  </si>
  <si>
    <t xml:space="preserve">und</t>
  </si>
  <si>
    <t xml:space="preserve">Broca para hormigón SDS Plus-3 BOSCH CYL-3; 14x260 mm   Ref. bm-10003607</t>
  </si>
  <si>
    <t xml:space="preserve">ma-lp-00539160</t>
  </si>
  <si>
    <t xml:space="preserve">Material</t>
  </si>
  <si>
    <t xml:space="preserve">disco</t>
  </si>
  <si>
    <t xml:space="preserve">Disco diamante contínuo DHTI de MILWAUKEE 115 mm.   Ref. lp-00539160</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</si>
  <si>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</si>
  <si>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</si>
  <si>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</si>
  <si>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</si>
  <si>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</si>
  <si>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</si>
  <si>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</si>
  <si>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</si>
  <si>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ma-lp-00278894</t>
  </si>
  <si>
    <t xml:space="preserve">Material</t>
  </si>
  <si>
    <t xml:space="preserve">pza</t>
  </si>
  <si>
    <t xml:space="preserve">Grapa de acero inoxidable para reparar grietas en fachadas (200x95x10 mm).   Ref. lp-00278894</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</si>
  <si>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</si>
  <si>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</si>
  <si>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</si>
  <si>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</si>
  <si>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</si>
  <si>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</si>
  <si>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</si>
  <si>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</si>
  <si>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ma-lp-00277865</t>
  </si>
  <si>
    <t xml:space="preserve">Material</t>
  </si>
  <si>
    <t xml:space="preserve">pza</t>
  </si>
  <si>
    <t xml:space="preserve">Redondo acero corrugado diámetro 10 mm (2 m/pza)   Ref. lp-00277865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</si>
  <si>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</si>
  <si>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</si>
  <si>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</si>
  <si>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</si>
  <si>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</si>
  <si>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</si>
  <si>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</si>
  <si>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</si>
  <si>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</si>
  <si>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</si>
  <si>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</si>
  <si>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</si>
  <si>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</si>
  <si>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</si>
  <si>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</si>
  <si>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</si>
  <si>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</si>
  <si>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</si>
  <si>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</si>
  <si>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</si>
  <si>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FACH005</t>
  </si>
  <si>
    <t xml:space="preserve">FACHYP50-MNR-08</t>
  </si>
  <si>
    <t xml:space="preserve">Partida</t>
  </si>
  <si>
    <t xml:space="preserve">m2</t>
  </si>
  <si>
    <t xml:space="preserve">REVESTIMIENTO DE CAPA FINA CON MORTERO SECO IMPERMEABLE</t>
  </si>
  <si>
    <t xml:space="preserve">REVESTIMIENTO DE CAPA FINA CON MORTERO SECO IMPERMEABLE</t>
  </si>
  <si>
    <t xml:space="preserve">ma-lm-11001634</t>
  </si>
  <si>
    <t xml:space="preserve">Material</t>
  </si>
  <si>
    <t xml:space="preserve">saco</t>
  </si>
  <si>
    <t xml:space="preserve">Mortero seco de revestimiento para terminación de fachadas, patios e interiores MORCEMSEC CAPA FINA; color blanco. (25 kg/saco).   Ref. lm-11001634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</si>
  <si>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</si>
  <si>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</si>
  <si>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</si>
  <si>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</si>
  <si>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</si>
  <si>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</si>
  <si>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</si>
  <si>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</si>
  <si>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</si>
  <si>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</si>
  <si>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</si>
  <si>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</si>
  <si>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</si>
  <si>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</si>
  <si>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</si>
  <si>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</si>
  <si>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</si>
  <si>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</si>
  <si>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</si>
  <si>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</si>
  <si>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</si>
  <si>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</si>
  <si>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</si>
  <si>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</si>
  <si>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FACHYP50-MNR-08</t>
  </si>
  <si>
    <t xml:space="preserve">REM0050</t>
  </si>
  <si>
    <t xml:space="preserve">Partida</t>
  </si>
  <si>
    <t xml:space="preserve">U</t>
  </si>
  <si>
    <t xml:space="preserve">GARGOLA DE HORMIGON POLIMERO</t>
  </si>
  <si>
    <t xml:space="preserve">Gárgola de hormigón polímero, de color blanco, de 140x350x100 mm y base rectangular, con goterón; colocación con adhesivo cementoso flexible y de gran adherencia y sellado e impermeabilización de la junta perimetral con masilla de poliuretano, previa aplicación de la imprimación.</t>
  </si>
  <si>
    <t xml:space="preserve">mt20wwa040</t>
  </si>
  <si>
    <t xml:space="preserve">Material</t>
  </si>
  <si>
    <t xml:space="preserve">kg</t>
  </si>
  <si>
    <t xml:space="preserve">Adhesivo cementoso flexible y de gran adherencia, C2 S2, según UNE-EN 12004.</t>
  </si>
  <si>
    <t xml:space="preserve">mt20ghp010h</t>
  </si>
  <si>
    <t xml:space="preserve">Material</t>
  </si>
  <si>
    <t xml:space="preserve">Ud</t>
  </si>
  <si>
    <t xml:space="preserve">Gárgola de hormigón polímero de superficie pulida, de color blanco, de 140x350x100 mm y base rectangular, con goterón.</t>
  </si>
  <si>
    <t xml:space="preserve">mt20wwa035</t>
  </si>
  <si>
    <t xml:space="preserve">Material</t>
  </si>
  <si>
    <t xml:space="preserve">Ud</t>
  </si>
  <si>
    <t xml:space="preserve">Cartucho de 250 cm³ de imprimación para masillas.</t>
  </si>
  <si>
    <t xml:space="preserve">mt20wwa030</t>
  </si>
  <si>
    <t xml:space="preserve">Material</t>
  </si>
  <si>
    <t xml:space="preserve">Ud</t>
  </si>
  <si>
    <t xml:space="preserve">Cartucho de 310 cm³ de masilla de poliuretano impermeable.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</si>
  <si>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</si>
  <si>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</si>
  <si>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</si>
  <si>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</si>
  <si>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</si>
  <si>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</si>
  <si>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</si>
  <si>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</si>
  <si>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</si>
  <si>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</si>
  <si>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</si>
  <si>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</si>
  <si>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</si>
  <si>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</si>
  <si>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</si>
  <si>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</si>
  <si>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</si>
  <si>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</si>
  <si>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</si>
  <si>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</si>
  <si>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REM0050</t>
  </si>
  <si>
    <t xml:space="preserve">CARP006</t>
  </si>
  <si>
    <t xml:space="preserve">Partida</t>
  </si>
  <si>
    <t xml:space="preserve">M</t>
  </si>
  <si>
    <t xml:space="preserve">SELLADO DE JUNTA DE CARPINTERÍA Y CRISTALES</t>
  </si>
  <si>
    <t xml:space="preserve">Sellado exterior de la junta de carpintería y cristales, con masilla de poliuretano, adhesivo y sellador monocomponente de alto rendimiento, de elasticidad permanente y curado rápido; mediante el uso de andamio tubular</t>
  </si>
  <si>
    <t xml:space="preserve">ma-lp-00541254</t>
  </si>
  <si>
    <t xml:space="preserve">Material</t>
  </si>
  <si>
    <t xml:space="preserve">envase</t>
  </si>
  <si>
    <t xml:space="preserve">Masilla de poliuretano BIGMAT (600 ml/envase); color blanco.   Ref. lp-00541254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</si>
  <si>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</si>
  <si>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</si>
  <si>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</si>
  <si>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</si>
  <si>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</si>
  <si>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</si>
  <si>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</si>
  <si>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</si>
  <si>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</si>
  <si>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</si>
  <si>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</si>
  <si>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</si>
  <si>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</si>
  <si>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</si>
  <si>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</si>
  <si>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</si>
  <si>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</si>
  <si>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</si>
  <si>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</si>
  <si>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</si>
  <si>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CARP006</t>
  </si>
  <si>
    <t xml:space="preserve">FACHYP-GAI-AQ-H-AT</t>
  </si>
  <si>
    <t xml:space="preserve">Partida</t>
  </si>
  <si>
    <t xml:space="preserve">m</t>
  </si>
  <si>
    <t xml:space="preserve">XXXX REPARACIÓN EN ANDAMIO TUBULAR DE GRIETAS EN PARAMENTO HORIZONTAL CON GRAPAS ACERO INOXIDABLE (200x95x10 mm) Y ANCLAJE QUÍMICO (FCH)</t>
  </si>
  <si>
    <t xml:space="preserve">Reparación en andamio tubular de grietas en paramento horizontal con grapas de acero inoxidable 10 mm (200x95 cm) y anclaje químico; incluye el repicado y saneamiento previo de la hendidura hasta 5 cm de profundidad, abriendo los labios con el fin de eliminar todo la parte afectado y/o desprendida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</si>
  <si>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</si>
  <si>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</si>
  <si>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</si>
  <si>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</si>
  <si>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</si>
  <si>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</si>
  <si>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</si>
  <si>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</si>
  <si>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</si>
  <si>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</si>
  <si>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</si>
  <si>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</si>
  <si>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</si>
  <si>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</si>
  <si>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</si>
  <si>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</si>
  <si>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alq-martillo-mym-16kg</t>
  </si>
  <si>
    <t xml:space="preserve">Maquinaria</t>
  </si>
  <si>
    <t xml:space="preserve">h</t>
  </si>
  <si>
    <t xml:space="preserve">Alquiler de Martillo Eléctrico Picador-Demoledor 16 kg.   Ref. MÁQUINAS Y MÁQUINAS</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</si>
  <si>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</si>
  <si>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</si>
  <si>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</si>
  <si>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</si>
  <si>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</si>
  <si>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</si>
  <si>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</si>
  <si>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</si>
  <si>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ma-lp-00278894</t>
  </si>
  <si>
    <t xml:space="preserve">Material</t>
  </si>
  <si>
    <t xml:space="preserve">pza</t>
  </si>
  <si>
    <t xml:space="preserve">Grapa de acero inoxidable para reparar grietas en fachadas (200x95x10 mm).   Ref. lp-00278894</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</si>
  <si>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</si>
  <si>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</si>
  <si>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</si>
  <si>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</si>
  <si>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</si>
  <si>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</si>
  <si>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</si>
  <si>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</si>
  <si>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</si>
  <si>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</si>
  <si>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</si>
  <si>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</si>
  <si>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</si>
  <si>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</si>
  <si>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</si>
  <si>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</si>
  <si>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</si>
  <si>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</si>
  <si>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</si>
  <si>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</si>
  <si>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</si>
  <si>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</si>
  <si>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</si>
  <si>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</si>
  <si>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</si>
  <si>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</si>
  <si>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</si>
  <si>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</si>
  <si>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</si>
  <si>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</si>
  <si>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</si>
  <si>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</si>
  <si>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FACHYP-GAI-AQ-H-AT</t>
  </si>
  <si>
    <t xml:space="preserve">FACHYP-GAI-AQ-V-MS</t>
  </si>
  <si>
    <t xml:space="preserve">Partida</t>
  </si>
  <si>
    <t xml:space="preserve">m</t>
  </si>
  <si>
    <t xml:space="preserve">REPARACIÓN EN MEDIO SUSPENDIDO/COLGADO DE GRIETAS EN PARAMENTO VERTICAL CON GRAPAS ACERO INOXIDABLE (200x95x10 mm) Y ANCLAJE QUÍMICO (FCH)</t>
  </si>
  <si>
    <t xml:space="preserve">Reparación en medio suspendido/colgado de grietas en paramento vertical con grapas de acero inoxidable 10 mm (200x95 cm) y anclaje químico; incluye el repicado y saneamiento previo de la hendidura hasta 5 cm de profundidad, abriendo los labios con el fin de eliminar todo la parte afectado y/o desprendida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</si>
  <si>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</si>
  <si>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</si>
  <si>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</si>
  <si>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</si>
  <si>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</si>
  <si>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</si>
  <si>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</si>
  <si>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</si>
  <si>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</si>
  <si>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</si>
  <si>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</si>
  <si>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</si>
  <si>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</si>
  <si>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</si>
  <si>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</si>
  <si>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</si>
  <si>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alq-martillo-mym-16kg</t>
  </si>
  <si>
    <t xml:space="preserve">Maquinaria</t>
  </si>
  <si>
    <t xml:space="preserve">h</t>
  </si>
  <si>
    <t xml:space="preserve">Alquiler de Martillo Eléctrico Picador-Demoledor 16 kg.   Ref. MÁQUINAS Y MÁQUINAS</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</si>
  <si>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</si>
  <si>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</si>
  <si>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</si>
  <si>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</si>
  <si>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</si>
  <si>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</si>
  <si>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</si>
  <si>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</si>
  <si>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ma-lp-00278894</t>
  </si>
  <si>
    <t xml:space="preserve">Material</t>
  </si>
  <si>
    <t xml:space="preserve">pza</t>
  </si>
  <si>
    <t xml:space="preserve">Grapa de acero inoxidable para reparar grietas en fachadas (200x95x10 mm).   Ref. lp-00278894</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</si>
  <si>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</si>
  <si>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</si>
  <si>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</si>
  <si>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</si>
  <si>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</si>
  <si>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</si>
  <si>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</si>
  <si>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</si>
  <si>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</si>
  <si>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</si>
  <si>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</si>
  <si>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</si>
  <si>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</si>
  <si>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</si>
  <si>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</si>
  <si>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</si>
  <si>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</si>
  <si>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</si>
  <si>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</si>
  <si>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</si>
  <si>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</si>
  <si>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</si>
  <si>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</si>
  <si>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</si>
  <si>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</si>
  <si>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</si>
  <si>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</si>
  <si>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</si>
  <si>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</si>
  <si>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</si>
  <si>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</si>
  <si>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</si>
  <si>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FACHYP-GAI-AQ-V-MS</t>
  </si>
  <si>
    <t xml:space="preserve">FACHYP-04-MNR-03</t>
  </si>
  <si>
    <t xml:space="preserve">Partida</t>
  </si>
  <si>
    <t xml:space="preserve">m</t>
  </si>
  <si>
    <t xml:space="preserve">REPARACIÓN SUPERFICIAL DE GRIETAS EN PASAMANOS DE HORMIGÓN DE BARANDILLAS DE BALAUSTRES ORNAMENTALES CON GRAPAS ACERO INOXIDABLE (125x95x6 mm) Y ANCLAJE QUÍMICO (FCH)</t>
  </si>
  <si>
    <t xml:space="preserve">REPARACIÓN SUPERFICIAL DE GRIETAS EN PARAMENTO HORIZONTAL CON GRAPAS ACERO INOXIDABLE (200x95x10 mm) Y ANCLAJE QUÍMICO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</si>
  <si>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</si>
  <si>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</si>
  <si>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</si>
  <si>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</si>
  <si>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</si>
  <si>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</si>
  <si>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</si>
  <si>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</si>
  <si>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</si>
  <si>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</si>
  <si>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</si>
  <si>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</si>
  <si>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</si>
  <si>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</si>
  <si>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</si>
  <si>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</si>
  <si>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ma-sie-GP07</t>
  </si>
  <si>
    <t xml:space="preserve">Material</t>
  </si>
  <si>
    <t xml:space="preserve">paquete</t>
  </si>
  <si>
    <t xml:space="preserve">Grapas de contención de grietas en acero inoxidable 95x125x6 mm (4 pzas/paquete).   Ref. sie-GP07</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</si>
  <si>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</si>
  <si>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</si>
  <si>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</si>
  <si>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</si>
  <si>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</si>
  <si>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</si>
  <si>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</si>
  <si>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</si>
  <si>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</si>
  <si>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</si>
  <si>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</si>
  <si>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</si>
  <si>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</si>
  <si>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</si>
  <si>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</si>
  <si>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</si>
  <si>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</si>
  <si>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</si>
  <si>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</si>
  <si>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</si>
  <si>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</si>
  <si>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</si>
  <si>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</si>
  <si>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</si>
  <si>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</si>
  <si>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</si>
  <si>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</si>
  <si>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</si>
  <si>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</si>
  <si>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</si>
  <si>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</si>
  <si>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</si>
  <si>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</si>
  <si>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</si>
  <si>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</si>
  <si>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</si>
  <si>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</si>
  <si>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</si>
  <si>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</si>
  <si>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</si>
  <si>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FACHYP-04-MNR-03</t>
  </si>
  <si>
    <t xml:space="preserve">FACHYP-GAC-AQ-H-AT</t>
  </si>
  <si>
    <t xml:space="preserve">Partida</t>
  </si>
  <si>
    <t xml:space="preserve">m</t>
  </si>
  <si>
    <t xml:space="preserve">XXXXXXXX REPARACIÓN EN ANDAMIO TUBULAR DE GRIETAS EN PARAMENTO VERTICAL CON GRAPAS ACERO CORRUGADO (15x40x15 cm/pza) Y ANCLAJE QUÍMICO (FCH)</t>
  </si>
  <si>
    <t xml:space="preserve">Reparación en andamio tubular de grietas en paramento horizontal con grapas de acero corrugado 10 mm (15x40x15 cm/pza) y anclaje químico; incluye el repicado y saneamiento previo de la hendidura hasta 5 cm de profundidad, abriendo los labios con el fin de eliminar todo la parte afectado y/o desprendida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</si>
  <si>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</si>
  <si>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</si>
  <si>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</si>
  <si>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</si>
  <si>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</si>
  <si>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</si>
  <si>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</si>
  <si>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</si>
  <si>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</si>
  <si>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</si>
  <si>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</si>
  <si>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</si>
  <si>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</si>
  <si>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</si>
  <si>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</si>
  <si>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</si>
  <si>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alq-martillo-mym-16kg</t>
  </si>
  <si>
    <t xml:space="preserve">Maquinaria</t>
  </si>
  <si>
    <t xml:space="preserve">h</t>
  </si>
  <si>
    <t xml:space="preserve">Alquiler de Martillo Eléctrico Picador-Demoledor 16 kg.   Ref. MÁQUINAS Y MÁQUINAS</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</si>
  <si>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</si>
  <si>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</si>
  <si>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</si>
  <si>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</si>
  <si>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</si>
  <si>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</si>
  <si>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</si>
  <si>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</si>
  <si>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STR.AC-FAB.GRAPAS-10mm</t>
  </si>
  <si>
    <t xml:space="preserve">Partida</t>
  </si>
  <si>
    <t xml:space="preserve">pza</t>
  </si>
  <si>
    <t xml:space="preserve">FABRICACIÓN DE GRAPAS DE ACERO CORRUGADO 10 mm PARA REPARAR GRIETAS EN FACHADAS (15x40x15 cm/pza)</t>
  </si>
  <si>
    <t xml:space="preserve">ma-lp-00001672</t>
  </si>
  <si>
    <t xml:space="preserve">Material</t>
  </si>
  <si>
    <t xml:space="preserve">pza</t>
  </si>
  <si>
    <t xml:space="preserve">Redondo acero corrugado diámetro 10 mm (3 m/pza).   Ref. lp-00001672</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</si>
  <si>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</si>
  <si>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</si>
  <si>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</si>
  <si>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</si>
  <si>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</si>
  <si>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</si>
  <si>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</si>
  <si>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</si>
  <si>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</si>
  <si>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</si>
  <si>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</si>
  <si>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STR.AC-FAB.GRAPAS-10mm</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</si>
  <si>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</si>
  <si>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</si>
  <si>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</si>
  <si>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</si>
  <si>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</si>
  <si>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</si>
  <si>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</si>
  <si>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</si>
  <si>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</si>
  <si>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</si>
  <si>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</si>
  <si>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</si>
  <si>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</si>
  <si>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</si>
  <si>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</si>
  <si>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</si>
  <si>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</si>
  <si>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</si>
  <si>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</si>
  <si>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</si>
  <si>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</si>
  <si>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</si>
  <si>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</si>
  <si>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</si>
  <si>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</si>
  <si>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</si>
  <si>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</si>
  <si>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</si>
  <si>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</si>
  <si>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</si>
  <si>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</si>
  <si>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</si>
  <si>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FACHYP-GAC-AQ-H-AT</t>
  </si>
  <si>
    <t xml:space="preserve">FACHYP-GAC-AQ-V-AT</t>
  </si>
  <si>
    <t xml:space="preserve">Partida</t>
  </si>
  <si>
    <t xml:space="preserve">m</t>
  </si>
  <si>
    <t xml:space="preserve">XXXXXXXX REPARACIÓN EN ANDAMIO TUBULAR DE GRIETAS EN PARAMENTO VERTICAL CON GRAPAS ACERO CORRUGADO (15x40x15 cm/pza) Y ANCLAJE QUÍMICO (FCH)</t>
  </si>
  <si>
    <t xml:space="preserve">Reparación en andamio tubular de grietas en paramento vertical con grapas de acero corrugado 10 mm (15x40x15 cm/pza) y anclaje químico; incluye el repicado y saneamiento previo de la hendidura hasta 5 cm de profundidad, abriendo los labios con el fin de eliminar todo la parte afectado y/o desprendida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</si>
  <si>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</si>
  <si>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</si>
  <si>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</si>
  <si>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</si>
  <si>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</si>
  <si>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</si>
  <si>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</si>
  <si>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</si>
  <si>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</si>
  <si>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</si>
  <si>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</si>
  <si>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</si>
  <si>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</si>
  <si>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</si>
  <si>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</si>
  <si>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</si>
  <si>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alq-martillo-mym-16kg</t>
  </si>
  <si>
    <t xml:space="preserve">Maquinaria</t>
  </si>
  <si>
    <t xml:space="preserve">h</t>
  </si>
  <si>
    <t xml:space="preserve">Alquiler de Martillo Eléctrico Picador-Demoledor 16 kg.   Ref. MÁQUINAS Y MÁQUINAS</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</si>
  <si>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</si>
  <si>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</si>
  <si>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</si>
  <si>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</si>
  <si>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</si>
  <si>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</si>
  <si>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</si>
  <si>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</si>
  <si>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STR.AC-FAB.GRAPAS-10mm</t>
  </si>
  <si>
    <t xml:space="preserve">Partida</t>
  </si>
  <si>
    <t xml:space="preserve">pza</t>
  </si>
  <si>
    <t xml:space="preserve">FABRICACIÓN DE GRAPAS DE ACERO CORRUGADO 10 mm PARA REPARAR GRIETAS EN FACHADAS (15x40x15 cm/pza)</t>
  </si>
  <si>
    <t xml:space="preserve">ma-lp-00001672</t>
  </si>
  <si>
    <t xml:space="preserve">Material</t>
  </si>
  <si>
    <t xml:space="preserve">pza</t>
  </si>
  <si>
    <t xml:space="preserve">Redondo acero corrugado diámetro 10 mm (3 m/pza).   Ref. lp-00001672</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</si>
  <si>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</si>
  <si>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</si>
  <si>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</si>
  <si>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</si>
  <si>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</si>
  <si>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</si>
  <si>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</si>
  <si>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</si>
  <si>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</si>
  <si>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</si>
  <si>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</si>
  <si>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STR.AC-FAB.GRAPAS-10mm</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</si>
  <si>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</si>
  <si>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</si>
  <si>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</si>
  <si>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</si>
  <si>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</si>
  <si>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</si>
  <si>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</si>
  <si>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</si>
  <si>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</si>
  <si>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</si>
  <si>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</si>
  <si>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</si>
  <si>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</si>
  <si>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</si>
  <si>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</si>
  <si>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</si>
  <si>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</si>
  <si>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</si>
  <si>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</si>
  <si>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</si>
  <si>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</si>
  <si>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</si>
  <si>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</si>
  <si>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</si>
  <si>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</si>
  <si>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</si>
  <si>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</si>
  <si>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</si>
  <si>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</si>
  <si>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</si>
  <si>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</si>
  <si>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</si>
  <si>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FACHYP-GAC-AQ-V-AT</t>
  </si>
  <si>
    <t xml:space="preserve">FACHYP-GAC-AQ-H-MS</t>
  </si>
  <si>
    <t xml:space="preserve">Partida</t>
  </si>
  <si>
    <t xml:space="preserve">m</t>
  </si>
  <si>
    <t xml:space="preserve">XXXXXXXX REPARACIÓN EN MEDIO SUSPENDIDO/COLGADO DE GRIETAS EN PARAMENTO HORIZONTAL CON GRAPAS ACERO CORRUGADO (15x40x15 cm/pza) Y ANCLAJE QUÍMICO (FCH)</t>
  </si>
  <si>
    <t xml:space="preserve">Reparación en medio suspendido/colgado de grietas en paramento horizontal con grapas de acero corrugado 10 mm (15x40x15 cm/pza) y anclaje químico; incluye el repicado y saneamiento previo de la hendidura hasta 5 cm de profundidad, abriendo los labios con el fin de eliminar todo la parte afectado y/o desprendida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</si>
  <si>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</si>
  <si>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</si>
  <si>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</si>
  <si>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</si>
  <si>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</si>
  <si>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</si>
  <si>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</si>
  <si>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</si>
  <si>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</si>
  <si>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</si>
  <si>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</si>
  <si>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</si>
  <si>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</si>
  <si>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</si>
  <si>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</si>
  <si>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</si>
  <si>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alq-martillo-mym-16kg</t>
  </si>
  <si>
    <t xml:space="preserve">Maquinaria</t>
  </si>
  <si>
    <t xml:space="preserve">h</t>
  </si>
  <si>
    <t xml:space="preserve">Alquiler de Martillo Eléctrico Picador-Demoledor 16 kg.   Ref. MÁQUINAS Y MÁQUINAS</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</si>
  <si>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</si>
  <si>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</si>
  <si>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</si>
  <si>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</si>
  <si>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</si>
  <si>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</si>
  <si>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</si>
  <si>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</si>
  <si>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STR.AC-FAB.GRAPAS-10mm</t>
  </si>
  <si>
    <t xml:space="preserve">Partida</t>
  </si>
  <si>
    <t xml:space="preserve">pza</t>
  </si>
  <si>
    <t xml:space="preserve">FABRICACIÓN DE GRAPAS DE ACERO CORRUGADO 10 mm PARA REPARAR GRIETAS EN FACHADAS (15x40x15 cm/pza)</t>
  </si>
  <si>
    <t xml:space="preserve">ma-lp-00001672</t>
  </si>
  <si>
    <t xml:space="preserve">Material</t>
  </si>
  <si>
    <t xml:space="preserve">pza</t>
  </si>
  <si>
    <t xml:space="preserve">Redondo acero corrugado diámetro 10 mm (3 m/pza).   Ref. lp-00001672</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</si>
  <si>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</si>
  <si>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</si>
  <si>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</si>
  <si>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</si>
  <si>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</si>
  <si>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</si>
  <si>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</si>
  <si>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</si>
  <si>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</si>
  <si>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</si>
  <si>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</si>
  <si>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STR.AC-FAB.GRAPAS-10mm</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</si>
  <si>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</si>
  <si>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</si>
  <si>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</si>
  <si>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</si>
  <si>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</si>
  <si>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</si>
  <si>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</si>
  <si>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</si>
  <si>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</si>
  <si>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</si>
  <si>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</si>
  <si>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</si>
  <si>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</si>
  <si>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</si>
  <si>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</si>
  <si>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</si>
  <si>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</si>
  <si>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</si>
  <si>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</si>
  <si>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</si>
  <si>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</si>
  <si>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</si>
  <si>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</si>
  <si>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</si>
  <si>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</si>
  <si>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</si>
  <si>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</si>
  <si>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</si>
  <si>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</si>
  <si>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</si>
  <si>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</si>
  <si>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</si>
  <si>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FACHYP-GAC-AQ-H-MS</t>
  </si>
  <si>
    <t xml:space="preserve">FACHYP-GAC-AQ-V-MS</t>
  </si>
  <si>
    <t xml:space="preserve">Partida</t>
  </si>
  <si>
    <t xml:space="preserve">m</t>
  </si>
  <si>
    <t xml:space="preserve">XXXXXXXX REPARACIÓN EN MEDIO SUSPENDIDO/COLGADO DE GRIETAS EN PARAMENTO VERTICAL CON GRAPAS ACERO CORRUGADO (15x40x15 cm/pza) Y ANCLAJE QUÍMICO (FCH)</t>
  </si>
  <si>
    <t xml:space="preserve">Reparación en medio suspendido/colgado de grietas en paramento vertical con grapas de acero corrugado 10 mm (15x40x15 cm/pza) y anclaje químico; incluye el repicado y saneamiento previo de la hendidura hasta 5 cm de profundidad, abriendo los labios con el fin de eliminar todo la parte afectado y/o desprendida (FCH).</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</si>
  <si>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</si>
  <si>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</si>
  <si>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</si>
  <si>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</si>
  <si>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</si>
  <si>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</si>
  <si>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</si>
  <si>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</si>
  <si>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ma-lp-00539160</t>
  </si>
  <si>
    <t xml:space="preserve">Material</t>
  </si>
  <si>
    <t xml:space="preserve">disco</t>
  </si>
  <si>
    <t xml:space="preserve">Disco diamante contínuo DHTI de MILWAUKEE 115 mm.   Ref. lp-00539160</t>
  </si>
  <si>
    <t xml:space="preserve">alq-amolador-mym-01</t>
  </si>
  <si>
    <t xml:space="preserve">Maquinaria</t>
  </si>
  <si>
    <t xml:space="preserve">h</t>
  </si>
  <si>
    <t xml:space="preserve">Alquiler de Amolador Radial Eléctrico Portátil Diámetro 115 mm 750 W / 230 V.   Ref. MÁQUINAS Y MÁQUINAS</t>
  </si>
  <si>
    <t xml:space="preserve">alq-martillo-mym-16kg</t>
  </si>
  <si>
    <t xml:space="preserve">Maquinaria</t>
  </si>
  <si>
    <t xml:space="preserve">h</t>
  </si>
  <si>
    <t xml:space="preserve">Alquiler de Martillo Eléctrico Picador-Demoledor 16 kg.   Ref. MÁQUINAS Y MÁQUINAS</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</si>
  <si>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</si>
  <si>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</si>
  <si>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</si>
  <si>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</si>
  <si>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</si>
  <si>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</si>
  <si>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</si>
  <si>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</si>
  <si>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STR.AC-FAB.GRAPAS-10mm</t>
  </si>
  <si>
    <t xml:space="preserve">Partida</t>
  </si>
  <si>
    <t xml:space="preserve">pza</t>
  </si>
  <si>
    <t xml:space="preserve">FABRICACIÓN DE GRAPAS DE ACERO CORRUGADO 10 mm PARA REPARAR GRIETAS EN FACHADAS (15x40x15 cm/pza)</t>
  </si>
  <si>
    <t xml:space="preserve">ma-lp-00001672</t>
  </si>
  <si>
    <t xml:space="preserve">Material</t>
  </si>
  <si>
    <t xml:space="preserve">pza</t>
  </si>
  <si>
    <t xml:space="preserve">Redondo acero corrugado diámetro 10 mm (3 m/pza).   Ref. lp-00001672</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</si>
  <si>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</si>
  <si>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</si>
  <si>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</si>
  <si>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</si>
  <si>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</si>
  <si>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</si>
  <si>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</si>
  <si>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</si>
  <si>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</si>
  <si>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</si>
  <si>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</si>
  <si>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STR.AC-FAB.GRAPAS-10mm</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</si>
  <si>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</si>
  <si>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</si>
  <si>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</si>
  <si>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</si>
  <si>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</si>
  <si>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</si>
  <si>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</si>
  <si>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</si>
  <si>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</si>
  <si>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</si>
  <si>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</si>
  <si>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</si>
  <si>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</si>
  <si>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</si>
  <si>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</si>
  <si>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</si>
  <si>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</si>
  <si>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</si>
  <si>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</si>
  <si>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</si>
  <si>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</si>
  <si>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</si>
  <si>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</si>
  <si>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</si>
  <si>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</si>
  <si>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</si>
  <si>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</si>
  <si>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</si>
  <si>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</si>
  <si>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</si>
  <si>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</si>
  <si>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</si>
  <si>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FACHYP-GAC-AQ-V-MS</t>
  </si>
  <si>
    <t xml:space="preserve">FACHYP01</t>
  </si>
  <si>
    <t xml:space="preserve">Partida</t>
  </si>
  <si>
    <t xml:space="preserve">PAR</t>
  </si>
  <si>
    <t xml:space="preserve">ENDERROC I DESMUNTATGE</t>
  </si>
  <si>
    <t xml:space="preserve">ENDERROC I DESMUNTATGE</t>
  </si>
  <si>
    <t xml:space="preserve">FACHYP0101</t>
  </si>
  <si>
    <t xml:space="preserve">Partida</t>
  </si>
  <si>
    <t xml:space="preserve">M2</t>
  </si>
  <si>
    <t xml:space="preserve">Repicat d'arrebossat a façana</t>
  </si>
  <si>
    <t xml:space="preserve">m.o.1</t>
  </si>
  <si>
    <t xml:space="preserve">Mano de obra</t>
  </si>
  <si>
    <t xml:space="preserve">h</t>
  </si>
  <si>
    <t xml:space="preserve">Mano de Obra: 1 Oficial de 1ª, 1 Ayudante y 1/2 Ayudante</t>
  </si>
  <si>
    <t xml:space="preserve">BIGBAG01</t>
  </si>
  <si>
    <t xml:space="preserve">Material</t>
  </si>
  <si>
    <t xml:space="preserve">saco</t>
  </si>
  <si>
    <t xml:space="preserve">Big Bag runa 1m3</t>
  </si>
  <si>
    <t xml:space="preserve">02AYUDANTES</t>
  </si>
  <si>
    <t xml:space="preserve">Mano de obra</t>
  </si>
  <si>
    <t xml:space="preserve">h</t>
  </si>
  <si>
    <t xml:space="preserve">Mano de obra: 2 Ayudantes</t>
  </si>
  <si>
    <t xml:space="preserve">FACHYP0101</t>
  </si>
  <si>
    <t xml:space="preserve">FACHYP0102</t>
  </si>
  <si>
    <t xml:space="preserve">Partida</t>
  </si>
  <si>
    <t xml:space="preserve">M2</t>
  </si>
  <si>
    <t xml:space="preserve">Repicat de revestiment dels balcons</t>
  </si>
  <si>
    <t xml:space="preserve">m.o.1</t>
  </si>
  <si>
    <t xml:space="preserve">Mano de obra</t>
  </si>
  <si>
    <t xml:space="preserve">h</t>
  </si>
  <si>
    <t xml:space="preserve">Mano de Obra: 1 Oficial de 1ª, 1 Ayudante y 1/2 Ayudante</t>
  </si>
  <si>
    <t xml:space="preserve">BIGBAG01</t>
  </si>
  <si>
    <t xml:space="preserve">Material</t>
  </si>
  <si>
    <t xml:space="preserve">saco</t>
  </si>
  <si>
    <t xml:space="preserve">Big Bag runa 1m3</t>
  </si>
  <si>
    <t xml:space="preserve">02AYUDANTES</t>
  </si>
  <si>
    <t xml:space="preserve">Mano de obra</t>
  </si>
  <si>
    <t xml:space="preserve">h</t>
  </si>
  <si>
    <t xml:space="preserve">Mano de obra: 2 Ayudantes</t>
  </si>
  <si>
    <t xml:space="preserve">FACHYP0102</t>
  </si>
  <si>
    <t xml:space="preserve">FACHYP0103</t>
  </si>
  <si>
    <t xml:space="preserve">Partida</t>
  </si>
  <si>
    <t xml:space="preserve">M2</t>
  </si>
  <si>
    <t xml:space="preserve">Repicat fins a base d'ancoratge</t>
  </si>
  <si>
    <t xml:space="preserve">m.o.1</t>
  </si>
  <si>
    <t xml:space="preserve">Mano de obra</t>
  </si>
  <si>
    <t xml:space="preserve">h</t>
  </si>
  <si>
    <t xml:space="preserve">Mano de Obra: 1 Oficial de 1ª, 1 Ayudante y 1/2 Ayudante</t>
  </si>
  <si>
    <t xml:space="preserve">BIGBAG01</t>
  </si>
  <si>
    <t xml:space="preserve">Material</t>
  </si>
  <si>
    <t xml:space="preserve">saco</t>
  </si>
  <si>
    <t xml:space="preserve">Big Bag runa 1m3</t>
  </si>
  <si>
    <t xml:space="preserve">02AYUDANTES</t>
  </si>
  <si>
    <t xml:space="preserve">Mano de obra</t>
  </si>
  <si>
    <t xml:space="preserve">h</t>
  </si>
  <si>
    <t xml:space="preserve">Mano de obra: 2 Ayudantes</t>
  </si>
  <si>
    <t xml:space="preserve">FACHYP0103</t>
  </si>
  <si>
    <t xml:space="preserve">FACHYP0104</t>
  </si>
  <si>
    <t xml:space="preserve">Partida</t>
  </si>
  <si>
    <t xml:space="preserve">M2</t>
  </si>
  <si>
    <t xml:space="preserve">Repicat de totes les parts esquerdades</t>
  </si>
  <si>
    <t xml:space="preserve">m.o.1</t>
  </si>
  <si>
    <t xml:space="preserve">Mano de obra</t>
  </si>
  <si>
    <t xml:space="preserve">h</t>
  </si>
  <si>
    <t xml:space="preserve">Mano de Obra: 1 Oficial de 1ª, 1 Ayudante y 1/2 Ayudante</t>
  </si>
  <si>
    <t xml:space="preserve">BIGBAG01</t>
  </si>
  <si>
    <t xml:space="preserve">Material</t>
  </si>
  <si>
    <t xml:space="preserve">saco</t>
  </si>
  <si>
    <t xml:space="preserve">Big Bag runa 1m3</t>
  </si>
  <si>
    <t xml:space="preserve">02AYUDANTES</t>
  </si>
  <si>
    <t xml:space="preserve">Mano de obra</t>
  </si>
  <si>
    <t xml:space="preserve">h</t>
  </si>
  <si>
    <t xml:space="preserve">Mano de obra: 2 Ayudantes</t>
  </si>
  <si>
    <t xml:space="preserve">FACHYP0104</t>
  </si>
  <si>
    <t xml:space="preserve">FACHYP01</t>
  </si>
  <si>
    <t xml:space="preserve">FACHYP-REVOCO-HIDROFUGO-V-AT-15</t>
  </si>
  <si>
    <t xml:space="preserve">Partida</t>
  </si>
  <si>
    <t xml:space="preserve">m2</t>
  </si>
  <si>
    <t xml:space="preserve">XXXXXXXXXXXXXXXXXXXXXXX ENFOSCADO DE MORTERO HIDROFUGO PROPAM REVOC 15 mm (FCH)</t>
  </si>
  <si>
    <t xml:space="preserve">Revestimiento de paramentos exteriores con mortero hidrofugo, color gris, gama Estándar, espesor 15 mm, aplicado manualmente, armado y reforzado con malla de fibra de vidrio antiálcalis, incluso en los cambios de material.</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</si>
  <si>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</si>
  <si>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</si>
  <si>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</si>
  <si>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</si>
  <si>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</si>
  <si>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</si>
  <si>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</si>
  <si>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</si>
  <si>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</si>
  <si>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</si>
  <si>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</si>
  <si>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</si>
  <si>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</si>
  <si>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</si>
  <si>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</si>
  <si>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</si>
  <si>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</si>
  <si>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</si>
  <si>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</si>
  <si>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</si>
  <si>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</si>
  <si>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</si>
  <si>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</si>
  <si>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</si>
  <si>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</si>
  <si>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</si>
  <si>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</si>
  <si>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</si>
  <si>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</si>
  <si>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</si>
  <si>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</si>
  <si>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</si>
  <si>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</si>
  <si>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</si>
  <si>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</si>
  <si>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</si>
  <si>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FACHYP-REVOCO-HIDROFUGO-V-AT-15</t>
  </si>
  <si>
    <t xml:space="preserve">FACHYP07-OK</t>
  </si>
  <si>
    <t xml:space="preserve">Partida</t>
  </si>
  <si>
    <t xml:space="preserve">ML</t>
  </si>
  <si>
    <t xml:space="preserve">SELLADO JUNTA DILATACION MEDIANERA</t>
  </si>
  <si>
    <t xml:space="preserve">Eliminación de capa de pintura y zonas con desprendimiento de material en mal estado, aplicada sobre paramento vertical, con medios manuales.</t>
  </si>
  <si>
    <t xml:space="preserve">ma-lm-322182</t>
  </si>
  <si>
    <t xml:space="preserve">Material</t>
  </si>
  <si>
    <t xml:space="preserve">cartucho</t>
  </si>
  <si>
    <t xml:space="preserve">Masilla de poliuretano SIKAFLEX 11FC de SIKA; color gris (300 cm3/cartucho).   Ref. lm-322182</t>
  </si>
  <si>
    <t xml:space="preserve">ma-bm-10393222</t>
  </si>
  <si>
    <t xml:space="preserve">Material</t>
  </si>
  <si>
    <t xml:space="preserve">m</t>
  </si>
  <si>
    <t xml:space="preserve">Cordón para junta de polietileno macizo CHOVA REJUNTEX-25 de CHOVA.   Ref. bm-10393222</t>
  </si>
  <si>
    <t xml:space="preserve">mo-salarial-ayudante</t>
  </si>
  <si>
    <t xml:space="preserve">Mano de obra</t>
  </si>
  <si>
    <t xml:space="preserve">h</t>
  </si>
  <si>
    <t xml:space="preserve">Ayudante</t>
  </si>
  <si>
    <t xml:space="preserve">FACHYP07-OK</t>
  </si>
  <si>
    <t xml:space="preserve">FACHYP08-PROPAM.REVAT.CAL-OK</t>
  </si>
  <si>
    <t xml:space="preserve">Partida</t>
  </si>
  <si>
    <t xml:space="preserve">M2</t>
  </si>
  <si>
    <t xml:space="preserve">MORTERO DE CAL PROPAM REVAT CAL DE 10MM</t>
  </si>
  <si>
    <t xml:space="preserve">MORTERO DE CAL PROPAM REVET CAL DE 10MM</t>
  </si>
  <si>
    <t xml:space="preserve">ma-lp-00540813</t>
  </si>
  <si>
    <t xml:space="preserve">Material</t>
  </si>
  <si>
    <t xml:space="preserve">saco</t>
  </si>
  <si>
    <t xml:space="preserve">Mortero para revoco PROPAM REVAT CAL ENFOSCADO (25 kg/saco).   Ref. lp-00540813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</si>
  <si>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</si>
  <si>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</si>
  <si>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</si>
  <si>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</si>
  <si>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</si>
  <si>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</si>
  <si>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</si>
  <si>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</si>
  <si>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</si>
  <si>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</si>
  <si>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</si>
  <si>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</si>
  <si>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</si>
  <si>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</si>
  <si>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</si>
  <si>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</si>
  <si>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</si>
  <si>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</si>
  <si>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</si>
  <si>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</si>
  <si>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</si>
  <si>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</si>
  <si>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</si>
  <si>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</si>
  <si>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</si>
  <si>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FACHYP08-PROPAM.REVAT.CAL-OK</t>
  </si>
  <si>
    <t xml:space="preserve">FACHYP08-WEBER.HYDROMUR-OK</t>
  </si>
  <si>
    <t xml:space="preserve">Partida</t>
  </si>
  <si>
    <t xml:space="preserve">m2</t>
  </si>
  <si>
    <t xml:space="preserve">MORTERO DE CAL WEBERCAL HYDROMUR de WEBER DE 10MM</t>
  </si>
  <si>
    <t xml:space="preserve">MORTERO DE CAL WEBERCAL HYDROMUR de WEBER DE 10MM</t>
  </si>
  <si>
    <t xml:space="preserve">ma-bm-10388315</t>
  </si>
  <si>
    <t xml:space="preserve">Material</t>
  </si>
  <si>
    <t xml:space="preserve">saco</t>
  </si>
  <si>
    <t xml:space="preserve">Mortero Transpirable e Impermeable WEBERCAL HYDROMUR de WEBER (25 kg/saco).   Ref. bm-10388315</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</si>
  <si>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</si>
  <si>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</si>
  <si>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</si>
  <si>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</si>
  <si>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</si>
  <si>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</si>
  <si>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</si>
  <si>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</si>
  <si>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</si>
  <si>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</si>
  <si>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</si>
  <si>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</si>
  <si>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</si>
  <si>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</si>
  <si>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</si>
  <si>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</si>
  <si>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</si>
  <si>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</si>
  <si>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</si>
  <si>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</si>
  <si>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</si>
  <si>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</si>
  <si>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</si>
  <si>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</si>
  <si>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</si>
  <si>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FACHYP08-WEBER.HYDROMUR-OK</t>
  </si>
  <si>
    <t xml:space="preserve">FACHYP10-OK</t>
  </si>
  <si>
    <t xml:space="preserve">Partida</t>
  </si>
  <si>
    <t xml:space="preserve">M2</t>
  </si>
  <si>
    <t xml:space="preserve">AISLAMIENTO TERMICO EXTERIOR DE POLIESTIRENO EXTRUIDO DE 40MM</t>
  </si>
  <si>
    <t xml:space="preserve">Aislamiento térmico por el exterior en fachada, formado por panel rígido de poliestireno expandido, de superficie lisa y mecanizado lateral recto, de color blanco, de 40 mm de espesor, con resistencia al envejecimiento y permeable al vapor de agua,, conductividad térmica, colocado a tope y fijado con mortero adhesivo y fijaciones mecánicas. El precio no incluye la capa de regularización ni la capa de acabado.</t>
  </si>
  <si>
    <t xml:space="preserve">ma-lp-00540868</t>
  </si>
  <si>
    <t xml:space="preserve">Material</t>
  </si>
  <si>
    <t xml:space="preserve">saco</t>
  </si>
  <si>
    <t xml:space="preserve">Mortero hidrofugado PROPAM AISTERM para colocación y protección de paneles aislantes; color gris (25 kg/saco).   Ref. lp-00540868</t>
  </si>
  <si>
    <t xml:space="preserve">ma-lp-00535724</t>
  </si>
  <si>
    <t xml:space="preserve">Material</t>
  </si>
  <si>
    <t xml:space="preserve">placa</t>
  </si>
  <si>
    <t xml:space="preserve">Placa EPS para Sistema SATE; blanca (1000x500x40 mm/placa).   Ref. lp-00535724</t>
  </si>
  <si>
    <t xml:space="preserve">ma-lp-00535728</t>
  </si>
  <si>
    <t xml:space="preserve">Material</t>
  </si>
  <si>
    <t xml:space="preserve">placa</t>
  </si>
  <si>
    <t xml:space="preserve">Placa EPS para Sistema SATE; blanca (1000x500x80 mm/placa).   Ref. lp-00535728</t>
  </si>
  <si>
    <t xml:space="preserve">ma-lp-00345414</t>
  </si>
  <si>
    <t xml:space="preserve">Material</t>
  </si>
  <si>
    <t xml:space="preserve">caja</t>
  </si>
  <si>
    <t xml:space="preserve">Taco con plato para fijación mecánica de placa aislante por golpeo con clavo de poliamida; medidas: 10x140 mm (200 pzas/caja).   Ref. lp-00345414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</si>
  <si>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</si>
  <si>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</si>
  <si>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</si>
  <si>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</si>
  <si>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</si>
  <si>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</si>
  <si>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</si>
  <si>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</si>
  <si>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</si>
  <si>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</si>
  <si>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</si>
  <si>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</si>
  <si>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</si>
  <si>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</si>
  <si>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</si>
  <si>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</si>
  <si>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</si>
  <si>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FACHYP10-OK</t>
  </si>
  <si>
    <t xml:space="preserve">FACHYP11</t>
  </si>
  <si>
    <t xml:space="preserve">Partida</t>
  </si>
  <si>
    <t xml:space="preserve">M2</t>
  </si>
  <si>
    <t xml:space="preserve">TABIQUE PLUVIAL CON PLACA DE ACERO</t>
  </si>
  <si>
    <t xml:space="preserve">TABIQUE PLUVIAL CON PLACA DE ACERO</t>
  </si>
  <si>
    <t xml:space="preserve">PLC1</t>
  </si>
  <si>
    <t xml:space="preserve">Material</t>
  </si>
  <si>
    <t xml:space="preserve">m2</t>
  </si>
  <si>
    <t xml:space="preserve">Placa grecada de acero galvanizado, de 0,6 mm de espesor, con nervios</t>
  </si>
  <si>
    <t xml:space="preserve">TOR1</t>
  </si>
  <si>
    <t xml:space="preserve">Material</t>
  </si>
  <si>
    <t xml:space="preserve">u</t>
  </si>
  <si>
    <t xml:space="preserve">Tornillo galvanizado con taco de plástico y arandela plomo/hierro, para</t>
  </si>
  <si>
    <t xml:space="preserve">REMT1</t>
  </si>
  <si>
    <t xml:space="preserve">Material</t>
  </si>
  <si>
    <t xml:space="preserve">m</t>
  </si>
  <si>
    <t xml:space="preserve">Remate perimetral de plancha galvanizada esmaltada, de varios colores.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</si>
  <si>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</si>
  <si>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</si>
  <si>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</si>
  <si>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</si>
  <si>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</si>
  <si>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</si>
  <si>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</si>
  <si>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</si>
  <si>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</si>
  <si>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</si>
  <si>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</si>
  <si>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</si>
  <si>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</si>
  <si>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</si>
  <si>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</si>
  <si>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</si>
  <si>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</si>
  <si>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m.o.1</t>
  </si>
  <si>
    <t xml:space="preserve">Mano de obra</t>
  </si>
  <si>
    <t xml:space="preserve">h</t>
  </si>
  <si>
    <t xml:space="preserve">Mano de Obra: 1 Oficial de 1ª, 1 Ayudante y 1/2 Ayudante</t>
  </si>
  <si>
    <t xml:space="preserve">FACHYP11</t>
  </si>
  <si>
    <t xml:space="preserve">FACHYP12-OK-2</t>
  </si>
  <si>
    <t xml:space="preserve">Partida</t>
  </si>
  <si>
    <t xml:space="preserve">M2</t>
  </si>
  <si>
    <t xml:space="preserve">SISTEMA WEBERTHERM ETICS (ACABADO ORGANICO BASE ACRILICA / WEBERTENE CLASSIS)</t>
  </si>
  <si>
    <t xml:space="preserve">SISTEMA WEBERTHERM ETICS (ACABADO ORGANICO BASE ACRILICA / WEBERTENE CLASSIS)</t>
  </si>
  <si>
    <t xml:space="preserve">ma-om-10876985</t>
  </si>
  <si>
    <t xml:space="preserve">Material</t>
  </si>
  <si>
    <t xml:space="preserve">saco</t>
  </si>
  <si>
    <t xml:space="preserve">Mortero adhesivo y regularizador WEBERTHERM BASE (25 kg/saco).   Ref. om-10876985</t>
  </si>
  <si>
    <t xml:space="preserve">ma-lp-00535728</t>
  </si>
  <si>
    <t xml:space="preserve">Material</t>
  </si>
  <si>
    <t xml:space="preserve">placa</t>
  </si>
  <si>
    <t xml:space="preserve">Placa EPS para Sistema SATE; blanca (1000x500x80 mm/placa).   Ref. lp-00535728</t>
  </si>
  <si>
    <t xml:space="preserve">ma-prolisur-eh3-095</t>
  </si>
  <si>
    <t xml:space="preserve">Material</t>
  </si>
  <si>
    <t xml:space="preserve">caja</t>
  </si>
  <si>
    <t xml:space="preserve">Sistema de fijación plástico WEBERTHERM ESPIGA H3 - 095 para placas de aislamiento térmico en los sistemas SATE (200 pzas/caja).   Ref. prolisur-eh3-095</t>
  </si>
  <si>
    <t xml:space="preserve">ma-dp-00955597</t>
  </si>
  <si>
    <t xml:space="preserve">Material</t>
  </si>
  <si>
    <t xml:space="preserve">rollo</t>
  </si>
  <si>
    <t xml:space="preserve">Malla de refuerzo 160 de WEBERTHERM para sistema SATE (50x1,1 m/rollo).   Ref. dp-00955597</t>
  </si>
  <si>
    <t xml:space="preserve">ma-dp-76948730</t>
  </si>
  <si>
    <t xml:space="preserve">Material</t>
  </si>
  <si>
    <t xml:space="preserve">bidón</t>
  </si>
  <si>
    <t xml:space="preserve">Imprimante de fondeo universal WEBERTENE PRIMER para sistemas SATE (14 litros/bidón = 19 kg/bidón).   Ref. dp-76948730</t>
  </si>
  <si>
    <t xml:space="preserve">ma-dp-77387846</t>
  </si>
  <si>
    <t xml:space="preserve">Material</t>
  </si>
  <si>
    <t xml:space="preserve">bidón</t>
  </si>
  <si>
    <t xml:space="preserve">Revestimiento acrílico WEBERTENE CLASSIC XL acabado fratasado, rústico y rayado para sistemas WEBERTHERM y WEBERENOVA (25 kg/bidón).   Ref. dp-77387846</t>
  </si>
  <si>
    <t xml:space="preserve">fondbric</t>
  </si>
  <si>
    <t xml:space="preserve">Material</t>
  </si>
  <si>
    <t xml:space="preserve">kg</t>
  </si>
  <si>
    <t xml:space="preserve">IMPRIMACIÓN DE FONDO APLICA REV FONDO ACRÍLICO 20 KG BLANCO   REF : 10523863   BRICOMAR</t>
  </si>
  <si>
    <t xml:space="preserve">moracribico</t>
  </si>
  <si>
    <t xml:space="preserve">Material</t>
  </si>
  <si>
    <t xml:space="preserve">kg</t>
  </si>
  <si>
    <t xml:space="preserve">MORTERO ACRÍLICO APLICA REV 25 KG ROJO TEJA   REF : 10523912  BRICOMAR</t>
  </si>
  <si>
    <t xml:space="preserve">ma-lp-00535724</t>
  </si>
  <si>
    <t xml:space="preserve">Material</t>
  </si>
  <si>
    <t xml:space="preserve">placa</t>
  </si>
  <si>
    <t xml:space="preserve">Placa EPS para Sistema SATE; blanca (1000x500x40 mm/placa).   Ref. lp-00535724</t>
  </si>
  <si>
    <t xml:space="preserve">ma-lp-00538890</t>
  </si>
  <si>
    <t xml:space="preserve">Material</t>
  </si>
  <si>
    <t xml:space="preserve">bidón</t>
  </si>
  <si>
    <t xml:space="preserve">Revestimiento de fachadas 5 años BIGMAT blanco (15 litros/bidón).   Ref. lp-00538890</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</si>
  <si>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</si>
  <si>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</si>
  <si>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</si>
  <si>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</si>
  <si>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</si>
  <si>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</si>
  <si>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</si>
  <si>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</si>
  <si>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</si>
  <si>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</si>
  <si>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</si>
  <si>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</si>
  <si>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</si>
  <si>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</si>
  <si>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</si>
  <si>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</si>
  <si>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</si>
  <si>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</si>
  <si>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</si>
  <si>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</si>
  <si>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</si>
  <si>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FACHYP12-OK-2</t>
  </si>
  <si>
    <t xml:space="preserve">FACHYP13-PROPAM.REVAT.CAL-OK</t>
  </si>
  <si>
    <t xml:space="preserve">Partida</t>
  </si>
  <si>
    <t xml:space="preserve">M2</t>
  </si>
  <si>
    <t xml:space="preserve">XXXXXXXX  MORTERO DE CAL PROPAM REVAT CAL DE 20MM</t>
  </si>
  <si>
    <t xml:space="preserve">Capa de mortero de cal, aplicado manualmente, sobre capa base de mortero, vertical. El precio incluye la protección de los elementos del entorno que puedan verse afectados durante los trabajos y la resolución de puntos singulares.</t>
  </si>
  <si>
    <t xml:space="preserve">ma-lp-00540813</t>
  </si>
  <si>
    <t xml:space="preserve">Material</t>
  </si>
  <si>
    <t xml:space="preserve">saco</t>
  </si>
  <si>
    <t xml:space="preserve">Mortero para revoco PROPAM REVAT CAL ENFOSCADO (25 kg/saco).   Ref. lp-00540813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</si>
  <si>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</si>
  <si>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</si>
  <si>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</si>
  <si>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</si>
  <si>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</si>
  <si>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</si>
  <si>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</si>
  <si>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</si>
  <si>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</si>
  <si>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</si>
  <si>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</si>
  <si>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</si>
  <si>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</si>
  <si>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</si>
  <si>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</si>
  <si>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</si>
  <si>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</si>
  <si>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</si>
  <si>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</si>
  <si>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</si>
  <si>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</si>
  <si>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</si>
  <si>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</si>
  <si>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</si>
  <si>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</si>
  <si>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FACHYP13-PROPAM.REVAT.CAL-OK</t>
  </si>
  <si>
    <t xml:space="preserve">FACHYP13-WEBER-HYDROMUR-OK</t>
  </si>
  <si>
    <t xml:space="preserve">Partida</t>
  </si>
  <si>
    <t xml:space="preserve">m2</t>
  </si>
  <si>
    <t xml:space="preserve">MORTERO DE CAL WEBERCAL HYDROMUR de WEBER DE 10MM</t>
  </si>
  <si>
    <t xml:space="preserve">MORTERO DE CAL WEBERCAL HYDROMUR de WEBER DE 10MM</t>
  </si>
  <si>
    <t xml:space="preserve">ma-bm-10388315</t>
  </si>
  <si>
    <t xml:space="preserve">Material</t>
  </si>
  <si>
    <t xml:space="preserve">saco</t>
  </si>
  <si>
    <t xml:space="preserve">Mortero Transpirable e Impermeable WEBERCAL HYDROMUR de WEBER (25 kg/saco).   Ref. bm-10388315</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</si>
  <si>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</si>
  <si>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</si>
  <si>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</si>
  <si>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</si>
  <si>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</si>
  <si>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</si>
  <si>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</si>
  <si>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</si>
  <si>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</si>
  <si>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</si>
  <si>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</si>
  <si>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</si>
  <si>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</si>
  <si>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</si>
  <si>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</si>
  <si>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</si>
  <si>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</si>
  <si>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</si>
  <si>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</si>
  <si>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</si>
  <si>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</si>
  <si>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</si>
  <si>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</si>
  <si>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</si>
  <si>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</si>
  <si>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FACHYP13-WEBER-HYDROMUR-OK</t>
  </si>
  <si>
    <t xml:space="preserve">FACHYP15-OK</t>
  </si>
  <si>
    <t xml:space="preserve">Partida</t>
  </si>
  <si>
    <t xml:space="preserve">M2</t>
  </si>
  <si>
    <t xml:space="preserve">MORTERO BASTARDO DE 15mm A 20mm= 25kg CAL: 5kg CAL AMERADA: 5kg CEMENTO BLANCO</t>
  </si>
  <si>
    <t xml:space="preserve">MORTERO BASTARDO DE 15mm A 20mm= 25kg CAL: 5kg CAL AMERADA: 5kg CEMENTO BLANCO</t>
  </si>
  <si>
    <t xml:space="preserve">ma-lp-00540813</t>
  </si>
  <si>
    <t xml:space="preserve">Material</t>
  </si>
  <si>
    <t xml:space="preserve">saco</t>
  </si>
  <si>
    <t xml:space="preserve">Mortero para revoco PROPAM REVAT CAL ENFOSCADO (25 kg/saco).   Ref. lp-00540813</t>
  </si>
  <si>
    <t xml:space="preserve">ma-todocal-calgrasa.pasta-CL90SP</t>
  </si>
  <si>
    <t xml:space="preserve">Material</t>
  </si>
  <si>
    <t xml:space="preserve">cubo</t>
  </si>
  <si>
    <t xml:space="preserve">Cal grasa en pasta CL-90-S PL de IBERCAL (20 kg/cubo).   Ref. todocal-calgrasa.pasta-CL90SPL</t>
  </si>
  <si>
    <t xml:space="preserve">ma-lp-00179136</t>
  </si>
  <si>
    <t xml:space="preserve">Material</t>
  </si>
  <si>
    <t xml:space="preserve">saco</t>
  </si>
  <si>
    <t xml:space="preserve">Cemento PORTLAND blanco II/A-L 42,5 R de VALSEC (25 kg/saco).   Ref. lp-00179136</t>
  </si>
  <si>
    <t xml:space="preserve">ma-lp-00001706</t>
  </si>
  <si>
    <t xml:space="preserve">Material</t>
  </si>
  <si>
    <t xml:space="preserve">rollo</t>
  </si>
  <si>
    <t xml:space="preserve">Malla de fibra de vidrio para yeso REGARSA con luz de 5x5 mm (50 m/rollo)   Ref. lp-00001706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</si>
  <si>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</si>
  <si>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</si>
  <si>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</si>
  <si>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</si>
  <si>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</si>
  <si>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</si>
  <si>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</si>
  <si>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</si>
  <si>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</si>
  <si>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</si>
  <si>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</si>
  <si>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</si>
  <si>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</si>
  <si>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</si>
  <si>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</si>
  <si>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</si>
  <si>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</si>
  <si>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FACHYP15-OK</t>
  </si>
  <si>
    <t xml:space="preserve">FACHYP16-OK</t>
  </si>
  <si>
    <t xml:space="preserve">Partida</t>
  </si>
  <si>
    <t xml:space="preserve">M2</t>
  </si>
  <si>
    <t xml:space="preserve">MORTERO DE CAL Y ARENILLA DE 1,5mm= 5kg CAL: 1kg ARENILLA</t>
  </si>
  <si>
    <t xml:space="preserve">MORTERO DE CAL Y ARENILLA DE 1,5mm= 5kg CAL: 1kg ARENILLA</t>
  </si>
  <si>
    <t xml:space="preserve">ma-lp-00540813</t>
  </si>
  <si>
    <t xml:space="preserve">Material</t>
  </si>
  <si>
    <t xml:space="preserve">saco</t>
  </si>
  <si>
    <t xml:space="preserve">Mortero para revoco PROPAM REVAT CAL ENFOSCADO (25 kg/saco).   Ref. lp-00540813</t>
  </si>
  <si>
    <t xml:space="preserve">ma-lp-00001107</t>
  </si>
  <si>
    <t xml:space="preserve">Material</t>
  </si>
  <si>
    <t xml:space="preserve">saco</t>
  </si>
  <si>
    <t xml:space="preserve">Arenilla de Mármol Blanco GRANOMAR de AYMAR (25 kg/saco).   Ref. lp-00001107</t>
  </si>
  <si>
    <t xml:space="preserve">ma-lp-00001706</t>
  </si>
  <si>
    <t xml:space="preserve">Material</t>
  </si>
  <si>
    <t xml:space="preserve">rollo</t>
  </si>
  <si>
    <t xml:space="preserve">Malla de fibra de vidrio para yeso REGARSA con luz de 5x5 mm (50 m/rollo)   Ref. lp-00001706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</si>
  <si>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</si>
  <si>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</si>
  <si>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</si>
  <si>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</si>
  <si>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</si>
  <si>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</si>
  <si>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</si>
  <si>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</si>
  <si>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</si>
  <si>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</si>
  <si>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</si>
  <si>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</si>
  <si>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</si>
  <si>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</si>
  <si>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</si>
  <si>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</si>
  <si>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</si>
  <si>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FACHYP16-OK</t>
  </si>
  <si>
    <t xml:space="preserve">FACHYP17-OK</t>
  </si>
  <si>
    <t xml:space="preserve">Partida</t>
  </si>
  <si>
    <t xml:space="preserve">M2</t>
  </si>
  <si>
    <t xml:space="preserve">MORTERO DE CAL Y POLVO DE MARMOL DE 1,5mm= 5kg CAL: 1kg POLVO DE MARMOL</t>
  </si>
  <si>
    <t xml:space="preserve">MORTERO DE CAL Y POLVO DE MARMOL DE 1,5mm= 5kg CAL: 1kg POLVO DE MARMOL</t>
  </si>
  <si>
    <t xml:space="preserve">ma-lp-00540813</t>
  </si>
  <si>
    <t xml:space="preserve">Material</t>
  </si>
  <si>
    <t xml:space="preserve">saco</t>
  </si>
  <si>
    <t xml:space="preserve">Mortero para revoco PROPAM REVAT CAL ENFOSCADO (25 kg/saco).   Ref. lp-00540813</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</si>
  <si>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</si>
  <si>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</si>
  <si>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</si>
  <si>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</si>
  <si>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</si>
  <si>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</si>
  <si>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</si>
  <si>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</si>
  <si>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</si>
  <si>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</si>
  <si>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</si>
  <si>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</si>
  <si>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</si>
  <si>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</si>
  <si>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</si>
  <si>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</si>
  <si>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</si>
  <si>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</si>
  <si>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</si>
  <si>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</si>
  <si>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</si>
  <si>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</si>
  <si>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</si>
  <si>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</si>
  <si>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</si>
  <si>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FACHYP17-OK</t>
  </si>
  <si>
    <t xml:space="preserve">FACHYP17-MNR-01</t>
  </si>
  <si>
    <t xml:space="preserve">Partida</t>
  </si>
  <si>
    <t xml:space="preserve">m2</t>
  </si>
  <si>
    <t xml:space="preserve">MORTERO DE CAL Y POLVO DE MARMOL 1,5 mm EN PROPORCIÓN 1:1</t>
  </si>
  <si>
    <t xml:space="preserve">MORTERO DE CAL Y POLVO DE MARMOL 1,5 mm EN PROPORCIÓN 1:1</t>
  </si>
  <si>
    <t xml:space="preserve">ma-lp-00540812</t>
  </si>
  <si>
    <t xml:space="preserve">Material</t>
  </si>
  <si>
    <t xml:space="preserve">saco</t>
  </si>
  <si>
    <t xml:space="preserve">Mortero para revoco PROPAM REVAT CAL BASE; color blanco (25 kg/saco)   Ref. lp-00540812</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</si>
  <si>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</si>
  <si>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</si>
  <si>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</si>
  <si>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</si>
  <si>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</si>
  <si>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</si>
  <si>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</si>
  <si>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</si>
  <si>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</si>
  <si>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</si>
  <si>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</si>
  <si>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</si>
  <si>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</si>
  <si>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</si>
  <si>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</si>
  <si>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</si>
  <si>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</si>
  <si>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</si>
  <si>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</si>
  <si>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</si>
  <si>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</si>
  <si>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</si>
  <si>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</si>
  <si>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</si>
  <si>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</si>
  <si>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</si>
  <si>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</si>
  <si>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</si>
  <si>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FACHYP17-MNR-01</t>
  </si>
  <si>
    <t xml:space="preserve">FACHYP19-OK</t>
  </si>
  <si>
    <t xml:space="preserve">Partida</t>
  </si>
  <si>
    <t xml:space="preserve">M2</t>
  </si>
  <si>
    <t xml:space="preserve">MORTERO 15 mm MONOCAPA CON PIEDRA PROYECTADA</t>
  </si>
  <si>
    <t xml:space="preserve">MORTERO MONOCAPA CON PIEDRA PROYECTADA</t>
  </si>
  <si>
    <t xml:space="preserve">ma-lp-00540839</t>
  </si>
  <si>
    <t xml:space="preserve">Material</t>
  </si>
  <si>
    <t xml:space="preserve">bote</t>
  </si>
  <si>
    <t xml:space="preserve">Imprimante promotor de adherencia PROPAM GRIP+ (5 kg/envase).   Ref. lp-00540839</t>
  </si>
  <si>
    <t xml:space="preserve">ma-lp-00540821</t>
  </si>
  <si>
    <t xml:space="preserve">Material</t>
  </si>
  <si>
    <t xml:space="preserve">saco</t>
  </si>
  <si>
    <t xml:space="preserve">Mortero monocapa PROPAM REVAT PIEDRA; color marrón (25 kg/saco).   Ref. lp-00540821</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</si>
  <si>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</si>
  <si>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</si>
  <si>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</si>
  <si>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</si>
  <si>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</si>
  <si>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</si>
  <si>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</si>
  <si>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</si>
  <si>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</si>
  <si>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</si>
  <si>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</si>
  <si>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</si>
  <si>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</si>
  <si>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</si>
  <si>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</si>
  <si>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</si>
  <si>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</si>
  <si>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</si>
  <si>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</si>
  <si>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</si>
  <si>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</si>
  <si>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</si>
  <si>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</si>
  <si>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</si>
  <si>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</si>
  <si>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</si>
  <si>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</si>
  <si>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</si>
  <si>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</si>
  <si>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FACHYP19-OK</t>
  </si>
  <si>
    <t xml:space="preserve">FACHYP22-MNR</t>
  </si>
  <si>
    <t xml:space="preserve">Partida</t>
  </si>
  <si>
    <t xml:space="preserve">m2</t>
  </si>
  <si>
    <t xml:space="preserve">REVOCO CON MORTERO MORSEMSEC CON CAL 5 mm</t>
  </si>
  <si>
    <t xml:space="preserve">REVOCO CON MORTERO MORCEMSEC CON CAL 5 mm</t>
  </si>
  <si>
    <t xml:space="preserve">ma-lp-00564971</t>
  </si>
  <si>
    <t xml:space="preserve">Material</t>
  </si>
  <si>
    <t xml:space="preserve">saco</t>
  </si>
  <si>
    <t xml:space="preserve">Mortero para enlucido MORCEMSEC ENLUCIDO FINO CON CAL (25 kg/saco)   Ref. lp-00564971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</si>
  <si>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</si>
  <si>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</si>
  <si>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</si>
  <si>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</si>
  <si>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</si>
  <si>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</si>
  <si>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</si>
  <si>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</si>
  <si>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</si>
  <si>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</si>
  <si>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</si>
  <si>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</si>
  <si>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</si>
  <si>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</si>
  <si>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</si>
  <si>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</si>
  <si>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</si>
  <si>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</si>
  <si>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</si>
  <si>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</si>
  <si>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FACHYP22-MNR</t>
  </si>
  <si>
    <t xml:space="preserve">FACHYP23-MNR</t>
  </si>
  <si>
    <t xml:space="preserve">Partida</t>
  </si>
  <si>
    <t xml:space="preserve">m2</t>
  </si>
  <si>
    <t xml:space="preserve">ENFOSCADO CON MORTERO MORSEMSEC CON CAL 15 mm (FCH)</t>
  </si>
  <si>
    <t xml:space="preserve">ENFOSCADO DE MORTERO MORSEMSEC CON CAL 15 mm (FCH)</t>
  </si>
  <si>
    <t xml:space="preserve">ma-lp-00568965</t>
  </si>
  <si>
    <t xml:space="preserve">Material</t>
  </si>
  <si>
    <t xml:space="preserve">saco</t>
  </si>
  <si>
    <t xml:space="preserve">Mortero para enlucido fino con cal MORCEM ESTUCO (25 kg/saco)   Ref. lp-00568965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</si>
  <si>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</si>
  <si>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</si>
  <si>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</si>
  <si>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</si>
  <si>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</si>
  <si>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</si>
  <si>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</si>
  <si>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</si>
  <si>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</si>
  <si>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</si>
  <si>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</si>
  <si>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</si>
  <si>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</si>
  <si>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</si>
  <si>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</si>
  <si>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</si>
  <si>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</si>
  <si>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</si>
  <si>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</si>
  <si>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</si>
  <si>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</si>
  <si>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</si>
  <si>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</si>
  <si>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</si>
  <si>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FACHYP23-MNR</t>
  </si>
  <si>
    <t xml:space="preserve">FACHYP24-MNR</t>
  </si>
  <si>
    <t xml:space="preserve">Partida</t>
  </si>
  <si>
    <t xml:space="preserve">m2</t>
  </si>
  <si>
    <t xml:space="preserve">REVOCO DE YESO 5 mm (FCH)</t>
  </si>
  <si>
    <t xml:space="preserve">REVOCO DE YESO 5 mm (FCH)</t>
  </si>
  <si>
    <t xml:space="preserve">ma-lp-00095260</t>
  </si>
  <si>
    <t xml:space="preserve">Material</t>
  </si>
  <si>
    <t xml:space="preserve">saco</t>
  </si>
  <si>
    <t xml:space="preserve">Yeso controlado S1 de LA PLATAFORMA para aplicación manual (17 kg/saco)   Ref. lp-00095260</t>
  </si>
  <si>
    <t xml:space="preserve">ma-lp-00001706</t>
  </si>
  <si>
    <t xml:space="preserve">Material</t>
  </si>
  <si>
    <t xml:space="preserve">rollo</t>
  </si>
  <si>
    <t xml:space="preserve">Malla de fibra de vidrio para yeso REGARSA con luz de 5x5 mm (50 m/rollo)   Ref. lp-00001706</t>
  </si>
  <si>
    <t xml:space="preserve">ma-lp-00018338</t>
  </si>
  <si>
    <t xml:space="preserve">Material</t>
  </si>
  <si>
    <t xml:space="preserve">und</t>
  </si>
  <si>
    <t xml:space="preserve">Guardavivo o esquinero de PVC (2,50 m/und)   Ref.lp-00018338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</si>
  <si>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</si>
  <si>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</si>
  <si>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</si>
  <si>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</si>
  <si>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</si>
  <si>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</si>
  <si>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</si>
  <si>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</si>
  <si>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</si>
  <si>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</si>
  <si>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</si>
  <si>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</si>
  <si>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</si>
  <si>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</si>
  <si>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</si>
  <si>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</si>
  <si>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</si>
  <si>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</si>
  <si>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</si>
  <si>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</si>
  <si>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FACHYP24-MNR</t>
  </si>
  <si>
    <t xml:space="preserve">FACHYP25-OK</t>
  </si>
  <si>
    <t xml:space="preserve">Partida</t>
  </si>
  <si>
    <t xml:space="preserve">PAR</t>
  </si>
  <si>
    <t xml:space="preserve">MORTERO DE CAL HIDAULICA NHL 3,5 DE 20MM</t>
  </si>
  <si>
    <t xml:space="preserve">Formación de revoco a buena vista de mortero de cal hidráulica natural transpirable, color avellana claro, compuesto por cal hidráulica natural NHL 3,5, según UNE-EN 459-1, áridos seleccionados y aditivos, con acabado superficial fino, aplicado en una mano de 20 mm de espesor, sobre un paramento vertical; con colocación de malla de fibra de vidrio antiálcalis</t>
  </si>
  <si>
    <t xml:space="preserve">ma-lp-00179979</t>
  </si>
  <si>
    <t xml:space="preserve">Material</t>
  </si>
  <si>
    <t xml:space="preserve">saco</t>
  </si>
  <si>
    <t xml:space="preserve">Cal hidráulica natural CALIX NHL – 3,5 de FYM; color blanco (25 kg/saco).   Ref. lp-00179979</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</si>
  <si>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</si>
  <si>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</si>
  <si>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</si>
  <si>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</si>
  <si>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</si>
  <si>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</si>
  <si>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</si>
  <si>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</si>
  <si>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</si>
  <si>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</si>
  <si>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</si>
  <si>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</si>
  <si>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</si>
  <si>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</si>
  <si>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</si>
  <si>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</si>
  <si>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</si>
  <si>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</si>
  <si>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</si>
  <si>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</si>
  <si>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</si>
  <si>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FACHYP25-OK</t>
  </si>
  <si>
    <t xml:space="preserve">FACHYP26-OK</t>
  </si>
  <si>
    <t xml:space="preserve">Partida</t>
  </si>
  <si>
    <t xml:space="preserve">M</t>
  </si>
  <si>
    <t xml:space="preserve">LIMPIEZA EN INTERIOR DE FISURA DE FACHADA</t>
  </si>
  <si>
    <t xml:space="preserve">Limpieza del interior de fisura en elemento de hormigón mediante inyección de aire a presión, quedando el interior y la superficie a ambos lados de la fisura libres de polvo, restos de pinturas, desencofrantes o cualquier material que pueda impedir la correcta adherencia del material de sellado superficial.</t>
  </si>
  <si>
    <t xml:space="preserve">alq-soplador-fm-01</t>
  </si>
  <si>
    <t xml:space="preserve">Maquinaria</t>
  </si>
  <si>
    <t xml:space="preserve">h</t>
  </si>
  <si>
    <t xml:space="preserve">Alquiler de Soplador Eléctrico Portátil de Aire STIHL BR 600 MAGNUM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</si>
  <si>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</si>
  <si>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</si>
  <si>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</si>
  <si>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</si>
  <si>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</si>
  <si>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</si>
  <si>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</si>
  <si>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</si>
  <si>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</si>
  <si>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</si>
  <si>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</si>
  <si>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</si>
  <si>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</si>
  <si>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</si>
  <si>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</si>
  <si>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</si>
  <si>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</si>
  <si>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FACHYP26-OK</t>
  </si>
  <si>
    <t xml:space="preserve">FACHYP27</t>
  </si>
  <si>
    <t xml:space="preserve">Partida</t>
  </si>
  <si>
    <t xml:space="preserve">M</t>
  </si>
  <si>
    <t xml:space="preserve">INYECCION DE RESINA EN FISURA</t>
  </si>
  <si>
    <t xml:space="preserve">Inyección en fisura con lechada fluida de dos componentes a base de resina epoxi, SIKADUR 52 Injection, (rendimiento: 0,5 kg/m), aplicada mediante equipo de inyección a baja presión, para reparación en fachada.</t>
  </si>
  <si>
    <t xml:space="preserve">ma-mausa-SKDUR52INJ-sikadur52</t>
  </si>
  <si>
    <t xml:space="preserve">Material</t>
  </si>
  <si>
    <t xml:space="preserve">kit</t>
  </si>
  <si>
    <t xml:space="preserve">Resina Epoxi de Inyección Bicomponente de Baja Viscosidad SIKADUR-52 INJECTION LP de SIKA (1 kg/kit A+B en proporción 2:1).   Ref. mausa-SKDUR52INJ-sikadur52</t>
  </si>
  <si>
    <t xml:space="preserve">mq06</t>
  </si>
  <si>
    <t xml:space="preserve">Maquinaria</t>
  </si>
  <si>
    <t xml:space="preserve">h</t>
  </si>
  <si>
    <t xml:space="preserve">Equipo de inyección manual de morteros fluidos y resinas.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</si>
  <si>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</si>
  <si>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</si>
  <si>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</si>
  <si>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</si>
  <si>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</si>
  <si>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</si>
  <si>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</si>
  <si>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</si>
  <si>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</si>
  <si>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</si>
  <si>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</si>
  <si>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</si>
  <si>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</si>
  <si>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</si>
  <si>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</si>
  <si>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</si>
  <si>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</si>
  <si>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FACHYP27</t>
  </si>
  <si>
    <t xml:space="preserve">FACHYP28-OK</t>
  </si>
  <si>
    <t xml:space="preserve">Partida</t>
  </si>
  <si>
    <t xml:space="preserve">M2</t>
  </si>
  <si>
    <t xml:space="preserve">MORTERO DE CAL HIDRAULICA DE 20MM</t>
  </si>
  <si>
    <t xml:space="preserve">Mortero de cal hidraulica HidroCal especial MPlus color similar al RAL FACILITADO</t>
  </si>
  <si>
    <t xml:space="preserve">ma-hidrocal</t>
  </si>
  <si>
    <t xml:space="preserve">Material</t>
  </si>
  <si>
    <t xml:space="preserve">saco</t>
  </si>
  <si>
    <t xml:space="preserve">Mortero HidroCal especial MPlus color similar al RAL FACILITADO</t>
  </si>
  <si>
    <t xml:space="preserve">ma-lp-00001705</t>
  </si>
  <si>
    <t xml:space="preserve">Material</t>
  </si>
  <si>
    <t xml:space="preserve">rollo</t>
  </si>
  <si>
    <t xml:space="preserve">Malla de fibra de vidrio azul para refuerzo de morteros y revocos (rollo 50x1 m)   Ref. lp-00001705</t>
  </si>
  <si>
    <t xml:space="preserve">ma-%</t>
  </si>
  <si>
    <t xml:space="preserve">%</t>
  </si>
  <si>
    <t xml:space="preserve">Transporte de Materiales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</si>
  <si>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</si>
  <si>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</si>
  <si>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</si>
  <si>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</si>
  <si>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</si>
  <si>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</si>
  <si>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</si>
  <si>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</si>
  <si>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</si>
  <si>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</si>
  <si>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</si>
  <si>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</si>
  <si>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</si>
  <si>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</si>
  <si>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</si>
  <si>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</si>
  <si>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</si>
  <si>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FACHYP28-OK</t>
  </si>
  <si>
    <t xml:space="preserve">FACHYP50-MNR-01</t>
  </si>
  <si>
    <t xml:space="preserve">Partida</t>
  </si>
  <si>
    <t xml:space="preserve">m2</t>
  </si>
  <si>
    <t xml:space="preserve">ENFOSCADO 20 mm DE MORTERO R3 (fFCH)</t>
  </si>
  <si>
    <t xml:space="preserve">ENFOSCADO 20 mm DE MORTERO R3 (fFCH)</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</si>
  <si>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</si>
  <si>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</si>
  <si>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</si>
  <si>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</si>
  <si>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</si>
  <si>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</si>
  <si>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</si>
  <si>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</si>
  <si>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</si>
  <si>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</si>
  <si>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</si>
  <si>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</si>
  <si>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</si>
  <si>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</si>
  <si>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</si>
  <si>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</si>
  <si>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</si>
  <si>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</si>
  <si>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</si>
  <si>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</si>
  <si>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</si>
  <si>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</si>
  <si>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</si>
  <si>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</si>
  <si>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</si>
  <si>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</si>
  <si>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</si>
  <si>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</si>
  <si>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FACHYP50-MNR-01</t>
  </si>
  <si>
    <t xml:space="preserve">FACHYP50-MNR-02</t>
  </si>
  <si>
    <t xml:space="preserve">Partida</t>
  </si>
  <si>
    <t xml:space="preserve">m2</t>
  </si>
  <si>
    <t xml:space="preserve">REVOCO CON MORTERO REGULARIZADOR DE SUPERFICIE 8 mm (FCH)</t>
  </si>
  <si>
    <t xml:space="preserve">REVOCO CON MORTERO REGULARIZADOR DE SUPERFICIE 8 mm (FCH)</t>
  </si>
  <si>
    <t xml:space="preserve">WBT-07</t>
  </si>
  <si>
    <t xml:space="preserve">Material</t>
  </si>
  <si>
    <t xml:space="preserve">saco</t>
  </si>
  <si>
    <t xml:space="preserve">Mortero WEBERTHERM BASE regularizador de superficies y adhesivo de placas termoaislantes en sistema SATE; color gris (25 kg/saco)</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</si>
  <si>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</si>
  <si>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</si>
  <si>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</si>
  <si>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</si>
  <si>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</si>
  <si>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</si>
  <si>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</si>
  <si>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</si>
  <si>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</si>
  <si>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</si>
  <si>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</si>
  <si>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</si>
  <si>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</si>
  <si>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</si>
  <si>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</si>
  <si>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</si>
  <si>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</si>
  <si>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</si>
  <si>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</si>
  <si>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</si>
  <si>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</si>
  <si>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</si>
  <si>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</si>
  <si>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</si>
  <si>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FACHYP50-MNR-02</t>
  </si>
  <si>
    <t xml:space="preserve">REV-CAL.HID</t>
  </si>
  <si>
    <t xml:space="preserve">Partida</t>
  </si>
  <si>
    <t xml:space="preserve">m2</t>
  </si>
  <si>
    <t xml:space="preserve">XXXXXX REVESTIMIENTO CON MORTERO TRADICIONAL DE CAL "WEBERCAL LISO"; EN PARAMENTOS VERTICALES Y MEDIANTE USO DE EN ANDAMIO TUBULAR ( FCH)</t>
  </si>
  <si>
    <t xml:space="preserve">Revestimiento con mortero tradicional de cal "WEBERCAL LISO"; en paramentos verticales y mediante uso de en andamio tubular (FCH)</t>
  </si>
  <si>
    <t xml:space="preserve">ma-prolisur-06</t>
  </si>
  <si>
    <t xml:space="preserve">Material</t>
  </si>
  <si>
    <t xml:space="preserve">saco</t>
  </si>
  <si>
    <t xml:space="preserve">Mortero para enfoscado de cal en capa gruesa WEBERCAL BASIC de WEBER; color blanco (25 kg/saco).   Ref. prolisur-06</t>
  </si>
  <si>
    <t xml:space="preserve">ma-prolisur-05</t>
  </si>
  <si>
    <t xml:space="preserve">Material</t>
  </si>
  <si>
    <t xml:space="preserve">saco</t>
  </si>
  <si>
    <t xml:space="preserve">Mortero de revoco WEBERCAL LISO de WEBER a base de cal en capa fina para sistemas bicapa (25 kg/saco).   Ref. prolisur-05</t>
  </si>
  <si>
    <t xml:space="preserve">ma-lp-00001705</t>
  </si>
  <si>
    <t xml:space="preserve">Material</t>
  </si>
  <si>
    <t xml:space="preserve">rollo</t>
  </si>
  <si>
    <t xml:space="preserve">Malla de fibra de vidrio azul para refuerzo de morteros y revocos (rollo 50x1 m)   Ref. lp-00001705</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</si>
  <si>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</si>
  <si>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</si>
  <si>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</si>
  <si>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</si>
  <si>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</si>
  <si>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</si>
  <si>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</si>
  <si>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</si>
  <si>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ma-prolisur-perfil.rem.ventana</t>
  </si>
  <si>
    <t xml:space="preserve">Material</t>
  </si>
  <si>
    <t xml:space="preserve">perfil</t>
  </si>
  <si>
    <t xml:space="preserve">Perfil remate de ventanas WEBERTHERM para sistema SATE  (2,60 m/perfil).   Ref. prolisur-perfil-rem.ventana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</si>
  <si>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</si>
  <si>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</si>
  <si>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</si>
  <si>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</si>
  <si>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</si>
  <si>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</si>
  <si>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</si>
  <si>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</si>
  <si>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</si>
  <si>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</si>
  <si>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</si>
  <si>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</si>
  <si>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</si>
  <si>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</si>
  <si>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</si>
  <si>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</si>
  <si>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</si>
  <si>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</si>
  <si>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</si>
  <si>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</si>
  <si>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REV-CAL.HID</t>
  </si>
  <si>
    <t xml:space="preserve">FACHYP50-MNR-06-H-10</t>
  </si>
  <si>
    <t xml:space="preserve">Partida</t>
  </si>
  <si>
    <t xml:space="preserve">m2</t>
  </si>
  <si>
    <t xml:space="preserve">REVOCO 10 mm CON MORTERO DE REPARACIÓN ESTRUCTURAL R4 (PROPAM REPAR TECHNO) EN PARAMENTO HORIZONTAL DE FACHADAS (FCH)</t>
  </si>
  <si>
    <t xml:space="preserve">REVOCO 10 mm CON MORTERO DE REPARACIÓN ESTRUCTURAL R4 (PROPAM REPAR TECHNO) EN PARAMENTO HORIZONTAL DE FACHADAS (FCH)</t>
  </si>
  <si>
    <t xml:space="preserve">ma-lp-00540827</t>
  </si>
  <si>
    <t xml:space="preserve">Material</t>
  </si>
  <si>
    <t xml:space="preserve">saco</t>
  </si>
  <si>
    <t xml:space="preserve">Mortero de reparación estructural R4 PROPAM REPAR TECHNO (25 kg/saco)   Ref. lp-00540827</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</si>
  <si>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</si>
  <si>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</si>
  <si>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</si>
  <si>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</si>
  <si>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</si>
  <si>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</si>
  <si>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</si>
  <si>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</si>
  <si>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</si>
  <si>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</si>
  <si>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</si>
  <si>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</si>
  <si>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</si>
  <si>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</si>
  <si>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</si>
  <si>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</si>
  <si>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</si>
  <si>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</si>
  <si>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</si>
  <si>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</si>
  <si>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</si>
  <si>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</si>
  <si>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</si>
  <si>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</si>
  <si>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FACHYP50-MNR-06-H-10</t>
  </si>
  <si>
    <t xml:space="preserve">FACHYP50-MNR-06-H-20</t>
  </si>
  <si>
    <t xml:space="preserve">Partida</t>
  </si>
  <si>
    <t xml:space="preserve">m2</t>
  </si>
  <si>
    <t xml:space="preserve">REVOCO 20 mm CON MORTERO DE REPARACIÓN ESTRUCTURAL R4 (PROPAM REPAR TECHNO) EN PARAMENTO HORIZONTAL DE FACHADAS (FCH)</t>
  </si>
  <si>
    <t xml:space="preserve">REVOCO 20 mm CON MORTERO DE REPARACIÓN ESTRUCTURAL R4 (PROPAM REPAR TECHNO) EN PARAMENTO HORIZONTAL DE FACHADAS (FCH)</t>
  </si>
  <si>
    <t xml:space="preserve">ma-lp-00540827</t>
  </si>
  <si>
    <t xml:space="preserve">Material</t>
  </si>
  <si>
    <t xml:space="preserve">saco</t>
  </si>
  <si>
    <t xml:space="preserve">Mortero de reparación estructural R4 PROPAM REPAR TECHNO (25 kg/saco)   Ref. lp-00540827</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</si>
  <si>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</si>
  <si>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</si>
  <si>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</si>
  <si>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</si>
  <si>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</si>
  <si>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</si>
  <si>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</si>
  <si>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</si>
  <si>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</si>
  <si>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</si>
  <si>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</si>
  <si>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</si>
  <si>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</si>
  <si>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</si>
  <si>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</si>
  <si>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</si>
  <si>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</si>
  <si>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</si>
  <si>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</si>
  <si>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</si>
  <si>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</si>
  <si>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</si>
  <si>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</si>
  <si>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</si>
  <si>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FACHYP50-MNR-06-H-20</t>
  </si>
  <si>
    <t xml:space="preserve">FACHYP50-MNR-06-V-10</t>
  </si>
  <si>
    <t xml:space="preserve">Partida</t>
  </si>
  <si>
    <t xml:space="preserve">m2</t>
  </si>
  <si>
    <t xml:space="preserve">REVOCO 10 mm CON MORTERO DE REPARACIÓN ESTRUCTURAL R4 (PROPAM REPAR TECHNO) EN PARAMENTO VERTICAL DE FACHADAS (FCH)</t>
  </si>
  <si>
    <t xml:space="preserve">REVOCO 10 mm CON MORTERO DE REPARACIÓN ESTRUCTURAL R4 (PROPAM REPAR TECHNO) EN PARAMENTO VERTICAL DE FACHADAS (FCH)</t>
  </si>
  <si>
    <t xml:space="preserve">ma-lp-00540827</t>
  </si>
  <si>
    <t xml:space="preserve">Material</t>
  </si>
  <si>
    <t xml:space="preserve">saco</t>
  </si>
  <si>
    <t xml:space="preserve">Mortero de reparación estructural R4 PROPAM REPAR TECHNO (25 kg/saco)   Ref. lp-00540827</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</si>
  <si>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</si>
  <si>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</si>
  <si>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</si>
  <si>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</si>
  <si>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</si>
  <si>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</si>
  <si>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</si>
  <si>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</si>
  <si>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</si>
  <si>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</si>
  <si>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</si>
  <si>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</si>
  <si>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</si>
  <si>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</si>
  <si>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</si>
  <si>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</si>
  <si>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</si>
  <si>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</si>
  <si>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</si>
  <si>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</si>
  <si>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</si>
  <si>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</si>
  <si>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</si>
  <si>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</si>
  <si>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FACHYP50-MNR-06-V-10</t>
  </si>
  <si>
    <t xml:space="preserve">FACHYP50-MNR-06-V-20</t>
  </si>
  <si>
    <t xml:space="preserve">Partida</t>
  </si>
  <si>
    <t xml:space="preserve">m2</t>
  </si>
  <si>
    <t xml:space="preserve">REVOCO 20 mm CON MORTERO DE REPARACIÓN ESTRUCTURAL R4 (PROPAM REPAR TECHNO) EN PARAMENTO VERTICAL DE FACHADAS (FCH)</t>
  </si>
  <si>
    <t xml:space="preserve">REVOCO 20 mm CON MORTERO DE REPARACIÓN ESTRUCTURAL R4 (PROPAM REPAR TECHNO) EN PARAMENTO VERTICAL DE FACHADAS (FCH)</t>
  </si>
  <si>
    <t xml:space="preserve">ma-lp-00540827</t>
  </si>
  <si>
    <t xml:space="preserve">Material</t>
  </si>
  <si>
    <t xml:space="preserve">saco</t>
  </si>
  <si>
    <t xml:space="preserve">Mortero de reparación estructural R4 PROPAM REPAR TECHNO (25 kg/saco)   Ref. lp-00540827</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</si>
  <si>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</si>
  <si>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</si>
  <si>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</si>
  <si>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</si>
  <si>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</si>
  <si>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</si>
  <si>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</si>
  <si>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</si>
  <si>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</si>
  <si>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</si>
  <si>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</si>
  <si>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</si>
  <si>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</si>
  <si>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</si>
  <si>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</si>
  <si>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</si>
  <si>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</si>
  <si>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</si>
  <si>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</si>
  <si>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</si>
  <si>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</si>
  <si>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</si>
  <si>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</si>
  <si>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</si>
  <si>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FACHYP50-MNR-06-V-20</t>
  </si>
  <si>
    <t xml:space="preserve">FACHYP50-MNR-07-H</t>
  </si>
  <si>
    <t xml:space="preserve">Partida</t>
  </si>
  <si>
    <t xml:space="preserve">m2</t>
  </si>
  <si>
    <t xml:space="preserve">REVOCO 20 mm CON MORTERO DE REPARACIÓN ESTRUCTURAL R4 (PROPAM REPAR 40) EN PARAMENTO HORIZONTAL DE FACHADAS (FCH)</t>
  </si>
  <si>
    <t xml:space="preserve">REVOCO 20 mm CON MORTERO DE REPARACIÓN ESTRUCTURAL R4 (PROPAM REPAR 40) EN PARAMENTO HORIZONTAL DE FACHADAS (FCH)</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</si>
  <si>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</si>
  <si>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</si>
  <si>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</si>
  <si>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</si>
  <si>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</si>
  <si>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</si>
  <si>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</si>
  <si>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</si>
  <si>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</si>
  <si>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</si>
  <si>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</si>
  <si>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</si>
  <si>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</si>
  <si>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</si>
  <si>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</si>
  <si>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</si>
  <si>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</si>
  <si>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</si>
  <si>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</si>
  <si>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</si>
  <si>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</si>
  <si>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</si>
  <si>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</si>
  <si>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</si>
  <si>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</si>
  <si>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</si>
  <si>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</si>
  <si>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</si>
  <si>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FACHYP50-MNR-07-H</t>
  </si>
  <si>
    <t xml:space="preserve">FACHYP50-MNR-07-V</t>
  </si>
  <si>
    <t xml:space="preserve">Partida</t>
  </si>
  <si>
    <t xml:space="preserve">m2</t>
  </si>
  <si>
    <t xml:space="preserve">REVOCO 20 mm CON MORTERO DE REPARACIÓN ESTRUCTURAL R4 (PROPAM REPAR 40) EN PARAMENTO VERTICAL DE FACHADAS (FCH)</t>
  </si>
  <si>
    <t xml:space="preserve">REVOCO CON MORTERO DE REPARACIÓN ESTRUCTURAL R4 (PROPAM REPAR 40) EN PARAMENTO VERTICAL DE FACHADAS (FCH)</t>
  </si>
  <si>
    <t xml:space="preserve">ma-lp-00540825</t>
  </si>
  <si>
    <t xml:space="preserve">Material</t>
  </si>
  <si>
    <t xml:space="preserve">saco</t>
  </si>
  <si>
    <t xml:space="preserve">Mortero de reparación estructural R4 PROPAM REPAR 40 (25 kg/Saco)   Ref. lp-00540825</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</si>
  <si>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</si>
  <si>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</si>
  <si>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</si>
  <si>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</si>
  <si>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</si>
  <si>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</si>
  <si>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</si>
  <si>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</si>
  <si>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</si>
  <si>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</si>
  <si>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</si>
  <si>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</si>
  <si>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</si>
  <si>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</si>
  <si>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</si>
  <si>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</si>
  <si>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</si>
  <si>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</si>
  <si>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</si>
  <si>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</si>
  <si>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</si>
  <si>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</si>
  <si>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</si>
  <si>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</si>
  <si>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FACHYP50-MNR-07-V</t>
  </si>
  <si>
    <t xml:space="preserve">FACHYP50-MNR-08</t>
  </si>
  <si>
    <t xml:space="preserve">Partida</t>
  </si>
  <si>
    <t xml:space="preserve">m2</t>
  </si>
  <si>
    <t xml:space="preserve">REVESTIMIENTO DE CAPA FINA CON MORTERO SECO IMPERMEABLE</t>
  </si>
  <si>
    <t xml:space="preserve">REVESTIMIENTO DE CAPA FINA CON MORTERO SECO IMPERMEABLE</t>
  </si>
  <si>
    <t xml:space="preserve">ma-lm-11001634</t>
  </si>
  <si>
    <t xml:space="preserve">Material</t>
  </si>
  <si>
    <t xml:space="preserve">saco</t>
  </si>
  <si>
    <t xml:space="preserve">Mortero seco de revestimiento para terminación de fachadas, patios e interiores MORCEMSEC CAPA FINA; color blanco. (25 kg/saco).   Ref. lm-11001634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</si>
  <si>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</si>
  <si>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</si>
  <si>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</si>
  <si>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</si>
  <si>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</si>
  <si>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</si>
  <si>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</si>
  <si>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</si>
  <si>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</si>
  <si>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</si>
  <si>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</si>
  <si>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</si>
  <si>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</si>
  <si>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</si>
  <si>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</si>
  <si>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</si>
  <si>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</si>
  <si>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</si>
  <si>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</si>
  <si>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</si>
  <si>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</si>
  <si>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</si>
  <si>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</si>
  <si>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</si>
  <si>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FACHYP50-MNR-08</t>
  </si>
  <si>
    <t xml:space="preserve">FACHYP-CANTO.FORJA-CR-AT</t>
  </si>
  <si>
    <t xml:space="preserve">Partida</t>
  </si>
  <si>
    <t xml:space="preserve">m</t>
  </si>
  <si>
    <t xml:space="preserve">RESTABLECIMIENTO DE CANTO DE FORJADO Y VIGAS DE CUELGUE, INCLUYENDO EL REFUERZO DE ARMADURA Y LA RECUPERACIÓN DE VOLÚMENES Y ARISTAS CON MORTERO DE REPARACIÓN TIXOTRÓPICO A BASE DE CEMENTO; MEDIANTE EL USO DE ANDAMIO TUBULAR</t>
  </si>
  <si>
    <t xml:space="preserve">Restablecimiento de canto de forjado y vigas de cuelgue; incluyendo el refuerzo de armadura y la recuperación de volúmenes y aristas con mortero de reparación tixotrópico a base de cemento; mediante el uso de andamio tubular</t>
  </si>
  <si>
    <t xml:space="preserve">ma-lp-00001705</t>
  </si>
  <si>
    <t xml:space="preserve">Material</t>
  </si>
  <si>
    <t xml:space="preserve">rollo</t>
  </si>
  <si>
    <t xml:space="preserve">Malla de fibra de vidrio azul para refuerzo de morteros y revocos (rollo 50x1 m)   Ref. lp-00001705</t>
  </si>
  <si>
    <t xml:space="preserve">ma-lp-00277865</t>
  </si>
  <si>
    <t xml:space="preserve">Material</t>
  </si>
  <si>
    <t xml:space="preserve">pza</t>
  </si>
  <si>
    <t xml:space="preserve">Redondo acero corrugado diámetro 10 mm (2 m/pza)   Ref. lp-00277865</t>
  </si>
  <si>
    <t xml:space="preserve">ma-lp-00351172</t>
  </si>
  <si>
    <t xml:space="preserve">Material</t>
  </si>
  <si>
    <t xml:space="preserve">caja</t>
  </si>
  <si>
    <t xml:space="preserve">Electrodo Rutilo 6013  2,5x350 mm (5kg o 55 varillas/caja)   Ref. lp-00351172</t>
  </si>
  <si>
    <t xml:space="preserve">alq.soldadora-mym-01</t>
  </si>
  <si>
    <t xml:space="preserve">Maquinaria</t>
  </si>
  <si>
    <t xml:space="preserve">h</t>
  </si>
  <si>
    <t xml:space="preserve">Alquiler de Soldadora Eléctrica Inverter Electrodo 3,25 mm 160A/60% 230 V.   Ref. MÁQUINAS Y MÁQUINAS</t>
  </si>
  <si>
    <t xml:space="preserve">ma-lp-00540914</t>
  </si>
  <si>
    <t xml:space="preserve">Material</t>
  </si>
  <si>
    <t xml:space="preserve">saco</t>
  </si>
  <si>
    <t xml:space="preserve">Mortero de reparación y pasivante MAPEFER 1K (5 kg/saco)   Ref. lp-00540914</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</si>
  <si>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</si>
  <si>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</si>
  <si>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</si>
  <si>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</si>
  <si>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</si>
  <si>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</si>
  <si>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</si>
  <si>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</si>
  <si>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</si>
  <si>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</si>
  <si>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</si>
  <si>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</si>
  <si>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</si>
  <si>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</si>
  <si>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</si>
  <si>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</si>
  <si>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</si>
  <si>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</si>
  <si>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</si>
  <si>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</si>
  <si>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</si>
  <si>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</si>
  <si>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</si>
  <si>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</si>
  <si>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</si>
  <si>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</si>
  <si>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</si>
  <si>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</si>
  <si>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</si>
  <si>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</si>
  <si>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</si>
  <si>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</si>
  <si>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FACHYP-CANTO.FORJA-CR-AT</t>
  </si>
  <si>
    <t xml:space="preserve">FACHYP-FONDO.FORJA-CR-AT</t>
  </si>
  <si>
    <t xml:space="preserve">Partida</t>
  </si>
  <si>
    <t xml:space="preserve">m2</t>
  </si>
  <si>
    <t xml:space="preserve">RESTABLECIMIENTO DE FONDOS DE FORJADO, INCLUYENDO EL REFUERZO DE ARMADURA Y LA RECUPERACIÓN DE VOLÚMENES Y ARISTAS CON MORTERO DE REPARACIÓN TIXOTRÓPICO A BASE DE CEMENTO; MEDIANTE EL USO DE ANDAMIO TUBULAR</t>
  </si>
  <si>
    <t xml:space="preserve">Restablecimiento de fondos de forjado, incluyendo el refuerzo de armadura y la recuperación de volúmenes y aristas con mortero de reparación tixotrópico a base de cemento; mediante el uso de andamio tubular</t>
  </si>
  <si>
    <t xml:space="preserve">ma-lp-00001705</t>
  </si>
  <si>
    <t xml:space="preserve">Material</t>
  </si>
  <si>
    <t xml:space="preserve">rollo</t>
  </si>
  <si>
    <t xml:space="preserve">Malla de fibra de vidrio azul para refuerzo de morteros y revocos (rollo 50x1 m)   Ref. lp-00001705</t>
  </si>
  <si>
    <t xml:space="preserve">ma-lp-00277865</t>
  </si>
  <si>
    <t xml:space="preserve">Material</t>
  </si>
  <si>
    <t xml:space="preserve">pza</t>
  </si>
  <si>
    <t xml:space="preserve">Redondo acero corrugado diámetro 10 mm (2 m/pza)   Ref. lp-00277865</t>
  </si>
  <si>
    <t xml:space="preserve">ma-lp-00351172</t>
  </si>
  <si>
    <t xml:space="preserve">Material</t>
  </si>
  <si>
    <t xml:space="preserve">caja</t>
  </si>
  <si>
    <t xml:space="preserve">Electrodo Rutilo 6013  2,5x350 mm (5kg o 55 varillas/caja)   Ref. lp-00351172</t>
  </si>
  <si>
    <t xml:space="preserve">alq.soldadora-mym-01</t>
  </si>
  <si>
    <t xml:space="preserve">Maquinaria</t>
  </si>
  <si>
    <t xml:space="preserve">h</t>
  </si>
  <si>
    <t xml:space="preserve">Alquiler de Soldadora Eléctrica Inverter Electrodo 3,25 mm 160A/60% 230 V.   Ref. MÁQUINAS Y MÁQUINAS</t>
  </si>
  <si>
    <t xml:space="preserve">ma-lp-00540914</t>
  </si>
  <si>
    <t xml:space="preserve">Material</t>
  </si>
  <si>
    <t xml:space="preserve">saco</t>
  </si>
  <si>
    <t xml:space="preserve">Mortero de reparación y pasivante MAPEFER 1K (5 kg/saco)   Ref. lp-00540914</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</si>
  <si>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</si>
  <si>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</si>
  <si>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</si>
  <si>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</si>
  <si>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</si>
  <si>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</si>
  <si>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</si>
  <si>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</si>
  <si>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</si>
  <si>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</si>
  <si>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</si>
  <si>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</si>
  <si>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</si>
  <si>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</si>
  <si>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</si>
  <si>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</si>
  <si>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</si>
  <si>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</si>
  <si>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</si>
  <si>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</si>
  <si>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</si>
  <si>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</si>
  <si>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</si>
  <si>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</si>
  <si>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</si>
  <si>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</si>
  <si>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</si>
  <si>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</si>
  <si>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</si>
  <si>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</si>
  <si>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</si>
  <si>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</si>
  <si>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FACHYP-FONDO.FORJA-CR-AT</t>
  </si>
  <si>
    <t xml:space="preserve">FACHYP-CANTO.FORJA-SR-AT</t>
  </si>
  <si>
    <t xml:space="preserve">Partida</t>
  </si>
  <si>
    <t xml:space="preserve">m</t>
  </si>
  <si>
    <t xml:space="preserve">RESTABLECIMIENTO DE CANTO DE FORJADO Y VIGAS DE CUELGUE, INCLUYENDO LA RECUPERACIÓN DE VOLÚMENES Y ARISTAS CON MORTERO DE REPARACIÓN TIXOTRÓPICO A BASE DE CEMENTO, Y EXCLUYE LA RESTAURACIÓN DE ARMADURA DE REFUERZO; MEDIANTE EL USO DE ANDAMIO TUBULAR</t>
  </si>
  <si>
    <t xml:space="preserve">Restablecimiento de canto de forjado y vigas de cuelgue, incluyendo la recuperación de volúmenes y aristas con mortero de reparación tixotrópico a base de cemento, y excluye la restauración de armadura de refuerzo; mediante el uso de andamio tubular</t>
  </si>
  <si>
    <t xml:space="preserve">ma-lp-00001705</t>
  </si>
  <si>
    <t xml:space="preserve">Material</t>
  </si>
  <si>
    <t xml:space="preserve">rollo</t>
  </si>
  <si>
    <t xml:space="preserve">Malla de fibra de vidrio azul para refuerzo de morteros y revocos (rollo 50x1 m)   Ref. lp-00001705</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</si>
  <si>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</si>
  <si>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</si>
  <si>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</si>
  <si>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</si>
  <si>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</si>
  <si>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</si>
  <si>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</si>
  <si>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</si>
  <si>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</si>
  <si>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</si>
  <si>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</si>
  <si>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</si>
  <si>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</si>
  <si>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</si>
  <si>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</si>
  <si>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</si>
  <si>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</si>
  <si>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</si>
  <si>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</si>
  <si>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</si>
  <si>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</si>
  <si>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</si>
  <si>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</si>
  <si>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</si>
  <si>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</si>
  <si>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</si>
  <si>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</si>
  <si>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</si>
  <si>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</si>
  <si>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</si>
  <si>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</si>
  <si>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</si>
  <si>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</si>
  <si>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</si>
  <si>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</si>
  <si>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</si>
  <si>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FACHYP-CANTO.FORJA-SR-AT</t>
  </si>
  <si>
    <t xml:space="preserve">FACHYP-FONDO.FORJA-SR-AT</t>
  </si>
  <si>
    <t xml:space="preserve">Partida</t>
  </si>
  <si>
    <t xml:space="preserve">m2</t>
  </si>
  <si>
    <t xml:space="preserve">RESTABLECIMIENTO DE FONDOS DE FORJADO, INCLUYENDO LA RECUPERACIÓN DE VOLÚMENES Y ARISTAS CON MORTERO DE REPARACIÓN TIXOTRÓPICO A BASE DE CEMENTO, Y EXCLUYE LA RESTAURACIÓN DE ARMADURA DE REFUERZO; MEDIANTE EL USO DE ANDAMIO TUBULAR</t>
  </si>
  <si>
    <t xml:space="preserve">Restablecimiento de fondos de forjado, incluyendo la recuperación de volúmenes y aristas con mortero de reparación tixotrópico a base de cemento, y excluye la restauración de armadura de refuerzo; mediante el uso de andamio tubular</t>
  </si>
  <si>
    <t xml:space="preserve">ma-lp-00001705</t>
  </si>
  <si>
    <t xml:space="preserve">Material</t>
  </si>
  <si>
    <t xml:space="preserve">rollo</t>
  </si>
  <si>
    <t xml:space="preserve">Malla de fibra de vidrio azul para refuerzo de morteros y revocos (rollo 50x1 m)   Ref. lp-00001705</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</si>
  <si>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</si>
  <si>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</si>
  <si>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</si>
  <si>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</si>
  <si>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</si>
  <si>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</si>
  <si>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</si>
  <si>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</si>
  <si>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</si>
  <si>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</si>
  <si>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</si>
  <si>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</si>
  <si>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</si>
  <si>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</si>
  <si>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</si>
  <si>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</si>
  <si>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</si>
  <si>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</si>
  <si>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</si>
  <si>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</si>
  <si>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</si>
  <si>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</si>
  <si>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</si>
  <si>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</si>
  <si>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</si>
  <si>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</si>
  <si>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</si>
  <si>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</si>
  <si>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</si>
  <si>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</si>
  <si>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</si>
  <si>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</si>
  <si>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</si>
  <si>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</si>
  <si>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</si>
  <si>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</si>
  <si>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FACHYP-FONDO.FORJA-SR-AT</t>
  </si>
  <si>
    <t xml:space="preserve">FACHYP-WB-ANTIFISURA-CF-V-MS</t>
  </si>
  <si>
    <t xml:space="preserve">Partida</t>
  </si>
  <si>
    <t xml:space="preserve">m2</t>
  </si>
  <si>
    <t xml:space="preserve">XXXXXX REVESTIMIENTO CON SISTEMA WEBERNOVA ANTIFISURAS CAPA FINA EN PARAMENTOS VERTICALES Y MEDIANTE USO DE MEDIO SUSPENDIDO/COLGADO (FCH)</t>
  </si>
  <si>
    <t xml:space="preserve">Revestimiento con sistema WEBERNOVA antifisuras capa fina en paramentos verticales y mediante uso de medio suspendido/colgado (FCH)</t>
  </si>
  <si>
    <t xml:space="preserve">ma-dp-79687708</t>
  </si>
  <si>
    <t xml:space="preserve">Material</t>
  </si>
  <si>
    <t xml:space="preserve">saco</t>
  </si>
  <si>
    <t xml:space="preserve">Mortero adhesivo regularizador de WEBERTHERM BASEGEL para sistemas SATE  (25 kg/saco).   Ref. dp-79687708</t>
  </si>
  <si>
    <t xml:space="preserve">ma-dp-00955597</t>
  </si>
  <si>
    <t xml:space="preserve">Material</t>
  </si>
  <si>
    <t xml:space="preserve">rollo</t>
  </si>
  <si>
    <t xml:space="preserve">Malla de refuerzo 160 de WEBERTHERM para sistema SATE (50x1,1 m/rollo).   Ref. dp-00955597</t>
  </si>
  <si>
    <t xml:space="preserve">ma-dp-79291497</t>
  </si>
  <si>
    <t xml:space="preserve">Material</t>
  </si>
  <si>
    <t xml:space="preserve">perfil</t>
  </si>
  <si>
    <t xml:space="preserve">Perfil goterón WEBERTHERM CF de PVC con malla de fibra de vidrio (2,5 m/perfil).   Ref. dp-79291497</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</si>
  <si>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</si>
  <si>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</si>
  <si>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</si>
  <si>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</si>
  <si>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</si>
  <si>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</si>
  <si>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</si>
  <si>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</si>
  <si>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ma-prolisur-04</t>
  </si>
  <si>
    <t xml:space="preserve">Material</t>
  </si>
  <si>
    <t xml:space="preserve">saco</t>
  </si>
  <si>
    <t xml:space="preserve">Mortero WEBERCAL FLEXIBLE de WEBERTHERM estuco fino flexible de cal coloreado (12 kg/envase).   Ref. prolisur-04</t>
  </si>
  <si>
    <t xml:space="preserve">ma-prolisur-03</t>
  </si>
  <si>
    <t xml:space="preserve">Material</t>
  </si>
  <si>
    <t xml:space="preserve">rollo</t>
  </si>
  <si>
    <t xml:space="preserve">Malla de refuerzo de fibra de vidrio WEBERTHERM MALLA 65 para sistema SATE (50 m/rollo).   Ref. prolisur-03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</si>
  <si>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</si>
  <si>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</si>
  <si>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</si>
  <si>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</si>
  <si>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</si>
  <si>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</si>
  <si>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</si>
  <si>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</si>
  <si>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</si>
  <si>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</si>
  <si>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</si>
  <si>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</si>
  <si>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</si>
  <si>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</si>
  <si>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</si>
  <si>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</si>
  <si>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</si>
  <si>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</si>
  <si>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</si>
  <si>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</si>
  <si>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FACHYP-WB-ANTIFISURA-CF-V-MS</t>
  </si>
  <si>
    <t xml:space="preserve">FACHYP-WB-ANTIFISURA-ELAS-V-MS</t>
  </si>
  <si>
    <t xml:space="preserve">Partida</t>
  </si>
  <si>
    <t xml:space="preserve">m2</t>
  </si>
  <si>
    <t xml:space="preserve">XXXXXX REVESTIMIENTO CON SISTEMA WEBERNOVA ANTIFISURAS ELASTIC CAPA FINA EN PARAMENTOS VERTICALES Y MEDIANTE USO DE MEDIO SUSPENDIDO/COLGADO (FCH)</t>
  </si>
  <si>
    <t xml:space="preserve">Revestimiento con sistema WEBERNOVA antifisuras elastic capa fina en paramentos verticales y mediante uso de medio suspendido/colgado (FCH)</t>
  </si>
  <si>
    <t xml:space="preserve">ma-prolisur-02</t>
  </si>
  <si>
    <t xml:space="preserve">Material</t>
  </si>
  <si>
    <t xml:space="preserve">bidón</t>
  </si>
  <si>
    <t xml:space="preserve">Mortero orgánico regularizador y adhesivo de placas termoaislantes WEBERTHERM FLEX B de WEBER; color blanco (25 kg/bidón).   Ref. prolisur-02</t>
  </si>
  <si>
    <t xml:space="preserve">ma-dp-00955597</t>
  </si>
  <si>
    <t xml:space="preserve">Material</t>
  </si>
  <si>
    <t xml:space="preserve">rollo</t>
  </si>
  <si>
    <t xml:space="preserve">Malla de refuerzo 160 de WEBERTHERM para sistema SATE (50x1,1 m/rollo).   Ref. dp-00955597</t>
  </si>
  <si>
    <t xml:space="preserve">ma-dp-79291497</t>
  </si>
  <si>
    <t xml:space="preserve">Material</t>
  </si>
  <si>
    <t xml:space="preserve">perfil</t>
  </si>
  <si>
    <t xml:space="preserve">Perfil goterón WEBERTHERM CF de PVC con malla de fibra de vidrio (2,5 m/perfil).   Ref. dp-79291497</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</si>
  <si>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</si>
  <si>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</si>
  <si>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</si>
  <si>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</si>
  <si>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</si>
  <si>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</si>
  <si>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</si>
  <si>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</si>
  <si>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ma-prolisur-04</t>
  </si>
  <si>
    <t xml:space="preserve">Material</t>
  </si>
  <si>
    <t xml:space="preserve">saco</t>
  </si>
  <si>
    <t xml:space="preserve">Mortero WEBERCAL FLEXIBLE de WEBERTHERM estuco fino flexible de cal coloreado (12 kg/envase).   Ref. prolisur-04</t>
  </si>
  <si>
    <t xml:space="preserve">ma-prolisur-03</t>
  </si>
  <si>
    <t xml:space="preserve">Material</t>
  </si>
  <si>
    <t xml:space="preserve">rollo</t>
  </si>
  <si>
    <t xml:space="preserve">Malla de refuerzo de fibra de vidrio WEBERTHERM MALLA 65 para sistema SATE (50 m/rollo).   Ref. prolisur-03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</si>
  <si>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</si>
  <si>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</si>
  <si>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</si>
  <si>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</si>
  <si>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</si>
  <si>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</si>
  <si>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</si>
  <si>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</si>
  <si>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</si>
  <si>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</si>
  <si>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</si>
  <si>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</si>
  <si>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</si>
  <si>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</si>
  <si>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</si>
  <si>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</si>
  <si>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</si>
  <si>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</si>
  <si>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</si>
  <si>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</si>
  <si>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FACHYP-WB-ANTIFISURA-ELAS-V-MS</t>
  </si>
  <si>
    <t xml:space="preserve">FACHYP-APLACADOS</t>
  </si>
  <si>
    <t xml:space="preserve">Capítulo</t>
  </si>
  <si>
    <t xml:space="preserve">APLACADOS</t>
  </si>
  <si>
    <t xml:space="preserve">APLACADO-PICHOLIN</t>
  </si>
  <si>
    <t xml:space="preserve">Capítulo</t>
  </si>
  <si>
    <t xml:space="preserve">APLACADOS CON PICHOLÍN OBRA VISTA</t>
  </si>
  <si>
    <t xml:space="preserve">APLACADO-PICHOLIN-AT-REFRACT-01</t>
  </si>
  <si>
    <t xml:space="preserve">Partida</t>
  </si>
  <si>
    <t xml:space="preserve">m2</t>
  </si>
  <si>
    <t xml:space="preserve">APLACADO CON LADRILLO PICHOLÍN REFRACTARIO (22x5,5x3 cm/pza) MEDIANTE EL USO DE ANDAMIO TUBULAR</t>
  </si>
  <si>
    <t xml:space="preserve">APLACADO CON LADRILLO PICHOLÍN REFRACTARIO (22x5,5x3 cm/pza) MEDIANTE EL USO DE ANDAMIO TUBULAR</t>
  </si>
  <si>
    <t xml:space="preserve">ma-lp-00001196</t>
  </si>
  <si>
    <t xml:space="preserve">Material</t>
  </si>
  <si>
    <t xml:space="preserve">pza</t>
  </si>
  <si>
    <t xml:space="preserve">Ladrillo picholín refractario cortado (22x5,5x3 cm/pza).   Ref. lp-00001196</t>
  </si>
  <si>
    <t xml:space="preserve">ma-lm-17553375</t>
  </si>
  <si>
    <t xml:space="preserve">Material</t>
  </si>
  <si>
    <t xml:space="preserve">pack</t>
  </si>
  <si>
    <t xml:space="preserve">Puente de unión epóxico bicomponente para adherencia entre hormigones frescos y endurecidos BETOPOX 93 de PROPAMSA (pack 5 kg de Componentes A y B).   Ref. lm-17553375</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</si>
  <si>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</si>
  <si>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</si>
  <si>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</si>
  <si>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</si>
  <si>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</si>
  <si>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</si>
  <si>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</si>
  <si>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</si>
  <si>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</si>
  <si>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</si>
  <si>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</si>
  <si>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</si>
  <si>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</si>
  <si>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</si>
  <si>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</si>
  <si>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</si>
  <si>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</si>
  <si>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</si>
  <si>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</si>
  <si>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</si>
  <si>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</si>
  <si>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</si>
  <si>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</si>
  <si>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</si>
  <si>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</si>
  <si>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</si>
  <si>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</si>
  <si>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</si>
  <si>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APLACADO-PICHOLIN-AT-REFRACT-01</t>
  </si>
  <si>
    <t xml:space="preserve">FACH003</t>
  </si>
  <si>
    <t xml:space="preserve">Partida</t>
  </si>
  <si>
    <t xml:space="preserve">m2</t>
  </si>
  <si>
    <t xml:space="preserve">APLACADO CON LADRILLO PICHOLÍN REFRACTARIO C/TRABAJOS VERTICALES</t>
  </si>
  <si>
    <t xml:space="preserve">Restitución de la obra vista C/TRABAJOS VERTICALES, piezas de picholín 22x5,5x3cm cogidas con mortero y relleno de juntas.</t>
  </si>
  <si>
    <t xml:space="preserve">ma-lp-00001196</t>
  </si>
  <si>
    <t xml:space="preserve">Material</t>
  </si>
  <si>
    <t xml:space="preserve">pza</t>
  </si>
  <si>
    <t xml:space="preserve">Ladrillo picholín refractario cortado (22x5,5x3 cm/pza).   Ref. lp-00001196</t>
  </si>
  <si>
    <t xml:space="preserve">ma-lm-17553375</t>
  </si>
  <si>
    <t xml:space="preserve">Material</t>
  </si>
  <si>
    <t xml:space="preserve">pack</t>
  </si>
  <si>
    <t xml:space="preserve">Puente de unión epóxico bicomponente para adherencia entre hormigones frescos y endurecidos BETOPOX 93 de PROPAMSA (pack 5 kg de Componentes A y B).   Ref. lm-17553375</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</si>
  <si>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</si>
  <si>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</si>
  <si>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</si>
  <si>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</si>
  <si>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</si>
  <si>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</si>
  <si>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</si>
  <si>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</si>
  <si>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</si>
  <si>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</si>
  <si>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</si>
  <si>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</si>
  <si>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</si>
  <si>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</si>
  <si>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</si>
  <si>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</si>
  <si>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</si>
  <si>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</si>
  <si>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</si>
  <si>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</si>
  <si>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</si>
  <si>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</si>
  <si>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</si>
  <si>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</si>
  <si>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</si>
  <si>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</si>
  <si>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</si>
  <si>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</si>
  <si>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FACH003</t>
  </si>
  <si>
    <t xml:space="preserve">APLACADO-PICHOLIN</t>
  </si>
  <si>
    <t xml:space="preserve">APLACADOS-CERAMICOS</t>
  </si>
  <si>
    <t xml:space="preserve">Capítulo</t>
  </si>
  <si>
    <t xml:space="preserve">APLACADOS CERÁMICOS</t>
  </si>
  <si>
    <t xml:space="preserve">REV-APLACADO-GRESITE-AT-01</t>
  </si>
  <si>
    <t xml:space="preserve">Partida</t>
  </si>
  <si>
    <t xml:space="preserve">m2</t>
  </si>
  <si>
    <t xml:space="preserve">APLACADO CON BALDOSA GRESITE 50x50 mm ANTIDESLIZANTE NIEBLA BATUR DE CLOUD MATE, MEDIANTE EL USO DE ANDAMIO TUBULAR</t>
  </si>
  <si>
    <t xml:space="preserve">APLACADO CON BALDOSA GRESITE 50x50 mm ANTIDESLIZANTE NIEBLA BATUR DE CLOUD MATE, MEDIANTE EL USO DE ANDAMIO TUBULAR</t>
  </si>
  <si>
    <t xml:space="preserve">ma-lp-00540839</t>
  </si>
  <si>
    <t xml:space="preserve">Material</t>
  </si>
  <si>
    <t xml:space="preserve">bote</t>
  </si>
  <si>
    <t xml:space="preserve">Imprimante promotor de adherencia PROPAM GRIP+ (5 kg/envase).   Ref. lp-00540839</t>
  </si>
  <si>
    <t xml:space="preserve">ma-lp-s/c-02</t>
  </si>
  <si>
    <t xml:space="preserve">Material</t>
  </si>
  <si>
    <t xml:space="preserve">saco</t>
  </si>
  <si>
    <t xml:space="preserve">Mortero hidráulico de adhesión y protección de placas aislantes PROPAM AISTERM FLEX en sistema SATE (25 kg/saco).   Ref. lp-00572023</t>
  </si>
  <si>
    <t xml:space="preserve">ma-gresite.piscinas-01</t>
  </si>
  <si>
    <t xml:space="preserve">Material</t>
  </si>
  <si>
    <t xml:space="preserve">m2</t>
  </si>
  <si>
    <t xml:space="preserve">Gresite 50x50 mm antideslizante NIEBLA BATUR de CLOUD MATE (formato de placa 310x310 mm).   Ref. gresite.piscinas-01</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</si>
  <si>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</si>
  <si>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</si>
  <si>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</si>
  <si>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</si>
  <si>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</si>
  <si>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</si>
  <si>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</si>
  <si>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</si>
  <si>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</si>
  <si>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</si>
  <si>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</si>
  <si>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</si>
  <si>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</si>
  <si>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</si>
  <si>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</si>
  <si>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</si>
  <si>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</si>
  <si>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</si>
  <si>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</si>
  <si>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</si>
  <si>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</si>
  <si>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</si>
  <si>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</si>
  <si>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</si>
  <si>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REV-APLACADO-GRESITE-AT-01</t>
  </si>
  <si>
    <t xml:space="preserve">REV-APLACADO-GRESITE-AT-02</t>
  </si>
  <si>
    <t xml:space="preserve">Partida</t>
  </si>
  <si>
    <t xml:space="preserve">m2</t>
  </si>
  <si>
    <t xml:space="preserve">APLACADO CON BALDOSA GRESITE 50x50 mm BLANCO ANTIDESLIZANTE DE TOGAMA, MEDIANTE EL USO DE ANDAMIO TUBULAR</t>
  </si>
  <si>
    <t xml:space="preserve">APLACADO CON BALDOSA GRESITE 50x50 mm BLANCO ANTIDESLIZANTE DE TOGAMA, MEDIANTE EL USO DE ANDAMIO TUBULAR</t>
  </si>
  <si>
    <t xml:space="preserve">ma-lp-00540839</t>
  </si>
  <si>
    <t xml:space="preserve">Material</t>
  </si>
  <si>
    <t xml:space="preserve">bote</t>
  </si>
  <si>
    <t xml:space="preserve">Imprimante promotor de adherencia PROPAM GRIP+ (5 kg/envase).   Ref. lp-00540839</t>
  </si>
  <si>
    <t xml:space="preserve">ma-lp-s/c-02</t>
  </si>
  <si>
    <t xml:space="preserve">Material</t>
  </si>
  <si>
    <t xml:space="preserve">saco</t>
  </si>
  <si>
    <t xml:space="preserve">Mortero hidráulico de adhesión y protección de placas aislantes PROPAM AISTERM FLEX en sistema SATE (25 kg/saco).   Ref. lp-00572023</t>
  </si>
  <si>
    <t xml:space="preserve">ma-sola.azulejos-02</t>
  </si>
  <si>
    <t xml:space="preserve">Material</t>
  </si>
  <si>
    <t xml:space="preserve">m2</t>
  </si>
  <si>
    <t xml:space="preserve">Gresite 50x50 mm blanco antideslizante de TOGAMA (formato: 20 mallas/caja; 2 m2/caja; 30,7x30,7 cm/malla; grosor 4,5 mm).   Ref. solá azulejos-02</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</si>
  <si>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</si>
  <si>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</si>
  <si>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</si>
  <si>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</si>
  <si>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</si>
  <si>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</si>
  <si>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</si>
  <si>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</si>
  <si>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</si>
  <si>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</si>
  <si>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</si>
  <si>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</si>
  <si>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</si>
  <si>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</si>
  <si>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</si>
  <si>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</si>
  <si>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</si>
  <si>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</si>
  <si>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</si>
  <si>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</si>
  <si>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</si>
  <si>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</si>
  <si>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</si>
  <si>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</si>
  <si>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REV-APLACADO-GRESITE-AT-02</t>
  </si>
  <si>
    <t xml:space="preserve">REV-APLACADO-GRESITE-MS-01</t>
  </si>
  <si>
    <t xml:space="preserve">Partida</t>
  </si>
  <si>
    <t xml:space="preserve">m2</t>
  </si>
  <si>
    <t xml:space="preserve">APLACADO CON BALDOSA GRESITE 50x50 mm ANTIDESLIZANTE NIEBLA BATUR DE CLOUD MATE, MEDIANTE EL USO DE MEDIO SUSPENDIDO/COLGADO</t>
  </si>
  <si>
    <t xml:space="preserve">APLACADO CON BALDOSA GRESITE 50x50 mm ANTIDESLIZANTE NIEBLA BATUR DE CLOUD MATE, MEDIANTE EL USO DE MEDIO SUSPENDIDO/COLGADO</t>
  </si>
  <si>
    <t xml:space="preserve">ma-lp-00540839</t>
  </si>
  <si>
    <t xml:space="preserve">Material</t>
  </si>
  <si>
    <t xml:space="preserve">bote</t>
  </si>
  <si>
    <t xml:space="preserve">Imprimante promotor de adherencia PROPAM GRIP+ (5 kg/envase).   Ref. lp-00540839</t>
  </si>
  <si>
    <t xml:space="preserve">ma-lp-s/c-02</t>
  </si>
  <si>
    <t xml:space="preserve">Material</t>
  </si>
  <si>
    <t xml:space="preserve">saco</t>
  </si>
  <si>
    <t xml:space="preserve">Mortero hidráulico de adhesión y protección de placas aislantes PROPAM AISTERM FLEX en sistema SATE (25 kg/saco).   Ref. lp-00572023</t>
  </si>
  <si>
    <t xml:space="preserve">ma-gresite.piscinas-01</t>
  </si>
  <si>
    <t xml:space="preserve">Material</t>
  </si>
  <si>
    <t xml:space="preserve">m2</t>
  </si>
  <si>
    <t xml:space="preserve">Gresite 50x50 mm antideslizante NIEBLA BATUR de CLOUD MATE (formato de placa 310x310 mm).   Ref. gresite.piscinas-01</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</si>
  <si>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</si>
  <si>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</si>
  <si>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</si>
  <si>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</si>
  <si>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</si>
  <si>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</si>
  <si>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</si>
  <si>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</si>
  <si>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</si>
  <si>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</si>
  <si>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</si>
  <si>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</si>
  <si>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</si>
  <si>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</si>
  <si>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</si>
  <si>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</si>
  <si>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</si>
  <si>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</si>
  <si>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</si>
  <si>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</si>
  <si>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</si>
  <si>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</si>
  <si>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</si>
  <si>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</si>
  <si>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REV-APLACADO-GRESITE-MS-01</t>
  </si>
  <si>
    <t xml:space="preserve">REV-APLACADO-GRESITE-MS-02</t>
  </si>
  <si>
    <t xml:space="preserve">Partida</t>
  </si>
  <si>
    <t xml:space="preserve">m2</t>
  </si>
  <si>
    <t xml:space="preserve">APLACADO CON BALDOSA GRESITE 50x50 mm BLANCO ANTIDESLIZANTE DE TOGAMA, MEDIANTE EL USO DE MEDIO SUSPENDIDO/COLGADO</t>
  </si>
  <si>
    <t xml:space="preserve">APLACADO CON BALDOSA GRESITE 50x50 mm BLANCO ANTIDESLIZANTE DE TOGAMA, MEDIANTE EL USO DE MEDIO SUSPENDIDO/COLGADO</t>
  </si>
  <si>
    <t xml:space="preserve">ma-lp-00540839</t>
  </si>
  <si>
    <t xml:space="preserve">Material</t>
  </si>
  <si>
    <t xml:space="preserve">bote</t>
  </si>
  <si>
    <t xml:space="preserve">Imprimante promotor de adherencia PROPAM GRIP+ (5 kg/envase).   Ref. lp-00540839</t>
  </si>
  <si>
    <t xml:space="preserve">ma-lp-s/c-02</t>
  </si>
  <si>
    <t xml:space="preserve">Material</t>
  </si>
  <si>
    <t xml:space="preserve">saco</t>
  </si>
  <si>
    <t xml:space="preserve">Mortero hidráulico de adhesión y protección de placas aislantes PROPAM AISTERM FLEX en sistema SATE (25 kg/saco).   Ref. lp-00572023</t>
  </si>
  <si>
    <t xml:space="preserve">ma-sola.azulejos-02</t>
  </si>
  <si>
    <t xml:space="preserve">Material</t>
  </si>
  <si>
    <t xml:space="preserve">m2</t>
  </si>
  <si>
    <t xml:space="preserve">Gresite 50x50 mm blanco antideslizante de TOGAMA (formato: 20 mallas/caja; 2 m2/caja; 30,7x30,7 cm/malla; grosor 4,5 mm).   Ref. solá azulejos-02</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</si>
  <si>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</si>
  <si>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</si>
  <si>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</si>
  <si>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</si>
  <si>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</si>
  <si>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</si>
  <si>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</si>
  <si>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</si>
  <si>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</si>
  <si>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</si>
  <si>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</si>
  <si>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</si>
  <si>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</si>
  <si>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</si>
  <si>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</si>
  <si>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</si>
  <si>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</si>
  <si>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</si>
  <si>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</si>
  <si>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</si>
  <si>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</si>
  <si>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</si>
  <si>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</si>
  <si>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</si>
  <si>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REV-APLACADO-GRESITE-MS-02</t>
  </si>
  <si>
    <t xml:space="preserve">APLACADOS-CERAMICOS</t>
  </si>
  <si>
    <t xml:space="preserve">APLACATOS-PETREOS</t>
  </si>
  <si>
    <t xml:space="preserve">Capítulo</t>
  </si>
  <si>
    <t xml:space="preserve">APLACADOS DE BALDOSAS PÉTREAS ARTIFICIALES</t>
  </si>
  <si>
    <t xml:space="preserve">FACHYP21</t>
  </si>
  <si>
    <t xml:space="preserve">Partida</t>
  </si>
  <si>
    <t xml:space="preserve">M2</t>
  </si>
  <si>
    <t xml:space="preserve">APLACADO CON LOSA DE MÁRMOL NACIONAL BLANCO MACAEL EN PARAMENTO VERTICAL (FCH)</t>
  </si>
  <si>
    <t xml:space="preserve">APLACADO CON LOSA DE MÁRMOL NACIONAL BLANCO MACAEL EN PARAMENTO VERTICAL (FCH)</t>
  </si>
  <si>
    <t xml:space="preserve">MARML</t>
  </si>
  <si>
    <t xml:space="preserve">Material</t>
  </si>
  <si>
    <t xml:space="preserve">m2</t>
  </si>
  <si>
    <t xml:space="preserve">Plaqueta pulida, calibrada y biselada de mármol nacional, Blanco Macael 30,5x30,5x1 cm</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</si>
  <si>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</si>
  <si>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</si>
  <si>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</si>
  <si>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</si>
  <si>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ma-lp-00540947</t>
  </si>
  <si>
    <t xml:space="preserve">Material</t>
  </si>
  <si>
    <t xml:space="preserve">saco</t>
  </si>
  <si>
    <t xml:space="preserve">Mortero juntas ULTRACOLOR PLUS BIGMAT 2 a 20 mm; color grafito (5 kg/saco).   Ref. lp-00540947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</si>
  <si>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</si>
  <si>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</si>
  <si>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</si>
  <si>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</si>
  <si>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</si>
  <si>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</si>
  <si>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</si>
  <si>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</si>
  <si>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</si>
  <si>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</si>
  <si>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</si>
  <si>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</si>
  <si>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</si>
  <si>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</si>
  <si>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</si>
  <si>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</si>
  <si>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</si>
  <si>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</si>
  <si>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</si>
  <si>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</si>
  <si>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FACHYP21</t>
  </si>
  <si>
    <t xml:space="preserve">FACHYP-APLACADO-MARMOL-AT-01</t>
  </si>
  <si>
    <t xml:space="preserve">Partida</t>
  </si>
  <si>
    <t xml:space="preserve">m2</t>
  </si>
  <si>
    <t xml:space="preserve">APLACADO CON LOSA DE MÁRMOL NACIONAL CREMA MARFIL EN PARAMENTO VERTICAL, MEDIANTE EL USO DE ANDAMIO TUBULAR</t>
  </si>
  <si>
    <t xml:space="preserve">APLACADO CON LOSA DE MÁRMOL NACIONAL CREMA MARFIL EN PARAMENTO VERTICAL, MEDIANTE EL USO DE ANDAMIO TUBULAR</t>
  </si>
  <si>
    <t xml:space="preserve">ma-mc-s/c-01</t>
  </si>
  <si>
    <t xml:space="preserve">Material</t>
  </si>
  <si>
    <t xml:space="preserve">m2</t>
  </si>
  <si>
    <t xml:space="preserve">Losa de mármol pulido crema marfil 60x40x2 cm.   Ref. ma-mc-s/c-01</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</si>
  <si>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</si>
  <si>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</si>
  <si>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</si>
  <si>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</si>
  <si>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ma-lp-00540947</t>
  </si>
  <si>
    <t xml:space="preserve">Material</t>
  </si>
  <si>
    <t xml:space="preserve">saco</t>
  </si>
  <si>
    <t xml:space="preserve">Mortero juntas ULTRACOLOR PLUS BIGMAT 2 a 20 mm; color grafito (5 kg/saco).   Ref. lp-00540947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</si>
  <si>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</si>
  <si>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</si>
  <si>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</si>
  <si>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</si>
  <si>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</si>
  <si>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</si>
  <si>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</si>
  <si>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</si>
  <si>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</si>
  <si>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</si>
  <si>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</si>
  <si>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</si>
  <si>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</si>
  <si>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</si>
  <si>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</si>
  <si>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</si>
  <si>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</si>
  <si>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</si>
  <si>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</si>
  <si>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</si>
  <si>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FACHYP-APLACADO-MARMOL-AT-01</t>
  </si>
  <si>
    <t xml:space="preserve">FACHYP-APLACADO-MARMOL-MS-01</t>
  </si>
  <si>
    <t xml:space="preserve">Partida</t>
  </si>
  <si>
    <t xml:space="preserve">m2</t>
  </si>
  <si>
    <t xml:space="preserve">APLACADO CON LOSA DE MÁRMOL NACIONAL CREMA MARFIL EN PARAMENTO VERTICAL, MEDIANTE EL USO DE MEDIO SUSPENDIDO/COLGADO</t>
  </si>
  <si>
    <t xml:space="preserve">APLACADO CON LOSA DE MÁRMOL NACIONAL CREMA MARFIL EN PARAMENTO VERTICAL, MEDIANTE EL USO DE MEDIO SUSPENDIDO/COLGADO</t>
  </si>
  <si>
    <t xml:space="preserve">ma-mc-s/c-01</t>
  </si>
  <si>
    <t xml:space="preserve">Material</t>
  </si>
  <si>
    <t xml:space="preserve">m2</t>
  </si>
  <si>
    <t xml:space="preserve">Losa de mármol pulido crema marfil 60x40x2 cm.   Ref. ma-mc-s/c-01</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</si>
  <si>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</si>
  <si>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</si>
  <si>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</si>
  <si>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</si>
  <si>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ma-lp-00540947</t>
  </si>
  <si>
    <t xml:space="preserve">Material</t>
  </si>
  <si>
    <t xml:space="preserve">saco</t>
  </si>
  <si>
    <t xml:space="preserve">Mortero juntas ULTRACOLOR PLUS BIGMAT 2 a 20 mm; color grafito (5 kg/saco).   Ref. lp-00540947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</si>
  <si>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</si>
  <si>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</si>
  <si>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</si>
  <si>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</si>
  <si>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</si>
  <si>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</si>
  <si>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</si>
  <si>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</si>
  <si>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</si>
  <si>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</si>
  <si>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</si>
  <si>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</si>
  <si>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</si>
  <si>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</si>
  <si>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</si>
  <si>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</si>
  <si>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</si>
  <si>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</si>
  <si>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</si>
  <si>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</si>
  <si>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FACHYP-APLACADO-MARMOL-MS-01</t>
  </si>
  <si>
    <t xml:space="preserve">APLACATOS-PETREOS</t>
  </si>
  <si>
    <t xml:space="preserve">FACHYP-APLACADOS</t>
  </si>
  <si>
    <t xml:space="preserve">FACHYP-CANTO-FORJA-CR-MS</t>
  </si>
  <si>
    <t xml:space="preserve">Partida</t>
  </si>
  <si>
    <t xml:space="preserve">m</t>
  </si>
  <si>
    <t xml:space="preserve">RESTABLECIMIENTO DE CANTO DE FORJADO Y VIGAS DE CUELGUE, INCLUYENDO EL REFUERZO DE ARMADURA Y LA RECUPERACIÓN DE VOLÚMENES Y ARISTAS CON MORTERO DE REPARACIÓN TIXOTRÓPICO A BASE DE CEMENTO; MEDIANTE EL USO DE MEDIO SUSPENDIDO/COLGADO</t>
  </si>
  <si>
    <t xml:space="preserve">RESTABLECIMIENTO DE CANTO DE FORJADO Y VIGAS DE CUELGUE, INCLUYENDO EL REFUERZO DE ARMADURA Y LA RECUPERACIÓN DE VOLÚMENES Y ARISTAS CON MORTERO DE REPARACIÓN TIXOTRÓPICO A BASE DE CEMENTO; MEDIANTE EL USO DE MEDIO SUSPENDIDO/COLGADO</t>
  </si>
  <si>
    <t xml:space="preserve">ma-lp-00001705</t>
  </si>
  <si>
    <t xml:space="preserve">Material</t>
  </si>
  <si>
    <t xml:space="preserve">rollo</t>
  </si>
  <si>
    <t xml:space="preserve">Malla de fibra de vidrio azul para refuerzo de morteros y revocos (rollo 50x1 m)   Ref. lp-00001705</t>
  </si>
  <si>
    <t xml:space="preserve">ma-lp-00277865</t>
  </si>
  <si>
    <t xml:space="preserve">Material</t>
  </si>
  <si>
    <t xml:space="preserve">pza</t>
  </si>
  <si>
    <t xml:space="preserve">Redondo acero corrugado diámetro 10 mm (2 m/pza)   Ref. lp-00277865</t>
  </si>
  <si>
    <t xml:space="preserve">ma-lp-00351172</t>
  </si>
  <si>
    <t xml:space="preserve">Material</t>
  </si>
  <si>
    <t xml:space="preserve">caja</t>
  </si>
  <si>
    <t xml:space="preserve">Electrodo Rutilo 6013  2,5x350 mm (5kg o 55 varillas/caja)   Ref. lp-00351172</t>
  </si>
  <si>
    <t xml:space="preserve">alq.soldadora-mym-01</t>
  </si>
  <si>
    <t xml:space="preserve">Maquinaria</t>
  </si>
  <si>
    <t xml:space="preserve">h</t>
  </si>
  <si>
    <t xml:space="preserve">Alquiler de Soldadora Eléctrica Inverter Electrodo 3,25 mm 160A/60% 230 V.   Ref. MÁQUINAS Y MÁQUINAS</t>
  </si>
  <si>
    <t xml:space="preserve">ma-lp-00540914</t>
  </si>
  <si>
    <t xml:space="preserve">Material</t>
  </si>
  <si>
    <t xml:space="preserve">saco</t>
  </si>
  <si>
    <t xml:space="preserve">Mortero de reparación y pasivante MAPEFER 1K (5 kg/saco)   Ref. lp-00540914</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</si>
  <si>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</si>
  <si>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</si>
  <si>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</si>
  <si>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</si>
  <si>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</si>
  <si>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</si>
  <si>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</si>
  <si>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</si>
  <si>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</si>
  <si>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</si>
  <si>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</si>
  <si>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</si>
  <si>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</si>
  <si>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</si>
  <si>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</si>
  <si>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</si>
  <si>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</si>
  <si>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</si>
  <si>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</si>
  <si>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</si>
  <si>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</si>
  <si>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</si>
  <si>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</si>
  <si>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</si>
  <si>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</si>
  <si>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</si>
  <si>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</si>
  <si>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</si>
  <si>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</si>
  <si>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</si>
  <si>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</si>
  <si>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</si>
  <si>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FACHYP-CANTO-FORJA-CR-MS</t>
  </si>
  <si>
    <t xml:space="preserve">FACHYP-CANTO-FORJA-SR-MS</t>
  </si>
  <si>
    <t xml:space="preserve">Partida</t>
  </si>
  <si>
    <t xml:space="preserve">m</t>
  </si>
  <si>
    <t xml:space="preserve">RESTABLECIMIENTO DE CANTO DE FORJADO Y VIGAS DE CUELGUE, INCLUYENDO LA RECUPERACIÓN DE VOLÚMENES Y ARISTAS CON MORTERO DE REPARACIÓN TIXOTRÓPICO A BASE DE CEMENTO, Y EXCLUYE LA RESTAURACIÓN DE ARMADURA DE REFUERZO; MEDIANTE EL USO DE MEDIO SUSPENDIDO/COLGADO</t>
  </si>
  <si>
    <t xml:space="preserve">RESTABLECIMIENTO DE CANTO DE FORJADO Y VIGAS DE CUELGUE, INCLUYENDO LA RECUPERACIÓN DE VOLÚMENES Y ARISTAS CON MORTERO DE REPARACIÓN TIXOTRÓPICO A BASE DE CEMENTO, Y EXCLUYE LA RESTAURACIÓN DE ARMADURA DE REFUERZO; MEDIANTE EL USO DE MEDIO SUSPENDIDO/COLGADO</t>
  </si>
  <si>
    <t xml:space="preserve">ma-lp-00001705</t>
  </si>
  <si>
    <t xml:space="preserve">Material</t>
  </si>
  <si>
    <t xml:space="preserve">rollo</t>
  </si>
  <si>
    <t xml:space="preserve">Malla de fibra de vidrio azul para refuerzo de morteros y revocos (rollo 50x1 m)   Ref. lp-00001705</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</si>
  <si>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</si>
  <si>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</si>
  <si>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</si>
  <si>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</si>
  <si>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</si>
  <si>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</si>
  <si>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</si>
  <si>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</si>
  <si>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</si>
  <si>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</si>
  <si>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</si>
  <si>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</si>
  <si>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</si>
  <si>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</si>
  <si>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</si>
  <si>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</si>
  <si>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</si>
  <si>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</si>
  <si>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</si>
  <si>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</si>
  <si>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</si>
  <si>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</si>
  <si>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</si>
  <si>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</si>
  <si>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</si>
  <si>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</si>
  <si>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</si>
  <si>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</si>
  <si>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</si>
  <si>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</si>
  <si>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</si>
  <si>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</si>
  <si>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</si>
  <si>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</si>
  <si>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</si>
  <si>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</si>
  <si>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FACHYP-CANTO-FORJA-SR-MS</t>
  </si>
  <si>
    <t xml:space="preserve">FACHYP-FONDO-FORJA-CR-MS</t>
  </si>
  <si>
    <t xml:space="preserve">Partida</t>
  </si>
  <si>
    <t xml:space="preserve">m2</t>
  </si>
  <si>
    <t xml:space="preserve">RESTABLECIMIENTO DE FONDOS DE FORJADO, INCLUYENDO LA RECUPERACIÓN DE VOLÚMENES Y ARISTAS CON MORTERO DE REPARACIÓN TIXOTRÓPICO A BASE DE CEMENTO, Y EXCLUYE LA RESTAURACIÓN DE ARMADURA DE REFUERZO; MEDIANTE EL USO DE MEDIO SUSPENDIDO/COLGADO</t>
  </si>
  <si>
    <t xml:space="preserve">RESTABLECIMIENTO DE FONDOS DE FORJADO, INCLUYENDO LA RECUPERACIÓN DE VOLÚMENES Y ARISTAS CON MORTERO DE REPARACIÓN TIXOTRÓPICO A BASE DE CEMENTO, Y EXCLUYE LA RESTAURACIÓN DE ARMADURA DE REFUERZO; MEDIANTE EL USO DE MEDIO SUSPENDIDO/COLGADO</t>
  </si>
  <si>
    <t xml:space="preserve">ma-lp-00001705</t>
  </si>
  <si>
    <t xml:space="preserve">Material</t>
  </si>
  <si>
    <t xml:space="preserve">rollo</t>
  </si>
  <si>
    <t xml:space="preserve">Malla de fibra de vidrio azul para refuerzo de morteros y revocos (rollo 50x1 m)   Ref. lp-00001705</t>
  </si>
  <si>
    <t xml:space="preserve">ma-lp-00277865</t>
  </si>
  <si>
    <t xml:space="preserve">Material</t>
  </si>
  <si>
    <t xml:space="preserve">pza</t>
  </si>
  <si>
    <t xml:space="preserve">Redondo acero corrugado diámetro 10 mm (2 m/pza)   Ref. lp-00277865</t>
  </si>
  <si>
    <t xml:space="preserve">ma-lp-00351172</t>
  </si>
  <si>
    <t xml:space="preserve">Material</t>
  </si>
  <si>
    <t xml:space="preserve">caja</t>
  </si>
  <si>
    <t xml:space="preserve">Electrodo Rutilo 6013  2,5x350 mm (5kg o 55 varillas/caja)   Ref. lp-00351172</t>
  </si>
  <si>
    <t xml:space="preserve">alq.soldadora-mym-01</t>
  </si>
  <si>
    <t xml:space="preserve">Maquinaria</t>
  </si>
  <si>
    <t xml:space="preserve">h</t>
  </si>
  <si>
    <t xml:space="preserve">Alquiler de Soldadora Eléctrica Inverter Electrodo 3,25 mm 160A/60% 230 V.   Ref. MÁQUINAS Y MÁQUINAS</t>
  </si>
  <si>
    <t xml:space="preserve">ma-lp-00540914</t>
  </si>
  <si>
    <t xml:space="preserve">Material</t>
  </si>
  <si>
    <t xml:space="preserve">saco</t>
  </si>
  <si>
    <t xml:space="preserve">Mortero de reparación y pasivante MAPEFER 1K (5 kg/saco)   Ref. lp-00540914</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</si>
  <si>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</si>
  <si>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</si>
  <si>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</si>
  <si>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</si>
  <si>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</si>
  <si>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</si>
  <si>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</si>
  <si>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</si>
  <si>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</si>
  <si>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</si>
  <si>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</si>
  <si>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</si>
  <si>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</si>
  <si>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</si>
  <si>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</si>
  <si>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</si>
  <si>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</si>
  <si>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</si>
  <si>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</si>
  <si>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</si>
  <si>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</si>
  <si>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</si>
  <si>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</si>
  <si>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</si>
  <si>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</si>
  <si>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</si>
  <si>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</si>
  <si>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</si>
  <si>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</si>
  <si>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</si>
  <si>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</si>
  <si>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</si>
  <si>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FACHYP-FONDO-FORJA-CR-MS</t>
  </si>
  <si>
    <t xml:space="preserve">FACHYP-FONDO-FORJA-SR-MS</t>
  </si>
  <si>
    <t xml:space="preserve">Partida</t>
  </si>
  <si>
    <t xml:space="preserve">m2</t>
  </si>
  <si>
    <t xml:space="preserve">RESTABLECIMIENTO DE FONDOS DE FORJADO, INCLUYENDO LA RECUPERACIÓN DE VOLÚMENES Y ARISTAS CON MORTERO DE REPARACIÓN TIXOTRÓPICO A BASE DE CEMENTO, Y EXCLUYE LA RESTAURACIÓN DE ARMADURA DE REFUERZO; MEDIANTE EL USO DE MEDIO SUSPENDIDO/COLGADO</t>
  </si>
  <si>
    <t xml:space="preserve">RESTABLECIMIENTO DE FONDOS DE FORJADO, INCLUYENDO LA RECUPERACIÓN DE VOLÚMENES Y ARISTAS CON MORTERO DE REPARACIÓN TIXOTRÓPICO A BASE DE CEMENTO, Y EXCLUYE LA RESTAURACIÓN DE ARMADURA DE REFUERZO; MEDIANTE EL USO DE MEDIO SUSPENDIDO/COLGADO</t>
  </si>
  <si>
    <t xml:space="preserve">ma-lp-00001705</t>
  </si>
  <si>
    <t xml:space="preserve">Material</t>
  </si>
  <si>
    <t xml:space="preserve">rollo</t>
  </si>
  <si>
    <t xml:space="preserve">Malla de fibra de vidrio azul para refuerzo de morteros y revocos (rollo 50x1 m)   Ref. lp-00001705</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</si>
  <si>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</si>
  <si>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</si>
  <si>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</si>
  <si>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</si>
  <si>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ma-lp-00540827</t>
  </si>
  <si>
    <t xml:space="preserve">Material</t>
  </si>
  <si>
    <t xml:space="preserve">saco</t>
  </si>
  <si>
    <t xml:space="preserve">Mortero de reparación estructural R4 PROPAM REPAR TECHNO (25 kg/saco)   Ref. lp-00540827</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</si>
  <si>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</si>
  <si>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</si>
  <si>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</si>
  <si>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</si>
  <si>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</si>
  <si>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</si>
  <si>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</si>
  <si>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</si>
  <si>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</si>
  <si>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</si>
  <si>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</si>
  <si>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</si>
  <si>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</si>
  <si>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</si>
  <si>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</si>
  <si>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</si>
  <si>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</si>
  <si>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</si>
  <si>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</si>
  <si>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</si>
  <si>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</si>
  <si>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</si>
  <si>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</si>
  <si>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</si>
  <si>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</si>
  <si>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</si>
  <si>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</si>
  <si>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</si>
  <si>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FACHYP-FONDO-FORJA-SR-MS</t>
  </si>
  <si>
    <t xml:space="preserve">FACHYP-SATE</t>
  </si>
  <si>
    <t xml:space="preserve">Capítulo</t>
  </si>
  <si>
    <t xml:space="preserve">REVESTIMIENTO CON SISTEMAS SATE</t>
  </si>
  <si>
    <t xml:space="preserve">ETICS-BAUMIT</t>
  </si>
  <si>
    <t xml:space="preserve">Capítulo</t>
  </si>
  <si>
    <t xml:space="preserve">REVESTIMIENTO DE FACHADAS CON SISTEMA ETICS-BAUMIT</t>
  </si>
  <si>
    <t xml:space="preserve">SATE-BAUMIT-SIN.AISLAMIENTO</t>
  </si>
  <si>
    <t xml:space="preserve">Partida</t>
  </si>
  <si>
    <t xml:space="preserve">m2</t>
  </si>
  <si>
    <t xml:space="preserve">REVESTIMIENTO DE FACHADA CON SISTEMA SATE-ETICS-BAUMIT SIN AISLANTE TERMOACÚSTICO (FCH)</t>
  </si>
  <si>
    <t xml:space="preserve">REVESTIMIENTO DE FACHADA CON SISTEMA SATE-ETICS-BAUMIT SIN AISLANTE TERMOACÚSTICO (FCH)</t>
  </si>
  <si>
    <t xml:space="preserve">ma-indulak-009802UNIP25</t>
  </si>
  <si>
    <t xml:space="preserve">Material</t>
  </si>
  <si>
    <t xml:space="preserve">cubo</t>
  </si>
  <si>
    <t xml:space="preserve">Imprimante universal con ligantes orgánicos como adherente para revocos BAUMIT UNIPRIMER (25 kg/cubo).   Ref. indulak-009802UNIP25</t>
  </si>
  <si>
    <t xml:space="preserve">ma-socel-027767</t>
  </si>
  <si>
    <t xml:space="preserve">Material</t>
  </si>
  <si>
    <t xml:space="preserve">saco</t>
  </si>
  <si>
    <t xml:space="preserve">Mortero adhesivo y de refuerzo mineral con tecnología gel STARCONTACT de BAUMIT (25 kg/saco).   Ref. socel-027767</t>
  </si>
  <si>
    <t xml:space="preserve">ma-indulak-009804STTX50</t>
  </si>
  <si>
    <t xml:space="preserve">Material</t>
  </si>
  <si>
    <t xml:space="preserve">rollo</t>
  </si>
  <si>
    <t xml:space="preserve">Malla de fibra de vidrio antiálcali BAUMIT STARTEX 145 (50 m2/rollo; ancho 1 m).   Ref. indulak-009804STTX50</t>
  </si>
  <si>
    <t xml:space="preserve">ma-socel-040452</t>
  </si>
  <si>
    <t xml:space="preserve">Material</t>
  </si>
  <si>
    <t xml:space="preserve">rollo</t>
  </si>
  <si>
    <t xml:space="preserve">Malla de fibra de vidrio antiálcali BAUMIT STARTEX 160 (50 m2/rollo; ancho 1 m).   Ref. socel-040452</t>
  </si>
  <si>
    <t xml:space="preserve">ma-lp-00225432</t>
  </si>
  <si>
    <t xml:space="preserve">Material</t>
  </si>
  <si>
    <t xml:space="preserve">und</t>
  </si>
  <si>
    <t xml:space="preserve">Perfil cantonera de PVC con malla de fibra de vidrio (medida de la malla: 8x12 cm.; longitud: 2,5 m)   Ref. lp-00225432</t>
  </si>
  <si>
    <t xml:space="preserve">ma-lp-00511369</t>
  </si>
  <si>
    <t xml:space="preserve">Material</t>
  </si>
  <si>
    <t xml:space="preserve">und</t>
  </si>
  <si>
    <t xml:space="preserve">Perfil goterón VLT de PVC con malla de fibra de vidrio (long.: 2,5 m; ancho: 100x100 mm; espesor 9 mm)   Ref. lp-00511369</t>
  </si>
  <si>
    <t xml:space="preserve">ma-indulak-009803SIKTOPK16789025</t>
  </si>
  <si>
    <t xml:space="preserve">Material</t>
  </si>
  <si>
    <t xml:space="preserve">cubo</t>
  </si>
  <si>
    <t xml:space="preserve">Mortero para revoco con resina de silicona BAUMIT SILIKONTOP (25 kg/cubo)… Ref. indulak-009803SIKTOPK16789025</t>
  </si>
  <si>
    <t xml:space="preserve">ma-indulak-009809CINTSELL15.2-6</t>
  </si>
  <si>
    <t xml:space="preserve">Material</t>
  </si>
  <si>
    <t xml:space="preserve">caja</t>
  </si>
  <si>
    <t xml:space="preserve">Cinta selladora y autoadhesiva de poliuretano FUGENDICHTBAND de BAUMIT; ancho de junta 2 a 6 mm (5 rollos/caja; 18 m/rollo).   Ref. indulak-009809CINTSELL15.2-6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</si>
  <si>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</si>
  <si>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</si>
  <si>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</si>
  <si>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</si>
  <si>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</si>
  <si>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</si>
  <si>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</si>
  <si>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</si>
  <si>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</si>
  <si>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</si>
  <si>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</si>
  <si>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</si>
  <si>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</si>
  <si>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</si>
  <si>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</si>
  <si>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</si>
  <si>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</si>
  <si>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</si>
  <si>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</si>
  <si>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</si>
  <si>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SATE-BAUMIT-SIN.AISLAMIENTO</t>
  </si>
  <si>
    <t xml:space="preserve">ETICS-BAUMIT</t>
  </si>
  <si>
    <t xml:space="preserve">ETICS-ECOSATE</t>
  </si>
  <si>
    <t xml:space="preserve">Partida</t>
  </si>
  <si>
    <t xml:space="preserve">m²</t>
  </si>
  <si>
    <t xml:space="preserve">SISTEMA ETICS ECOSATE "ISOVER" DE AISLAMIENTO TÉRMICO POR EL EXTERIOR DE FACHADAS CON PANEL DE LANA DE VIDRIO 60 mm; MEDIANTE EL USO DE ANDAMIO TUBULAR</t>
  </si>
  <si>
    <t xml:space="preserve">Aislamiento térmico por el exterior de fachadas, con el sistema Ecosate "ISOVER", con ETA - 20/0722, compuesto por: panel rígido de lana de vidrio de alta densidad, no revestido, hidrófobo, modelo Clima 34 "ISOVER", de 60 mm de espesor, fijado al soporte con mortero polimérico Ecosate® Base "ISOVER" y fijaciones mecánicas con taco de expansión con clavo, Ecosate® H1 Eco "ISOVER"; capa de regularización de mortero polimérico Ecosate® Base "ISOVER", armado con malla de fibra de vidrio antiálcalis, Ecosate® Malla "ISOVER", de 3,5x3,8 mm de luz de malla, de 160 g/m² de masa superficial; capa de acabado de revestimiento Ecosate® Basic L "ISOVER", resistente a los rayos ultravioleta, acabado medio, color a elegir, gama Standard, sobre imprimación, Ecosate® Primer "ISOVER", color a elegir, gama Standard. Incluso perfiles de arranque de aluminio, perfiles de cierre superior de aluminio, perfiles para formación de goterones de PVC con malla, perfiles de esquina de PVC con malla.
Criterio de valoración económica: El precio incluye la ejecución de remates en los encuentros con paramentos y revestimientos u otros elementos recibidos en su superficie.
Incluye: Preparación de la superficie soporte. Colocación del perfil de arranque. Corte y preparación del aislamiento. Colocación del aislamiento sobre el paramento. Colocación del resto de perfiles. Resolución de los puntos singulares. Aplicación del mortero base y colocación de la malla de fibra de vidrio en la capa de regularización. Formación de juntas. Aplicación de la capa de acabado. Sellado de juntas.
Criterio de medición de proyecto: Superficie medida según documentación gráfica de Proyecto, deduciendo los huecos de superficie mayor de 1 m², añadiendo a cambio la superficie de la parte interior del hueco, correspondiente al desarrollo de jambas y dinteles.
Criterio de medición de obra: Se medirá la superficie realmente ejecutada según especificaciones de Proyecto, deduciendo los huecos de superficie mayor de 1 m², añadiendo a cambio la superficie de la parte interior del hueco, correspondiente al desarrollo de jambas y dinteles.</t>
  </si>
  <si>
    <t xml:space="preserve">KD10528</t>
  </si>
  <si>
    <t xml:space="preserve">Material</t>
  </si>
  <si>
    <t xml:space="preserve">m</t>
  </si>
  <si>
    <t xml:space="preserve">Perfil de arranque Ecosate® "ISOVER" de aluminio, de 60 mm de anchura, con goterón, para nivelación y soporte de los paneles aislantes de los sistemas de aislamiento térmico por el exterior sobre la línea de zócalo.</t>
  </si>
  <si>
    <t xml:space="preserve">KD10534</t>
  </si>
  <si>
    <t xml:space="preserve">Material</t>
  </si>
  <si>
    <t xml:space="preserve">m</t>
  </si>
  <si>
    <t xml:space="preserve">Perfil de cierre superior, Ecosate® "ISOVER", de aluminio, de 60 mm de anchura, para coronación de los paneles aislantes de los sistemas de aislamiento térmico por el exterior.</t>
  </si>
  <si>
    <t xml:space="preserve">KD10526</t>
  </si>
  <si>
    <t xml:space="preserve">Material</t>
  </si>
  <si>
    <t xml:space="preserve">kg</t>
  </si>
  <si>
    <t xml:space="preserve">Mortero polimérico Ecosate® Base "ISOVER", para adherir los paneles aislantes, previo amasado con agua.</t>
  </si>
  <si>
    <t xml:space="preserve">KD72498</t>
  </si>
  <si>
    <t xml:space="preserve">Material</t>
  </si>
  <si>
    <t xml:space="preserve">m²</t>
  </si>
  <si>
    <t xml:space="preserve">Panel rígido de lana de vidrio de alta densidad, no revestido, hidrófobo, modelo Clima 34 "ISOVER", de 60 mm de espesor, según UNE-EN 13162, resistencia térmica 1,75 m²K/W, conductividad térmica 0,034 W/(mK), Euroclase A2-s1, d0 de reacción al fuego según UNE-EN 13501-1, capacidad de absorción de agua a corto plazo &lt;=1 kg/m² y factor de resistencia a la difusión del vapor de agua 1, con código de designación MW-EN 13162-T5-WS-MU1-CS(10)15-TR7,5, de aplicación como aislante térmico y acústico en sistemas compuestos de aislamiento por el exterior de fachadas.</t>
  </si>
  <si>
    <t xml:space="preserve">KD10491</t>
  </si>
  <si>
    <t xml:space="preserve">Material</t>
  </si>
  <si>
    <t xml:space="preserve">Ud</t>
  </si>
  <si>
    <t xml:space="preserve">Taco de expansión, Ecosate® H1 Eco 115 "ISOVER", de 95 mm de longitud, con aro de estanqueidad y clavo para fijación de placas aislantes.</t>
  </si>
  <si>
    <t xml:space="preserve">KD10549</t>
  </si>
  <si>
    <t xml:space="preserve">Material</t>
  </si>
  <si>
    <t xml:space="preserve">m</t>
  </si>
  <si>
    <t xml:space="preserve">Perfil de PVC con malla de fibra de vidrio, Ecosate® "ISOVER", para formación de goterones.</t>
  </si>
  <si>
    <t xml:space="preserve">KD10546</t>
  </si>
  <si>
    <t xml:space="preserve">Material</t>
  </si>
  <si>
    <t xml:space="preserve">m</t>
  </si>
  <si>
    <t xml:space="preserve">Perfil de esquina Ecosate® "ISOVER" de PVC con malla, para refuerzo de cantos.</t>
  </si>
  <si>
    <t xml:space="preserve">KD10540</t>
  </si>
  <si>
    <t xml:space="preserve">Material</t>
  </si>
  <si>
    <t xml:space="preserve">m</t>
  </si>
  <si>
    <t xml:space="preserve">Perfil de cierre lateral, Ecosate® "ISOVER", de aluminio, de 60 mm de anchura.</t>
  </si>
  <si>
    <t xml:space="preserve">KD10552</t>
  </si>
  <si>
    <t xml:space="preserve">Material</t>
  </si>
  <si>
    <t xml:space="preserve">m²</t>
  </si>
  <si>
    <t xml:space="preserve">Malla de fibra de vidrio antiálcalis, Ecosate® Malla "ISOVER", de 3,5x3,8 mm de luz de malla, de 160 g/m² de masa superficial, para armar morteros.</t>
  </si>
  <si>
    <t xml:space="preserve">KD-ECOSATE.PRIMER.COLOR</t>
  </si>
  <si>
    <t xml:space="preserve">Material</t>
  </si>
  <si>
    <t xml:space="preserve">kg</t>
  </si>
  <si>
    <t xml:space="preserve">Imprimación, Ecosate® Primer "ISOVER", color a elegir, gama Standard; para aplicar con rodillo, máquina de proyectar o cepillo.</t>
  </si>
  <si>
    <t xml:space="preserve">KD-ECOSATE-BASIC.L.COLOR</t>
  </si>
  <si>
    <t xml:space="preserve">Material</t>
  </si>
  <si>
    <t xml:space="preserve">kg</t>
  </si>
  <si>
    <t xml:space="preserve">Revestimiento Ecosate® Basic L "ISOVER", resistente a los rayos ultravioleta, acabado medio, color a elegir, gama Standard, compuesto por resinas acrílicas en dispersión acuosa, pigmentos minerales, fungicidas y aditivos especiales; para aplicar con llana y fratás o con pistola de proyectar.</t>
  </si>
  <si>
    <t xml:space="preserve">lp-00540972</t>
  </si>
  <si>
    <t xml:space="preserve">Material</t>
  </si>
  <si>
    <t xml:space="preserve">m</t>
  </si>
  <si>
    <t xml:space="preserve">Cordón de polietileno expandido de celdas cerradas, de sección circular de 15 mm de diámetro, para el relleno de fondo de junta.</t>
  </si>
  <si>
    <t xml:space="preserve">lp-00541258</t>
  </si>
  <si>
    <t xml:space="preserve">Material</t>
  </si>
  <si>
    <t xml:space="preserve">Ud</t>
  </si>
  <si>
    <t xml:space="preserve">Cartucho de masilla elastómera tixotrópica, monocomponente, a base de polímeros híbridos (MS), de color gris, de 600 ml, de alta adherencia, con elevadas propiedades elásticas, resistencia al envejecimiento y a los rayos UV, dureza Shore A aproximada de 25 y alargamiento en rotura &gt; 600%, según UNE-EN ISO 11600.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</si>
  <si>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</si>
  <si>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</si>
  <si>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</si>
  <si>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</si>
  <si>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</si>
  <si>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</si>
  <si>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</si>
  <si>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</si>
  <si>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</si>
  <si>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</si>
  <si>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</si>
  <si>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</si>
  <si>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</si>
  <si>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</si>
  <si>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</si>
  <si>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</si>
  <si>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</si>
  <si>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</si>
  <si>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</si>
  <si>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</si>
  <si>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ETICS-ECOSATE</t>
  </si>
  <si>
    <t xml:space="preserve">ETICS-ECOSATE-LdR.80mm</t>
  </si>
  <si>
    <t xml:space="preserve">Partida</t>
  </si>
  <si>
    <t xml:space="preserve">m2</t>
  </si>
  <si>
    <t xml:space="preserve">SISTEMA ETICS ECOSATE "ISOVER" DE AISLAMIENTO TÉRMICO POR EL EXTERIOR DE FACHADAS CON PANEL DE LANA DE ROCA 80 mm; MEDIANTE EL USO DE ANDAMIO TUBULAR</t>
  </si>
  <si>
    <t xml:space="preserve">Aislamiento térmico por el exterior de fachadas, con el sistema Ecosate "ISOVER", con ETA - 20/0722, compuesto por: panel rígido de lana de roca de alta densidad, no revestido, hidrófobo, modelo TF PROFI "ISOVER", de 80 mm de espesor, fijado al soporte con mortero polimérico Ecosate® Base "ISOVER" y fijaciones mecánicas con taco de expansión con clavo, Ecosate® H1 Eco "ISOVER"; capa de regularización de mortero polimérico Ecosate® Base "ISOVER", armado con malla de fibra de vidrio antiálcalis, Ecosate® Malla "ISOVER", de 3,5x3,8 mm de luz de malla, de 160 g/m² de masa superficial; capa de acabado de revestimiento Ecosate® Basic L "ISOVER", resistente a los rayos ultravioleta, acabado medio, color a elegir, gama Standard, sobre imprimación, Ecosate® Primer "ISOVER", color a elegir, gama Standard. Incluso perfiles de arranque de aluminio, perfiles de cierre superior de aluminio, perfiles para formación de goterones de PVC con malla, perfiles de esquina de PVC con malla.
Criterio de valoración económica: El precio incluye la ejecución de remates en los encuentros con paramentos y revestimientos u otros elementos recibidos en su superficie.
Incluye: Preparación de la superficie soporte. Colocación del perfil de arranque. Corte y preparación del aislamiento. Colocación del aislamiento sobre el paramento. Colocación del resto de perfiles. Resolución de los puntos singulares. Aplicación del mortero base y colocación de la malla de fibra de vidrio en la capa de regularización. Formación de juntas. Aplicación de la capa de acabado. Sellado de juntas.
Criterio de medición de proyecto: Superficie medida según documentación gráfica de Proyecto, deduciendo los huecos de superficie mayor de 1 m², añadiendo a cambio la superficie de la parte interior del hueco, correspondiente al desarrollo de jambas y dinteles.
Criterio de medición de obra: Se medirá la superficie realmente ejecutada según especificaciones de Proyecto, deduciendo los huecos de superficie mayor de 1 m², añadiendo a cambio la superficie de la parte interior del hueco, correspondiente al desarrollo de jambas y dinteles.</t>
  </si>
  <si>
    <t xml:space="preserve">KD10528</t>
  </si>
  <si>
    <t xml:space="preserve">Material</t>
  </si>
  <si>
    <t xml:space="preserve">m</t>
  </si>
  <si>
    <t xml:space="preserve">Perfil de arranque Ecosate® "ISOVER" de aluminio, de 60 mm de anchura, con goterón, para nivelación y soporte de los paneles aislantes de los sistemas de aislamiento térmico por el exterior sobre la línea de zócalo.</t>
  </si>
  <si>
    <t xml:space="preserve">KD10534</t>
  </si>
  <si>
    <t xml:space="preserve">Material</t>
  </si>
  <si>
    <t xml:space="preserve">m</t>
  </si>
  <si>
    <t xml:space="preserve">Perfil de cierre superior, Ecosate® "ISOVER", de aluminio, de 60 mm de anchura, para coronación de los paneles aislantes de los sistemas de aislamiento térmico por el exterior.</t>
  </si>
  <si>
    <t xml:space="preserve">KD10526</t>
  </si>
  <si>
    <t xml:space="preserve">Material</t>
  </si>
  <si>
    <t xml:space="preserve">kg</t>
  </si>
  <si>
    <t xml:space="preserve">Mortero polimérico Ecosate® Base "ISOVER", para adherir los paneles aislantes, previo amasado con agua.</t>
  </si>
  <si>
    <t xml:space="preserve">KD10082</t>
  </si>
  <si>
    <t xml:space="preserve">Material</t>
  </si>
  <si>
    <t xml:space="preserve">m2</t>
  </si>
  <si>
    <t xml:space="preserve">Panel rígido de lana de vidrio de alta densidad, no revestido, hidrófobo, modelo Clima 34 "ISOVER", de 60 mm de espesor, según UNE-EN 13162, resistencia térmica 1,75 m²K/W, conductividad térmica 0,034 W/(mK), Euroclase A2-s1, d0 de reacción al fuego según UNE-EN 13501-1, capacidad de absorción de agua a corto plazo &lt;=1 kg/m² y factor de resistencia a la difusión del vapor de agua 1, con código de designación MW-EN 13162-T5-WS-MU1-CS(10)15-TR7,5, de aplicación como aislante térmico y acústico en sistemas compuestos de aislamiento por el exterior de fachadas.</t>
  </si>
  <si>
    <t xml:space="preserve">KD10491</t>
  </si>
  <si>
    <t xml:space="preserve">Material</t>
  </si>
  <si>
    <t xml:space="preserve">Ud</t>
  </si>
  <si>
    <t xml:space="preserve">Taco de expansión, Ecosate® H1 Eco 115 "ISOVER", de 95 mm de longitud, con aro de estanqueidad y clavo para fijación de placas aislantes.</t>
  </si>
  <si>
    <t xml:space="preserve">KD10549</t>
  </si>
  <si>
    <t xml:space="preserve">Material</t>
  </si>
  <si>
    <t xml:space="preserve">m</t>
  </si>
  <si>
    <t xml:space="preserve">Perfil de PVC con malla de fibra de vidrio, Ecosate® "ISOVER", para formación de goterones.</t>
  </si>
  <si>
    <t xml:space="preserve">KD10546</t>
  </si>
  <si>
    <t xml:space="preserve">Material</t>
  </si>
  <si>
    <t xml:space="preserve">m</t>
  </si>
  <si>
    <t xml:space="preserve">Perfil de esquina Ecosate® "ISOVER" de PVC con malla, para refuerzo de cantos.</t>
  </si>
  <si>
    <t xml:space="preserve">KD10540</t>
  </si>
  <si>
    <t xml:space="preserve">Material</t>
  </si>
  <si>
    <t xml:space="preserve">m</t>
  </si>
  <si>
    <t xml:space="preserve">Perfil de cierre lateral, Ecosate® "ISOVER", de aluminio, de 60 mm de anchura.</t>
  </si>
  <si>
    <t xml:space="preserve">KD10552</t>
  </si>
  <si>
    <t xml:space="preserve">Material</t>
  </si>
  <si>
    <t xml:space="preserve">m²</t>
  </si>
  <si>
    <t xml:space="preserve">Malla de fibra de vidrio antiálcalis, Ecosate® Malla "ISOVER", de 3,5x3,8 mm de luz de malla, de 160 g/m² de masa superficial, para armar morteros.</t>
  </si>
  <si>
    <t xml:space="preserve">KD-ECOSATE.PRIMER.COLOR</t>
  </si>
  <si>
    <t xml:space="preserve">Material</t>
  </si>
  <si>
    <t xml:space="preserve">kg</t>
  </si>
  <si>
    <t xml:space="preserve">Imprimación, Ecosate® Primer "ISOVER", color a elegir, gama Standard; para aplicar con rodillo, máquina de proyectar o cepillo.</t>
  </si>
  <si>
    <t xml:space="preserve">KD-ECOSATE-BASIC.L.COLOR</t>
  </si>
  <si>
    <t xml:space="preserve">Material</t>
  </si>
  <si>
    <t xml:space="preserve">kg</t>
  </si>
  <si>
    <t xml:space="preserve">Revestimiento Ecosate® Basic L "ISOVER", resistente a los rayos ultravioleta, acabado medio, color a elegir, gama Standard, compuesto por resinas acrílicas en dispersión acuosa, pigmentos minerales, fungicidas y aditivos especiales; para aplicar con llana y fratás o con pistola de proyectar.</t>
  </si>
  <si>
    <t xml:space="preserve">lp-00540972</t>
  </si>
  <si>
    <t xml:space="preserve">Material</t>
  </si>
  <si>
    <t xml:space="preserve">m</t>
  </si>
  <si>
    <t xml:space="preserve">Cordón de polietileno expandido de celdas cerradas, de sección circular de 15 mm de diámetro, para el relleno de fondo de junta.</t>
  </si>
  <si>
    <t xml:space="preserve">lp-00541258</t>
  </si>
  <si>
    <t xml:space="preserve">Material</t>
  </si>
  <si>
    <t xml:space="preserve">Ud</t>
  </si>
  <si>
    <t xml:space="preserve">Cartucho de masilla elastómera tixotrópica, monocomponente, a base de polímeros híbridos (MS), de color gris, de 600 ml, de alta adherencia, con elevadas propiedades elásticas, resistencia al envejecimiento y a los rayos UV, dureza Shore A aproximada de 25 y alargamiento en rotura &gt; 600%, según UNE-EN ISO 11600.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</si>
  <si>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</si>
  <si>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</si>
  <si>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</si>
  <si>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</si>
  <si>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</si>
  <si>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</si>
  <si>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</si>
  <si>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</si>
  <si>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</si>
  <si>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</si>
  <si>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</si>
  <si>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</si>
  <si>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</si>
  <si>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</si>
  <si>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</si>
  <si>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</si>
  <si>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</si>
  <si>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</si>
  <si>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</si>
  <si>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</si>
  <si>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ETICS-ECOSATE-LdR.80mm</t>
  </si>
  <si>
    <t xml:space="preserve">FACHYP-ENFOSCADO-WEBERCAL.BASIC</t>
  </si>
  <si>
    <t xml:space="preserve">Partida</t>
  </si>
  <si>
    <t xml:space="preserve">m2</t>
  </si>
  <si>
    <t xml:space="preserve">XXXXXX ENFOSCADO DE CAL EN CAPA GRUESA WEBERCAL BASIC</t>
  </si>
  <si>
    <t xml:space="preserve">ENFOSCADO DE CAL EN CAPA GRUESA WEBERCAL BASIC</t>
  </si>
  <si>
    <t xml:space="preserve">ma-manau-33352001</t>
  </si>
  <si>
    <t xml:space="preserve">Material</t>
  </si>
  <si>
    <t xml:space="preserve">bidón</t>
  </si>
  <si>
    <t xml:space="preserve">WEBERPRIM FX15 BIDON 20KG Imprimante promotor de adherencia para soportes no porosos</t>
  </si>
  <si>
    <t xml:space="preserve">ma-manau-32952500</t>
  </si>
  <si>
    <t xml:space="preserve">Material</t>
  </si>
  <si>
    <t xml:space="preserve">saco</t>
  </si>
  <si>
    <t xml:space="preserve">Mortero para enfoscado de cal en capa gruesa WEBERCAL BASIC de WEBER; color gris (25 kg/saco).   Ref. prolisur-07</t>
  </si>
  <si>
    <t xml:space="preserve">ma-prolisur-00955597</t>
  </si>
  <si>
    <t xml:space="preserve">Material</t>
  </si>
  <si>
    <t xml:space="preserve">rollo</t>
  </si>
  <si>
    <t xml:space="preserve">Malla de refuerzo 200 de WEBERTHERM para Sistema SATE (50x1,1 m/rollo).   Ref. prolisur-00955597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</si>
  <si>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</si>
  <si>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</si>
  <si>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</si>
  <si>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</si>
  <si>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</si>
  <si>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</si>
  <si>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</si>
  <si>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</si>
  <si>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</si>
  <si>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</si>
  <si>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</si>
  <si>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</si>
  <si>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</si>
  <si>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</si>
  <si>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</si>
  <si>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</si>
  <si>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</si>
  <si>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</si>
  <si>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</si>
  <si>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</si>
  <si>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FACHYP-ENFOSCADO-WEBERCAL.BASIC</t>
  </si>
  <si>
    <t xml:space="preserve">FACHYP06-OK</t>
  </si>
  <si>
    <t xml:space="preserve">Partida</t>
  </si>
  <si>
    <t xml:space="preserve">M2</t>
  </si>
  <si>
    <t xml:space="preserve">AISLAMIENTO TERMICO SATE (ETICS) PROPAM</t>
  </si>
  <si>
    <t xml:space="preserve">AISLAMIENTO TERMICO SATE (ETICS) PROPAM</t>
  </si>
  <si>
    <t xml:space="preserve">ma-lp-00540868</t>
  </si>
  <si>
    <t xml:space="preserve">Material</t>
  </si>
  <si>
    <t xml:space="preserve">saco</t>
  </si>
  <si>
    <t xml:space="preserve">Mortero hidrofugado PROPAM AISTERM para colocación y protección de paneles aislantes; color gris (25 kg/saco).   Ref. lp-00540868</t>
  </si>
  <si>
    <t xml:space="preserve">ma-lp-00235528</t>
  </si>
  <si>
    <t xml:space="preserve">Material</t>
  </si>
  <si>
    <t xml:space="preserve">placa</t>
  </si>
  <si>
    <t xml:space="preserve">Placa EPS KNAUF TECK para Sistema SATE; blanca (1000x500x60 mm/placa).   Ref. lp-00235528</t>
  </si>
  <si>
    <t xml:space="preserve">ma-lp-00345414</t>
  </si>
  <si>
    <t xml:space="preserve">Material</t>
  </si>
  <si>
    <t xml:space="preserve">caja</t>
  </si>
  <si>
    <t xml:space="preserve">Taco con plato para fijación mecánica de placa aislante por golpeo con clavo de poliamida; medidas: 10x140 mm (200 pzas/caja).   Ref. lp-00345414</t>
  </si>
  <si>
    <t xml:space="preserve">ma-lp-00540007</t>
  </si>
  <si>
    <t xml:space="preserve">Material</t>
  </si>
  <si>
    <t xml:space="preserve">rollo</t>
  </si>
  <si>
    <t xml:space="preserve">Malla de fibra de vidrio SATE – BIGMAT (1.10x50m/rollo).   Ref- lp-00540007</t>
  </si>
  <si>
    <t xml:space="preserve">ma-lp-00160061</t>
  </si>
  <si>
    <t xml:space="preserve">Material</t>
  </si>
  <si>
    <t xml:space="preserve">perfil</t>
  </si>
  <si>
    <t xml:space="preserve">Perfil de arranque de instalación SATE en aluminio para aislamiento 80 mm (2,5 m/perfil).   Ref. lp-00160061</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</si>
  <si>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</si>
  <si>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</si>
  <si>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</si>
  <si>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</si>
  <si>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</si>
  <si>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</si>
  <si>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</si>
  <si>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</si>
  <si>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ma-lp-00560609</t>
  </si>
  <si>
    <t xml:space="preserve">Material</t>
  </si>
  <si>
    <t xml:space="preserve">bidón</t>
  </si>
  <si>
    <t xml:space="preserve">Mortero acrílico REVAT PLAS de PROPAMSA; color Blanco (20 kg/bidón).   Ref. lp-00560609</t>
  </si>
  <si>
    <t xml:space="preserve">ma-lp-00560610</t>
  </si>
  <si>
    <t xml:space="preserve">Material</t>
  </si>
  <si>
    <t xml:space="preserve">bidón</t>
  </si>
  <si>
    <t xml:space="preserve">Mortero acrílico REVAT FILM de PROPAMSA; color blanco (20 kg/bidón).   Ref. lp-00560609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</si>
  <si>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</si>
  <si>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</si>
  <si>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</si>
  <si>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</si>
  <si>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</si>
  <si>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</si>
  <si>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</si>
  <si>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</si>
  <si>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</si>
  <si>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</si>
  <si>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</si>
  <si>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</si>
  <si>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</si>
  <si>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</si>
  <si>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</si>
  <si>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</si>
  <si>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</si>
  <si>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FACHYP06-OK</t>
  </si>
  <si>
    <t xml:space="preserve">FACHYP18-OK</t>
  </si>
  <si>
    <t xml:space="preserve">Partida</t>
  </si>
  <si>
    <t xml:space="preserve">M2</t>
  </si>
  <si>
    <t xml:space="preserve">SISTEMA DE AISLAMIENTO TERMICO EXTERIOR (SATE) PARA FACHADAS StoTHERM CLASSIC</t>
  </si>
  <si>
    <t xml:space="preserve">Subministrament i col.locació de sistema d’aïllament tèrmic en la totalitat de paraments de la façana, àtics i sobreàtics. Sistema combinat d'Aïllament Tèrmic Exterior per Façanes StoTherm Classic, amb classificació de protecció contra incendis Classe B segons EN 13 501?1, constituït per panells d'escuma rígida de poliestirè Sto Panell EPS de 80mm de gruix segons EN 13 163, (tipus de qualitat WDV, tipus d'aplicació WAP s/DIN 108?10), onductivitat tèrmica 0,040 W /mK, format: 100 x 50 cm, vora de panell: rom i gruix de 4 cm (segons valor K obtingut i segons DIN 4108). Encolats amb morter de encolat St. Levell Uni cobrint almenys el 80% de el panell. Acoblats, de forma plana llisa i un costat d'un altre totalment a pressió en el procés d'encolat. En tota la zona, fixació addicional dels panells aïllants amb Sto?Schlagdübel T UEZ 8/60, 90 mm (Espiga cop), diàmetre de platet 60 mm. El cap de l'espiga ha d'estar assentada arran de la superfície de l'material aïllant. Distribució de fixació amb espigues de conformitat amb les directrius de tractament de 6,0 unitats / m² a la zona frontal. A la zona de vores (Ample zona de vores: 1/8 x ample de l'edifici, segons l'altura de l'edificació de la següent manera: De 0 ? 8 m d'alçada 8,0 unitats / m², de 8 ? 20 m d'alçada 10,0 unitats / m² i més de 20 m d'alçada 14,0 unitats / m². Reblert de les possibles juntes amb Escuma per a pistola Sto o amb material aïllant i rectificant pla amb una planxa esmeriladora. Col?locació dels perfils especials de reforç com Sto Perfil d'Arrencada. Perfil Antidegoteig. Malla Cantonera. Junta de Neoprè col?locada en les trobades amb materials de diferent coeficient de dilatació. Aplicar en tota la superfície morter armadura, LLIURE DE CIMENT StoArmat Classic de densitat 1,5 g / cm3 segons DIN 53 217. Introduir pressionant la malla d'armadura Sto Malla de fibra de vidre (Sto?Glasfasergewebe amb resistència a fissuració&gt; 1750 N / 50 mm segons DIN EN ISO 13.934?1) i allisar amb l'espàtula. Solapar les juntes de malla de 10 cm.Aplicació de capa d'acabat d'arrebossat orgànic, lliure de Ciment, Stolit K segons DIN 18.858 i mida de l'gra: 1,5 / 2,0 / 3,0 mm (El gruix de la capa ha de ser igual a el de la mida de l' gra). L'aplicació de l'Stolit K es realitza mitjançant llana metàl?lica i el remolinat amb plana llisa de PVC (sense cargols). Elecció de l'color segons Gamma de Colors: Carta StoDesign AC (Architectural Colours) 300 colors. Mesurat sense deduir forats en compensació de brancals. L'aplicació s'ha de fer per empresesque acreditin la formació realitzada per Sto.</t>
  </si>
  <si>
    <t xml:space="preserve">ma-STOTHERM-00728-002</t>
  </si>
  <si>
    <t xml:space="preserve">Material</t>
  </si>
  <si>
    <t xml:space="preserve">saco</t>
  </si>
  <si>
    <t xml:space="preserve">Mortero adhesivo mineral STO-BAUKLEBER para adherencia de paneles aislantes en sistema STOTHERM (25 kg/saco).   Ref. STOTHERM-00728-002</t>
  </si>
  <si>
    <t xml:space="preserve">ma-STOTHERM-08225-076</t>
  </si>
  <si>
    <t xml:space="preserve">Material</t>
  </si>
  <si>
    <t xml:space="preserve">paquete</t>
  </si>
  <si>
    <t xml:space="preserve">Placa aislante de espuma de poliestireno STO-PANEL EPS PS15SE 038-050 8 cm para sistema STOTHERM; color blanco (120x60x8 cm/placa; 7 placas/paq.; 5,04 m2/paq.).   Ref. STOTHERM-08225-076</t>
  </si>
  <si>
    <t xml:space="preserve">ma-STOTHERM-01802-036</t>
  </si>
  <si>
    <t xml:space="preserve">Material</t>
  </si>
  <si>
    <t xml:space="preserve">pza</t>
  </si>
  <si>
    <t xml:space="preserve">Fijador de paneles aislantes STO-ESPIGA Martillada T UEZ—K-01 8/60 135 mm para sistema STOTHERM.   Ref. STOTHERM-01802-036</t>
  </si>
  <si>
    <t xml:space="preserve">ma-STOTHERM-00250-091</t>
  </si>
  <si>
    <t xml:space="preserve">Material</t>
  </si>
  <si>
    <t xml:space="preserve">envase</t>
  </si>
  <si>
    <t xml:space="preserve">Mortero de armadura base orgánico (libre de cemento) STOARMAT CLASSIC PLUS F/M/G para sistema STOTHERM (25 kg/envase).   Ref. STOTHERM-00250-091</t>
  </si>
  <si>
    <t xml:space="preserve">ma-STOTHERM-00920-003</t>
  </si>
  <si>
    <t xml:space="preserve">Material</t>
  </si>
  <si>
    <t xml:space="preserve">rollo</t>
  </si>
  <si>
    <t xml:space="preserve">Malla de armadura antiálcalis STOMALLA FIBRA DE VIDRIO F para sistema STOTHERM (50x1,1 m/rollo).   Ref. STOTHERM-00920-003</t>
  </si>
  <si>
    <t xml:space="preserve">ma-STOTHERM-00131-001</t>
  </si>
  <si>
    <t xml:space="preserve">Material</t>
  </si>
  <si>
    <t xml:space="preserve">cubo</t>
  </si>
  <si>
    <t xml:space="preserve">Mortero de revoco exterior STOLIT K 1.5 (blanco) de Serie STOLIT K/R/MP de STOTHERM (25 kg/cubo).   Ref. STOTHERM-00131-001</t>
  </si>
  <si>
    <t xml:space="preserve">ma-STOTHERM-07845-009</t>
  </si>
  <si>
    <t xml:space="preserve">Material</t>
  </si>
  <si>
    <t xml:space="preserve">perfil</t>
  </si>
  <si>
    <t xml:space="preserve">Perfil de aluminio para arranque de zócalos STO-PERFIL DE ZÓCALO UNIVERSAL 82 mm de STOTHERM (2 m/perfil).   Ref. STOTHERM-07845-009</t>
  </si>
  <si>
    <t xml:space="preserve">ma-STOTHERM-00961-013</t>
  </si>
  <si>
    <t xml:space="preserve">Material</t>
  </si>
  <si>
    <t xml:space="preserve">pza</t>
  </si>
  <si>
    <t xml:space="preserve">Perfil cantonera de plástico con malla de fibra de vidrio integrada STO-MALLA CANTONERA 11/13 cm de STOTHERM (2,50 m/pza).   Ref. STOTHERM-00961-013</t>
  </si>
  <si>
    <t xml:space="preserve">ma-STOTHERM-01889-021</t>
  </si>
  <si>
    <t xml:space="preserve">Material</t>
  </si>
  <si>
    <t xml:space="preserve">pza</t>
  </si>
  <si>
    <t xml:space="preserve">Perfil goterón plástico con malla de fibra de vidrio integrada STO-PERFIL GOTERÓN DP 3 mm de STOTHERM (2,40 m/pza).   Ref. STOTHERM-01889-021</t>
  </si>
  <si>
    <t xml:space="preserve">ma-STOTHERM-01944-017</t>
  </si>
  <si>
    <t xml:space="preserve">Material</t>
  </si>
  <si>
    <t xml:space="preserve">rollo</t>
  </si>
  <si>
    <t xml:space="preserve">Cinta para sellado de juntas a base de espuma comprimida STO-CINTA DE SELLADO LENTO de STOTHERM 15/3-9 (10 m/rollo).   Ref. STOTHERM-01944-017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</si>
  <si>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</si>
  <si>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</si>
  <si>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</si>
  <si>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</si>
  <si>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</si>
  <si>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</si>
  <si>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</si>
  <si>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</si>
  <si>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</si>
  <si>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</si>
  <si>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</si>
  <si>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</si>
  <si>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</si>
  <si>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</si>
  <si>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</si>
  <si>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</si>
  <si>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</si>
  <si>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FACHYP18-OK</t>
  </si>
  <si>
    <t xml:space="preserve">FACHYP20-OK</t>
  </si>
  <si>
    <t xml:space="preserve">Partida</t>
  </si>
  <si>
    <t xml:space="preserve">M2</t>
  </si>
  <si>
    <t xml:space="preserve">SISTEMA ETICS TRADITERM "GRUPO PUMA"</t>
  </si>
  <si>
    <t xml:space="preserve">Aïllament tèrmic per l'exterior de façanes, amb el sistema Traditerm EPS "GRUPO PUMA", amb ETE 07/0054, compost per: panell rígid de poliestirè expandit, Traditerm Panel EPS "GRUPO PUMA", segons UNE-EN 13163, de superfície llisa i mecanitzat lateral recte, de color blanc, de 60 mm d'espessor, fixat al suport amb morter Traditerm "GRUPO PUMA", aplicat manualment i fixacions mecàniques amb tac d'expansió de polipropilè Traditerm "GRUPO PUMA"; capa de regularització de morter Traditerm "GRUPO PUMA", aplicat manualment, armat amb malla de fibra de vidre, antiàlcalis, Traditerm "GRUPO PUMA", de 5x4 mm de llum de malla, de 0,6 mm d'espessor i de 160 g/m² de massa superficial; capa d'acabat de morter acrílic Morcemcril "GRUPO PUMA", color Blanco 100, sobre emprimació acrílica. Fondo Morcemcril "GRUPO PUMA". Inclús perfils d'arrencada Traditerm "GRUPO PUMA", d'alumini, perfils de tancament superior Traditerm "GRUPO PUMA", d'alumini, perfils de cantó Traditerm "GRUPO PUMA", de PVC amb malla, massilla segelladora monocomponent PumaelasticMs "GRUPO PUMA" i cordó d'escuma de polietilè expandit de cel·les tancades per a segellat de junts. El preu inclou l'execució de les rematades en els trobaments amb paraments, revestiments o altres elements rebuts en la seva superfície.</t>
  </si>
  <si>
    <t xml:space="preserve">ma-puma-mortero.traditerm</t>
  </si>
  <si>
    <t xml:space="preserve">Material</t>
  </si>
  <si>
    <t xml:space="preserve">saco</t>
  </si>
  <si>
    <t xml:space="preserve">Mortero adhesivo y de revestimiento para fachadas TRADITERM GP W2 de PUMA (25 kg/saco).   Ref. puma-mortero.traditerm</t>
  </si>
  <si>
    <t xml:space="preserve">ma-puma-EPS-60mm</t>
  </si>
  <si>
    <t xml:space="preserve">Material</t>
  </si>
  <si>
    <t xml:space="preserve">m2</t>
  </si>
  <si>
    <t xml:space="preserve">Placa EPS TRADITERM 60 mm.   Ref. puma-EPS-60mm</t>
  </si>
  <si>
    <t xml:space="preserve">ma-puma-malla.std</t>
  </si>
  <si>
    <t xml:space="preserve">Material</t>
  </si>
  <si>
    <t xml:space="preserve">rollo</t>
  </si>
  <si>
    <t xml:space="preserve">Malla TRADITERM de PUMA (50x1,1 m/rollo).   Ref. puma-malla.std</t>
  </si>
  <si>
    <t xml:space="preserve">ma-puma-malla.antivandalica</t>
  </si>
  <si>
    <t xml:space="preserve">Material</t>
  </si>
  <si>
    <t xml:space="preserve">m2</t>
  </si>
  <si>
    <t xml:space="preserve">Malla de refuerzo antivandalica de TRADITERM.   Ref. puma-malla.antivandalica</t>
  </si>
  <si>
    <t xml:space="preserve">ma-puma-taco.anclaje-120mm</t>
  </si>
  <si>
    <t xml:space="preserve">Material</t>
  </si>
  <si>
    <t xml:space="preserve">caja</t>
  </si>
  <si>
    <t xml:space="preserve">Taco de anclaje 120 mm TRADITERM de PUMA (100 tacos/caja).   Ref. puma-taco.anclaje-120mm</t>
  </si>
  <si>
    <t xml:space="preserve">ma-puma-perfil.arranque-60mm</t>
  </si>
  <si>
    <t xml:space="preserve">Material</t>
  </si>
  <si>
    <t xml:space="preserve">perfil</t>
  </si>
  <si>
    <t xml:space="preserve">Perfil de arranque en aluminio 60 mm TRADITERM de PUMA (2,5 m/perfil).   Ref. puma-perfil.arranque-60mm</t>
  </si>
  <si>
    <t xml:space="preserve">ma-puma-perfil.angulo</t>
  </si>
  <si>
    <t xml:space="preserve">Material</t>
  </si>
  <si>
    <t xml:space="preserve">perfil</t>
  </si>
  <si>
    <t xml:space="preserve">Perfil ángulo PVC con malla TRADITERM de PUMA (2,5 m/perfil).   Ref. puma-perfil.angulo</t>
  </si>
  <si>
    <t xml:space="preserve">ma-puma-perfil.goteron</t>
  </si>
  <si>
    <t xml:space="preserve">Material</t>
  </si>
  <si>
    <t xml:space="preserve">perfil</t>
  </si>
  <si>
    <t xml:space="preserve">Perfil goterón PVC con malla TRADITERM de PUMA (2,5 m/perfil).   Ref. puma-perfil.goteron</t>
  </si>
  <si>
    <t xml:space="preserve">ma-puma-perfil.angulo.arco</t>
  </si>
  <si>
    <t xml:space="preserve">Material</t>
  </si>
  <si>
    <t xml:space="preserve">perfil</t>
  </si>
  <si>
    <t xml:space="preserve">Perfil ángulo-arco PVC con malla TRADITERM de PUMA (2,5 m/perfil).   Ref. puma-perfil.angulo.arco</t>
  </si>
  <si>
    <t xml:space="preserve">ma-puma-perfil.junta.dilatacion</t>
  </si>
  <si>
    <t xml:space="preserve">Material</t>
  </si>
  <si>
    <t xml:space="preserve">perfil</t>
  </si>
  <si>
    <t xml:space="preserve">Perfil junta de dilatación PVC con Malla TRADITERM de PUMA (2,5 m/perfil).   Ref. puma-perfil.junta.dilatacion</t>
  </si>
  <si>
    <t xml:space="preserve">ma-puma-perfil.cierre.lateral</t>
  </si>
  <si>
    <t xml:space="preserve">Material</t>
  </si>
  <si>
    <t xml:space="preserve">perfil</t>
  </si>
  <si>
    <t xml:space="preserve">Perfil cierre lateral PVC con malla TRADITERM de PUMA (2,50 m/perfil).   Ref. puma-perfil.cierre.lateral</t>
  </si>
  <si>
    <t xml:space="preserve">ma-puma-perfil.coronacion</t>
  </si>
  <si>
    <t xml:space="preserve">Material</t>
  </si>
  <si>
    <t xml:space="preserve">perfil</t>
  </si>
  <si>
    <t xml:space="preserve">Perfil coronación PVC con malla TRADITERM de PUMA (2,50 m/perfil).   Ref. puma-perfil.coronacion</t>
  </si>
  <si>
    <t xml:space="preserve">ma-puma-morcemcril.fondo</t>
  </si>
  <si>
    <t xml:space="preserve">Material</t>
  </si>
  <si>
    <t xml:space="preserve">bidón</t>
  </si>
  <si>
    <t xml:space="preserve">Fondo acrílico de coloración MORCEMCRIL FONDO de PUMA (20 kg/bidón).   Ref. puma-morcemcril.fondo</t>
  </si>
  <si>
    <t xml:space="preserve">ma-puma-morcemcril.terminacion</t>
  </si>
  <si>
    <t xml:space="preserve">Material</t>
  </si>
  <si>
    <t xml:space="preserve">bidón</t>
  </si>
  <si>
    <t xml:space="preserve">Mortero impermeabilizante de decoración para fachadas e interiores MORCEMCRIL de PUMA; color blanco (25 kg/bidón).   Ref. puma-morcemcril.terminacion</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</si>
  <si>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</si>
  <si>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</si>
  <si>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</si>
  <si>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</si>
  <si>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</si>
  <si>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</si>
  <si>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</si>
  <si>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</si>
  <si>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</si>
  <si>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</si>
  <si>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</si>
  <si>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</si>
  <si>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</si>
  <si>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</si>
  <si>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</si>
  <si>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</si>
  <si>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</si>
  <si>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FACHYP20-OK</t>
  </si>
  <si>
    <t xml:space="preserve">SATE-STOTHERM-EPS.60mm-AT</t>
  </si>
  <si>
    <t xml:space="preserve">Partida</t>
  </si>
  <si>
    <t xml:space="preserve">m2</t>
  </si>
  <si>
    <t xml:space="preserve">REVESTIMIENTO DE FACHADA CON SISTEMA SATE-STOTHERM EPS 60 mm (FCH)</t>
  </si>
  <si>
    <t xml:space="preserve">REVESTIMIENTO DE FACHADA CON SISTEMA SATE-STOTHERM EPS 60 mm (FCH)</t>
  </si>
  <si>
    <t xml:space="preserve">ma-STOTHERM-07714-002</t>
  </si>
  <si>
    <t xml:space="preserve">Material</t>
  </si>
  <si>
    <t xml:space="preserve">bidón</t>
  </si>
  <si>
    <t xml:space="preserve">Impermeabilizante protector contra la humedad bajo un SATE STOGOLD COAT de STOTHERM (15 litros/bidón).   Ref. STOTHERM-07714-002</t>
  </si>
  <si>
    <t xml:space="preserve">ma-STOTHERM-00728-002</t>
  </si>
  <si>
    <t xml:space="preserve">Material</t>
  </si>
  <si>
    <t xml:space="preserve">saco</t>
  </si>
  <si>
    <t xml:space="preserve">Mortero adhesivo mineral STO-BAUKLEBER para adherencia de paneles aislantes en sistema STOTHERM (25 kg/saco).   Ref. STOTHERM-00728-002</t>
  </si>
  <si>
    <t xml:space="preserve">ma-STOTHERM-08225-074</t>
  </si>
  <si>
    <t xml:space="preserve">Material</t>
  </si>
  <si>
    <t xml:space="preserve">placa</t>
  </si>
  <si>
    <t xml:space="preserve">Placa aislante de espuma de poliestireno STO-PANEL EPS PS15SE 038-040 para sistema STOTHERM; color blanco (120x60x6 cm/placa).   Ref. STOTHERM-08225-074</t>
  </si>
  <si>
    <t xml:space="preserve">ma-STOTHERM-08225-070</t>
  </si>
  <si>
    <t xml:space="preserve">Material</t>
  </si>
  <si>
    <t xml:space="preserve">paquete</t>
  </si>
  <si>
    <t xml:space="preserve">Placa aislante de espuma de poliestireno STO-PANEL EPS PS15SE 038-050 2 cm para sistema STOTHERM; color blanco (120x60x4 cm/placa; 15 placas/paq.).   Ref. STOTHERM-08225-072</t>
  </si>
  <si>
    <t xml:space="preserve">ma-STOTHERM-01802-035</t>
  </si>
  <si>
    <t xml:space="preserve">Material</t>
  </si>
  <si>
    <t xml:space="preserve">pza</t>
  </si>
  <si>
    <t xml:space="preserve">Fijador de paneles aislantes STO-ESPIGA Martillada T UEZ—K-01 8/60 115 mm para sistema STOTHERM.   Ref. STOTHERM-01802-035</t>
  </si>
  <si>
    <t xml:space="preserve">ma-STOTHERM-01944-017</t>
  </si>
  <si>
    <t xml:space="preserve">Material</t>
  </si>
  <si>
    <t xml:space="preserve">rollo</t>
  </si>
  <si>
    <t xml:space="preserve">Cinta para sellado de juntas a base de espuma comprimida STO-CINTA DE SELLADO LENTO de STOTHERM 15/3-9 (10 m/rollo).   Ref. STOTHERM-01944-017</t>
  </si>
  <si>
    <t xml:space="preserve">ma-STOTHERM-00506-006</t>
  </si>
  <si>
    <t xml:space="preserve">Material</t>
  </si>
  <si>
    <t xml:space="preserve">cartucho</t>
  </si>
  <si>
    <t xml:space="preserve">Espuma de relleno de poliuretano STO-ESPUMA PISTOLA SE de STOTHERM; color gris (750 ml/cartucho).   Ref. STOTHERM-00506-006</t>
  </si>
  <si>
    <t xml:space="preserve">ma-STOTHERM-00250-091</t>
  </si>
  <si>
    <t xml:space="preserve">Material</t>
  </si>
  <si>
    <t xml:space="preserve">envase</t>
  </si>
  <si>
    <t xml:space="preserve">Mortero de armadura base orgánico (libre de cemento) STOARMAT CLASSIC PLUS F/M/G para sistema STOTHERM (25 kg/envase).   Ref. STOTHERM-00250-091</t>
  </si>
  <si>
    <t xml:space="preserve">ma-STOTHERM-00920-003</t>
  </si>
  <si>
    <t xml:space="preserve">Material</t>
  </si>
  <si>
    <t xml:space="preserve">rollo</t>
  </si>
  <si>
    <t xml:space="preserve">Malla de armadura antiálcalis STOMALLA FIBRA DE VIDRIO F para sistema STOTHERM (50x1,1 m/rollo).   Ref. STOTHERM-00920-003</t>
  </si>
  <si>
    <t xml:space="preserve">ma-STOTHERM-07845-009</t>
  </si>
  <si>
    <t xml:space="preserve">Material</t>
  </si>
  <si>
    <t xml:space="preserve">perfil</t>
  </si>
  <si>
    <t xml:space="preserve">Perfil de aluminio para arranque de zócalos STO-PERFIL DE ZÓCALO UNIVERSAL 82 mm de STOTHERM (2 m/perfil).   Ref. STOTHERM-07845-009</t>
  </si>
  <si>
    <t xml:space="preserve">ma-STOTHERM-01077-017</t>
  </si>
  <si>
    <t xml:space="preserve">Material</t>
  </si>
  <si>
    <t xml:space="preserve">cubo</t>
  </si>
  <si>
    <t xml:space="preserve">Perfil plástico conector de zócalo STO-PERFIL DE ZÓCALO CONEXIÓN S 30 mm de STOTHERM (100 pzas/cubo).   Ref. STOTHERM-01077-017</t>
  </si>
  <si>
    <t xml:space="preserve">ma-lp-00215083</t>
  </si>
  <si>
    <t xml:space="preserve">Material</t>
  </si>
  <si>
    <t xml:space="preserve">caja</t>
  </si>
  <si>
    <t xml:space="preserve">Taco DUOPOWER de FISCHER (50 pzas/caja).   Ref. lp-00215083</t>
  </si>
  <si>
    <t xml:space="preserve">ma-STOTHERM-01070-001</t>
  </si>
  <si>
    <t xml:space="preserve">Material</t>
  </si>
  <si>
    <t xml:space="preserve">bolsa</t>
  </si>
  <si>
    <t xml:space="preserve">Distanciador plástico 30x30x3 mm con hendidura central STO-ARANDELAS DISTANCIADORAS de STOTHERM (100 pzas/bolsa).   Ref. STOTHERM-01070-001</t>
  </si>
  <si>
    <t xml:space="preserve">ma-STOTHERM-01004-001</t>
  </si>
  <si>
    <t xml:space="preserve">Material</t>
  </si>
  <si>
    <t xml:space="preserve">bolsa</t>
  </si>
  <si>
    <t xml:space="preserve">Distanciador plástico 30x30x8 mm con hendidura central STO-ARANDELAS DISTANCIADORAS de STOTHERM (100 pzas.bolsa).   Ref. STOTHERM-01004-001</t>
  </si>
  <si>
    <t xml:space="preserve">ma-STOTHERM-01889-021</t>
  </si>
  <si>
    <t xml:space="preserve">Material</t>
  </si>
  <si>
    <t xml:space="preserve">pza</t>
  </si>
  <si>
    <t xml:space="preserve">Perfil goterón plástico con malla de fibra de vidrio integrada STO-PERFIL GOTERÓN DP 3 mm de STOTHERM (2,40 m/pza).   Ref. STOTHERM-01889-021</t>
  </si>
  <si>
    <t xml:space="preserve">ma-STOTHERM-00961-013</t>
  </si>
  <si>
    <t xml:space="preserve">Material</t>
  </si>
  <si>
    <t xml:space="preserve">pza</t>
  </si>
  <si>
    <t xml:space="preserve">Perfil cantonera de plástico con malla de fibra de vidrio integrada STO-MALLA CANTONERA 11/13 cm de STOTHERM (2,50 m/pza).   Ref. STOTHERM-00961-013</t>
  </si>
  <si>
    <t xml:space="preserve">ma-STOTHERM-04790-002</t>
  </si>
  <si>
    <t xml:space="preserve">Material</t>
  </si>
  <si>
    <t xml:space="preserve">envase</t>
  </si>
  <si>
    <t xml:space="preserve">Revoque de acabado STOLOTUSAN K 1,5 TINTADO C1 para sistema STOTHERM (25 kg/envase).   Ref. STOTHERM-04790-002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</si>
  <si>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</si>
  <si>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</si>
  <si>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</si>
  <si>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</si>
  <si>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</si>
  <si>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</si>
  <si>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</si>
  <si>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</si>
  <si>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</si>
  <si>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</si>
  <si>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</si>
  <si>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</si>
  <si>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</si>
  <si>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</si>
  <si>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</si>
  <si>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</si>
  <si>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</si>
  <si>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</si>
  <si>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</si>
  <si>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</si>
  <si>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</si>
  <si>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</si>
  <si>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</si>
  <si>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</si>
  <si>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</si>
  <si>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</si>
  <si>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</si>
  <si>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</si>
  <si>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SATE-STOTHERM-EPS.60mm-AT</t>
  </si>
  <si>
    <t xml:space="preserve">SATE-STOTHERM-EPS.80mm-AT</t>
  </si>
  <si>
    <t xml:space="preserve">Partida</t>
  </si>
  <si>
    <t xml:space="preserve">m2</t>
  </si>
  <si>
    <t xml:space="preserve">REVESTIMIENTO DE FACHADA CON SISTEMA SATE-STOTHERM EPS 80 mm (FCH)</t>
  </si>
  <si>
    <t xml:space="preserve">REVESTIMIENTO DE FACHADA CON SISTEMA SATE-STOTHERM EPS 80 mm (FCH)</t>
  </si>
  <si>
    <t xml:space="preserve">ma-STOTHERM-07714-002</t>
  </si>
  <si>
    <t xml:space="preserve">Material</t>
  </si>
  <si>
    <t xml:space="preserve">bidón</t>
  </si>
  <si>
    <t xml:space="preserve">Impermeabilizante protector contra la humedad bajo un SATE STOGOLD COAT de STOTHERM (15 litros/bidón).   Ref. STOTHERM-07714-002</t>
  </si>
  <si>
    <t xml:space="preserve">ma-STOTHERM-00728-002</t>
  </si>
  <si>
    <t xml:space="preserve">Material</t>
  </si>
  <si>
    <t xml:space="preserve">saco</t>
  </si>
  <si>
    <t xml:space="preserve">Mortero adhesivo mineral STO-BAUKLEBER para adherencia de paneles aislantes en sistema STOTHERM (25 kg/saco).   Ref. STOTHERM-00728-002</t>
  </si>
  <si>
    <t xml:space="preserve">ma-STOTHERM-08225-076</t>
  </si>
  <si>
    <t xml:space="preserve">Material</t>
  </si>
  <si>
    <t xml:space="preserve">paquete</t>
  </si>
  <si>
    <t xml:space="preserve">Placa aislante de espuma de poliestireno STO-PANEL EPS PS15SE 038-050 8 cm para sistema STOTHERM; color blanco (120x60x8 cm/placa; 7 placas/paq.; 5,04 m2/paq.).   Ref. STOTHERM-08225-076</t>
  </si>
  <si>
    <t xml:space="preserve">ma-STOTHERM-08225-070</t>
  </si>
  <si>
    <t xml:space="preserve">Material</t>
  </si>
  <si>
    <t xml:space="preserve">paquete</t>
  </si>
  <si>
    <t xml:space="preserve">Placa aislante de espuma de poliestireno STO-PANEL EPS PS15SE 038-050 2 cm para sistema STOTHERM; color blanco (120x60x4 cm/placa; 15 placas/paq.).   Ref. STOTHERM-08225-072</t>
  </si>
  <si>
    <t xml:space="preserve">ma-STOTHERM-01802-035</t>
  </si>
  <si>
    <t xml:space="preserve">Material</t>
  </si>
  <si>
    <t xml:space="preserve">pza</t>
  </si>
  <si>
    <t xml:space="preserve">Fijador de paneles aislantes STO-ESPIGA Martillada T UEZ—K-01 8/60 115 mm para sistema STOTHERM.   Ref. STOTHERM-01802-035</t>
  </si>
  <si>
    <t xml:space="preserve">ma-STOTHERM-01944-017</t>
  </si>
  <si>
    <t xml:space="preserve">Material</t>
  </si>
  <si>
    <t xml:space="preserve">rollo</t>
  </si>
  <si>
    <t xml:space="preserve">Cinta para sellado de juntas a base de espuma comprimida STO-CINTA DE SELLADO LENTO de STOTHERM 15/3-9 (10 m/rollo).   Ref. STOTHERM-01944-017</t>
  </si>
  <si>
    <t xml:space="preserve">ma-STOTHERM-00506-006</t>
  </si>
  <si>
    <t xml:space="preserve">Material</t>
  </si>
  <si>
    <t xml:space="preserve">cartucho</t>
  </si>
  <si>
    <t xml:space="preserve">Espuma de relleno de poliuretano STO-ESPUMA PISTOLA SE de STOTHERM; color gris (750 ml/cartucho).   Ref. STOTHERM-00506-006</t>
  </si>
  <si>
    <t xml:space="preserve">ma-STOTHERM-00250-091</t>
  </si>
  <si>
    <t xml:space="preserve">Material</t>
  </si>
  <si>
    <t xml:space="preserve">envase</t>
  </si>
  <si>
    <t xml:space="preserve">Mortero de armadura base orgánico (libre de cemento) STOARMAT CLASSIC PLUS F/M/G para sistema STOTHERM (25 kg/envase).   Ref. STOTHERM-00250-091</t>
  </si>
  <si>
    <t xml:space="preserve">ma-STOTHERM-00920-003</t>
  </si>
  <si>
    <t xml:space="preserve">Material</t>
  </si>
  <si>
    <t xml:space="preserve">rollo</t>
  </si>
  <si>
    <t xml:space="preserve">Malla de armadura antiálcalis STOMALLA FIBRA DE VIDRIO F para sistema STOTHERM (50x1,1 m/rollo).   Ref. STOTHERM-00920-003</t>
  </si>
  <si>
    <t xml:space="preserve">ma-STOTHERM-07845-009</t>
  </si>
  <si>
    <t xml:space="preserve">Material</t>
  </si>
  <si>
    <t xml:space="preserve">perfil</t>
  </si>
  <si>
    <t xml:space="preserve">Perfil de aluminio para arranque de zócalos STO-PERFIL DE ZÓCALO UNIVERSAL 82 mm de STOTHERM (2 m/perfil).   Ref. STOTHERM-07845-009</t>
  </si>
  <si>
    <t xml:space="preserve">ma-STOTHERM-01077-017</t>
  </si>
  <si>
    <t xml:space="preserve">Material</t>
  </si>
  <si>
    <t xml:space="preserve">cubo</t>
  </si>
  <si>
    <t xml:space="preserve">Perfil plástico conector de zócalo STO-PERFIL DE ZÓCALO CONEXIÓN S 30 mm de STOTHERM (100 pzas/cubo).   Ref. STOTHERM-01077-017</t>
  </si>
  <si>
    <t xml:space="preserve">ma-lp-00215083</t>
  </si>
  <si>
    <t xml:space="preserve">Material</t>
  </si>
  <si>
    <t xml:space="preserve">caja</t>
  </si>
  <si>
    <t xml:space="preserve">Taco DUOPOWER de FISCHER (50 pzas/caja).   Ref. lp-00215083</t>
  </si>
  <si>
    <t xml:space="preserve">ma-STOTHERM-01070-001</t>
  </si>
  <si>
    <t xml:space="preserve">Material</t>
  </si>
  <si>
    <t xml:space="preserve">bolsa</t>
  </si>
  <si>
    <t xml:space="preserve">Distanciador plástico 30x30x3 mm con hendidura central STO-ARANDELAS DISTANCIADORAS de STOTHERM (100 pzas/bolsa).   Ref. STOTHERM-01070-001</t>
  </si>
  <si>
    <t xml:space="preserve">ma-STOTHERM-01004-001</t>
  </si>
  <si>
    <t xml:space="preserve">Material</t>
  </si>
  <si>
    <t xml:space="preserve">bolsa</t>
  </si>
  <si>
    <t xml:space="preserve">Distanciador plástico 30x30x8 mm con hendidura central STO-ARANDELAS DISTANCIADORAS de STOTHERM (100 pzas.bolsa).   Ref. STOTHERM-01004-001</t>
  </si>
  <si>
    <t xml:space="preserve">ma-STOTHERM-01889-021</t>
  </si>
  <si>
    <t xml:space="preserve">Material</t>
  </si>
  <si>
    <t xml:space="preserve">pza</t>
  </si>
  <si>
    <t xml:space="preserve">Perfil goterón plástico con malla de fibra de vidrio integrada STO-PERFIL GOTERÓN DP 3 mm de STOTHERM (2,40 m/pza).   Ref. STOTHERM-01889-021</t>
  </si>
  <si>
    <t xml:space="preserve">ma-STOTHERM-00961-013</t>
  </si>
  <si>
    <t xml:space="preserve">Material</t>
  </si>
  <si>
    <t xml:space="preserve">pza</t>
  </si>
  <si>
    <t xml:space="preserve">Perfil cantonera de plástico con malla de fibra de vidrio integrada STO-MALLA CANTONERA 11/13 cm de STOTHERM (2,50 m/pza).   Ref. STOTHERM-00961-013</t>
  </si>
  <si>
    <t xml:space="preserve">ma-STOTHERM-04790-002</t>
  </si>
  <si>
    <t xml:space="preserve">Material</t>
  </si>
  <si>
    <t xml:space="preserve">envase</t>
  </si>
  <si>
    <t xml:space="preserve">Revoque de acabado STOLOTUSAN K 1,5 TINTADO C1 para sistema STOTHERM (25 kg/envase).   Ref. STOTHERM-04790-002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</si>
  <si>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</si>
  <si>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</si>
  <si>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</si>
  <si>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</si>
  <si>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</si>
  <si>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</si>
  <si>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</si>
  <si>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</si>
  <si>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</si>
  <si>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</si>
  <si>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</si>
  <si>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</si>
  <si>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</si>
  <si>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</si>
  <si>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</si>
  <si>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</si>
  <si>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</si>
  <si>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</si>
  <si>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</si>
  <si>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</si>
  <si>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</si>
  <si>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</si>
  <si>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</si>
  <si>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</si>
  <si>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</si>
  <si>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</si>
  <si>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</si>
  <si>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</si>
  <si>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SATE-STOTHERM-EPS.80mm-AT</t>
  </si>
  <si>
    <t xml:space="preserve">SATE-STOTHERM-LDR.80mm-AT</t>
  </si>
  <si>
    <t xml:space="preserve">Partida</t>
  </si>
  <si>
    <t xml:space="preserve">m2</t>
  </si>
  <si>
    <t xml:space="preserve">REVESTIMIENTO DE FACHADA CON SISTEMA SATE-STOTHERM LANA DE ROCA 80 mm (FCH)</t>
  </si>
  <si>
    <t xml:space="preserve">REVESTIMIENTO DE FACHADA CON SISTEMA SATE-STOTHERM LANA DE ROCA 80 mm (FCH)</t>
  </si>
  <si>
    <t xml:space="preserve">ma-STOTHERM-07714-002</t>
  </si>
  <si>
    <t xml:space="preserve">Material</t>
  </si>
  <si>
    <t xml:space="preserve">bidón</t>
  </si>
  <si>
    <t xml:space="preserve">Impermeabilizante protector contra la humedad bajo un SATE STOGOLD COAT de STOTHERM (15 litros/bidón).   Ref. STOTHERM-07714-002</t>
  </si>
  <si>
    <t xml:space="preserve">ma-STOTHERM-00728-002</t>
  </si>
  <si>
    <t xml:space="preserve">Material</t>
  </si>
  <si>
    <t xml:space="preserve">saco</t>
  </si>
  <si>
    <t xml:space="preserve">Mortero adhesivo mineral STO-BAUKLEBER para adherencia de paneles aislantes en sistema STOTHERM (25 kg/saco).   Ref. STOTHERM-00728-002</t>
  </si>
  <si>
    <t xml:space="preserve">ma-diaterm-sku333363</t>
  </si>
  <si>
    <t xml:space="preserve">Material</t>
  </si>
  <si>
    <t xml:space="preserve">paquete</t>
  </si>
  <si>
    <t xml:space="preserve">Panel de lana de roca ROCKWOOL SONOROCK ECO de ROCKWOOL (1350x600x80 mm/panel; 8 paneles/paquete; 8,10 m2/paquete).   Ref. diaterm-sku333363</t>
  </si>
  <si>
    <t xml:space="preserve">ma-STOTHERM-08225-070</t>
  </si>
  <si>
    <t xml:space="preserve">Material</t>
  </si>
  <si>
    <t xml:space="preserve">paquete</t>
  </si>
  <si>
    <t xml:space="preserve">Placa aislante de espuma de poliestireno STO-PANEL EPS PS15SE 038-050 2 cm para sistema STOTHERM; color blanco (120x60x4 cm/placa; 15 placas/paq.).   Ref. STOTHERM-08225-072</t>
  </si>
  <si>
    <t xml:space="preserve">ma-STOTHERM-01802-035</t>
  </si>
  <si>
    <t xml:space="preserve">Material</t>
  </si>
  <si>
    <t xml:space="preserve">pza</t>
  </si>
  <si>
    <t xml:space="preserve">Fijador de paneles aislantes STO-ESPIGA Martillada T UEZ—K-01 8/60 115 mm para sistema STOTHERM.   Ref. STOTHERM-01802-035</t>
  </si>
  <si>
    <t xml:space="preserve">ma-STOTHERM-01944-017</t>
  </si>
  <si>
    <t xml:space="preserve">Material</t>
  </si>
  <si>
    <t xml:space="preserve">rollo</t>
  </si>
  <si>
    <t xml:space="preserve">Cinta para sellado de juntas a base de espuma comprimida STO-CINTA DE SELLADO LENTO de STOTHERM 15/3-9 (10 m/rollo).   Ref. STOTHERM-01944-017</t>
  </si>
  <si>
    <t xml:space="preserve">ma-STOTHERM-00506-006</t>
  </si>
  <si>
    <t xml:space="preserve">Material</t>
  </si>
  <si>
    <t xml:space="preserve">cartucho</t>
  </si>
  <si>
    <t xml:space="preserve">Espuma de relleno de poliuretano STO-ESPUMA PISTOLA SE de STOTHERM; color gris (750 ml/cartucho).   Ref. STOTHERM-00506-006</t>
  </si>
  <si>
    <t xml:space="preserve">ma-STOTHERM-00250-091</t>
  </si>
  <si>
    <t xml:space="preserve">Material</t>
  </si>
  <si>
    <t xml:space="preserve">envase</t>
  </si>
  <si>
    <t xml:space="preserve">Mortero de armadura base orgánico (libre de cemento) STOARMAT CLASSIC PLUS F/M/G para sistema STOTHERM (25 kg/envase).   Ref. STOTHERM-00250-091</t>
  </si>
  <si>
    <t xml:space="preserve">ma-STOTHERM-07845-009</t>
  </si>
  <si>
    <t xml:space="preserve">Material</t>
  </si>
  <si>
    <t xml:space="preserve">perfil</t>
  </si>
  <si>
    <t xml:space="preserve">Perfil de aluminio para arranque de zócalos STO-PERFIL DE ZÓCALO UNIVERSAL 82 mm de STOTHERM (2 m/perfil).   Ref. STOTHERM-07845-009</t>
  </si>
  <si>
    <t xml:space="preserve">ma-STOTHERM-01077-017</t>
  </si>
  <si>
    <t xml:space="preserve">Material</t>
  </si>
  <si>
    <t xml:space="preserve">cubo</t>
  </si>
  <si>
    <t xml:space="preserve">Perfil plástico conector de zócalo STO-PERFIL DE ZÓCALO CONEXIÓN S 30 mm de STOTHERM (100 pzas/cubo).   Ref. STOTHERM-01077-017</t>
  </si>
  <si>
    <t xml:space="preserve">ma-lp-00215083</t>
  </si>
  <si>
    <t xml:space="preserve">Material</t>
  </si>
  <si>
    <t xml:space="preserve">caja</t>
  </si>
  <si>
    <t xml:space="preserve">Taco DUOPOWER de FISCHER (50 pzas/caja).   Ref. lp-00215083</t>
  </si>
  <si>
    <t xml:space="preserve">ma-STOTHERM-01070-001</t>
  </si>
  <si>
    <t xml:space="preserve">Material</t>
  </si>
  <si>
    <t xml:space="preserve">bolsa</t>
  </si>
  <si>
    <t xml:space="preserve">Distanciador plástico 30x30x3 mm con hendidura central STO-ARANDELAS DISTANCIADORAS de STOTHERM (100 pzas/bolsa).   Ref. STOTHERM-01070-001</t>
  </si>
  <si>
    <t xml:space="preserve">ma-STOTHERM-01889-021</t>
  </si>
  <si>
    <t xml:space="preserve">Material</t>
  </si>
  <si>
    <t xml:space="preserve">pza</t>
  </si>
  <si>
    <t xml:space="preserve">Perfil goterón plástico con malla de fibra de vidrio integrada STO-PERFIL GOTERÓN DP 3 mm de STOTHERM (2,40 m/pza).   Ref. STOTHERM-01889-021</t>
  </si>
  <si>
    <t xml:space="preserve">ma-STOTHERM-00961-013</t>
  </si>
  <si>
    <t xml:space="preserve">Material</t>
  </si>
  <si>
    <t xml:space="preserve">pza</t>
  </si>
  <si>
    <t xml:space="preserve">Perfil cantonera de plástico con malla de fibra de vidrio integrada STO-MALLA CANTONERA 11/13 cm de STOTHERM (2,50 m/pza).   Ref. STOTHERM-00961-013</t>
  </si>
  <si>
    <t xml:space="preserve">ma-STOTHERM-04790-002</t>
  </si>
  <si>
    <t xml:space="preserve">Material</t>
  </si>
  <si>
    <t xml:space="preserve">envase</t>
  </si>
  <si>
    <t xml:space="preserve">Revoque de acabado STOLOTUSAN K 1,5 TINTADO C1 para sistema STOTHERM (25 kg/envase).   Ref. STOTHERM-04790-002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</si>
  <si>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</si>
  <si>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</si>
  <si>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</si>
  <si>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</si>
  <si>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</si>
  <si>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</si>
  <si>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</si>
  <si>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</si>
  <si>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</si>
  <si>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</si>
  <si>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</si>
  <si>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</si>
  <si>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</si>
  <si>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</si>
  <si>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</si>
  <si>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</si>
  <si>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</si>
  <si>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</si>
  <si>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</si>
  <si>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</si>
  <si>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</si>
  <si>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</si>
  <si>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</si>
  <si>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</si>
  <si>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</si>
  <si>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</si>
  <si>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</si>
  <si>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</si>
  <si>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SATE-STOTHERM-LDR.80mm-AT</t>
  </si>
  <si>
    <t xml:space="preserve">SATE-WEBERTHERM-LDR.60mm-AT</t>
  </si>
  <si>
    <t xml:space="preserve">Partida</t>
  </si>
  <si>
    <t xml:space="preserve">m2</t>
  </si>
  <si>
    <t xml:space="preserve">REVESTIMIENTO DE FACHADA CON SISTEMA SATE-WEBERTHERM LANA DE ROCA 60 mm (FCH)</t>
  </si>
  <si>
    <t xml:space="preserve">REVESTIMIENTO DE FACHADA CON SISTEMA SATE-WEBERTHERM LANA DE ROCA 60 mm (FCH)</t>
  </si>
  <si>
    <t xml:space="preserve">ma-prolisur-weberdryimperflexgel</t>
  </si>
  <si>
    <t xml:space="preserve">Material</t>
  </si>
  <si>
    <t xml:space="preserve">saco</t>
  </si>
  <si>
    <t xml:space="preserve">Mortero Impermeabilizante Flexible WEBERDRY IMPERFLEXGEL de WEBER (15 kg/saco).   Ref. prolisur-weberdryimperflexgel</t>
  </si>
  <si>
    <t xml:space="preserve">ma-dp-79003155</t>
  </si>
  <si>
    <t xml:space="preserve">Material</t>
  </si>
  <si>
    <t xml:space="preserve">pza</t>
  </si>
  <si>
    <t xml:space="preserve">Perfil de arranque WEBERTHERM de instalación SATE en aluminio para aislamiento 80 mm (2,5 m/perfil).   Ref. dp-79003155</t>
  </si>
  <si>
    <t xml:space="preserve">ma-dp-79687708</t>
  </si>
  <si>
    <t xml:space="preserve">Material</t>
  </si>
  <si>
    <t xml:space="preserve">saco</t>
  </si>
  <si>
    <t xml:space="preserve">Mortero adhesivo regularizador de WEBERTHERM BASEGEL para sistemas SATE  (25 kg/saco).   Ref. dp-79687708</t>
  </si>
  <si>
    <t xml:space="preserve">ma-lp-00215083</t>
  </si>
  <si>
    <t xml:space="preserve">Material</t>
  </si>
  <si>
    <t xml:space="preserve">caja</t>
  </si>
  <si>
    <t xml:space="preserve">Taco DUOPOWER de FISCHER (50 pzas/caja).   Ref. lp-00215083</t>
  </si>
  <si>
    <t xml:space="preserve">ma-prolisur-pc34-60</t>
  </si>
  <si>
    <t xml:space="preserve">Material</t>
  </si>
  <si>
    <t xml:space="preserve">paquete</t>
  </si>
  <si>
    <t xml:space="preserve">Placa de aislamiento termoacústico WEBERTHERM PLACA CLIMA 34 en lana de vidrio para sistema SATE; espesor 60 mm (7,2 m2/paquete).   Ref. prolisur-pc34-40</t>
  </si>
  <si>
    <t xml:space="preserve">ma-dp-71630371</t>
  </si>
  <si>
    <t xml:space="preserve">Material</t>
  </si>
  <si>
    <t xml:space="preserve">caja</t>
  </si>
  <si>
    <t xml:space="preserve">Sistema de fijación plástico WEBERTHERM ESPIGA H3 - 115 para placas de aislamiento térmico en los sistemas SATE (200 pzas/caja).   Ref. dp-71630371</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</si>
  <si>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</si>
  <si>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</si>
  <si>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</si>
  <si>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</si>
  <si>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</si>
  <si>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</si>
  <si>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</si>
  <si>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</si>
  <si>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ma-dp-79291497</t>
  </si>
  <si>
    <t xml:space="preserve">Material</t>
  </si>
  <si>
    <t xml:space="preserve">perfil</t>
  </si>
  <si>
    <t xml:space="preserve">Perfil goterón WEBERTHERM CF de PVC con malla de fibra de vidrio (2,5 m/perfil).   Ref. dp-79291497</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</si>
  <si>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</si>
  <si>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</si>
  <si>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</si>
  <si>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</si>
  <si>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</si>
  <si>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</si>
  <si>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</si>
  <si>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</si>
  <si>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ma-dp-00955597</t>
  </si>
  <si>
    <t xml:space="preserve">Material</t>
  </si>
  <si>
    <t xml:space="preserve">rollo</t>
  </si>
  <si>
    <t xml:space="preserve">Malla de refuerzo 160 de WEBERTHERM para sistema SATE (50x1,1 m/rollo).   Ref. dp-00955597</t>
  </si>
  <si>
    <t xml:space="preserve">ma-dp-76948730</t>
  </si>
  <si>
    <t xml:space="preserve">Material</t>
  </si>
  <si>
    <t xml:space="preserve">bidón</t>
  </si>
  <si>
    <t xml:space="preserve">Imprimante de fondeo universal WEBERTENE PRIMER para sistemas SATE (14 litros/bidón = 19 kg/bidón).   Ref. dp-76948730</t>
  </si>
  <si>
    <t xml:space="preserve">ma-dp-77387846</t>
  </si>
  <si>
    <t xml:space="preserve">Material</t>
  </si>
  <si>
    <t xml:space="preserve">bidón</t>
  </si>
  <si>
    <t xml:space="preserve">Revestimiento acrílico WEBERTENE CLASSIC XL acabado fratasado, rústico y rayado para sistemas WEBERTHERM y WEBERENOVA (25 kg/bidón).   Ref. dp-77387846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</si>
  <si>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</si>
  <si>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</si>
  <si>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</si>
  <si>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</si>
  <si>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</si>
  <si>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</si>
  <si>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</si>
  <si>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</si>
  <si>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</si>
  <si>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</si>
  <si>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</si>
  <si>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</si>
  <si>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</si>
  <si>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</si>
  <si>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</si>
  <si>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</si>
  <si>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</si>
  <si>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</si>
  <si>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</si>
  <si>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</si>
  <si>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SATE-WEBERTHERM-LDR.60mm-AT</t>
  </si>
  <si>
    <t xml:space="preserve">SATE-WEBERTHERM-XPS.80mm-AT</t>
  </si>
  <si>
    <t xml:space="preserve">Partida</t>
  </si>
  <si>
    <t xml:space="preserve">m2</t>
  </si>
  <si>
    <t xml:space="preserve">REVESTIMIENTO DE FACHADA CON SISTEMA SATE-WEBERTHERM XPS 80 mm (FCH)</t>
  </si>
  <si>
    <t xml:space="preserve">REVESTIMIENTO DE FACHADA CON SISTEMA SATE-WEBERTHERM XPS 80 mm(FCH)</t>
  </si>
  <si>
    <t xml:space="preserve">ma-prolisur-weberdryimperflexgel</t>
  </si>
  <si>
    <t xml:space="preserve">Material</t>
  </si>
  <si>
    <t xml:space="preserve">saco</t>
  </si>
  <si>
    <t xml:space="preserve">Mortero Impermeabilizante Flexible WEBERDRY IMPERFLEXGEL de WEBER (15 kg/saco).   Ref. prolisur-weberdryimperflexgel</t>
  </si>
  <si>
    <t xml:space="preserve">ma-dp-79003155</t>
  </si>
  <si>
    <t xml:space="preserve">Material</t>
  </si>
  <si>
    <t xml:space="preserve">pza</t>
  </si>
  <si>
    <t xml:space="preserve">Perfil de arranque WEBERTHERM de instalación SATE en aluminio para aislamiento 80 mm (2,5 m/perfil).   Ref. dp-79003155</t>
  </si>
  <si>
    <t xml:space="preserve">ma-dp-79687708</t>
  </si>
  <si>
    <t xml:space="preserve">Material</t>
  </si>
  <si>
    <t xml:space="preserve">saco</t>
  </si>
  <si>
    <t xml:space="preserve">Mortero adhesivo regularizador de WEBERTHERM BASEGEL para sistemas SATE  (25 kg/saco).   Ref. dp-79687708</t>
  </si>
  <si>
    <t xml:space="preserve">ma-lp-00215083</t>
  </si>
  <si>
    <t xml:space="preserve">Material</t>
  </si>
  <si>
    <t xml:space="preserve">caja</t>
  </si>
  <si>
    <t xml:space="preserve">Taco DUOPOWER de FISCHER (50 pzas/caja).   Ref. lp-00215083</t>
  </si>
  <si>
    <t xml:space="preserve">ma-dp-76220003</t>
  </si>
  <si>
    <t xml:space="preserve">Material</t>
  </si>
  <si>
    <t xml:space="preserve">paquete</t>
  </si>
  <si>
    <t xml:space="preserve">Placa XPS WEBERTHERM de poliestireno extruido; 125x60x80 mm/lámina (3,75 m2/paquete).   Ref. ma-dp-76220003</t>
  </si>
  <si>
    <t xml:space="preserve">ma-dp-76219991</t>
  </si>
  <si>
    <t xml:space="preserve">Material</t>
  </si>
  <si>
    <t xml:space="preserve">paquete</t>
  </si>
  <si>
    <t xml:space="preserve">Placa XPS WEBERTHERM de poliestireno extruido; 125x60x40 mm/lámina (7,50 m2/paquete).   Ref. dp-76219991</t>
  </si>
  <si>
    <t xml:space="preserve">ma-dp-71630371</t>
  </si>
  <si>
    <t xml:space="preserve">Material</t>
  </si>
  <si>
    <t xml:space="preserve">caja</t>
  </si>
  <si>
    <t xml:space="preserve">Sistema de fijación plástico WEBERTHERM ESPIGA H3 - 115 para placas de aislamiento térmico en los sistemas SATE (200 pzas/caja).   Ref. dp-71630371</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</si>
  <si>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</si>
  <si>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</si>
  <si>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</si>
  <si>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</si>
  <si>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</si>
  <si>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</si>
  <si>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</si>
  <si>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</si>
  <si>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ma-dp-79291497</t>
  </si>
  <si>
    <t xml:space="preserve">Material</t>
  </si>
  <si>
    <t xml:space="preserve">perfil</t>
  </si>
  <si>
    <t xml:space="preserve">Perfil goterón WEBERTHERM CF de PVC con malla de fibra de vidrio (2,5 m/perfil).   Ref. dp-79291497</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</si>
  <si>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</si>
  <si>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</si>
  <si>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</si>
  <si>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</si>
  <si>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</si>
  <si>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</si>
  <si>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</si>
  <si>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</si>
  <si>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ma-dp-00955597</t>
  </si>
  <si>
    <t xml:space="preserve">Material</t>
  </si>
  <si>
    <t xml:space="preserve">rollo</t>
  </si>
  <si>
    <t xml:space="preserve">Malla de refuerzo 160 de WEBERTHERM para sistema SATE (50x1,1 m/rollo).   Ref. dp-00955597</t>
  </si>
  <si>
    <t xml:space="preserve">ma-dp-76948730</t>
  </si>
  <si>
    <t xml:space="preserve">Material</t>
  </si>
  <si>
    <t xml:space="preserve">bidón</t>
  </si>
  <si>
    <t xml:space="preserve">Imprimante de fondeo universal WEBERTENE PRIMER para sistemas SATE (14 litros/bidón = 19 kg/bidón).   Ref. dp-76948730</t>
  </si>
  <si>
    <t xml:space="preserve">ma-dp-77387846</t>
  </si>
  <si>
    <t xml:space="preserve">Material</t>
  </si>
  <si>
    <t xml:space="preserve">bidón</t>
  </si>
  <si>
    <t xml:space="preserve">Revestimiento acrílico WEBERTENE CLASSIC XL acabado fratasado, rústico y rayado para sistemas WEBERTHERM y WEBERENOVA (25 kg/bidón).   Ref. dp-77387846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</si>
  <si>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</si>
  <si>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</si>
  <si>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</si>
  <si>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</si>
  <si>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</si>
  <si>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</si>
  <si>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</si>
  <si>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</si>
  <si>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</si>
  <si>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</si>
  <si>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</si>
  <si>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</si>
  <si>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</si>
  <si>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</si>
  <si>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</si>
  <si>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</si>
  <si>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</si>
  <si>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</si>
  <si>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</si>
  <si>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</si>
  <si>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SATE-WEBERTHERM-XPS.80mm-AT</t>
  </si>
  <si>
    <t xml:space="preserve">FACHYP-SATE</t>
  </si>
  <si>
    <t xml:space="preserve">FACHYP</t>
  </si>
  <si>
    <t xml:space="preserve">FACHMUR</t>
  </si>
  <si>
    <t xml:space="preserve">Capítulo</t>
  </si>
  <si>
    <t xml:space="preserve">MUROS</t>
  </si>
  <si>
    <t xml:space="preserve">FACHMUR01-OK</t>
  </si>
  <si>
    <t xml:space="preserve">Partida</t>
  </si>
  <si>
    <t xml:space="preserve">M2</t>
  </si>
  <si>
    <t xml:space="preserve">IMPERMEABILIZACION DE MURO</t>
  </si>
  <si>
    <t xml:space="preserve">Impermeabilizacion de muro, con una capa de mortero de cemento, Webertec Hydromur "WEBER", de 20 mm de espesor medio, a buena vista, con acabado liso, aplicado manualmente. El precio no incluye la eliminación del revestimiento existente ni la realización del revestimiento posterior.</t>
  </si>
  <si>
    <t xml:space="preserve">ma-bm-10388315</t>
  </si>
  <si>
    <t xml:space="preserve">Material</t>
  </si>
  <si>
    <t xml:space="preserve">saco</t>
  </si>
  <si>
    <t xml:space="preserve">Mortero Transpirable e Impermeable WEBERCAL HYDROMUR de WEBER (25 kg/saco).   Ref. bm-10388315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</si>
  <si>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</si>
  <si>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</si>
  <si>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</si>
  <si>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</si>
  <si>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</si>
  <si>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</si>
  <si>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</si>
  <si>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</si>
  <si>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</si>
  <si>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</si>
  <si>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</si>
  <si>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</si>
  <si>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</si>
  <si>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</si>
  <si>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</si>
  <si>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</si>
  <si>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</si>
  <si>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FACHMUR01-OK</t>
  </si>
  <si>
    <t xml:space="preserve">FACHMUR02-OK</t>
  </si>
  <si>
    <t xml:space="preserve">Partida</t>
  </si>
  <si>
    <t xml:space="preserve">M2</t>
  </si>
  <si>
    <t xml:space="preserve">HOJA DE PARTICION INTERIOR DE LADRILLO CERAMICO DE 7CM</t>
  </si>
  <si>
    <t xml:space="preserve">Muro de 4 o 7cm cm de espesor, de fábrica de ladrillo cerámico hueco (Supermahon), para revestir, 29x14x7 cm, con juntas horizontales y verticales de 10 mm de espesor, recibida con mortero de cemento industrial, color gris, M-5, suministrado a granel.</t>
  </si>
  <si>
    <t xml:space="preserve">ma-lp-00237643</t>
  </si>
  <si>
    <t xml:space="preserve">Material</t>
  </si>
  <si>
    <t xml:space="preserve">pza</t>
  </si>
  <si>
    <t xml:space="preserve">Ladrillo cerámico hueco supermahón (50x20x7 cm/pza)   Ref. lp-00237643</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</si>
  <si>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</si>
  <si>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</si>
  <si>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</si>
  <si>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</si>
  <si>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</si>
  <si>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</si>
  <si>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</si>
  <si>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</si>
  <si>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</si>
  <si>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</si>
  <si>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</si>
  <si>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</si>
  <si>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</si>
  <si>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</si>
  <si>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</si>
  <si>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</si>
  <si>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</si>
  <si>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</si>
  <si>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</si>
  <si>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</si>
  <si>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</si>
  <si>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FACHMUR02-OK</t>
  </si>
  <si>
    <t xml:space="preserve">FACHMUR03-OK</t>
  </si>
  <si>
    <t xml:space="preserve">Partida</t>
  </si>
  <si>
    <t xml:space="preserve">M2</t>
  </si>
  <si>
    <t xml:space="preserve">TABIQUE DE PLACAS DE YESO LAMINADODE 15MM CON ESTRUCTURA DE 70MM DE ESPESOR</t>
  </si>
  <si>
    <t xml:space="preserve">Tabique sencillo (15+70+15)/400 (70) (2 normal), con placas de yeso laminado, de 100 mm de espesor total, formado por una estructura simple de perfiles de chapa de acero galvanizado de 70 mm de anchura, a base de montantes (elementos verticales) separados 600 mm entre sí, con disposición normal "N" y canales (elementos horizontales), a la que se atornillan dos placas en total (una placa tipo normal en cada cara, de 15 mm de espesor cada placa). Incluso banda acústica de dilatación autoadhesiva; fijaciones para el anclaje de canales y montantes metálicos; tornillería para la fijación de las placas; cinta de papel con refuerzo metálico y pasta y cinta para el tratamiento de juntas. El precio incluye la resolución de encuentros y puntos singulares, pero no incluye el aislamiento a colocar entre los montantes.</t>
  </si>
  <si>
    <t xml:space="preserve">ma-lp-00317396</t>
  </si>
  <si>
    <t xml:space="preserve">Material</t>
  </si>
  <si>
    <t xml:space="preserve">rollo</t>
  </si>
  <si>
    <t xml:space="preserve">Banda acústica autoadhesiva bicapa FONODAN 70 (10000x66x3,9 mm/rollo).   Ref. lp-00317396</t>
  </si>
  <si>
    <t xml:space="preserve">ma-lp-00539624</t>
  </si>
  <si>
    <t xml:space="preserve">Material</t>
  </si>
  <si>
    <t xml:space="preserve">perfil</t>
  </si>
  <si>
    <t xml:space="preserve">Perfil canal PLADUR C 70-30 galvanizado Z140 (70x30x3000 mm/perfil).   Ref. lp-00539624</t>
  </si>
  <si>
    <t xml:space="preserve">ma-lp-00539605</t>
  </si>
  <si>
    <t xml:space="preserve">Material</t>
  </si>
  <si>
    <t xml:space="preserve">perfil</t>
  </si>
  <si>
    <t xml:space="preserve">Perfil montante PLADUR M 70-35 galvanizado Z140 (70x35x3000 mm/perfil).   Ref. lp-00539605</t>
  </si>
  <si>
    <t xml:space="preserve">ma-lp-00539310</t>
  </si>
  <si>
    <t xml:space="preserve">Material</t>
  </si>
  <si>
    <t xml:space="preserve">placa</t>
  </si>
  <si>
    <t xml:space="preserve">Placa PLADUR N BA aplicaciones estándar (15x1200x2600 mm/placa).   Ref. lp-00539310</t>
  </si>
  <si>
    <t xml:space="preserve">ma-lp-00533869</t>
  </si>
  <si>
    <t xml:space="preserve">Material</t>
  </si>
  <si>
    <t xml:space="preserve">caja</t>
  </si>
  <si>
    <t xml:space="preserve">Tornillo PLADUR PM 3,5x25 mm (1000 pzas/caja).   Ref. lp-00533869</t>
  </si>
  <si>
    <t xml:space="preserve">ma-lp-00262608</t>
  </si>
  <si>
    <t xml:space="preserve">Material</t>
  </si>
  <si>
    <t xml:space="preserve">bote</t>
  </si>
  <si>
    <t xml:space="preserve">Taco golpe 5x27 mm (600 tacos/bote).   Ref. lp-00262608</t>
  </si>
  <si>
    <t xml:space="preserve">ma-lp-00539675</t>
  </si>
  <si>
    <t xml:space="preserve">Material</t>
  </si>
  <si>
    <t xml:space="preserve">saco</t>
  </si>
  <si>
    <t xml:space="preserve">Pasta agarre PLADUR PA (20 kg/saco).   Ref. lp-00539675</t>
  </si>
  <si>
    <t xml:space="preserve">ma-lp-00262494</t>
  </si>
  <si>
    <t xml:space="preserve">Material</t>
  </si>
  <si>
    <t xml:space="preserve">bidón</t>
  </si>
  <si>
    <t xml:space="preserve">Pasta de rejuntado PLAKIST CE 78 PERFECT JOINT de SEMIN (25 kg/bidón).   Ref. lp-00262494</t>
  </si>
  <si>
    <t xml:space="preserve">ma-lp-00539685</t>
  </si>
  <si>
    <t xml:space="preserve">Material</t>
  </si>
  <si>
    <t xml:space="preserve">rollo</t>
  </si>
  <si>
    <t xml:space="preserve">Cinta de papel KRAFT microperforado para juntas de placas PLADUR (150 m/rollo).   Ref. lp-00539685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</si>
  <si>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</si>
  <si>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</si>
  <si>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</si>
  <si>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</si>
  <si>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</si>
  <si>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</si>
  <si>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</si>
  <si>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</si>
  <si>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</si>
  <si>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</si>
  <si>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</si>
  <si>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</si>
  <si>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</si>
  <si>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</si>
  <si>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</si>
  <si>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</si>
  <si>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</si>
  <si>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FACHMUR03-OK</t>
  </si>
  <si>
    <t xml:space="preserve">FACHMUR04-OK</t>
  </si>
  <si>
    <t xml:space="preserve">Partida</t>
  </si>
  <si>
    <t xml:space="preserve">M2</t>
  </si>
  <si>
    <t xml:space="preserve">TABIQUE DE PLACAS DE YESO LAMINADODE 13MM CON ESTRUCTURA DE 70MM DE ESPESOR</t>
  </si>
  <si>
    <t xml:space="preserve">TABIQUE DE PLACAS DE YESO LAMINADODE 13MM CON ESTRUCTURA DE 70MM DE ESPESOR</t>
  </si>
  <si>
    <t xml:space="preserve">ma-lp-00317396</t>
  </si>
  <si>
    <t xml:space="preserve">Material</t>
  </si>
  <si>
    <t xml:space="preserve">rollo</t>
  </si>
  <si>
    <t xml:space="preserve">Banda acústica autoadhesiva bicapa FONODAN 70 (10000x66x3,9 mm/rollo).   Ref. lp-00317396</t>
  </si>
  <si>
    <t xml:space="preserve">ma-lp-00539624</t>
  </si>
  <si>
    <t xml:space="preserve">Material</t>
  </si>
  <si>
    <t xml:space="preserve">perfil</t>
  </si>
  <si>
    <t xml:space="preserve">Perfil canal PLADUR C 70-30 galvanizado Z140 (70x30x3000 mm/perfil).   Ref. lp-00539624</t>
  </si>
  <si>
    <t xml:space="preserve">ma-lp-00539605</t>
  </si>
  <si>
    <t xml:space="preserve">Material</t>
  </si>
  <si>
    <t xml:space="preserve">perfil</t>
  </si>
  <si>
    <t xml:space="preserve">Perfil montante PLADUR M 70-35 galvanizado Z140 (70x35x3000 mm/perfil).   Ref. lp-00539605</t>
  </si>
  <si>
    <t xml:space="preserve">ma-lp-00539301</t>
  </si>
  <si>
    <t xml:space="preserve">Material</t>
  </si>
  <si>
    <t xml:space="preserve">placa</t>
  </si>
  <si>
    <t xml:space="preserve">Placa PLADUR N BA aplicaciones estándar (13x1200x2600 mm/placa).   Ref. lp-00539301</t>
  </si>
  <si>
    <t xml:space="preserve">ma-lp-00533869</t>
  </si>
  <si>
    <t xml:space="preserve">Material</t>
  </si>
  <si>
    <t xml:space="preserve">caja</t>
  </si>
  <si>
    <t xml:space="preserve">Tornillo PLADUR PM 3,5x25 mm (1000 pzas/caja).   Ref. lp-00533869</t>
  </si>
  <si>
    <t xml:space="preserve">ma-lp-00262608</t>
  </si>
  <si>
    <t xml:space="preserve">Material</t>
  </si>
  <si>
    <t xml:space="preserve">bote</t>
  </si>
  <si>
    <t xml:space="preserve">Taco golpe 5x27 mm (600 tacos/bote).   Ref. lp-00262608</t>
  </si>
  <si>
    <t xml:space="preserve">ma-lp-00539675</t>
  </si>
  <si>
    <t xml:space="preserve">Material</t>
  </si>
  <si>
    <t xml:space="preserve">saco</t>
  </si>
  <si>
    <t xml:space="preserve">Pasta agarre PLADUR PA (20 kg/saco).   Ref. lp-00539675</t>
  </si>
  <si>
    <t xml:space="preserve">ma-lp-00262494</t>
  </si>
  <si>
    <t xml:space="preserve">Material</t>
  </si>
  <si>
    <t xml:space="preserve">bidón</t>
  </si>
  <si>
    <t xml:space="preserve">Pasta de rejuntado PLAKIST CE 78 PERFECT JOINT de SEMIN (25 kg/bidón).   Ref. lp-00262494</t>
  </si>
  <si>
    <t xml:space="preserve">ma-lp-00539685</t>
  </si>
  <si>
    <t xml:space="preserve">Material</t>
  </si>
  <si>
    <t xml:space="preserve">rollo</t>
  </si>
  <si>
    <t xml:space="preserve">Cinta de papel KRAFT microperforado para juntas de placas PLADUR (150 m/rollo).   Ref. lp-00539685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</si>
  <si>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</si>
  <si>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</si>
  <si>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</si>
  <si>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</si>
  <si>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</si>
  <si>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</si>
  <si>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</si>
  <si>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</si>
  <si>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</si>
  <si>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</si>
  <si>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</si>
  <si>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</si>
  <si>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</si>
  <si>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</si>
  <si>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</si>
  <si>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</si>
  <si>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</si>
  <si>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FACHMUR04-OK</t>
  </si>
  <si>
    <t xml:space="preserve">FACHMUR05-OK</t>
  </si>
  <si>
    <t xml:space="preserve">Partida</t>
  </si>
  <si>
    <t xml:space="preserve">M2</t>
  </si>
  <si>
    <t xml:space="preserve">HOJA PARTICION INTERIOR DE LADRILLO CERAMICO DE 9CM</t>
  </si>
  <si>
    <t xml:space="preserve">Muro de carga de 14 cm de espesor de fábrica de ladrillo cerámico perforado (gero), para revestir, 29x14x5 cm, resistencia a compresión 10 N/mm², con juntas horizontales y verticales de 10 mm de espesor, recibida con mortero de cemento industrial, color gris, M-7,5, suministrado a granel. El precio no incluye los zunchos horizontales ni la formación de los dinteles de los huecos del paramento.</t>
  </si>
  <si>
    <t xml:space="preserve">ma-lp-00001155.</t>
  </si>
  <si>
    <t xml:space="preserve">Material</t>
  </si>
  <si>
    <t xml:space="preserve">pza</t>
  </si>
  <si>
    <t xml:space="preserve">Gero 10 acústico o ladrillo de arcilla perforado de LA COMA, no visto, con relieve a 2 caras (28x14x9 cm/pza).   Ref. lp-00001155.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</si>
  <si>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</si>
  <si>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</si>
  <si>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</si>
  <si>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</si>
  <si>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</si>
  <si>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</si>
  <si>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</si>
  <si>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</si>
  <si>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</si>
  <si>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</si>
  <si>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</si>
  <si>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</si>
  <si>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</si>
  <si>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</si>
  <si>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</si>
  <si>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</si>
  <si>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</si>
  <si>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</si>
  <si>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</si>
  <si>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</si>
  <si>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</si>
  <si>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FACHMUR05-OK</t>
  </si>
  <si>
    <t xml:space="preserve">FACHMUR</t>
  </si>
  <si>
    <t xml:space="preserve">FACHTECH</t>
  </si>
  <si>
    <t xml:space="preserve">Capítulo</t>
  </si>
  <si>
    <t xml:space="preserve">TECHOS</t>
  </si>
  <si>
    <t xml:space="preserve">FACHTEC-TRAMPILLA-120x60cm-OK</t>
  </si>
  <si>
    <t xml:space="preserve">Partida</t>
  </si>
  <si>
    <t xml:space="preserve">U</t>
  </si>
  <si>
    <t xml:space="preserve">TRAMPILLA PARA FALSO TECHO DE PLADUR DE 120X60CM</t>
  </si>
  <si>
    <t xml:space="preserve">BBBBBBBBBBBB</t>
  </si>
  <si>
    <t xml:space="preserve">ma-lp-00196285</t>
  </si>
  <si>
    <t xml:space="preserve">Material</t>
  </si>
  <si>
    <t xml:space="preserve">und</t>
  </si>
  <si>
    <t xml:space="preserve">Trampilla BIGMAT en aluminio y placa PPM de ULTIPRO (1200x600 mm/und).   Ref. lp-00196285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</si>
  <si>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</si>
  <si>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</si>
  <si>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</si>
  <si>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</si>
  <si>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</si>
  <si>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</si>
  <si>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</si>
  <si>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</si>
  <si>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</si>
  <si>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</si>
  <si>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</si>
  <si>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</si>
  <si>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</si>
  <si>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</si>
  <si>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</si>
  <si>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</si>
  <si>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</si>
  <si>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FACHTEC-TRAMPILLA-120x60cm-OK</t>
  </si>
  <si>
    <t xml:space="preserve">FACHTEC-TRAMPILLA-60x60cm-OK</t>
  </si>
  <si>
    <t xml:space="preserve">Partida</t>
  </si>
  <si>
    <t xml:space="preserve">U</t>
  </si>
  <si>
    <t xml:space="preserve">TRAMPILLA PARA FALSO TECHO DE PLADUR DE 60X60CM</t>
  </si>
  <si>
    <t xml:space="preserve">Trampilla de registro gama Básica, de 600x600 mm, formada por marco de aluminio y puerta de placa de yeso laminado, para falso techo continuo de placas de yeso laminado. Incluso accesorios de montaje.</t>
  </si>
  <si>
    <t xml:space="preserve">ma-lp-00002184</t>
  </si>
  <si>
    <t xml:space="preserve">Material</t>
  </si>
  <si>
    <t xml:space="preserve">und</t>
  </si>
  <si>
    <t xml:space="preserve">Trampilla BIGMAT en aluminio y placa PPM de ULTIPRO (600x600 mm/und).   Ref. lp-00002184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</si>
  <si>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</si>
  <si>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</si>
  <si>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</si>
  <si>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</si>
  <si>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</si>
  <si>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</si>
  <si>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</si>
  <si>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</si>
  <si>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</si>
  <si>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</si>
  <si>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</si>
  <si>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</si>
  <si>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</si>
  <si>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</si>
  <si>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</si>
  <si>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</si>
  <si>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</si>
  <si>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FACHTEC-TRAMPILLA-60x60cm-OK</t>
  </si>
  <si>
    <t xml:space="preserve">FACHTEC-TRAMPILLA-80x80cm-OK</t>
  </si>
  <si>
    <t xml:space="preserve">Partida</t>
  </si>
  <si>
    <t xml:space="preserve">U</t>
  </si>
  <si>
    <t xml:space="preserve">TRAMPILLA PARA FALSO TECHO DE PLADUR DE 80X80CM</t>
  </si>
  <si>
    <t xml:space="preserve">TRAMPILLA PARA FALSO TECHO DE PLADUR DE 80X80CM</t>
  </si>
  <si>
    <t xml:space="preserve">ma-solotrampillas-B800800W</t>
  </si>
  <si>
    <t xml:space="preserve">Material</t>
  </si>
  <si>
    <t xml:space="preserve">und</t>
  </si>
  <si>
    <t xml:space="preserve">Trampilla metálica con cerradura SISTEMA B1 (800x800 mm/und).   Ref. solotrampillas-B800800W</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</si>
  <si>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</si>
  <si>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</si>
  <si>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</si>
  <si>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</si>
  <si>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</si>
  <si>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</si>
  <si>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</si>
  <si>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</si>
  <si>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</si>
  <si>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</si>
  <si>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</si>
  <si>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</si>
  <si>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</si>
  <si>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</si>
  <si>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</si>
  <si>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</si>
  <si>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</si>
  <si>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FACHTEC-TRAMPILLA-80x80cm-OK</t>
  </si>
  <si>
    <t xml:space="preserve">FACHTEC03-OK</t>
  </si>
  <si>
    <t xml:space="preserve">Partida</t>
  </si>
  <si>
    <t xml:space="preserve">M2</t>
  </si>
  <si>
    <t xml:space="preserve">FALSO TECHO NORMAL</t>
  </si>
  <si>
    <t xml:space="preserve">Falso techo continuo normal, liso, 12,5 situado a una altura menor de 3 m, con nivel de calidad del acabado estándar, constituido por: estructura metálica de acero galvanizado de maestros primarias fijadas al techo o elemento soporte de hormigón con anclajes directos cada 900 mm, una capa de placas de yeso laminado A. Incluso banda autoadhesiva desolidarizante, fijaciones para el anclaje de los perfiles, tornillos para la fijación de las placas, pasta de sellado, cinta microperforada de papel y accesorios de montaje.</t>
  </si>
  <si>
    <t xml:space="preserve">m.o.1</t>
  </si>
  <si>
    <t xml:space="preserve">Mano de obra</t>
  </si>
  <si>
    <t xml:space="preserve">h</t>
  </si>
  <si>
    <t xml:space="preserve">Mano de Obra: 1 Oficial de 1ª, 1 Ayudante y 1/2 Ayudante</t>
  </si>
  <si>
    <t xml:space="preserve">tech1</t>
  </si>
  <si>
    <t xml:space="preserve">Material</t>
  </si>
  <si>
    <t xml:space="preserve">u</t>
  </si>
  <si>
    <t xml:space="preserve">Falso techo continuo NORMAL adosado, liso, 12,5+15+15</t>
  </si>
  <si>
    <t xml:space="preserve">FACHTEC03-OK</t>
  </si>
  <si>
    <t xml:space="preserve">FACHTEC04-OK</t>
  </si>
  <si>
    <t xml:space="preserve">Partida</t>
  </si>
  <si>
    <t xml:space="preserve">M2</t>
  </si>
  <si>
    <t xml:space="preserve">FALSO TECHO HIDROFUGO</t>
  </si>
  <si>
    <t xml:space="preserve">Falso techo continuo hidrofugado, liso, 12,5 situado a una altura menor de 3 m, con nivel de calidad del acabado estándar, constituido por: estructura metálica de acero galvanizado de maestros primarias fijadas al techo o elemento soporte de hormigón con anclajes directos cada 900 mm, una capa de placas de yeso laminado hidrofugado. Incluso banda autoadhesiva desolidarizante, fijaciones para el anclaje de los perfiles, tornillos para la fijación de las placas, pasta de sellado, cinta microperforada de papel y accesorios de montaje.</t>
  </si>
  <si>
    <t xml:space="preserve">m.o.1</t>
  </si>
  <si>
    <t xml:space="preserve">Mano de obra</t>
  </si>
  <si>
    <t xml:space="preserve">h</t>
  </si>
  <si>
    <t xml:space="preserve">Mano de Obra: 1 Oficial de 1ª, 1 Ayudante y 1/2 Ayudante</t>
  </si>
  <si>
    <t xml:space="preserve">tech2</t>
  </si>
  <si>
    <t xml:space="preserve">Material</t>
  </si>
  <si>
    <t xml:space="preserve">u</t>
  </si>
  <si>
    <t xml:space="preserve">Falso techo continuo HIDROFUGADO adosado, liso, 12,5+15+15</t>
  </si>
  <si>
    <t xml:space="preserve">FACHTEC04-OK</t>
  </si>
  <si>
    <t xml:space="preserve">FACHTEC05-OK</t>
  </si>
  <si>
    <t xml:space="preserve">Partida</t>
  </si>
  <si>
    <t xml:space="preserve">M2</t>
  </si>
  <si>
    <t xml:space="preserve">FALSO TECHO RESGISTRABLE</t>
  </si>
  <si>
    <t xml:space="preserve">Falso techo registrable suspendido, situado a una altura menor de 4 m, constituido por: ESTRUCTURA: perfilería vista, de acero galvanizado, comprendiendo perfiles primarios y secundarios, suspendidos del forjado o elemento soporte con varillas y cuelgues; PLACAS: placas de yeso laminado, acabado sin revestir, de 600x600, de superficie lisa. Incluso perfiles angulares, fijaciones para el anclaje de los perfiles y accesorios de montaje.</t>
  </si>
  <si>
    <t xml:space="preserve">MATTECHREGS</t>
  </si>
  <si>
    <t xml:space="preserve">Material</t>
  </si>
  <si>
    <t xml:space="preserve">m2</t>
  </si>
  <si>
    <t xml:space="preserve">MATERIAL PARA TECHO REGISTRABE</t>
  </si>
  <si>
    <t xml:space="preserve">m.o.1</t>
  </si>
  <si>
    <t xml:space="preserve">Mano de obra</t>
  </si>
  <si>
    <t xml:space="preserve">h</t>
  </si>
  <si>
    <t xml:space="preserve">Mano de Obra: 1 Oficial de 1ª, 1 Ayudante y 1/2 Ayudante</t>
  </si>
  <si>
    <t xml:space="preserve">FACHTEC05-OK</t>
  </si>
  <si>
    <t xml:space="preserve">FACHTEC06-OK</t>
  </si>
  <si>
    <t xml:space="preserve">Partida</t>
  </si>
  <si>
    <t xml:space="preserve">M2</t>
  </si>
  <si>
    <t xml:space="preserve">FALSO DE TECHO IGNIFUGO EI120</t>
  </si>
  <si>
    <t xml:space="preserve">FALSO DE TECHO IGNIFUGO EI120</t>
  </si>
  <si>
    <t xml:space="preserve">ma-diaterm-yeso.cortafuego.25mm</t>
  </si>
  <si>
    <t xml:space="preserve">Material</t>
  </si>
  <si>
    <t xml:space="preserve">placa</t>
  </si>
  <si>
    <t xml:space="preserve">Placa cortafuego DF de yeso laminado 25 mm K711F.es de KNAUF (1,2x2 m/placa).   Ref. diaterm-yeso.cortafuego-25mm</t>
  </si>
  <si>
    <t xml:space="preserve">MT1</t>
  </si>
  <si>
    <t xml:space="preserve">Material</t>
  </si>
  <si>
    <t xml:space="preserve">m2</t>
  </si>
  <si>
    <t xml:space="preserve">Estructura y materiales</t>
  </si>
  <si>
    <t xml:space="preserve">m.o.1</t>
  </si>
  <si>
    <t xml:space="preserve">Mano de obra</t>
  </si>
  <si>
    <t xml:space="preserve">h</t>
  </si>
  <si>
    <t xml:space="preserve">Mano de Obra: 1 Oficial de 1ª, 1 Ayudante y 1/2 Ayudante</t>
  </si>
  <si>
    <t xml:space="preserve">FACHTEC06-OK</t>
  </si>
  <si>
    <t xml:space="preserve">FACHTEC07-OK</t>
  </si>
  <si>
    <t xml:space="preserve">Partida</t>
  </si>
  <si>
    <t xml:space="preserve">ML</t>
  </si>
  <si>
    <t xml:space="preserve">TABICA PARA FALSO TECHO CONTINUO DE PLACAS DE YESO LAMINADO</t>
  </si>
  <si>
    <t xml:space="preserve">TABICA PARA FALSO TECHO CONTINUO DE PLACAS DE YESO LAMINADO</t>
  </si>
  <si>
    <t xml:space="preserve">MATTABICA</t>
  </si>
  <si>
    <t xml:space="preserve">Material</t>
  </si>
  <si>
    <t xml:space="preserve">m</t>
  </si>
  <si>
    <t xml:space="preserve">Material para tabica de yeso laminado</t>
  </si>
  <si>
    <t xml:space="preserve">m.o.1</t>
  </si>
  <si>
    <t xml:space="preserve">Mano de obra</t>
  </si>
  <si>
    <t xml:space="preserve">h</t>
  </si>
  <si>
    <t xml:space="preserve">Mano de Obra: 1 Oficial de 1ª, 1 Ayudante y 1/2 Ayudante</t>
  </si>
  <si>
    <t xml:space="preserve">FACHTEC07-OK</t>
  </si>
  <si>
    <t xml:space="preserve">FALSO.TECHO</t>
  </si>
  <si>
    <t xml:space="preserve">Capítulo</t>
  </si>
  <si>
    <t xml:space="preserve">FALSOS TECHOS</t>
  </si>
  <si>
    <t xml:space="preserve">FALSO.TECHO.CONTINUO</t>
  </si>
  <si>
    <t xml:space="preserve">Capítulo</t>
  </si>
  <si>
    <t xml:space="preserve">FALSO TECHO CONTINUO CON PLACAS DE YESO LAMINADO</t>
  </si>
  <si>
    <t xml:space="preserve">FTC-HIDROFUGADO-1PLACA</t>
  </si>
  <si>
    <t xml:space="preserve">Partida</t>
  </si>
  <si>
    <t xml:space="preserve">m2</t>
  </si>
  <si>
    <t xml:space="preserve">FALSO TECHO CONTINUO CON UNA (1) PLACA DE YESO LAMINADO TIPO HIDROFUGO</t>
  </si>
  <si>
    <t xml:space="preserve">Falso techo continuo normal, liso, 12,5 situado a una altura menor de 3 m, con nivel de calidad del acabado estándar, constituido por: estructura metálica de acero galvanizado de maestros primarias fijadas al techo o elemento soporte de hormigón con anclajes directos cada 900 mm, una capa de placas de yeso laminado A. Incluso banda autoadhesiva desolidarizante, fijaciones para el anclaje de los perfiles, tornillos para la fijación de las placas, pasta de sellado, cinta microperforada de papel y accesorios de montaje.</t>
  </si>
  <si>
    <t xml:space="preserve">ma-lp-00539656</t>
  </si>
  <si>
    <t xml:space="preserve">Material</t>
  </si>
  <si>
    <t xml:space="preserve">perfil</t>
  </si>
  <si>
    <t xml:space="preserve">Perfil PLADUR CLIP canal en U galvanizado Z140 (20x30x3000 mm/perfil).   Ref. lp-00539656</t>
  </si>
  <si>
    <t xml:space="preserve">ma-lp-00262608</t>
  </si>
  <si>
    <t xml:space="preserve">Material</t>
  </si>
  <si>
    <t xml:space="preserve">bote</t>
  </si>
  <si>
    <t xml:space="preserve">Taco golpe 5x27 mm (600 tacos/bote).   Ref. lp-00262608</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</si>
  <si>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</si>
  <si>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</si>
  <si>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</si>
  <si>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</si>
  <si>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</si>
  <si>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</si>
  <si>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</si>
  <si>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</si>
  <si>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ma-lp-00539104</t>
  </si>
  <si>
    <t xml:space="preserve">Material</t>
  </si>
  <si>
    <t xml:space="preserve">caja</t>
  </si>
  <si>
    <t xml:space="preserve">Horquilla de cuelgue perfil PLADUR TC47 M6 (100 pzas/caja).   Ref. lp-00539104</t>
  </si>
  <si>
    <t xml:space="preserve">ma-lp-00539641</t>
  </si>
  <si>
    <t xml:space="preserve">Material</t>
  </si>
  <si>
    <t xml:space="preserve">caja</t>
  </si>
  <si>
    <t xml:space="preserve">Horquilla de cuelgue PLADUR para perfil T-45 (100 pzas/caja).   Ref. lp-00539641</t>
  </si>
  <si>
    <t xml:space="preserve">ma-lp-00539636</t>
  </si>
  <si>
    <t xml:space="preserve">Material</t>
  </si>
  <si>
    <t xml:space="preserve">perfil</t>
  </si>
  <si>
    <t xml:space="preserve">Perfil PLADUR en C galvanizado Z140 (45x18,3x3000 mm/perfil).   Ref. lp-00539636</t>
  </si>
  <si>
    <t xml:space="preserve">ma-lp-00539642</t>
  </si>
  <si>
    <t xml:space="preserve">Material</t>
  </si>
  <si>
    <t xml:space="preserve">caja</t>
  </si>
  <si>
    <t xml:space="preserve">Pieza de empalme perfil T-45 de PLADUR (100 pzas/caja).   Ref. lp-00539642</t>
  </si>
  <si>
    <t xml:space="preserve">ma-lp-00539322</t>
  </si>
  <si>
    <t xml:space="preserve">Material</t>
  </si>
  <si>
    <t xml:space="preserve">placa</t>
  </si>
  <si>
    <t xml:space="preserve">Placa PLADUR H1 zonas húmedas (12x1200x3000 mm/placa).   Ref. lp-00539322</t>
  </si>
  <si>
    <t xml:space="preserve">ma-lp-00533869</t>
  </si>
  <si>
    <t xml:space="preserve">Material</t>
  </si>
  <si>
    <t xml:space="preserve">caja</t>
  </si>
  <si>
    <t xml:space="preserve">Tornillo PLADUR PM 3,5x25 mm (1000 pzas/caja).   Ref. lp-00533869</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</si>
  <si>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</si>
  <si>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</si>
  <si>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</si>
  <si>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</si>
  <si>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</si>
  <si>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</si>
  <si>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</si>
  <si>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</si>
  <si>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</si>
  <si>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</si>
  <si>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</si>
  <si>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</si>
  <si>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</si>
  <si>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</si>
  <si>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</si>
  <si>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</si>
  <si>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</si>
  <si>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</si>
  <si>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</si>
  <si>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</si>
  <si>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</si>
  <si>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</si>
  <si>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</si>
  <si>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</si>
  <si>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</si>
  <si>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</si>
  <si>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</si>
  <si>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</si>
  <si>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</si>
  <si>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</si>
  <si>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</si>
  <si>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</si>
  <si>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FTC-HIDROFUGADO-1PLACA</t>
  </si>
  <si>
    <t xml:space="preserve">FTC-HIDROFUGADO-TABICA-30cm</t>
  </si>
  <si>
    <t xml:space="preserve">Partida</t>
  </si>
  <si>
    <t xml:space="preserve">m</t>
  </si>
  <si>
    <t xml:space="preserve">TABICA VERTICAL EN CAMBIO DE NIVEL DE FALSO TECHO CONTINUO CON PLACA DE YESO LAMINADO TIPO HIDROFUGO, PARA CERRAR ESPACIO &lt;= 30 cm DE ALTURA</t>
  </si>
  <si>
    <t xml:space="preserve">TABICA VERTICAL EN CAMBIO DE NIVEL DE FALSO TECHO CONTINUO CON PLACA DE YESO LAMINADO TIPO HIDROFUGO, PARA CERRAR ESPACIO &lt;= 30 cm DE ALTURA</t>
  </si>
  <si>
    <t xml:space="preserve">ma-lp-00539654</t>
  </si>
  <si>
    <t xml:space="preserve">Material</t>
  </si>
  <si>
    <t xml:space="preserve">perfil</t>
  </si>
  <si>
    <t xml:space="preserve">Perfil PLADUR angular L galvanizado Z140 (24x3000 mm/perfil).   Ref. lp-00539654</t>
  </si>
  <si>
    <t xml:space="preserve">ma-lp-00539636</t>
  </si>
  <si>
    <t xml:space="preserve">Material</t>
  </si>
  <si>
    <t xml:space="preserve">perfil</t>
  </si>
  <si>
    <t xml:space="preserve">Perfil PLADUR en C galvanizado Z140 (45x18,3x3000 mm/perfil).   Ref. lp-00539636</t>
  </si>
  <si>
    <t xml:space="preserve">ma-lp-00539322</t>
  </si>
  <si>
    <t xml:space="preserve">Material</t>
  </si>
  <si>
    <t xml:space="preserve">placa</t>
  </si>
  <si>
    <t xml:space="preserve">Placa PLADUR H1 zonas húmedas (12x1200x3000 mm/placa).   Ref. lp-00539322</t>
  </si>
  <si>
    <t xml:space="preserve">ma-lp-00533869</t>
  </si>
  <si>
    <t xml:space="preserve">Material</t>
  </si>
  <si>
    <t xml:space="preserve">caja</t>
  </si>
  <si>
    <t xml:space="preserve">Tornillo PLADUR PM 3,5x25 mm (1000 pzas/caja).   Ref. lp-00533869</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</si>
  <si>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</si>
  <si>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</si>
  <si>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</si>
  <si>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</si>
  <si>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</si>
  <si>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</si>
  <si>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</si>
  <si>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</si>
  <si>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</si>
  <si>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</si>
  <si>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</si>
  <si>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</si>
  <si>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</si>
  <si>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</si>
  <si>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</si>
  <si>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</si>
  <si>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</si>
  <si>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</si>
  <si>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</si>
  <si>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</si>
  <si>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</si>
  <si>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</si>
  <si>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</si>
  <si>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</si>
  <si>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</si>
  <si>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</si>
  <si>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</si>
  <si>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</si>
  <si>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FTC-HIDROFUGADO-TABICA-30cm</t>
  </si>
  <si>
    <t xml:space="preserve">FTC-MIXTO-1PLACA</t>
  </si>
  <si>
    <t xml:space="preserve">Partida</t>
  </si>
  <si>
    <t xml:space="preserve">m2</t>
  </si>
  <si>
    <t xml:space="preserve">FALSO TECHO CONTINUO CON UNA (1) PLACA DE YESO LAMINADO MULTIPROPÓSITO (AISLAMIENTO ACÚSTICO, CORTAFUEGO Y ZONAS HÚMEDAS)</t>
  </si>
  <si>
    <t xml:space="preserve">nnnnnnnnnnnnnn</t>
  </si>
  <si>
    <t xml:space="preserve">ma-lp-00539656</t>
  </si>
  <si>
    <t xml:space="preserve">Material</t>
  </si>
  <si>
    <t xml:space="preserve">perfil</t>
  </si>
  <si>
    <t xml:space="preserve">Perfil PLADUR CLIP canal en U galvanizado Z140 (20x30x3000 mm/perfil).   Ref. lp-00539656</t>
  </si>
  <si>
    <t xml:space="preserve">ma-lp-00262608</t>
  </si>
  <si>
    <t xml:space="preserve">Material</t>
  </si>
  <si>
    <t xml:space="preserve">bote</t>
  </si>
  <si>
    <t xml:space="preserve">Taco golpe 5x27 mm (600 tacos/bote).   Ref. lp-00262608</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</si>
  <si>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</si>
  <si>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</si>
  <si>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</si>
  <si>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</si>
  <si>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</si>
  <si>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</si>
  <si>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</si>
  <si>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</si>
  <si>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ma-lp-00539104</t>
  </si>
  <si>
    <t xml:space="preserve">Material</t>
  </si>
  <si>
    <t xml:space="preserve">caja</t>
  </si>
  <si>
    <t xml:space="preserve">Horquilla de cuelgue perfil PLADUR TC47 M6 (100 pzas/caja).   Ref. lp-00539104</t>
  </si>
  <si>
    <t xml:space="preserve">ma-lp-00539641</t>
  </si>
  <si>
    <t xml:space="preserve">Material</t>
  </si>
  <si>
    <t xml:space="preserve">caja</t>
  </si>
  <si>
    <t xml:space="preserve">Horquilla de cuelgue PLADUR para perfil T-45 (100 pzas/caja).   Ref. lp-00539641</t>
  </si>
  <si>
    <t xml:space="preserve">ma-lp-00539636</t>
  </si>
  <si>
    <t xml:space="preserve">Material</t>
  </si>
  <si>
    <t xml:space="preserve">perfil</t>
  </si>
  <si>
    <t xml:space="preserve">Perfil PLADUR en C galvanizado Z140 (45x18,3x3000 mm/perfil).   Ref. lp-00539636</t>
  </si>
  <si>
    <t xml:space="preserve">ma-lp-00539642</t>
  </si>
  <si>
    <t xml:space="preserve">Material</t>
  </si>
  <si>
    <t xml:space="preserve">caja</t>
  </si>
  <si>
    <t xml:space="preserve">Pieza de empalme perfil T-45 de PLADUR (100 pzas/caja).   Ref. lp-00539642</t>
  </si>
  <si>
    <t xml:space="preserve">ma-lp-00539365.</t>
  </si>
  <si>
    <t xml:space="preserve">Material</t>
  </si>
  <si>
    <t xml:space="preserve">placa</t>
  </si>
  <si>
    <t xml:space="preserve">Placa PLADUR Omnia BA alta resistencia (15x1200x2500 mm/placa).   Ref. lp-00539365.</t>
  </si>
  <si>
    <t xml:space="preserve">ma-lp-00533869</t>
  </si>
  <si>
    <t xml:space="preserve">Material</t>
  </si>
  <si>
    <t xml:space="preserve">caja</t>
  </si>
  <si>
    <t xml:space="preserve">Tornillo PLADUR PM 3,5x25 mm (1000 pzas/caja).   Ref. lp-00533869</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</si>
  <si>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</si>
  <si>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</si>
  <si>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</si>
  <si>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</si>
  <si>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</si>
  <si>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</si>
  <si>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</si>
  <si>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</si>
  <si>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</si>
  <si>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</si>
  <si>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</si>
  <si>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</si>
  <si>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</si>
  <si>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</si>
  <si>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</si>
  <si>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</si>
  <si>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</si>
  <si>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</si>
  <si>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</si>
  <si>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</si>
  <si>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</si>
  <si>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</si>
  <si>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</si>
  <si>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</si>
  <si>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</si>
  <si>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</si>
  <si>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</si>
  <si>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</si>
  <si>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</si>
  <si>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</si>
  <si>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</si>
  <si>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</si>
  <si>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FTC-MIXTO-1PLACA</t>
  </si>
  <si>
    <t xml:space="preserve">FTC-MIXTO-TABICA-30cm</t>
  </si>
  <si>
    <t xml:space="preserve">Partida</t>
  </si>
  <si>
    <t xml:space="preserve">m</t>
  </si>
  <si>
    <t xml:space="preserve">TABICA VERTICAL EN CAMBIO DE NIVEL DE FALSO TECHO CONTINUO CON PLACA DE YESO LAMINADO MULTIPROPÓSITO (AISLAMIENTO ACÚSTICO, CORTAFUEGO Y ZONAS HÚMEDAS), PARA CERRAR ESPACIO &lt;= 30 cm DE ALTURA</t>
  </si>
  <si>
    <t xml:space="preserve">TABICA VERTICAL EN CAMBIO DE NIVEL DE FALSO TECHO CONTINUO CON PLACA DE YESO LAMINADO MULTIPROPÓSITO (AISLAMIENTO ACÚSTICO, CORTAFUEGO Y ZONAS HÚMEDAS), PARA CERRAR ESPACIO &lt;= 30 cm DE ALTURA</t>
  </si>
  <si>
    <t xml:space="preserve">ma-lp-00539654</t>
  </si>
  <si>
    <t xml:space="preserve">Material</t>
  </si>
  <si>
    <t xml:space="preserve">perfil</t>
  </si>
  <si>
    <t xml:space="preserve">Perfil PLADUR angular L galvanizado Z140 (24x3000 mm/perfil).   Ref. lp-00539654</t>
  </si>
  <si>
    <t xml:space="preserve">ma-lp-00539636</t>
  </si>
  <si>
    <t xml:space="preserve">Material</t>
  </si>
  <si>
    <t xml:space="preserve">perfil</t>
  </si>
  <si>
    <t xml:space="preserve">Perfil PLADUR en C galvanizado Z140 (45x18,3x3000 mm/perfil).   Ref. lp-00539636</t>
  </si>
  <si>
    <t xml:space="preserve">ma-lp-00539365.</t>
  </si>
  <si>
    <t xml:space="preserve">Material</t>
  </si>
  <si>
    <t xml:space="preserve">placa</t>
  </si>
  <si>
    <t xml:space="preserve">Placa PLADUR Omnia BA alta resistencia (15x1200x2500 mm/placa).   Ref. lp-00539365.</t>
  </si>
  <si>
    <t xml:space="preserve">ma-lp-00533869</t>
  </si>
  <si>
    <t xml:space="preserve">Material</t>
  </si>
  <si>
    <t xml:space="preserve">caja</t>
  </si>
  <si>
    <t xml:space="preserve">Tornillo PLADUR PM 3,5x25 mm (1000 pzas/caja).   Ref. lp-00533869</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</si>
  <si>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</si>
  <si>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</si>
  <si>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</si>
  <si>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</si>
  <si>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</si>
  <si>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</si>
  <si>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</si>
  <si>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</si>
  <si>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</si>
  <si>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</si>
  <si>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</si>
  <si>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</si>
  <si>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</si>
  <si>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</si>
  <si>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</si>
  <si>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</si>
  <si>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</si>
  <si>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</si>
  <si>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</si>
  <si>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</si>
  <si>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</si>
  <si>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</si>
  <si>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</si>
  <si>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</si>
  <si>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</si>
  <si>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</si>
  <si>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</si>
  <si>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</si>
  <si>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FTC-MIXTO-TABICA-30cm</t>
  </si>
  <si>
    <t xml:space="preserve">FTC-NORMAL-1PLACA</t>
  </si>
  <si>
    <t xml:space="preserve">Partida</t>
  </si>
  <si>
    <t xml:space="preserve">m2</t>
  </si>
  <si>
    <t xml:space="preserve">FALSO TECHO CONTINUO CON UNA (1) PLACA DE YESO LAMINADO TIPO NORMAL</t>
  </si>
  <si>
    <t xml:space="preserve">FALSO TECHO CONTINUO CON UNA (1) PLACA DE YESO LAMINADO TIPO NORMAL</t>
  </si>
  <si>
    <t xml:space="preserve">ma-lp-00539656</t>
  </si>
  <si>
    <t xml:space="preserve">Material</t>
  </si>
  <si>
    <t xml:space="preserve">perfil</t>
  </si>
  <si>
    <t xml:space="preserve">Perfil PLADUR CLIP canal en U galvanizado Z140 (20x30x3000 mm/perfil).   Ref. lp-00539656</t>
  </si>
  <si>
    <t xml:space="preserve">ma-lp-00262608</t>
  </si>
  <si>
    <t xml:space="preserve">Material</t>
  </si>
  <si>
    <t xml:space="preserve">bote</t>
  </si>
  <si>
    <t xml:space="preserve">Taco golpe 5x27 mm (600 tacos/bote).   Ref. lp-00262608</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</si>
  <si>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</si>
  <si>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</si>
  <si>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</si>
  <si>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</si>
  <si>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</si>
  <si>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</si>
  <si>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</si>
  <si>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</si>
  <si>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ma-lp-00539104</t>
  </si>
  <si>
    <t xml:space="preserve">Material</t>
  </si>
  <si>
    <t xml:space="preserve">caja</t>
  </si>
  <si>
    <t xml:space="preserve">Horquilla de cuelgue perfil PLADUR TC47 M6 (100 pzas/caja).   Ref. lp-00539104</t>
  </si>
  <si>
    <t xml:space="preserve">ma-lp-00539641</t>
  </si>
  <si>
    <t xml:space="preserve">Material</t>
  </si>
  <si>
    <t xml:space="preserve">caja</t>
  </si>
  <si>
    <t xml:space="preserve">Horquilla de cuelgue PLADUR para perfil T-45 (100 pzas/caja).   Ref. lp-00539641</t>
  </si>
  <si>
    <t xml:space="preserve">ma-lp-00539636</t>
  </si>
  <si>
    <t xml:space="preserve">Material</t>
  </si>
  <si>
    <t xml:space="preserve">perfil</t>
  </si>
  <si>
    <t xml:space="preserve">Perfil PLADUR en C galvanizado Z140 (45x18,3x3000 mm/perfil).   Ref. lp-00539636</t>
  </si>
  <si>
    <t xml:space="preserve">ma-lp-00539642</t>
  </si>
  <si>
    <t xml:space="preserve">Material</t>
  </si>
  <si>
    <t xml:space="preserve">caja</t>
  </si>
  <si>
    <t xml:space="preserve">Pieza de empalme perfil T-45 de PLADUR (100 pzas/caja).   Ref. lp-00539642</t>
  </si>
  <si>
    <t xml:space="preserve">ma-lp-00539311</t>
  </si>
  <si>
    <t xml:space="preserve">Material</t>
  </si>
  <si>
    <t xml:space="preserve">placa</t>
  </si>
  <si>
    <t xml:space="preserve">Placa PLADUR N BA aplicaciones estándar (15x1200x2500 mm/placa).   Ref. lp-00539311</t>
  </si>
  <si>
    <t xml:space="preserve">ma-lp-00533869</t>
  </si>
  <si>
    <t xml:space="preserve">Material</t>
  </si>
  <si>
    <t xml:space="preserve">caja</t>
  </si>
  <si>
    <t xml:space="preserve">Tornillo PLADUR PM 3,5x25 mm (1000 pzas/caja).   Ref. lp-00533869</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</si>
  <si>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</si>
  <si>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</si>
  <si>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</si>
  <si>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</si>
  <si>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</si>
  <si>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</si>
  <si>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</si>
  <si>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</si>
  <si>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</si>
  <si>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</si>
  <si>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</si>
  <si>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</si>
  <si>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</si>
  <si>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</si>
  <si>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</si>
  <si>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</si>
  <si>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</si>
  <si>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</si>
  <si>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</si>
  <si>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</si>
  <si>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</si>
  <si>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</si>
  <si>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</si>
  <si>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</si>
  <si>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</si>
  <si>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</si>
  <si>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</si>
  <si>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</si>
  <si>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</si>
  <si>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</si>
  <si>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</si>
  <si>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</si>
  <si>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FTC-NORMAL-1PLACA</t>
  </si>
  <si>
    <t xml:space="preserve">FTC-NORMAL-TABICA-30cm</t>
  </si>
  <si>
    <t xml:space="preserve">Partida</t>
  </si>
  <si>
    <t xml:space="preserve">m</t>
  </si>
  <si>
    <t xml:space="preserve">TABICA VERTICAL EN CAMBIO DE NIVEL DE FALSO TECHO CONTINUO CON PLACA DE YESO LAMINADO TIPO NORMAL, PARA CERRAR ESPACIO &lt;= 30 cm DE ALTURA</t>
  </si>
  <si>
    <t xml:space="preserve">TABICA VERTICAL EN CAMBIO DE NIVEL DE FALSO TECHO CONTINUO CON PLACA DE YESO LAMINADO TIPO NORMAL, PARA CERRAR ESPACIO &lt;= 30 cm DE ALTURA</t>
  </si>
  <si>
    <t xml:space="preserve">ma-lp-00539654</t>
  </si>
  <si>
    <t xml:space="preserve">Material</t>
  </si>
  <si>
    <t xml:space="preserve">perfil</t>
  </si>
  <si>
    <t xml:space="preserve">Perfil PLADUR angular L galvanizado Z140 (24x3000 mm/perfil).   Ref. lp-00539654</t>
  </si>
  <si>
    <t xml:space="preserve">ma-lp-00539636</t>
  </si>
  <si>
    <t xml:space="preserve">Material</t>
  </si>
  <si>
    <t xml:space="preserve">perfil</t>
  </si>
  <si>
    <t xml:space="preserve">Perfil PLADUR en C galvanizado Z140 (45x18,3x3000 mm/perfil).   Ref. lp-00539636</t>
  </si>
  <si>
    <t xml:space="preserve">ma-lp-00539311</t>
  </si>
  <si>
    <t xml:space="preserve">Material</t>
  </si>
  <si>
    <t xml:space="preserve">placa</t>
  </si>
  <si>
    <t xml:space="preserve">Placa PLADUR N BA aplicaciones estándar (15x1200x2500 mm/placa).   Ref. lp-00539311</t>
  </si>
  <si>
    <t xml:space="preserve">ma-lp-00533869</t>
  </si>
  <si>
    <t xml:space="preserve">Material</t>
  </si>
  <si>
    <t xml:space="preserve">caja</t>
  </si>
  <si>
    <t xml:space="preserve">Tornillo PLADUR PM 3,5x25 mm (1000 pzas/caja).   Ref. lp-00533869</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</si>
  <si>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</si>
  <si>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</si>
  <si>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</si>
  <si>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</si>
  <si>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</si>
  <si>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</si>
  <si>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</si>
  <si>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</si>
  <si>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</si>
  <si>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</si>
  <si>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</si>
  <si>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</si>
  <si>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</si>
  <si>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</si>
  <si>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</si>
  <si>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</si>
  <si>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</si>
  <si>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</si>
  <si>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</si>
  <si>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</si>
  <si>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</si>
  <si>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</si>
  <si>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</si>
  <si>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</si>
  <si>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</si>
  <si>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</si>
  <si>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</si>
  <si>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</si>
  <si>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FTC-NORMAL-TABICA-30cm</t>
  </si>
  <si>
    <t xml:space="preserve">FALSO.TECHO.CONTINUO</t>
  </si>
  <si>
    <t xml:space="preserve">FALSO.TECHO.REGISTRABLE</t>
  </si>
  <si>
    <t xml:space="preserve">Capítulo</t>
  </si>
  <si>
    <t xml:space="preserve">FALSO TECHO REGISTRABLE</t>
  </si>
  <si>
    <t xml:space="preserve">FTR-FIBRA.MINERAL.T1-60x60cm</t>
  </si>
  <si>
    <t xml:space="preserve">Partida</t>
  </si>
  <si>
    <t xml:space="preserve">m2</t>
  </si>
  <si>
    <t xml:space="preserve">FALSO TECHO REGISTRABLE EN CUADRÍCULAS 60X60 cm CON PERFILERÍA GALVANIZADA VISTA GRIS Y PLACAS DE FIBRA MINERAL TIPO 1</t>
  </si>
  <si>
    <t xml:space="preserve">nnnnnnnnnnnnnnnnnnnnn</t>
  </si>
  <si>
    <t xml:space="preserve">ma-lp-00001778</t>
  </si>
  <si>
    <t xml:space="preserve">Material</t>
  </si>
  <si>
    <t xml:space="preserve">perfil</t>
  </si>
  <si>
    <t xml:space="preserve">Perfil angular para instalación de techos registrables Quick Lock 3000 gris (22x22x3000 mm/perfil).   Ref. lp-00001778</t>
  </si>
  <si>
    <t xml:space="preserve">ma-lp-00215083</t>
  </si>
  <si>
    <t xml:space="preserve">Material</t>
  </si>
  <si>
    <t xml:space="preserve">caja</t>
  </si>
  <si>
    <t xml:space="preserve">Taco DUOPOWER de FISCHER (50 pzas/caja).   Ref. lp-00215083</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</si>
  <si>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</si>
  <si>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</si>
  <si>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</si>
  <si>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</si>
  <si>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</si>
  <si>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</si>
  <si>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</si>
  <si>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</si>
  <si>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ma-lp-00470215</t>
  </si>
  <si>
    <t xml:space="preserve">Material</t>
  </si>
  <si>
    <t xml:space="preserve">bolsa</t>
  </si>
  <si>
    <t xml:space="preserve">Horquilla de cuelgue niveladora TR M4 de SENOR con rotura de puente térmico para falsos techos registrables (20 pzas/bolsa).   Ref. lp-00470215</t>
  </si>
  <si>
    <t xml:space="preserve">ma-lp-00019571</t>
  </si>
  <si>
    <t xml:space="preserve">Material</t>
  </si>
  <si>
    <t xml:space="preserve">caja</t>
  </si>
  <si>
    <t xml:space="preserve">Remache aluminio-acero 4,8x8 estándar de BRALO (50 pzas/caja).   Ref. lp-00019571</t>
  </si>
  <si>
    <t xml:space="preserve">ma-lp-00001779</t>
  </si>
  <si>
    <t xml:space="preserve">Material</t>
  </si>
  <si>
    <t xml:space="preserve">perfil</t>
  </si>
  <si>
    <t xml:space="preserve">Perfil primario para instalación de techos registrables Quick Lock 3600 ALA24 gris (24x38x3600 mm/perfil).   Ref. lp-00001779</t>
  </si>
  <si>
    <t xml:space="preserve">ma-lp-00001781</t>
  </si>
  <si>
    <t xml:space="preserve">Material</t>
  </si>
  <si>
    <t xml:space="preserve">perfil</t>
  </si>
  <si>
    <t xml:space="preserve">Perfil secundario para instalación de techos registrables Quick Lock 1200 ALA24 gris (24x32x1200 mm/perfil).   Ref. lp-00001781</t>
  </si>
  <si>
    <t xml:space="preserve">ma-lp-00001783</t>
  </si>
  <si>
    <t xml:space="preserve">Material</t>
  </si>
  <si>
    <t xml:space="preserve">perfil</t>
  </si>
  <si>
    <t xml:space="preserve">Perfil secundario para instalación de techos registrables Quick Lock 600 ALA24 gris (24x32x600 mm/perfil).   Ref. lp-00001783</t>
  </si>
  <si>
    <t xml:space="preserve">ma-lp-00515520</t>
  </si>
  <si>
    <t xml:space="preserve">Material</t>
  </si>
  <si>
    <t xml:space="preserve">caja</t>
  </si>
  <si>
    <t xml:space="preserve">Placa de fibra mineral para techo registrable Armstrong Tatra Fission Board; color blanco (600x600x15 mm/placa; 5,76 m2/caja).   Ref. lp-00515520</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</si>
  <si>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</si>
  <si>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</si>
  <si>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</si>
  <si>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</si>
  <si>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</si>
  <si>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</si>
  <si>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</si>
  <si>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</si>
  <si>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</si>
  <si>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</si>
  <si>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</si>
  <si>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</si>
  <si>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</si>
  <si>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</si>
  <si>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</si>
  <si>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</si>
  <si>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</si>
  <si>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</si>
  <si>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</si>
  <si>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</si>
  <si>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</si>
  <si>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</si>
  <si>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</si>
  <si>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</si>
  <si>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FTR-FIBRA.MINERAL.T1-60x60cm</t>
  </si>
  <si>
    <t xml:space="preserve">FTR-FIBRA.MINERAL.T1-TABICA</t>
  </si>
  <si>
    <t xml:space="preserve">Partida</t>
  </si>
  <si>
    <t xml:space="preserve">m</t>
  </si>
  <si>
    <t xml:space="preserve">bbbbbbbbbbbbbbbbbbb</t>
  </si>
  <si>
    <t xml:space="preserve">bbbbbbbbbbbbbbbbbbb</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</si>
  <si>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</si>
  <si>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</si>
  <si>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</si>
  <si>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</si>
  <si>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</si>
  <si>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</si>
  <si>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</si>
  <si>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</si>
  <si>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ma-lp-00470215</t>
  </si>
  <si>
    <t xml:space="preserve">Material</t>
  </si>
  <si>
    <t xml:space="preserve">bolsa</t>
  </si>
  <si>
    <t xml:space="preserve">Horquilla de cuelgue niveladora TR M4 de SENOR con rotura de puente térmico para falsos techos registrables (20 pzas/bolsa).   Ref. lp-00470215</t>
  </si>
  <si>
    <t xml:space="preserve">ma-lp-00001781</t>
  </si>
  <si>
    <t xml:space="preserve">Material</t>
  </si>
  <si>
    <t xml:space="preserve">perfil</t>
  </si>
  <si>
    <t xml:space="preserve">Perfil secundario para instalación de techos registrables Quick Lock 1200 ALA24 gris (24x32x1200 mm/perfil).   Ref. lp-00001781</t>
  </si>
  <si>
    <t xml:space="preserve">ma-lp-00001783</t>
  </si>
  <si>
    <t xml:space="preserve">Material</t>
  </si>
  <si>
    <t xml:space="preserve">perfil</t>
  </si>
  <si>
    <t xml:space="preserve">Perfil secundario para instalación de techos registrables Quick Lock 600 ALA24 gris (24x32x600 mm/perfil).   Ref. lp-00001783</t>
  </si>
  <si>
    <t xml:space="preserve">ma-lp-00019571</t>
  </si>
  <si>
    <t xml:space="preserve">Material</t>
  </si>
  <si>
    <t xml:space="preserve">caja</t>
  </si>
  <si>
    <t xml:space="preserve">Remache aluminio-acero 4,8x8 estándar de BRALO (50 pzas/caja).   Ref. lp-00019571</t>
  </si>
  <si>
    <t xml:space="preserve">ma-lp-00515520</t>
  </si>
  <si>
    <t xml:space="preserve">Material</t>
  </si>
  <si>
    <t xml:space="preserve">caja</t>
  </si>
  <si>
    <t xml:space="preserve">Placa de fibra mineral para techo registrable Armstrong Tatra Fission Board; color blanco (600x600x15 mm/placa; 5,76 m2/caja).   Ref. lp-00515520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</si>
  <si>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</si>
  <si>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</si>
  <si>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</si>
  <si>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</si>
  <si>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</si>
  <si>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</si>
  <si>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</si>
  <si>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</si>
  <si>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</si>
  <si>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</si>
  <si>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</si>
  <si>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</si>
  <si>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</si>
  <si>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</si>
  <si>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</si>
  <si>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</si>
  <si>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</si>
  <si>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</si>
  <si>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</si>
  <si>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</si>
  <si>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FTR-FIBRA.MINERAL.T1-TABICA</t>
  </si>
  <si>
    <t xml:space="preserve">FTR-YESO.VINYL-60x60cm</t>
  </si>
  <si>
    <t xml:space="preserve">Partida</t>
  </si>
  <si>
    <t xml:space="preserve">m2</t>
  </si>
  <si>
    <t xml:space="preserve">FALSO TECHO REGISTRABLE EN CUADRÍCULAS 60X60 cm CON PERFILERÍA GALVANIZADA VISTA GRIS Y PLACAS DE YESO LAMINADO CON CAPA VINÍLICA</t>
  </si>
  <si>
    <t xml:space="preserve">ccccccccccc</t>
  </si>
  <si>
    <t xml:space="preserve">ma-lp-00001778</t>
  </si>
  <si>
    <t xml:space="preserve">Material</t>
  </si>
  <si>
    <t xml:space="preserve">perfil</t>
  </si>
  <si>
    <t xml:space="preserve">Perfil angular para instalación de techos registrables Quick Lock 3000 gris (22x22x3000 mm/perfil).   Ref. lp-00001778</t>
  </si>
  <si>
    <t xml:space="preserve">ma-lp-00215083</t>
  </si>
  <si>
    <t xml:space="preserve">Material</t>
  </si>
  <si>
    <t xml:space="preserve">caja</t>
  </si>
  <si>
    <t xml:space="preserve">Taco DUOPOWER de FISCHER (50 pzas/caja).   Ref. lp-00215083</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</si>
  <si>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</si>
  <si>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</si>
  <si>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</si>
  <si>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</si>
  <si>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</si>
  <si>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</si>
  <si>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</si>
  <si>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</si>
  <si>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ma-lp-00470215</t>
  </si>
  <si>
    <t xml:space="preserve">Material</t>
  </si>
  <si>
    <t xml:space="preserve">bolsa</t>
  </si>
  <si>
    <t xml:space="preserve">Horquilla de cuelgue niveladora TR M4 de SENOR con rotura de puente térmico para falsos techos registrables (20 pzas/bolsa).   Ref. lp-00470215</t>
  </si>
  <si>
    <t xml:space="preserve">ma-lp-00019571</t>
  </si>
  <si>
    <t xml:space="preserve">Material</t>
  </si>
  <si>
    <t xml:space="preserve">caja</t>
  </si>
  <si>
    <t xml:space="preserve">Remache aluminio-acero 4,8x8 estándar de BRALO (50 pzas/caja).   Ref. lp-00019571</t>
  </si>
  <si>
    <t xml:space="preserve">ma-lp-00001779</t>
  </si>
  <si>
    <t xml:space="preserve">Material</t>
  </si>
  <si>
    <t xml:space="preserve">perfil</t>
  </si>
  <si>
    <t xml:space="preserve">Perfil primario para instalación de techos registrables Quick Lock 3600 ALA24 gris (24x38x3600 mm/perfil).   Ref. lp-00001779</t>
  </si>
  <si>
    <t xml:space="preserve">ma-lp-00001781</t>
  </si>
  <si>
    <t xml:space="preserve">Material</t>
  </si>
  <si>
    <t xml:space="preserve">perfil</t>
  </si>
  <si>
    <t xml:space="preserve">Perfil secundario para instalación de techos registrables Quick Lock 1200 ALA24 gris (24x32x1200 mm/perfil).   Ref. lp-00001781</t>
  </si>
  <si>
    <t xml:space="preserve">ma-lp-00001783</t>
  </si>
  <si>
    <t xml:space="preserve">Material</t>
  </si>
  <si>
    <t xml:space="preserve">perfil</t>
  </si>
  <si>
    <t xml:space="preserve">Perfil secundario para instalación de techos registrables Quick Lock 600 ALA24 gris (24x32x600 mm/perfil).   Ref. lp-00001783</t>
  </si>
  <si>
    <t xml:space="preserve">ma-bauhaus-26159528</t>
  </si>
  <si>
    <t xml:space="preserve">Material</t>
  </si>
  <si>
    <t xml:space="preserve">placa</t>
  </si>
  <si>
    <t xml:space="preserve">Placa para techo registrable de yeso laminado revestida con una lámina de policloruro de vinilo blanco (1200x600 mm/placa).   Ref. bauhaus-26159528</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</si>
  <si>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</si>
  <si>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</si>
  <si>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</si>
  <si>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</si>
  <si>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</si>
  <si>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</si>
  <si>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</si>
  <si>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</si>
  <si>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</si>
  <si>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</si>
  <si>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</si>
  <si>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</si>
  <si>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</si>
  <si>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</si>
  <si>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</si>
  <si>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</si>
  <si>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</si>
  <si>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</si>
  <si>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</si>
  <si>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</si>
  <si>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</si>
  <si>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</si>
  <si>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</si>
  <si>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</si>
  <si>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FTR-YESO.VINYL-60x60cm</t>
  </si>
  <si>
    <t xml:space="preserve">FTR-YESO.VINYL-TABICA</t>
  </si>
  <si>
    <t xml:space="preserve">Partida</t>
  </si>
  <si>
    <t xml:space="preserve">m</t>
  </si>
  <si>
    <t xml:space="preserve">TABICA VERTICAL EN CAMBIO DE NIVEL DE FALSO TECHO REGISTRABLE CON PLACA DE YESO LAMINADO CON CAPA VINÍLICA, PARA CERRAR ESPACIO &lt;= 30 cm DE ALTURA</t>
  </si>
  <si>
    <t xml:space="preserve">TABICA VERTICAL EN CAMBIO DE NIVEL DE FALSO TECHO REGISTRABLE CON PLACA DE YESO LAMINADO CON CAPA VINÍLICA, PARA CERRAR ESPACIO &lt;= 30 cm DE ALTURA</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</si>
  <si>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</si>
  <si>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</si>
  <si>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</si>
  <si>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</si>
  <si>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</si>
  <si>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</si>
  <si>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</si>
  <si>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</si>
  <si>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ma-lp-00470215</t>
  </si>
  <si>
    <t xml:space="preserve">Material</t>
  </si>
  <si>
    <t xml:space="preserve">bolsa</t>
  </si>
  <si>
    <t xml:space="preserve">Horquilla de cuelgue niveladora TR M4 de SENOR con rotura de puente térmico para falsos techos registrables (20 pzas/bolsa).   Ref. lp-00470215</t>
  </si>
  <si>
    <t xml:space="preserve">ma-lp-00001781</t>
  </si>
  <si>
    <t xml:space="preserve">Material</t>
  </si>
  <si>
    <t xml:space="preserve">perfil</t>
  </si>
  <si>
    <t xml:space="preserve">Perfil secundario para instalación de techos registrables Quick Lock 1200 ALA24 gris (24x32x1200 mm/perfil).   Ref. lp-00001781</t>
  </si>
  <si>
    <t xml:space="preserve">ma-lp-00001783</t>
  </si>
  <si>
    <t xml:space="preserve">Material</t>
  </si>
  <si>
    <t xml:space="preserve">perfil</t>
  </si>
  <si>
    <t xml:space="preserve">Perfil secundario para instalación de techos registrables Quick Lock 600 ALA24 gris (24x32x600 mm/perfil).   Ref. lp-00001783</t>
  </si>
  <si>
    <t xml:space="preserve">ma-lp-00019571</t>
  </si>
  <si>
    <t xml:space="preserve">Material</t>
  </si>
  <si>
    <t xml:space="preserve">caja</t>
  </si>
  <si>
    <t xml:space="preserve">Remache aluminio-acero 4,8x8 estándar de BRALO (50 pzas/caja).   Ref. lp-00019571</t>
  </si>
  <si>
    <t xml:space="preserve">ma-bauhaus-26159528</t>
  </si>
  <si>
    <t xml:space="preserve">Material</t>
  </si>
  <si>
    <t xml:space="preserve">placa</t>
  </si>
  <si>
    <t xml:space="preserve">Placa para techo registrable de yeso laminado revestida con una lámina de policloruro de vinilo blanco (1200x600 mm/placa).   Ref. bauhaus-26159528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</si>
  <si>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</si>
  <si>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</si>
  <si>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</si>
  <si>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</si>
  <si>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</si>
  <si>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</si>
  <si>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</si>
  <si>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</si>
  <si>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</si>
  <si>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</si>
  <si>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</si>
  <si>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</si>
  <si>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</si>
  <si>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</si>
  <si>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</si>
  <si>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</si>
  <si>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</si>
  <si>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</si>
  <si>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</si>
  <si>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</si>
  <si>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FTR-YESO.VINYL-TABICA</t>
  </si>
  <si>
    <t xml:space="preserve">FTR-YESO.Y.VINYL-120x60cm</t>
  </si>
  <si>
    <t xml:space="preserve">Partida</t>
  </si>
  <si>
    <t xml:space="preserve">m2</t>
  </si>
  <si>
    <t xml:space="preserve">FALSO TECHO REGISTRABLE EN CUADRÍCULAS 120X60 cm CON PERFILERÍA GALVANIZADA VISTA GRIS Y PLACAS DE YESO LAMINADO CON CAPA VINÍLICA</t>
  </si>
  <si>
    <t xml:space="preserve">FALSO TECHO REGISTRABLE EN CUADRÍCULAS 120X60 cm CON PERFILERÍA GALVANIZADA VISTA GRIS Y PLACAS DE YESO LAMINADO CON CAPA VINÍLICA</t>
  </si>
  <si>
    <t xml:space="preserve">ma-lp-00001778</t>
  </si>
  <si>
    <t xml:space="preserve">Material</t>
  </si>
  <si>
    <t xml:space="preserve">perfil</t>
  </si>
  <si>
    <t xml:space="preserve">Perfil angular para instalación de techos registrables Quick Lock 3000 gris (22x22x3000 mm/perfil).   Ref. lp-00001778</t>
  </si>
  <si>
    <t xml:space="preserve">ma-lp-00215083</t>
  </si>
  <si>
    <t xml:space="preserve">Material</t>
  </si>
  <si>
    <t xml:space="preserve">caja</t>
  </si>
  <si>
    <t xml:space="preserve">Taco DUOPOWER de FISCHER (50 pzas/caja).   Ref. lp-00215083</t>
  </si>
  <si>
    <t xml:space="preserve">ma-lp-00411803</t>
  </si>
  <si>
    <t xml:space="preserve">Material</t>
  </si>
  <si>
    <t xml:space="preserve">bolsa</t>
  </si>
  <si>
    <t xml:space="preserve">Taco latón hembra M-6 (10 uds/bolsa).   Ref. lp-00411803</t>
  </si>
  <si>
    <t xml:space="preserve">ma-lp-00193859</t>
  </si>
  <si>
    <t xml:space="preserve">Material</t>
  </si>
  <si>
    <t xml:space="preserve">pza</t>
  </si>
  <si>
    <t xml:space="preserve">Varilla roscada de acero cincado M-8 de HYDRAFIX (1 m/pza).   Ref. lp-00193859</t>
  </si>
  <si>
    <t xml:space="preserve">ma-lp-00470215</t>
  </si>
  <si>
    <t xml:space="preserve">Material</t>
  </si>
  <si>
    <t xml:space="preserve">bolsa</t>
  </si>
  <si>
    <t xml:space="preserve">Horquilla de cuelgue niveladora TR M4 de SENOR con rotura de puente térmico para falsos techos registrables (20 pzas/bolsa).   Ref. lp-00470215</t>
  </si>
  <si>
    <t xml:space="preserve">ma-lp-00019571</t>
  </si>
  <si>
    <t xml:space="preserve">Material</t>
  </si>
  <si>
    <t xml:space="preserve">caja</t>
  </si>
  <si>
    <t xml:space="preserve">Remache aluminio-acero 4,8x8 estándar de BRALO (50 pzas/caja).   Ref. lp-00019571</t>
  </si>
  <si>
    <t xml:space="preserve">ma-lp-00001779</t>
  </si>
  <si>
    <t xml:space="preserve">Material</t>
  </si>
  <si>
    <t xml:space="preserve">perfil</t>
  </si>
  <si>
    <t xml:space="preserve">Perfil primario para instalación de techos registrables Quick Lock 3600 ALA24 gris (24x38x3600 mm/perfil).   Ref. lp-00001779</t>
  </si>
  <si>
    <t xml:space="preserve">ma-lp-00001781</t>
  </si>
  <si>
    <t xml:space="preserve">Material</t>
  </si>
  <si>
    <t xml:space="preserve">perfil</t>
  </si>
  <si>
    <t xml:space="preserve">Perfil secundario para instalación de techos registrables Quick Lock 1200 ALA24 gris (24x32x1200 mm/perfil).   Ref. lp-00001781</t>
  </si>
  <si>
    <t xml:space="preserve">ma-lp-00001783</t>
  </si>
  <si>
    <t xml:space="preserve">Material</t>
  </si>
  <si>
    <t xml:space="preserve">perfil</t>
  </si>
  <si>
    <t xml:space="preserve">Perfil secundario para instalación de techos registrables Quick Lock 600 ALA24 gris (24x32x600 mm/perfil).   Ref. lp-00001783</t>
  </si>
  <si>
    <t xml:space="preserve">ma-bauhaus-26159528</t>
  </si>
  <si>
    <t xml:space="preserve">Material</t>
  </si>
  <si>
    <t xml:space="preserve">placa</t>
  </si>
  <si>
    <t xml:space="preserve">Placa para techo registrable de yeso laminado revestida con una lámina de policloruro de vinilo blanco (1200x600 mm/placa).   Ref. bauhaus-26159528</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</si>
  <si>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</si>
  <si>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</si>
  <si>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</si>
  <si>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</si>
  <si>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</si>
  <si>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</si>
  <si>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</si>
  <si>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</si>
  <si>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</si>
  <si>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</si>
  <si>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</si>
  <si>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</si>
  <si>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</si>
  <si>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</si>
  <si>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</si>
  <si>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</si>
  <si>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</si>
  <si>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</si>
  <si>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</si>
  <si>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</si>
  <si>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</si>
  <si>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</si>
  <si>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</si>
  <si>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</si>
  <si>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FTR-YESO.Y.VINYL-120x60cm</t>
  </si>
  <si>
    <t xml:space="preserve">FALSO.TECHO.REGISTRABLE</t>
  </si>
  <si>
    <t xml:space="preserve">REP-FALSO.TECHO-PLADUR</t>
  </si>
  <si>
    <t xml:space="preserve">Capítulo</t>
  </si>
  <si>
    <t xml:space="preserve">REPARACIONES DE FALSOS TECHOS DE PLADUR</t>
  </si>
  <si>
    <t xml:space="preserve">REP-FALSO.TECHO-PLADUR-NORMAL</t>
  </si>
  <si>
    <t xml:space="preserve">Partida</t>
  </si>
  <si>
    <t xml:space="preserve">m2</t>
  </si>
  <si>
    <t xml:space="preserve">REPARACIONES MENORES EN FALSO TECHO PLADUR NORMAL</t>
  </si>
  <si>
    <t xml:space="preserve">REPARACIONES MENORES EN FALSO TECHO PLADUR NORMAL</t>
  </si>
  <si>
    <t xml:space="preserve">ma-lp-00539298</t>
  </si>
  <si>
    <t xml:space="preserve">Material</t>
  </si>
  <si>
    <t xml:space="preserve">placa</t>
  </si>
  <si>
    <t xml:space="preserve">Placa PLADUR N terminación normal (12x1200x3000 mm).   Ref. lp-00539298</t>
  </si>
  <si>
    <t xml:space="preserve">ma-lp-00539587</t>
  </si>
  <si>
    <t xml:space="preserve">Material</t>
  </si>
  <si>
    <t xml:space="preserve">perfil</t>
  </si>
  <si>
    <t xml:space="preserve">Perfil PLADUR en C galvanizado Z140 (48x35x3000 mm/perfil).   Ref. lp-00539587</t>
  </si>
  <si>
    <t xml:space="preserve">ma-lp-00539656</t>
  </si>
  <si>
    <t xml:space="preserve">Material</t>
  </si>
  <si>
    <t xml:space="preserve">perfil</t>
  </si>
  <si>
    <t xml:space="preserve">Perfil PLADUR CLIP canal en U galvanizado Z140 (20x30x3000 mm/perfil).   Ref. lp-00539656</t>
  </si>
  <si>
    <t xml:space="preserve">ma-lp-00002032</t>
  </si>
  <si>
    <t xml:space="preserve">Material</t>
  </si>
  <si>
    <t xml:space="preserve">caja</t>
  </si>
  <si>
    <t xml:space="preserve">Tornillo PLADUR PM 4,2x70 mm (250 pzas/caja).   Ref. lp-00002032</t>
  </si>
  <si>
    <t xml:space="preserve">ma-lp-00001361</t>
  </si>
  <si>
    <t xml:space="preserve">Material</t>
  </si>
  <si>
    <t xml:space="preserve">rollo</t>
  </si>
  <si>
    <t xml:space="preserve">Cinta guardavivos microperforada de papel (30 m/rollo).   Ref. lp-00001361</t>
  </si>
  <si>
    <t xml:space="preserve">ma-lp-00539666</t>
  </si>
  <si>
    <t xml:space="preserve">Material</t>
  </si>
  <si>
    <t xml:space="preserve">saco</t>
  </si>
  <si>
    <t xml:space="preserve">Pasta para juntas PLADUR JF (18 kg/saco).   Ref. lp-00539666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</si>
  <si>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</si>
  <si>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</si>
  <si>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</si>
  <si>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</si>
  <si>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</si>
  <si>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</si>
  <si>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</si>
  <si>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</si>
  <si>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</si>
  <si>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</si>
  <si>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</si>
  <si>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</si>
  <si>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</si>
  <si>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</si>
  <si>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</si>
  <si>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</si>
  <si>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</si>
  <si>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</si>
  <si>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</si>
  <si>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</si>
  <si>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REP-FALSO.TECHO-PLADUR-NORMAL</t>
  </si>
  <si>
    <t xml:space="preserve">REP-FALSO.TECHO-PLADUR-HIDROFUGO</t>
  </si>
  <si>
    <t xml:space="preserve">Partida</t>
  </si>
  <si>
    <t xml:space="preserve">m2</t>
  </si>
  <si>
    <t xml:space="preserve">REPARACIONES MENORES EN FALSO TECHO PLADUR HIDRÓFUGO</t>
  </si>
  <si>
    <t xml:space="preserve">REPARACIONES MENORES EN FALSO TECHO PLADUR HIDRÓFUGO</t>
  </si>
  <si>
    <t xml:space="preserve">ma-lp-00539322</t>
  </si>
  <si>
    <t xml:space="preserve">Material</t>
  </si>
  <si>
    <t xml:space="preserve">placa</t>
  </si>
  <si>
    <t xml:space="preserve">Placa PLADUR H1 zonas húmedas (12x1200x3000 mm/placa).   Ref. lp-00539322</t>
  </si>
  <si>
    <t xml:space="preserve">ma-lp-00539587</t>
  </si>
  <si>
    <t xml:space="preserve">Material</t>
  </si>
  <si>
    <t xml:space="preserve">perfil</t>
  </si>
  <si>
    <t xml:space="preserve">Perfil PLADUR en C galvanizado Z140 (48x35x3000 mm/perfil).   Ref. lp-00539587</t>
  </si>
  <si>
    <t xml:space="preserve">ma-lp-00539656</t>
  </si>
  <si>
    <t xml:space="preserve">Material</t>
  </si>
  <si>
    <t xml:space="preserve">perfil</t>
  </si>
  <si>
    <t xml:space="preserve">Perfil PLADUR CLIP canal en U galvanizado Z140 (20x30x3000 mm/perfil).   Ref. lp-00539656</t>
  </si>
  <si>
    <t xml:space="preserve">ma-lp-00002032</t>
  </si>
  <si>
    <t xml:space="preserve">Material</t>
  </si>
  <si>
    <t xml:space="preserve">caja</t>
  </si>
  <si>
    <t xml:space="preserve">Tornillo PLADUR PM 4,2x70 mm (250 pzas/caja).   Ref. lp-00002032</t>
  </si>
  <si>
    <t xml:space="preserve">ma-lp-00001361</t>
  </si>
  <si>
    <t xml:space="preserve">Material</t>
  </si>
  <si>
    <t xml:space="preserve">rollo</t>
  </si>
  <si>
    <t xml:space="preserve">Cinta guardavivos microperforada de papel (30 m/rollo).   Ref. lp-00001361</t>
  </si>
  <si>
    <t xml:space="preserve">ma-lp-00539666</t>
  </si>
  <si>
    <t xml:space="preserve">Material</t>
  </si>
  <si>
    <t xml:space="preserve">saco</t>
  </si>
  <si>
    <t xml:space="preserve">Pasta para juntas PLADUR JF (18 kg/saco).   Ref. lp-00539666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</si>
  <si>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</si>
  <si>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</si>
  <si>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</si>
  <si>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</si>
  <si>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</si>
  <si>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</si>
  <si>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</si>
  <si>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</si>
  <si>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</si>
  <si>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</si>
  <si>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</si>
  <si>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</si>
  <si>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</si>
  <si>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</si>
  <si>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</si>
  <si>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</si>
  <si>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</si>
  <si>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</si>
  <si>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</si>
  <si>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</si>
  <si>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REP-FALSO.TECHO-PLADUR-HIDROFUGO</t>
  </si>
  <si>
    <t xml:space="preserve">REP-FALSO.TECHO-PLADUR</t>
  </si>
  <si>
    <t xml:space="preserve">FALSO.TECHO</t>
  </si>
  <si>
    <t xml:space="preserve">FACHTECH</t>
  </si>
  <si>
    <t xml:space="preserve">FACHPESADA</t>
  </si>
  <si>
    <t xml:space="preserve">Partida</t>
  </si>
  <si>
    <t xml:space="preserve">M2</t>
  </si>
  <si>
    <t xml:space="preserve">Fachada pesada de paneles prefabricados de hormigón armado.</t>
  </si>
  <si>
    <t xml:space="preserve">Demolición de cerramiento de fachada formado por paneles prefabricados de hormigón de hasta 20 cm de espesor, dispuestos en posición vertical, con medios mecánicos, sin deteriorar los elementos constructivos a los que están sujetos, y carga mecánica sobre camión o contenedor.</t>
  </si>
  <si>
    <t xml:space="preserve">pnl12</t>
  </si>
  <si>
    <t xml:space="preserve">Material</t>
  </si>
  <si>
    <t xml:space="preserve">m2</t>
  </si>
  <si>
    <t xml:space="preserve">Panel prefabricado, nervado, de hormigón armado de 12 cm</t>
  </si>
  <si>
    <t xml:space="preserve">mas1</t>
  </si>
  <si>
    <t xml:space="preserve">Material</t>
  </si>
  <si>
    <t xml:space="preserve">kg</t>
  </si>
  <si>
    <t xml:space="preserve">Masilla caucho-asfáltica para sellado en frío de juntas de paneles prefabricados de hormigón.</t>
  </si>
  <si>
    <t xml:space="preserve">grua1</t>
  </si>
  <si>
    <t xml:space="preserve">Material</t>
  </si>
  <si>
    <t xml:space="preserve">h</t>
  </si>
  <si>
    <t xml:space="preserve">Grúa autopropulsada de brazo telescópico con una capacidad de elevación de 60 t y 58 m de</t>
  </si>
  <si>
    <t xml:space="preserve">m.o.1</t>
  </si>
  <si>
    <t xml:space="preserve">Mano de obra</t>
  </si>
  <si>
    <t xml:space="preserve">h</t>
  </si>
  <si>
    <t xml:space="preserve">Mano de Obra: 1 Oficial de 1ª, 1 Ayudante y 1/2 Ayudante</t>
  </si>
  <si>
    <t xml:space="preserve">grc1</t>
  </si>
  <si>
    <t xml:space="preserve">Material</t>
  </si>
  <si>
    <t xml:space="preserve">m2</t>
  </si>
  <si>
    <t xml:space="preserve">Piezas especiales y elementos metalicos para GRC</t>
  </si>
  <si>
    <t xml:space="preserve">FACHPESADA</t>
  </si>
  <si>
    <t xml:space="preserve">FACHDEF</t>
  </si>
  <si>
    <t xml:space="preserve">Capítulo</t>
  </si>
  <si>
    <t xml:space="preserve">o DEFENSAS</t>
  </si>
  <si>
    <t xml:space="preserve">BAR001</t>
  </si>
  <si>
    <t xml:space="preserve">Partida</t>
  </si>
  <si>
    <t xml:space="preserve">U</t>
  </si>
  <si>
    <t xml:space="preserve">o REPARACIÓN PUNTUAL DE ANCLAJE DE BARANDILLA</t>
  </si>
  <si>
    <t xml:space="preserve">Reparación del punto de empotramiento del paral o montante de barandilla en borde de losa o forjado; incluyendo: repicado/demolición de la zona de intervención, retiro del anclaje existente y restitución del punto de apoyo con aporte de material de acero inoxidable soldado (pletina fijada con taco químico y tramo de tubo complementario (L&lt;20 cm)) y reposición canto de hormigón con resinas epoxi</t>
  </si>
  <si>
    <t xml:space="preserve">ma-bi-s/c-002</t>
  </si>
  <si>
    <t xml:space="preserve">Material</t>
  </si>
  <si>
    <t xml:space="preserve">pza</t>
  </si>
  <si>
    <t xml:space="preserve">Pletina o barra maciza de acero inoxidable AISI-304 BA acabado exterior pulido industrial; 50x10x1000 mm (1 m/pza).   Ref. BRICOINOX-S/C-002</t>
  </si>
  <si>
    <t xml:space="preserve">ma-bi-s/c-001</t>
  </si>
  <si>
    <t xml:space="preserve">Material</t>
  </si>
  <si>
    <t xml:space="preserve">pza</t>
  </si>
  <si>
    <t xml:space="preserve">Tubo sección circular de acero inoxidable AISI-304 BA acabado exterior pulido brillo; 43x1,5x2000 mm (2 m/pza).   Ref. bi-S/C-001</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</si>
  <si>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</si>
  <si>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</si>
  <si>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</si>
  <si>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</si>
  <si>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</si>
  <si>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</si>
  <si>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</si>
  <si>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</si>
  <si>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ma-bm-10282853</t>
  </si>
  <si>
    <t xml:space="preserve">Material</t>
  </si>
  <si>
    <t xml:space="preserve">bolsa</t>
  </si>
  <si>
    <t xml:space="preserve">Espárrago/Varilla de inyección para anclaje químico; 10x165 mm (8 Pzas./Bolsa)   Ref. bm-10282853</t>
  </si>
  <si>
    <t xml:space="preserve">ma-lp-00351248</t>
  </si>
  <si>
    <t xml:space="preserve">Material</t>
  </si>
  <si>
    <t xml:space="preserve">caja</t>
  </si>
  <si>
    <t xml:space="preserve">Electrodo rutilo para acero inoxidable EUTECTRODE E 316L-17 CASTOLÍN EUTECTIC; 2.5x300mm (10 varillas/caja).   Ref. lp-00351248</t>
  </si>
  <si>
    <t xml:space="preserve">ma-lp-00288080</t>
  </si>
  <si>
    <t xml:space="preserve">Material</t>
  </si>
  <si>
    <t xml:space="preserve">lata</t>
  </si>
  <si>
    <t xml:space="preserve">Disco abrasivo DEWALT FAST CUT; 115x1x22,23 mm para el corte de acero inoxidable (10 discos/lata)   Ref. lp-00288080</t>
  </si>
  <si>
    <t xml:space="preserve">ma-lp-00007314</t>
  </si>
  <si>
    <t xml:space="preserve">Material</t>
  </si>
  <si>
    <t xml:space="preserve">envase</t>
  </si>
  <si>
    <t xml:space="preserve">Imprimador antioxidante BARPIMO (4 litros/envase)   Ref. lp-00007314</t>
  </si>
  <si>
    <t xml:space="preserve">alq.soldadora-mym-01</t>
  </si>
  <si>
    <t xml:space="preserve">Maquinaria</t>
  </si>
  <si>
    <t xml:space="preserve">h</t>
  </si>
  <si>
    <t xml:space="preserve">Alquiler de Soldadora Eléctrica Inverter Electrodo 3,25 mm 160A/60% 230 V.   Ref. MÁQUINAS Y MÁQUINAS</t>
  </si>
  <si>
    <t xml:space="preserve">alq-amolador-mym-01</t>
  </si>
  <si>
    <t xml:space="preserve">Maquinaria</t>
  </si>
  <si>
    <t xml:space="preserve">h</t>
  </si>
  <si>
    <t xml:space="preserve">Alquiler de Amolador Radial Eléctrico Portátil Diámetro 115 mm 750 W / 230 V.   Ref. MÁQUINAS Y MÁQUINAS</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</si>
  <si>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</si>
  <si>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</si>
  <si>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</si>
  <si>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</si>
  <si>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</si>
  <si>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</si>
  <si>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</si>
  <si>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</si>
  <si>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ma-lp-00017168</t>
  </si>
  <si>
    <t xml:space="preserve">Material</t>
  </si>
  <si>
    <t xml:space="preserve">und</t>
  </si>
  <si>
    <t xml:space="preserve">Broca para metal BOSCH HSS-G; 12x134x205 mm   Ref. lp-00017168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</si>
  <si>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</si>
  <si>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</si>
  <si>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</si>
  <si>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</si>
  <si>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</si>
  <si>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</si>
  <si>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</si>
  <si>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</si>
  <si>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</si>
  <si>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</si>
  <si>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</si>
  <si>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</si>
  <si>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</si>
  <si>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</si>
  <si>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</si>
  <si>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</si>
  <si>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</si>
  <si>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</si>
  <si>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</si>
  <si>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</si>
  <si>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BAR001</t>
  </si>
  <si>
    <t xml:space="preserve">BAR001TV</t>
  </si>
  <si>
    <t xml:space="preserve">Partida</t>
  </si>
  <si>
    <t xml:space="preserve">U</t>
  </si>
  <si>
    <t xml:space="preserve">o REPARACIÓN PUNTUAL DE ANCLAJE DE BARANDILLA C/VERTICALES</t>
  </si>
  <si>
    <t xml:space="preserve">D</t>
  </si>
  <si>
    <t xml:space="preserve">ma-bi-s/c-002</t>
  </si>
  <si>
    <t xml:space="preserve">Material</t>
  </si>
  <si>
    <t xml:space="preserve">pza</t>
  </si>
  <si>
    <t xml:space="preserve">Pletina o barra maciza de acero inoxidable AISI-304 BA acabado exterior pulido industrial; 50x10x1000 mm (1 m/pza).   Ref. BRICOINOX-S/C-002</t>
  </si>
  <si>
    <t xml:space="preserve">ma-bi-s/c-001</t>
  </si>
  <si>
    <t xml:space="preserve">Material</t>
  </si>
  <si>
    <t xml:space="preserve">pza</t>
  </si>
  <si>
    <t xml:space="preserve">Tubo sección circular de acero inoxidable AISI-304 BA acabado exterior pulido brillo; 43x1,5x2000 mm (2 m/pza).   Ref. bi-S/C-001</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</si>
  <si>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</si>
  <si>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</si>
  <si>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</si>
  <si>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</si>
  <si>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</si>
  <si>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</si>
  <si>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</si>
  <si>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</si>
  <si>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ma-bm-10282853</t>
  </si>
  <si>
    <t xml:space="preserve">Material</t>
  </si>
  <si>
    <t xml:space="preserve">bolsa</t>
  </si>
  <si>
    <t xml:space="preserve">Espárrago/Varilla de inyección para anclaje químico; 10x165 mm (8 Pzas./Bolsa)   Ref. bm-10282853</t>
  </si>
  <si>
    <t xml:space="preserve">ma-lp-00351248</t>
  </si>
  <si>
    <t xml:space="preserve">Material</t>
  </si>
  <si>
    <t xml:space="preserve">caja</t>
  </si>
  <si>
    <t xml:space="preserve">Electrodo rutilo para acero inoxidable EUTECTRODE E 316L-17 CASTOLÍN EUTECTIC; 2.5x300mm (10 varillas/caja).   Ref. lp-00351248</t>
  </si>
  <si>
    <t xml:space="preserve">ma-lp-00288080</t>
  </si>
  <si>
    <t xml:space="preserve">Material</t>
  </si>
  <si>
    <t xml:space="preserve">lata</t>
  </si>
  <si>
    <t xml:space="preserve">Disco abrasivo DEWALT FAST CUT; 115x1x22,23 mm para el corte de acero inoxidable (10 discos/lata)   Ref. lp-00288080</t>
  </si>
  <si>
    <t xml:space="preserve">ma-lp-00007314</t>
  </si>
  <si>
    <t xml:space="preserve">Material</t>
  </si>
  <si>
    <t xml:space="preserve">envase</t>
  </si>
  <si>
    <t xml:space="preserve">Imprimador antioxidante BARPIMO (4 litros/envase)   Ref. lp-00007314</t>
  </si>
  <si>
    <t xml:space="preserve">alq.soldadora-mym-01</t>
  </si>
  <si>
    <t xml:space="preserve">Maquinaria</t>
  </si>
  <si>
    <t xml:space="preserve">h</t>
  </si>
  <si>
    <t xml:space="preserve">Alquiler de Soldadora Eléctrica Inverter Electrodo 3,25 mm 160A/60% 230 V.   Ref. MÁQUINAS Y MÁQUINAS</t>
  </si>
  <si>
    <t xml:space="preserve">alq-amolador-mym-01</t>
  </si>
  <si>
    <t xml:space="preserve">Maquinaria</t>
  </si>
  <si>
    <t xml:space="preserve">h</t>
  </si>
  <si>
    <t xml:space="preserve">Alquiler de Amolador Radial Eléctrico Portátil Diámetro 115 mm 750 W / 230 V.   Ref. MÁQUINAS Y MÁQUINAS</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</si>
  <si>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</si>
  <si>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</si>
  <si>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</si>
  <si>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</si>
  <si>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</si>
  <si>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</si>
  <si>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</si>
  <si>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</si>
  <si>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ma-lp-00017168</t>
  </si>
  <si>
    <t xml:space="preserve">Material</t>
  </si>
  <si>
    <t xml:space="preserve">und</t>
  </si>
  <si>
    <t xml:space="preserve">Broca para metal BOSCH HSS-G; 12x134x205 mm   Ref. lp-00017168</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</si>
  <si>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</si>
  <si>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</si>
  <si>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</si>
  <si>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</si>
  <si>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</si>
  <si>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</si>
  <si>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</si>
  <si>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</si>
  <si>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</si>
  <si>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</si>
  <si>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</si>
  <si>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</si>
  <si>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</si>
  <si>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</si>
  <si>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</si>
  <si>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</si>
  <si>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</si>
  <si>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</si>
  <si>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</si>
  <si>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</si>
  <si>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BAR001TV</t>
  </si>
  <si>
    <t xml:space="preserve">BAR002</t>
  </si>
  <si>
    <t xml:space="preserve">Partida</t>
  </si>
  <si>
    <t xml:space="preserve">U</t>
  </si>
  <si>
    <t xml:space="preserve">o RESTAURACIÓN DE PUNTO DE EMPOTRAMIENTO LATERAL DE BARANDILLA A PARAMENTO DE PIEDRA</t>
  </si>
  <si>
    <t xml:space="preserve">Trabajos de pasivado de empotramiento metálico de barandilla existente en buen estado en losa de balcón, mediante el repicado del soporte en la zona de empotramiento hasta descubrir el soporte metálico llegando a base firme. Pasivado de empotramientos con protección anti corrosiva del tipo SIKA TOP ARMATEC 110 EPOCEM. Cumplimentado de los agujeros del empotramiento a base de cemento mejorado con resinas sintéticas, humo de sílice y fibras minerales tipo SIKA MONOTOP 612/618. La superficie quedará preparada para la aplicación del revestimiento de acabado</t>
  </si>
  <si>
    <t xml:space="preserve">ma-manau-92355</t>
  </si>
  <si>
    <t xml:space="preserve">Material</t>
  </si>
  <si>
    <t xml:space="preserve">envase</t>
  </si>
  <si>
    <t xml:space="preserve">SIKA TOP ARMATEC 110 EPOCEM. (4kg)</t>
  </si>
  <si>
    <t xml:space="preserve">ma-manau-92339</t>
  </si>
  <si>
    <t xml:space="preserve">Material</t>
  </si>
  <si>
    <t xml:space="preserve">saco</t>
  </si>
  <si>
    <t xml:space="preserve">Mortero de Reparación Clase R3 SIKA MONOTOP-612 de SIKA (25 kg/saco).</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</si>
  <si>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</si>
  <si>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</si>
  <si>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</si>
  <si>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</si>
  <si>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</si>
  <si>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</si>
  <si>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</si>
  <si>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</si>
  <si>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</si>
  <si>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</si>
  <si>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</si>
  <si>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</si>
  <si>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</si>
  <si>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</si>
  <si>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</si>
  <si>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</si>
  <si>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</si>
  <si>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</si>
  <si>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</si>
  <si>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</si>
  <si>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</si>
  <si>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</si>
  <si>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</si>
  <si>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</si>
  <si>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BAR002</t>
  </si>
  <si>
    <t xml:space="preserve">BAR002TV</t>
  </si>
  <si>
    <t xml:space="preserve">Partida</t>
  </si>
  <si>
    <t xml:space="preserve">U</t>
  </si>
  <si>
    <t xml:space="preserve">RESTAURACIÓN DE PUNTO DE EMPOTRAMIENTO LATERAL DE BARANDILLA A PARAMENTO DE PIEDRA</t>
  </si>
  <si>
    <t xml:space="preserve">FFF</t>
  </si>
  <si>
    <t xml:space="preserve">ma-manau-92355</t>
  </si>
  <si>
    <t xml:space="preserve">Material</t>
  </si>
  <si>
    <t xml:space="preserve">envase</t>
  </si>
  <si>
    <t xml:space="preserve">SIKA TOP ARMATEC 110 EPOCEM. (4kg)</t>
  </si>
  <si>
    <t xml:space="preserve">ma-manau-92339</t>
  </si>
  <si>
    <t xml:space="preserve">Material</t>
  </si>
  <si>
    <t xml:space="preserve">saco</t>
  </si>
  <si>
    <t xml:space="preserve">Mortero de Reparación Clase R3 SIKA MONOTOP-612 de SIKA (25 kg/saco).</t>
  </si>
  <si>
    <t xml:space="preserve">ma-lp-00001705</t>
  </si>
  <si>
    <t xml:space="preserve">Material</t>
  </si>
  <si>
    <t xml:space="preserve">rollo</t>
  </si>
  <si>
    <t xml:space="preserve">Malla de fibra de vidrio azul para refuerzo de morteros y revocos (rollo 50x1 m)   Ref. lp-00001705</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</si>
  <si>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</si>
  <si>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</si>
  <si>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</si>
  <si>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</si>
  <si>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</si>
  <si>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</si>
  <si>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</si>
  <si>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</si>
  <si>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</si>
  <si>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</si>
  <si>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</si>
  <si>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</si>
  <si>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</si>
  <si>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</si>
  <si>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</si>
  <si>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</si>
  <si>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</si>
  <si>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</si>
  <si>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</si>
  <si>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</si>
  <si>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BAR002TV</t>
  </si>
  <si>
    <t xml:space="preserve">BAR003</t>
  </si>
  <si>
    <t xml:space="preserve">Partida</t>
  </si>
  <si>
    <t xml:space="preserve">M</t>
  </si>
  <si>
    <t xml:space="preserve">BARANDILLA DE FACHADA, DE ACERO CON TUBO CUADRADO DE 30X30X1.5MM</t>
  </si>
  <si>
    <t xml:space="preserve">Barandilla de fachada en forma recta, de 100 cm de altura, formada por: bastidor compuesto de barandal superior e inferior de tubo cuadrado de perfil hueco de acero laminado en frío de 30x30x1,5 mm y montantes de tubo cuadrado de perfil hueco de acero laminado en frío de 30x30x1,5 mm con una separación de 100 cm entre sí; entrepaño para relleno de los huecos del bastidor compuesto de barrotes verticales de tubo cuadrado de perfil hueco de acero laminado en frío de 30x30x1,5 mm con una separación de 10 cm y pasamanos de tubo cuadrado de perfil hueco de acero laminado en frío de 30x30x1,5 mm, fijada mediante anclaje químico con varilla roscada.</t>
  </si>
  <si>
    <t xml:space="preserve">ma-lp-00001652</t>
  </si>
  <si>
    <t xml:space="preserve">Material</t>
  </si>
  <si>
    <t xml:space="preserve">pza</t>
  </si>
  <si>
    <t xml:space="preserve">Tubo de hierro con sección cuadrada 30x30x1,5 mm (3 m/pza).   Ref. lp-00001652</t>
  </si>
  <si>
    <t xml:space="preserve">ma-lp-00016626</t>
  </si>
  <si>
    <t xml:space="preserve">Material</t>
  </si>
  <si>
    <t xml:space="preserve">cartucho</t>
  </si>
  <si>
    <t xml:space="preserve">Anclaje/Taco químico de resina FISCHER FIS VS 300 T (300 ml/cartucho).   Ref. lp-00016626</t>
  </si>
  <si>
    <t xml:space="preserve">ma-lp-00016913</t>
  </si>
  <si>
    <t xml:space="preserve">Material</t>
  </si>
  <si>
    <t xml:space="preserve">bolsa</t>
  </si>
  <si>
    <t xml:space="preserve">Espárrago/Varilla de inyección para anclaje químico FISCHER FIS GS; 12x120 mm (8 pzas/bolsa).   Ref. lp-00016913.</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</si>
  <si>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</si>
  <si>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</si>
  <si>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</si>
  <si>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</si>
  <si>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</si>
  <si>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</si>
  <si>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</si>
  <si>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</si>
  <si>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</si>
  <si>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</si>
  <si>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</si>
  <si>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</si>
  <si>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</si>
  <si>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</si>
  <si>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</si>
  <si>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</si>
  <si>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</si>
  <si>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</si>
  <si>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</si>
  <si>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</si>
  <si>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</si>
  <si>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</si>
  <si>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</si>
  <si>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</si>
  <si>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BAR003</t>
  </si>
  <si>
    <t xml:space="preserve">FACHDEF-ANCLAJE.BARANDA-AI-2PX4</t>
  </si>
  <si>
    <t xml:space="preserve">Partida</t>
  </si>
  <si>
    <t xml:space="preserve">und</t>
  </si>
  <si>
    <t xml:space="preserve">XXXX REPARACIÓN PUNTUAL DE ANCLAJE DE BARANDILLA CON SUSTITUCIÓN FUNCIONAL EN ACERO INOXIDABLE (PLETINA 15x15 cm c/4 PERNOS)</t>
  </si>
  <si>
    <t xml:space="preserve">Reparación del punto de empotramiento del paral o montante de barandilla en borde de losa o forjado; incluyendo: repicado/demolición de la zona de intervención, retiro del anclaje existente y restitución del punto de apoyo con aporte de material de acero inoxidable soldado (pletina fijada con taco químico y tramo de tubo complementario (15x15 cm c/4 pernos) y reposición canto de hormigón con resinas epoxi</t>
  </si>
  <si>
    <t xml:space="preserve">ma-bi-s/c-002</t>
  </si>
  <si>
    <t xml:space="preserve">Material</t>
  </si>
  <si>
    <t xml:space="preserve">pza</t>
  </si>
  <si>
    <t xml:space="preserve">Pletina o barra maciza de acero inoxidable AISI-304 BA acabado exterior pulido industrial; 50x10x1000 mm (1 m/pza).   Ref. BRICOINOX-S/C-002</t>
  </si>
  <si>
    <t xml:space="preserve">ma-bi-s/c-001</t>
  </si>
  <si>
    <t xml:space="preserve">Material</t>
  </si>
  <si>
    <t xml:space="preserve">pza</t>
  </si>
  <si>
    <t xml:space="preserve">Tubo sección circular de acero inoxidable AISI-304 BA acabado exterior pulido brillo; 43x1,5x2000 mm (2 m/pza).   Ref. bi-S/C-001</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</si>
  <si>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</si>
  <si>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</si>
  <si>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</si>
  <si>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</si>
  <si>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</si>
  <si>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</si>
  <si>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</si>
  <si>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</si>
  <si>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ma-bm-10282853</t>
  </si>
  <si>
    <t xml:space="preserve">Material</t>
  </si>
  <si>
    <t xml:space="preserve">bolsa</t>
  </si>
  <si>
    <t xml:space="preserve">Espárrago/Varilla de inyección para anclaje químico; 10x165 mm (8 Pzas./Bolsa)   Ref. bm-10282853</t>
  </si>
  <si>
    <t xml:space="preserve">ma-lp-00351248</t>
  </si>
  <si>
    <t xml:space="preserve">Material</t>
  </si>
  <si>
    <t xml:space="preserve">caja</t>
  </si>
  <si>
    <t xml:space="preserve">Electrodo rutilo para acero inoxidable EUTECTRODE E 316L-17 CASTOLÍN EUTECTIC; 2.5x300mm (10 varillas/caja).   Ref. lp-00351248</t>
  </si>
  <si>
    <t xml:space="preserve">ma-lp-00288080</t>
  </si>
  <si>
    <t xml:space="preserve">Material</t>
  </si>
  <si>
    <t xml:space="preserve">lata</t>
  </si>
  <si>
    <t xml:space="preserve">Disco abrasivo DEWALT FAST CUT; 115x1x22,23 mm para el corte de acero inoxidable (10 discos/lata)   Ref. lp-00288080</t>
  </si>
  <si>
    <t xml:space="preserve">ma-lp-00007314</t>
  </si>
  <si>
    <t xml:space="preserve">Material</t>
  </si>
  <si>
    <t xml:space="preserve">envase</t>
  </si>
  <si>
    <t xml:space="preserve">Imprimador antioxidante BARPIMO (4 litros/envase)   Ref. lp-00007314</t>
  </si>
  <si>
    <t xml:space="preserve">alq.soldadora-mym-01</t>
  </si>
  <si>
    <t xml:space="preserve">Maquinaria</t>
  </si>
  <si>
    <t xml:space="preserve">h</t>
  </si>
  <si>
    <t xml:space="preserve">Alquiler de Soldadora Eléctrica Inverter Electrodo 3,25 mm 160A/60% 230 V.   Ref. MÁQUINAS Y MÁQUINAS</t>
  </si>
  <si>
    <t xml:space="preserve">alq-amolador-mym-01</t>
  </si>
  <si>
    <t xml:space="preserve">Maquinaria</t>
  </si>
  <si>
    <t xml:space="preserve">h</t>
  </si>
  <si>
    <t xml:space="preserve">Alquiler de Amolador Radial Eléctrico Portátil Diámetro 115 mm 750 W / 230 V.   Ref. MÁQUINAS Y MÁQUINAS</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</si>
  <si>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</si>
  <si>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</si>
  <si>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</si>
  <si>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</si>
  <si>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</si>
  <si>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</si>
  <si>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</si>
  <si>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</si>
  <si>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ma-lp-00017168</t>
  </si>
  <si>
    <t xml:space="preserve">Material</t>
  </si>
  <si>
    <t xml:space="preserve">und</t>
  </si>
  <si>
    <t xml:space="preserve">Broca para metal BOSCH HSS-G; 12x134x205 mm   Ref. lp-00017168</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</si>
  <si>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</si>
  <si>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</si>
  <si>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</si>
  <si>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</si>
  <si>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</si>
  <si>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</si>
  <si>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</si>
  <si>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</si>
  <si>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FACHDEF-ANCLAJE.BARANDA-AI-2PX4</t>
  </si>
  <si>
    <t xml:space="preserve">FACHDEF03-OK</t>
  </si>
  <si>
    <t xml:space="preserve">Partida</t>
  </si>
  <si>
    <t xml:space="preserve">U</t>
  </si>
  <si>
    <t xml:space="preserve">PASAMANOS DE ACERO INOXIDABLE DE 1.50CM</t>
  </si>
  <si>
    <t xml:space="preserve">Pasamanos recto formado por tubo hueco de acero inoxidable AISI 304, acabado pulido brillante, de 30 mm de diámetro, con soportes del mismo material fijados al paramento mediante anclaje mecánico con tacos de nylon y tornillos de acero galvanizado.</t>
  </si>
  <si>
    <t xml:space="preserve">ANLC1</t>
  </si>
  <si>
    <t xml:space="preserve">Material</t>
  </si>
  <si>
    <t xml:space="preserve">U</t>
  </si>
  <si>
    <t xml:space="preserve">Anclaje mecánico con taco de nylon y tornillo de acero galvanizado, de cabeza avellanada.</t>
  </si>
  <si>
    <t xml:space="preserve">ma-manomano-ME2856043</t>
  </si>
  <si>
    <t xml:space="preserve">Material</t>
  </si>
  <si>
    <t xml:space="preserve">pza</t>
  </si>
  <si>
    <t xml:space="preserve">Tubo sección circular de acero inoxidable AISI-304L acabado exterior pulido brillo; 30x1,5x3000 mm (3 m/pza).   Ref. manomano-ME2856043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</si>
  <si>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</si>
  <si>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</si>
  <si>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</si>
  <si>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</si>
  <si>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</si>
  <si>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</si>
  <si>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</si>
  <si>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</si>
  <si>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</si>
  <si>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</si>
  <si>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</si>
  <si>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</si>
  <si>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</si>
  <si>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</si>
  <si>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</si>
  <si>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</si>
  <si>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</si>
  <si>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FACHDEF03-OK</t>
  </si>
  <si>
    <t xml:space="preserve">PINT033XX</t>
  </si>
  <si>
    <t xml:space="preserve">Partida</t>
  </si>
  <si>
    <t xml:space="preserve">M2</t>
  </si>
  <si>
    <t xml:space="preserve">XXXXXX DECAPADO DE PINTURA EN MADERA</t>
  </si>
  <si>
    <t xml:space="preserve">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</si>
  <si>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</si>
  <si>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</si>
  <si>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</si>
  <si>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</si>
  <si>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</si>
  <si>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</si>
  <si>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</si>
  <si>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</si>
  <si>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</si>
  <si>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</si>
  <si>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</si>
  <si>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</si>
  <si>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</si>
  <si>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</si>
  <si>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</si>
  <si>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</si>
  <si>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</si>
  <si>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</si>
  <si>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</si>
  <si>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</si>
  <si>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</si>
  <si>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</si>
  <si>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</si>
  <si>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</si>
  <si>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</si>
  <si>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</si>
  <si>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</si>
  <si>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</si>
  <si>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PINT033XX</t>
  </si>
  <si>
    <t xml:space="preserve">FACHDEF-ANCLAJE.BARANDA-AC-1Px1</t>
  </si>
  <si>
    <t xml:space="preserve">Partida</t>
  </si>
  <si>
    <t xml:space="preserve">und</t>
  </si>
  <si>
    <t xml:space="preserve">REPARACIÓN PUNTUAL DE ANCLAJE DE BARANDILLA CON SUSTITUCIÓN FUNCIONAL EN ACERO (PLETINA 10x6 cm c/1 PERNO)</t>
  </si>
  <si>
    <t xml:space="preserve">REPARACIÓN PUNTUAL DE ANCLAJE DE BARANDILLA CON SUSTITUCIÓN FUNCIONAL EN ACERO (1 ESPÁRRAGO) (FCH)</t>
  </si>
  <si>
    <t xml:space="preserve">ma-lp-00001663</t>
  </si>
  <si>
    <t xml:space="preserve">Material</t>
  </si>
  <si>
    <t xml:space="preserve">pza</t>
  </si>
  <si>
    <t xml:space="preserve">Perfil de acero tipo pletina maciza; 60x5 mm (3 m/pza).   Ref. lp-00001663</t>
  </si>
  <si>
    <t xml:space="preserve">ma-lp-00122180</t>
  </si>
  <si>
    <t xml:space="preserve">Material</t>
  </si>
  <si>
    <t xml:space="preserve">pza</t>
  </si>
  <si>
    <t xml:space="preserve">Tubo de hierro con sección rectangular 40x30 mm (2 m/pza).   Ref. lp-00122180</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</si>
  <si>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</si>
  <si>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</si>
  <si>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</si>
  <si>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</si>
  <si>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</si>
  <si>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</si>
  <si>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</si>
  <si>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</si>
  <si>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ma-bm-10282853</t>
  </si>
  <si>
    <t xml:space="preserve">Material</t>
  </si>
  <si>
    <t xml:space="preserve">bolsa</t>
  </si>
  <si>
    <t xml:space="preserve">Espárrago/Varilla de inyección para anclaje químico; 10x165 mm (8 Pzas./Bolsa)   Ref. bm-10282853</t>
  </si>
  <si>
    <t xml:space="preserve">ma-lp-00351172</t>
  </si>
  <si>
    <t xml:space="preserve">Material</t>
  </si>
  <si>
    <t xml:space="preserve">caja</t>
  </si>
  <si>
    <t xml:space="preserve">Electrodo Rutilo 6013  2,5x350 mm (5kg o 55 varillas/caja)   Ref. lp-00351172</t>
  </si>
  <si>
    <t xml:space="preserve">ma-lp-00556678</t>
  </si>
  <si>
    <t xml:space="preserve">Material</t>
  </si>
  <si>
    <t xml:space="preserve">disco</t>
  </si>
  <si>
    <t xml:space="preserve">Disco de corte BIGMAT estándar para metal 115x2,5.   Ref. lp-00556678</t>
  </si>
  <si>
    <t xml:space="preserve">ma-lp-00007314</t>
  </si>
  <si>
    <t xml:space="preserve">Material</t>
  </si>
  <si>
    <t xml:space="preserve">envase</t>
  </si>
  <si>
    <t xml:space="preserve">Imprimador antioxidante BARPIMO (4 litros/envase)   Ref. lp-00007314</t>
  </si>
  <si>
    <t xml:space="preserve">alq.soldadora-mym-01</t>
  </si>
  <si>
    <t xml:space="preserve">Maquinaria</t>
  </si>
  <si>
    <t xml:space="preserve">h</t>
  </si>
  <si>
    <t xml:space="preserve">Alquiler de Soldadora Eléctrica Inverter Electrodo 3,25 mm 160A/60% 230 V.   Ref. MÁQUINAS Y MÁQUINAS</t>
  </si>
  <si>
    <t xml:space="preserve">alq-amolador-mym-01</t>
  </si>
  <si>
    <t xml:space="preserve">Maquinaria</t>
  </si>
  <si>
    <t xml:space="preserve">h</t>
  </si>
  <si>
    <t xml:space="preserve">Alquiler de Amolador Radial Eléctrico Portátil Diámetro 115 mm 750 W / 230 V.   Ref. MÁQUINAS Y MÁQUINAS</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</si>
  <si>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</si>
  <si>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</si>
  <si>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</si>
  <si>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</si>
  <si>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</si>
  <si>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</si>
  <si>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</si>
  <si>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</si>
  <si>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ma-lp-00017168</t>
  </si>
  <si>
    <t xml:space="preserve">Material</t>
  </si>
  <si>
    <t xml:space="preserve">und</t>
  </si>
  <si>
    <t xml:space="preserve">Broca para metal BOSCH HSS-G; 12x134x205 mm   Ref. lp-00017168</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</si>
  <si>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</si>
  <si>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</si>
  <si>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</si>
  <si>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</si>
  <si>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</si>
  <si>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</si>
  <si>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</si>
  <si>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</si>
  <si>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FACHDEF-ANCLAJE.BARANDA-AC-1Px1</t>
  </si>
  <si>
    <t xml:space="preserve">FACHDEF04-OK</t>
  </si>
  <si>
    <t xml:space="preserve">Partida</t>
  </si>
  <si>
    <t xml:space="preserve">M</t>
  </si>
  <si>
    <t xml:space="preserve">BARANDILLA DE FACHADA EN ACERO INOXIDABLE</t>
  </si>
  <si>
    <t xml:space="preserve">Barandilla de fachada en forma recta, de 100 cm de altura, de acero inoxidable AISI 316 acabado  brillante, formada por: montantes verticales, de perfil cuadrado de 40x40 mm con una separación de 120 cm entre sí; entrepaño de barrotes verticales de acero inoxidable de 16 mm de diámetro y pasamanos de perfil circular de 42 mm, fijada mediante anclaje mecánico de expansión.</t>
  </si>
  <si>
    <t xml:space="preserve">FDD040-GDP-CYPE</t>
  </si>
  <si>
    <t xml:space="preserve">Partida</t>
  </si>
  <si>
    <t xml:space="preserve">m</t>
  </si>
  <si>
    <t xml:space="preserve">Barandilla de fachada, de acero inoxidable AISI 304</t>
  </si>
  <si>
    <t xml:space="preserve">ma-cype-mt26dbe330a</t>
  </si>
  <si>
    <t xml:space="preserve">Material</t>
  </si>
  <si>
    <t xml:space="preserve">m</t>
  </si>
  <si>
    <t xml:space="preserve">Barandilla de acero inoxidable AISI 304 acabado brillante de 100 cm de altura.   Ref. cype-mt26dbe330a</t>
  </si>
  <si>
    <t xml:space="preserve">ma-bi-s/c-002</t>
  </si>
  <si>
    <t xml:space="preserve">Material</t>
  </si>
  <si>
    <t xml:space="preserve">pza</t>
  </si>
  <si>
    <t xml:space="preserve">Pletina o barra maciza de acero inoxidable AISI-304 BA acabado exterior pulido industrial; 50x10x1000 mm (1 m/pza).   Ref. BRICOINOX-S/C-002</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</si>
  <si>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</si>
  <si>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</si>
  <si>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</si>
  <si>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</si>
  <si>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</si>
  <si>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</si>
  <si>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</si>
  <si>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</si>
  <si>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mt26aaa023b</t>
  </si>
  <si>
    <t xml:space="preserve">Material</t>
  </si>
  <si>
    <t xml:space="preserve">Ud</t>
  </si>
  <si>
    <t xml:space="preserve">Anclaje mecánico con taco de expansión de acero inoxidable AISI 316, tuerca y arandela.</t>
  </si>
  <si>
    <t xml:space="preserve">ma-bm-10282853</t>
  </si>
  <si>
    <t xml:space="preserve">Material</t>
  </si>
  <si>
    <t xml:space="preserve">bolsa</t>
  </si>
  <si>
    <t xml:space="preserve">Espárrago/Varilla de inyección para anclaje químico; 10x165 mm (8 Pzas./Bolsa)   Ref. bm-10282853</t>
  </si>
  <si>
    <t xml:space="preserve">ma-lp-00351248</t>
  </si>
  <si>
    <t xml:space="preserve">Material</t>
  </si>
  <si>
    <t xml:space="preserve">caja</t>
  </si>
  <si>
    <t xml:space="preserve">Electrodo rutilo para acero inoxidable EUTECTRODE E 316L-17 CASTOLÍN EUTECTIC; 2.5x300mm (10 varillas/caja).   Ref. lp-00351248</t>
  </si>
  <si>
    <t xml:space="preserve">alq.soldadora-mym-01</t>
  </si>
  <si>
    <t xml:space="preserve">Maquinaria</t>
  </si>
  <si>
    <t xml:space="preserve">h</t>
  </si>
  <si>
    <t xml:space="preserve">Alquiler de Soldadora Eléctrica Inverter Electrodo 3,25 mm 160A/60% 230 V.   Ref. MÁQUINAS Y MÁQUINAS</t>
  </si>
  <si>
    <t xml:space="preserve">moc-std1-generico</t>
  </si>
  <si>
    <t xml:space="preserve">Partida</t>
  </si>
  <si>
    <t xml:space="preserve">h</t>
  </si>
  <si>
    <t xml:space="preserve">Cuadrilla Std1 - 1 Oficial de 1ª, 1 Ayudante y 1/5 Ayudante</t>
  </si>
  <si>
    <t xml:space="preserve">%</t>
  </si>
  <si>
    <t xml:space="preserve">%</t>
  </si>
  <si>
    <t xml:space="preserve">Costes directos complementarios</t>
  </si>
  <si>
    <t xml:space="preserve">FDD040-GDP-CYPE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</si>
  <si>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</si>
  <si>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</si>
  <si>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</si>
  <si>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</si>
  <si>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</si>
  <si>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</si>
  <si>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</si>
  <si>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</si>
  <si>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</si>
  <si>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</si>
  <si>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</si>
  <si>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</si>
  <si>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</si>
  <si>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</si>
  <si>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</si>
  <si>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</si>
  <si>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</si>
  <si>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FACHDEF04-OK</t>
  </si>
  <si>
    <t xml:space="preserve">FACHDEF-REP.BARANDILLAS-20o/o-AC</t>
  </si>
  <si>
    <t xml:space="preserve">Partida</t>
  </si>
  <si>
    <t xml:space="preserve">m</t>
  </si>
  <si>
    <t xml:space="preserve">REPOSICIÓN A NUEVO DE ELEMENTOS METÁLICOS DETERIORADOS Y/O AFECTADOS POR CORROSIÓN EN BARANDILLAS STD/CONVENCIONALES (INTERVENCIÓN &lt;=20% DE MONTANTES, TRAVESAÑOS Y/O PASAMANOS)</t>
  </si>
  <si>
    <t xml:space="preserve">Reposición a nuevo de elementos metálicos deteriorados y/o afectados por corrosión en barandillas std/convencionales (intervención &lt;=20% de montantes, travesaños y/o pasamanos)</t>
  </si>
  <si>
    <t xml:space="preserve">ma-lp-00020166</t>
  </si>
  <si>
    <t xml:space="preserve">Material</t>
  </si>
  <si>
    <t xml:space="preserve">pza</t>
  </si>
  <si>
    <t xml:space="preserve">Tubo de hierro con sección cuadrada 20x20 mm (2 m/pza).   Ref. lp-00020166</t>
  </si>
  <si>
    <t xml:space="preserve">ma-lp-00122180</t>
  </si>
  <si>
    <t xml:space="preserve">Material</t>
  </si>
  <si>
    <t xml:space="preserve">pza</t>
  </si>
  <si>
    <t xml:space="preserve">Tubo de hierro con sección rectangular 40x30 mm (2 m/pza).   Ref. lp-00122180</t>
  </si>
  <si>
    <t xml:space="preserve">ma-hierromiguel-01</t>
  </si>
  <si>
    <t xml:space="preserve">Material</t>
  </si>
  <si>
    <t xml:space="preserve">m</t>
  </si>
  <si>
    <t xml:space="preserve">Pletina de acero acabado laminado en caliente (ancho 80 mm; espesor 6 mm).   Ref. hierromiguel-01</t>
  </si>
  <si>
    <t xml:space="preserve">ma-lp-00351172</t>
  </si>
  <si>
    <t xml:space="preserve">Material</t>
  </si>
  <si>
    <t xml:space="preserve">caja</t>
  </si>
  <si>
    <t xml:space="preserve">Electrodo Rutilo 6013  2,5x350 mm (5kg o 55 varillas/caja)   Ref. lp-00351172</t>
  </si>
  <si>
    <t xml:space="preserve">alq-soldadora.inox-mym-01</t>
  </si>
  <si>
    <t xml:space="preserve">Maquinaria</t>
  </si>
  <si>
    <t xml:space="preserve">h</t>
  </si>
  <si>
    <t xml:space="preserve">Alquiler de Soldadora Inox. TIG 160 A / 230 V.   Ref. MÁQUINAS Y MÁQUINAS</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</si>
  <si>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</si>
  <si>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</si>
  <si>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</si>
  <si>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</si>
  <si>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</si>
  <si>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</si>
  <si>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</si>
  <si>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</si>
  <si>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FACHDEF-REP.BARANDILLAS-20o/o-AC</t>
  </si>
  <si>
    <t xml:space="preserve">FACHDEF-REP.BARANDILLAS-20o/o-AI</t>
  </si>
  <si>
    <t xml:space="preserve">Partida</t>
  </si>
  <si>
    <t xml:space="preserve">m</t>
  </si>
  <si>
    <t xml:space="preserve">REPOSICIÓN A NUEVO DE ELEMENTOS DE ACERO INOXIDABLE DETERIORADOS Y/O AFECTADOS POR CORROSIÓN EN BARANDILLAS STD/CONVENCIONALES (INTERVENCIÓN &lt;=20% DE MONTANTES, TRAVESAÑOS Y/O PASAMANOS)</t>
  </si>
  <si>
    <t xml:space="preserve">REPOSICIÓN A NUEVO DE ELEMENTOS DE ACERO INOXIDABLE DETERIORADOS Y/O AFECTADOS POR CORROSIÓN EN BARANDILLAS STD/CONVENCIONALES (INTERVENCIÓN &lt;=20% DE MONTANTES, TRAVESAÑOS Y/O PASAMANOS)</t>
  </si>
  <si>
    <t xml:space="preserve">ma-bi-s/c-003</t>
  </si>
  <si>
    <t xml:space="preserve">Material</t>
  </si>
  <si>
    <t xml:space="preserve">pza</t>
  </si>
  <si>
    <t xml:space="preserve">Tubo sección cuadrada de acero inoxidable AISI-304 BA acabado exterior pulido brillo; 40x1,5x2000 mm (2 m/pza).   Ref. bi-S/C-003</t>
  </si>
  <si>
    <t xml:space="preserve">ma-lp-00149678</t>
  </si>
  <si>
    <t xml:space="preserve">Material</t>
  </si>
  <si>
    <t xml:space="preserve">pza</t>
  </si>
  <si>
    <t xml:space="preserve">Tubo pasamanos en acero inoxidable acabado satinado AISI 304; 42,4x2,0 mm (3 m/pza; 6,06 kg/pza)   Ref. lp-00149678</t>
  </si>
  <si>
    <t xml:space="preserve">ma-bi-s/c-002</t>
  </si>
  <si>
    <t xml:space="preserve">Material</t>
  </si>
  <si>
    <t xml:space="preserve">pza</t>
  </si>
  <si>
    <t xml:space="preserve">Pletina o barra maciza de acero inoxidable AISI-304 BA acabado exterior pulido industrial; 50x10x1000 mm (1 m/pza).   Ref. BRICOINOX-S/C-002</t>
  </si>
  <si>
    <t xml:space="preserve">ma-lp-00351248</t>
  </si>
  <si>
    <t xml:space="preserve">Material</t>
  </si>
  <si>
    <t xml:space="preserve">caja</t>
  </si>
  <si>
    <t xml:space="preserve">Electrodo rutilo para acero inoxidable EUTECTRODE E 316L-17 CASTOLÍN EUTECTIC; 2.5x300mm (10 varillas/caja).   Ref. lp-00351248</t>
  </si>
  <si>
    <t xml:space="preserve">alq-soldadora.inox-mym-01</t>
  </si>
  <si>
    <t xml:space="preserve">Maquinaria</t>
  </si>
  <si>
    <t xml:space="preserve">h</t>
  </si>
  <si>
    <t xml:space="preserve">Alquiler de Soldadora Inox. TIG 160 A / 230 V.   Ref. MÁQUINAS Y MÁQUINAS</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</si>
  <si>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</si>
  <si>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</si>
  <si>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</si>
  <si>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</si>
  <si>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</si>
  <si>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</si>
  <si>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</si>
  <si>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</si>
  <si>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FACHDEF-REP.BARANDILLAS-20o/o-AI</t>
  </si>
  <si>
    <t xml:space="preserve">FACHDEF-REP.BARANDILLAS-40o/o-AC</t>
  </si>
  <si>
    <t xml:space="preserve">Partida</t>
  </si>
  <si>
    <t xml:space="preserve">m</t>
  </si>
  <si>
    <t xml:space="preserve">REPOSICIÓN A NUEVO DE ELEMENTOS METÁLICOS DETERIORADOS Y/O AFECTADOS POR CORROSIÓN EN BARANDILLAS STD/CONVENCIONALES (INTERVENCIÓN &lt;=40% DE MONTANTES, TRAVESAÑOS Y/O PASAMANOS)</t>
  </si>
  <si>
    <t xml:space="preserve">Reposición a nuevo de elementos metálicos deteriorados y/o afectados por corrosión en barandillas std/convencionales (intervención &lt;=40% de montantes, travesaños y/o pasamanos)</t>
  </si>
  <si>
    <t xml:space="preserve">ma-lp-00020166</t>
  </si>
  <si>
    <t xml:space="preserve">Material</t>
  </si>
  <si>
    <t xml:space="preserve">pza</t>
  </si>
  <si>
    <t xml:space="preserve">Tubo de hierro con sección cuadrada 20x20 mm (2 m/pza).   Ref. lp-00020166</t>
  </si>
  <si>
    <t xml:space="preserve">ma-lp-00122180</t>
  </si>
  <si>
    <t xml:space="preserve">Material</t>
  </si>
  <si>
    <t xml:space="preserve">pza</t>
  </si>
  <si>
    <t xml:space="preserve">Tubo de hierro con sección rectangular 40x30 mm (2 m/pza).   Ref. lp-00122180</t>
  </si>
  <si>
    <t xml:space="preserve">ma-hierromiguel-01</t>
  </si>
  <si>
    <t xml:space="preserve">Material</t>
  </si>
  <si>
    <t xml:space="preserve">m</t>
  </si>
  <si>
    <t xml:space="preserve">Pletina de acero acabado laminado en caliente (ancho 80 mm; espesor 6 mm).   Ref. hierromiguel-01</t>
  </si>
  <si>
    <t xml:space="preserve">ma-lp-00351172</t>
  </si>
  <si>
    <t xml:space="preserve">Material</t>
  </si>
  <si>
    <t xml:space="preserve">caja</t>
  </si>
  <si>
    <t xml:space="preserve">Electrodo Rutilo 6013  2,5x350 mm (5kg o 55 varillas/caja)   Ref. lp-00351172</t>
  </si>
  <si>
    <t xml:space="preserve">alq-soldadora.inox-mym-01</t>
  </si>
  <si>
    <t xml:space="preserve">Maquinaria</t>
  </si>
  <si>
    <t xml:space="preserve">h</t>
  </si>
  <si>
    <t xml:space="preserve">Alquiler de Soldadora Inox. TIG 160 A / 230 V.   Ref. MÁQUINAS Y MÁQUINAS</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</si>
  <si>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</si>
  <si>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</si>
  <si>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</si>
  <si>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</si>
  <si>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</si>
  <si>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</si>
  <si>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</si>
  <si>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</si>
  <si>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FACHDEF-REP.BARANDILLAS-40o/o-AC</t>
  </si>
  <si>
    <t xml:space="preserve">FACHDEF</t>
  </si>
  <si>
    <t xml:space="preserve">FACH</t>
  </si>
  <si>
    <t xml:space="preserve">CAR</t>
  </si>
  <si>
    <t xml:space="preserve">Capítulo</t>
  </si>
  <si>
    <t xml:space="preserve">Carpintería, cerrajería, vidrios y protecciones solares</t>
  </si>
  <si>
    <t xml:space="preserve">CARP001</t>
  </si>
  <si>
    <t xml:space="preserve">Partida</t>
  </si>
  <si>
    <t xml:space="preserve">U</t>
  </si>
  <si>
    <t xml:space="preserve">PUERTA DE ENTRADA A EDIFICIO DE 1.94x3.24m</t>
  </si>
  <si>
    <t xml:space="preserve">Suministro y colocación de puerta de entrada principal en Edificio, para medidas aproximadas de hueco 3,24x1,94 metros, compuesta por una hoja practicable, un fijo lateral y un fijo superior, fabricada con marcos de tubo 60x60mm y 80x40mm, ajunquillada para soportar cristales laminados transparentes de 4+4mm, incluye cerradura de golpe con bombín de seguridad y llave por puntos, cerradura de portero eléctrico, maneta interior y tirador exterior de acero inoxidable y muelle retenedor . Lacada al horno en negro forja. Incluye retirada de puerta existente. La cerradura incluye 5 llaves originales, el resto de copias tiene un importe de 10 euros unidad. No incluye trabajos de paleta si fueran necesarios.</t>
  </si>
  <si>
    <t xml:space="preserve">FERROMAX01</t>
  </si>
  <si>
    <t xml:space="preserve">Sin clasificar</t>
  </si>
  <si>
    <t xml:space="preserve">U</t>
  </si>
  <si>
    <t xml:space="preserve">Suministro y colocación de puerta de entrada principal FERROMAX CELLER 77</t>
  </si>
  <si>
    <t xml:space="preserve">CARP001</t>
  </si>
  <si>
    <t xml:space="preserve">CARP002</t>
  </si>
  <si>
    <t xml:space="preserve">Partida</t>
  </si>
  <si>
    <t xml:space="preserve">U</t>
  </si>
  <si>
    <t xml:space="preserve">OPCIÓN DE COLOCAR MARCOS DECORATIVOS DE ACERO INOX EN PARTE INFERIOR DE PUERTA ENTRADA EDIFICIO</t>
  </si>
  <si>
    <t xml:space="preserve">Opción de colocar marcos decorativos de acero inoxidable pulido en parte inferior de
puerta (modelos A y B), de lo contrario se colocan marcos de hierro lacados en el mismo
color que la puerta.</t>
  </si>
  <si>
    <t xml:space="preserve">FERROMAX02</t>
  </si>
  <si>
    <t xml:space="preserve">Sin clasificar</t>
  </si>
  <si>
    <t xml:space="preserve">U</t>
  </si>
  <si>
    <t xml:space="preserve">Marcos decortivos de acero inox</t>
  </si>
  <si>
    <t xml:space="preserve">CARP002</t>
  </si>
  <si>
    <t xml:space="preserve">CARP003</t>
  </si>
  <si>
    <t xml:space="preserve">Partida</t>
  </si>
  <si>
    <t xml:space="preserve">U</t>
  </si>
  <si>
    <t xml:space="preserve">OPCIÓN PIE EMPUJA PUERTA ENTRADA DE EDIFICIO DE ACERO INOXIDABLE</t>
  </si>
  <si>
    <t xml:space="preserve">Opción de colocar pié de acero inoxidable para empujar puerta en la apertura.</t>
  </si>
  <si>
    <t xml:space="preserve">FERROMAX03</t>
  </si>
  <si>
    <t xml:space="preserve">Sin clasificar</t>
  </si>
  <si>
    <t xml:space="preserve">U</t>
  </si>
  <si>
    <t xml:space="preserve">Pié de acero inoxidable para empujar puerta en la apertura</t>
  </si>
  <si>
    <t xml:space="preserve">CARP003</t>
  </si>
  <si>
    <t xml:space="preserve">CARP004</t>
  </si>
  <si>
    <t xml:space="preserve">Partida</t>
  </si>
  <si>
    <t xml:space="preserve">U</t>
  </si>
  <si>
    <t xml:space="preserve">PERSIANAS BARCELONA</t>
  </si>
  <si>
    <t xml:space="preserve">Incluye: Carcamo y hembrilla Fijación tradicional para colgar la persiana del dintel del hueco arquitec-tónico.
PERSIANA BARCELONA COLOR ESPECIAL (a medida) + 145€/color</t>
  </si>
  <si>
    <t xml:space="preserve">ma-pers-bcn</t>
  </si>
  <si>
    <t xml:space="preserve">Material</t>
  </si>
  <si>
    <t xml:space="preserve">m2</t>
  </si>
  <si>
    <t xml:space="preserve">PERSIANA BARCELONA COLOR DE LA CARTA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</si>
  <si>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</si>
  <si>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</si>
  <si>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</si>
  <si>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</si>
  <si>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</si>
  <si>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</si>
  <si>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</si>
  <si>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</si>
  <si>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</si>
  <si>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</si>
  <si>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</si>
  <si>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</si>
  <si>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</si>
  <si>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</si>
  <si>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</si>
  <si>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</si>
  <si>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</si>
  <si>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CARP004</t>
  </si>
  <si>
    <t xml:space="preserve">CARP005</t>
  </si>
  <si>
    <t xml:space="preserve">Partida</t>
  </si>
  <si>
    <t xml:space="preserve">M</t>
  </si>
  <si>
    <t xml:space="preserve">RETIRO DE SELLADOS DE JUNTAS ENTRE CARPINTERÍA  Y CRISTALES</t>
  </si>
  <si>
    <t xml:space="preserve">Retiro de sellados de juntas entre carpinteria y cristales, con medios manuales, sin  deteriorar los elementos constructivos a los que pueda estar sujeta,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</si>
  <si>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</si>
  <si>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</si>
  <si>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</si>
  <si>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</si>
  <si>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</si>
  <si>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</si>
  <si>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</si>
  <si>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</si>
  <si>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</si>
  <si>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</si>
  <si>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</si>
  <si>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</si>
  <si>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</si>
  <si>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</si>
  <si>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</si>
  <si>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</si>
  <si>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</si>
  <si>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</si>
  <si>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</si>
  <si>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</si>
  <si>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CARP005</t>
  </si>
  <si>
    <t xml:space="preserve">CARP006</t>
  </si>
  <si>
    <t xml:space="preserve">Partida</t>
  </si>
  <si>
    <t xml:space="preserve">M</t>
  </si>
  <si>
    <t xml:space="preserve">SELLADO DE JUNTA DE CARPINTERÍA Y CRISTALES</t>
  </si>
  <si>
    <t xml:space="preserve">Sellado exterior de la junta de carpintería y cristales, con masilla de poliuretano, adhesivo y sellador monocomponente de alto rendimiento, de elasticidad permanente y curado rápido; mediante el uso de andamio tubular</t>
  </si>
  <si>
    <t xml:space="preserve">ma-lp-00541254</t>
  </si>
  <si>
    <t xml:space="preserve">Material</t>
  </si>
  <si>
    <t xml:space="preserve">envase</t>
  </si>
  <si>
    <t xml:space="preserve">Masilla de poliuretano BIGMAT (600 ml/envase); color blanco.   Ref. lp-00541254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</si>
  <si>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</si>
  <si>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</si>
  <si>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</si>
  <si>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</si>
  <si>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</si>
  <si>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</si>
  <si>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</si>
  <si>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</si>
  <si>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</si>
  <si>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</si>
  <si>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</si>
  <si>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</si>
  <si>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</si>
  <si>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</si>
  <si>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</si>
  <si>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</si>
  <si>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</si>
  <si>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</si>
  <si>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</si>
  <si>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</si>
  <si>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CARP006</t>
  </si>
  <si>
    <t xml:space="preserve">CARP007</t>
  </si>
  <si>
    <t xml:space="preserve">Partida</t>
  </si>
  <si>
    <t xml:space="preserve">U</t>
  </si>
  <si>
    <t xml:space="preserve">ESCUPIDORES O VIERTEAGUAS DE VENTANAS DE MADERA</t>
  </si>
  <si>
    <t xml:space="preserve">Extracción de vierteaguas/Escupidores de ventanas de madera en mal estado. Reposición de vierteaguas con madera de abeto de 1,35m de igual escuadra y geometría, con suministro y colocación.</t>
  </si>
  <si>
    <t xml:space="preserve">ma-web-002</t>
  </si>
  <si>
    <t xml:space="preserve">Material</t>
  </si>
  <si>
    <t xml:space="preserve">u</t>
  </si>
  <si>
    <t xml:space="preserve">Moldura De Pino Landas Escupidor. Medidas: 28X25X2400MM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</si>
  <si>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</si>
  <si>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</si>
  <si>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</si>
  <si>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</si>
  <si>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</si>
  <si>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</si>
  <si>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</si>
  <si>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</si>
  <si>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</si>
  <si>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</si>
  <si>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</si>
  <si>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</si>
  <si>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</si>
  <si>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</si>
  <si>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</si>
  <si>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</si>
  <si>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</si>
  <si>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</si>
  <si>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</si>
  <si>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</si>
  <si>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CARP007</t>
  </si>
  <si>
    <t xml:space="preserve">CAR-BUZON.VECINAL-3.CASILLEROS-1</t>
  </si>
  <si>
    <t xml:space="preserve">Partida</t>
  </si>
  <si>
    <t xml:space="preserve">und</t>
  </si>
  <si>
    <t xml:space="preserve">SUMINISTRO Y COLOCACIÓN DE TERNA DE BUZONES VERTICALES DE COMUNIDAD</t>
  </si>
  <si>
    <t xml:space="preserve">SUMINISTRO Y COLOCACIÓN DE TERNA DE BUZONES VERTICALES DE COMUNIDAD</t>
  </si>
  <si>
    <t xml:space="preserve">ma-lm-18059006</t>
  </si>
  <si>
    <t xml:space="preserve">Material</t>
  </si>
  <si>
    <t xml:space="preserve">terna</t>
  </si>
  <si>
    <t xml:space="preserve">Buzón de comunidad vertical acero en plata mate de ARREGUI (40x27x30 cm/terna).   Ref. lm-18059006</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</si>
  <si>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</si>
  <si>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</si>
  <si>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</si>
  <si>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</si>
  <si>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</si>
  <si>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</si>
  <si>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</si>
  <si>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</si>
  <si>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</si>
  <si>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</si>
  <si>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</si>
  <si>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</si>
  <si>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</si>
  <si>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</si>
  <si>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</si>
  <si>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</si>
  <si>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</si>
  <si>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</si>
  <si>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</si>
  <si>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</si>
  <si>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</si>
  <si>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</si>
  <si>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</si>
  <si>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</si>
  <si>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</si>
  <si>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</si>
  <si>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</si>
  <si>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</si>
  <si>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CAR-BUZON.VECINAL-3.CASILLEROS-1</t>
  </si>
  <si>
    <t xml:space="preserve">CAR-PERSIANA.MALLORQ.ALUM-1x1m</t>
  </si>
  <si>
    <t xml:space="preserve">Partida</t>
  </si>
  <si>
    <t xml:space="preserve">und</t>
  </si>
  <si>
    <t xml:space="preserve">SUMINISTRO Y COLOCACIÓN DE PERSIANA MALLORQUINA DE ALUMINIO CON 2 PAÑOS PRACTICABLES (100x100 cm/und)</t>
  </si>
  <si>
    <t xml:space="preserve">Suministro y colocación de persiana mallorquina de aluminio con 2 paños practicables (100x100 cm/und)</t>
  </si>
  <si>
    <t xml:space="preserve">ma-om-10579345</t>
  </si>
  <si>
    <t xml:space="preserve">Material</t>
  </si>
  <si>
    <t xml:space="preserve">und</t>
  </si>
  <si>
    <t xml:space="preserve">Persiana Mallorquina de Aluminio con 2 paños practicables (100x100 cm/und).   Ref. om-10579345</t>
  </si>
  <si>
    <t xml:space="preserve">ma-lp-00538824</t>
  </si>
  <si>
    <t xml:space="preserve">Material</t>
  </si>
  <si>
    <t xml:space="preserve">rollo</t>
  </si>
  <si>
    <t xml:space="preserve">Banda impermeabilización FORM 9 de caucho EPDM sin vulcanizar (23 cm x 15,25 m/rollo).   Ref. lp-00538824</t>
  </si>
  <si>
    <t xml:space="preserve">ma-lm-322182</t>
  </si>
  <si>
    <t xml:space="preserve">Material</t>
  </si>
  <si>
    <t xml:space="preserve">cartucho</t>
  </si>
  <si>
    <t xml:space="preserve">Masilla de poliuretano SIKAFLEX 11FC de SIKA; color gris (300 cm3/cartucho).   Ref. lm-322182</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</si>
  <si>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</si>
  <si>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</si>
  <si>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</si>
  <si>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</si>
  <si>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</si>
  <si>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</si>
  <si>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</si>
  <si>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</si>
  <si>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</si>
  <si>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</si>
  <si>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</si>
  <si>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</si>
  <si>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</si>
  <si>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</si>
  <si>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</si>
  <si>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</si>
  <si>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</si>
  <si>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</si>
  <si>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</si>
  <si>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</si>
  <si>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</si>
  <si>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</si>
  <si>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</si>
  <si>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</si>
  <si>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</si>
  <si>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</si>
  <si>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</si>
  <si>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</si>
  <si>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</si>
  <si>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</si>
  <si>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</si>
  <si>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</si>
  <si>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CAR-PERSIANA.MALLORQ.ALUM-1x1m</t>
  </si>
  <si>
    <t xml:space="preserve">CAR-PERSIANAS-01</t>
  </si>
  <si>
    <t xml:space="preserve">Partida</t>
  </si>
  <si>
    <t xml:space="preserve">und</t>
  </si>
  <si>
    <t xml:space="preserve">SUMINISTRO Y COLOCACIÓN DE PERSIANAS ALICANTINAS ENROLLABLES CON LAMAS DE MADERA COLOR NOGAL OSCURO 100X260 DE CORTINADECOR</t>
  </si>
  <si>
    <t xml:space="preserve">SUMINISTRO Y COLOCACIÓN DE PERSIANAS ALICANTINAS ENROLLABLES CON LAMAS DE MADERA COLOR NOGAL OSCURO 100X260 DE CORTINADECOR</t>
  </si>
  <si>
    <t xml:space="preserve">ma-lm-88236080</t>
  </si>
  <si>
    <t xml:space="preserve">Material</t>
  </si>
  <si>
    <t xml:space="preserve">und</t>
  </si>
  <si>
    <t xml:space="preserve">Persianas alicantinas de madera; color nogal oscuro de CORTINADECOR (100x260 cm/und) .   Ref. lm-88236080</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</si>
  <si>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</si>
  <si>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</si>
  <si>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</si>
  <si>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</si>
  <si>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</si>
  <si>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</si>
  <si>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</si>
  <si>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</si>
  <si>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</si>
  <si>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</si>
  <si>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</si>
  <si>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</si>
  <si>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</si>
  <si>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</si>
  <si>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</si>
  <si>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</si>
  <si>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</si>
  <si>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</si>
  <si>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</si>
  <si>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</si>
  <si>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</si>
  <si>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</si>
  <si>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</si>
  <si>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</si>
  <si>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</si>
  <si>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</si>
  <si>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</si>
  <si>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</si>
  <si>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</si>
  <si>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</si>
  <si>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</si>
  <si>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</si>
  <si>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CAR-PERSIANAS-01</t>
  </si>
  <si>
    <t xml:space="preserve">CAR-PUERTA.INT.BLINDADA-90cm-01</t>
  </si>
  <si>
    <t xml:space="preserve">Partida</t>
  </si>
  <si>
    <t xml:space="preserve">und</t>
  </si>
  <si>
    <t xml:space="preserve">SUMINISTRO Y COLOCACIÓN DE PUERTA BLINDADA 105-R ROBLE CLÁSICA DE BRICO-VALERA (206X87X4,5 CM/HOJA); INCLUYE HERRAJES</t>
  </si>
  <si>
    <t xml:space="preserve">Suministro y colocación de puerta blindada 105-r roble clásica de BRICO-VALERA (206x87x4,5 cm/hoja); incluye herrajes</t>
  </si>
  <si>
    <t xml:space="preserve">ma-brico.valera-497527</t>
  </si>
  <si>
    <t xml:space="preserve">Material</t>
  </si>
  <si>
    <t xml:space="preserve">und</t>
  </si>
  <si>
    <t xml:space="preserve">Puerta Blindada 105-R Roble Clásica (206x87x4,5 cm/hoja).   Ref. brico.valera-497527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</si>
  <si>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</si>
  <si>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</si>
  <si>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</si>
  <si>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</si>
  <si>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</si>
  <si>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</si>
  <si>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</si>
  <si>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</si>
  <si>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</si>
  <si>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</si>
  <si>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</si>
  <si>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</si>
  <si>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</si>
  <si>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</si>
  <si>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</si>
  <si>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</si>
  <si>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</si>
  <si>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</si>
  <si>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</si>
  <si>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</si>
  <si>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CAR-PUERTA.INT.BLINDADA-90cm-01</t>
  </si>
  <si>
    <t xml:space="preserve">CAR-REJILLA.RETORNO-60x20-AT</t>
  </si>
  <si>
    <t xml:space="preserve">Partida</t>
  </si>
  <si>
    <t xml:space="preserve">und</t>
  </si>
  <si>
    <t xml:space="preserve">SUMINISTRO Y COLOCACIÓN DE REJILLA DE RETORNO EN ALUMINIO 60x20 cm; MEDIANTE EL USO DE ANDAMIO TUBULAR</t>
  </si>
  <si>
    <t xml:space="preserve">Suministro y colocación de rejilla de retorno en aluminio 60x20 cm; mediante el uso de andamio tubular</t>
  </si>
  <si>
    <t xml:space="preserve">ma-lp-00014948</t>
  </si>
  <si>
    <t xml:space="preserve">Material</t>
  </si>
  <si>
    <t xml:space="preserve">pza</t>
  </si>
  <si>
    <t xml:space="preserve">Rejilla DIFAIR de retorno rectangular de lama fija para atornillar en aluminio plata mate F-10 (60x20 cm/pza).   Ref. lp-00014948</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</si>
  <si>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</si>
  <si>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</si>
  <si>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</si>
  <si>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</si>
  <si>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</si>
  <si>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</si>
  <si>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</si>
  <si>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</si>
  <si>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</si>
  <si>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</si>
  <si>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</si>
  <si>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</si>
  <si>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</si>
  <si>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</si>
  <si>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</si>
  <si>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</si>
  <si>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</si>
  <si>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</si>
  <si>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</si>
  <si>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</si>
  <si>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</si>
  <si>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</si>
  <si>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</si>
  <si>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</si>
  <si>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</si>
  <si>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</si>
  <si>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</si>
  <si>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</si>
  <si>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</si>
  <si>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</si>
  <si>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</si>
  <si>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</si>
  <si>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CAR-REJILLA.RETORNO-60x20-AT</t>
  </si>
  <si>
    <t xml:space="preserve">CAR-REJILLA.RETORNO-60x20-MS</t>
  </si>
  <si>
    <t xml:space="preserve">Partida</t>
  </si>
  <si>
    <t xml:space="preserve">und</t>
  </si>
  <si>
    <t xml:space="preserve">SUMINISTRO Y COLOCACIÓN DE REJILLA DE RETORNO EN ALUMINIO 60x20 cm; MEDIANTE EL USO DE MEDIO SUSPENDIDO/COLGADO</t>
  </si>
  <si>
    <t xml:space="preserve">Suministro y colocación de rejilla de retorno en aluminio 60x20 cm; mediante el uso de medio suspendido/colgado</t>
  </si>
  <si>
    <t xml:space="preserve">ma-lp-00014948</t>
  </si>
  <si>
    <t xml:space="preserve">Material</t>
  </si>
  <si>
    <t xml:space="preserve">pza</t>
  </si>
  <si>
    <t xml:space="preserve">Rejilla DIFAIR de retorno rectangular de lama fija para atornillar en aluminio plata mate F-10 (60x20 cm/pza).   Ref. lp-00014948</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</si>
  <si>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</si>
  <si>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</si>
  <si>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</si>
  <si>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</si>
  <si>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</si>
  <si>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</si>
  <si>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</si>
  <si>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</si>
  <si>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</si>
  <si>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</si>
  <si>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</si>
  <si>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</si>
  <si>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</si>
  <si>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</si>
  <si>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</si>
  <si>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</si>
  <si>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</si>
  <si>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</si>
  <si>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</si>
  <si>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</si>
  <si>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</si>
  <si>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</si>
  <si>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</si>
  <si>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</si>
  <si>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</si>
  <si>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</si>
  <si>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</si>
  <si>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</si>
  <si>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</si>
  <si>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</si>
  <si>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</si>
  <si>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</si>
  <si>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CAR-REJILLA.RETORNO-60x20-MS</t>
  </si>
  <si>
    <t xml:space="preserve">CAR-SELLADO-JUNTA.CARPINT-MS-01</t>
  </si>
  <si>
    <t xml:space="preserve">Partida</t>
  </si>
  <si>
    <t xml:space="preserve">m</t>
  </si>
  <si>
    <t xml:space="preserve">XXXXXX SELLADO DE JUNTA DE CARPINTERÍA Y CAJA DE PERSIANA CON MASILLA DE POLIURETANO APLICADA A MANO CON PISTOLA, MEDIANTE EL USO DE MEDIO SUSPENDIDO/COLGADO</t>
  </si>
  <si>
    <t xml:space="preserve">Sellado exterior de la junta de carpintería y caja de persiana, con masilla de poliuretano, adhesivo y sellador monocomponente de alto rendimiento, de elasticidad permanente y curado rápido; mediante el uso de medio suspendido/colgado</t>
  </si>
  <si>
    <t xml:space="preserve">ma-lp-00541254</t>
  </si>
  <si>
    <t xml:space="preserve">Material</t>
  </si>
  <si>
    <t xml:space="preserve">envase</t>
  </si>
  <si>
    <t xml:space="preserve">Masilla de poliuretano BIGMAT (600 ml/envase); color blanco.   Ref. lp-00541254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</si>
  <si>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</si>
  <si>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</si>
  <si>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</si>
  <si>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</si>
  <si>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</si>
  <si>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</si>
  <si>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</si>
  <si>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</si>
  <si>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</si>
  <si>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</si>
  <si>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</si>
  <si>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</si>
  <si>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</si>
  <si>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</si>
  <si>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</si>
  <si>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</si>
  <si>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</si>
  <si>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</si>
  <si>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</si>
  <si>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</si>
  <si>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CAR-SELLADO-JUNTA.CARPINT-MS-01</t>
  </si>
  <si>
    <t xml:space="preserve">CAR-SELLADO-JUNTA.CRISTAL-AT--01</t>
  </si>
  <si>
    <t xml:space="preserve">Partida</t>
  </si>
  <si>
    <t xml:space="preserve">m</t>
  </si>
  <si>
    <t xml:space="preserve">SELLADO DE JUNTA ENTRE VIDRIO Y CARPINTERÍA CON SILICONA DE POLIURETANO APLICADA A MANO CON PISTOLA, MEDIANTE EL USO DE ANDAMIO TUBULAR</t>
  </si>
  <si>
    <t xml:space="preserve">SELLADO DE JUNTA ENTRE VIDRIO Y CARPINTERÍA CON SILICONA DE POLIURETANO APLICADA A MANO CON PISTOLA, MEDIANTE EL USO DE ANDAMIO TUBULAR</t>
  </si>
  <si>
    <t xml:space="preserve">ma-lm-88455953</t>
  </si>
  <si>
    <t xml:space="preserve">Material</t>
  </si>
  <si>
    <t xml:space="preserve">envase</t>
  </si>
  <si>
    <t xml:space="preserve">Imprimante para soportes porosos SIKA PRIMER-3 N de SIKA (1 litro/envase).   Ref. lm-88455953</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</si>
  <si>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</si>
  <si>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</si>
  <si>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</si>
  <si>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</si>
  <si>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</si>
  <si>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</si>
  <si>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</si>
  <si>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</si>
  <si>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</si>
  <si>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</si>
  <si>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</si>
  <si>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</si>
  <si>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</si>
  <si>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</si>
  <si>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</si>
  <si>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</si>
  <si>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</si>
  <si>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</si>
  <si>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</si>
  <si>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</si>
  <si>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</si>
  <si>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</si>
  <si>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</si>
  <si>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</si>
  <si>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CAR-SELLADO-JUNTA.CRISTAL-AT--01</t>
  </si>
  <si>
    <t xml:space="preserve">CAR-SELLADO-JUNTA.CRISTAL-MS--01</t>
  </si>
  <si>
    <t xml:space="preserve">Partida</t>
  </si>
  <si>
    <t xml:space="preserve">m</t>
  </si>
  <si>
    <t xml:space="preserve">SELLADO DE JUNTA ENTRE VIDRIO Y CARPINTERÍA CON SILICONA DE POLIURETANO APLICADA A MANO CON PISTOLA, MEDIANTE EL USO DE MEDIO SUSPENDIDO/COLGADO</t>
  </si>
  <si>
    <t xml:space="preserve">SELLADO DE JUNTA ENTRE VIDRIO Y CARPINTERÍA CON SILICONA DE POLIURETANO APLICADA A MANO CON PISTOLA, MEDIANTE EL USO DE MEDIO SUSPENDIDO/COLGADO</t>
  </si>
  <si>
    <t xml:space="preserve">ma-lm-88455953</t>
  </si>
  <si>
    <t xml:space="preserve">Material</t>
  </si>
  <si>
    <t xml:space="preserve">envase</t>
  </si>
  <si>
    <t xml:space="preserve">Imprimante para soportes porosos SIKA PRIMER-3 N de SIKA (1 litro/envase).   Ref. lm-88455953</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</si>
  <si>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</si>
  <si>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</si>
  <si>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</si>
  <si>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</si>
  <si>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</si>
  <si>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</si>
  <si>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</si>
  <si>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</si>
  <si>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</si>
  <si>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</si>
  <si>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</si>
  <si>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</si>
  <si>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</si>
  <si>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</si>
  <si>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</si>
  <si>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</si>
  <si>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</si>
  <si>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</si>
  <si>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</si>
  <si>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</si>
  <si>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</si>
  <si>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</si>
  <si>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</si>
  <si>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</si>
  <si>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CAR-SELLADO-JUNTA.CRISTAL-MS--01</t>
  </si>
  <si>
    <t xml:space="preserve">CAR02</t>
  </si>
  <si>
    <t xml:space="preserve">Partida</t>
  </si>
  <si>
    <t xml:space="preserve">U</t>
  </si>
  <si>
    <t xml:space="preserve">PUERTA INTERIOR DE ENTRADA A VIVIENDA</t>
  </si>
  <si>
    <t xml:space="preserve">Puerta interior de entrada a la vivienda de 203x82,5x4,5 cm, con tablero de madera maciza de pino melis, barnizada en taller; precerco de pino de 130x40 mm; galces macizos de pino melis de 130x20 mm; tapajuntas macizos de pino de 70x15 mm en ambas caras. Incluso, herrajes de colgar, cierre y manivela sobre escudo largo de hierro forjado, serie básica.</t>
  </si>
  <si>
    <t xml:space="preserve">PURT1</t>
  </si>
  <si>
    <t xml:space="preserve">Material</t>
  </si>
  <si>
    <t xml:space="preserve">u</t>
  </si>
  <si>
    <t xml:space="preserve">Puerta de entrada tipo castellana, con cuarterones, con tablero de madera maciza de pino</t>
  </si>
  <si>
    <t xml:space="preserve">m.o.1</t>
  </si>
  <si>
    <t xml:space="preserve">Mano de obra</t>
  </si>
  <si>
    <t xml:space="preserve">h</t>
  </si>
  <si>
    <t xml:space="preserve">Mano de Obra: 1 Oficial de 1ª, 1 Ayudante y 1/2 Ayudante</t>
  </si>
  <si>
    <t xml:space="preserve">CAR02</t>
  </si>
  <si>
    <t xml:space="preserve">CAR03</t>
  </si>
  <si>
    <t xml:space="preserve">Partida</t>
  </si>
  <si>
    <t xml:space="preserve">U</t>
  </si>
  <si>
    <t xml:space="preserve">CARPINTERIA DE MADERA DE 1.40x1.40M</t>
  </si>
  <si>
    <t xml:space="preserve">Carpintería exterior de madera de pino, para ventana abisagrada, formada por una hoja oscilobatiente, de apertura hacia el interior de 1400x1400 mm, hoja de 68x78 mm de sección y marco de 68x78 mm, moldura clásica, junquillos, tapajuntas de madera maciza de 70x15 mm y vierteaguas en el perfil inferior, con soporte de aluminio anodizado y revestimiento exterior de madera; con capacidad para recibir un acristalamiento con un espesor mínimo de 21 mm y máximo de 32 mm; coeficiente de transmisión térmica del marco de la sección tipo Uh,m = 1,43 W/(m²K), con clasificación a la permeabilidad al aire clase 4, según UNE-EN 12207, clasificación a la estanqueidad al agua clase E1200, según UNE-EN 12208 y clasificación a la resistencia a la carga del viento clase 5, según UNE-EN 12210; acabado mediante sistema de barnizado translúcido, compuesto de una primera mano de impregnación para la  rotección preventiva de la madera contra hongos y ataques de insectos xilófagos, y posterior aplicación de una capa de terminación de 220 micras, acabado mate satinado, de alta resistencia frente a la acción de los rayos UV y de la intemperie; incluso aplicación de masilla selladora para juntas; herraje perimetral de cierre y seguridad con nivel de seguridad WK1, según UNE-EN 1627, apertura mediante falleba de palanca, manilla en colores estándar y apertura de microventilación; sin premarco y sin persiana. Incluso patillas de anclaje para la fijación de la carpintería. El precio no incluye el recibido en obra de la carpintería. El precio no incluye el sistema de triple barrera.</t>
  </si>
  <si>
    <t xml:space="preserve">V1</t>
  </si>
  <si>
    <t xml:space="preserve">Material</t>
  </si>
  <si>
    <t xml:space="preserve">u</t>
  </si>
  <si>
    <t xml:space="preserve">CARPINTERIA DE MADERA DE 1.40x1.40M</t>
  </si>
  <si>
    <t xml:space="preserve">m.o.1</t>
  </si>
  <si>
    <t xml:space="preserve">Mano de obra</t>
  </si>
  <si>
    <t xml:space="preserve">h</t>
  </si>
  <si>
    <t xml:space="preserve">Mano de Obra: 1 Oficial de 1ª, 1 Ayudante y 1/2 Ayudante</t>
  </si>
  <si>
    <t xml:space="preserve">CAR03</t>
  </si>
  <si>
    <t xml:space="preserve">CAR04</t>
  </si>
  <si>
    <t xml:space="preserve">Partida</t>
  </si>
  <si>
    <t xml:space="preserve">ML</t>
  </si>
  <si>
    <t xml:space="preserve">VIERTEAGUAS DE MADERA</t>
  </si>
  <si>
    <t xml:space="preserve">Vierteaguas de madera maciza de ipé, de 400x52 mm, con goterón, barnizado en taller, empotrado en las jambas; colocación con adhesivo de caucho sintético; y sellado de las juntas entre piezas y de las uniones con los muros con adhesivo de polímero MS.</t>
  </si>
  <si>
    <t xml:space="preserve">ma-ma-659709</t>
  </si>
  <si>
    <t xml:space="preserve">Material</t>
  </si>
  <si>
    <t xml:space="preserve">u</t>
  </si>
  <si>
    <t xml:space="preserve">Sikaflex- 11 FC marron cartucho 300ml</t>
  </si>
  <si>
    <t xml:space="preserve">VIERTMAD1</t>
  </si>
  <si>
    <t xml:space="preserve">Material</t>
  </si>
  <si>
    <t xml:space="preserve">m</t>
  </si>
  <si>
    <t xml:space="preserve">Vierteaguas de madera maciza de ipé, de 400x52 mm, con goterón, barnizado en taller.</t>
  </si>
  <si>
    <t xml:space="preserve">m.o.1</t>
  </si>
  <si>
    <t xml:space="preserve">Mano de obra</t>
  </si>
  <si>
    <t xml:space="preserve">h</t>
  </si>
  <si>
    <t xml:space="preserve">Mano de Obra: 1 Oficial de 1ª, 1 Ayudante y 1/2 Ayudante</t>
  </si>
  <si>
    <t xml:space="preserve">CAR04</t>
  </si>
  <si>
    <t xml:space="preserve">CAR05</t>
  </si>
  <si>
    <t xml:space="preserve">Partida</t>
  </si>
  <si>
    <t xml:space="preserve">ML</t>
  </si>
  <si>
    <t xml:space="preserve">JUNQUILLO PARA CRISTAL</t>
  </si>
  <si>
    <t xml:space="preserve">JUNQUILLO PARA CRISTAL</t>
  </si>
  <si>
    <t xml:space="preserve">JUNQ1</t>
  </si>
  <si>
    <t xml:space="preserve">Material</t>
  </si>
  <si>
    <t xml:space="preserve">m</t>
  </si>
  <si>
    <t xml:space="preserve">Junquillo acristalamiento 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</si>
  <si>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</si>
  <si>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</si>
  <si>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</si>
  <si>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</si>
  <si>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</si>
  <si>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</si>
  <si>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</si>
  <si>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</si>
  <si>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</si>
  <si>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</si>
  <si>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</si>
  <si>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</si>
  <si>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</si>
  <si>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</si>
  <si>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</si>
  <si>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</si>
  <si>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</si>
  <si>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</si>
  <si>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</si>
  <si>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</si>
  <si>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CAR05</t>
  </si>
  <si>
    <t xml:space="preserve">CAR06</t>
  </si>
  <si>
    <t xml:space="preserve">Partida</t>
  </si>
  <si>
    <t xml:space="preserve">U</t>
  </si>
  <si>
    <t xml:space="preserve">PUERTA CORREDERA</t>
  </si>
  <si>
    <t xml:space="preserve">Puerta interior corredera para tabique con hueco, ciega, de una hoja, de tablero de acabado en melamina color blanco; Incluso, herrajes de colgar, de cierre y tirador con manecilla para cierre de aluminio, serie básica. Incluye: Armazón metálico de chapa grecada, preparado para alojar la hoja de una puerta corredera simple, de madera, colocación en pared de fábrica para revestir con mortero o con yeso.</t>
  </si>
  <si>
    <t xml:space="preserve">00005989</t>
  </si>
  <si>
    <t xml:space="preserve">Material</t>
  </si>
  <si>
    <t xml:space="preserve">u</t>
  </si>
  <si>
    <t xml:space="preserve">PACK 5 MOLDURAS EXTENSIBLES BLANCO CPL 2200X70X10 MM Ref.: 00005989</t>
  </si>
  <si>
    <t xml:space="preserve">00493179</t>
  </si>
  <si>
    <t xml:space="preserve">Material</t>
  </si>
  <si>
    <t xml:space="preserve">u</t>
  </si>
  <si>
    <t xml:space="preserve">HOJA MACIZA EPSILON LACADA 2030X725X35 MM Ref.: 00493179</t>
  </si>
  <si>
    <t xml:space="preserve">00018512</t>
  </si>
  <si>
    <t xml:space="preserve">Material</t>
  </si>
  <si>
    <t xml:space="preserve">u</t>
  </si>
  <si>
    <t xml:space="preserve">KIT PUERTA CORREDERA 35 MM NÍQUEL SATINADO Ref.: 00018512</t>
  </si>
  <si>
    <t xml:space="preserve">00528456</t>
  </si>
  <si>
    <t xml:space="preserve">Material</t>
  </si>
  <si>
    <t xml:space="preserve">u</t>
  </si>
  <si>
    <t xml:space="preserve">KIT CERCO CORREDERA BLANCO 2150X95X30 MM Ref.: 00528456</t>
  </si>
  <si>
    <t xml:space="preserve">00512006</t>
  </si>
  <si>
    <t xml:space="preserve">Material</t>
  </si>
  <si>
    <t xml:space="preserve">u</t>
  </si>
  <si>
    <t xml:space="preserve">KIT JAMBA EXTENSIBLE BLANCO 70X12/10 MM Ref.: 00512006</t>
  </si>
  <si>
    <t xml:space="preserve">00140010</t>
  </si>
  <si>
    <t xml:space="preserve">Material</t>
  </si>
  <si>
    <t xml:space="preserve">u</t>
  </si>
  <si>
    <t xml:space="preserve">ESTRUCTURA CORREDERA S TECH CARTÓN YESO 700X2020/95 CART SCRIGNO Ref.: 00140010</t>
  </si>
  <si>
    <t xml:space="preserve">m.o.1</t>
  </si>
  <si>
    <t xml:space="preserve">Mano de obra</t>
  </si>
  <si>
    <t xml:space="preserve">h</t>
  </si>
  <si>
    <t xml:space="preserve">Mano de Obra: 1 Oficial de 1ª, 1 Ayudante y 1/2 Ayudante</t>
  </si>
  <si>
    <t xml:space="preserve">CAR06</t>
  </si>
  <si>
    <t xml:space="preserve">CAR07</t>
  </si>
  <si>
    <t xml:space="preserve">Partida</t>
  </si>
  <si>
    <t xml:space="preserve">PAR</t>
  </si>
  <si>
    <t xml:space="preserve">RETIRO DE CRISTAL</t>
  </si>
  <si>
    <t xml:space="preserve">Retiro y posterior colocacion de cristal actual en el perimetro del patio, se realizara con cuidado tratando de no dañar los elementos, en dado caso de daño por el desmontaje el material dañado se tendra que presupuestar aparte. Incluye: el retiro de claraboya actual de plastico a vertedero autorizado.</t>
  </si>
  <si>
    <t xml:space="preserve">m.o.1</t>
  </si>
  <si>
    <t xml:space="preserve">Mano de obra</t>
  </si>
  <si>
    <t xml:space="preserve">h</t>
  </si>
  <si>
    <t xml:space="preserve">Mano de Obra: 1 Oficial de 1ª, 1 Ayudante y 1/2 Ayudante</t>
  </si>
  <si>
    <t xml:space="preserve">CAR07</t>
  </si>
  <si>
    <t xml:space="preserve">CAR08</t>
  </si>
  <si>
    <t xml:space="preserve">Partida</t>
  </si>
  <si>
    <t xml:space="preserve">PAR</t>
  </si>
  <si>
    <t xml:space="preserve">CLARABOYA DE CRISTAL</t>
  </si>
  <si>
    <t xml:space="preserve">Suministro y colocación de cristal armado en medidas de 3.40x2.93m, incluye todos los accesorios para su correcta instalación.</t>
  </si>
  <si>
    <t xml:space="preserve">crist2</t>
  </si>
  <si>
    <t xml:space="preserve">Material</t>
  </si>
  <si>
    <t xml:space="preserve">u</t>
  </si>
  <si>
    <t xml:space="preserve">Cristal de baldosa grabada 18/20 en medidas de 0.85x2.93m</t>
  </si>
  <si>
    <t xml:space="preserve">matygt</t>
  </si>
  <si>
    <t xml:space="preserve">Material</t>
  </si>
  <si>
    <t xml:space="preserve">par</t>
  </si>
  <si>
    <t xml:space="preserve">Material de sujecion auxiliar para la colocación de vidrios.</t>
  </si>
  <si>
    <t xml:space="preserve">ma-ma-659709</t>
  </si>
  <si>
    <t xml:space="preserve">Material</t>
  </si>
  <si>
    <t xml:space="preserve">u</t>
  </si>
  <si>
    <t xml:space="preserve">Sikaflex- 11 FC marron cartucho 300ml</t>
  </si>
  <si>
    <t xml:space="preserve">m.o.1</t>
  </si>
  <si>
    <t xml:space="preserve">Mano de obra</t>
  </si>
  <si>
    <t xml:space="preserve">h</t>
  </si>
  <si>
    <t xml:space="preserve">Mano de Obra: 1 Oficial de 1ª, 1 Ayudante y 1/2 Ayudante</t>
  </si>
  <si>
    <t xml:space="preserve">CAR08</t>
  </si>
  <si>
    <t xml:space="preserve">CAR09</t>
  </si>
  <si>
    <t xml:space="preserve">Partida</t>
  </si>
  <si>
    <t xml:space="preserve">U</t>
  </si>
  <si>
    <t xml:space="preserve">LIJADO, DECAPADO Y PINTURA DE PERSIANAS TIPO MALLORQUINAS 1.20X2.10M</t>
  </si>
  <si>
    <t xml:space="preserve">Lijado y decapado de pinturas y/o barnices existentes sobre premarcos, hojas de balconeras, persianas mallorquinas y puerta principal del edificio correspondientes a la carpintería de madera de fachada principal, (balconeras sólo a cara exterior, persianas y puerta principal a dos caras), mediante aplicaciones sucesivas de producto decapante.
Limpieza, enmasillado y preparación de soporte de construcciones, hojas balconeras de madera y persianas mallorquinas a conservar, por medios manuales (balconeras sólo a cara exterior, persianas a dos caras).
Pintado de construcciones, balconeras y persianas mallorquinas de madera correspondientes a fachada principal (balconeras sólo a cara exterior, persianas a dos caras), con una capa de imprimación selladora y dos manos de acabado de aplicación manual con esmalte satinado especial para exteriores. Homogeneización cromática de carpinterías, color y criterio de acabado según Estudio Cromático, si se requiriera.</t>
  </si>
  <si>
    <t xml:space="preserve">PREP001</t>
  </si>
  <si>
    <t xml:space="preserve">Partida</t>
  </si>
  <si>
    <t xml:space="preserve">M2</t>
  </si>
  <si>
    <t xml:space="preserve">o DECAPADO DE PINTURA AL BARNIZ/ESMALTE EN MADERA/METAL CON KEIM</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</si>
  <si>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</si>
  <si>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</si>
  <si>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</si>
  <si>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</si>
  <si>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</si>
  <si>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</si>
  <si>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</si>
  <si>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</si>
  <si>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</si>
  <si>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</si>
  <si>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</si>
  <si>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</si>
  <si>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</si>
  <si>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</si>
  <si>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</si>
  <si>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PREP001</t>
  </si>
  <si>
    <t xml:space="preserve">PREP007</t>
  </si>
  <si>
    <t xml:space="preserve">Partida</t>
  </si>
  <si>
    <t xml:space="preserve">M2</t>
  </si>
  <si>
    <t xml:space="preserve">o ENMASILLADO PARA TAPADO DE GRIETAS Y AGUJEROS EN MADERA EN PUERTAS</t>
  </si>
  <si>
    <t xml:space="preserve">ma-la-00566779</t>
  </si>
  <si>
    <t xml:space="preserve">Material</t>
  </si>
  <si>
    <t xml:space="preserve">u</t>
  </si>
  <si>
    <t xml:space="preserve">Emplaste masilla madera 200 gr haya Ref: 00566779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</si>
  <si>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</si>
  <si>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</si>
  <si>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</si>
  <si>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</si>
  <si>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</si>
  <si>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</si>
  <si>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</si>
  <si>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PREP007</t>
  </si>
  <si>
    <t xml:space="preserve">REVPINT08</t>
  </si>
  <si>
    <t xml:space="preserve">Partida</t>
  </si>
  <si>
    <t xml:space="preserve">M2</t>
  </si>
  <si>
    <t xml:space="preserve">PINTURA BARNIZ SINTETICO</t>
  </si>
  <si>
    <t xml:space="preserve">00239076</t>
  </si>
  <si>
    <t xml:space="preserve">Material</t>
  </si>
  <si>
    <t xml:space="preserve">l</t>
  </si>
  <si>
    <t xml:space="preserve">ESMALTE SINTÉTICO BRILLO DSB-200 MONTO 750 ML NEGRO Ref.: 00239076</t>
  </si>
  <si>
    <t xml:space="preserve">sell1</t>
  </si>
  <si>
    <t xml:space="preserve">Material</t>
  </si>
  <si>
    <t xml:space="preserve">u</t>
  </si>
  <si>
    <t xml:space="preserve">Sellador</t>
  </si>
  <si>
    <t xml:space="preserve">insc1</t>
  </si>
  <si>
    <t xml:space="preserve">Material</t>
  </si>
  <si>
    <t xml:space="preserve">l</t>
  </si>
  <si>
    <t xml:space="preserve">insecticida</t>
  </si>
  <si>
    <t xml:space="preserve">moc-std1-pintura</t>
  </si>
  <si>
    <t xml:space="preserve">Partida</t>
  </si>
  <si>
    <t xml:space="preserve">h</t>
  </si>
  <si>
    <t xml:space="preserve">Cuadrilla Std1 Pintura - 1 Oficial de 1ª, 1 Ayudante y 1/2 Ayudante</t>
  </si>
  <si>
    <t xml:space="preserve">mo%</t>
  </si>
  <si>
    <t xml:space="preserve">%</t>
  </si>
  <si>
    <t xml:space="preserve">Herramientas Menores</t>
  </si>
  <si>
    <t xml:space="preserve">REVPINT08</t>
  </si>
  <si>
    <t xml:space="preserve">CAR09</t>
  </si>
  <si>
    <t xml:space="preserve">CAR50-PUERTA.MET.1hb90cm</t>
  </si>
  <si>
    <t xml:space="preserve">Partida</t>
  </si>
  <si>
    <t xml:space="preserve">und</t>
  </si>
  <si>
    <t xml:space="preserve">SUMINISTRO Y COLOCACIÓN DE PUERTA METÁLICA ENTAMBORADA BATIENTE 90x210 cm; INCLUYENDO MARCO Y CERRADURA (POMO EXTERIOR Y MANIVELA INTERIOR)</t>
  </si>
  <si>
    <t xml:space="preserve">Suministro y colocación de puerta metálica entamborada batiente 90x210 cm; incluyendo marco y cerradura (pomo exterior y manivela interior)</t>
  </si>
  <si>
    <t xml:space="preserve">ma-lp-00136293</t>
  </si>
  <si>
    <t xml:space="preserve">Material</t>
  </si>
  <si>
    <t xml:space="preserve">und</t>
  </si>
  <si>
    <t xml:space="preserve">Puerta metálica reforzada 3P lisa lacada blanca (2100x890 mm/und).   Ref. lp-00136293</t>
  </si>
  <si>
    <t xml:space="preserve">ma-lp-00539164</t>
  </si>
  <si>
    <t xml:space="preserve">Material</t>
  </si>
  <si>
    <t xml:space="preserve">saco</t>
  </si>
  <si>
    <t xml:space="preserve">Mortero seco para aplicaciones en albañilería M-7,5 SAGRASEC; color blanco (25 kg/saco)   Ref. lp-00539164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</si>
  <si>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</si>
  <si>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</si>
  <si>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</si>
  <si>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</si>
  <si>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</si>
  <si>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</si>
  <si>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</si>
  <si>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</si>
  <si>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</si>
  <si>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</si>
  <si>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</si>
  <si>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</si>
  <si>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</si>
  <si>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</si>
  <si>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</si>
  <si>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</si>
  <si>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</si>
  <si>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</si>
  <si>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</si>
  <si>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</si>
  <si>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CAR50-PUERTA.MET.1hb90cm</t>
  </si>
  <si>
    <t xml:space="preserve">CAR50-PUERTA.MET-1hb80cm-C/FUEGO</t>
  </si>
  <si>
    <t xml:space="preserve">Partida</t>
  </si>
  <si>
    <t xml:space="preserve">und</t>
  </si>
  <si>
    <t xml:space="preserve">SUMINISTRO Y COLOCACIÓN DE PUERTA METÁLICA ENTAMBORADA BATIENTE CORTAFUEGOS EI60 (80x204 cm); INCLUYENDO MARCO Y CERRADURA ANTIPÁNICO</t>
  </si>
  <si>
    <t xml:space="preserve">Suministro y colocación de puerta metálica entamborada batiente cortafuegos EI60 (80x204 cm); incluyendo marco y cerradura antipánico.</t>
  </si>
  <si>
    <t xml:space="preserve">ma-Lp-00005606</t>
  </si>
  <si>
    <t xml:space="preserve">Material</t>
  </si>
  <si>
    <t xml:space="preserve">und</t>
  </si>
  <si>
    <t xml:space="preserve">Puerta cortafuegos EI60 con antipánico (800x2035 mm/pza).   Ref. lp-00005606</t>
  </si>
  <si>
    <t xml:space="preserve">ma-lp-00539164</t>
  </si>
  <si>
    <t xml:space="preserve">Material</t>
  </si>
  <si>
    <t xml:space="preserve">saco</t>
  </si>
  <si>
    <t xml:space="preserve">Mortero seco para aplicaciones en albañilería M-7,5 SAGRASEC; color blanco (25 kg/saco)   Ref. lp-00539164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</si>
  <si>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</si>
  <si>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</si>
  <si>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</si>
  <si>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</si>
  <si>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</si>
  <si>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</si>
  <si>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</si>
  <si>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</si>
  <si>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</si>
  <si>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</si>
  <si>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</si>
  <si>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</si>
  <si>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</si>
  <si>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</si>
  <si>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</si>
  <si>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</si>
  <si>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</si>
  <si>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</si>
  <si>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</si>
  <si>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</si>
  <si>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CAR50-PUERTA.MET-1hb80cm-C/FUEGO</t>
  </si>
  <si>
    <t xml:space="preserve">CAR50-VENTILACION-01</t>
  </si>
  <si>
    <t xml:space="preserve">Partida</t>
  </si>
  <si>
    <t xml:space="preserve">und</t>
  </si>
  <si>
    <t xml:space="preserve">SUMINISTRO Y COLOCACIÓN DE TRAMO EXTERIOR DE CONDUCTO DE SALIDA DE HUMOS (diámetro 15 cm)</t>
  </si>
  <si>
    <t xml:space="preserve">Los materiales inherentes a la unidad de la partida están definidos por um Sombrerete Vitrificado y una extensión de 1 m de Tubo Redondo de Aluminio (con Rosetón).</t>
  </si>
  <si>
    <t xml:space="preserve">ma-lm-89011750</t>
  </si>
  <si>
    <t xml:space="preserve">Material</t>
  </si>
  <si>
    <t xml:space="preserve">pza</t>
  </si>
  <si>
    <t xml:space="preserve">Perfil tubo redondo de aluminio anodizado mate (16x16x1000 mm/pza).   Ref. lm-89011750</t>
  </si>
  <si>
    <t xml:space="preserve">ma-bm-10147795</t>
  </si>
  <si>
    <t xml:space="preserve">Material</t>
  </si>
  <si>
    <t xml:space="preserve">pza</t>
  </si>
  <si>
    <t xml:space="preserve">Rosetón vitrificado para la evacuación de humos 150 mm.   Ref. bm-10147795</t>
  </si>
  <si>
    <t xml:space="preserve">ma-bm-10317034</t>
  </si>
  <si>
    <t xml:space="preserve">Material</t>
  </si>
  <si>
    <t xml:space="preserve">pza</t>
  </si>
  <si>
    <t xml:space="preserve">Sombrerete vitrificado para evacuación de humos 150 mm.   Ref. bm-10317034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</si>
  <si>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</si>
  <si>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</si>
  <si>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</si>
  <si>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</si>
  <si>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</si>
  <si>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</si>
  <si>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</si>
  <si>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</si>
  <si>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</si>
  <si>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</si>
  <si>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</si>
  <si>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</si>
  <si>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</si>
  <si>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</si>
  <si>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</si>
  <si>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</si>
  <si>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</si>
  <si>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</si>
  <si>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</si>
  <si>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</si>
  <si>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CAR50-VENTILACION-01</t>
  </si>
  <si>
    <t xml:space="preserve">CAR-REJILLA.VENT-20x20-AT</t>
  </si>
  <si>
    <t xml:space="preserve">Partida</t>
  </si>
  <si>
    <t xml:space="preserve">und</t>
  </si>
  <si>
    <t xml:space="preserve">SUMINISTRO Y COLOCACIÓN DE REJILLA DE VENTILACIÓN EN ALUMINIO 20x20 cm; MEDIANTE EL USO DE ANDAMIO TUBULAR</t>
  </si>
  <si>
    <t xml:space="preserve">Suministro y colocación de rejilla de ventilación en aluminio 20x20 cm; mediante el uso de andamio tubular</t>
  </si>
  <si>
    <t xml:space="preserve">ma-lp-00399898</t>
  </si>
  <si>
    <t xml:space="preserve">Material</t>
  </si>
  <si>
    <t xml:space="preserve">pza</t>
  </si>
  <si>
    <t xml:space="preserve">Rejilla de ventilación cuadrada para atornillar en aluminio blanco y con mosquitera (20x20 cm/pza).   Ref. lp-00399898</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</si>
  <si>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</si>
  <si>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</si>
  <si>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</si>
  <si>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</si>
  <si>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</si>
  <si>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</si>
  <si>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</si>
  <si>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</si>
  <si>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</si>
  <si>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</si>
  <si>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</si>
  <si>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</si>
  <si>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</si>
  <si>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</si>
  <si>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</si>
  <si>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</si>
  <si>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</si>
  <si>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</si>
  <si>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</si>
  <si>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</si>
  <si>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</si>
  <si>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</si>
  <si>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</si>
  <si>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</si>
  <si>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</si>
  <si>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</si>
  <si>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</si>
  <si>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</si>
  <si>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</si>
  <si>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</si>
  <si>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</si>
  <si>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</si>
  <si>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CAR-REJILLA.VENT-20x20-AT</t>
  </si>
  <si>
    <t xml:space="preserve">CAR-REJILLA.VENT-20x20-MS</t>
  </si>
  <si>
    <t xml:space="preserve">Partida</t>
  </si>
  <si>
    <t xml:space="preserve">und</t>
  </si>
  <si>
    <t xml:space="preserve">SUMINISTRO Y COLOCACIÓN DE REJILLA DE VENTILACIÓN EN ALUMINIO 20x20 cm; MEDIANTE EL USO DE MEDIO SUSPENDIDO/COLGADO</t>
  </si>
  <si>
    <t xml:space="preserve">Suministro y colocación de rejilla de ventilación en aluminio 20x20 cm; mediante el uso de medio suspendido/colgado</t>
  </si>
  <si>
    <t xml:space="preserve">ma-lp-00399898</t>
  </si>
  <si>
    <t xml:space="preserve">Material</t>
  </si>
  <si>
    <t xml:space="preserve">pza</t>
  </si>
  <si>
    <t xml:space="preserve">Rejilla de ventilación cuadrada para atornillar en aluminio blanco y con mosquitera (20x20 cm/pza).   Ref. lp-00399898</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</si>
  <si>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</si>
  <si>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</si>
  <si>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</si>
  <si>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</si>
  <si>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</si>
  <si>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</si>
  <si>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</si>
  <si>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</si>
  <si>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</si>
  <si>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</si>
  <si>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</si>
  <si>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</si>
  <si>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</si>
  <si>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</si>
  <si>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</si>
  <si>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</si>
  <si>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</si>
  <si>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</si>
  <si>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</si>
  <si>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</si>
  <si>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</si>
  <si>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</si>
  <si>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</si>
  <si>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</si>
  <si>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</si>
  <si>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</si>
  <si>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</si>
  <si>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</si>
  <si>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</si>
  <si>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</si>
  <si>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</si>
  <si>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</si>
  <si>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CAR-REJILLA.VENT-20x20-MS</t>
  </si>
  <si>
    <t xml:space="preserve">CAR-REJILLA.VENT-30x15-AT</t>
  </si>
  <si>
    <t xml:space="preserve">Partida</t>
  </si>
  <si>
    <t xml:space="preserve">und</t>
  </si>
  <si>
    <t xml:space="preserve">SUMINISTRO Y COLOCACIÓN DE REJILLA DE VENTILACIÓN EN ALUMINIO 15x30 cm; MEDIANTE EL USO DE ANDAMIO TUBULAR</t>
  </si>
  <si>
    <t xml:space="preserve">Suministro y colocación de rejilla de ventilación en aluminio 15x30 cm; mediante el uso de andamio tubular</t>
  </si>
  <si>
    <t xml:space="preserve">ma-lp-00399899</t>
  </si>
  <si>
    <t xml:space="preserve">Material</t>
  </si>
  <si>
    <t xml:space="preserve">pza</t>
  </si>
  <si>
    <t xml:space="preserve">Rejilla de ventilación rectangular para atornillar en aluminio blanco y con mosquitera (15x30 cm/pza).   Ref. lp-00399899</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</si>
  <si>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</si>
  <si>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</si>
  <si>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</si>
  <si>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</si>
  <si>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</si>
  <si>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</si>
  <si>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</si>
  <si>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</si>
  <si>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</si>
  <si>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</si>
  <si>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</si>
  <si>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</si>
  <si>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</si>
  <si>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</si>
  <si>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</si>
  <si>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</si>
  <si>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</si>
  <si>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</si>
  <si>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</si>
  <si>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</si>
  <si>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</si>
  <si>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</si>
  <si>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</si>
  <si>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</si>
  <si>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</si>
  <si>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</si>
  <si>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</si>
  <si>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</si>
  <si>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</si>
  <si>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</si>
  <si>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</si>
  <si>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</si>
  <si>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CAR-REJILLA.VENT-30x15-AT</t>
  </si>
  <si>
    <t xml:space="preserve">CAR-REJILLA.VENT-30x15-MS</t>
  </si>
  <si>
    <t xml:space="preserve">Partida</t>
  </si>
  <si>
    <t xml:space="preserve">und</t>
  </si>
  <si>
    <t xml:space="preserve">SUMINISTRO Y COLOCACIÓN DE REJILLA DE VENTILACIÓN EN ALUMINIO 30x15 cm; MEDIANTE EL USO DE MEDIO SUSPENDIDO/COLGADO</t>
  </si>
  <si>
    <t xml:space="preserve">Suministro y colocación de rejilla de ventilación en aluminio 30x15 cm; mediante el uso de medio suspendido/colgado</t>
  </si>
  <si>
    <t xml:space="preserve">ma-lp-00399899</t>
  </si>
  <si>
    <t xml:space="preserve">Material</t>
  </si>
  <si>
    <t xml:space="preserve">pza</t>
  </si>
  <si>
    <t xml:space="preserve">Rejilla de ventilación rectangular para atornillar en aluminio blanco y con mosquitera (15x30 cm/pza).   Ref. lp-00399899</t>
  </si>
  <si>
    <t xml:space="preserve">ma-lp-00541253</t>
  </si>
  <si>
    <t xml:space="preserve">Material</t>
  </si>
  <si>
    <t xml:space="preserve">envase</t>
  </si>
  <si>
    <t xml:space="preserve">Masilla de poliuretano BIGMAT (300 ml/envase); color blanco.   Ref. lp-00541253</t>
  </si>
  <si>
    <t xml:space="preserve">alq-taladro-tq-01</t>
  </si>
  <si>
    <t xml:space="preserve">Maquinaria</t>
  </si>
  <si>
    <t xml:space="preserve">h</t>
  </si>
  <si>
    <t xml:space="preserve">Alquiler de Taladro Percutor (Cable-Batería).   Ref. TOOLQUICK</t>
  </si>
  <si>
    <t xml:space="preserve">ma-lp-00367910</t>
  </si>
  <si>
    <t xml:space="preserve">Material</t>
  </si>
  <si>
    <t xml:space="preserve">caja</t>
  </si>
  <si>
    <t xml:space="preserve">Juego de brocas metal HSS-CO-DIN 338 (19 brocas/caja).   Ref. lp-00367910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</si>
  <si>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</si>
  <si>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</si>
  <si>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</si>
  <si>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</si>
  <si>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</si>
  <si>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</si>
  <si>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</si>
  <si>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</si>
  <si>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</si>
  <si>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</si>
  <si>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</si>
  <si>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</si>
  <si>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</si>
  <si>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</si>
  <si>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</si>
  <si>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</si>
  <si>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</si>
  <si>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</si>
  <si>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</si>
  <si>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</si>
  <si>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CAR-REJILLA.VENT-30x15-MS</t>
  </si>
  <si>
    <t xml:space="preserve">CAR</t>
  </si>
  <si>
    <t xml:space="preserve">REM</t>
  </si>
  <si>
    <t xml:space="preserve">Capítulo</t>
  </si>
  <si>
    <t xml:space="preserve">o Remates y ayudas</t>
  </si>
  <si>
    <t xml:space="preserve">BURLETES</t>
  </si>
  <si>
    <t xml:space="preserve">Capítulo</t>
  </si>
  <si>
    <t xml:space="preserve">BURLETES</t>
  </si>
  <si>
    <t xml:space="preserve">REM-BURLETE-AL-01</t>
  </si>
  <si>
    <t xml:space="preserve">Partida</t>
  </si>
  <si>
    <t xml:space="preserve">pza</t>
  </si>
  <si>
    <t xml:space="preserve">SUMINISTRO Y COLOCACIÓN DE BURLETE (BAJO DE PUERTA) EN ALUMINIO Y CEPILLO</t>
  </si>
  <si>
    <t xml:space="preserve">SUMINISTRO Y COLOCACIÓN DE BURLETE (BAJO DE PUERTA) EN ALUMINIO Y CEPILLO</t>
  </si>
  <si>
    <t xml:space="preserve">ma-lm-82202932</t>
  </si>
  <si>
    <t xml:space="preserve">Material</t>
  </si>
  <si>
    <t xml:space="preserve">pza</t>
  </si>
  <si>
    <t xml:space="preserve">Burlete de puerta en aluminio atornillable/adhesivo AXTON cepillo (1 m/pza).   Ref. lm-82202932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</si>
  <si>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</si>
  <si>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</si>
  <si>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</si>
  <si>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</si>
  <si>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</si>
  <si>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</si>
  <si>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</si>
  <si>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</si>
  <si>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</si>
  <si>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</si>
  <si>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</si>
  <si>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</si>
  <si>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</si>
  <si>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</si>
  <si>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</si>
  <si>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</si>
  <si>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</si>
  <si>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</si>
  <si>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</si>
  <si>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</si>
  <si>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REM-BURLETE-AL-01</t>
  </si>
  <si>
    <t xml:space="preserve">REM-BURLETE-PU-01</t>
  </si>
  <si>
    <t xml:space="preserve">Partida</t>
  </si>
  <si>
    <t xml:space="preserve">pza</t>
  </si>
  <si>
    <t xml:space="preserve">SUMINISTRO Y COLOCACIÓN DE BURLETE (BAJO DE PUERTA) EN DOBLE ROLLO DE ESPUMA POLIURETANO</t>
  </si>
  <si>
    <t xml:space="preserve">SUMINISTRO Y COLOCACIÓN DE BURLETE (BAJO DE PUERTA) EN DOBLE ROLLO DE ESPUMA POLIURETANO</t>
  </si>
  <si>
    <t xml:space="preserve">ma-lm-82202916</t>
  </si>
  <si>
    <t xml:space="preserve">Material</t>
  </si>
  <si>
    <t xml:space="preserve">pza</t>
  </si>
  <si>
    <t xml:space="preserve">Burlete de puerta en doble rollo de espuma poliuretano AXTON cepillo (1 m/pza).   Ref. lm-82202916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</si>
  <si>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</si>
  <si>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</si>
  <si>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</si>
  <si>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</si>
  <si>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</si>
  <si>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</si>
  <si>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</si>
  <si>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</si>
  <si>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</si>
  <si>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</si>
  <si>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</si>
  <si>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</si>
  <si>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</si>
  <si>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</si>
  <si>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</si>
  <si>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</si>
  <si>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</si>
  <si>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</si>
  <si>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</si>
  <si>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</si>
  <si>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REM-BURLETE-PU-01</t>
  </si>
  <si>
    <t xml:space="preserve">REM-BURLETE-PVC-01</t>
  </si>
  <si>
    <t xml:space="preserve">Partida</t>
  </si>
  <si>
    <t xml:space="preserve">pza</t>
  </si>
  <si>
    <t xml:space="preserve">SUMINISTRO Y COLOCACIÓN DE BURLETE (BAJO DE PUERTA) EN PVC Y CEPILLO</t>
  </si>
  <si>
    <t xml:space="preserve">SUMINISTRO Y COLOCACIÓN DE BURLETE (BAJO DE PUERTA) EN PVC Y CEPILLO</t>
  </si>
  <si>
    <t xml:space="preserve">ma-lm-82202922</t>
  </si>
  <si>
    <t xml:space="preserve">Material</t>
  </si>
  <si>
    <t xml:space="preserve">pza</t>
  </si>
  <si>
    <t xml:space="preserve">Burlete de puerta en PVC adhesivo AXTON cepillo (1 m/pza).   Ref. lm-82202922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</si>
  <si>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</si>
  <si>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</si>
  <si>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</si>
  <si>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</si>
  <si>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</si>
  <si>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</si>
  <si>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</si>
  <si>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</si>
  <si>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</si>
  <si>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</si>
  <si>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</si>
  <si>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</si>
  <si>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</si>
  <si>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</si>
  <si>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</si>
  <si>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</si>
  <si>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</si>
  <si>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</si>
  <si>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</si>
  <si>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</si>
  <si>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REM-BURLETE-PVC-01</t>
  </si>
  <si>
    <t xml:space="preserve">BURLETES</t>
  </si>
  <si>
    <t xml:space="preserve">CUBREMUROS.Y.PASAMANOS</t>
  </si>
  <si>
    <t xml:space="preserve">Capítulo</t>
  </si>
  <si>
    <t xml:space="preserve">CUBREMUROS Y/O PASAMANOS</t>
  </si>
  <si>
    <t xml:space="preserve">REM-C/MURO-CELOSIA-20x20-GCA</t>
  </si>
  <si>
    <t xml:space="preserve">Partida</t>
  </si>
  <si>
    <t xml:space="preserve">m</t>
  </si>
  <si>
    <t xml:space="preserve">XXXXXX PASAMANOS/CUBREMUROS CELOSÍA EN RASILLA DOBLE GOTERÓN (20X20 cm); EN INSTALACIÓN CON GRADO DE COMPLEJIDAD ALTO (GCA)</t>
  </si>
  <si>
    <t xml:space="preserve">Cubremuros cerámico, color rojo, en piezas de 20x20cm, con doble goterón; recibido con mortero de cemento, industrial, con aditivo; y rejuntado entre piezas y de las uniones con los muros con mortero de juntas cementoso con absorción de agua reducida, para juntas entre 3 y 15 mm.</t>
  </si>
  <si>
    <t xml:space="preserve">ma-lp-00299055</t>
  </si>
  <si>
    <t xml:space="preserve">Material</t>
  </si>
  <si>
    <t xml:space="preserve">pza</t>
  </si>
  <si>
    <t xml:space="preserve">Pasamanos/Cubremuros celosía en rasilla (20x20x2 cm/pza).   Ref. lp-00299055</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</si>
  <si>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</si>
  <si>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</si>
  <si>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</si>
  <si>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</si>
  <si>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</si>
  <si>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</si>
  <si>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</si>
  <si>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</si>
  <si>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</si>
  <si>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</si>
  <si>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</si>
  <si>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</si>
  <si>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</si>
  <si>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</si>
  <si>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</si>
  <si>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</si>
  <si>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</si>
  <si>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</si>
  <si>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</si>
  <si>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</si>
  <si>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</si>
  <si>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</si>
  <si>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</si>
  <si>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</si>
  <si>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</si>
  <si>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</si>
  <si>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</si>
  <si>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</si>
  <si>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REM-C/MURO-CELOSIA-20x20-GCA</t>
  </si>
  <si>
    <t xml:space="preserve">REM-C/MURO-CELOSIA-20x20-GCM</t>
  </si>
  <si>
    <t xml:space="preserve">Partida</t>
  </si>
  <si>
    <t xml:space="preserve">m</t>
  </si>
  <si>
    <t xml:space="preserve">XXXXXX CUBREMUROS CERAMICO DE 20x20 CON DOBLE GOTERON</t>
  </si>
  <si>
    <t xml:space="preserve">Cubremuros cerámico, color rojo, en piezas de 20x20cm, con doble goterón; recibido con mortero de cemento, industrial, con aditivo; y rejuntado entre piezas y de las uniones con los muros con mortero de juntas cementoso con absorción de agua reducida, para juntas entre 3 y 15 mm.</t>
  </si>
  <si>
    <t xml:space="preserve">ma-lp-00299055</t>
  </si>
  <si>
    <t xml:space="preserve">Material</t>
  </si>
  <si>
    <t xml:space="preserve">pza</t>
  </si>
  <si>
    <t xml:space="preserve">Pasamanos/Cubremuros celosía en rasilla (20x20x2 cm/pza).   Ref. lp-00299055</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</si>
  <si>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</si>
  <si>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</si>
  <si>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</si>
  <si>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</si>
  <si>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</si>
  <si>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</si>
  <si>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</si>
  <si>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</si>
  <si>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</si>
  <si>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</si>
  <si>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</si>
  <si>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</si>
  <si>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</si>
  <si>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</si>
  <si>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</si>
  <si>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</si>
  <si>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</si>
  <si>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</si>
  <si>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</si>
  <si>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</si>
  <si>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</si>
  <si>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</si>
  <si>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</si>
  <si>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</si>
  <si>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</si>
  <si>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</si>
  <si>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</si>
  <si>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</si>
  <si>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REM-C/MURO-CELOSIA-20x20-GCM</t>
  </si>
  <si>
    <t xml:space="preserve">REM-C/MURO-GRES.NAT-22x32-GCA</t>
  </si>
  <si>
    <t xml:space="preserve">Partida</t>
  </si>
  <si>
    <t xml:space="preserve">m</t>
  </si>
  <si>
    <t xml:space="preserve">PASAMANOS/CUBREMUROS GRES NATURAL A DOBLE GOTERÓN (22x31,4 cm); EN INSTALACIÓN CON GRADO DE COMPLEJIDAD ALTO (GCA)</t>
  </si>
  <si>
    <t xml:space="preserve">PASAMANOS/CUBREMUROS GRES NATURAL A DOBLE GOTERÓN (22x31,4 cm); EN INSTALACIÓN CON GRADO DE COMPLEJIDAD ALTO (GCA)</t>
  </si>
  <si>
    <t xml:space="preserve">ma-fl-93305504</t>
  </si>
  <si>
    <t xml:space="preserve">Material</t>
  </si>
  <si>
    <t xml:space="preserve">pza</t>
  </si>
  <si>
    <t xml:space="preserve">Pasamanos GRECOGRES NATURAL (22x31,4 cm/pza).   Ref. fl-93305504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</si>
  <si>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</si>
  <si>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</si>
  <si>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</si>
  <si>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</si>
  <si>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</si>
  <si>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</si>
  <si>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</si>
  <si>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</si>
  <si>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</si>
  <si>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</si>
  <si>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</si>
  <si>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</si>
  <si>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</si>
  <si>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</si>
  <si>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</si>
  <si>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</si>
  <si>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</si>
  <si>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</si>
  <si>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</si>
  <si>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</si>
  <si>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</si>
  <si>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</si>
  <si>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</si>
  <si>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</si>
  <si>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</si>
  <si>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</si>
  <si>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</si>
  <si>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</si>
  <si>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REM-C/MURO-GRES.NAT-22x32-GCA</t>
  </si>
  <si>
    <t xml:space="preserve">REM-C/MURO-GRES.NAT-22x32-GCM</t>
  </si>
  <si>
    <t xml:space="preserve">Partida</t>
  </si>
  <si>
    <t xml:space="preserve">m</t>
  </si>
  <si>
    <t xml:space="preserve">PASAMANOS/CUBREMUROS GRES NATURAL A DOBLE GOTERÓN (22x31,4 cm); EN INSTALACIÓN CON GRADO DE COMPLEJIDAD MEDIO (GCM)</t>
  </si>
  <si>
    <t xml:space="preserve">PASAMANOS/CUBREMUROS GRES NATURAL A DOBLE GOTERÓN (22x31,4 cm); EN INSTALACIÓN CON GRADO DE COMPLEJIDAD MEDIO (GCM)</t>
  </si>
  <si>
    <t xml:space="preserve">ma-fl-93305504</t>
  </si>
  <si>
    <t xml:space="preserve">Material</t>
  </si>
  <si>
    <t xml:space="preserve">pza</t>
  </si>
  <si>
    <t xml:space="preserve">Pasamanos GRECOGRES NATURAL (22x31,4 cm/pza).   Ref. fl-93305504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</si>
  <si>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</si>
  <si>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</si>
  <si>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</si>
  <si>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</si>
  <si>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</si>
  <si>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</si>
  <si>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</si>
  <si>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</si>
  <si>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</si>
  <si>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</si>
  <si>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</si>
  <si>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</si>
  <si>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</si>
  <si>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</si>
  <si>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</si>
  <si>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</si>
  <si>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</si>
  <si>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</si>
  <si>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</si>
  <si>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</si>
  <si>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</si>
  <si>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</si>
  <si>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</si>
  <si>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</si>
  <si>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</si>
  <si>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</si>
  <si>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</si>
  <si>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</si>
  <si>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REM-C/MURO-GRES.NAT-22x32-GCM</t>
  </si>
  <si>
    <t xml:space="preserve">REM-C/MURO-GRES.CALAF-27x27-GCA</t>
  </si>
  <si>
    <t xml:space="preserve">Partida</t>
  </si>
  <si>
    <t xml:space="preserve">m</t>
  </si>
  <si>
    <t xml:space="preserve">PASAMANOS/CUBREMUROS MONTSERRAT DE CALAF DOBLE GOTERÓN (27x27); EN INSTALACIÓN CON GRADO DE COMPLEJIDAD ALTO (GCA)</t>
  </si>
  <si>
    <t xml:space="preserve">PASAMANOS/CUBREMUROS MONTSERRAT DE CALAF DOBLE GOTERÓN (27x27); EN INSTALACIÓN CON GRADO DE COMPLEJIDAD ALTO (GCA)</t>
  </si>
  <si>
    <t xml:space="preserve">ma-toloflorit-04217</t>
  </si>
  <si>
    <t xml:space="preserve">Material</t>
  </si>
  <si>
    <t xml:space="preserve">pza</t>
  </si>
  <si>
    <t xml:space="preserve">Pasamanos/Cubremuros MONTSERRAT de CALAF; color beige (27x27x2 cm/pza).   Ref. mausa-Sku-CALAFx</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</si>
  <si>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</si>
  <si>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</si>
  <si>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</si>
  <si>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</si>
  <si>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</si>
  <si>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</si>
  <si>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</si>
  <si>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</si>
  <si>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</si>
  <si>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</si>
  <si>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</si>
  <si>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</si>
  <si>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</si>
  <si>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</si>
  <si>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</si>
  <si>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</si>
  <si>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</si>
  <si>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</si>
  <si>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</si>
  <si>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</si>
  <si>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</si>
  <si>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</si>
  <si>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</si>
  <si>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</si>
  <si>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</si>
  <si>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</si>
  <si>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</si>
  <si>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</si>
  <si>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REM-C/MURO-GRES.CALAF-27x27-GCA</t>
  </si>
  <si>
    <t xml:space="preserve">REM-C/MURO-GRES.CALAF-27x27-GCM</t>
  </si>
  <si>
    <t xml:space="preserve">Partida</t>
  </si>
  <si>
    <t xml:space="preserve">m</t>
  </si>
  <si>
    <t xml:space="preserve">PASAMANOS/CUBREMUROS MONTSERRAT DE CALAF DOBLE GOTERÓN (27x27); EN INSTALACIÓN CON GRADO DE COMPLEJIDAD MEDIO (GCM)</t>
  </si>
  <si>
    <t xml:space="preserve">PASAMANOS/CUBREMUROS MONTSERRAT DE CALAF DOBLE GOTERÓN (27x27); EN INSTALACIÓN CON GRADO DE COMPLEJIDAD MEDIO (GCM)</t>
  </si>
  <si>
    <t xml:space="preserve">ma-toloflorit-04217</t>
  </si>
  <si>
    <t xml:space="preserve">Material</t>
  </si>
  <si>
    <t xml:space="preserve">pza</t>
  </si>
  <si>
    <t xml:space="preserve">Pasamanos/Cubremuros MONTSERRAT de CALAF; color beige (27x27x2 cm/pza).   Ref. mausa-Sku-CALAFx</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</si>
  <si>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</si>
  <si>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</si>
  <si>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</si>
  <si>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</si>
  <si>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</si>
  <si>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</si>
  <si>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</si>
  <si>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</si>
  <si>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</si>
  <si>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</si>
  <si>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</si>
  <si>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</si>
  <si>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</si>
  <si>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</si>
  <si>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</si>
  <si>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</si>
  <si>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</si>
  <si>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</si>
  <si>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</si>
  <si>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</si>
  <si>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</si>
  <si>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</si>
  <si>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</si>
  <si>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</si>
  <si>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</si>
  <si>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</si>
  <si>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</si>
  <si>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</si>
  <si>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REM-C/MURO-GRES.CALAF-27x27-GCM</t>
  </si>
  <si>
    <t xml:space="preserve">REM-C/MURO-PIEDRA.01-50x27-GCA</t>
  </si>
  <si>
    <t xml:space="preserve">Partida</t>
  </si>
  <si>
    <t xml:space="preserve">m</t>
  </si>
  <si>
    <t xml:space="preserve">PASAMANOS/CUBREMUROS DE PIEDRA ARTIFICIAL DOBLE GOTERÓN; color blanco (50x27x4 cm/pza); EN INSTALACIÓN CON GRADO DE COMPLEJIDAD ALTO (GCA)</t>
  </si>
  <si>
    <t xml:space="preserve">PASAMANOS/CUBREMUROS DE PIEDRA ARTIFICIAL DOBLE GOTERÓN; color blanco (50x27x4 cm/pza); EN INSTALACIÓN CON GRADO DE COMPLEJIDAD ALTO (GCA)</t>
  </si>
  <si>
    <t xml:space="preserve">ma-b.martinez-27.5-blanco</t>
  </si>
  <si>
    <t xml:space="preserve">Material</t>
  </si>
  <si>
    <t xml:space="preserve">pza</t>
  </si>
  <si>
    <t xml:space="preserve">Pasamano/cubremuro plano de piedra artificial doble goterón; color blanco (50x27,5x4 cm/pza).   Ref . b.martinez-27.5-blanco</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</si>
  <si>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</si>
  <si>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</si>
  <si>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</si>
  <si>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</si>
  <si>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</si>
  <si>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</si>
  <si>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</si>
  <si>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</si>
  <si>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</si>
  <si>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</si>
  <si>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</si>
  <si>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</si>
  <si>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</si>
  <si>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</si>
  <si>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</si>
  <si>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</si>
  <si>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</si>
  <si>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</si>
  <si>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</si>
  <si>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</si>
  <si>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</si>
  <si>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</si>
  <si>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</si>
  <si>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</si>
  <si>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</si>
  <si>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</si>
  <si>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</si>
  <si>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</si>
  <si>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</si>
  <si>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</si>
  <si>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</si>
  <si>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</si>
  <si>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</si>
  <si>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</si>
  <si>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</si>
  <si>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</si>
  <si>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REM-C/MURO-PIEDRA.01-50x27-GCA</t>
  </si>
  <si>
    <t xml:space="preserve">REM-C/MURO-PIEDRA.01-50x27-GCM</t>
  </si>
  <si>
    <t xml:space="preserve">Partida</t>
  </si>
  <si>
    <t xml:space="preserve">m</t>
  </si>
  <si>
    <t xml:space="preserve">PASAMANOS/CUBREMUROS DE PIEDRA ARTIFICIAL DOBLE GOTERÓN; color blanco (50x27x4 cm/pza); EN INSTALACIÓN CON GRADO DE COMPLEJIDAD MEDIO (GCM)</t>
  </si>
  <si>
    <t xml:space="preserve">PASAMANOS/CUBREMUROS DE PIEDRA ARTIFICIAL DOBLE GOTERÓN; color blanco (50x27x4 cm/pza); EN INSTALACIÓN CON GRADO DE COMPLEJIDAD MEDIO (GCM)</t>
  </si>
  <si>
    <t xml:space="preserve">ma-b.martinez-27.5-blanco</t>
  </si>
  <si>
    <t xml:space="preserve">Material</t>
  </si>
  <si>
    <t xml:space="preserve">pza</t>
  </si>
  <si>
    <t xml:space="preserve">Pasamano/cubremuro plano de piedra artificial doble goterón; color blanco (50x27,5x4 cm/pza).   Ref . b.martinez-27.5-blanco</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</si>
  <si>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</si>
  <si>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</si>
  <si>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</si>
  <si>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</si>
  <si>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</si>
  <si>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</si>
  <si>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</si>
  <si>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</si>
  <si>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</si>
  <si>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</si>
  <si>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</si>
  <si>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</si>
  <si>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</si>
  <si>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</si>
  <si>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</si>
  <si>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</si>
  <si>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</si>
  <si>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</si>
  <si>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</si>
  <si>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</si>
  <si>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</si>
  <si>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</si>
  <si>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</si>
  <si>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</si>
  <si>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</si>
  <si>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</si>
  <si>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</si>
  <si>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</si>
  <si>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</si>
  <si>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</si>
  <si>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</si>
  <si>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</si>
  <si>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</si>
  <si>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</si>
  <si>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</si>
  <si>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</si>
  <si>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REM-C/MURO-PIEDRA.01-50x27-GCM</t>
  </si>
  <si>
    <t xml:space="preserve">REM-C/MURO-GRESANDORRA-33x16-GCA</t>
  </si>
  <si>
    <t xml:space="preserve">Partida</t>
  </si>
  <si>
    <t xml:space="preserve">m</t>
  </si>
  <si>
    <t xml:space="preserve">PASAMANOS/CUBREMUROS GRES NATURAL DE ANDORRA 32,5x15,5 cm; EN INSTALACIÓN CON GRADO DE COMPLEJIDAD ALTO (GCA)</t>
  </si>
  <si>
    <t xml:space="preserve">PASAMANOS/CUBREMUROS GRES NATURAL DE ANDORRA 32,5x15,5 cm; EN INSTALACIÓN CON GRADO DE COMPLEJIDAD ALTO (GCA)</t>
  </si>
  <si>
    <t xml:space="preserve">ma-ia-07</t>
  </si>
  <si>
    <t xml:space="preserve">Material</t>
  </si>
  <si>
    <t xml:space="preserve">pza</t>
  </si>
  <si>
    <t xml:space="preserve">Pasamanos INTERAZULEJOS natural extruido antideslizante; espesor 1,3 cm (15,5x32,5x5 cm/pza).   Ref. ia-07</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</si>
  <si>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</si>
  <si>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</si>
  <si>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</si>
  <si>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</si>
  <si>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</si>
  <si>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</si>
  <si>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</si>
  <si>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</si>
  <si>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</si>
  <si>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</si>
  <si>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</si>
  <si>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</si>
  <si>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</si>
  <si>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</si>
  <si>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</si>
  <si>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</si>
  <si>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</si>
  <si>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</si>
  <si>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</si>
  <si>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</si>
  <si>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</si>
  <si>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</si>
  <si>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</si>
  <si>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</si>
  <si>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</si>
  <si>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</si>
  <si>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</si>
  <si>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</si>
  <si>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REM-C/MURO-GRESANDORRA-33x16-GCA</t>
  </si>
  <si>
    <t xml:space="preserve">REM-C/MURO-GRESANDORRA-33x16-GCM</t>
  </si>
  <si>
    <t xml:space="preserve">Partida</t>
  </si>
  <si>
    <t xml:space="preserve">m</t>
  </si>
  <si>
    <t xml:space="preserve">PASAMANOS/CUBREMUROS GRES NATURAL DE ANDORRA 32,5x15,5 cm; EN INSTALACIÓN CON GRADO DE COMPLEJIDAD MEDIO (GCM)</t>
  </si>
  <si>
    <t xml:space="preserve">PASAMANOS/CUBREMUROS GRES NATURAL DE ANDORRA 32,5x15,5 cm; EN INSTALACIÓN CON GRADO DE COMPLEJIDAD MEDIO (GCM)</t>
  </si>
  <si>
    <t xml:space="preserve">ma-ia-07</t>
  </si>
  <si>
    <t xml:space="preserve">Material</t>
  </si>
  <si>
    <t xml:space="preserve">pza</t>
  </si>
  <si>
    <t xml:space="preserve">Pasamanos INTERAZULEJOS natural extruido antideslizante; espesor 1,3 cm (15,5x32,5x5 cm/pza).   Ref. ia-07</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</si>
  <si>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</si>
  <si>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</si>
  <si>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</si>
  <si>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</si>
  <si>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</si>
  <si>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</si>
  <si>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</si>
  <si>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</si>
  <si>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</si>
  <si>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</si>
  <si>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</si>
  <si>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</si>
  <si>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</si>
  <si>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</si>
  <si>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</si>
  <si>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</si>
  <si>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</si>
  <si>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</si>
  <si>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</si>
  <si>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</si>
  <si>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</si>
  <si>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</si>
  <si>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</si>
  <si>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</si>
  <si>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</si>
  <si>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</si>
  <si>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</si>
  <si>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</si>
  <si>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REM-C/MURO-GRESANDORRA-33x16-GCM</t>
  </si>
  <si>
    <t xml:space="preserve">REM-C/MURO-GRESANDORRA-33x22-GCA</t>
  </si>
  <si>
    <t xml:space="preserve">Partida</t>
  </si>
  <si>
    <t xml:space="preserve">m</t>
  </si>
  <si>
    <t xml:space="preserve">PASAMANOS/CUBREMUROS GRES NATURAL DE ANDORRA 32,5x21,5 cm; EN INSTALACIÓN CON GRADO DE COMPLEJIDAD ALTO (GCA)</t>
  </si>
  <si>
    <t xml:space="preserve">PASAMANOS/CUBREMUROS GRES NATURAL DE ANDORRA 32,5x21,5 cm; EN INSTALACIÓN CON GRADO DE COMPLEJIDAD ALTO (GCA)</t>
  </si>
  <si>
    <t xml:space="preserve">ma-ia-08</t>
  </si>
  <si>
    <t xml:space="preserve">Material</t>
  </si>
  <si>
    <t xml:space="preserve">pza</t>
  </si>
  <si>
    <t xml:space="preserve">Pasamanos INTERAZULEJOS natural extruido antideslizante; espesor 1,3 cm (21,5x32,5x5 cm/pza).   Ref. ia-08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</si>
  <si>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</si>
  <si>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</si>
  <si>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</si>
  <si>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</si>
  <si>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</si>
  <si>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</si>
  <si>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</si>
  <si>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</si>
  <si>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</si>
  <si>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</si>
  <si>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</si>
  <si>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</si>
  <si>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</si>
  <si>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</si>
  <si>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</si>
  <si>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</si>
  <si>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</si>
  <si>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</si>
  <si>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</si>
  <si>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</si>
  <si>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</si>
  <si>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</si>
  <si>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</si>
  <si>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</si>
  <si>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</si>
  <si>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</si>
  <si>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</si>
  <si>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</si>
  <si>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REM-C/MURO-GRESANDORRA-33x22-GCA</t>
  </si>
  <si>
    <t xml:space="preserve">REM-C/MURO-GRESANDORRA-33x22-GCM</t>
  </si>
  <si>
    <t xml:space="preserve">Partida</t>
  </si>
  <si>
    <t xml:space="preserve">m</t>
  </si>
  <si>
    <t xml:space="preserve">PASAMANOS/CUBREMUROS GRES NATURAL DE ANDORRA 32,5x21,5 cm; EN INSTALACIÓN CON GRADO DE COMPLEJIDAD MEDIO (GCM)</t>
  </si>
  <si>
    <t xml:space="preserve">PASAMANO/CUBREMURO GRES NATURAL DE ANDORRA 32,5x21,5 cm; EN INSTALACIÓN CON GRADO DE COMPLEJIDAD MEDIO (GCM)</t>
  </si>
  <si>
    <t xml:space="preserve">ma-ia-08</t>
  </si>
  <si>
    <t xml:space="preserve">Material</t>
  </si>
  <si>
    <t xml:space="preserve">pza</t>
  </si>
  <si>
    <t xml:space="preserve">Pasamanos INTERAZULEJOS natural extruido antideslizante; espesor 1,3 cm (21,5x32,5x5 cm/pza).   Ref. ia-08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</si>
  <si>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</si>
  <si>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</si>
  <si>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</si>
  <si>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</si>
  <si>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</si>
  <si>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</si>
  <si>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</si>
  <si>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</si>
  <si>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</si>
  <si>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</si>
  <si>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</si>
  <si>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</si>
  <si>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</si>
  <si>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</si>
  <si>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</si>
  <si>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</si>
  <si>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</si>
  <si>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</si>
  <si>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</si>
  <si>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</si>
  <si>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</si>
  <si>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</si>
  <si>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</si>
  <si>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</si>
  <si>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</si>
  <si>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</si>
  <si>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</si>
  <si>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</si>
  <si>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REM-C/MURO-GRESANDORRA-33x22-GCM</t>
  </si>
  <si>
    <t xml:space="preserve">REM-C/MURO-ALUM.BLANCO-23-GCM</t>
  </si>
  <si>
    <t xml:space="preserve">Partida</t>
  </si>
  <si>
    <t xml:space="preserve">m</t>
  </si>
  <si>
    <t xml:space="preserve">PASAMANOS/CUBREMUROS DE ALUMINIO LACADO BLANCO CON GOTERÓN (ANCHO 23 CM); EN INSTALACIÓN CON GRADO DE COMPLEJIDAD MEDIO (GCM)</t>
  </si>
  <si>
    <t xml:space="preserve">PASAMANOS/CUBREMUROS DE ALUMINIO LACADO BLANCO CON GOTERÓN (ANCHO 23 CM); EN INSTALACIÓN CON GRADO DE COMPLEJIDAD MEDIO (GCM)</t>
  </si>
  <si>
    <t xml:space="preserve">ma-eurofinestra-AD509</t>
  </si>
  <si>
    <t xml:space="preserve">Material</t>
  </si>
  <si>
    <t xml:space="preserve">pza</t>
  </si>
  <si>
    <t xml:space="preserve">Cubremuros de aluminio lacado blanco con goterón (23 x 300 cm/pza).   Ref. eurofinestra-AD509</t>
  </si>
  <si>
    <t xml:space="preserve">ma-eurofinestra-AD610</t>
  </si>
  <si>
    <t xml:space="preserve">Material</t>
  </si>
  <si>
    <t xml:space="preserve">pza</t>
  </si>
  <si>
    <t xml:space="preserve">Unión para insertar en cubremuros de aluminio (ancho 23 cm/pza).   Ref. eurofinestra-AD610</t>
  </si>
  <si>
    <t xml:space="preserve">ma-eurofinestra-AD512</t>
  </si>
  <si>
    <t xml:space="preserve">Material</t>
  </si>
  <si>
    <t xml:space="preserve">pza</t>
  </si>
  <si>
    <t xml:space="preserve">Esquinera de cubremuro de aluminio RAL 7016 mate (ancho 23 cm/pza).   Ref. eurofinestra-AD512</t>
  </si>
  <si>
    <t xml:space="preserve">ma-lp-00215083</t>
  </si>
  <si>
    <t xml:space="preserve">Material</t>
  </si>
  <si>
    <t xml:space="preserve">caja</t>
  </si>
  <si>
    <t xml:space="preserve">Taco DUOPOWER de FISCHER (50 pzas/caja).   Ref. lp-00215083</t>
  </si>
  <si>
    <t xml:space="preserve">ma-lp-00541253</t>
  </si>
  <si>
    <t xml:space="preserve">Material</t>
  </si>
  <si>
    <t xml:space="preserve">envase</t>
  </si>
  <si>
    <t xml:space="preserve">Masilla de poliuretano BIGMAT (300 ml/envase); color blanco.   Ref. lp-00541253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</si>
  <si>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</si>
  <si>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</si>
  <si>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</si>
  <si>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</si>
  <si>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</si>
  <si>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</si>
  <si>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</si>
  <si>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</si>
  <si>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</si>
  <si>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</si>
  <si>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</si>
  <si>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</si>
  <si>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</si>
  <si>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</si>
  <si>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</si>
  <si>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</si>
  <si>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</si>
  <si>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</si>
  <si>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</si>
  <si>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</si>
  <si>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REM-C/MURO-ALUM.BLANCO-23-GCM</t>
  </si>
  <si>
    <t xml:space="preserve">REM-C/MURO-ALUM.BLANCO-23-GCA</t>
  </si>
  <si>
    <t xml:space="preserve">Partida</t>
  </si>
  <si>
    <t xml:space="preserve">m</t>
  </si>
  <si>
    <t xml:space="preserve">PASAMANOS/CUBREMUROS DE ALUMINIO LACADO BLANCO CON GOTERÓN (ANCHO 23 CM); EN INSTALACIÓN CON GRADO DE COMPLEJIDAD ALTO (GCA)</t>
  </si>
  <si>
    <t xml:space="preserve">PASAMANOS/CUBREMUROS DE ALUMINIO LACADO BLANCO CON GOTERÓN (ANCHO 23 CM); EN INSTALACIÓN CON GRADO DE COMPLEJIDAD ALTO (GCA)</t>
  </si>
  <si>
    <t xml:space="preserve">ma-eurofinestra-AD509</t>
  </si>
  <si>
    <t xml:space="preserve">Material</t>
  </si>
  <si>
    <t xml:space="preserve">pza</t>
  </si>
  <si>
    <t xml:space="preserve">Cubremuros de aluminio lacado blanco con goterón (23 x 300 cm/pza).   Ref. eurofinestra-AD509</t>
  </si>
  <si>
    <t xml:space="preserve">ma-eurofinestra-AD610</t>
  </si>
  <si>
    <t xml:space="preserve">Material</t>
  </si>
  <si>
    <t xml:space="preserve">pza</t>
  </si>
  <si>
    <t xml:space="preserve">Unión para insertar en cubremuros de aluminio (ancho 23 cm/pza).   Ref. eurofinestra-AD610</t>
  </si>
  <si>
    <t xml:space="preserve">ma-eurofinestra-AD512</t>
  </si>
  <si>
    <t xml:space="preserve">Material</t>
  </si>
  <si>
    <t xml:space="preserve">pza</t>
  </si>
  <si>
    <t xml:space="preserve">Esquinera de cubremuro de aluminio RAL 7016 mate (ancho 23 cm/pza).   Ref. eurofinestra-AD512</t>
  </si>
  <si>
    <t xml:space="preserve">ma-lp-00215083</t>
  </si>
  <si>
    <t xml:space="preserve">Material</t>
  </si>
  <si>
    <t xml:space="preserve">caja</t>
  </si>
  <si>
    <t xml:space="preserve">Taco DUOPOWER de FISCHER (50 pzas/caja).   Ref. lp-00215083</t>
  </si>
  <si>
    <t xml:space="preserve">ma-lp-00541253</t>
  </si>
  <si>
    <t xml:space="preserve">Material</t>
  </si>
  <si>
    <t xml:space="preserve">envase</t>
  </si>
  <si>
    <t xml:space="preserve">Masilla de poliuretano BIGMAT (300 ml/envase); color blanco.   Ref. lp-00541253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</si>
  <si>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</si>
  <si>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</si>
  <si>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</si>
  <si>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</si>
  <si>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</si>
  <si>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</si>
  <si>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</si>
  <si>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</si>
  <si>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</si>
  <si>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</si>
  <si>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</si>
  <si>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</si>
  <si>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</si>
  <si>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</si>
  <si>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</si>
  <si>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</si>
  <si>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</si>
  <si>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</si>
  <si>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</si>
  <si>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</si>
  <si>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REM-C/MURO-ALUM.BLANCO-23-GCA</t>
  </si>
  <si>
    <t xml:space="preserve">REM-C/MURO-VIDRIADO-20x20-GCA</t>
  </si>
  <si>
    <t xml:space="preserve">Partida</t>
  </si>
  <si>
    <t xml:space="preserve">m</t>
  </si>
  <si>
    <t xml:space="preserve">PASAMANOS/CUBREMUROS DE BALDOSA CERÁMICA VIDRIADA COLOR CT3 20x20 cm; EN INSTALACIÓN CON GRADO DE COMPLEJIDAD ALTO (GCA)</t>
  </si>
  <si>
    <t xml:space="preserve">PASAMANOS/CUBREMUROS DE BALDOSA CERÁMICA VIDRIADA COLOR CT3 20x20 cm; EN INSTALACIÓN CON GRADO DE COMPLEJIDAD ALTO (GCA)</t>
  </si>
  <si>
    <t xml:space="preserve">ma-ferres-c/muro.VT-SW-20x20-CT3</t>
  </si>
  <si>
    <t xml:space="preserve">Material</t>
  </si>
  <si>
    <t xml:space="preserve">pza</t>
  </si>
  <si>
    <t xml:space="preserve">Pasamanos/cubremuros vidriado STONEWARE (20x20 cm/pza).   Ref. ferres-c/muro.VT-SW-20x20-CT3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</si>
  <si>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</si>
  <si>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</si>
  <si>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</si>
  <si>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</si>
  <si>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</si>
  <si>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</si>
  <si>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</si>
  <si>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</si>
  <si>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</si>
  <si>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</si>
  <si>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</si>
  <si>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</si>
  <si>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</si>
  <si>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</si>
  <si>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</si>
  <si>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</si>
  <si>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</si>
  <si>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</si>
  <si>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</si>
  <si>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</si>
  <si>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</si>
  <si>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</si>
  <si>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</si>
  <si>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</si>
  <si>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</si>
  <si>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</si>
  <si>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</si>
  <si>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</si>
  <si>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REM-C/MURO-VIDRIADO-20x20-GCA</t>
  </si>
  <si>
    <t xml:space="preserve">REM-C/MURO-VIDRIADO-20x20-GCM</t>
  </si>
  <si>
    <t xml:space="preserve">Partida</t>
  </si>
  <si>
    <t xml:space="preserve">m</t>
  </si>
  <si>
    <t xml:space="preserve">PASAMANOS/CUBREMUROS DE BALDOSA CERÁMICA VIDRIADA COLOR CT3 20x20 cm; EN INSTALACIÓN CON GRADO DE COMPLEJIDAD MEDIO (GCM)</t>
  </si>
  <si>
    <t xml:space="preserve">PASAMANOS/CUBREMUROS DE BALDOSA CERÁMICA VIDRIADA COLOR CT3 20x20 cm; EN INSTALACIÓN CON GRADO DE COMPLEJIDAD MEDIO (GCM)</t>
  </si>
  <si>
    <t xml:space="preserve">ma-ferres-c/muro.VT-SW-20x20-CT3</t>
  </si>
  <si>
    <t xml:space="preserve">Material</t>
  </si>
  <si>
    <t xml:space="preserve">pza</t>
  </si>
  <si>
    <t xml:space="preserve">Pasamanos/cubremuros vidriado STONEWARE (20x20 cm/pza).   Ref. ferres-c/muro.VT-SW-20x20-CT3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</si>
  <si>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</si>
  <si>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</si>
  <si>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</si>
  <si>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</si>
  <si>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</si>
  <si>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</si>
  <si>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</si>
  <si>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</si>
  <si>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</si>
  <si>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</si>
  <si>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</si>
  <si>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</si>
  <si>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</si>
  <si>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</si>
  <si>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</si>
  <si>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</si>
  <si>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</si>
  <si>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</si>
  <si>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</si>
  <si>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</si>
  <si>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</si>
  <si>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</si>
  <si>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</si>
  <si>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</si>
  <si>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</si>
  <si>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</si>
  <si>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</si>
  <si>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</si>
  <si>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REM-C/MURO-VIDRIADO-20x20-GCM</t>
  </si>
  <si>
    <t xml:space="preserve">CUBREMUROS.Y.PASAMANOS</t>
  </si>
  <si>
    <t xml:space="preserve">MIMBELES</t>
  </si>
  <si>
    <t xml:space="preserve">Capítulo</t>
  </si>
  <si>
    <t xml:space="preserve">XXXXXX MIMBELES</t>
  </si>
  <si>
    <t xml:space="preserve">REM-MIMBEL-ROJO.COUGAT-h14-GCA</t>
  </si>
  <si>
    <t xml:space="preserve">Partida</t>
  </si>
  <si>
    <t xml:space="preserve">m</t>
  </si>
  <si>
    <t xml:space="preserve">XXXXXX MIMBEL CERÁMICO CON BALDOSA DE PAVIMENTO PRENSADO NATURAL COLOR ROJO CUGAT DE BENESOL (14x28 cm por pieza); EN INSTALACIÓN CON GRADO DE COMPLEJIDAD ALTA (GCA)</t>
  </si>
  <si>
    <t xml:space="preserve">MIMBEL CERÁMICO CON BALDOSA DE PAVIMENTO PRENSADO NATURAL COLOR ROJO CUGAT DE BENESOL (14x28 cm por pieza); EN INSTALACIÓN CON GRADO DE COMPLEJIDAD ALTA (GCA)</t>
  </si>
  <si>
    <t xml:space="preserve">ma-mausa-BEPRNAT1428</t>
  </si>
  <si>
    <t xml:space="preserve">Material</t>
  </si>
  <si>
    <t xml:space="preserve">m2</t>
  </si>
  <si>
    <t xml:space="preserve">Pavimento prensado natural color Rojo Cugat de BENESOL (14x28 cm/pza).   Ref. mausa-BEPRNAT1428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</si>
  <si>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</si>
  <si>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</si>
  <si>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</si>
  <si>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</si>
  <si>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</si>
  <si>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</si>
  <si>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</si>
  <si>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</si>
  <si>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</si>
  <si>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</si>
  <si>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</si>
  <si>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</si>
  <si>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</si>
  <si>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</si>
  <si>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</si>
  <si>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</si>
  <si>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</si>
  <si>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</si>
  <si>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</si>
  <si>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</si>
  <si>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</si>
  <si>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</si>
  <si>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</si>
  <si>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</si>
  <si>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</si>
  <si>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</si>
  <si>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</si>
  <si>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</si>
  <si>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REM-MIMBEL-ROJO.COUGAT-h14-GCA</t>
  </si>
  <si>
    <t xml:space="preserve">REM-MIMBEL.RASILLA-h14-GCA</t>
  </si>
  <si>
    <t xml:space="preserve">Partida</t>
  </si>
  <si>
    <t xml:space="preserve">m</t>
  </si>
  <si>
    <t xml:space="preserve">XXXXXX MIMBEL CERÁMICO CON RASILLA LISA; ALTURA 14 cm EN INSTALACIÓN CON GRADO DE COMPLEJIDAD ALTA (GCA)</t>
  </si>
  <si>
    <t xml:space="preserve">MIMBEL CERÁMICO CON RASILLA LISA; ALTURA 14 cm EN INSTALACIÓN CON GRADO DE COMPLEJIDAD ALTA (GCA)</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</si>
  <si>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</si>
  <si>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</si>
  <si>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</si>
  <si>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</si>
  <si>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</si>
  <si>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</si>
  <si>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</si>
  <si>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</si>
  <si>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</si>
  <si>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</si>
  <si>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</si>
  <si>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</si>
  <si>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</si>
  <si>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</si>
  <si>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</si>
  <si>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</si>
  <si>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</si>
  <si>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</si>
  <si>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</si>
  <si>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</si>
  <si>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</si>
  <si>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</si>
  <si>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</si>
  <si>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</si>
  <si>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</si>
  <si>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</si>
  <si>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</si>
  <si>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</si>
  <si>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</si>
  <si>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</si>
  <si>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</si>
  <si>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</si>
  <si>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REM-MIMBEL.RASILLA-h14-GCA</t>
  </si>
  <si>
    <t xml:space="preserve">REM-MIMBEL.RASILLA-h14-GCM</t>
  </si>
  <si>
    <t xml:space="preserve">Partida</t>
  </si>
  <si>
    <t xml:space="preserve">m</t>
  </si>
  <si>
    <t xml:space="preserve">XXXXXX MIMBEL CERÁMICO CON RASILLA LISA; ALTURA 14 cm EN INSTALACIÓN CON GRADO DE COMPLEJIDAD MEDIA (GCM)</t>
  </si>
  <si>
    <t xml:space="preserve">MIMBEL CERÁMICO CON RASILLA LISA; ALTURA 14 cm EN INSTALACIÓN CON GRADO DE COMPLEJIDAD MEDIA (GCM)</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</si>
  <si>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</si>
  <si>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</si>
  <si>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</si>
  <si>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</si>
  <si>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</si>
  <si>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</si>
  <si>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</si>
  <si>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</si>
  <si>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</si>
  <si>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</si>
  <si>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</si>
  <si>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</si>
  <si>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</si>
  <si>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</si>
  <si>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</si>
  <si>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</si>
  <si>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</si>
  <si>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</si>
  <si>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</si>
  <si>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</si>
  <si>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</si>
  <si>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</si>
  <si>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</si>
  <si>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</si>
  <si>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</si>
  <si>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</si>
  <si>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</si>
  <si>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</si>
  <si>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</si>
  <si>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</si>
  <si>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</si>
  <si>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</si>
  <si>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REM-MIMBEL.RASILLA-h14-GCM</t>
  </si>
  <si>
    <t xml:space="preserve">REM-MIMBEL.RASILLA-h28-GCA</t>
  </si>
  <si>
    <t xml:space="preserve">Partida</t>
  </si>
  <si>
    <t xml:space="preserve">m</t>
  </si>
  <si>
    <t xml:space="preserve">XXXXXX MIMBEL CERÁMICO CON RASILLA LISA; ALTURA 28 cm EN INSTALACIÓN CON GRADO DE COMPLEJIDAD ALTA (GCA)</t>
  </si>
  <si>
    <t xml:space="preserve">MIMBEL CERÁMICO CON RASILLA LISA; ALTURA 28 cm EN INSTALACIÓN CON GRADO DE COMPLEJIDAD ALTA (GCA)</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</si>
  <si>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</si>
  <si>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</si>
  <si>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</si>
  <si>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</si>
  <si>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</si>
  <si>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</si>
  <si>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</si>
  <si>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</si>
  <si>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</si>
  <si>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</si>
  <si>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</si>
  <si>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</si>
  <si>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</si>
  <si>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</si>
  <si>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</si>
  <si>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</si>
  <si>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</si>
  <si>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</si>
  <si>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</si>
  <si>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</si>
  <si>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</si>
  <si>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</si>
  <si>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</si>
  <si>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</si>
  <si>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</si>
  <si>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</si>
  <si>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</si>
  <si>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</si>
  <si>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</si>
  <si>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</si>
  <si>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</si>
  <si>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</si>
  <si>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REM-MIMBEL.RASILLA-h28-GCA</t>
  </si>
  <si>
    <t xml:space="preserve">REM-MIMBEL.RASILLA-h28-GCM</t>
  </si>
  <si>
    <t xml:space="preserve">Partida</t>
  </si>
  <si>
    <t xml:space="preserve">m</t>
  </si>
  <si>
    <t xml:space="preserve">XXXXXX MIMBEL CERÁMICO CON RASILLA LISA; ALTURA 28 cm EN INSTALACIÓN CON GRADO DE COMPLEJIDAD MEDIA (GCM)</t>
  </si>
  <si>
    <t xml:space="preserve">MIMBEL CERÁMICO CON RASILLA LISA; ALTURA 28 cm EN INSTALACIÓN CON GRADO DE COMPLEJIDAD MEDIA (GCM)</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</si>
  <si>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</si>
  <si>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</si>
  <si>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</si>
  <si>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</si>
  <si>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</si>
  <si>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</si>
  <si>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</si>
  <si>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</si>
  <si>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</si>
  <si>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</si>
  <si>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</si>
  <si>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</si>
  <si>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</si>
  <si>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</si>
  <si>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</si>
  <si>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</si>
  <si>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</si>
  <si>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</si>
  <si>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</si>
  <si>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</si>
  <si>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</si>
  <si>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</si>
  <si>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</si>
  <si>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</si>
  <si>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</si>
  <si>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</si>
  <si>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</si>
  <si>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</si>
  <si>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</si>
  <si>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</si>
  <si>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</si>
  <si>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</si>
  <si>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REM-MIMBEL.RASILLA-h28-GCM</t>
  </si>
  <si>
    <t xml:space="preserve">REM-MIMBEL-ROSAGRES-h10-GCM</t>
  </si>
  <si>
    <t xml:space="preserve">Partida</t>
  </si>
  <si>
    <t xml:space="preserve">m</t>
  </si>
  <si>
    <t xml:space="preserve">XXXXXX MIMBEL CERÁMICO CON BALDOSA NATURAL HIERRO 2.0 DE ROSA GRES; ALTURA 10 cm EN INSTALACIÓN CON GRADO DE COMPLEJIDAD MEDIA (GCM)</t>
  </si>
  <si>
    <t xml:space="preserve">MIMBEL CERÁMICO CON BALDOSA NATURAL HIERRO 2.0 DE ROSA GRES; ALTURA 10 cm EN INSTALACIÓN CON GRADO DE COMPLEJIDAD MEDIA (GCM)</t>
  </si>
  <si>
    <t xml:space="preserve">ma-fl-94303701</t>
  </si>
  <si>
    <t xml:space="preserve">Material</t>
  </si>
  <si>
    <t xml:space="preserve">m2</t>
  </si>
  <si>
    <t xml:space="preserve">Baldosa Cerámica NATURAL HIERRO 2.0 de ROSA GRES (31x31x0,9 cm/pza).   Ref. fl-94303701</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</si>
  <si>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</si>
  <si>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</si>
  <si>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</si>
  <si>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</si>
  <si>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</si>
  <si>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</si>
  <si>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</si>
  <si>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</si>
  <si>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ma-lp-00552545</t>
  </si>
  <si>
    <t xml:space="preserve">Material</t>
  </si>
  <si>
    <t xml:space="preserve">disco</t>
  </si>
  <si>
    <t xml:space="preserve">Disco diamante porcelánico BIG-SPRINT de BIGMAT turbo 115 mm.   Ref. lp-00552545</t>
  </si>
  <si>
    <t xml:space="preserve">alq-amolador-mym-01</t>
  </si>
  <si>
    <t xml:space="preserve">Maquinaria</t>
  </si>
  <si>
    <t xml:space="preserve">h</t>
  </si>
  <si>
    <t xml:space="preserve">Alquiler de Amolador Radial Eléctrico Portátil Diámetro 115 mm 750 W /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</si>
  <si>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</si>
  <si>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</si>
  <si>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</si>
  <si>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</si>
  <si>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</si>
  <si>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</si>
  <si>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</si>
  <si>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</si>
  <si>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</si>
  <si>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</si>
  <si>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</si>
  <si>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</si>
  <si>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</si>
  <si>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</si>
  <si>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</si>
  <si>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</si>
  <si>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</si>
  <si>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</si>
  <si>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</si>
  <si>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</si>
  <si>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REM-MIMBEL-ROSAGRES-h10-GCM</t>
  </si>
  <si>
    <t xml:space="preserve">MIMBELES</t>
  </si>
  <si>
    <t xml:space="preserve">VIERTEAGUAS</t>
  </si>
  <si>
    <t xml:space="preserve">Capítulo</t>
  </si>
  <si>
    <t xml:space="preserve">VIERTEAGUAS</t>
  </si>
  <si>
    <t xml:space="preserve">REM-V.AGUA-ALUMINO-33-AT</t>
  </si>
  <si>
    <t xml:space="preserve">Partida</t>
  </si>
  <si>
    <t xml:space="preserve">m</t>
  </si>
  <si>
    <t xml:space="preserve">VIERTEAGUAS DE ALUMINIO LACADO BLANCO (ancho 330 mm) MEDIANTE EL USO DE ANDAMIO TUBULAR</t>
  </si>
  <si>
    <t xml:space="preserve">Suministro y colocación de remate superior de tabique pluvial, de chapa plegada de aluminio lacado en color, fijado mecánicamente con anclaje mecánico con taco de nylon y tornillo de acero galvanizado. Incluye el sellado de las juntas entre piezas y la colocación de doble cordón de sellado en la unión con el muro con sellador adhesivo monocomponente.</t>
  </si>
  <si>
    <t xml:space="preserve">ma-eurofinestra-AD461</t>
  </si>
  <si>
    <t xml:space="preserve">Material</t>
  </si>
  <si>
    <t xml:space="preserve">pza</t>
  </si>
  <si>
    <t xml:space="preserve">Vierteaguas de aluminio lacado blanco (33x200 cm/pza).   Ref. eurofinestra-AD461</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</si>
  <si>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</si>
  <si>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</si>
  <si>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</si>
  <si>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</si>
  <si>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ma-lp-00541253</t>
  </si>
  <si>
    <t xml:space="preserve">Material</t>
  </si>
  <si>
    <t xml:space="preserve">envase</t>
  </si>
  <si>
    <t xml:space="preserve">Masilla de poliuretano BIGMAT (300 ml/envase); color blanco.   Ref. lp-00541253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</si>
  <si>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</si>
  <si>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</si>
  <si>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</si>
  <si>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</si>
  <si>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</si>
  <si>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</si>
  <si>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</si>
  <si>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</si>
  <si>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</si>
  <si>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</si>
  <si>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</si>
  <si>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</si>
  <si>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</si>
  <si>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</si>
  <si>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</si>
  <si>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</si>
  <si>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</si>
  <si>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</si>
  <si>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</si>
  <si>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</si>
  <si>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REM-V.AGUA-ALUMINO-33-AT</t>
  </si>
  <si>
    <t xml:space="preserve">REM-V.AGUA-ALUMINO-33-MS</t>
  </si>
  <si>
    <t xml:space="preserve">Partida</t>
  </si>
  <si>
    <t xml:space="preserve">m</t>
  </si>
  <si>
    <t xml:space="preserve">VIERTEAGUAS DE ALUMINIO LACADO BLANCO (ancho 330 mm) MEDIANTE EL USO DE MEDIO SUSPENDIDO/COLGADO</t>
  </si>
  <si>
    <t xml:space="preserve">VIERTEAGUAS DE ALUMINIO LACADO BLANCO (ancho 330 mm) MEDIANTE EL USO DE MEDIO SUSPENDIDO/COLGADO</t>
  </si>
  <si>
    <t xml:space="preserve">ma-eurofinestra-AD461</t>
  </si>
  <si>
    <t xml:space="preserve">Material</t>
  </si>
  <si>
    <t xml:space="preserve">pza</t>
  </si>
  <si>
    <t xml:space="preserve">Vierteaguas de aluminio lacado blanco (33x200 cm/pza).   Ref. eurofinestra-AD461</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</si>
  <si>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</si>
  <si>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</si>
  <si>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</si>
  <si>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</si>
  <si>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ma-lp-00541253</t>
  </si>
  <si>
    <t xml:space="preserve">Material</t>
  </si>
  <si>
    <t xml:space="preserve">envase</t>
  </si>
  <si>
    <t xml:space="preserve">Masilla de poliuretano BIGMAT (300 ml/envase); color blanco.   Ref. lp-00541253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</si>
  <si>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</si>
  <si>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</si>
  <si>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</si>
  <si>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</si>
  <si>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</si>
  <si>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</si>
  <si>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</si>
  <si>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</si>
  <si>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</si>
  <si>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</si>
  <si>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</si>
  <si>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</si>
  <si>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</si>
  <si>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</si>
  <si>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</si>
  <si>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</si>
  <si>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</si>
  <si>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</si>
  <si>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</si>
  <si>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</si>
  <si>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REM-V.AGUA-ALUMINO-33-MS</t>
  </si>
  <si>
    <t xml:space="preserve">REM-V.AGUA-CALAF-27x27-AT</t>
  </si>
  <si>
    <t xml:space="preserve">Partida</t>
  </si>
  <si>
    <t xml:space="preserve">m</t>
  </si>
  <si>
    <t xml:space="preserve">VIERTEAGUAS MONTSERRAT DE CALAF; COLOR BEIGE (27,4x27,4x1,5 cm/pza) MEDIANTE EL USO DE ANDAMIO TUBULAR</t>
  </si>
  <si>
    <t xml:space="preserve">VIERTEAGUAS MONTSERRAT DE CALAF; COLOR BEIGE (27,4x27,4x1,5 cm/pza); mediante el uso de andamio tubular</t>
  </si>
  <si>
    <t xml:space="preserve">ma-mausa-Sku-CALAF1</t>
  </si>
  <si>
    <t xml:space="preserve">Material</t>
  </si>
  <si>
    <t xml:space="preserve">pza</t>
  </si>
  <si>
    <t xml:space="preserve">Vierteaguas MONTSERRAT de CALAF; color beige (27,4x27,4x1,5 cm/pza).   Ref. mausa-Sku-CALAF1</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</si>
  <si>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</si>
  <si>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</si>
  <si>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</si>
  <si>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</si>
  <si>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</si>
  <si>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</si>
  <si>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</si>
  <si>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</si>
  <si>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</si>
  <si>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</si>
  <si>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</si>
  <si>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</si>
  <si>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</si>
  <si>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</si>
  <si>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</si>
  <si>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</si>
  <si>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</si>
  <si>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</si>
  <si>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</si>
  <si>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</si>
  <si>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</si>
  <si>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</si>
  <si>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</si>
  <si>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</si>
  <si>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</si>
  <si>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</si>
  <si>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</si>
  <si>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</si>
  <si>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REM-V.AGUA-CALAF-27x27-AT</t>
  </si>
  <si>
    <t xml:space="preserve">REM-V.AGUA-CALAF-27x27-MS</t>
  </si>
  <si>
    <t xml:space="preserve">Partida</t>
  </si>
  <si>
    <t xml:space="preserve">m</t>
  </si>
  <si>
    <t xml:space="preserve">VIERTEAGUAS MONTSERRAT DE CALAF; COLOR BEIGE (27,4x27,4x1,5 cm/pza) MEDIANTE EL USO DE MEDIO SUSPENDIDO/COLGADO</t>
  </si>
  <si>
    <t xml:space="preserve">VIERTEAGUAS MONTSERRAT DE CALAF; COLOR BEIGE (27,4x27,4x1,5 cm/pza) MEDIANTE EL USO DE MEDIO SUSPENDIDO/COLGADO</t>
  </si>
  <si>
    <t xml:space="preserve">ma-mausa-Sku-CALAF1</t>
  </si>
  <si>
    <t xml:space="preserve">Material</t>
  </si>
  <si>
    <t xml:space="preserve">pza</t>
  </si>
  <si>
    <t xml:space="preserve">Vierteaguas MONTSERRAT de CALAF; color beige (27,4x27,4x1,5 cm/pza).   Ref. mausa-Sku-CALAF1</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</si>
  <si>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</si>
  <si>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</si>
  <si>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</si>
  <si>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</si>
  <si>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</si>
  <si>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</si>
  <si>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</si>
  <si>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</si>
  <si>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</si>
  <si>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</si>
  <si>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</si>
  <si>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</si>
  <si>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</si>
  <si>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</si>
  <si>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</si>
  <si>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</si>
  <si>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</si>
  <si>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</si>
  <si>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</si>
  <si>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</si>
  <si>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</si>
  <si>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</si>
  <si>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</si>
  <si>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</si>
  <si>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</si>
  <si>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</si>
  <si>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</si>
  <si>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</si>
  <si>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REM-V.AGUA-CALAF-27x27-MS</t>
  </si>
  <si>
    <t xml:space="preserve">REM-V.AGUA-GRESTEJO-30x30-AT</t>
  </si>
  <si>
    <t xml:space="preserve">Partida</t>
  </si>
  <si>
    <t xml:space="preserve">m</t>
  </si>
  <si>
    <t xml:space="preserve">VIERTEAGUAS CERÁMICO GRESTEJO MODELO RUBÍ (30x31x4 cm/pza) MEDIANTE EL USO DE ANDAMIO TUBULAR</t>
  </si>
  <si>
    <t xml:space="preserve">VIERTEAGUAS CERÁMICO ESMALTADO ROJO CON GOTERÓN CARA CORTA (ANCHO 28 cm); mediante el uso de andamio tubular</t>
  </si>
  <si>
    <t xml:space="preserve">ma-ig-157.123302.3130</t>
  </si>
  <si>
    <t xml:space="preserve">Material</t>
  </si>
  <si>
    <t xml:space="preserve">pza</t>
  </si>
  <si>
    <t xml:space="preserve">Vierteaguas rústico GRESTEJO modelo RUBÍ (30x31x4 cm/pza).   Ref. indigar-157.123302.3130</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</si>
  <si>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</si>
  <si>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</si>
  <si>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</si>
  <si>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</si>
  <si>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</si>
  <si>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</si>
  <si>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</si>
  <si>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</si>
  <si>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</si>
  <si>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</si>
  <si>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</si>
  <si>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</si>
  <si>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</si>
  <si>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</si>
  <si>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</si>
  <si>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</si>
  <si>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</si>
  <si>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</si>
  <si>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</si>
  <si>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</si>
  <si>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</si>
  <si>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</si>
  <si>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</si>
  <si>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</si>
  <si>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</si>
  <si>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</si>
  <si>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</si>
  <si>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</si>
  <si>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REM-V.AGUA-GRESTEJO-30x30-AT</t>
  </si>
  <si>
    <t xml:space="preserve">REM-V.AGUA-GRESTEJO-30x30-MS</t>
  </si>
  <si>
    <t xml:space="preserve">Partida</t>
  </si>
  <si>
    <t xml:space="preserve">m</t>
  </si>
  <si>
    <t xml:space="preserve">VIERTEAGUAS CERÁMICO GRESTEJO MODELO RUBÍ (30x31x4 cm/pza) MEDIANTE EL USO DE MEDIO SUSPENDIDO/COLGADO</t>
  </si>
  <si>
    <t xml:space="preserve">VIERTEAGUAS CERÁMICO GRESTEJO MODELO RUBÍ (30x31x4 cm/pza) MEDIANTE EL USO DE MEDIO SUSPENDIDO/COLGADO</t>
  </si>
  <si>
    <t xml:space="preserve">ma-ig-157.123302.3130</t>
  </si>
  <si>
    <t xml:space="preserve">Material</t>
  </si>
  <si>
    <t xml:space="preserve">pza</t>
  </si>
  <si>
    <t xml:space="preserve">Vierteaguas rústico GRESTEJO modelo RUBÍ (30x31x4 cm/pza).   Ref. indigar-157.123302.3130</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</si>
  <si>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</si>
  <si>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</si>
  <si>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</si>
  <si>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</si>
  <si>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</si>
  <si>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</si>
  <si>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</si>
  <si>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</si>
  <si>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</si>
  <si>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</si>
  <si>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</si>
  <si>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</si>
  <si>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</si>
  <si>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</si>
  <si>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</si>
  <si>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</si>
  <si>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</si>
  <si>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</si>
  <si>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</si>
  <si>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</si>
  <si>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</si>
  <si>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</si>
  <si>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</si>
  <si>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</si>
  <si>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</si>
  <si>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</si>
  <si>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</si>
  <si>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</si>
  <si>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REM-V.AGUA-GRESTEJO-30x30-MS</t>
  </si>
  <si>
    <t xml:space="preserve">REM-V.AGUA-HORMIGON.BLANCO-27-AT</t>
  </si>
  <si>
    <t xml:space="preserve">Partida</t>
  </si>
  <si>
    <t xml:space="preserve">m</t>
  </si>
  <si>
    <t xml:space="preserve">VIERTEAGUAS DE HORMIGÓN (BLANCO) de IMER (ancho interno 27 cm/pza; largo 1 m/pza) MEDIANTE EL USO DE ANDAMIO TUBULAR</t>
  </si>
  <si>
    <t xml:space="preserve">VIERTEAGUAS DE HORMIGÓN (BLANCO) de IMER (ancho interno 27 cm/pza; largo 1 m/pza) MEDIANTE EL USO DE ANDAMIO TUBULAR</t>
  </si>
  <si>
    <t xml:space="preserve">ma-imer-EVOLUTION.BLANCO-27</t>
  </si>
  <si>
    <t xml:space="preserve">Material</t>
  </si>
  <si>
    <t xml:space="preserve">pza</t>
  </si>
  <si>
    <t xml:space="preserve">Vierteaguas de piedra artificial UNICO EVOLUTION BLANCO de IMER-PREFABRICADOS (ancho interno 27 cm/pza; largo 1 m/pza).   Ref. imer-EVOLUTION.BLANCO-27</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</si>
  <si>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</si>
  <si>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</si>
  <si>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</si>
  <si>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</si>
  <si>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</si>
  <si>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</si>
  <si>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</si>
  <si>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</si>
  <si>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</si>
  <si>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</si>
  <si>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</si>
  <si>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</si>
  <si>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</si>
  <si>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</si>
  <si>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</si>
  <si>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</si>
  <si>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</si>
  <si>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</si>
  <si>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</si>
  <si>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</si>
  <si>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</si>
  <si>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</si>
  <si>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</si>
  <si>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</si>
  <si>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</si>
  <si>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</si>
  <si>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</si>
  <si>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</si>
  <si>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</si>
  <si>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</si>
  <si>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</si>
  <si>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</si>
  <si>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</si>
  <si>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</si>
  <si>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</si>
  <si>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</si>
  <si>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REM-V.AGUA-HORMIGON.BLANCO-27-AT</t>
  </si>
  <si>
    <t xml:space="preserve">REM-V.AGUA-HORMIGON.BLANCO-27-MS</t>
  </si>
  <si>
    <t xml:space="preserve">Partida</t>
  </si>
  <si>
    <t xml:space="preserve">m</t>
  </si>
  <si>
    <t xml:space="preserve">VIERTEAGUAS DE HORMIGÓN (BLANCO) de IMER (ancho interno 27 cm/pza; largo 1 m/pza) MEDIANTE EL USO DE MEDIO SUSPENDIDO/COLGADO</t>
  </si>
  <si>
    <t xml:space="preserve">VIERTEAGUAS DE HORMIGÓN (BLANCO) de IMER (ancho interno 27 cm/pza; largo 1 m/pza) MEDIANTE EL USO DE MEDIO SUSPENDIDO/COLGADO</t>
  </si>
  <si>
    <t xml:space="preserve">ma-imer-EVOLUTION.BLANCO-27</t>
  </si>
  <si>
    <t xml:space="preserve">Material</t>
  </si>
  <si>
    <t xml:space="preserve">pza</t>
  </si>
  <si>
    <t xml:space="preserve">Vierteaguas de piedra artificial UNICO EVOLUTION BLANCO de IMER-PREFABRICADOS (ancho interno 27 cm/pza; largo 1 m/pza).   Ref. imer-EVOLUTION.BLANCO-27</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</si>
  <si>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</si>
  <si>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</si>
  <si>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</si>
  <si>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</si>
  <si>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</si>
  <si>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</si>
  <si>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</si>
  <si>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</si>
  <si>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</si>
  <si>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</si>
  <si>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</si>
  <si>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</si>
  <si>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</si>
  <si>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</si>
  <si>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</si>
  <si>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</si>
  <si>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</si>
  <si>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</si>
  <si>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</si>
  <si>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</si>
  <si>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</si>
  <si>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</si>
  <si>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</si>
  <si>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</si>
  <si>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</si>
  <si>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</si>
  <si>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</si>
  <si>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</si>
  <si>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</si>
  <si>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</si>
  <si>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</si>
  <si>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</si>
  <si>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</si>
  <si>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</si>
  <si>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</si>
  <si>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</si>
  <si>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REM-V.AGUA-HORMIGON.BLANCO-27-MS</t>
  </si>
  <si>
    <t xml:space="preserve">REM-V.AGUA-HORMIGON.BLANCO-30-AT</t>
  </si>
  <si>
    <t xml:space="preserve">Partida</t>
  </si>
  <si>
    <t xml:space="preserve">m</t>
  </si>
  <si>
    <t xml:space="preserve">VIERTEAGUAS DE HORMIGÓN (BLANCO) de IMER (ancho interno 30 cm/pza; largo 1 m/pza) MEDIANTE EL USO DE ANDDAMIO TUBULAR</t>
  </si>
  <si>
    <t xml:space="preserve">VIERTEAGUAS DE HORMIGÓN (BLANCO) de IMER (ancho interno 30 cm/pza; largo 1 m/pza) MEDIANTE EL USO DE ANDAMIO TUBULAR</t>
  </si>
  <si>
    <t xml:space="preserve">ma-imer-EVOLUTION.BLANCO-30</t>
  </si>
  <si>
    <t xml:space="preserve">Material</t>
  </si>
  <si>
    <t xml:space="preserve">pza</t>
  </si>
  <si>
    <t xml:space="preserve">Vierteaguas de piedra artificial UNICO EVOLUTION BLANCO de IMER-PREFABRICADOS (ancho interno 30 cm/pza; largo 1 m/pza).   Ref. imer-EVOLUTION.BLANCO-30</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</si>
  <si>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</si>
  <si>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</si>
  <si>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</si>
  <si>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</si>
  <si>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</si>
  <si>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</si>
  <si>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</si>
  <si>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</si>
  <si>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</si>
  <si>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</si>
  <si>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</si>
  <si>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</si>
  <si>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</si>
  <si>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</si>
  <si>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</si>
  <si>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</si>
  <si>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</si>
  <si>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</si>
  <si>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</si>
  <si>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</si>
  <si>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</si>
  <si>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</si>
  <si>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</si>
  <si>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</si>
  <si>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</si>
  <si>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</si>
  <si>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</si>
  <si>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</si>
  <si>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</si>
  <si>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</si>
  <si>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</si>
  <si>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</si>
  <si>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</si>
  <si>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</si>
  <si>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</si>
  <si>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</si>
  <si>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REM-V.AGUA-HORMIGON.BLANCO-30-AT</t>
  </si>
  <si>
    <t xml:space="preserve">REM-V.AGUA-HORMIGON.BLANCO-30-MS</t>
  </si>
  <si>
    <t xml:space="preserve">Partida</t>
  </si>
  <si>
    <t xml:space="preserve">m</t>
  </si>
  <si>
    <t xml:space="preserve">VIERTEAGUAS DE HORMIGÓN (BLANCO) de IMER (ancho interno 30 cm/pza; largo 1 m/pza) MEDIANTE EL USO DE MEDIO SUSPENDIDO/COLGADO</t>
  </si>
  <si>
    <t xml:space="preserve">VIERTEAGUAS DE HORMIGÓN (BLANCO) de IMER (ancho interno 30 cm/pza; largo 1 m/pza) MEDIANTE EL USO DE MEDIO SUSPENDIDO/COLGADO</t>
  </si>
  <si>
    <t xml:space="preserve">ma-imer-EVOLUTION.BLANCO-30</t>
  </si>
  <si>
    <t xml:space="preserve">Material</t>
  </si>
  <si>
    <t xml:space="preserve">pza</t>
  </si>
  <si>
    <t xml:space="preserve">Vierteaguas de piedra artificial UNICO EVOLUTION BLANCO de IMER-PREFABRICADOS (ancho interno 30 cm/pza; largo 1 m/pza).   Ref. imer-EVOLUTION.BLANCO-30</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</si>
  <si>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</si>
  <si>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</si>
  <si>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</si>
  <si>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</si>
  <si>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</si>
  <si>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</si>
  <si>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</si>
  <si>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</si>
  <si>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</si>
  <si>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</si>
  <si>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</si>
  <si>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</si>
  <si>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</si>
  <si>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</si>
  <si>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</si>
  <si>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</si>
  <si>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</si>
  <si>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</si>
  <si>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</si>
  <si>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</si>
  <si>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</si>
  <si>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</si>
  <si>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</si>
  <si>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</si>
  <si>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</si>
  <si>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</si>
  <si>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</si>
  <si>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</si>
  <si>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</si>
  <si>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</si>
  <si>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</si>
  <si>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</si>
  <si>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</si>
  <si>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</si>
  <si>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</si>
  <si>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</si>
  <si>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REM-V.AGUA-HORMIGON.BLANCO-30-MS</t>
  </si>
  <si>
    <t xml:space="preserve">REM-V.AGUA-PELDANO-33x25-AT</t>
  </si>
  <si>
    <t xml:space="preserve">Partida</t>
  </si>
  <si>
    <t xml:space="preserve">m</t>
  </si>
  <si>
    <t xml:space="preserve">VIERTEAGUAS CERÁMICO CON PELDAÑO FIORENTINO T2 DE INTERAZULEJOS CON GOTERÓN CARA LARGA (33 cm) MEDIANTE EL USO DE ANDAMIO TUBULAR</t>
  </si>
  <si>
    <t xml:space="preserve">VIERTEAGUAS CERÁMICO CON PELDAÑO FIORENTINO T2 DE INTERAZULEJOS CON GOTERÓN CARA LARGA (33 cm); mediante el uso de andamio tubular</t>
  </si>
  <si>
    <t xml:space="preserve">ma-ia-03</t>
  </si>
  <si>
    <t xml:space="preserve">Material</t>
  </si>
  <si>
    <t xml:space="preserve">pza</t>
  </si>
  <si>
    <t xml:space="preserve">Peldaño FIORENTINO T2 INTERAZULEJOS natural extruido antideslizante; espesor 1,6 cm (24,5x33x5 cm/pza).   Ref. ia-03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</si>
  <si>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</si>
  <si>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</si>
  <si>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</si>
  <si>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</si>
  <si>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</si>
  <si>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</si>
  <si>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</si>
  <si>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</si>
  <si>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</si>
  <si>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</si>
  <si>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</si>
  <si>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</si>
  <si>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</si>
  <si>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</si>
  <si>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</si>
  <si>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</si>
  <si>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</si>
  <si>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</si>
  <si>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</si>
  <si>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</si>
  <si>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</si>
  <si>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</si>
  <si>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</si>
  <si>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</si>
  <si>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</si>
  <si>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</si>
  <si>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</si>
  <si>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</si>
  <si>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REM-V.AGUA-PELDANO-33x25-AT</t>
  </si>
  <si>
    <t xml:space="preserve">REM-V.AGUA-PELDANO-33x25-MS</t>
  </si>
  <si>
    <t xml:space="preserve">Partida</t>
  </si>
  <si>
    <t xml:space="preserve">m</t>
  </si>
  <si>
    <t xml:space="preserve">VIERTEAGUAS CERÁMICO CON PELDAÑO FIORENTINO T2 DE INTERAZULEJOS CON GOTERÓN CARA LARGA (33 cm) MEDIANTE EL USO DE MEDIO SUSPENDIDO/COLGADO</t>
  </si>
  <si>
    <t xml:space="preserve">VIERTEAGUAS CERÁMICO CON PELDAÑO FIORENTINO T2 DE INTERAZULEJOS CON GOTERÓN CARA LARGA (33 cm) MEDIANTE EL USO DE MEDIO SUSPENDIDO/COLGADO</t>
  </si>
  <si>
    <t xml:space="preserve">ma-ia-03</t>
  </si>
  <si>
    <t xml:space="preserve">Material</t>
  </si>
  <si>
    <t xml:space="preserve">pza</t>
  </si>
  <si>
    <t xml:space="preserve">Peldaño FIORENTINO T2 INTERAZULEJOS natural extruido antideslizante; espesor 1,6 cm (24,5x33x5 cm/pza).   Ref. ia-03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</si>
  <si>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</si>
  <si>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</si>
  <si>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</si>
  <si>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</si>
  <si>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</si>
  <si>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</si>
  <si>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</si>
  <si>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</si>
  <si>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</si>
  <si>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</si>
  <si>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</si>
  <si>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</si>
  <si>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</si>
  <si>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</si>
  <si>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</si>
  <si>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</si>
  <si>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</si>
  <si>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</si>
  <si>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</si>
  <si>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</si>
  <si>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</si>
  <si>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</si>
  <si>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</si>
  <si>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</si>
  <si>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</si>
  <si>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</si>
  <si>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</si>
  <si>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</si>
  <si>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REM-V.AGUA-PELDANO-33x25-MS</t>
  </si>
  <si>
    <t xml:space="preserve">REM-V.AGUA-PELDANO-33x33-AT</t>
  </si>
  <si>
    <t xml:space="preserve">Partida</t>
  </si>
  <si>
    <t xml:space="preserve">m</t>
  </si>
  <si>
    <t xml:space="preserve">VIERTEAGUAS CERÁMICO CON PELDAÑO FIORENTINO T2 DE INTERAZULEJOS CON GOTERÓN CARA LARGA (33,3 cm) MEDIANTE EL USO DE ANDAMIO TUBULAR</t>
  </si>
  <si>
    <t xml:space="preserve">VIERTEAGUAS CERÁMICO CON PELDAÑO FIORENTINO T2 DE INTERAZULEJOS CON GOTERÓN CARA LARGA (33,3 cm); mediante el uso de andamio tubular</t>
  </si>
  <si>
    <t xml:space="preserve">ma-ia-04</t>
  </si>
  <si>
    <t xml:space="preserve">Material</t>
  </si>
  <si>
    <t xml:space="preserve">pza</t>
  </si>
  <si>
    <t xml:space="preserve">Peldaño FIORENTINO T2 INTERAZULEJOS natural extruido antideslizante; espesor 1,6 cm (32,5x33x5 cm/pza).   Ref. ia-04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</si>
  <si>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</si>
  <si>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</si>
  <si>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</si>
  <si>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</si>
  <si>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</si>
  <si>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</si>
  <si>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</si>
  <si>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</si>
  <si>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</si>
  <si>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</si>
  <si>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</si>
  <si>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</si>
  <si>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</si>
  <si>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</si>
  <si>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</si>
  <si>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</si>
  <si>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</si>
  <si>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</si>
  <si>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</si>
  <si>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</si>
  <si>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</si>
  <si>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</si>
  <si>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</si>
  <si>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</si>
  <si>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</si>
  <si>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</si>
  <si>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</si>
  <si>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</si>
  <si>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REM-V.AGUA-PELDANO-33x33-AT</t>
  </si>
  <si>
    <t xml:space="preserve">REM-V.AGUA-PELDANO-33x33-MS</t>
  </si>
  <si>
    <t xml:space="preserve">Partida</t>
  </si>
  <si>
    <t xml:space="preserve">m</t>
  </si>
  <si>
    <t xml:space="preserve">VIERTEAGUAS CERÁMICO CON PELDAÑO FIORENTINO T2 DE INTERAZULEJOS CON GOTERÓN CARA LARGA (33,3 cm) MEDIANTE EL USO DE MEDIO SUSPENDIDO/COLGADO</t>
  </si>
  <si>
    <t xml:space="preserve">VIERTEAGUAS CERÁMICO CON PELDAÑO FIORENTINO T2 DE INTERAZULEJOS CON GOTERÓN CARA LARGA (33,3 cm) MEDIANTE EL USO DE MEDIO SUSPENDIDO/COLGADO</t>
  </si>
  <si>
    <t xml:space="preserve">ma-ia-04</t>
  </si>
  <si>
    <t xml:space="preserve">Material</t>
  </si>
  <si>
    <t xml:space="preserve">pza</t>
  </si>
  <si>
    <t xml:space="preserve">Peldaño FIORENTINO T2 INTERAZULEJOS natural extruido antideslizante; espesor 1,6 cm (32,5x33x5 cm/pza).   Ref. ia-04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</si>
  <si>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</si>
  <si>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</si>
  <si>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</si>
  <si>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</si>
  <si>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</si>
  <si>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</si>
  <si>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</si>
  <si>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</si>
  <si>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</si>
  <si>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</si>
  <si>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</si>
  <si>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</si>
  <si>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</si>
  <si>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</si>
  <si>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</si>
  <si>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</si>
  <si>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</si>
  <si>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</si>
  <si>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</si>
  <si>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</si>
  <si>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</si>
  <si>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</si>
  <si>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</si>
  <si>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</si>
  <si>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</si>
  <si>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</si>
  <si>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</si>
  <si>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</si>
  <si>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REM-V.AGUA-PELDANO-33x33-MS</t>
  </si>
  <si>
    <t xml:space="preserve">REM-V.AGUA-PIEDRA.ARTIFICIAL-01</t>
  </si>
  <si>
    <t xml:space="preserve">Partida</t>
  </si>
  <si>
    <t xml:space="preserve">m</t>
  </si>
  <si>
    <t xml:space="preserve">VIERTEAGUAS DE PIEDRA ARTIFICIAL</t>
  </si>
  <si>
    <t xml:space="preserve">VIERTEAGUAS DE PIEDRA ARTIFICIAL</t>
  </si>
  <si>
    <t xml:space="preserve">ma-ma-v.agua-piedra.artif-01</t>
  </si>
  <si>
    <t xml:space="preserve">Material</t>
  </si>
  <si>
    <t xml:space="preserve">pza</t>
  </si>
  <si>
    <t xml:space="preserve">Vierteagua de piedra artificial (100x30x5 cm/pza).   Ref. ma-v.agua-piedra.artif.01</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</si>
  <si>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</si>
  <si>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</si>
  <si>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</si>
  <si>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</si>
  <si>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</si>
  <si>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</si>
  <si>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</si>
  <si>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</si>
  <si>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</si>
  <si>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</si>
  <si>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</si>
  <si>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</si>
  <si>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</si>
  <si>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</si>
  <si>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</si>
  <si>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</si>
  <si>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</si>
  <si>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</si>
  <si>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</si>
  <si>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</si>
  <si>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</si>
  <si>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</si>
  <si>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</si>
  <si>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</si>
  <si>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</si>
  <si>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</si>
  <si>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</si>
  <si>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</si>
  <si>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</si>
  <si>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</si>
  <si>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</si>
  <si>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</si>
  <si>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</si>
  <si>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</si>
  <si>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</si>
  <si>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</si>
  <si>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REM-V.AGUA-PIEDRA.ARTIFICIAL-01</t>
  </si>
  <si>
    <t xml:space="preserve">REM-V.AGUA-RASILLA-A21.1h-AT</t>
  </si>
  <si>
    <t xml:space="preserve">Partida</t>
  </si>
  <si>
    <t xml:space="preserve">m</t>
  </si>
  <si>
    <t xml:space="preserve">XXXXXX VIERTEAGUAS DE RASILLA 21,5x21 cm CON GOTERÓN MEDIANTE EL USO DE ANDAMIO TUBULAR</t>
  </si>
  <si>
    <t xml:space="preserve">Vierteaguas de rasilla en piezas de 21,5x21 cm con goterón; recibido con mortero de cemento industrial con aditivo; y rejuntado entre piezas y de las uniones con los muros con mortero de juntas cementoso con absorción de agua reducida (para juntas entre 3 y 15 mm); mediante el uso de andamio tubular</t>
  </si>
  <si>
    <t xml:space="preserve">ma-lp-00299057</t>
  </si>
  <si>
    <t xml:space="preserve">Material</t>
  </si>
  <si>
    <t xml:space="preserve">pza</t>
  </si>
  <si>
    <t xml:space="preserve">Vierteaguas de rasilla (medidas/pieza: 21,5x21 cm con un espesor de 12 mm)   Ref. lp-00299057</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</si>
  <si>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</si>
  <si>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</si>
  <si>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</si>
  <si>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</si>
  <si>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</si>
  <si>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</si>
  <si>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</si>
  <si>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</si>
  <si>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</si>
  <si>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</si>
  <si>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</si>
  <si>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</si>
  <si>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</si>
  <si>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</si>
  <si>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</si>
  <si>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</si>
  <si>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</si>
  <si>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</si>
  <si>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</si>
  <si>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</si>
  <si>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</si>
  <si>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</si>
  <si>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</si>
  <si>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</si>
  <si>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</si>
  <si>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</si>
  <si>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</si>
  <si>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</si>
  <si>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REM-V.AGUA-RASILLA-A21.1h-AT</t>
  </si>
  <si>
    <t xml:space="preserve">REM-V.AGUA-RASILLA-A21.1h-MS</t>
  </si>
  <si>
    <t xml:space="preserve">Partida</t>
  </si>
  <si>
    <t xml:space="preserve">m</t>
  </si>
  <si>
    <t xml:space="preserve">XXXXXX VIERTEAGUAS DE RASILLA 21,5x21 cm CON GOTERÓN MEDIANTE EL USO DE MEDIO SUSPENDIDO/COLGADO</t>
  </si>
  <si>
    <t xml:space="preserve">Vierteaguas de rasilla en piezas de 21,5x21 cm con goterón; recibido con mortero de cemento industrial con aditivo; y rejuntado entre piezas y de las uniones con los muros con mortero de juntas cementoso con absorción de agua reducida (para juntas entre 3 y 15 mm); mediante el uso de medio suspendido/colgado</t>
  </si>
  <si>
    <t xml:space="preserve">ma-lp-00299057</t>
  </si>
  <si>
    <t xml:space="preserve">Material</t>
  </si>
  <si>
    <t xml:space="preserve">pza</t>
  </si>
  <si>
    <t xml:space="preserve">Vierteaguas de rasilla (medidas/pieza: 21,5x21 cm con un espesor de 12 mm)   Ref. lp-00299057</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</si>
  <si>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</si>
  <si>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</si>
  <si>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</si>
  <si>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</si>
  <si>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</si>
  <si>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</si>
  <si>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</si>
  <si>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</si>
  <si>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</si>
  <si>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</si>
  <si>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</si>
  <si>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</si>
  <si>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</si>
  <si>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</si>
  <si>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</si>
  <si>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</si>
  <si>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</si>
  <si>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</si>
  <si>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</si>
  <si>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</si>
  <si>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</si>
  <si>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</si>
  <si>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</si>
  <si>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</si>
  <si>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</si>
  <si>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</si>
  <si>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</si>
  <si>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</si>
  <si>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REM-V.AGUA-RASILLA-A21.1h-MS</t>
  </si>
  <si>
    <t xml:space="preserve">REM-V.AGUA-RASILLA-GCC-A28.1h-AT</t>
  </si>
  <si>
    <t xml:space="preserve">Partida</t>
  </si>
  <si>
    <t xml:space="preserve">m</t>
  </si>
  <si>
    <t xml:space="preserve">XXXXXX VIERTEAGUAS DE RASILLA 14x28 cm CON GOTERÓN EN CARA CORTA (ANCHO 28 cm); MEDIANTE EL USO DE ANDAMIO TUBULAR</t>
  </si>
  <si>
    <t xml:space="preserve">Vierteaguas de rasilla en piezas de 14x28 cm con goterón en cara corta; recibido con mortero de cemento industrial con aditivo; y rejuntado entre piezas y de las uniones con los muros con mortero de juntas cementoso con absorción de agua reducida (para juntas entre 3 y 15 mm); mediante el uso de andammio tubular</t>
  </si>
  <si>
    <t xml:space="preserve">ma-lp-00299054</t>
  </si>
  <si>
    <t xml:space="preserve">Material</t>
  </si>
  <si>
    <t xml:space="preserve">pza</t>
  </si>
  <si>
    <t xml:space="preserve">Vierteaguas de rasilla (medidas/pieza:14x28 cm con un espesor de 12 mm)   Ref. lp-00299054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</si>
  <si>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</si>
  <si>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</si>
  <si>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</si>
  <si>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</si>
  <si>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</si>
  <si>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</si>
  <si>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</si>
  <si>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</si>
  <si>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</si>
  <si>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</si>
  <si>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</si>
  <si>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</si>
  <si>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</si>
  <si>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</si>
  <si>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</si>
  <si>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</si>
  <si>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</si>
  <si>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</si>
  <si>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</si>
  <si>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</si>
  <si>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</si>
  <si>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</si>
  <si>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</si>
  <si>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</si>
  <si>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</si>
  <si>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</si>
  <si>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</si>
  <si>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</si>
  <si>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REM-V.AGUA-RASILLA-GCC-A28.1h-AT</t>
  </si>
  <si>
    <t xml:space="preserve">REM-V.AGUA-RASILLA-GCC-A28.1h-MS</t>
  </si>
  <si>
    <t xml:space="preserve">Partida</t>
  </si>
  <si>
    <t xml:space="preserve">m</t>
  </si>
  <si>
    <t xml:space="preserve">XXXXXX VIERTEAGUAS DE RASILLA 14x28 cm CON GOTERÓN EN CARA CORTA (ANCHO 28 cm); MEDIANTE EL USO DE MEDIO SUSPENDIDO/COLGADO</t>
  </si>
  <si>
    <t xml:space="preserve">Vierteaguas de rasilla en piezas de 14x28 cm con goterón en cara corta; recibido con mortero de cemento industrial con aditivo; y rejuntado entre piezas y de las uniones con los muros con mortero de juntas cementoso con absorción de agua reducida (para juntas entre 3 y 15 mm); todo mediante el uso de medio suspendido/colgado</t>
  </si>
  <si>
    <t xml:space="preserve">ma-lp-00299054</t>
  </si>
  <si>
    <t xml:space="preserve">Material</t>
  </si>
  <si>
    <t xml:space="preserve">pza</t>
  </si>
  <si>
    <t xml:space="preserve">Vierteaguas de rasilla (medidas/pieza:14x28 cm con un espesor de 12 mm)   Ref. lp-00299054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</si>
  <si>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</si>
  <si>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</si>
  <si>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</si>
  <si>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</si>
  <si>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</si>
  <si>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</si>
  <si>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</si>
  <si>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</si>
  <si>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</si>
  <si>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</si>
  <si>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</si>
  <si>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</si>
  <si>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</si>
  <si>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</si>
  <si>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</si>
  <si>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</si>
  <si>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</si>
  <si>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</si>
  <si>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</si>
  <si>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</si>
  <si>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</si>
  <si>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</si>
  <si>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</si>
  <si>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</si>
  <si>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</si>
  <si>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</si>
  <si>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</si>
  <si>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</si>
  <si>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REM-V.AGUA-RASILLA-GCC-A28.1h-MS</t>
  </si>
  <si>
    <t xml:space="preserve">REM-V.AGUA-RASILLA-GCC-A56.2h-AT</t>
  </si>
  <si>
    <t xml:space="preserve">Partida</t>
  </si>
  <si>
    <t xml:space="preserve">m</t>
  </si>
  <si>
    <t xml:space="preserve">XXXXXX VIERTEAGUAS DE RASILLA 14x28 cm CON GOTERÓN CARA CORTA (ANCHO TOTAL 56 cm EN 2 HILADAS) MEDIANTE EL USO DE ANDAMIO TUBULAR</t>
  </si>
  <si>
    <t xml:space="preserve">Vierteaguas de rasilla en piezas lisas (1 hilada) y de 14x28 cm con goterón en cara corta (ancho total 56 cm en 2 hiladas); recibido con mortero de cemento industrial con aditivo; y rejuntado entre piezas y de las uniones con los muros con mortero de juntas cementoso con absorción de agua reducida (para juntas entre 3 y 15 mm); mediante el uso de andamio tubular</t>
  </si>
  <si>
    <t xml:space="preserve">ma-lp-00299054</t>
  </si>
  <si>
    <t xml:space="preserve">Material</t>
  </si>
  <si>
    <t xml:space="preserve">pza</t>
  </si>
  <si>
    <t xml:space="preserve">Vierteaguas de rasilla (medidas/pieza:14x28 cm con un espesor de 12 mm)   Ref. lp-00299054</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</si>
  <si>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</si>
  <si>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</si>
  <si>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</si>
  <si>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</si>
  <si>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</si>
  <si>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</si>
  <si>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</si>
  <si>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</si>
  <si>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</si>
  <si>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</si>
  <si>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</si>
  <si>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</si>
  <si>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</si>
  <si>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</si>
  <si>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</si>
  <si>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</si>
  <si>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</si>
  <si>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</si>
  <si>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</si>
  <si>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</si>
  <si>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</si>
  <si>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</si>
  <si>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</si>
  <si>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</si>
  <si>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</si>
  <si>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</si>
  <si>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</si>
  <si>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</si>
  <si>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</si>
  <si>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</si>
  <si>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</si>
  <si>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</si>
  <si>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REM-V.AGUA-RASILLA-GCC-A56.2h-AT</t>
  </si>
  <si>
    <t xml:space="preserve">REM-V.AGUA-RASILLA-GCC-A56.2h-MS</t>
  </si>
  <si>
    <t xml:space="preserve">Partida</t>
  </si>
  <si>
    <t xml:space="preserve">m</t>
  </si>
  <si>
    <t xml:space="preserve">XXXXXX VIERTEAGUAS DE RASILLA 14x28 cm CON GOTERÓN CARA CORTA (ANCHO TOTAL 56 cm EN 2 HILADAS) MEDIANTE EL USO DE MEDIO SUSPENDIDO/COLGADO</t>
  </si>
  <si>
    <t xml:space="preserve">Vierteaguas de rasilla en piezas lisas (1 hilada) y de 14x28 cm con goterón en cara corta (ancho total 56 cm en 2 hiladas); recibido con mortero de cemento industrial con aditivo; y rejuntado entre piezas y de las uniones con los muros con mortero de juntas cementoso con absorción de agua reducida (para juntas entre 3 y 15 mm); mediante el uso de medio suspendido/colgado</t>
  </si>
  <si>
    <t xml:space="preserve">ma-lp-00299054</t>
  </si>
  <si>
    <t xml:space="preserve">Material</t>
  </si>
  <si>
    <t xml:space="preserve">pza</t>
  </si>
  <si>
    <t xml:space="preserve">Vierteaguas de rasilla (medidas/pieza:14x28 cm con un espesor de 12 mm)   Ref. lp-00299054</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</si>
  <si>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</si>
  <si>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</si>
  <si>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</si>
  <si>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</si>
  <si>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</si>
  <si>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</si>
  <si>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</si>
  <si>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</si>
  <si>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</si>
  <si>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</si>
  <si>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</si>
  <si>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</si>
  <si>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</si>
  <si>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</si>
  <si>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</si>
  <si>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</si>
  <si>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</si>
  <si>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</si>
  <si>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</si>
  <si>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</si>
  <si>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</si>
  <si>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</si>
  <si>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</si>
  <si>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</si>
  <si>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</si>
  <si>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</si>
  <si>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</si>
  <si>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</si>
  <si>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</si>
  <si>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</si>
  <si>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</si>
  <si>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</si>
  <si>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REM-V.AGUA-RASILLA-GCC-A56.2h-MS</t>
  </si>
  <si>
    <t xml:space="preserve">REM-V.AGUA-RASILLA-GCC.1h-ARC-AT</t>
  </si>
  <si>
    <t xml:space="preserve">Partida</t>
  </si>
  <si>
    <t xml:space="preserve">m</t>
  </si>
  <si>
    <t xml:space="preserve">XXXXXX VIERTEAGUAS EN ARCO DE RASILLA 14x28 cm CON GOTERÓN EN CARA CORTA (ANCHO 28 cm) MEDIANTE EL USO DE ANDAMIO TUBULAR</t>
  </si>
  <si>
    <t xml:space="preserve">Vierteaguas en arco de rasilla 14x28 cm con goterón en cara corta (ancho 28 cm)</t>
  </si>
  <si>
    <t xml:space="preserve">ma-lp-00299054</t>
  </si>
  <si>
    <t xml:space="preserve">Material</t>
  </si>
  <si>
    <t xml:space="preserve">pza</t>
  </si>
  <si>
    <t xml:space="preserve">Vierteaguas de rasilla (medidas/pieza:14x28 cm con un espesor de 12 mm)   Ref. lp-00299054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</si>
  <si>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</si>
  <si>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</si>
  <si>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</si>
  <si>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</si>
  <si>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</si>
  <si>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</si>
  <si>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</si>
  <si>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</si>
  <si>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</si>
  <si>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</si>
  <si>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</si>
  <si>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</si>
  <si>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</si>
  <si>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</si>
  <si>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</si>
  <si>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</si>
  <si>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</si>
  <si>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</si>
  <si>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</si>
  <si>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</si>
  <si>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</si>
  <si>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</si>
  <si>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</si>
  <si>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</si>
  <si>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</si>
  <si>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</si>
  <si>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</si>
  <si>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</si>
  <si>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REM-V.AGUA-RASILLA-GCC.1h-ARC-AT</t>
  </si>
  <si>
    <t xml:space="preserve">REM-V.AGUA-RASILLA-GCC.1h-ARC-MS</t>
  </si>
  <si>
    <t xml:space="preserve">Partida</t>
  </si>
  <si>
    <t xml:space="preserve">m</t>
  </si>
  <si>
    <t xml:space="preserve">XXXXXX VIERTEAGUAS EN ARCO DE RASILLA 14x28 cm CON GOTERÓN EN CARA CORTA (ANCHO 28 cm) MEDIANTE EL USO DE MEDIO SUSPENDIDO/COLGADO</t>
  </si>
  <si>
    <t xml:space="preserve">VIERTEAGUAS EN ARCO DE RASILLA 14x28 cm CON GOTERÓN EN CARA CORTA (ANCHO 28 cm) MEDIANTE EL USO DE MEDIO SUSPENDIDO/COLGADO</t>
  </si>
  <si>
    <t xml:space="preserve">ma-lp-00299054</t>
  </si>
  <si>
    <t xml:space="preserve">Material</t>
  </si>
  <si>
    <t xml:space="preserve">pza</t>
  </si>
  <si>
    <t xml:space="preserve">Vierteaguas de rasilla (medidas/pieza:14x28 cm con un espesor de 12 mm)   Ref. lp-00299054</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</si>
  <si>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</si>
  <si>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</si>
  <si>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</si>
  <si>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</si>
  <si>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</si>
  <si>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</si>
  <si>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</si>
  <si>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</si>
  <si>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</si>
  <si>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</si>
  <si>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</si>
  <si>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</si>
  <si>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</si>
  <si>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</si>
  <si>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</si>
  <si>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</si>
  <si>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</si>
  <si>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</si>
  <si>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</si>
  <si>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</si>
  <si>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</si>
  <si>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</si>
  <si>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</si>
  <si>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</si>
  <si>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</si>
  <si>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</si>
  <si>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</si>
  <si>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</si>
  <si>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REM-V.AGUA-RASILLA-GCC.1h-ARC-MS</t>
  </si>
  <si>
    <t xml:space="preserve">REM-V.AGUA-RASILLA-GCL-A42.2h-AT</t>
  </si>
  <si>
    <t xml:space="preserve">Partida</t>
  </si>
  <si>
    <t xml:space="preserve">m</t>
  </si>
  <si>
    <t xml:space="preserve">XXXXXX VIERTEAGUAS DE RASILLA 28x14 cm CON GOTERÓN CARA LARGA (ANCHO TOTAL 42 cm) MEDIANTE EL USO DE ANDAMIO TUBULAR</t>
  </si>
  <si>
    <t xml:space="preserve">Vierteaguas de rasilla en piezas lisas (1 hilada)) y de 28x14 cm con goterón en cara larga(ancho total 42 cm); recibido con mortero de cemento industrial con aditivo; y rejuntado entre piezas y de las uniones con los muros con mortero de juntas cementoso con absorción de agua reducida (para juntas entre 3 y 15 mm); mediante el uso de andamio tubular</t>
  </si>
  <si>
    <t xml:space="preserve">ma-lp-00299058</t>
  </si>
  <si>
    <t xml:space="preserve">Material</t>
  </si>
  <si>
    <t xml:space="preserve">pza</t>
  </si>
  <si>
    <t xml:space="preserve">Vierteaguas de rasilla (medidas/pieza: 28x14 cm con un espesor de 12 mm)   Ref. lp-00299058</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</si>
  <si>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</si>
  <si>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</si>
  <si>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</si>
  <si>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</si>
  <si>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</si>
  <si>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</si>
  <si>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</si>
  <si>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</si>
  <si>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</si>
  <si>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</si>
  <si>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</si>
  <si>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</si>
  <si>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</si>
  <si>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</si>
  <si>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</si>
  <si>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</si>
  <si>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</si>
  <si>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</si>
  <si>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</si>
  <si>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</si>
  <si>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</si>
  <si>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</si>
  <si>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</si>
  <si>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</si>
  <si>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</si>
  <si>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</si>
  <si>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</si>
  <si>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</si>
  <si>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</si>
  <si>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</si>
  <si>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</si>
  <si>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</si>
  <si>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REM-V.AGUA-RASILLA-GCL-A42.2h-AT</t>
  </si>
  <si>
    <t xml:space="preserve">REM-V.AGUA-RASILLA-GCL-A42.2h-MS</t>
  </si>
  <si>
    <t xml:space="preserve">Partida</t>
  </si>
  <si>
    <t xml:space="preserve">m</t>
  </si>
  <si>
    <t xml:space="preserve">XXXXXX VIERTEAGUAS DE RASILLA 28x14 cm CON GOTERÓN CARA LARGA (ANCHO TOTAL 42 cm) MEDIANTE EL USO DE MEDIO SUSPENDIDO/COLGADO</t>
  </si>
  <si>
    <t xml:space="preserve">Vierteaguas de rasilla en piezas lisas (1 hilada)) y de 28x14 cm con goterón en cara larga(ancho total 42 cm); recibido con mortero de cemento industrial con aditivo; y rejuntado entre piezas y de las uniones con los muros con mortero de juntas cementoso con absorción de agua reducida (para juntas entre 3 y 15 mm); mediante el uso de medio suspendido/colgado</t>
  </si>
  <si>
    <t xml:space="preserve">ma-lp-00299058</t>
  </si>
  <si>
    <t xml:space="preserve">Material</t>
  </si>
  <si>
    <t xml:space="preserve">pza</t>
  </si>
  <si>
    <t xml:space="preserve">Vierteaguas de rasilla (medidas/pieza: 28x14 cm con un espesor de 12 mm)   Ref. lp-00299058</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</si>
  <si>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</si>
  <si>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</si>
  <si>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</si>
  <si>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</si>
  <si>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</si>
  <si>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</si>
  <si>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</si>
  <si>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</si>
  <si>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</si>
  <si>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</si>
  <si>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</si>
  <si>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</si>
  <si>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</si>
  <si>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</si>
  <si>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</si>
  <si>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</si>
  <si>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</si>
  <si>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</si>
  <si>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</si>
  <si>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</si>
  <si>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</si>
  <si>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</si>
  <si>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</si>
  <si>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</si>
  <si>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</si>
  <si>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</si>
  <si>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</si>
  <si>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</si>
  <si>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</si>
  <si>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</si>
  <si>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</si>
  <si>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</si>
  <si>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REM-V.AGUA-RASILLA-GCL-A42.2h-MS</t>
  </si>
  <si>
    <t xml:space="preserve">REM-V.AGUA-RASILLA-GCL-A56.4h-AT</t>
  </si>
  <si>
    <t xml:space="preserve">Partida</t>
  </si>
  <si>
    <t xml:space="preserve">m</t>
  </si>
  <si>
    <t xml:space="preserve">XXXXXX VIERTEAGUAS DE RASILLA 28x14 cm CON GOTERÓN CARA LARGA (ANCHO TOTAL 56 cm EN 4 HILADAS) MEDIANTE EL USO DE ANDAMIO TUBULAR</t>
  </si>
  <si>
    <t xml:space="preserve">Vierteaguas de rasilla en piezas lisas (3 hiladas)) y de 14x28 cm con goterón en cara larga(ancho total 56 cm en 4 hiladas); recibido con mortero de cemento industrial con aditivo; y rejuntado entre piezas y de las uniones con los muros con mortero de juntas cementoso con absorción de agua reducida (para juntas entre 3 y 15 mm); mediante el uso de andamio tubular</t>
  </si>
  <si>
    <t xml:space="preserve">ma-lp-00299058</t>
  </si>
  <si>
    <t xml:space="preserve">Material</t>
  </si>
  <si>
    <t xml:space="preserve">pza</t>
  </si>
  <si>
    <t xml:space="preserve">Vierteaguas de rasilla (medidas/pieza: 28x14 cm con un espesor de 12 mm)   Ref. lp-00299058</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</si>
  <si>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</si>
  <si>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</si>
  <si>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</si>
  <si>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</si>
  <si>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</si>
  <si>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</si>
  <si>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</si>
  <si>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</si>
  <si>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</si>
  <si>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</si>
  <si>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</si>
  <si>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</si>
  <si>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</si>
  <si>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</si>
  <si>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</si>
  <si>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</si>
  <si>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</si>
  <si>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</si>
  <si>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</si>
  <si>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</si>
  <si>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</si>
  <si>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</si>
  <si>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</si>
  <si>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</si>
  <si>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</si>
  <si>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</si>
  <si>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</si>
  <si>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</si>
  <si>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</si>
  <si>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</si>
  <si>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</si>
  <si>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</si>
  <si>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REM-V.AGUA-RASILLA-GCL-A56.4h-AT</t>
  </si>
  <si>
    <t xml:space="preserve">REM-V.AGUA-RASILLA-GCL-A56.4h-MS</t>
  </si>
  <si>
    <t xml:space="preserve">Partida</t>
  </si>
  <si>
    <t xml:space="preserve">m</t>
  </si>
  <si>
    <t xml:space="preserve">XXXXXX VIERTEAGUAS DE RASILLA 28x14 cm CON GOTERÓN CARA LARGA (ANCHO TOTAL 56 cm EN 4 HILADAS) MEDIANTE EL USO DE MEDIO SUSPENDIDO/COLGADO</t>
  </si>
  <si>
    <t xml:space="preserve">Vierteaguas de rasilla en piezas lisas (3 hiladas)) y de 14x28 cm con goterón en cara larga(ancho total 56 cm en 4 hiladas); recibido con mortero de cemento industrial con aditivo; y rejuntado entre piezas y de las uniones con los muros con mortero de juntas cementoso con absorción de agua reducida (para juntas entre 3 y 15 mm); mediante el uso de medio suspendido/colgado</t>
  </si>
  <si>
    <t xml:space="preserve">ma-lp-00299058</t>
  </si>
  <si>
    <t xml:space="preserve">Material</t>
  </si>
  <si>
    <t xml:space="preserve">pza</t>
  </si>
  <si>
    <t xml:space="preserve">Vierteaguas de rasilla (medidas/pieza: 28x14 cm con un espesor de 12 mm)   Ref. lp-00299058</t>
  </si>
  <si>
    <t xml:space="preserve">ma-lp-00299053</t>
  </si>
  <si>
    <t xml:space="preserve">Material</t>
  </si>
  <si>
    <t xml:space="preserve">pza</t>
  </si>
  <si>
    <t xml:space="preserve">Rasilla lisa de 1ª calidad con un espesor de 1,2 mm. Medidas: 14x28 cm   Ref. lp-00299053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</si>
  <si>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</si>
  <si>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</si>
  <si>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</si>
  <si>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</si>
  <si>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</si>
  <si>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</si>
  <si>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</si>
  <si>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</si>
  <si>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</si>
  <si>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</si>
  <si>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</si>
  <si>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</si>
  <si>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</si>
  <si>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</si>
  <si>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</si>
  <si>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</si>
  <si>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</si>
  <si>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</si>
  <si>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</si>
  <si>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</si>
  <si>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</si>
  <si>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</si>
  <si>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</si>
  <si>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</si>
  <si>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</si>
  <si>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</si>
  <si>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</si>
  <si>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</si>
  <si>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REM-V.AGUA-RASILLA-GCL-A56.4h-MS</t>
  </si>
  <si>
    <t xml:space="preserve">VIERTEAGUAS</t>
  </si>
  <si>
    <t xml:space="preserve">REM001</t>
  </si>
  <si>
    <t xml:space="preserve">Partida</t>
  </si>
  <si>
    <t xml:space="preserve">M</t>
  </si>
  <si>
    <t xml:space="preserve">MIMBEL O RODAPIE RASILLA 14x28</t>
  </si>
  <si>
    <t xml:space="preserve">Suministro y colocación de mimbel de rasilla cerámica natural de 14x28 cm, colocada a punta de paleta con mortero 1:2:10 elaborado en obra. incluye borada.</t>
  </si>
  <si>
    <t xml:space="preserve">ma-lp-00299053</t>
  </si>
  <si>
    <t xml:space="preserve">Material</t>
  </si>
  <si>
    <t xml:space="preserve">pza</t>
  </si>
  <si>
    <t xml:space="preserve">Rasilla lisa de 1ª calidad con un espesor de 1,2 mm. Medidas: 14x28 cm   Ref. lp-00299053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</si>
  <si>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</si>
  <si>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</si>
  <si>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</si>
  <si>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</si>
  <si>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</si>
  <si>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</si>
  <si>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</si>
  <si>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</si>
  <si>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</si>
  <si>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</si>
  <si>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</si>
  <si>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</si>
  <si>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</si>
  <si>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</si>
  <si>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</si>
  <si>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</si>
  <si>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</si>
  <si>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</si>
  <si>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</si>
  <si>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</si>
  <si>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</si>
  <si>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</si>
  <si>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</si>
  <si>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</si>
  <si>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</si>
  <si>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</si>
  <si>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</si>
  <si>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</si>
  <si>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REM001</t>
  </si>
  <si>
    <t xml:space="preserve">REM002</t>
  </si>
  <si>
    <t xml:space="preserve">Partida</t>
  </si>
  <si>
    <t xml:space="preserve">M</t>
  </si>
  <si>
    <t xml:space="preserve">MIMBEL O RODAPIE ROJO CUGAT DE BENESOL 14x28</t>
  </si>
  <si>
    <t xml:space="preserve">MIMBEL CERÁMICO CON BALDOSA DE PAVIMENTO PRENSADO NATURAL COLOR ROJO CUGAT DE BENESOL (14x28 cm por pieza); EN INSTALACIÓN CON GRADO DE COMPLEJIDAD MEDIA (GCM)</t>
  </si>
  <si>
    <t xml:space="preserve">ma-mausa-BEPRNAT1428</t>
  </si>
  <si>
    <t xml:space="preserve">Material</t>
  </si>
  <si>
    <t xml:space="preserve">m2</t>
  </si>
  <si>
    <t xml:space="preserve">Pavimento prensado natural color Rojo Cugat de BENESOL (14x28 cm/pza).   Ref. mausa-BEPRNAT1428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</si>
  <si>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</si>
  <si>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</si>
  <si>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</si>
  <si>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</si>
  <si>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</si>
  <si>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</si>
  <si>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</si>
  <si>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</si>
  <si>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</si>
  <si>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</si>
  <si>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</si>
  <si>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</si>
  <si>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</si>
  <si>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</si>
  <si>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</si>
  <si>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</si>
  <si>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</si>
  <si>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</si>
  <si>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</si>
  <si>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</si>
  <si>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</si>
  <si>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</si>
  <si>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</si>
  <si>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</si>
  <si>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</si>
  <si>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</si>
  <si>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</si>
  <si>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</si>
  <si>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REM002</t>
  </si>
  <si>
    <t xml:space="preserve">REM003</t>
  </si>
  <si>
    <t xml:space="preserve">Partida</t>
  </si>
  <si>
    <t xml:space="preserve">M</t>
  </si>
  <si>
    <t xml:space="preserve">MIMBEL O RODAPIE BALDOSA NATURAL HIERRO 2.0 DE ROSA GRES</t>
  </si>
  <si>
    <t xml:space="preserve">MIMBEL CERÁMICO CON BALDOSA NATURAL HIERRO 2.0 DE ROSA GRES; ALTURA 10 cm EN INSTALACIÓN CON GRADO DE COMPLEJIDAD ALTA (GCA)</t>
  </si>
  <si>
    <t xml:space="preserve">ma-fl-94303701</t>
  </si>
  <si>
    <t xml:space="preserve">Material</t>
  </si>
  <si>
    <t xml:space="preserve">m2</t>
  </si>
  <si>
    <t xml:space="preserve">Baldosa Cerámica NATURAL HIERRO 2.0 de ROSA GRES (31x31x0,9 cm/pza).   Ref. fl-94303701</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</si>
  <si>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</si>
  <si>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</si>
  <si>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</si>
  <si>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</si>
  <si>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</si>
  <si>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</si>
  <si>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</si>
  <si>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</si>
  <si>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ma-lp-00552545</t>
  </si>
  <si>
    <t xml:space="preserve">Material</t>
  </si>
  <si>
    <t xml:space="preserve">disco</t>
  </si>
  <si>
    <t xml:space="preserve">Disco diamante porcelánico BIG-SPRINT de BIGMAT turbo 115 mm.   Ref. lp-00552545</t>
  </si>
  <si>
    <t xml:space="preserve">alq-amolador-mym-01</t>
  </si>
  <si>
    <t xml:space="preserve">Maquinaria</t>
  </si>
  <si>
    <t xml:space="preserve">h</t>
  </si>
  <si>
    <t xml:space="preserve">Alquiler de Amolador Radial Eléctrico Portátil Diámetro 115 mm 750 W / 230 V.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</si>
  <si>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</si>
  <si>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</si>
  <si>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</si>
  <si>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</si>
  <si>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</si>
  <si>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</si>
  <si>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</si>
  <si>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</si>
  <si>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</si>
  <si>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</si>
  <si>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</si>
  <si>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</si>
  <si>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</si>
  <si>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</si>
  <si>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</si>
  <si>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</si>
  <si>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</si>
  <si>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</si>
  <si>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</si>
  <si>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</si>
  <si>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REM003</t>
  </si>
  <si>
    <t xml:space="preserve">REM004</t>
  </si>
  <si>
    <t xml:space="preserve">Partida</t>
  </si>
  <si>
    <t xml:space="preserve">M</t>
  </si>
  <si>
    <t xml:space="preserve">MIMBEL O RODAPIE PORCELANICO DE 8cm</t>
  </si>
  <si>
    <t xml:space="preserve">Rodapié porcelanico OCRE MARIOLA, de 8 cm, recibido con adhesivo cementoso, rejuntado con mortero de juntas cementoso mejorado, con absorción de agua reducida y resistencia elevada a la abrasión, color blanco, para juntas de 2 a 15 mm.</t>
  </si>
  <si>
    <t xml:space="preserve">ma-lp-00407759</t>
  </si>
  <si>
    <t xml:space="preserve">Material</t>
  </si>
  <si>
    <t xml:space="preserve">pza</t>
  </si>
  <si>
    <t xml:space="preserve">Rodapié cerámico OCRE MARIOLA de AZULIBER (8x33,3 cm/pza).   Ref. lp-00407759</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</si>
  <si>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</si>
  <si>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</si>
  <si>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</si>
  <si>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</si>
  <si>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</si>
  <si>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</si>
  <si>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</si>
  <si>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</si>
  <si>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</si>
  <si>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</si>
  <si>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</si>
  <si>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</si>
  <si>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</si>
  <si>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</si>
  <si>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</si>
  <si>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</si>
  <si>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</si>
  <si>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</si>
  <si>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</si>
  <si>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</si>
  <si>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</si>
  <si>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</si>
  <si>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</si>
  <si>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</si>
  <si>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</si>
  <si>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</si>
  <si>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</si>
  <si>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</si>
  <si>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REM004</t>
  </si>
  <si>
    <t xml:space="preserve">REM005</t>
  </si>
  <si>
    <t xml:space="preserve">Partida</t>
  </si>
  <si>
    <t xml:space="preserve">M</t>
  </si>
  <si>
    <t xml:space="preserve">VIERTEAGUAS DE RASILLA 28x14 cm GOTERÓN EN CARA LARGA</t>
  </si>
  <si>
    <t xml:space="preserve">Vierteaguas de rasilla en piezas de 28x14 cm con goterón en cara larga; recibido con mortero de cemento industrial con aditivo; y rejuntado entre piezas y de las uniones con los muros con mortero de juntas cementoso con absorción de agua reducida (para juntas entre 3 y 15 mm); mediante el uso de andamio tubular</t>
  </si>
  <si>
    <t xml:space="preserve">ma-lp-00299058</t>
  </si>
  <si>
    <t xml:space="preserve">Material</t>
  </si>
  <si>
    <t xml:space="preserve">pza</t>
  </si>
  <si>
    <t xml:space="preserve">Vierteaguas de rasilla (medidas/pieza: 28x14 cm con un espesor de 12 mm)   Ref. lp-00299058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</si>
  <si>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</si>
  <si>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</si>
  <si>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</si>
  <si>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</si>
  <si>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</si>
  <si>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</si>
  <si>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</si>
  <si>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</si>
  <si>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</si>
  <si>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</si>
  <si>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</si>
  <si>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</si>
  <si>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</si>
  <si>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</si>
  <si>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</si>
  <si>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</si>
  <si>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</si>
  <si>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</si>
  <si>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</si>
  <si>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</si>
  <si>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</si>
  <si>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</si>
  <si>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</si>
  <si>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</si>
  <si>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</si>
  <si>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</si>
  <si>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</si>
  <si>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</si>
  <si>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REM005</t>
  </si>
  <si>
    <t xml:space="preserve">REM005TV</t>
  </si>
  <si>
    <t xml:space="preserve">Partida</t>
  </si>
  <si>
    <t xml:space="preserve">M</t>
  </si>
  <si>
    <t xml:space="preserve">VIERTEAGUAS DE RASILLA 28x14 cm GOTERÓN EN CARA LARGA C/TRABAJOS VERTICALES</t>
  </si>
  <si>
    <t xml:space="preserve">Vierteaguas de rasilla C/TRABAJOS VERTICALES en piezas de 28x14 cm con goterón en cara larga; recibido con mortero de cemento industrial con aditivo; y rejuntado entre piezas y de las uniones con los muros con mortero de juntas cementoso con absorción de agua reducida (para juntas entre 3 y 15 mm); mediante el uso de medio suspendido/colgado</t>
  </si>
  <si>
    <t xml:space="preserve">ma-lp-00299058</t>
  </si>
  <si>
    <t xml:space="preserve">Material</t>
  </si>
  <si>
    <t xml:space="preserve">pza</t>
  </si>
  <si>
    <t xml:space="preserve">Vierteaguas de rasilla (medidas/pieza: 28x14 cm con un espesor de 12 mm)   Ref. lp-00299058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</si>
  <si>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</si>
  <si>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</si>
  <si>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</si>
  <si>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</si>
  <si>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</si>
  <si>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</si>
  <si>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</si>
  <si>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</si>
  <si>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</si>
  <si>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</si>
  <si>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</si>
  <si>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</si>
  <si>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</si>
  <si>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</si>
  <si>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</si>
  <si>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</si>
  <si>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</si>
  <si>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</si>
  <si>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</si>
  <si>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</si>
  <si>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</si>
  <si>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</si>
  <si>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</si>
  <si>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</si>
  <si>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</si>
  <si>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</si>
  <si>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</si>
  <si>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</si>
  <si>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REM005TV</t>
  </si>
  <si>
    <t xml:space="preserve">REM006</t>
  </si>
  <si>
    <t xml:space="preserve">Partida</t>
  </si>
  <si>
    <t xml:space="preserve">M</t>
  </si>
  <si>
    <t xml:space="preserve">VIERTEAGUAS DE RASILLA 28x14 cm GOTERÓN CARA LARGA EN 2 HILADAS</t>
  </si>
  <si>
    <t xml:space="preserve">Vierteaguas de rasilla en (2 hiladas) y de 14x28 cm con goterón en cara larga(ancho total 28 cm en 2 hiladas); recibido con mortero de cemento industrial con aditivo; y rejuntado entre piezas y de las uniones con los muros con mortero de juntas cementoso con absorción de agua reducida (para juntas entre 3 y 15 mm); mediante el uso de andamio tubular</t>
  </si>
  <si>
    <t xml:space="preserve">ma-lp-00299058</t>
  </si>
  <si>
    <t xml:space="preserve">Material</t>
  </si>
  <si>
    <t xml:space="preserve">pza</t>
  </si>
  <si>
    <t xml:space="preserve">Vierteaguas de rasilla (medidas/pieza: 28x14 cm con un espesor de 12 mm)   Ref. lp-00299058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</si>
  <si>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</si>
  <si>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</si>
  <si>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</si>
  <si>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</si>
  <si>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</si>
  <si>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</si>
  <si>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</si>
  <si>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</si>
  <si>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</si>
  <si>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</si>
  <si>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</si>
  <si>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</si>
  <si>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</si>
  <si>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</si>
  <si>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</si>
  <si>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</si>
  <si>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</si>
  <si>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</si>
  <si>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</si>
  <si>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</si>
  <si>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</si>
  <si>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</si>
  <si>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</si>
  <si>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</si>
  <si>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</si>
  <si>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</si>
  <si>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</si>
  <si>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</si>
  <si>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REM006</t>
  </si>
  <si>
    <t xml:space="preserve">REM006TV</t>
  </si>
  <si>
    <t xml:space="preserve">Partida</t>
  </si>
  <si>
    <t xml:space="preserve">M</t>
  </si>
  <si>
    <t xml:space="preserve">VIERTEAGUAS DE RASILLA 28x14 cm GOTERÓN CARA LARGA EN 2 HILADAS C/TRABAJOS VERTICALES</t>
  </si>
  <si>
    <t xml:space="preserve">Vierteaguas de rasilla  C/TRABAJOS VERTICALES en (2 hilada)) y de 14x28 cm con goterón en cara larga(ancho total 28 cm en 2 hiladas); recibido con mortero de cemento industrial con aditivo; y rejuntado entre piezas y de las uniones con los muros con mortero de juntas cementoso con absorción de agua reducida (para juntas entre 3 y 15 mm); mediante el uso de medio suspendido/colgado</t>
  </si>
  <si>
    <t xml:space="preserve">ma-lp-00299058</t>
  </si>
  <si>
    <t xml:space="preserve">Material</t>
  </si>
  <si>
    <t xml:space="preserve">pza</t>
  </si>
  <si>
    <t xml:space="preserve">Vierteaguas de rasilla (medidas/pieza: 28x14 cm con un espesor de 12 mm)   Ref. lp-00299058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</si>
  <si>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</si>
  <si>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</si>
  <si>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</si>
  <si>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</si>
  <si>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</si>
  <si>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</si>
  <si>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</si>
  <si>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</si>
  <si>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</si>
  <si>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</si>
  <si>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</si>
  <si>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</si>
  <si>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</si>
  <si>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</si>
  <si>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</si>
  <si>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</si>
  <si>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</si>
  <si>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</si>
  <si>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</si>
  <si>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</si>
  <si>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</si>
  <si>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</si>
  <si>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</si>
  <si>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</si>
  <si>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</si>
  <si>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</si>
  <si>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</si>
  <si>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</si>
  <si>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REM006TV</t>
  </si>
  <si>
    <t xml:space="preserve">REM007</t>
  </si>
  <si>
    <t xml:space="preserve">Partida</t>
  </si>
  <si>
    <t xml:space="preserve">M</t>
  </si>
  <si>
    <t xml:space="preserve">VIERTEAGUAS DE RASILLA 14x28 cm GOTERÓN EN CARA CORTA</t>
  </si>
  <si>
    <t xml:space="preserve">Vierteaguas de rasilla en piezas de 14x28 cm con goterón en cara corta; recibido con mortero de cemento industrial con aditivo; y rejuntado entre piezas y de las uniones con los muros con mortero de juntas cementoso con absorción de agua reducida (para juntas entre 3 y 15 mm); mediante el uso de andammio tubular</t>
  </si>
  <si>
    <t xml:space="preserve">ma-lp-00299058</t>
  </si>
  <si>
    <t xml:space="preserve">Material</t>
  </si>
  <si>
    <t xml:space="preserve">pza</t>
  </si>
  <si>
    <t xml:space="preserve">Vierteaguas de rasilla (medidas/pieza: 28x14 cm con un espesor de 12 mm)   Ref. lp-00299058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</si>
  <si>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</si>
  <si>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</si>
  <si>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</si>
  <si>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</si>
  <si>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</si>
  <si>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</si>
  <si>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</si>
  <si>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</si>
  <si>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</si>
  <si>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</si>
  <si>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</si>
  <si>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</si>
  <si>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</si>
  <si>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</si>
  <si>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</si>
  <si>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</si>
  <si>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</si>
  <si>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</si>
  <si>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</si>
  <si>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</si>
  <si>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</si>
  <si>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</si>
  <si>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</si>
  <si>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</si>
  <si>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</si>
  <si>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</si>
  <si>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</si>
  <si>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</si>
  <si>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REM007</t>
  </si>
  <si>
    <t xml:space="preserve">REM007TV</t>
  </si>
  <si>
    <t xml:space="preserve">Partida</t>
  </si>
  <si>
    <t xml:space="preserve">M</t>
  </si>
  <si>
    <t xml:space="preserve">VIERTEAGUAS DE RASILLA 14x28 cm GOTERÓN EN CARA CORTA C/TRABAJOS VERTICALES</t>
  </si>
  <si>
    <t xml:space="preserve">Vierteaguas de rasilla en piezas de 14x28 cm con goterón en cara corta; recibido con mortero de cemento industrial con aditivo; y rejuntado entre piezas y de las uniones con los muros con mortero de juntas cementoso con absorción de agua reducida (para juntas entre 3 y 15 mm).</t>
  </si>
  <si>
    <t xml:space="preserve">ma-lp-00299058</t>
  </si>
  <si>
    <t xml:space="preserve">Material</t>
  </si>
  <si>
    <t xml:space="preserve">pza</t>
  </si>
  <si>
    <t xml:space="preserve">Vierteaguas de rasilla (medidas/pieza: 28x14 cm con un espesor de 12 mm)   Ref. lp-00299058</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</si>
  <si>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</si>
  <si>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</si>
  <si>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</si>
  <si>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</si>
  <si>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</si>
  <si>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</si>
  <si>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</si>
  <si>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</si>
  <si>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</si>
  <si>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</si>
  <si>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</si>
  <si>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</si>
  <si>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</si>
  <si>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</si>
  <si>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</si>
  <si>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</si>
  <si>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</si>
  <si>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</si>
  <si>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</si>
  <si>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</si>
  <si>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</si>
  <si>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</si>
  <si>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</si>
  <si>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</si>
  <si>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</si>
  <si>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</si>
  <si>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</si>
  <si>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</si>
  <si>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REM007TV</t>
  </si>
  <si>
    <t xml:space="preserve">REM008</t>
  </si>
  <si>
    <t xml:space="preserve">Partida</t>
  </si>
  <si>
    <t xml:space="preserve">M</t>
  </si>
  <si>
    <t xml:space="preserve">VIERTEAGUAS CERÁMICO TEJA IRTA DE AZULIBER GOTERÓN CARA LARGA</t>
  </si>
  <si>
    <t xml:space="preserve">VIERTEAGUAS CERÁMICO TEJA IRTA de AZULIBER CON GOTERÓN CARA LARGA (33,3 cm); mediante el uso de andamio tubular</t>
  </si>
  <si>
    <t xml:space="preserve">ma-lp-00415855</t>
  </si>
  <si>
    <t xml:space="preserve">Material</t>
  </si>
  <si>
    <t xml:space="preserve">pza</t>
  </si>
  <si>
    <t xml:space="preserve">Vierteaguas serie TEJA IRTA de AZULIBER (15x33,3x4 cm/pza).   Ref. lp-00415855</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</si>
  <si>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</si>
  <si>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</si>
  <si>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</si>
  <si>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</si>
  <si>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</si>
  <si>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</si>
  <si>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</si>
  <si>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</si>
  <si>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</si>
  <si>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</si>
  <si>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</si>
  <si>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</si>
  <si>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</si>
  <si>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</si>
  <si>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</si>
  <si>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</si>
  <si>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</si>
  <si>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</si>
  <si>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</si>
  <si>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</si>
  <si>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</si>
  <si>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</si>
  <si>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</si>
  <si>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</si>
  <si>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</si>
  <si>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</si>
  <si>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</si>
  <si>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</si>
  <si>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REM008</t>
  </si>
  <si>
    <t xml:space="preserve">REM008TV</t>
  </si>
  <si>
    <t xml:space="preserve">Partida</t>
  </si>
  <si>
    <t xml:space="preserve">M</t>
  </si>
  <si>
    <t xml:space="preserve">VIERTEAGUAS CERÁMICO TEJA IRTA DE AZULIBER GOTERÓN CARA LARGA C/TRABAJOS VERTICALES</t>
  </si>
  <si>
    <t xml:space="preserve">VIERTEAGUAS CERÁMICO C/TRABAJOS VERTICALES TEJA IRTA DE AZULIBER CON GOTERÓN CARA LARGA (33,3 cm)</t>
  </si>
  <si>
    <t xml:space="preserve">ma-lp-00415855</t>
  </si>
  <si>
    <t xml:space="preserve">Material</t>
  </si>
  <si>
    <t xml:space="preserve">pza</t>
  </si>
  <si>
    <t xml:space="preserve">Vierteaguas serie TEJA IRTA de AZULIBER (15x33,3x4 cm/pza).   Ref. lp-00415855</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</si>
  <si>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</si>
  <si>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</si>
  <si>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</si>
  <si>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</si>
  <si>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</si>
  <si>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</si>
  <si>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</si>
  <si>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</si>
  <si>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</si>
  <si>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</si>
  <si>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</si>
  <si>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</si>
  <si>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</si>
  <si>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</si>
  <si>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</si>
  <si>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</si>
  <si>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</si>
  <si>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</si>
  <si>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</si>
  <si>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</si>
  <si>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</si>
  <si>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</si>
  <si>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</si>
  <si>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</si>
  <si>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</si>
  <si>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</si>
  <si>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</si>
  <si>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</si>
  <si>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REM008TV</t>
  </si>
  <si>
    <t xml:space="preserve">REM009</t>
  </si>
  <si>
    <t xml:space="preserve">Partida</t>
  </si>
  <si>
    <t xml:space="preserve">M</t>
  </si>
  <si>
    <t xml:space="preserve">VIERTEAGUAS DE BALDOSA CERÁMICA VIDRIADA STONEWARE COLOR CT3 14x28 CON GOTERÓN</t>
  </si>
  <si>
    <t xml:space="preserve">VIERTEAGUAS DE BALDOSA CERÁMICA VIDRIADA STONEWARE COLOR CT3 14x28 cm CON GOTERÓN EN UN EXTREMO; MEDIANTE EL USO DE ANDAMIO TUBULAR</t>
  </si>
  <si>
    <t xml:space="preserve">ma-ferres-baldosa.VT-14x28-CT3</t>
  </si>
  <si>
    <t xml:space="preserve">Material</t>
  </si>
  <si>
    <t xml:space="preserve">pza</t>
  </si>
  <si>
    <t xml:space="preserve">Baldosa vidriada (14x28 cm/pza).   Ref. ferres-baldosa.VT-14x28-CT3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</si>
  <si>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</si>
  <si>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</si>
  <si>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</si>
  <si>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</si>
  <si>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</si>
  <si>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</si>
  <si>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</si>
  <si>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</si>
  <si>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</si>
  <si>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</si>
  <si>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</si>
  <si>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</si>
  <si>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</si>
  <si>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</si>
  <si>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</si>
  <si>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</si>
  <si>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</si>
  <si>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</si>
  <si>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</si>
  <si>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</si>
  <si>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</si>
  <si>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</si>
  <si>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</si>
  <si>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</si>
  <si>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</si>
  <si>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</si>
  <si>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</si>
  <si>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</si>
  <si>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REM009</t>
  </si>
  <si>
    <t xml:space="preserve">REM009TV</t>
  </si>
  <si>
    <t xml:space="preserve">Partida</t>
  </si>
  <si>
    <t xml:space="preserve">M</t>
  </si>
  <si>
    <t xml:space="preserve">VIERTEAGUAS DE BALDOSA CERÁMICA VIDRIADA STONEWARE COLOR CT3 14x28 cm CON GOTERÓN CON GOTERÓN C/TRABAJOS VERTICALES</t>
  </si>
  <si>
    <t xml:space="preserve">VIERTEAGUAS DE BALDOSA CERÁMICA VIDRIADA STONEWARE COLOR CT3 14x28 cm CON GOTERÓN EN UN EXTREMO; MEDIANTE EL USO DE MEDIO SUSPENDIDO/COLGADO</t>
  </si>
  <si>
    <t xml:space="preserve">ma-ferres-baldosa.VT-14x28-CT3</t>
  </si>
  <si>
    <t xml:space="preserve">Material</t>
  </si>
  <si>
    <t xml:space="preserve">pza</t>
  </si>
  <si>
    <t xml:space="preserve">Baldosa vidriada (14x28 cm/pza).   Ref. ferres-baldosa.VT-14x28-CT3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</si>
  <si>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</si>
  <si>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</si>
  <si>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</si>
  <si>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</si>
  <si>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</si>
  <si>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</si>
  <si>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</si>
  <si>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</si>
  <si>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</si>
  <si>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</si>
  <si>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</si>
  <si>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</si>
  <si>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</si>
  <si>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</si>
  <si>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</si>
  <si>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</si>
  <si>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</si>
  <si>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</si>
  <si>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</si>
  <si>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</si>
  <si>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</si>
  <si>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</si>
  <si>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</si>
  <si>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</si>
  <si>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</si>
  <si>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</si>
  <si>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</si>
  <si>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</si>
  <si>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REM009TV</t>
  </si>
  <si>
    <t xml:space="preserve">REM010</t>
  </si>
  <si>
    <t xml:space="preserve">Partida</t>
  </si>
  <si>
    <t xml:space="preserve">M</t>
  </si>
  <si>
    <t xml:space="preserve">VIERTEAGUAS DE BALDOSA CERÁMICA VIDRIADA STONEWARE COLOR CT3 20x20 CON GOTERÓN</t>
  </si>
  <si>
    <t xml:space="preserve">VIERTEAGUAS DE BALDOSA CERÁMICA VIDRIADA COLOR CT3 20x20 cm CON GOTERÓN EN UN EXTREMO; MEDIANTE EL USO DE ANDAMIO TUBULAR</t>
  </si>
  <si>
    <t xml:space="preserve">ma-ferres-v/agua.VT-SW-20x20-CT3</t>
  </si>
  <si>
    <t xml:space="preserve">Material</t>
  </si>
  <si>
    <t xml:space="preserve">pza</t>
  </si>
  <si>
    <t xml:space="preserve">Vierteaguas vidriado STONEWARE (20x20 cm/pza).   Ref. ferres-v/agua.VT-SW-20x20-CT3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</si>
  <si>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</si>
  <si>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</si>
  <si>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</si>
  <si>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</si>
  <si>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</si>
  <si>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</si>
  <si>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</si>
  <si>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</si>
  <si>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</si>
  <si>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</si>
  <si>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</si>
  <si>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</si>
  <si>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</si>
  <si>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</si>
  <si>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</si>
  <si>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</si>
  <si>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</si>
  <si>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</si>
  <si>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</si>
  <si>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</si>
  <si>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</si>
  <si>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</si>
  <si>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</si>
  <si>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</si>
  <si>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</si>
  <si>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</si>
  <si>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</si>
  <si>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</si>
  <si>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REM010</t>
  </si>
  <si>
    <t xml:space="preserve">REM010TV</t>
  </si>
  <si>
    <t xml:space="preserve">Partida</t>
  </si>
  <si>
    <t xml:space="preserve">M</t>
  </si>
  <si>
    <t xml:space="preserve">VIERTEAGUAS DE BALDOSA CERÁMICA VIDRIADA COLOR CT3 20x20 cm CON GOTERÓN C/TRABAJOS VERTICALES</t>
  </si>
  <si>
    <t xml:space="preserve">VIERTEAGUAS DE BALDOSA CERÁMICA VIDRIADA COLOR CT3 20x20 cm CON GOTERÓN EN UN EXTREMO;</t>
  </si>
  <si>
    <t xml:space="preserve">ma-ferres-v/agua.VT-SW-20x20-CT3</t>
  </si>
  <si>
    <t xml:space="preserve">Material</t>
  </si>
  <si>
    <t xml:space="preserve">pza</t>
  </si>
  <si>
    <t xml:space="preserve">Vierteaguas vidriado STONEWARE (20x20 cm/pza).   Ref. ferres-v/agua.VT-SW-20x20-CT3</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</si>
  <si>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</si>
  <si>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</si>
  <si>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</si>
  <si>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</si>
  <si>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</si>
  <si>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</si>
  <si>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</si>
  <si>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</si>
  <si>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</si>
  <si>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</si>
  <si>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</si>
  <si>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</si>
  <si>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</si>
  <si>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</si>
  <si>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</si>
  <si>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</si>
  <si>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</si>
  <si>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</si>
  <si>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</si>
  <si>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</si>
  <si>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</si>
  <si>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</si>
  <si>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</si>
  <si>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</si>
  <si>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</si>
  <si>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</si>
  <si>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</si>
  <si>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</si>
  <si>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REM010TV</t>
  </si>
  <si>
    <t xml:space="preserve">REM011</t>
  </si>
  <si>
    <t xml:space="preserve">Partida</t>
  </si>
  <si>
    <t xml:space="preserve">M</t>
  </si>
  <si>
    <t xml:space="preserve">CUBREMUROS CERAMICO EN RASILLA TIPO CELOSÍA 20x202CM</t>
  </si>
  <si>
    <t xml:space="preserve">Vierteaguas cerámico, color rojo, en piezas de 20x20x2cm, con goterón; recibido con mortero de cemento, industrial, con aditivo; y rejuntado entre piezas y de las uniones con los muros con mortero de juntas cementoso con absorción de agua reducida, para juntas entre 3 y 15 mm.</t>
  </si>
  <si>
    <t xml:space="preserve">ma-lp-00299055</t>
  </si>
  <si>
    <t xml:space="preserve">Material</t>
  </si>
  <si>
    <t xml:space="preserve">pza</t>
  </si>
  <si>
    <t xml:space="preserve">Pasamanos/Cubremuros celosía en rasilla (20x20x2 cm/pza).   Ref. lp-00299055</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</si>
  <si>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</si>
  <si>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</si>
  <si>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</si>
  <si>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</si>
  <si>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</si>
  <si>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</si>
  <si>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</si>
  <si>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</si>
  <si>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</si>
  <si>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</si>
  <si>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</si>
  <si>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</si>
  <si>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</si>
  <si>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</si>
  <si>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</si>
  <si>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</si>
  <si>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</si>
  <si>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</si>
  <si>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</si>
  <si>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</si>
  <si>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</si>
  <si>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</si>
  <si>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</si>
  <si>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</si>
  <si>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</si>
  <si>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</si>
  <si>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</si>
  <si>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</si>
  <si>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REM011</t>
  </si>
  <si>
    <t xml:space="preserve">REM0050</t>
  </si>
  <si>
    <t xml:space="preserve">Partida</t>
  </si>
  <si>
    <t xml:space="preserve">U</t>
  </si>
  <si>
    <t xml:space="preserve">GARGOLA DE HORMIGON POLIMERO</t>
  </si>
  <si>
    <t xml:space="preserve">Gárgola de hormigón polímero, de color blanco, de 140x350x100 mm y base rectangular, con goterón; colocación con adhesivo cementoso flexible y de gran adherencia y sellado e impermeabilización de la junta perimetral con masilla de poliuretano, previa aplicación de la imprimación.</t>
  </si>
  <si>
    <t xml:space="preserve">mt20wwa040</t>
  </si>
  <si>
    <t xml:space="preserve">Material</t>
  </si>
  <si>
    <t xml:space="preserve">kg</t>
  </si>
  <si>
    <t xml:space="preserve">Adhesivo cementoso flexible y de gran adherencia, C2 S2, según UNE-EN 12004.</t>
  </si>
  <si>
    <t xml:space="preserve">mt20ghp010h</t>
  </si>
  <si>
    <t xml:space="preserve">Material</t>
  </si>
  <si>
    <t xml:space="preserve">Ud</t>
  </si>
  <si>
    <t xml:space="preserve">Gárgola de hormigón polímero de superficie pulida, de color blanco, de 140x350x100 mm y base rectangular, con goterón.</t>
  </si>
  <si>
    <t xml:space="preserve">mt20wwa035</t>
  </si>
  <si>
    <t xml:space="preserve">Material</t>
  </si>
  <si>
    <t xml:space="preserve">Ud</t>
  </si>
  <si>
    <t xml:space="preserve">Cartucho de 250 cm³ de imprimación para masillas.</t>
  </si>
  <si>
    <t xml:space="preserve">mt20wwa030</t>
  </si>
  <si>
    <t xml:space="preserve">Material</t>
  </si>
  <si>
    <t xml:space="preserve">Ud</t>
  </si>
  <si>
    <t xml:space="preserve">Cartucho de 310 cm³ de masilla de poliuretano impermeable.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</si>
  <si>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</si>
  <si>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</si>
  <si>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</si>
  <si>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</si>
  <si>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</si>
  <si>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</si>
  <si>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</si>
  <si>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</si>
  <si>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</si>
  <si>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</si>
  <si>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</si>
  <si>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</si>
  <si>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</si>
  <si>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</si>
  <si>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</si>
  <si>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</si>
  <si>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</si>
  <si>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</si>
  <si>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</si>
  <si>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</si>
  <si>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REM0050</t>
  </si>
  <si>
    <t xml:space="preserve">REM0060</t>
  </si>
  <si>
    <t xml:space="preserve">Partida</t>
  </si>
  <si>
    <t xml:space="preserve">U</t>
  </si>
  <si>
    <t xml:space="preserve">GARGOLA CERAMICA</t>
  </si>
  <si>
    <t xml:space="preserve">Gárgola de cerámica vitrificada, de 100x100x250 mm; colocación con adhesivo cementoso flexible y de gran adherencia, C2 S2; y  sellado e impermeabilización de la junta perimetral con masilla de poliuretano, previa aplicación de la imprimación.</t>
  </si>
  <si>
    <t xml:space="preserve">mt20wwa040</t>
  </si>
  <si>
    <t xml:space="preserve">Material</t>
  </si>
  <si>
    <t xml:space="preserve">kg</t>
  </si>
  <si>
    <t xml:space="preserve">Adhesivo cementoso flexible y de gran adherencia, C2 S2, según UNE-EN 12004.</t>
  </si>
  <si>
    <t xml:space="preserve">ma-azulejosgres-gargola</t>
  </si>
  <si>
    <t xml:space="preserve">Material</t>
  </si>
  <si>
    <t xml:space="preserve">u</t>
  </si>
  <si>
    <t xml:space="preserve">Gargola vitrificada</t>
  </si>
  <si>
    <t xml:space="preserve">mt20wwa035</t>
  </si>
  <si>
    <t xml:space="preserve">Material</t>
  </si>
  <si>
    <t xml:space="preserve">Ud</t>
  </si>
  <si>
    <t xml:space="preserve">Cartucho de 250 cm³ de imprimación para masillas.</t>
  </si>
  <si>
    <t xml:space="preserve">mt20wwa030</t>
  </si>
  <si>
    <t xml:space="preserve">Material</t>
  </si>
  <si>
    <t xml:space="preserve">Ud</t>
  </si>
  <si>
    <t xml:space="preserve">Cartucho de 310 cm³ de masilla de poliuretano impermeable.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</si>
  <si>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</si>
  <si>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</si>
  <si>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</si>
  <si>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</si>
  <si>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</si>
  <si>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</si>
  <si>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</si>
  <si>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</si>
  <si>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</si>
  <si>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</si>
  <si>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</si>
  <si>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</si>
  <si>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</si>
  <si>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</si>
  <si>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</si>
  <si>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</si>
  <si>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</si>
  <si>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</si>
  <si>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</si>
  <si>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</si>
  <si>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REM0060</t>
  </si>
  <si>
    <t xml:space="preserve">REM0070</t>
  </si>
  <si>
    <t xml:space="preserve">Partida</t>
  </si>
  <si>
    <t xml:space="preserve">U</t>
  </si>
  <si>
    <t xml:space="preserve">GARGOLA DE ACERO INOX AISI 304 - SCHLUTER</t>
  </si>
  <si>
    <t xml:space="preserve">Gárgola de acero inoxidable AISI 304, formada por placa en L de 100x100 mm, y tubo de salida de 45 mm de diámetro y 250 mm de longitud; colocación con masilla de silicona neutra; y sellado e impermeabilización de la junta perimetral con masilla de poliuretano, previa aplicación de la imprimación.</t>
  </si>
  <si>
    <t xml:space="preserve">ma-Schluter.Systems-KD.SPE.45/25</t>
  </si>
  <si>
    <t xml:space="preserve">Material</t>
  </si>
  <si>
    <t xml:space="preserve">pza</t>
  </si>
  <si>
    <t xml:space="preserve">Gárgola de acero inoxidable AISI 304 Schlüter-KERDI-DRAIN-SP-E 250 mm (diámetro: 45 mm).   Ref. Schluter.Systems-KD.SPE.45/25</t>
  </si>
  <si>
    <t xml:space="preserve">ma-lm-88455941</t>
  </si>
  <si>
    <t xml:space="preserve">Material</t>
  </si>
  <si>
    <t xml:space="preserve">envase</t>
  </si>
  <si>
    <t xml:space="preserve">Promotor de adhesión basado en solventes para substratos no porosos SIKA AKTIVATOR-205 de SIKA (250 ml/envase).   Ref. lm-88455941</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</si>
  <si>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</si>
  <si>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</si>
  <si>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</si>
  <si>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</si>
  <si>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</si>
  <si>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</si>
  <si>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</si>
  <si>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</si>
  <si>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</si>
  <si>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</si>
  <si>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</si>
  <si>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</si>
  <si>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</si>
  <si>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</si>
  <si>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</si>
  <si>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</si>
  <si>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</si>
  <si>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</si>
  <si>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</si>
  <si>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</si>
  <si>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</si>
  <si>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</si>
  <si>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</si>
  <si>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</si>
  <si>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REM0070</t>
  </si>
  <si>
    <t xml:space="preserve">REM07-OK</t>
  </si>
  <si>
    <t xml:space="preserve">Partida</t>
  </si>
  <si>
    <t xml:space="preserve">ML</t>
  </si>
  <si>
    <t xml:space="preserve">ALBARDILLA DE HORMIGON POLIMERO DE 200X20MM</t>
  </si>
  <si>
    <t xml:space="preserve">Vierteaguas de hormigón polímero de superficie pulida, con goterón, de 200x20 mm, con anclaje metálico de acero inoxidable y grava adherida a la superficie en su cara inferior y empotrado en las jambas; colocación con adhesivo cementoso flexible y de gran adherencia, C2 S2 sobre una capa de regularización de mortero de cemento, con aditivo hidrófugo, M-15, sobre el que se introducen los anclajes metálicos; y sellado de las juntas entre piezas y de las uniones con los muros con masilla de poliuretano.</t>
  </si>
  <si>
    <t xml:space="preserve">ma-dgm-MJ14</t>
  </si>
  <si>
    <t xml:space="preserve">Material</t>
  </si>
  <si>
    <t xml:space="preserve">pza</t>
  </si>
  <si>
    <t xml:space="preserve">Albardilla Serie MJ 14 de ULMA (A:B::15:20 cm); color arenisca (1 m/pza).   Ref. dgm-MJ14</t>
  </si>
  <si>
    <t xml:space="preserve">ma-lp-00001603A</t>
  </si>
  <si>
    <t xml:space="preserve">Material</t>
  </si>
  <si>
    <t xml:space="preserve">saco</t>
  </si>
  <si>
    <t xml:space="preserve">Mortero seco para aplicaciones en albañilería M-7,5 VALSEC; color gris (25 kg/saco)   Ref. lp-00001603</t>
  </si>
  <si>
    <t xml:space="preserve">ma-lp-00540849</t>
  </si>
  <si>
    <t xml:space="preserve">Material</t>
  </si>
  <si>
    <t xml:space="preserve">saco</t>
  </si>
  <si>
    <t xml:space="preserve">Mortero cola GEL PLUS S1 BIGMAT; color gris (25 kg/saco)   Ref. lp-00540849</t>
  </si>
  <si>
    <t xml:space="preserve">ma-lp-00540972</t>
  </si>
  <si>
    <t xml:space="preserve">Material</t>
  </si>
  <si>
    <t xml:space="preserve">pza</t>
  </si>
  <si>
    <t xml:space="preserve">Cordón de espuma polietilénica extruida MAPEFOAM de MAPEI (1 m x 15 mm/pza).   Ref. lp-00540972</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</si>
  <si>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</si>
  <si>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</si>
  <si>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</si>
  <si>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</si>
  <si>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</si>
  <si>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</si>
  <si>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</si>
  <si>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</si>
  <si>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</si>
  <si>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</si>
  <si>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</si>
  <si>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</si>
  <si>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</si>
  <si>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</si>
  <si>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</si>
  <si>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</si>
  <si>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</si>
  <si>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</si>
  <si>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</si>
  <si>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</si>
  <si>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</si>
  <si>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</si>
  <si>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</si>
  <si>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</si>
  <si>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REM07-OK</t>
  </si>
  <si>
    <t xml:space="preserve">REM08-OK</t>
  </si>
  <si>
    <t xml:space="preserve">Partida</t>
  </si>
  <si>
    <t xml:space="preserve">ML</t>
  </si>
  <si>
    <t xml:space="preserve">CUBREMUROS 2 AGUAS DE HORMIGÓN POLIMÉRICO 25 cm</t>
  </si>
  <si>
    <t xml:space="preserve">Suministro y colocacion de Cubremuro plano de piedra artificial con goterón a ambos lados</t>
  </si>
  <si>
    <t xml:space="preserve">ma-lp-00095113</t>
  </si>
  <si>
    <t xml:space="preserve">Material</t>
  </si>
  <si>
    <t xml:space="preserve">pza</t>
  </si>
  <si>
    <t xml:space="preserve">Cubremuros a 2 aguas de hormigón polímero liso de BEDYFA; color blanco (25x50 cm/pza).   Ref. lp-00095113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</si>
  <si>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</si>
  <si>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</si>
  <si>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</si>
  <si>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</si>
  <si>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</si>
  <si>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</si>
  <si>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</si>
  <si>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</si>
  <si>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</si>
  <si>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</si>
  <si>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</si>
  <si>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</si>
  <si>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</si>
  <si>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</si>
  <si>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</si>
  <si>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</si>
  <si>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</si>
  <si>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</si>
  <si>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</si>
  <si>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</si>
  <si>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</si>
  <si>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</si>
  <si>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</si>
  <si>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</si>
  <si>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</si>
  <si>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</si>
  <si>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</si>
  <si>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</si>
  <si>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</si>
  <si>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REM08-OK</t>
  </si>
  <si>
    <t xml:space="preserve">REM06-OK</t>
  </si>
  <si>
    <t xml:space="preserve">Partida</t>
  </si>
  <si>
    <t xml:space="preserve">ML</t>
  </si>
  <si>
    <t xml:space="preserve">VIERTEAGUAS DE ALUMINIO</t>
  </si>
  <si>
    <t xml:space="preserve">Vierteaguas de chapa plegada de aluminio lacado en color blanco, con 60 micras de espesor mínimo de película seca, espesor 3 mm, desarrollo 400 mm y 3 pliegues, con goterón, empotrado en las jambas; colocación con adhesivo bituminoso de aplicación en frío; y sellado de las juntas entre piezas y de las uniones con los muros con sellador adhesivo monocomponente.</t>
  </si>
  <si>
    <t xml:space="preserve">ma-eurofinestra-AD461</t>
  </si>
  <si>
    <t xml:space="preserve">Material</t>
  </si>
  <si>
    <t xml:space="preserve">pza</t>
  </si>
  <si>
    <t xml:space="preserve">Vierteaguas de aluminio lacado blanco (33x200 cm/pza).   Ref. eurofinestra-AD461</t>
  </si>
  <si>
    <t xml:space="preserve">ma-lm-88455941</t>
  </si>
  <si>
    <t xml:space="preserve">Material</t>
  </si>
  <si>
    <t xml:space="preserve">envase</t>
  </si>
  <si>
    <t xml:space="preserve">Promotor de adhesión basado en solventes para substratos no porosos SIKA AKTIVATOR-205 de SIKA (250 ml/envase).   Ref. lm-88455941</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</si>
  <si>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</si>
  <si>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</si>
  <si>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</si>
  <si>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</si>
  <si>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</si>
  <si>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</si>
  <si>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</si>
  <si>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</si>
  <si>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</si>
  <si>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</si>
  <si>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</si>
  <si>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</si>
  <si>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</si>
  <si>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</si>
  <si>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</si>
  <si>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</si>
  <si>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</si>
  <si>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</si>
  <si>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</si>
  <si>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</si>
  <si>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</si>
  <si>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REM06-OK</t>
  </si>
  <si>
    <t xml:space="preserve">REM090</t>
  </si>
  <si>
    <t xml:space="preserve">Partida</t>
  </si>
  <si>
    <t xml:space="preserve">ML</t>
  </si>
  <si>
    <t xml:space="preserve">MARCHAPIE DE MARMOL MACAEL DE 30CM DE ANCHURA Y 2CM DE ESPESOR</t>
  </si>
  <si>
    <t xml:space="preserve">Marchapie para remate de puerta de entrada o balconera de mármol Blanco Macael, en piezas de hasta 1.00m de longitud, de 30cm de anchura y 2 cm de espesor, empotrado en las jambas, cubriendo el escalón de acceso en la puerta de entrada o balcón de un edificio; recibido con mortero de cemento y rejuntado entre piezas y de las uniones con los muros con mortero de juntas.</t>
  </si>
  <si>
    <t xml:space="preserve">ma-mc-s/c-01</t>
  </si>
  <si>
    <t xml:space="preserve">Material</t>
  </si>
  <si>
    <t xml:space="preserve">m2</t>
  </si>
  <si>
    <t xml:space="preserve">Losa de mármol pulido crema marfil 60x40x2 cm.   Ref. ma-mc-s/c-01</t>
  </si>
  <si>
    <t xml:space="preserve">march1</t>
  </si>
  <si>
    <t xml:space="preserve">Material</t>
  </si>
  <si>
    <t xml:space="preserve">m</t>
  </si>
  <si>
    <t xml:space="preserve">Marcapie de marmol Macael de 30cm de espesor y 2cm de ancho</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</si>
  <si>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</si>
  <si>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</si>
  <si>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</si>
  <si>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</si>
  <si>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</si>
  <si>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</si>
  <si>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</si>
  <si>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</si>
  <si>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</si>
  <si>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</si>
  <si>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</si>
  <si>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</si>
  <si>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</si>
  <si>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</si>
  <si>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</si>
  <si>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</si>
  <si>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</si>
  <si>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</si>
  <si>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</si>
  <si>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</si>
  <si>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</si>
  <si>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</si>
  <si>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</si>
  <si>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</si>
  <si>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</si>
  <si>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REM090</t>
  </si>
  <si>
    <t xml:space="preserve">REM10-OK</t>
  </si>
  <si>
    <t xml:space="preserve">Partida</t>
  </si>
  <si>
    <t xml:space="preserve">m</t>
  </si>
  <si>
    <t xml:space="preserve">VIERTEAGUAS CERÁMICO ESMALTADO ROJO CON GOTERÓN CARA CORTA (ANCHO 28 cm) MEDIANTE EL USO DE ANDAMIO TUBULAR</t>
  </si>
  <si>
    <t xml:space="preserve">Vierteaguas de rasilla en piezas de 14x28 cm con goterón en cara corta; recibido con mortero de cemento industrial con aditivo; y rejuntado entre piezas y de las uniones con los muros con mortero de juntas cementoso con absorción de agua reducida (para juntas entre 3 y 15 mm); mediante el uso de andammio tubular</t>
  </si>
  <si>
    <t xml:space="preserve">ma-lp-00008179</t>
  </si>
  <si>
    <t xml:space="preserve">Material</t>
  </si>
  <si>
    <t xml:space="preserve">pza</t>
  </si>
  <si>
    <t xml:space="preserve">Vierteaguas rojo esmaltado (medidas/pieza: 14x28 cm con un espesor de 12 mm)   Ref. lp-00008179</t>
  </si>
  <si>
    <t xml:space="preserve">ma-lp-00540849</t>
  </si>
  <si>
    <t xml:space="preserve">Material</t>
  </si>
  <si>
    <t xml:space="preserve">saco</t>
  </si>
  <si>
    <t xml:space="preserve">Mortero cola GEL PLUS S1 BIGMAT; color gris (25 kg/saco)   Ref. lp-00540849</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</si>
  <si>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</si>
  <si>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</si>
  <si>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</si>
  <si>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</si>
  <si>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</si>
  <si>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</si>
  <si>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</si>
  <si>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</si>
  <si>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</si>
  <si>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</si>
  <si>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</si>
  <si>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</si>
  <si>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</si>
  <si>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</si>
  <si>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</si>
  <si>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</si>
  <si>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</si>
  <si>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</si>
  <si>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</si>
  <si>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</si>
  <si>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</si>
  <si>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</si>
  <si>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</si>
  <si>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</si>
  <si>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REM10-OK</t>
  </si>
  <si>
    <t xml:space="preserve">REM10-OK-REPETIDO.REM14</t>
  </si>
  <si>
    <t xml:space="preserve">Partida</t>
  </si>
  <si>
    <t xml:space="preserve">ML</t>
  </si>
  <si>
    <t xml:space="preserve">VIERTEAGUAS GRES CERAMICO DE 14X28</t>
  </si>
  <si>
    <t xml:space="preserve">VIERTEAGUAS GRES CERAMICO DE 14X28</t>
  </si>
  <si>
    <t xml:space="preserve">ma-lp-00415856</t>
  </si>
  <si>
    <t xml:space="preserve">Material</t>
  </si>
  <si>
    <t xml:space="preserve">pza</t>
  </si>
  <si>
    <t xml:space="preserve">Vierteaguas serie OCRE MARIOLA de AZULIBER (15x33,3x4 cm/pza).   Ref. lp-00415856</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</si>
  <si>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</si>
  <si>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</si>
  <si>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</si>
  <si>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</si>
  <si>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</si>
  <si>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</si>
  <si>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</si>
  <si>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</si>
  <si>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</si>
  <si>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</si>
  <si>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</si>
  <si>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</si>
  <si>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</si>
  <si>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</si>
  <si>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</si>
  <si>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</si>
  <si>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</si>
  <si>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</si>
  <si>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</si>
  <si>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</si>
  <si>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</si>
  <si>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</si>
  <si>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</si>
  <si>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</si>
  <si>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</si>
  <si>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</si>
  <si>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</si>
  <si>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</si>
  <si>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REM10-OK-REPETIDO.REM14</t>
  </si>
  <si>
    <t xml:space="preserve">REM11-OK</t>
  </si>
  <si>
    <t xml:space="preserve">Partida</t>
  </si>
  <si>
    <t xml:space="preserve">ML</t>
  </si>
  <si>
    <t xml:space="preserve">FORRADO DE BAJANTE CON PLADUR</t>
  </si>
  <si>
    <t xml:space="preserve">Forrado de conductos, en un rincón de la tabiquería, de 50 cm de anchura, realizado con placas de yeso laminado dispuestas en una cara y estructura simple autoportante, compuesto entramado autoportante de perfiles de chapa de acero galvanizado, constituido por canales, y montantes; una placas tipo normal en la cara exterior. Incluso banda acústica de dilatación autoadhesiva; tornillería para la fijación de las placas y pasta y cinta para el tratamiento de juntas.</t>
  </si>
  <si>
    <t xml:space="preserve">ma-lp-00539624</t>
  </si>
  <si>
    <t xml:space="preserve">Material</t>
  </si>
  <si>
    <t xml:space="preserve">perfil</t>
  </si>
  <si>
    <t xml:space="preserve">Perfil canal PLADUR C 70-30 galvanizado Z140 (70x30x3000 mm/perfil).   Ref. lp-00539624</t>
  </si>
  <si>
    <t xml:space="preserve">ma-lp-00539636</t>
  </si>
  <si>
    <t xml:space="preserve">Material</t>
  </si>
  <si>
    <t xml:space="preserve">perfil</t>
  </si>
  <si>
    <t xml:space="preserve">Perfil PLADUR en C galvanizado Z140 (45x18,3x3000 mm/perfil).   Ref. lp-00539636</t>
  </si>
  <si>
    <t xml:space="preserve">ma-lp-00539301</t>
  </si>
  <si>
    <t xml:space="preserve">Material</t>
  </si>
  <si>
    <t xml:space="preserve">placa</t>
  </si>
  <si>
    <t xml:space="preserve">Placa PLADUR N BA aplicaciones estándar (13x1200x2600 mm/placa).   Ref. lp-00539301</t>
  </si>
  <si>
    <t xml:space="preserve">ma-lp-00002028</t>
  </si>
  <si>
    <t xml:space="preserve">Material</t>
  </si>
  <si>
    <t xml:space="preserve">caja</t>
  </si>
  <si>
    <t xml:space="preserve">Tornillo PLADUR PM 3,5x45 mm (500 pzas/caja).   Ref. lp-00002028</t>
  </si>
  <si>
    <t xml:space="preserve">ma-lp-00215083</t>
  </si>
  <si>
    <t xml:space="preserve">Material</t>
  </si>
  <si>
    <t xml:space="preserve">caja</t>
  </si>
  <si>
    <t xml:space="preserve">Taco DUOPOWER de FISCHER (50 pzas/caja).   Ref. lp-00215083</t>
  </si>
  <si>
    <t xml:space="preserve">ma-lp-00539685</t>
  </si>
  <si>
    <t xml:space="preserve">Material</t>
  </si>
  <si>
    <t xml:space="preserve">rollo</t>
  </si>
  <si>
    <t xml:space="preserve">Cinta de papel KRAFT microperforado para juntas de placas PLADUR (150 m/rollo).   Ref. lp-00539685</t>
  </si>
  <si>
    <t xml:space="preserve">ma-lp-00262494</t>
  </si>
  <si>
    <t xml:space="preserve">Material</t>
  </si>
  <si>
    <t xml:space="preserve">bidón</t>
  </si>
  <si>
    <t xml:space="preserve">Pasta de rejuntado PLAKIST CE 78 PERFECT JOINT de SEMIN (25 kg/bidón).   Ref. lp-00262494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</si>
  <si>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</si>
  <si>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</si>
  <si>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</si>
  <si>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</si>
  <si>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</si>
  <si>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</si>
  <si>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</si>
  <si>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</si>
  <si>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</si>
  <si>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</si>
  <si>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</si>
  <si>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</si>
  <si>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</si>
  <si>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</si>
  <si>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</si>
  <si>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</si>
  <si>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</si>
  <si>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REM11-OK</t>
  </si>
  <si>
    <t xml:space="preserve">REM12-OK</t>
  </si>
  <si>
    <t xml:space="preserve">Partida</t>
  </si>
  <si>
    <t xml:space="preserve">M</t>
  </si>
  <si>
    <t xml:space="preserve">VIERTEAGUAS CERAMICO ESMALTADO DE 14X28</t>
  </si>
  <si>
    <t xml:space="preserve">VIERTEAGUAS CERAMICO ESMALTADO DE 14X28</t>
  </si>
  <si>
    <t xml:space="preserve">ma-lp-00008179</t>
  </si>
  <si>
    <t xml:space="preserve">Material</t>
  </si>
  <si>
    <t xml:space="preserve">pza</t>
  </si>
  <si>
    <t xml:space="preserve">Vierteaguas rojo esmaltado (medidas/pieza: 14x28 cm con un espesor de 12 mm)   Ref. lp-00008179</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</si>
  <si>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</si>
  <si>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</si>
  <si>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</si>
  <si>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</si>
  <si>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</si>
  <si>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</si>
  <si>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</si>
  <si>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</si>
  <si>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ma-lm-339080</t>
  </si>
  <si>
    <t xml:space="preserve">Material</t>
  </si>
  <si>
    <t xml:space="preserve">cartucho</t>
  </si>
  <si>
    <t xml:space="preserve">Masilla de poliuretano SIKAFLEX 11FC de SIKA; color marrón (300 cm3/cartucho).   Ref. lm-339080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</si>
  <si>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</si>
  <si>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</si>
  <si>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</si>
  <si>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</si>
  <si>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</si>
  <si>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</si>
  <si>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</si>
  <si>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</si>
  <si>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</si>
  <si>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</si>
  <si>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</si>
  <si>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</si>
  <si>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</si>
  <si>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</si>
  <si>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</si>
  <si>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</si>
  <si>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</si>
  <si>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REM12-OK</t>
  </si>
  <si>
    <t xml:space="preserve">REM13-OK</t>
  </si>
  <si>
    <t xml:space="preserve">Partida</t>
  </si>
  <si>
    <t xml:space="preserve">M</t>
  </si>
  <si>
    <t xml:space="preserve">VIERTEAGUAS CERAMICO DE 20X21,5</t>
  </si>
  <si>
    <t xml:space="preserve">Vierteaguas cerámico, color rojo, en piezas de 20x21,5cm, con goterón; recibido con mortero de cemento, industrial, con aditivo; y rejuntado entre piezas y de las uniones con los muros con mortero de juntas cementoso con absorción de agua reducida, para juntas entre 3 y 15 mm.</t>
  </si>
  <si>
    <t xml:space="preserve">ma-lp-00299057</t>
  </si>
  <si>
    <t xml:space="preserve">Material</t>
  </si>
  <si>
    <t xml:space="preserve">pza</t>
  </si>
  <si>
    <t xml:space="preserve">Vierteaguas de rasilla (medidas/pieza: 21,5x21 cm con un espesor de 12 mm)   Ref. lp-00299057</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</si>
  <si>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</si>
  <si>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</si>
  <si>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</si>
  <si>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</si>
  <si>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</si>
  <si>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</si>
  <si>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</si>
  <si>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</si>
  <si>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</si>
  <si>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</si>
  <si>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</si>
  <si>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</si>
  <si>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</si>
  <si>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</si>
  <si>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</si>
  <si>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</si>
  <si>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</si>
  <si>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</si>
  <si>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</si>
  <si>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</si>
  <si>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</si>
  <si>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</si>
  <si>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</si>
  <si>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</si>
  <si>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</si>
  <si>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REM13-OK</t>
  </si>
  <si>
    <t xml:space="preserve">REM14-OK-REPETIDO.REM10</t>
  </si>
  <si>
    <t xml:space="preserve">Partida</t>
  </si>
  <si>
    <t xml:space="preserve">M</t>
  </si>
  <si>
    <t xml:space="preserve">VIERTEAGUAS OCRE MARIOLA 15X33,3X4 CM Ref.: 00415856</t>
  </si>
  <si>
    <t xml:space="preserve">Vierteaguas cerámico, Ocre Mariola 15x33,3x4 cm Ref.: 00415856; recibido con mortero de cemento, industrial, con aditivo; y rejuntado entre piezas y de las uniones con los muros con mortero de juntas cementoso con absorción de agua reducida, para juntas entre 3 y 15 mm.</t>
  </si>
  <si>
    <t xml:space="preserve">ma-lp-00415856</t>
  </si>
  <si>
    <t xml:space="preserve">Material</t>
  </si>
  <si>
    <t xml:space="preserve">pza</t>
  </si>
  <si>
    <t xml:space="preserve">Vierteaguas serie OCRE MARIOLA de AZULIBER (15x33,3x4 cm/pza).   Ref. lp-00415856</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</si>
  <si>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</si>
  <si>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</si>
  <si>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</si>
  <si>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</si>
  <si>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</si>
  <si>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</si>
  <si>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</si>
  <si>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</si>
  <si>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</si>
  <si>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</si>
  <si>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</si>
  <si>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</si>
  <si>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</si>
  <si>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</si>
  <si>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</si>
  <si>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</si>
  <si>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</si>
  <si>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</si>
  <si>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</si>
  <si>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</si>
  <si>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</si>
  <si>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</si>
  <si>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</si>
  <si>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</si>
  <si>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</si>
  <si>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REM14-OK-REPETIDO.REM10</t>
  </si>
  <si>
    <t xml:space="preserve">REM150</t>
  </si>
  <si>
    <t xml:space="preserve">Partida</t>
  </si>
  <si>
    <t xml:space="preserve">M</t>
  </si>
  <si>
    <t xml:space="preserve">Perfil de aluminio Schuter BARA-RW</t>
  </si>
  <si>
    <t xml:space="preserve">GGGG</t>
  </si>
  <si>
    <t xml:space="preserve">prfbara-rw</t>
  </si>
  <si>
    <t xml:space="preserve">Partida</t>
  </si>
  <si>
    <t xml:space="preserve">U</t>
  </si>
  <si>
    <t xml:space="preserve">Perfil de aluminio Schuter BARA-RW</t>
  </si>
  <si>
    <t xml:space="preserve">ma-jp-bara-rw</t>
  </si>
  <si>
    <t xml:space="preserve">Material</t>
  </si>
  <si>
    <t xml:space="preserve">u</t>
  </si>
  <si>
    <t xml:space="preserve">BARA-RW - Perfil vierteaguas o goterón con forma de L</t>
  </si>
  <si>
    <t xml:space="preserve">ma-jp-bara-rw-ang</t>
  </si>
  <si>
    <t xml:space="preserve">Material</t>
  </si>
  <si>
    <t xml:space="preserve">u</t>
  </si>
  <si>
    <t xml:space="preserve">BARA-RW - Ángulo externo de 90°</t>
  </si>
  <si>
    <t xml:space="preserve">ma-jp-bara-rw-empal</t>
  </si>
  <si>
    <t xml:space="preserve">Material</t>
  </si>
  <si>
    <t xml:space="preserve">u</t>
  </si>
  <si>
    <t xml:space="preserve">BARA-RW - Pieza de empalme</t>
  </si>
  <si>
    <t xml:space="preserve">ma-jp-ditra25</t>
  </si>
  <si>
    <t xml:space="preserve">Material</t>
  </si>
  <si>
    <t xml:space="preserve">u</t>
  </si>
  <si>
    <t xml:space="preserve">DITRA-25 - Lámina de desolidarización o desacoplante</t>
  </si>
  <si>
    <t xml:space="preserve">ma-lp-00540875</t>
  </si>
  <si>
    <t xml:space="preserve">Material</t>
  </si>
  <si>
    <t xml:space="preserve">saco</t>
  </si>
  <si>
    <t xml:space="preserve">Mortero cola PEGOLAND GEL PORCELÁNICO C2TE para colocar cerámica (interior y exterior); color blanco (25 kg/saco).   Ref. lp-00540875</t>
  </si>
  <si>
    <t xml:space="preserve">m.o.1</t>
  </si>
  <si>
    <t xml:space="preserve">Mano de obra</t>
  </si>
  <si>
    <t xml:space="preserve">h</t>
  </si>
  <si>
    <t xml:space="preserve">Mano de Obra: 1 Oficial de 1ª, 1 Ayudante y 1/2 Ayudante</t>
  </si>
  <si>
    <t xml:space="preserve">prfbara-rw</t>
  </si>
  <si>
    <t xml:space="preserve">REM150</t>
  </si>
  <si>
    <t xml:space="preserve">REM-REGATAS-MAN-MM-10</t>
  </si>
  <si>
    <t xml:space="preserve">Partida</t>
  </si>
  <si>
    <t xml:space="preserve">m</t>
  </si>
  <si>
    <t xml:space="preserve">CONFECCIÓN A MANO DE REGATA EN PARAMENTO DE MAMPOSTERÍA CON MIEMBROS MACIZOS (ancho &lt;= 5 cm) A UNA ALTURA DE 20 cm SOBRE COTA DE PAVIMENTO; NO INCLUYE RELLENO CON MORTERO</t>
  </si>
  <si>
    <t xml:space="preserve">Confección a mano de regata en paramento de mampostería con miembros macizos (ancho &lt;= 5 cm) a una altura de 20 cm sobre cota de pavimento; no incluye relleno con mortero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</si>
  <si>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</si>
  <si>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</si>
  <si>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</si>
  <si>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</si>
  <si>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</si>
  <si>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</si>
  <si>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</si>
  <si>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</si>
  <si>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</si>
  <si>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</si>
  <si>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</si>
  <si>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</si>
  <si>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</si>
  <si>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</si>
  <si>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</si>
  <si>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</si>
  <si>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</si>
  <si>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</si>
  <si>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</si>
  <si>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</si>
  <si>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REM-REGATAS-MAN-MM-10</t>
  </si>
  <si>
    <t xml:space="preserve">REM-REGATAS-MAN-MH-10</t>
  </si>
  <si>
    <t xml:space="preserve">Partida</t>
  </si>
  <si>
    <t xml:space="preserve">m</t>
  </si>
  <si>
    <t xml:space="preserve">CONFECCIÓN A MANO DE REGATA EN PARAMENTO DE MAMPOSTERÍA CON MIEMBROS HUECOS (ancho &lt;= 5 cm) A UNA ALTURA DE 20 cm SOBRE COTA DE PAVIMENTO; NO INCLUYE RELLENO CON MORTERO</t>
  </si>
  <si>
    <t xml:space="preserve">CONFECCIÓN A MANO DE REGATA EN PARAMENTO DE MAMPOSTERÍA CON MIEMBROS HUECOS (ancho &lt;= 5 cm) A UNA ALTURA DE 20 cm SOBRE COTA DE PAVIMENTO; NO INCLUYE RELLENO CON MORTERO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</si>
  <si>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</si>
  <si>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</si>
  <si>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</si>
  <si>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</si>
  <si>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</si>
  <si>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</si>
  <si>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</si>
  <si>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</si>
  <si>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</si>
  <si>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</si>
  <si>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</si>
  <si>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</si>
  <si>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</si>
  <si>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</si>
  <si>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</si>
  <si>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</si>
  <si>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</si>
  <si>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</si>
  <si>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</si>
  <si>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</si>
  <si>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REM-REGATAS-MAN-MH-10</t>
  </si>
  <si>
    <t xml:space="preserve">REM-REGATAS-MAQ-MH-10</t>
  </si>
  <si>
    <t xml:space="preserve">Partida</t>
  </si>
  <si>
    <t xml:space="preserve">m</t>
  </si>
  <si>
    <t xml:space="preserve">CONFECCIÓN A MÁQUINA DE REGATA EN PARAMENTO DE MAMPOSTERÍA CON MIEMBROS HUECOS (ancho &lt;= 5 cm) A UNA ALTURA DE 20 cm SOBRE COTA DE PAVIMENTO; NO INCLUYE RELLENO CON MORTERO</t>
  </si>
  <si>
    <t xml:space="preserve">Confección a máquina de regata en paramento de mampostería con miembros huecos (ancho &lt;= 5 cm) a una altura de 20 cm sobre cota de pavimento; no incluye relleno con mortero</t>
  </si>
  <si>
    <t xml:space="preserve">ma-lp-00539160</t>
  </si>
  <si>
    <t xml:space="preserve">Material</t>
  </si>
  <si>
    <t xml:space="preserve">disco</t>
  </si>
  <si>
    <t xml:space="preserve">Disco diamante contínuo DHTI de MILWAUKEE 115 mm.   Ref. lp-00539160</t>
  </si>
  <si>
    <t xml:space="preserve">alq-rozadora-tq-01</t>
  </si>
  <si>
    <t xml:space="preserve">Maquinaria</t>
  </si>
  <si>
    <t xml:space="preserve">h</t>
  </si>
  <si>
    <t xml:space="preserve">Alquiler de Rozadora de Disco 150 mm.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</si>
  <si>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</si>
  <si>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</si>
  <si>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</si>
  <si>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</si>
  <si>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</si>
  <si>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</si>
  <si>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</si>
  <si>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</si>
  <si>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</si>
  <si>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</si>
  <si>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</si>
  <si>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</si>
  <si>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</si>
  <si>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</si>
  <si>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</si>
  <si>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</si>
  <si>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</si>
  <si>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</si>
  <si>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</si>
  <si>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</si>
  <si>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REM-REGATAS-MAQ-MH-10</t>
  </si>
  <si>
    <t xml:space="preserve">REM-REGATAS-MAQ-MM-10</t>
  </si>
  <si>
    <t xml:space="preserve">Partida</t>
  </si>
  <si>
    <t xml:space="preserve">m</t>
  </si>
  <si>
    <t xml:space="preserve">CONFECCIÓN A MÁQUINA DE REGATA EN PARAMENTO DE MAMPOSTERÍA CON MIEMBROS MACIZOS (ancho &lt;= 5 cm) A UNA ALTURA DE 20 cm SOBRE COTA DE PAVIMENTO; NO INCLUYE RELLENO CON MORTERO</t>
  </si>
  <si>
    <t xml:space="preserve">CONFECCIÓN A MÁQUINA DE REGATA EN PARAMENTO DE MAMPOSTERÍA CON MIEMBROS MACIZOS (ancho &lt;= 10 cm); NO INCLUYE RELLENO CON MORTERO</t>
  </si>
  <si>
    <t xml:space="preserve">ma-lp-00539160</t>
  </si>
  <si>
    <t xml:space="preserve">Material</t>
  </si>
  <si>
    <t xml:space="preserve">disco</t>
  </si>
  <si>
    <t xml:space="preserve">Disco diamante contínuo DHTI de MILWAUKEE 115 mm.   Ref. lp-00539160</t>
  </si>
  <si>
    <t xml:space="preserve">alq-rozadora-tq-01</t>
  </si>
  <si>
    <t xml:space="preserve">Maquinaria</t>
  </si>
  <si>
    <t xml:space="preserve">h</t>
  </si>
  <si>
    <t xml:space="preserve">Alquiler de Rozadora de Disco 150 mm.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</si>
  <si>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</si>
  <si>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</si>
  <si>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</si>
  <si>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</si>
  <si>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</si>
  <si>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</si>
  <si>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</si>
  <si>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</si>
  <si>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</si>
  <si>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</si>
  <si>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</si>
  <si>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</si>
  <si>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</si>
  <si>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</si>
  <si>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</si>
  <si>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</si>
  <si>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</si>
  <si>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</si>
  <si>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</si>
  <si>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</si>
  <si>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REM-REGATAS-MAQ-MM-10</t>
  </si>
  <si>
    <t xml:space="preserve">REM.Y.AYUDA-ALB-DIA-02</t>
  </si>
  <si>
    <t xml:space="preserve">Partida</t>
  </si>
  <si>
    <t xml:space="preserve">día</t>
  </si>
  <si>
    <t xml:space="preserve">REMATES Y AYUDAS DE ALBAÑILERÍA CON MATERIALES</t>
  </si>
  <si>
    <t xml:space="preserve">REMATES Y AYUDAS DE ALBAÑILERÍA CON MATERIALES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</si>
  <si>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</si>
  <si>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</si>
  <si>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</si>
  <si>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</si>
  <si>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</si>
  <si>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</si>
  <si>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</si>
  <si>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</si>
  <si>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</si>
  <si>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</si>
  <si>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</si>
  <si>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</si>
  <si>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</si>
  <si>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</si>
  <si>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</si>
  <si>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</si>
  <si>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</si>
  <si>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</si>
  <si>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</si>
  <si>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</si>
  <si>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REM.Y.AYUDA-ALB-DIA-02</t>
  </si>
  <si>
    <t xml:space="preserve">REM-PRUEBA-ESTANQUEIDAD-M2</t>
  </si>
  <si>
    <t xml:space="preserve">Partida</t>
  </si>
  <si>
    <t xml:space="preserve">m2</t>
  </si>
  <si>
    <t xml:space="preserve">PRUEBA DE ESTANQUEIDAD (TERRAZA &lt;=50 m2)</t>
  </si>
  <si>
    <t xml:space="preserve">PRUEBA DE ESTANQUEIDAD (TERRAZA &lt;=50 m2)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</si>
  <si>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</si>
  <si>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</si>
  <si>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</si>
  <si>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</si>
  <si>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</si>
  <si>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</si>
  <si>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</si>
  <si>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</si>
  <si>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</si>
  <si>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</si>
  <si>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</si>
  <si>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</si>
  <si>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</si>
  <si>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</si>
  <si>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</si>
  <si>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</si>
  <si>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</si>
  <si>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</si>
  <si>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</si>
  <si>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</si>
  <si>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REM-PRUEBA-ESTANQUEIDAD-M2</t>
  </si>
  <si>
    <t xml:space="preserve">REM-PRUEBA-ESTANQUEIDAD-PAR</t>
  </si>
  <si>
    <t xml:space="preserve">Partida</t>
  </si>
  <si>
    <t xml:space="preserve">par</t>
  </si>
  <si>
    <t xml:space="preserve">PRUEBA DE ESTANQUEIDAD</t>
  </si>
  <si>
    <t xml:space="preserve">PRUEBA DE ESTANQUEIDAD</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</si>
  <si>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</si>
  <si>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</si>
  <si>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</si>
  <si>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</si>
  <si>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</si>
  <si>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</si>
  <si>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</si>
  <si>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</si>
  <si>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</si>
  <si>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</si>
  <si>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</si>
  <si>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</si>
  <si>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</si>
  <si>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</si>
  <si>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</si>
  <si>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</si>
  <si>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</si>
  <si>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</si>
  <si>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</si>
  <si>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</si>
  <si>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REM-PRUEBA-ESTANQUEIDAD-PAR</t>
  </si>
  <si>
    <t xml:space="preserve">REM-BALAUSTRE.HORMIGON-01</t>
  </si>
  <si>
    <t xml:space="preserve">Partida</t>
  </si>
  <si>
    <t xml:space="preserve">pza</t>
  </si>
  <si>
    <t xml:space="preserve">BALAUSTRE TORNEADO DE HORMIGÓN PREFABRICADO GÉNOVA 80 de VERNIPRENS (12x12x75 cm/pza)</t>
  </si>
  <si>
    <t xml:space="preserve">BALAUSTRE TORNEADO DE HORMIGÓN PREFABRICADO GÉNOVA 80 de VERNIPRENS (12x12x75 cm/pza)</t>
  </si>
  <si>
    <t xml:space="preserve">ma-lm-14613921</t>
  </si>
  <si>
    <t xml:space="preserve">Material</t>
  </si>
  <si>
    <t xml:space="preserve">pza</t>
  </si>
  <si>
    <t xml:space="preserve">Balaustre torneado de hormigón prefabricado GÉNOVA 80 de VERNIPRENS (12x12x75 cm/pza).   Ref. lm-14613921</t>
  </si>
  <si>
    <t xml:space="preserve">ma-lp-00539164</t>
  </si>
  <si>
    <t xml:space="preserve">Material</t>
  </si>
  <si>
    <t xml:space="preserve">saco</t>
  </si>
  <si>
    <t xml:space="preserve">Mortero seco para aplicaciones en albañilería M-7,5 SAGRASEC; color blanco (25 kg/saco)   Ref. lp-00539164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</si>
  <si>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</si>
  <si>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</si>
  <si>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</si>
  <si>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</si>
  <si>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</si>
  <si>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</si>
  <si>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</si>
  <si>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</si>
  <si>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</si>
  <si>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</si>
  <si>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</si>
  <si>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</si>
  <si>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</si>
  <si>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</si>
  <si>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</si>
  <si>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</si>
  <si>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</si>
  <si>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</si>
  <si>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</si>
  <si>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</si>
  <si>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REM-BALAUSTRE.HORMIGON-01</t>
  </si>
  <si>
    <t xml:space="preserve">REM50-MNR-01-PU</t>
  </si>
  <si>
    <t xml:space="preserve">Partida</t>
  </si>
  <si>
    <t xml:space="preserve">m</t>
  </si>
  <si>
    <t xml:space="preserve">REMATE DE JUNTA DE CARPINTERÍAS Y CAJAS DE PERSIANA CON SELLADOR DE POLIURETANO</t>
  </si>
  <si>
    <t xml:space="preserve">Acabado manual de junta de carpinterías y cajas de persiana con sellador de poliuretano.</t>
  </si>
  <si>
    <t xml:space="preserve">ma-lp-00529764</t>
  </si>
  <si>
    <t xml:space="preserve">Material</t>
  </si>
  <si>
    <t xml:space="preserve">cartucho</t>
  </si>
  <si>
    <t xml:space="preserve">Sellador de poliuretano P795 SEAL’N’FLEX PREMIUM de BOSTIK; color marrón (290 ml/cartucho).   Ref. lp-00529764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</si>
  <si>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</si>
  <si>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</si>
  <si>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</si>
  <si>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</si>
  <si>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</si>
  <si>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</si>
  <si>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</si>
  <si>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</si>
  <si>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</si>
  <si>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</si>
  <si>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</si>
  <si>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</si>
  <si>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</si>
  <si>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</si>
  <si>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</si>
  <si>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</si>
  <si>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</si>
  <si>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</si>
  <si>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</si>
  <si>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</si>
  <si>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REM50-MNR-01-PU</t>
  </si>
  <si>
    <t xml:space="preserve">REM-FAB.OBRAVISTA-CRG-AC.CRRG-AT</t>
  </si>
  <si>
    <t xml:space="preserve">Partida</t>
  </si>
  <si>
    <t xml:space="preserve">m2</t>
  </si>
  <si>
    <t xml:space="preserve">RESTAURACIÓN DE PAÑOS DE LADRILLO CERÁMICO OBRA VISTA, INCLUYE REPARACIÓN DE GRIETAS Y/O FISURAS CON GRAPAS ACERO CORRUGADO Y ANCLAJE QUÍMICO; MEDIANTE EL USO DE ANDAMIO TUBULAR</t>
  </si>
  <si>
    <t xml:space="preserve">RESTAURACIÓN DE PAÑOS DE LADRILLO CERÁMICO OBRA VISTA, INCLUYE REPARACIÓN DE GRIETAS Y/O FISURAS CON GRAPAS ACERO CORRUGADO Y ANCLAJE QUÍMICO; MEDIANTE EL USO DE ANDAMIO TUBULAR</t>
  </si>
  <si>
    <t xml:space="preserve">ma-lp-00540433</t>
  </si>
  <si>
    <t xml:space="preserve">Material</t>
  </si>
  <si>
    <t xml:space="preserve">envase</t>
  </si>
  <si>
    <t xml:space="preserve">Resina texturada de BIGMAT como puente adherente sobre soportes faltos de absorción (5 kg/envase).   Ref. lp-00540433</t>
  </si>
  <si>
    <t xml:space="preserve">ma-lp-00001705</t>
  </si>
  <si>
    <t xml:space="preserve">Material</t>
  </si>
  <si>
    <t xml:space="preserve">rollo</t>
  </si>
  <si>
    <t xml:space="preserve">Malla de fibra de vidrio azul para refuerzo de morteros y revocos (rollo 50x1 m)   Ref. lp-00001705</t>
  </si>
  <si>
    <t xml:space="preserve">ma-lp-00001604</t>
  </si>
  <si>
    <t xml:space="preserve">Material</t>
  </si>
  <si>
    <t xml:space="preserve">saco</t>
  </si>
  <si>
    <t xml:space="preserve">Mortero seco M-5 de VALSEC; color gris (25 kg/saco).   Ref. lp-00001604</t>
  </si>
  <si>
    <t xml:space="preserve">ma-lp-00001568</t>
  </si>
  <si>
    <t xml:space="preserve">Material</t>
  </si>
  <si>
    <t xml:space="preserve">pza</t>
  </si>
  <si>
    <t xml:space="preserve">Ladrillo cerámico CARAVISTA NATURAL ROJO LISO de LA PALOMA CERÁMICAS (24x11x5 cm/pza).   Ref. lp-00001568</t>
  </si>
  <si>
    <t xml:space="preserve">STR.AC-FAB.GRAPAS-12mm</t>
  </si>
  <si>
    <t xml:space="preserve">Partida</t>
  </si>
  <si>
    <t xml:space="preserve">pza</t>
  </si>
  <si>
    <t xml:space="preserve">FABRICACIÓN DE GRAPAS DE ACERO CORRUGADO 12 mm PARA REPARAR GRIETAS EN FACHADAS (15x40x15 cm/pza)</t>
  </si>
  <si>
    <t xml:space="preserve">ma-lp-00001673</t>
  </si>
  <si>
    <t xml:space="preserve">Material</t>
  </si>
  <si>
    <t xml:space="preserve">pza</t>
  </si>
  <si>
    <t xml:space="preserve">Redondo acero corrugado diámetro 12 mm (3 m/pza).   Ref. lp-00001673</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</si>
  <si>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</si>
  <si>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</si>
  <si>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</si>
  <si>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</si>
  <si>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</si>
  <si>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</si>
  <si>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</si>
  <si>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</si>
  <si>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</si>
  <si>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</si>
  <si>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</si>
  <si>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STR.AC-FAB.GRAPAS-12mm</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</si>
  <si>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</si>
  <si>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</si>
  <si>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</si>
  <si>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</si>
  <si>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</si>
  <si>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</si>
  <si>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</si>
  <si>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</si>
  <si>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ma-lp-00540914</t>
  </si>
  <si>
    <t xml:space="preserve">Material</t>
  </si>
  <si>
    <t xml:space="preserve">saco</t>
  </si>
  <si>
    <t xml:space="preserve">Mortero de reparación y pasivante MAPEFER 1K (5 kg/saco)   Ref. lp-00540914</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</si>
  <si>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</si>
  <si>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</si>
  <si>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</si>
  <si>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</si>
  <si>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</si>
  <si>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</si>
  <si>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</si>
  <si>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</si>
  <si>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</si>
  <si>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</si>
  <si>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</si>
  <si>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</si>
  <si>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</si>
  <si>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</si>
  <si>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</si>
  <si>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</si>
  <si>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</si>
  <si>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</si>
  <si>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</si>
  <si>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</si>
  <si>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</si>
  <si>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</si>
  <si>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</si>
  <si>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</si>
  <si>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</si>
  <si>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</si>
  <si>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</si>
  <si>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</si>
  <si>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REM-FAB.OBRAVISTA-CRG-AC.CRRG-AT</t>
  </si>
  <si>
    <t xml:space="preserve">REM-FAB.OBRAVISTA-CRG-AC.CRRG-MS</t>
  </si>
  <si>
    <t xml:space="preserve">Partida</t>
  </si>
  <si>
    <t xml:space="preserve">m2</t>
  </si>
  <si>
    <t xml:space="preserve">RESTAURACIÓN DE PAÑOS DE LADRILLO CERÁMICO OBRA VISTA, INCLUYE REPARACIÓN DE GRIETAS Y/O FISURAS CON GRAPAS ACERO CORRUGADO Y ANCLAJE QUÍMICO; MEDIANTE EL USO DE MEDIO SUSPENDIDO/COLGADO</t>
  </si>
  <si>
    <t xml:space="preserve">RESTAURACIÓN DE PAÑOS DE LADRILLO CERÁMICO OBRA VISTA, INCLUYE REPARACIÓN DE GRIETAS Y/O FISURAS CON GRAPAS ACERO CORRUGADO Y ANCLAJE QUÍMICO; MEDIANTE EL USO DE MEDIO SUSPENDIDO/COLGADO</t>
  </si>
  <si>
    <t xml:space="preserve">ma-lp-00540433</t>
  </si>
  <si>
    <t xml:space="preserve">Material</t>
  </si>
  <si>
    <t xml:space="preserve">envase</t>
  </si>
  <si>
    <t xml:space="preserve">Resina texturada de BIGMAT como puente adherente sobre soportes faltos de absorción (5 kg/envase).   Ref. lp-00540433</t>
  </si>
  <si>
    <t xml:space="preserve">ma-lp-00001705</t>
  </si>
  <si>
    <t xml:space="preserve">Material</t>
  </si>
  <si>
    <t xml:space="preserve">rollo</t>
  </si>
  <si>
    <t xml:space="preserve">Malla de fibra de vidrio azul para refuerzo de morteros y revocos (rollo 50x1 m)   Ref. lp-00001705</t>
  </si>
  <si>
    <t xml:space="preserve">ma-lp-00001604</t>
  </si>
  <si>
    <t xml:space="preserve">Material</t>
  </si>
  <si>
    <t xml:space="preserve">saco</t>
  </si>
  <si>
    <t xml:space="preserve">Mortero seco M-5 de VALSEC; color gris (25 kg/saco).   Ref. lp-00001604</t>
  </si>
  <si>
    <t xml:space="preserve">ma-lp-00001568</t>
  </si>
  <si>
    <t xml:space="preserve">Material</t>
  </si>
  <si>
    <t xml:space="preserve">pza</t>
  </si>
  <si>
    <t xml:space="preserve">Ladrillo cerámico CARAVISTA NATURAL ROJO LISO de LA PALOMA CERÁMICAS (24x11x5 cm/pza).   Ref. lp-00001568</t>
  </si>
  <si>
    <t xml:space="preserve">STR.AC-FAB.GRAPAS-12mm</t>
  </si>
  <si>
    <t xml:space="preserve">Partida</t>
  </si>
  <si>
    <t xml:space="preserve">pza</t>
  </si>
  <si>
    <t xml:space="preserve">FABRICACIÓN DE GRAPAS DE ACERO CORRUGADO 12 mm PARA REPARAR GRIETAS EN FACHADAS (15x40x15 cm/pza)</t>
  </si>
  <si>
    <t xml:space="preserve">ma-lp-00001673</t>
  </si>
  <si>
    <t xml:space="preserve">Material</t>
  </si>
  <si>
    <t xml:space="preserve">pza</t>
  </si>
  <si>
    <t xml:space="preserve">Redondo acero corrugado diámetro 12 mm (3 m/pza).   Ref. lp-00001673</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</si>
  <si>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</si>
  <si>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</si>
  <si>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</si>
  <si>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</si>
  <si>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</si>
  <si>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</si>
  <si>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</si>
  <si>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</si>
  <si>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</si>
  <si>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</si>
  <si>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</si>
  <si>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STR.AC-FAB.GRAPAS-12mm</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</si>
  <si>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</si>
  <si>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</si>
  <si>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</si>
  <si>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</si>
  <si>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</si>
  <si>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</si>
  <si>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</si>
  <si>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</si>
  <si>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ma-lp-00540914</t>
  </si>
  <si>
    <t xml:space="preserve">Material</t>
  </si>
  <si>
    <t xml:space="preserve">saco</t>
  </si>
  <si>
    <t xml:space="preserve">Mortero de reparación y pasivante MAPEFER 1K (5 kg/saco)   Ref. lp-00540914</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</si>
  <si>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</si>
  <si>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</si>
  <si>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</si>
  <si>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</si>
  <si>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</si>
  <si>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</si>
  <si>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</si>
  <si>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</si>
  <si>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</si>
  <si>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</si>
  <si>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</si>
  <si>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</si>
  <si>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</si>
  <si>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</si>
  <si>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</si>
  <si>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</si>
  <si>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</si>
  <si>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</si>
  <si>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</si>
  <si>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</si>
  <si>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</si>
  <si>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</si>
  <si>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</si>
  <si>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</si>
  <si>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</si>
  <si>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</si>
  <si>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</si>
  <si>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</si>
  <si>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REM-FAB.OBRAVISTA-CRG-AC.CRRG-MS</t>
  </si>
  <si>
    <t xml:space="preserve">REM-FAB.OBRAVISTA-CRG-AC.INOX-AT</t>
  </si>
  <si>
    <t xml:space="preserve">Partida</t>
  </si>
  <si>
    <t xml:space="preserve">m2</t>
  </si>
  <si>
    <t xml:space="preserve">RESTAURACIÓN DE PAÑOS DE LADRILLO CERÁMICO OBRA VISTA, INCLUYE REPARACIÓN DE GRIETAS Y/O FISURAS CON GRAPAS A.I. Y ANCLAJE QUÍMICO; MEDIANTE EL USO DE ANDAMIO TUBULAR</t>
  </si>
  <si>
    <t xml:space="preserve">Restauración de paños de ladrillo cerámico obra vista, previo repicado y saneamiento de elementos sueltos o en mal estado; incluye la reparación de grietas y/o fisuras con grapas acero inoxidable y anclaje químico; mediante el uso de andamio tubular</t>
  </si>
  <si>
    <t xml:space="preserve">ma-lp-00540433</t>
  </si>
  <si>
    <t xml:space="preserve">Material</t>
  </si>
  <si>
    <t xml:space="preserve">envase</t>
  </si>
  <si>
    <t xml:space="preserve">Resina texturada de BIGMAT como puente adherente sobre soportes faltos de absorción (5 kg/envase).   Ref. lp-00540433</t>
  </si>
  <si>
    <t xml:space="preserve">ma-lp-00001705</t>
  </si>
  <si>
    <t xml:space="preserve">Material</t>
  </si>
  <si>
    <t xml:space="preserve">rollo</t>
  </si>
  <si>
    <t xml:space="preserve">Malla de fibra de vidrio azul para refuerzo de morteros y revocos (rollo 50x1 m)   Ref. lp-00001705</t>
  </si>
  <si>
    <t xml:space="preserve">ma-lp-00001604</t>
  </si>
  <si>
    <t xml:space="preserve">Material</t>
  </si>
  <si>
    <t xml:space="preserve">saco</t>
  </si>
  <si>
    <t xml:space="preserve">Mortero seco M-5 de VALSEC; color gris (25 kg/saco).   Ref. lp-00001604</t>
  </si>
  <si>
    <t xml:space="preserve">ma-lp-00001568</t>
  </si>
  <si>
    <t xml:space="preserve">Material</t>
  </si>
  <si>
    <t xml:space="preserve">pza</t>
  </si>
  <si>
    <t xml:space="preserve">Ladrillo cerámico CARAVISTA NATURAL ROJO LISO de LA PALOMA CERÁMICAS (24x11x5 cm/pza).   Ref. lp-00001568</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</si>
  <si>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</si>
  <si>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</si>
  <si>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</si>
  <si>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</si>
  <si>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</si>
  <si>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</si>
  <si>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</si>
  <si>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</si>
  <si>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ma-lp-00278894</t>
  </si>
  <si>
    <t xml:space="preserve">Material</t>
  </si>
  <si>
    <t xml:space="preserve">pza</t>
  </si>
  <si>
    <t xml:space="preserve">Grapa de acero inoxidable para reparar grietas en fachadas (200x95x10 mm).   Ref. lp-00278894</t>
  </si>
  <si>
    <t xml:space="preserve">ma-lp-00540914</t>
  </si>
  <si>
    <t xml:space="preserve">Material</t>
  </si>
  <si>
    <t xml:space="preserve">saco</t>
  </si>
  <si>
    <t xml:space="preserve">Mortero de reparación y pasivante MAPEFER 1K (5 kg/saco)   Ref. lp-00540914</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</si>
  <si>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</si>
  <si>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</si>
  <si>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</si>
  <si>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</si>
  <si>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</si>
  <si>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</si>
  <si>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</si>
  <si>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</si>
  <si>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</si>
  <si>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</si>
  <si>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</si>
  <si>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</si>
  <si>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</si>
  <si>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</si>
  <si>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</si>
  <si>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</si>
  <si>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</si>
  <si>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</si>
  <si>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</si>
  <si>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</si>
  <si>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</si>
  <si>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</si>
  <si>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</si>
  <si>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</si>
  <si>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</si>
  <si>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</si>
  <si>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</si>
  <si>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</si>
  <si>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REM-FAB.OBRAVISTA-CRG-AC.INOX-AT</t>
  </si>
  <si>
    <t xml:space="preserve">REM-FAB.OBRAVISTA-CRG-AC.INOX-MS</t>
  </si>
  <si>
    <t xml:space="preserve">Partida</t>
  </si>
  <si>
    <t xml:space="preserve">m2</t>
  </si>
  <si>
    <t xml:space="preserve">RESTAURACIÓN DE PAÑOS DE LADRILLO CERÁMICO OBRA VISTA, INCLUYE REPARACIÓN DE GRIETAS Y/O FISURAS CON GRAPAS A.I. Y ANCLAJE QUÍMICO; MEDIANTE EL USO DE MEDIO SUSPENDIDO/COLGADO</t>
  </si>
  <si>
    <t xml:space="preserve">RESTAURACIÓN DE PAÑOS DE LADRILLO CERÁMICO OBRA VISTA, INCLUYE REPARACIÓN DE GRIETAS Y/O FISURAS CON GRAPAS A.I. Y ANCLAJE QUÍMICO; MEDIANTE EL USO DE MEDIO SUSPENDIDO/COLGADO</t>
  </si>
  <si>
    <t xml:space="preserve">ma-lp-00540433</t>
  </si>
  <si>
    <t xml:space="preserve">Material</t>
  </si>
  <si>
    <t xml:space="preserve">envase</t>
  </si>
  <si>
    <t xml:space="preserve">Resina texturada de BIGMAT como puente adherente sobre soportes faltos de absorción (5 kg/envase).   Ref. lp-00540433</t>
  </si>
  <si>
    <t xml:space="preserve">ma-lp-00001705</t>
  </si>
  <si>
    <t xml:space="preserve">Material</t>
  </si>
  <si>
    <t xml:space="preserve">rollo</t>
  </si>
  <si>
    <t xml:space="preserve">Malla de fibra de vidrio azul para refuerzo de morteros y revocos (rollo 50x1 m)   Ref. lp-00001705</t>
  </si>
  <si>
    <t xml:space="preserve">ma-lp-00001604</t>
  </si>
  <si>
    <t xml:space="preserve">Material</t>
  </si>
  <si>
    <t xml:space="preserve">saco</t>
  </si>
  <si>
    <t xml:space="preserve">Mortero seco M-5 de VALSEC; color gris (25 kg/saco).   Ref. lp-00001604</t>
  </si>
  <si>
    <t xml:space="preserve">ma-lp-00001568</t>
  </si>
  <si>
    <t xml:space="preserve">Material</t>
  </si>
  <si>
    <t xml:space="preserve">pza</t>
  </si>
  <si>
    <t xml:space="preserve">Ladrillo cerámico CARAVISTA NATURAL ROJO LISO de LA PALOMA CERÁMICAS (24x11x5 cm/pza).   Ref. lp-00001568</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</si>
  <si>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</si>
  <si>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</si>
  <si>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</si>
  <si>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</si>
  <si>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</si>
  <si>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</si>
  <si>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</si>
  <si>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</si>
  <si>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ma-lp-00278894</t>
  </si>
  <si>
    <t xml:space="preserve">Material</t>
  </si>
  <si>
    <t xml:space="preserve">pza</t>
  </si>
  <si>
    <t xml:space="preserve">Grapa de acero inoxidable para reparar grietas en fachadas (200x95x10 mm).   Ref. lp-00278894</t>
  </si>
  <si>
    <t xml:space="preserve">ma-lp-00540914</t>
  </si>
  <si>
    <t xml:space="preserve">Material</t>
  </si>
  <si>
    <t xml:space="preserve">saco</t>
  </si>
  <si>
    <t xml:space="preserve">Mortero de reparación y pasivante MAPEFER 1K (5 kg/saco)   Ref. lp-00540914</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</si>
  <si>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</si>
  <si>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</si>
  <si>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</si>
  <si>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</si>
  <si>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</si>
  <si>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</si>
  <si>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</si>
  <si>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</si>
  <si>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</si>
  <si>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</si>
  <si>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</si>
  <si>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</si>
  <si>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</si>
  <si>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</si>
  <si>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</si>
  <si>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</si>
  <si>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</si>
  <si>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</si>
  <si>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</si>
  <si>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</si>
  <si>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</si>
  <si>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</si>
  <si>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</si>
  <si>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</si>
  <si>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</si>
  <si>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</si>
  <si>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</si>
  <si>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</si>
  <si>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REM-FAB.OBRAVISTA-CRG-AC.INOX-MS</t>
  </si>
  <si>
    <t xml:space="preserve">REM-FAB.OBRAVISTA-SRG-AT</t>
  </si>
  <si>
    <t xml:space="preserve">Partida</t>
  </si>
  <si>
    <t xml:space="preserve">m2</t>
  </si>
  <si>
    <t xml:space="preserve">RESTAURACIÓN DE PAÑOS DE LADRILLO CERÁMICO OBRA VISTA, NO INCLUYE REPARACIÓN DE GRIETAS Y/O FISURAS; MEDIANTE EL USO DE ANDAMIO TUBULAR</t>
  </si>
  <si>
    <t xml:space="preserve">Restauración de paños de ladrillo cerámico obra vista, previo repicado y saneamiento de elementos sueltos o en mal estado; no incluye la reparación de grietas y/o fisuras; mediante el uso de andamio tubular</t>
  </si>
  <si>
    <t xml:space="preserve">ma-lp-00540433</t>
  </si>
  <si>
    <t xml:space="preserve">Material</t>
  </si>
  <si>
    <t xml:space="preserve">envase</t>
  </si>
  <si>
    <t xml:space="preserve">Resina texturada de BIGMAT como puente adherente sobre soportes faltos de absorción (5 kg/envase).   Ref. lp-00540433</t>
  </si>
  <si>
    <t xml:space="preserve">ma-lp-00001705</t>
  </si>
  <si>
    <t xml:space="preserve">Material</t>
  </si>
  <si>
    <t xml:space="preserve">rollo</t>
  </si>
  <si>
    <t xml:space="preserve">Malla de fibra de vidrio azul para refuerzo de morteros y revocos (rollo 50x1 m)   Ref. lp-00001705</t>
  </si>
  <si>
    <t xml:space="preserve">ma-lp-00001604</t>
  </si>
  <si>
    <t xml:space="preserve">Material</t>
  </si>
  <si>
    <t xml:space="preserve">saco</t>
  </si>
  <si>
    <t xml:space="preserve">Mortero seco M-5 de VALSEC; color gris (25 kg/saco).   Ref. lp-00001604</t>
  </si>
  <si>
    <t xml:space="preserve">ma-lp-00001568</t>
  </si>
  <si>
    <t xml:space="preserve">Material</t>
  </si>
  <si>
    <t xml:space="preserve">pza</t>
  </si>
  <si>
    <t xml:space="preserve">Ladrillo cerámico CARAVISTA NATURAL ROJO LISO de LA PALOMA CERÁMICAS (24x11x5 cm/pza).   Ref. lp-00001568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</si>
  <si>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</si>
  <si>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</si>
  <si>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</si>
  <si>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</si>
  <si>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</si>
  <si>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</si>
  <si>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</si>
  <si>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</si>
  <si>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</si>
  <si>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</si>
  <si>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</si>
  <si>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</si>
  <si>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</si>
  <si>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</si>
  <si>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</si>
  <si>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</si>
  <si>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</si>
  <si>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</si>
  <si>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</si>
  <si>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</si>
  <si>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REM-FAB.OBRAVISTA-SRG-AT</t>
  </si>
  <si>
    <t xml:space="preserve">REM-FAB.OBRAVISTA-SRG-MS</t>
  </si>
  <si>
    <t xml:space="preserve">Partida</t>
  </si>
  <si>
    <t xml:space="preserve">m2</t>
  </si>
  <si>
    <t xml:space="preserve">RESTAURACIÓN DE PAÑOS DE LADRILLO CERÁMICO OBRA VISTA, NO INCLUYE REPARACIÓN DE GRIETAS Y/O FISURAS; MEDIANTE EL USO DE MEDIO SUSPENDIDO/COLGADO</t>
  </si>
  <si>
    <t xml:space="preserve">RESTAURACIÓN DE PAÑOS DE LADRILLO CERÁMICO OBRA VISTA, NO INCLUYE REPARACIÓN DE GRIETAS Y/O FISURAS; MEDIANTE EL USO DE MEDIO SUSPENDIDO/COLGADO</t>
  </si>
  <si>
    <t xml:space="preserve">ma-lp-00540433</t>
  </si>
  <si>
    <t xml:space="preserve">Material</t>
  </si>
  <si>
    <t xml:space="preserve">envase</t>
  </si>
  <si>
    <t xml:space="preserve">Resina texturada de BIGMAT como puente adherente sobre soportes faltos de absorción (5 kg/envase).   Ref. lp-00540433</t>
  </si>
  <si>
    <t xml:space="preserve">ma-lp-00001705</t>
  </si>
  <si>
    <t xml:space="preserve">Material</t>
  </si>
  <si>
    <t xml:space="preserve">rollo</t>
  </si>
  <si>
    <t xml:space="preserve">Malla de fibra de vidrio azul para refuerzo de morteros y revocos (rollo 50x1 m)   Ref. lp-00001705</t>
  </si>
  <si>
    <t xml:space="preserve">ma-lp-00001604</t>
  </si>
  <si>
    <t xml:space="preserve">Material</t>
  </si>
  <si>
    <t xml:space="preserve">saco</t>
  </si>
  <si>
    <t xml:space="preserve">Mortero seco M-5 de VALSEC; color gris (25 kg/saco).   Ref. lp-00001604</t>
  </si>
  <si>
    <t xml:space="preserve">ma-lp-00001568</t>
  </si>
  <si>
    <t xml:space="preserve">Material</t>
  </si>
  <si>
    <t xml:space="preserve">pza</t>
  </si>
  <si>
    <t xml:space="preserve">Ladrillo cerámico CARAVISTA NATURAL ROJO LISO de LA PALOMA CERÁMICAS (24x11x5 cm/pza).   Ref. lp-00001568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</si>
  <si>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</si>
  <si>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</si>
  <si>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</si>
  <si>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</si>
  <si>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</si>
  <si>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</si>
  <si>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</si>
  <si>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</si>
  <si>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</si>
  <si>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</si>
  <si>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</si>
  <si>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</si>
  <si>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</si>
  <si>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</si>
  <si>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</si>
  <si>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</si>
  <si>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</si>
  <si>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</si>
  <si>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</si>
  <si>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</si>
  <si>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REM-FAB.OBRAVISTA-SRG-MS</t>
  </si>
  <si>
    <t xml:space="preserve">REM-REMATE-VANO-15cm</t>
  </si>
  <si>
    <t xml:space="preserve">Partida</t>
  </si>
  <si>
    <t xml:space="preserve">m</t>
  </si>
  <si>
    <t xml:space="preserve">REMATE DE VANO/CONTORNO DE MAMPOSTERÍA PARA RECIBIR VENTANAS Y/O PUERTAS</t>
  </si>
  <si>
    <t xml:space="preserve">Preparación de vano receptor de ventana/balconera mediante el remate en mampostería del respectivo contorno; incluye el previo repicado del revestimiento existente.</t>
  </si>
  <si>
    <t xml:space="preserve">REPICADOS-PARED-01</t>
  </si>
  <si>
    <t xml:space="preserve">Partida</t>
  </si>
  <si>
    <t xml:space="preserve">m2</t>
  </si>
  <si>
    <t xml:space="preserve">XXXX REPICADO A MANO DE REVOCO EN PARED</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</si>
  <si>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</si>
  <si>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</si>
  <si>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</si>
  <si>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</si>
  <si>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</si>
  <si>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</si>
  <si>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</si>
  <si>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REPICADOS-PARED-01</t>
  </si>
  <si>
    <t xml:space="preserve">ma-lp-00001604</t>
  </si>
  <si>
    <t xml:space="preserve">Material</t>
  </si>
  <si>
    <t xml:space="preserve">saco</t>
  </si>
  <si>
    <t xml:space="preserve">Mortero seco M-5 de VALSEC; color gris (25 kg/saco).   Ref. lp-00001604</t>
  </si>
  <si>
    <t xml:space="preserve">ma-lp-00225432</t>
  </si>
  <si>
    <t xml:space="preserve">Material</t>
  </si>
  <si>
    <t xml:space="preserve">und</t>
  </si>
  <si>
    <t xml:space="preserve">Perfil cantonera de PVC con malla de fibra de vidrio (medida de la malla: 8x12 cm.; longitud: 2,5 m)   Ref. lp-00225432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</si>
  <si>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</si>
  <si>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</si>
  <si>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</si>
  <si>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</si>
  <si>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</si>
  <si>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</si>
  <si>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</si>
  <si>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</si>
  <si>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</si>
  <si>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</si>
  <si>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</si>
  <si>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</si>
  <si>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</si>
  <si>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</si>
  <si>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</si>
  <si>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</si>
  <si>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</si>
  <si>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</si>
  <si>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</si>
  <si>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</si>
  <si>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REM-REMATE-VANO-15cm</t>
  </si>
  <si>
    <t xml:space="preserve">REM-ANTIPALOMAS-PINCHOS-1VARILLA</t>
  </si>
  <si>
    <t xml:space="preserve">Partida</t>
  </si>
  <si>
    <t xml:space="preserve">m</t>
  </si>
  <si>
    <t xml:space="preserve">DISUASORES DE PALOMAS CON VARILLA SENCILLA DE PINCHOS DE ACERO INOXIDABLE</t>
  </si>
  <si>
    <t xml:space="preserve">DISUASORES DE PALOMAS CON VARILLA SENCILLA DE PINCHOS DE ACERO INOXIDABLE</t>
  </si>
  <si>
    <t xml:space="preserve">ma-lp-00564478</t>
  </si>
  <si>
    <t xml:space="preserve">Material</t>
  </si>
  <si>
    <t xml:space="preserve">pza</t>
  </si>
  <si>
    <t xml:space="preserve">Varilla antipaloma con base y pinchos en acero inoxidable X140 (50 cm/pza con 32 púas).   Ref. lp-00564478</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</si>
  <si>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</si>
  <si>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</si>
  <si>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</si>
  <si>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</si>
  <si>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</si>
  <si>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</si>
  <si>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</si>
  <si>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</si>
  <si>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</si>
  <si>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</si>
  <si>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</si>
  <si>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</si>
  <si>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</si>
  <si>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</si>
  <si>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</si>
  <si>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</si>
  <si>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</si>
  <si>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</si>
  <si>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</si>
  <si>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</si>
  <si>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</si>
  <si>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</si>
  <si>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</si>
  <si>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</si>
  <si>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</si>
  <si>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</si>
  <si>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</si>
  <si>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</si>
  <si>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</si>
  <si>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</si>
  <si>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</si>
  <si>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</si>
  <si>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REM-ANTIPALOMAS-PINCHOS-1VARILLA</t>
  </si>
  <si>
    <t xml:space="preserve">REM-ANTIPALOMAS-PINCHOS-2VARILLA</t>
  </si>
  <si>
    <t xml:space="preserve">Partida</t>
  </si>
  <si>
    <t xml:space="preserve">m</t>
  </si>
  <si>
    <t xml:space="preserve">DISUASORES DE PALOMAS CON VARILLA  DOBLE DE PINCHOS DE ACERO INOXIDABLE</t>
  </si>
  <si>
    <t xml:space="preserve">DISUASORES DE PALOMAS CON VARILLA  DOBLE DE PINCHOS DE ACERO INOXIDABLE</t>
  </si>
  <si>
    <t xml:space="preserve">ma-lp-00564478</t>
  </si>
  <si>
    <t xml:space="preserve">Material</t>
  </si>
  <si>
    <t xml:space="preserve">pza</t>
  </si>
  <si>
    <t xml:space="preserve">Varilla antipaloma con base y pinchos en acero inoxidable X140 (50 cm/pza con 32 púas).   Ref. lp-00564478</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</si>
  <si>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</si>
  <si>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</si>
  <si>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</si>
  <si>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</si>
  <si>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</si>
  <si>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</si>
  <si>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</si>
  <si>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</si>
  <si>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</si>
  <si>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</si>
  <si>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</si>
  <si>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</si>
  <si>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</si>
  <si>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</si>
  <si>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</si>
  <si>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</si>
  <si>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</si>
  <si>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</si>
  <si>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</si>
  <si>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</si>
  <si>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</si>
  <si>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</si>
  <si>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</si>
  <si>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</si>
  <si>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</si>
  <si>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</si>
  <si>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</si>
  <si>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</si>
  <si>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</si>
  <si>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</si>
  <si>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</si>
  <si>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</si>
  <si>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REM-ANTIPALOMAS-PINCHOS-2VARILLA</t>
  </si>
  <si>
    <t xml:space="preserve">REM-JAMBA-PIEDRA.ARTIFICIAL-01</t>
  </si>
  <si>
    <t xml:space="preserve">Partida</t>
  </si>
  <si>
    <t xml:space="preserve">m</t>
  </si>
  <si>
    <t xml:space="preserve">JAMBA DE PIEDRA ARTIFICIAL</t>
  </si>
  <si>
    <t xml:space="preserve">JAMBA DE PIEDRA ARTIFICIAL</t>
  </si>
  <si>
    <t xml:space="preserve">ma-ma-jamba-piedra.artif-01</t>
  </si>
  <si>
    <t xml:space="preserve">Material</t>
  </si>
  <si>
    <t xml:space="preserve">pza</t>
  </si>
  <si>
    <t xml:space="preserve">Jamba de piedra artificial (100x20x5 cm/pza).   Ref. ma-jamba-piedra.artif.01</t>
  </si>
  <si>
    <t xml:space="preserve">ma-lp-00539164</t>
  </si>
  <si>
    <t xml:space="preserve">Material</t>
  </si>
  <si>
    <t xml:space="preserve">saco</t>
  </si>
  <si>
    <t xml:space="preserve">Mortero seco para aplicaciones en albañilería M-7,5 SAGRASEC; color blanco (25 kg/saco)   Ref. lp-00539164</t>
  </si>
  <si>
    <t xml:space="preserve">ma-lp-00540944</t>
  </si>
  <si>
    <t xml:space="preserve">Material</t>
  </si>
  <si>
    <t xml:space="preserve">saco</t>
  </si>
  <si>
    <t xml:space="preserve">Mortero juntas ULTRACOLOR PLUS BIGMAT 2 a 20 mm; color blanco (5 kg/saco).   Ref. lp-00540944</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</si>
  <si>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</si>
  <si>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</si>
  <si>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</si>
  <si>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</si>
  <si>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</si>
  <si>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</si>
  <si>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</si>
  <si>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</si>
  <si>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</si>
  <si>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</si>
  <si>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</si>
  <si>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</si>
  <si>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</si>
  <si>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</si>
  <si>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</si>
  <si>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</si>
  <si>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</si>
  <si>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</si>
  <si>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</si>
  <si>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</si>
  <si>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</si>
  <si>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</si>
  <si>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</si>
  <si>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</si>
  <si>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</si>
  <si>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</si>
  <si>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</si>
  <si>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</si>
  <si>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REM-JAMBA-PIEDRA.ARTIFICIAL-01</t>
  </si>
  <si>
    <t xml:space="preserve">REM-PUNTO.ANCLAJE.TACO-AT-10mm</t>
  </si>
  <si>
    <t xml:space="preserve">Partida</t>
  </si>
  <si>
    <t xml:space="preserve">punto</t>
  </si>
  <si>
    <t xml:space="preserve">PUNTO DE ANCLAJE A PARAMENTO, CONFORMADO POR ESPÁRRAGO 10 mm, TAMIZ DE NYLON Y TACO QUÍMICO; TODO ELLO, MEDIANTE EL USO DE ANDAMIO TUBULAR</t>
  </si>
  <si>
    <t xml:space="preserve">PUNTO DE ANCLAJE A PARAMENTO, CONFORMADO POR ESPÁRRAGO 10 mm, TAMIZ DE NYLON Y TACO QUÍMICO; TODO ELLO, MEDIANTE EL USO DE ANDAMIO TUBULAR</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</si>
  <si>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</si>
  <si>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</si>
  <si>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</si>
  <si>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</si>
  <si>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</si>
  <si>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</si>
  <si>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</si>
  <si>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</si>
  <si>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ma-lp-00016912</t>
  </si>
  <si>
    <t xml:space="preserve">Material</t>
  </si>
  <si>
    <t xml:space="preserve">bolsa</t>
  </si>
  <si>
    <t xml:space="preserve">Espárrago/Varilla de inyección para anclaje químico FISCHER FIS GS; 10x165 mm (8 pzas/bolsa).   Ref. lp-00016912.</t>
  </si>
  <si>
    <t xml:space="preserve">alq-martillo.perforador-mym-40mm</t>
  </si>
  <si>
    <t xml:space="preserve">Maquinaria</t>
  </si>
  <si>
    <t xml:space="preserve">h</t>
  </si>
  <si>
    <t xml:space="preserve">Alquiler de Martillo Perforador 40 mm.   Ref. MÁQUINAS Y MÁQUINAS</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</si>
  <si>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</si>
  <si>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</si>
  <si>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</si>
  <si>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</si>
  <si>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</si>
  <si>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</si>
  <si>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</si>
  <si>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</si>
  <si>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</si>
  <si>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</si>
  <si>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</si>
  <si>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</si>
  <si>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</si>
  <si>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</si>
  <si>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</si>
  <si>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</si>
  <si>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</si>
  <si>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</si>
  <si>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</si>
  <si>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</si>
  <si>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</si>
  <si>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</si>
  <si>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</si>
  <si>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</si>
  <si>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REM-PUNTO.ANCLAJE.TACO-AT-10mm</t>
  </si>
  <si>
    <t xml:space="preserve">REM-RECIBIDO.REJA-AT</t>
  </si>
  <si>
    <t xml:space="preserve">Partida</t>
  </si>
  <si>
    <t xml:space="preserve">und</t>
  </si>
  <si>
    <t xml:space="preserve">RECIBIDO DE REJA METÁLICA (2 m2 &lt;= Área &lt; 4 m2) CON PATILLAS DE ANCLAJE; MEDIANTE EL USO DE ANDAMIO TUBULAR</t>
  </si>
  <si>
    <t xml:space="preserve">RECIBIDO DE REJA METÁLICA (2 m2 &lt;= Área &lt; 4 m2) CON PATILLAS DE ANCLAJE; MEDIANTE EL USO DE ANDAMIO TUBULAR</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</si>
  <si>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</si>
  <si>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</si>
  <si>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</si>
  <si>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</si>
  <si>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</si>
  <si>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</si>
  <si>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</si>
  <si>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</si>
  <si>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</si>
  <si>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</si>
  <si>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</si>
  <si>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</si>
  <si>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</si>
  <si>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</si>
  <si>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</si>
  <si>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</si>
  <si>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</si>
  <si>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</si>
  <si>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</si>
  <si>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</si>
  <si>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</si>
  <si>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</si>
  <si>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</si>
  <si>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</si>
  <si>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REM-RECIBIDO.REJA-AT</t>
  </si>
  <si>
    <t xml:space="preserve">REM-RECIBIDO.REJA-MS</t>
  </si>
  <si>
    <t xml:space="preserve">Partida</t>
  </si>
  <si>
    <t xml:space="preserve">und</t>
  </si>
  <si>
    <t xml:space="preserve">RECIBIDO DE REJA METÁLICA (2 m2 &lt;= Área &lt; 4 m2) CON PATILLAS DE ANCLAJE; MEDIANTE EL USO DE MEDIO SUSPENDIDO/COLGADO</t>
  </si>
  <si>
    <t xml:space="preserve">RECIBIDO DE REJA METÁLICA (2 m2 &lt;= Área &lt; 4 m2) CON PATILLAS DE ANCLAJE; MEDIANTE EL USO DE MEDIO SUSPENDIDO/COLGADO</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</si>
  <si>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</si>
  <si>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</si>
  <si>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</si>
  <si>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</si>
  <si>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</si>
  <si>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</si>
  <si>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</si>
  <si>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</si>
  <si>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</si>
  <si>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</si>
  <si>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</si>
  <si>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</si>
  <si>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</si>
  <si>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</si>
  <si>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</si>
  <si>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</si>
  <si>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</si>
  <si>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</si>
  <si>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</si>
  <si>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</si>
  <si>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</si>
  <si>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</si>
  <si>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</si>
  <si>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</si>
  <si>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REM-RECIBIDO.REJA-MS</t>
  </si>
  <si>
    <t xml:space="preserve">REM.Y.AYUDA-ELECTRICIDAD/DIA-C/M</t>
  </si>
  <si>
    <t xml:space="preserve">Partida</t>
  </si>
  <si>
    <t xml:space="preserve">und</t>
  </si>
  <si>
    <t xml:space="preserve">REMATES Y AYUDAS DE ELECTRICIDAD CON MATERIALES</t>
  </si>
  <si>
    <t xml:space="preserve">REMATES Y AYUDAS DE ELECTRICIDAD CON MATERIALES</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</si>
  <si>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</si>
  <si>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</si>
  <si>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</si>
  <si>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</si>
  <si>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</si>
  <si>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</si>
  <si>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</si>
  <si>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</si>
  <si>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</si>
  <si>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</si>
  <si>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</si>
  <si>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</si>
  <si>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</si>
  <si>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</si>
  <si>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</si>
  <si>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</si>
  <si>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REM.Y.AYUDA-ELECTRICIDAD/DIA-C/M</t>
  </si>
  <si>
    <t xml:space="preserve">REM99-TRANSITORIA-01</t>
  </si>
  <si>
    <t xml:space="preserve">Partida</t>
  </si>
  <si>
    <t xml:space="preserve">m2</t>
  </si>
  <si>
    <t xml:space="preserve">MARCO PERIMETRAL DE SUJECIÓN INFERIOR DEL LUCERNARIO</t>
  </si>
  <si>
    <t xml:space="preserve">Incluye suministro y colocación de marco perimetral de sujeción inferior del lucernario, mediante perfiles de acero S275 en forma de L invertida de 5 cm de alto, con angular en forma de T, de 5 cm de alto, ubicado en la parte central del marco para reducir la luz maxima y soldado en sus extremos al marco perimetral. Se ejecutará junta de expansión elastomerica entre el lucernario y el marco, a base de resinas de poliuretano estables a los rayos UV tipo Sikaflex 11 FC o similar.</t>
  </si>
  <si>
    <t xml:space="preserve">ma-lp-00001659</t>
  </si>
  <si>
    <t xml:space="preserve">Material</t>
  </si>
  <si>
    <t xml:space="preserve">pza</t>
  </si>
  <si>
    <t xml:space="preserve">Perfil angular macizo con alas iguales de CDL en acero laminado S275 JR+M (60x60x6 mmm; 3 m/pza).   Ref. lp-00001659</t>
  </si>
  <si>
    <t xml:space="preserve">alq-amolador-mym-01</t>
  </si>
  <si>
    <t xml:space="preserve">Maquinaria</t>
  </si>
  <si>
    <t xml:space="preserve">h</t>
  </si>
  <si>
    <t xml:space="preserve">Alquiler de Amolador Radial Eléctrico Portátil Diámetro 115 mm 750 W / 230 V.   Ref. MÁQUINAS Y MÁQUINAS</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</si>
  <si>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</si>
  <si>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</si>
  <si>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</si>
  <si>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</si>
  <si>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</si>
  <si>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</si>
  <si>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</si>
  <si>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</si>
  <si>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ma-lp-00383509</t>
  </si>
  <si>
    <t xml:space="preserve">Material</t>
  </si>
  <si>
    <t xml:space="preserve">envase</t>
  </si>
  <si>
    <t xml:space="preserve">Esmalte antioxidante metálico de altos sólidos OXIRÓN FORJA de TITANLUX; color negro (4 litros/envase).   Ref. lp-00383509</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</si>
  <si>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</si>
  <si>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</si>
  <si>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</si>
  <si>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</si>
  <si>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</si>
  <si>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</si>
  <si>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</si>
  <si>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</si>
  <si>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REM99-TRANSITORIA-01</t>
  </si>
  <si>
    <t xml:space="preserve">REVPREP01-OK</t>
  </si>
  <si>
    <t xml:space="preserve">Partida</t>
  </si>
  <si>
    <t xml:space="preserve">M2</t>
  </si>
  <si>
    <t xml:space="preserve">XXXXXX DECAPADO DE PINTURA EXISTENTE</t>
  </si>
  <si>
    <t xml:space="preserve">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</si>
  <si>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</si>
  <si>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</si>
  <si>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</si>
  <si>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</si>
  <si>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</si>
  <si>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</si>
  <si>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</si>
  <si>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</si>
  <si>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</si>
  <si>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</si>
  <si>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</si>
  <si>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</si>
  <si>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</si>
  <si>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</si>
  <si>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</si>
  <si>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</si>
  <si>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</si>
  <si>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</si>
  <si>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</si>
  <si>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</si>
  <si>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</si>
  <si>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</si>
  <si>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</si>
  <si>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</si>
  <si>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</si>
  <si>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REVPREP01-OK</t>
  </si>
  <si>
    <t xml:space="preserve">RYA-PALETERIA-CARPINTERIA-C/MAT</t>
  </si>
  <si>
    <t xml:space="preserve">Partida</t>
  </si>
  <si>
    <t xml:space="preserve">und</t>
  </si>
  <si>
    <t xml:space="preserve">REMATES Y AYUDAS DE PALETERÍA POR INSTALACIONES DE CARPINTERÍA CON MATERIALES</t>
  </si>
  <si>
    <t xml:space="preserve">REMATES Y AYUDAS DE PALETERÍA POR INSTALACIONES DE CARPINTERÍA CON MATERIALES</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</si>
  <si>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</si>
  <si>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</si>
  <si>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</si>
  <si>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</si>
  <si>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</si>
  <si>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</si>
  <si>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</si>
  <si>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</si>
  <si>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</si>
  <si>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</si>
  <si>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</si>
  <si>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</si>
  <si>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</si>
  <si>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</si>
  <si>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</si>
  <si>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</si>
  <si>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RYA-PALETERIA-CARPINTERIA-C/MAT</t>
  </si>
  <si>
    <t xml:space="preserve">REM.Y.AYUDA-ALB-DIA-01</t>
  </si>
  <si>
    <t xml:space="preserve">Partida</t>
  </si>
  <si>
    <t xml:space="preserve">día</t>
  </si>
  <si>
    <t xml:space="preserve">REMATES Y AYUDAS DE ALBAÑILERÍA SIN MATERIALES</t>
  </si>
  <si>
    <t xml:space="preserve">REMATES Y AYUDAS DE ALBAÑILERÍA SIN MATERIALES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</si>
  <si>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</si>
  <si>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</si>
  <si>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</si>
  <si>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</si>
  <si>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</si>
  <si>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</si>
  <si>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</si>
  <si>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</si>
  <si>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</si>
  <si>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</si>
  <si>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</si>
  <si>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</si>
  <si>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</si>
  <si>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</si>
  <si>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</si>
  <si>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</si>
  <si>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</si>
  <si>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</si>
  <si>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</si>
  <si>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</si>
  <si>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REM.Y.AYUDA-ALB-DIA-01</t>
  </si>
  <si>
    <t xml:space="preserve">RYA-PALETERIA-ELECTRICIDAD-C/MAT</t>
  </si>
  <si>
    <t xml:space="preserve">Partida</t>
  </si>
  <si>
    <t xml:space="preserve">und</t>
  </si>
  <si>
    <t xml:space="preserve">REMATES Y AYUDAS DE PALETERÍA POR INSTALACIONES ELÉCTRICAS CON MATERIALES</t>
  </si>
  <si>
    <t xml:space="preserve">REMATES Y AYUDAS DE PALETERÍA POR INSTALACIONES ELÉCTRICAS CON MATERIALES</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</si>
  <si>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</si>
  <si>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</si>
  <si>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</si>
  <si>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</si>
  <si>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</si>
  <si>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</si>
  <si>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</si>
  <si>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</si>
  <si>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</si>
  <si>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</si>
  <si>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</si>
  <si>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</si>
  <si>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</si>
  <si>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</si>
  <si>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</si>
  <si>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</si>
  <si>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RYA-PALETERIA-ELECTRICIDAD-C/MAT</t>
  </si>
  <si>
    <t xml:space="preserve">RYA-PALETERIA-FONTANERIA-C/MAT</t>
  </si>
  <si>
    <t xml:space="preserve">Partida</t>
  </si>
  <si>
    <t xml:space="preserve">und</t>
  </si>
  <si>
    <t xml:space="preserve">REMATES Y AYUDAS DE PALETERÍA POR INSTALACIONES DE FONTANERIA CON MATERIALES</t>
  </si>
  <si>
    <t xml:space="preserve">REMATES Y AYUDAS DE PALETERÍA POR INSTALACIONES DE FONTANERIA CON MATERIALES</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</si>
  <si>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</si>
  <si>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</si>
  <si>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</si>
  <si>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</si>
  <si>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</si>
  <si>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</si>
  <si>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</si>
  <si>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</si>
  <si>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</si>
  <si>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</si>
  <si>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</si>
  <si>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</si>
  <si>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</si>
  <si>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</si>
  <si>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</si>
  <si>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</si>
  <si>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RYA-PALETERIA-FONTANERIA-C/MAT</t>
  </si>
  <si>
    <t xml:space="preserve">RYA-PALETERIA-SANEAMIENTO-C/MAT</t>
  </si>
  <si>
    <t xml:space="preserve">Partida</t>
  </si>
  <si>
    <t xml:space="preserve">und</t>
  </si>
  <si>
    <t xml:space="preserve">REMATES Y AYUDAS DE PALETERÍA POR INSTALACIONES DE SANEAMIENTO CON MATERIALES</t>
  </si>
  <si>
    <t xml:space="preserve">REMATES Y AYUDAS DE PALETERÍA POR INSTALACIONES DE SANEAMIENTO CON MATERIALES</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</si>
  <si>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</si>
  <si>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</si>
  <si>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</si>
  <si>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</si>
  <si>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</si>
  <si>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</si>
  <si>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</si>
  <si>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</si>
  <si>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</si>
  <si>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</si>
  <si>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</si>
  <si>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</si>
  <si>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</si>
  <si>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</si>
  <si>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</si>
  <si>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</si>
  <si>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RYA-PALETERIA-SANEAMIENTO-C/MAT</t>
  </si>
  <si>
    <t xml:space="preserve">REM</t>
  </si>
  <si>
    <t xml:space="preserve">INS</t>
  </si>
  <si>
    <t xml:space="preserve">Capítulo</t>
  </si>
  <si>
    <t xml:space="preserve">o Instalaciones</t>
  </si>
  <si>
    <t xml:space="preserve">GAS000</t>
  </si>
  <si>
    <t xml:space="preserve">Capítulo</t>
  </si>
  <si>
    <t xml:space="preserve">INSTALACION DE GAS</t>
  </si>
  <si>
    <t xml:space="preserve">GAS001</t>
  </si>
  <si>
    <t xml:space="preserve">Partida</t>
  </si>
  <si>
    <t xml:space="preserve">M</t>
  </si>
  <si>
    <t xml:space="preserve">DESMONTAJE DE TUBERIA SUPERFICIAL DE GAS</t>
  </si>
  <si>
    <t xml:space="preserve">Desmontaje de tubos de cobre de hasta 1" de diámetro, en instalación superficial de gas, con medios manuales, sin deteriorar los elementos constructivos a los que están sujetos,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</si>
  <si>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</si>
  <si>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</si>
  <si>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</si>
  <si>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</si>
  <si>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</si>
  <si>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</si>
  <si>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</si>
  <si>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</si>
  <si>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</si>
  <si>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</si>
  <si>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</si>
  <si>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</si>
  <si>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</si>
  <si>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</si>
  <si>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</si>
  <si>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</si>
  <si>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</si>
  <si>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</si>
  <si>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</si>
  <si>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</si>
  <si>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GAS001</t>
  </si>
  <si>
    <t xml:space="preserve">GAS001TV</t>
  </si>
  <si>
    <t xml:space="preserve">Partida</t>
  </si>
  <si>
    <t xml:space="preserve">M</t>
  </si>
  <si>
    <t xml:space="preserve">DESMONTAJE DE TUBERIA SUPERFICIAL DE GAS C/TRABAJOS VERTICALES</t>
  </si>
  <si>
    <t xml:space="preserve">Desmontaje de tubos de cobre de hasta 1" de diámetro C/TRABAJOS VERTICALES, en instalación superficial de gas, con medios manuales, sin deteriorar los elementos constructivos a los que están sujetos,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</si>
  <si>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</si>
  <si>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</si>
  <si>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</si>
  <si>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</si>
  <si>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</si>
  <si>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</si>
  <si>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</si>
  <si>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</si>
  <si>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</si>
  <si>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</si>
  <si>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</si>
  <si>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</si>
  <si>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</si>
  <si>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</si>
  <si>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</si>
  <si>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</si>
  <si>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</si>
  <si>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</si>
  <si>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</si>
  <si>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</si>
  <si>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GAS001TV</t>
  </si>
  <si>
    <t xml:space="preserve">GAS000</t>
  </si>
  <si>
    <t xml:space="preserve">INS-ELECTRICAS</t>
  </si>
  <si>
    <t xml:space="preserve">Capítulo</t>
  </si>
  <si>
    <t xml:space="preserve">INSTALACIONES ELÉCTRICAS</t>
  </si>
  <si>
    <t xml:space="preserve">INS-ELECTRICAS-CABLEADO</t>
  </si>
  <si>
    <t xml:space="preserve">Capítulo</t>
  </si>
  <si>
    <t xml:space="preserve">INSTALACIONES ELÉCTRICAS - CABLEADO</t>
  </si>
  <si>
    <t xml:space="preserve">ADECUACION-CABLEADO-CANAL-AT-01</t>
  </si>
  <si>
    <t xml:space="preserve">Partida</t>
  </si>
  <si>
    <t xml:space="preserve">m</t>
  </si>
  <si>
    <t xml:space="preserve">ADECUACIÓN DE TENDIDO DE INSTALACIONES EN CANALETAS PORTACABLES PVC, MEDIANTE EL USO DE ANDAMIO TUBULAR</t>
  </si>
  <si>
    <t xml:space="preserve">Adecuación en canaletas PVC de cableados sueltos o con deficiente tendido y/o fijación a paramentos, mediante retirada de antiguas fijaciones en mal estado y restauración de nuevas fijaciones ancladas correctamente a paramentos, mediante el uso de andamio tubular.</t>
  </si>
  <si>
    <t xml:space="preserve">ma-bh-22845737</t>
  </si>
  <si>
    <t xml:space="preserve">Material</t>
  </si>
  <si>
    <t xml:space="preserve">pza</t>
  </si>
  <si>
    <t xml:space="preserve">Canaleta portacables PVC de 110x60 mm (2 m/pza).   Ref. bh-22845737</t>
  </si>
  <si>
    <t xml:space="preserve">ma-lp-00013571</t>
  </si>
  <si>
    <t xml:space="preserve">Material</t>
  </si>
  <si>
    <t xml:space="preserve">pack</t>
  </si>
  <si>
    <t xml:space="preserve">Caja de empalme canaleta en material temoplástico de SOLERA (82x82 mm/pza; 3 pzas/pack).   Ref. lp-00013571</t>
  </si>
  <si>
    <t xml:space="preserve">ma-lp-00215083</t>
  </si>
  <si>
    <t xml:space="preserve">Material</t>
  </si>
  <si>
    <t xml:space="preserve">caja</t>
  </si>
  <si>
    <t xml:space="preserve">Taco DUOPOWER de FISCHER (50 pzas/caja).   Ref. lp-00215083</t>
  </si>
  <si>
    <t xml:space="preserve">ma-lp-00514905</t>
  </si>
  <si>
    <t xml:space="preserve">Material</t>
  </si>
  <si>
    <t xml:space="preserve">bolsa</t>
  </si>
  <si>
    <t xml:space="preserve">Bridas plásticas 300x4,8 mm (100 pzas/bolsa)   Ref. lp-00514905</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</si>
  <si>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</si>
  <si>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</si>
  <si>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</si>
  <si>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</si>
  <si>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</si>
  <si>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</si>
  <si>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</si>
  <si>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</si>
  <si>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</si>
  <si>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</si>
  <si>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</si>
  <si>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</si>
  <si>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</si>
  <si>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</si>
  <si>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</si>
  <si>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</si>
  <si>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</si>
  <si>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</si>
  <si>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</si>
  <si>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</si>
  <si>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</si>
  <si>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</si>
  <si>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</si>
  <si>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</si>
  <si>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ADECUACION-CABLEADO-CANAL-AT-01</t>
  </si>
  <si>
    <t xml:space="preserve">ADECUACION-CABLEADO-CANAL-MS-01</t>
  </si>
  <si>
    <t xml:space="preserve">Partida</t>
  </si>
  <si>
    <t xml:space="preserve">m</t>
  </si>
  <si>
    <t xml:space="preserve">ADECUACIÓN DE TENDIDO DE INSTALACIONES EN CANALETAS PORTACABLES PVC, MEDIANTE EL USO DE MEDIO SUSPENDIDO/COLGADO</t>
  </si>
  <si>
    <t xml:space="preserve">Adecuación en canaletas PVC de cableados sueltos o con deficiente tendido y/o fijación a paramentos, mediante retirada de antiguas fijaciones en mal estado y restauración de nuevas fijaciones ancladas correctamente a paramentos, mediante el uso de medio suspendido/colgado.</t>
  </si>
  <si>
    <t xml:space="preserve">ma-bh-22845737</t>
  </si>
  <si>
    <t xml:space="preserve">Material</t>
  </si>
  <si>
    <t xml:space="preserve">pza</t>
  </si>
  <si>
    <t xml:space="preserve">Canaleta portacables PVC de 110x60 mm (2 m/pza).   Ref. bh-22845737</t>
  </si>
  <si>
    <t xml:space="preserve">ma-lp-00013571</t>
  </si>
  <si>
    <t xml:space="preserve">Material</t>
  </si>
  <si>
    <t xml:space="preserve">pack</t>
  </si>
  <si>
    <t xml:space="preserve">Caja de empalme canaleta en material temoplástico de SOLERA (82x82 mm/pza; 3 pzas/pack).   Ref. lp-00013571</t>
  </si>
  <si>
    <t xml:space="preserve">ma-lp-00215083</t>
  </si>
  <si>
    <t xml:space="preserve">Material</t>
  </si>
  <si>
    <t xml:space="preserve">caja</t>
  </si>
  <si>
    <t xml:space="preserve">Taco DUOPOWER de FISCHER (50 pzas/caja).   Ref. lp-00215083</t>
  </si>
  <si>
    <t xml:space="preserve">ma-lp-00514905</t>
  </si>
  <si>
    <t xml:space="preserve">Material</t>
  </si>
  <si>
    <t xml:space="preserve">bolsa</t>
  </si>
  <si>
    <t xml:space="preserve">Bridas plásticas 300x4,8 mm (100 pzas/bolsa)   Ref. lp-00514905</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</si>
  <si>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</si>
  <si>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</si>
  <si>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</si>
  <si>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</si>
  <si>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</si>
  <si>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</si>
  <si>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</si>
  <si>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</si>
  <si>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</si>
  <si>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</si>
  <si>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</si>
  <si>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</si>
  <si>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</si>
  <si>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</si>
  <si>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</si>
  <si>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</si>
  <si>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</si>
  <si>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</si>
  <si>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</si>
  <si>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</si>
  <si>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</si>
  <si>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</si>
  <si>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</si>
  <si>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</si>
  <si>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ADECUACION-CABLEADO-CANAL-MS-01</t>
  </si>
  <si>
    <t xml:space="preserve">ADECUACION-CABLEADO-GRAPAS-AT-01</t>
  </si>
  <si>
    <t xml:space="preserve">Partida</t>
  </si>
  <si>
    <t xml:space="preserve">m</t>
  </si>
  <si>
    <t xml:space="preserve">ADECUACIÓN DE TENDIDO CABLES A LA VISTA CON ABRAZADERAS/GRAPAS-CLIP Y CARRIL METÁLICO EN DOBLE MANOJO, MEDIANTE EL USO DE ANDAMIO TUBULAR</t>
  </si>
  <si>
    <t xml:space="preserve">Adecuación con abrazaderas/grapas-clip y carril metálico de cableados sueltos o con deficiente tendido y/o fijación a la vista en paramentos, mediante retirada de antiguas fijaciones en mal estado y restauración de nuevas fijaciones ancladas correctamente en doble manojo, mediante el uso de andamio tubular.</t>
  </si>
  <si>
    <t xml:space="preserve">ma-lp-00017555</t>
  </si>
  <si>
    <t xml:space="preserve">Material</t>
  </si>
  <si>
    <t xml:space="preserve">pza</t>
  </si>
  <si>
    <t xml:space="preserve">Carril de montaje FISCHER SAMONTEC FUS 41/21/2 (2 m/pza).   Ref. lp-00017555</t>
  </si>
  <si>
    <t xml:space="preserve">ma-lm-14761453</t>
  </si>
  <si>
    <t xml:space="preserve">Material</t>
  </si>
  <si>
    <t xml:space="preserve">pza</t>
  </si>
  <si>
    <t xml:space="preserve">Abrazadera o Grapas-Clip para la fijación de cables y tubos 32 mm.   Ref. lm-14761453</t>
  </si>
  <si>
    <t xml:space="preserve">ma-lp-00215083</t>
  </si>
  <si>
    <t xml:space="preserve">Material</t>
  </si>
  <si>
    <t xml:space="preserve">caja</t>
  </si>
  <si>
    <t xml:space="preserve">Taco DUOPOWER de FISCHER (50 pzas/caja).   Ref. lp-00215083</t>
  </si>
  <si>
    <t xml:space="preserve">ma-lp-00514905</t>
  </si>
  <si>
    <t xml:space="preserve">Material</t>
  </si>
  <si>
    <t xml:space="preserve">bolsa</t>
  </si>
  <si>
    <t xml:space="preserve">Bridas plásticas 300x4,8 mm (100 pzas/bolsa)   Ref. lp-00514905</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</si>
  <si>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</si>
  <si>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</si>
  <si>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</si>
  <si>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</si>
  <si>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</si>
  <si>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</si>
  <si>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</si>
  <si>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</si>
  <si>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</si>
  <si>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</si>
  <si>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</si>
  <si>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</si>
  <si>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</si>
  <si>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</si>
  <si>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</si>
  <si>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</si>
  <si>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</si>
  <si>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</si>
  <si>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</si>
  <si>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</si>
  <si>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</si>
  <si>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</si>
  <si>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</si>
  <si>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</si>
  <si>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ADECUACION-CABLEADO-GRAPAS-AT-01</t>
  </si>
  <si>
    <t xml:space="preserve">ADECUACION-CABLEADO-GRAPAS-MS-01</t>
  </si>
  <si>
    <t xml:space="preserve">Partida</t>
  </si>
  <si>
    <t xml:space="preserve">m</t>
  </si>
  <si>
    <t xml:space="preserve">ADECUACIÓN DE TENDIDO CABLES A LA VISTA CON ABRAZADERAS/GRAPAS-CLIP Y CARRIL METÁLICO EN DOBLE MANOJO, MEDIANTE EL USO DE MEDIO SUSPENDIDO/COLGADO</t>
  </si>
  <si>
    <t xml:space="preserve">Adecuación con abrazaderas/grapas-clip y carril metálico de cableados sueltos o con deficiente tendido y/o fijación a la vista en paramentos, mediante retirada de antiguas fijaciones en mal estado y restauración de nuevas fijaciones ancladas correctamente en doble manojo, mediante el uso de medio suspendido/colgado.</t>
  </si>
  <si>
    <t xml:space="preserve">ma-lp-00017555</t>
  </si>
  <si>
    <t xml:space="preserve">Material</t>
  </si>
  <si>
    <t xml:space="preserve">pza</t>
  </si>
  <si>
    <t xml:space="preserve">Carril de montaje FISCHER SAMONTEC FUS 41/21/2 (2 m/pza).   Ref. lp-00017555</t>
  </si>
  <si>
    <t xml:space="preserve">ma-lm-14761453</t>
  </si>
  <si>
    <t xml:space="preserve">Material</t>
  </si>
  <si>
    <t xml:space="preserve">pza</t>
  </si>
  <si>
    <t xml:space="preserve">Abrazadera o Grapas-Clip para la fijación de cables y tubos 32 mm.   Ref. lm-14761453</t>
  </si>
  <si>
    <t xml:space="preserve">ma-lp-00215083</t>
  </si>
  <si>
    <t xml:space="preserve">Material</t>
  </si>
  <si>
    <t xml:space="preserve">caja</t>
  </si>
  <si>
    <t xml:space="preserve">Taco DUOPOWER de FISCHER (50 pzas/caja).   Ref. lp-00215083</t>
  </si>
  <si>
    <t xml:space="preserve">ma-lp-00514905</t>
  </si>
  <si>
    <t xml:space="preserve">Material</t>
  </si>
  <si>
    <t xml:space="preserve">bolsa</t>
  </si>
  <si>
    <t xml:space="preserve">Bridas plásticas 300x4,8 mm (100 pzas/bolsa)   Ref. lp-00514905</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</si>
  <si>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</si>
  <si>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</si>
  <si>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</si>
  <si>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</si>
  <si>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</si>
  <si>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</si>
  <si>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</si>
  <si>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</si>
  <si>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</si>
  <si>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</si>
  <si>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</si>
  <si>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</si>
  <si>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</si>
  <si>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</si>
  <si>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</si>
  <si>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</si>
  <si>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</si>
  <si>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</si>
  <si>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</si>
  <si>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</si>
  <si>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</si>
  <si>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</si>
  <si>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</si>
  <si>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</si>
  <si>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ADECUACION-CABLEADO-GRAPAS-MS-01</t>
  </si>
  <si>
    <t xml:space="preserve">ELE001</t>
  </si>
  <si>
    <t xml:space="preserve">Partida</t>
  </si>
  <si>
    <t xml:space="preserve">M</t>
  </si>
  <si>
    <t xml:space="preserve">DERIVACION INDIVIDUAL</t>
  </si>
  <si>
    <t xml:space="preserve">Derivación individual empotrada para servicios generales electricos, formada por cables unipolares con conductores de cobre, H07Z1, Incluye: Tuberia protectora flexible, corrugado forrado, de PVC, de 32 mm de diámetro.</t>
  </si>
  <si>
    <t xml:space="preserve">mt35aia020d</t>
  </si>
  <si>
    <t xml:space="preserve">Material</t>
  </si>
  <si>
    <t xml:space="preserve">m</t>
  </si>
  <si>
    <t xml:space="preserve">Tubo corrugado reforzado 40 mm/25 m Ref.: 00023443</t>
  </si>
  <si>
    <t xml:space="preserve">mt35cun020e</t>
  </si>
  <si>
    <t xml:space="preserve">Material</t>
  </si>
  <si>
    <t xml:space="preserve">m</t>
  </si>
  <si>
    <t xml:space="preserve">Hilo h07z1-k(as) lh 2.5mm bicolor 5m CPR Ecotel Ref.: 00568019</t>
  </si>
  <si>
    <t xml:space="preserve">mt35www010</t>
  </si>
  <si>
    <t xml:space="preserve">Material</t>
  </si>
  <si>
    <t xml:space="preserve">Ud</t>
  </si>
  <si>
    <t xml:space="preserve">Material auxiliar para instalaciones eléctricas.</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</si>
  <si>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</si>
  <si>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</si>
  <si>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</si>
  <si>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</si>
  <si>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</si>
  <si>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</si>
  <si>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</si>
  <si>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</si>
  <si>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</si>
  <si>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</si>
  <si>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</si>
  <si>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</si>
  <si>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</si>
  <si>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</si>
  <si>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</si>
  <si>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</si>
  <si>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ELE001</t>
  </si>
  <si>
    <t xml:space="preserve">ELE002</t>
  </si>
  <si>
    <t xml:space="preserve">Partida</t>
  </si>
  <si>
    <t xml:space="preserve">M</t>
  </si>
  <si>
    <t xml:space="preserve">APERTURA Y TAPADO DE REGATAS</t>
  </si>
  <si>
    <t xml:space="preserve">Apertura y tapado de rozas o regatas con mortero de cemento, industrial, M-7 en fábrica de ladrillo hueco, con medios manuales sin afectar a la estabilidad del elemento constructivo.</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</si>
  <si>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</si>
  <si>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</si>
  <si>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</si>
  <si>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</si>
  <si>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</si>
  <si>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</si>
  <si>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</si>
  <si>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</si>
  <si>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</si>
  <si>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</si>
  <si>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</si>
  <si>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</si>
  <si>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</si>
  <si>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</si>
  <si>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</si>
  <si>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</si>
  <si>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</si>
  <si>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</si>
  <si>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</si>
  <si>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</si>
  <si>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</si>
  <si>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</si>
  <si>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</si>
  <si>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</si>
  <si>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ELE002</t>
  </si>
  <si>
    <t xml:space="preserve">INSCABLEADO-01</t>
  </si>
  <si>
    <t xml:space="preserve">Partida</t>
  </si>
  <si>
    <t xml:space="preserve">m</t>
  </si>
  <si>
    <t xml:space="preserve">S/I CABLE/HILO FLEXIBLE H07V-K</t>
  </si>
  <si>
    <t xml:space="preserve">S/I CABLE/HILO FLEXIBLE H07V-K</t>
  </si>
  <si>
    <t xml:space="preserve">ma-lp-00261038</t>
  </si>
  <si>
    <t xml:space="preserve">Material</t>
  </si>
  <si>
    <t xml:space="preserve">rollo</t>
  </si>
  <si>
    <t xml:space="preserve">Hilo flexible H07V-K de ECOTEL 2,5 mm; color negro (100 m/rollo).   Ref. lp-00261038</t>
  </si>
  <si>
    <t xml:space="preserve">ma-lp-00556831</t>
  </si>
  <si>
    <t xml:space="preserve">Material</t>
  </si>
  <si>
    <t xml:space="preserve">rollo</t>
  </si>
  <si>
    <t xml:space="preserve">Cinta aislante BRICO; color negro (19 mm x 20 m/rollo).   Ref. lp-00556831</t>
  </si>
  <si>
    <t xml:space="preserve">moc-std1-electricista</t>
  </si>
  <si>
    <t xml:space="preserve">Partida</t>
  </si>
  <si>
    <t xml:space="preserve">h</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</si>
  <si>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</si>
  <si>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</si>
  <si>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</si>
  <si>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</si>
  <si>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</si>
  <si>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</si>
  <si>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</si>
  <si>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</si>
  <si>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</si>
  <si>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</si>
  <si>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t>
  </si>
  <si>
    <t xml:space="preserve">%</t>
  </si>
  <si>
    <t xml:space="preserve">Herramientas Menores</t>
  </si>
  <si>
    <t xml:space="preserve">INSCABLEADO-01</t>
  </si>
  <si>
    <t xml:space="preserve">INS-ELECTRICAS-CABLEADO</t>
  </si>
  <si>
    <t xml:space="preserve">INS-ELECTRICAS-CANALIZACION</t>
  </si>
  <si>
    <t xml:space="preserve">Capítulo</t>
  </si>
  <si>
    <t xml:space="preserve">INSTALACIONES ELÉCTRICAS - CANALIZACIÓN</t>
  </si>
  <si>
    <t xml:space="preserve">IE-CANALIZACION-ARMARIO-01</t>
  </si>
  <si>
    <t xml:space="preserve">Partida</t>
  </si>
  <si>
    <t xml:space="preserve">und</t>
  </si>
  <si>
    <t xml:space="preserve">SUMINISTRO Y COLOCACIÓN DE ARMARIO ELÉCTRICO DE SUPERFICIE 72 MÓDULOS</t>
  </si>
  <si>
    <t xml:space="preserve">Suministro y colocación de armario eléctrico de superficie 72 módulos ip40 famatel nuova 3872</t>
  </si>
  <si>
    <t xml:space="preserve">ma-manomano-ME85643100</t>
  </si>
  <si>
    <t xml:space="preserve">Material</t>
  </si>
  <si>
    <t xml:space="preserve">und</t>
  </si>
  <si>
    <t xml:space="preserve">Armario eléctrico de superficie 72 módulos IP40 FAMATEL NUOVA 3872 (465x880x120mm/und).   Ref. manomano-ME85643100</t>
  </si>
  <si>
    <t xml:space="preserve">ma-lp-00215083</t>
  </si>
  <si>
    <t xml:space="preserve">Material</t>
  </si>
  <si>
    <t xml:space="preserve">caja</t>
  </si>
  <si>
    <t xml:space="preserve">Taco DUOPOWER de FISCHER (50 pzas/caja).   Ref. lp-00215083</t>
  </si>
  <si>
    <t xml:space="preserve">ma-lp-00001603A</t>
  </si>
  <si>
    <t xml:space="preserve">Material</t>
  </si>
  <si>
    <t xml:space="preserve">saco</t>
  </si>
  <si>
    <t xml:space="preserve">Mortero seco para aplicaciones en albañilería M-7,5 VALSEC; color gris (25 kg/saco)   Ref. lp-00001603</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</si>
  <si>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</si>
  <si>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</si>
  <si>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</si>
  <si>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</si>
  <si>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</si>
  <si>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</si>
  <si>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</si>
  <si>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</si>
  <si>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</si>
  <si>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</si>
  <si>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</si>
  <si>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</si>
  <si>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</si>
  <si>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</si>
  <si>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</si>
  <si>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</si>
  <si>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</si>
  <si>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</si>
  <si>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</si>
  <si>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</si>
  <si>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</si>
  <si>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</si>
  <si>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</si>
  <si>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</si>
  <si>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</si>
  <si>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</si>
  <si>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</si>
  <si>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</si>
  <si>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IE-CANALIZACION-ARMARIO-01</t>
  </si>
  <si>
    <t xml:space="preserve">INS-ELECTRICAS-CANALIZACION</t>
  </si>
  <si>
    <t xml:space="preserve">INS-ELECTRICAS-VARIOS</t>
  </si>
  <si>
    <t xml:space="preserve">Capítulo</t>
  </si>
  <si>
    <t xml:space="preserve">INSTALACIONES ELÉCTRICAS - VARIOS</t>
  </si>
  <si>
    <t xml:space="preserve">LAMPARA-01</t>
  </si>
  <si>
    <t xml:space="preserve">Partida</t>
  </si>
  <si>
    <t xml:space="preserve">und</t>
  </si>
  <si>
    <t xml:space="preserve">SUMINISTRO Y COLOCACIÓN DE LUMINARIA/FOCO LED INSPIRE SANOA (REDONDO 30 cm-BLANCO)</t>
  </si>
  <si>
    <t xml:space="preserve">Suministro y colocación de luminaria/foco led inspire sanoa (redondo 30 cm-blanco)</t>
  </si>
  <si>
    <t xml:space="preserve">ma-lm-84846973</t>
  </si>
  <si>
    <t xml:space="preserve">Material</t>
  </si>
  <si>
    <t xml:space="preserve">und</t>
  </si>
  <si>
    <t xml:space="preserve">Luminaria/Foco LED INSPIRE SANOA (redondo 30 cm-blanco); 2500lm 4000/6000K intensidad regulable.   Ref. lm-84846973</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</si>
  <si>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</si>
  <si>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</si>
  <si>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</si>
  <si>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</si>
  <si>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</si>
  <si>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</si>
  <si>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</si>
  <si>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</si>
  <si>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</si>
  <si>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</si>
  <si>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</si>
  <si>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</si>
  <si>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</si>
  <si>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</si>
  <si>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</si>
  <si>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</si>
  <si>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</si>
  <si>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</si>
  <si>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</si>
  <si>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</si>
  <si>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</si>
  <si>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</si>
  <si>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</si>
  <si>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</si>
  <si>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</si>
  <si>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</si>
  <si>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</si>
  <si>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</si>
  <si>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</si>
  <si>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</si>
  <si>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</si>
  <si>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</si>
  <si>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LAMPARA-01</t>
  </si>
  <si>
    <t xml:space="preserve">INS-ELECTRICAS-VARIOS</t>
  </si>
  <si>
    <t xml:space="preserve">ELE-ESC</t>
  </si>
  <si>
    <t xml:space="preserve">Capítulo</t>
  </si>
  <si>
    <t xml:space="preserve">INSTALACION TIPICA EN CAJA DE ESCALERA</t>
  </si>
  <si>
    <t xml:space="preserve">ELE-ESC01</t>
  </si>
  <si>
    <t xml:space="preserve">Partida</t>
  </si>
  <si>
    <t xml:space="preserve">PAR</t>
  </si>
  <si>
    <t xml:space="preserve">CUADRO ELECTRICO</t>
  </si>
  <si>
    <t xml:space="preserve">Suministro e instalacion de cuadro electrico de servicios comunes, IGA y C.G.P. de acuerdo a la nueva normativa, equipo de sobre tensiones incorporado y elementos de proteccion para 2 locales, 8 viviendas y servicios comunes. Caja con sus modulos correspondientes. Incluye: pias de 16 amp, pias de 10 amp, sobretenciones de 20 amp, diferencial de 40 amp y reloj minutero</t>
  </si>
  <si>
    <t xml:space="preserve">GNZ1</t>
  </si>
  <si>
    <t xml:space="preserve">Material</t>
  </si>
  <si>
    <t xml:space="preserve">PAR</t>
  </si>
  <si>
    <t xml:space="preserve">CUADRO ELECTRICO</t>
  </si>
  <si>
    <t xml:space="preserve">ELE-ESC01</t>
  </si>
  <si>
    <t xml:space="preserve">ELE-ESC02</t>
  </si>
  <si>
    <t xml:space="preserve">Partida</t>
  </si>
  <si>
    <t xml:space="preserve">PAR</t>
  </si>
  <si>
    <t xml:space="preserve">MONTANTES</t>
  </si>
  <si>
    <t xml:space="preserve">Suministro y colocacion de montante electrico desde cuadro electrico hasta cada una de las plantas, mediante canal Unex 110x60 de PVC blanco, Cable libre de halógenos (LHA) H07Z1- K(AS), clase 5 flexible, Cable libre de halógenos (LHA) H07Z1-K(AS), 50mm, clase 5 flexible.</t>
  </si>
  <si>
    <t xml:space="preserve">GNZ2</t>
  </si>
  <si>
    <t xml:space="preserve">Material</t>
  </si>
  <si>
    <t xml:space="preserve">PAR</t>
  </si>
  <si>
    <t xml:space="preserve">MONTANTES</t>
  </si>
  <si>
    <t xml:space="preserve">ELE-ESC02</t>
  </si>
  <si>
    <t xml:space="preserve">ELE-ESC03</t>
  </si>
  <si>
    <t xml:space="preserve">Partida</t>
  </si>
  <si>
    <t xml:space="preserve">PAR</t>
  </si>
  <si>
    <t xml:space="preserve">CAJAS DE DISTRIBUCION</t>
  </si>
  <si>
    <t xml:space="preserve">Suministro e instalacion de cajas generales para la alimentacion de cada vivienda, incluye: Caja de distribución de rellano con 4 fusibles neocet de 63 amp, 5 bornes sigma de 50, un borne sigma de 35.</t>
  </si>
  <si>
    <t xml:space="preserve">GNZ3</t>
  </si>
  <si>
    <t xml:space="preserve">Material</t>
  </si>
  <si>
    <t xml:space="preserve">PAR</t>
  </si>
  <si>
    <t xml:space="preserve">CAJAS DE DISTRIBUCION</t>
  </si>
  <si>
    <t xml:space="preserve">ELE-ESC03</t>
  </si>
  <si>
    <t xml:space="preserve">ELE-ESC04</t>
  </si>
  <si>
    <t xml:space="preserve">Partida</t>
  </si>
  <si>
    <t xml:space="preserve">PAR</t>
  </si>
  <si>
    <t xml:space="preserve">DERIVACIONES INDIVIDUALES</t>
  </si>
  <si>
    <t xml:space="preserve">Suministro e instalacion de derivaciones para cada vivienda, desde la primera caja de rellano,
hasta el interior de cada vivienda, mediante tubo Tubo fergondull de 32mm, Cable de 10mm en
los tres colores ( azul, negro y amarillo verde), Cable de 1.5 en los tres colores.</t>
  </si>
  <si>
    <t xml:space="preserve">GNZ4</t>
  </si>
  <si>
    <t xml:space="preserve">Material</t>
  </si>
  <si>
    <t xml:space="preserve">PAR</t>
  </si>
  <si>
    <t xml:space="preserve">DERIVACIONES INDIVIDUALES</t>
  </si>
  <si>
    <t xml:space="preserve">ELE-ESC04</t>
  </si>
  <si>
    <t xml:space="preserve">ELE-ESC05</t>
  </si>
  <si>
    <t xml:space="preserve">Partida</t>
  </si>
  <si>
    <t xml:space="preserve">PAR</t>
  </si>
  <si>
    <t xml:space="preserve">ALUMBRADO DE ESCALERA</t>
  </si>
  <si>
    <t xml:space="preserve">Luminaria led color de luz neutra fija para escalera con detector de presencia. Incluye: detector de presencia.</t>
  </si>
  <si>
    <t xml:space="preserve">GNZ5</t>
  </si>
  <si>
    <t xml:space="preserve">Material</t>
  </si>
  <si>
    <t xml:space="preserve">PAR</t>
  </si>
  <si>
    <t xml:space="preserve">ALUMBRADO DE ESCALERA</t>
  </si>
  <si>
    <t xml:space="preserve">ELE-ESC05</t>
  </si>
  <si>
    <t xml:space="preserve">ELE-ESC06</t>
  </si>
  <si>
    <t xml:space="preserve">Partida</t>
  </si>
  <si>
    <t xml:space="preserve">PAR</t>
  </si>
  <si>
    <t xml:space="preserve">ALUMBRADO DE EMERGENCIA</t>
  </si>
  <si>
    <t xml:space="preserve">Suministro y colocacion de luminaria de emergencia en cada planta del edificio.</t>
  </si>
  <si>
    <t xml:space="preserve">GNZ6</t>
  </si>
  <si>
    <t xml:space="preserve">Material</t>
  </si>
  <si>
    <t xml:space="preserve">PAR</t>
  </si>
  <si>
    <t xml:space="preserve">ALUMBRADO DE EMERGENCIA</t>
  </si>
  <si>
    <t xml:space="preserve">ELE-ESC06</t>
  </si>
  <si>
    <t xml:space="preserve">ELE-ESC07</t>
  </si>
  <si>
    <t xml:space="preserve">Partida</t>
  </si>
  <si>
    <t xml:space="preserve">PAR</t>
  </si>
  <si>
    <t xml:space="preserve">INSTALACION DE TOMA DE TIERRA</t>
  </si>
  <si>
    <t xml:space="preserve">Instalacion de Toma a Tierraen comunidad de vecinos de cuatro plantas por tubo fergondull entre ellas y conexion con instalaciones en pisos cableados existentes, los tubos subiran en paralelo al ya existente donde va la acometida electrica; Incluye: Suministro e instalacion de jabalina de cobre en suelo bajo escalera y caja de empalmes con bornera.</t>
  </si>
  <si>
    <t xml:space="preserve">GNZ7</t>
  </si>
  <si>
    <t xml:space="preserve">Material</t>
  </si>
  <si>
    <t xml:space="preserve">PAR</t>
  </si>
  <si>
    <t xml:space="preserve">INSTALACION DE TOMA DE TIERRA</t>
  </si>
  <si>
    <t xml:space="preserve">ELE-ESC07</t>
  </si>
  <si>
    <t xml:space="preserve">ELE-ESC08</t>
  </si>
  <si>
    <t xml:space="preserve">Partida</t>
  </si>
  <si>
    <t xml:space="preserve">PAR</t>
  </si>
  <si>
    <t xml:space="preserve">AYUDAS DE ALBAÑILERIA</t>
  </si>
  <si>
    <t xml:space="preserve">Ayudas de cualquier trabajo de albañilería, necesarias para la correcta ejecución de la instalación eléctrica formada por: puesta a tierra, caja general de protección, línea general de alimentación, derivaciones individuales y red de distribución, con un grado de complejidad medio, en edificio plurifamiliar, incluida p/p de elementos comunes. Incluso material auxiliar para la correcta ejecución de los trabajos.</t>
  </si>
  <si>
    <t xml:space="preserve">GNZ8</t>
  </si>
  <si>
    <t xml:space="preserve">Material</t>
  </si>
  <si>
    <t xml:space="preserve">PAR</t>
  </si>
  <si>
    <t xml:space="preserve">AYUDAS DE ALBAÑILERIA</t>
  </si>
  <si>
    <t xml:space="preserve">ELE-ESC08</t>
  </si>
  <si>
    <t xml:space="preserve">ELE-ESC09</t>
  </si>
  <si>
    <t xml:space="preserve">Partida</t>
  </si>
  <si>
    <t xml:space="preserve">PAR</t>
  </si>
  <si>
    <t xml:space="preserve">PROYECTO ELECTRICO</t>
  </si>
  <si>
    <t xml:space="preserve">Proyecto electrico que incluye; los planos, memoria tecnica, esquema unifiliar y todo lo necesario para obtener el certificado de la instalacion de servicios comunes. Presentacion de documentacion a entidad competente.</t>
  </si>
  <si>
    <t xml:space="preserve">GENZ9</t>
  </si>
  <si>
    <t xml:space="preserve">Material</t>
  </si>
  <si>
    <t xml:space="preserve">PAR</t>
  </si>
  <si>
    <t xml:space="preserve">PROYECTO ELECTRICO</t>
  </si>
  <si>
    <t xml:space="preserve">ELE-ESC09</t>
  </si>
  <si>
    <t xml:space="preserve">ELE-ESC10</t>
  </si>
  <si>
    <t xml:space="preserve">Partida</t>
  </si>
  <si>
    <t xml:space="preserve">PAR</t>
  </si>
  <si>
    <t xml:space="preserve">MUEBLE DE CONTADORES</t>
  </si>
  <si>
    <t xml:space="preserve">Construccion de muebles de contadores, realizado con placas de yeso laminado contra fuego, dispuestas en una cara y estructura simple autoportante, compuesto entramado autoportante de perfiles de chapa de acero galvanizado, constituido por canales, y montantes; una placas tipo normal en la cara exterior. Incluso; tornillería para la fijación de las placas y pasta y cinta para el tratamiento de juntas.</t>
  </si>
  <si>
    <t xml:space="preserve">rsll10</t>
  </si>
  <si>
    <t xml:space="preserve">Material</t>
  </si>
  <si>
    <t xml:space="preserve">par</t>
  </si>
  <si>
    <t xml:space="preserve">MUEBLE DE CONTADORES DE PLADUR</t>
  </si>
  <si>
    <t xml:space="preserve">ELE-ESC10</t>
  </si>
  <si>
    <t xml:space="preserve">ELE-ESC</t>
  </si>
  <si>
    <t xml:space="preserve">INS-ELECTRICAS</t>
  </si>
  <si>
    <t xml:space="preserve">INSACCESORIOS-AABB</t>
  </si>
  <si>
    <t xml:space="preserve">Capítulo</t>
  </si>
  <si>
    <t xml:space="preserve">INSTALACIÓN DE ACCESORIOS AABB</t>
  </si>
  <si>
    <t xml:space="preserve">INSACC-VALVULAS</t>
  </si>
  <si>
    <t xml:space="preserve">Capítulo</t>
  </si>
  <si>
    <t xml:space="preserve">INSTALACIÓN DE VÁLVULAS</t>
  </si>
  <si>
    <t xml:space="preserve">INSACC-VALVULAS-PP-32</t>
  </si>
  <si>
    <t xml:space="preserve">Partida</t>
  </si>
  <si>
    <t xml:space="preserve">pza</t>
  </si>
  <si>
    <t xml:space="preserve">VÁLVULA ESFERA DE POLIPROPILENO PPR DE AQUATHERM 32 MM (CON CIERRE DE LATÓN)</t>
  </si>
  <si>
    <t xml:space="preserve">VÁLVULA ESFERA DE POLIPROPILENO PPR DE AQUATHERM 32 MM (CON CIERRE DE LATÓN)</t>
  </si>
  <si>
    <t xml:space="preserve">ma-sc-1659801068</t>
  </si>
  <si>
    <t xml:space="preserve">Material</t>
  </si>
  <si>
    <t xml:space="preserve">pza</t>
  </si>
  <si>
    <t xml:space="preserve">Válvula esfera de polipropileno PPR de AQUATHERM 32 mm (con cierre de latón).   Ref. sc-1659801068</t>
  </si>
  <si>
    <t xml:space="preserve">ma-lp-00010889</t>
  </si>
  <si>
    <t xml:space="preserve">Material</t>
  </si>
  <si>
    <t xml:space="preserve">rollo</t>
  </si>
  <si>
    <t xml:space="preserve">Cinta Teflón PTFE de GYMCOL 25 mm (25 m/rollo).   Ref. lp-00010889</t>
  </si>
  <si>
    <t xml:space="preserve">moc-std1-fontanero</t>
  </si>
  <si>
    <t xml:space="preserve">Partida</t>
  </si>
  <si>
    <t xml:space="preserve">h</t>
  </si>
  <si>
    <t xml:space="preserve">Cuadrilla Std1 Oficial Fontanero/Calefactor de 1ª y Ayudante de Fontanero</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</si>
  <si>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</si>
  <si>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</si>
  <si>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</si>
  <si>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</si>
  <si>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</si>
  <si>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</si>
  <si>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</si>
  <si>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</si>
  <si>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moc-std1-fontanero</t>
  </si>
  <si>
    <t xml:space="preserve">mo%</t>
  </si>
  <si>
    <t xml:space="preserve">%</t>
  </si>
  <si>
    <t xml:space="preserve">Herramientas Menores</t>
  </si>
  <si>
    <t xml:space="preserve">INSACC-VALVULAS-PP-32</t>
  </si>
  <si>
    <t xml:space="preserve">INSACC-VALVULAS</t>
  </si>
  <si>
    <t xml:space="preserve">INSACCESORIOS-AABB</t>
  </si>
  <si>
    <t xml:space="preserve">INSMON</t>
  </si>
  <si>
    <t xml:space="preserve">Capítulo</t>
  </si>
  <si>
    <t xml:space="preserve">MONTANTES DE AGUA</t>
  </si>
  <si>
    <t xml:space="preserve">INSMON03-HG-MNR-25</t>
  </si>
  <si>
    <t xml:space="preserve">Partida</t>
  </si>
  <si>
    <t xml:space="preserve">m</t>
  </si>
  <si>
    <t xml:space="preserve">SISTEMA MONTANTE AGUA POTABLE CON TUBERÍA ROSCADA Y  A VISTA DE HIERRO GALVANIZADO 25 mm</t>
  </si>
  <si>
    <t xml:space="preserve">Sistema montante agua potable con tubería roscada y  a vista de hierro galvanizado 25 mm</t>
  </si>
  <si>
    <t xml:space="preserve">ma-sc-12000070004</t>
  </si>
  <si>
    <t xml:space="preserve">Material</t>
  </si>
  <si>
    <t xml:space="preserve">tubo</t>
  </si>
  <si>
    <t xml:space="preserve">Tubo H.G. ISO roscado 1” (6 m/tubo).   Ref. sc-12000070004</t>
  </si>
  <si>
    <t xml:space="preserve">ma-sc-1202006090</t>
  </si>
  <si>
    <t xml:space="preserve">Material</t>
  </si>
  <si>
    <t xml:space="preserve">pza</t>
  </si>
  <si>
    <t xml:space="preserve">Codo H.G. 90º H-H roscado 1”.   Ref. sc-1202006090</t>
  </si>
  <si>
    <t xml:space="preserve">ma-sc-1202004270</t>
  </si>
  <si>
    <t xml:space="preserve">Material</t>
  </si>
  <si>
    <t xml:space="preserve">pza</t>
  </si>
  <si>
    <t xml:space="preserve">Manguito H.G. H-H roscado 1”.   Ref. sc-1202004270</t>
  </si>
  <si>
    <t xml:space="preserve">ma-lp-00017555</t>
  </si>
  <si>
    <t xml:space="preserve">Material</t>
  </si>
  <si>
    <t xml:space="preserve">pza</t>
  </si>
  <si>
    <t xml:space="preserve">Carril de montaje FISCHER SAMONTEC FUS 41/21/2 (2 m/pza).   Ref. lp-00017555</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</si>
  <si>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</si>
  <si>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</si>
  <si>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</si>
  <si>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</si>
  <si>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</si>
  <si>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</si>
  <si>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</si>
  <si>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</si>
  <si>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</si>
  <si>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</si>
  <si>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</si>
  <si>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</si>
  <si>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</si>
  <si>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ma-lp-00215083</t>
  </si>
  <si>
    <t xml:space="preserve">Material</t>
  </si>
  <si>
    <t xml:space="preserve">caja</t>
  </si>
  <si>
    <t xml:space="preserve">Taco DUOPOWER de FISCHER (50 pzas/caja).   Ref. lp-00215083</t>
  </si>
  <si>
    <t xml:space="preserve">ma-lp-00094317</t>
  </si>
  <si>
    <t xml:space="preserve">Material</t>
  </si>
  <si>
    <t xml:space="preserve">pza</t>
  </si>
  <si>
    <t xml:space="preserve">Abrazadera FISCHER CLIP FT para la fijación de cables y tubos IEC 32 mm.   Ref. lp-00094317</t>
  </si>
  <si>
    <t xml:space="preserve">ma-lp-00010889</t>
  </si>
  <si>
    <t xml:space="preserve">Material</t>
  </si>
  <si>
    <t xml:space="preserve">rollo</t>
  </si>
  <si>
    <t xml:space="preserve">Cinta Teflón PTFE de GYMCOL 25 mm (25 m/rollo).   Ref. lp-00010889</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</si>
  <si>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</si>
  <si>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</si>
  <si>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</si>
  <si>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</si>
  <si>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</si>
  <si>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</si>
  <si>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</si>
  <si>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</si>
  <si>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t>
  </si>
  <si>
    <t xml:space="preserve">%</t>
  </si>
  <si>
    <t xml:space="preserve">Herramientas Menores</t>
  </si>
  <si>
    <t xml:space="preserve">INSMON03-HG-MNR-25</t>
  </si>
  <si>
    <t xml:space="preserve">INSMON03-COB-MNR-35</t>
  </si>
  <si>
    <t xml:space="preserve">Partida</t>
  </si>
  <si>
    <t xml:space="preserve">m</t>
  </si>
  <si>
    <t xml:space="preserve">SISTEMA MONTANTE AGUA POTABLE CON TUBERÍA SOLDADA Y  A VISTA DE COBRE 33/35 mm</t>
  </si>
  <si>
    <t xml:space="preserve">SISTEMA MONTANTE AGUA POTABLE CON TUBERÍA DE COBRE 33/35 mm EN INSTALACIÓN SUPERFICIAL.
Actualización de la instalación de agua, incluido nueva acometida, arquetas, llaves de paso, canalizaciones a partir de la nueva batería de agua hasta las llaves de paso llegando a los montantes de los patios. Tubería para alimentación de agua potable, colocada superficialmente y fijada al paramento, formada por tubo de cobre rígido con pared de 1 mm de espesor y 33/35 mm de diámetro. Incluido accesorios, llaves y piezas especiales.</t>
  </si>
  <si>
    <t xml:space="preserve">ma-lp-00180067</t>
  </si>
  <si>
    <t xml:space="preserve">Material</t>
  </si>
  <si>
    <t xml:space="preserve">und</t>
  </si>
  <si>
    <t xml:space="preserve">Tubo de cobre; diámetro 35 mm y espesor 1 mm (2,5 m/und)   Ref. lp-00180067</t>
  </si>
  <si>
    <t xml:space="preserve">ma-lp-00010944</t>
  </si>
  <si>
    <t xml:space="preserve">Material</t>
  </si>
  <si>
    <t xml:space="preserve">pza</t>
  </si>
  <si>
    <t xml:space="preserve">Codo H-H de cobre para soldar; diámetro 35 mm.   Ref. lp-00010944</t>
  </si>
  <si>
    <t xml:space="preserve">ma-lp-00011570</t>
  </si>
  <si>
    <t xml:space="preserve">Material</t>
  </si>
  <si>
    <t xml:space="preserve">pza</t>
  </si>
  <si>
    <t xml:space="preserve">Manguito H-H de cobre para soldar; diámetro 35 mm.   Ref. lp-00011570</t>
  </si>
  <si>
    <t xml:space="preserve">ma-lp-00017555</t>
  </si>
  <si>
    <t xml:space="preserve">Material</t>
  </si>
  <si>
    <t xml:space="preserve">pza</t>
  </si>
  <si>
    <t xml:space="preserve">Carril de montaje FISCHER SAMONTEC FUS 41/21/2 (2 m/pza).   Ref. lp-00017555</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</si>
  <si>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</si>
  <si>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</si>
  <si>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</si>
  <si>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</si>
  <si>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</si>
  <si>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</si>
  <si>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</si>
  <si>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</si>
  <si>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</si>
  <si>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</si>
  <si>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</si>
  <si>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</si>
  <si>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</si>
  <si>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ma-lp-00215083</t>
  </si>
  <si>
    <t xml:space="preserve">Material</t>
  </si>
  <si>
    <t xml:space="preserve">caja</t>
  </si>
  <si>
    <t xml:space="preserve">Taco DUOPOWER de FISCHER (50 pzas/caja).   Ref. lp-00215083</t>
  </si>
  <si>
    <t xml:space="preserve">ma-lm-86291086</t>
  </si>
  <si>
    <t xml:space="preserve">Material</t>
  </si>
  <si>
    <t xml:space="preserve">pza</t>
  </si>
  <si>
    <t xml:space="preserve">Abrazadera SANICLIP simple para la fijación de cables y tubos 35 mm.   Ref. lm-86291086</t>
  </si>
  <si>
    <t xml:space="preserve">ma-nv-3081.35</t>
  </si>
  <si>
    <t xml:space="preserve">Material</t>
  </si>
  <si>
    <t xml:space="preserve">pza</t>
  </si>
  <si>
    <t xml:space="preserve">Válvula esfera palanca PN-16 para soldar a tubería de cobre; diámetro 35 mm.   Ref. nv-3081.35</t>
  </si>
  <si>
    <t xml:space="preserve">ma-lm-86218534</t>
  </si>
  <si>
    <t xml:space="preserve">Material</t>
  </si>
  <si>
    <t xml:space="preserve">envase</t>
  </si>
  <si>
    <t xml:space="preserve">Decapante líquido con pincel para soldar UNECOL (100 ml/envase).   Ref. lm-86218534</t>
  </si>
  <si>
    <t xml:space="preserve">ma-bd-8435065001471</t>
  </si>
  <si>
    <t xml:space="preserve">Material</t>
  </si>
  <si>
    <t xml:space="preserve">carrete</t>
  </si>
  <si>
    <t xml:space="preserve">Hilo de estaño 8%plata 2 mm ROTHENBERGER (250 gr/carrete).   Ref. bd-8435065001471</t>
  </si>
  <si>
    <t xml:space="preserve">ma-lp-00018993</t>
  </si>
  <si>
    <t xml:space="preserve">Material</t>
  </si>
  <si>
    <t xml:space="preserve">und</t>
  </si>
  <si>
    <t xml:space="preserve">Pack soplete ROFIRE PIEZO de ROTHENBERGER con 3 botellas o cartuchos Multigas 300.   Ref. lp-00018993</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</si>
  <si>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</si>
  <si>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</si>
  <si>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</si>
  <si>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</si>
  <si>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</si>
  <si>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</si>
  <si>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</si>
  <si>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</si>
  <si>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t>
  </si>
  <si>
    <t xml:space="preserve">%</t>
  </si>
  <si>
    <t xml:space="preserve">Herramientas Menores</t>
  </si>
  <si>
    <t xml:space="preserve">INSMON03-COB-MNR-35</t>
  </si>
  <si>
    <t xml:space="preserve">INSMONPEX</t>
  </si>
  <si>
    <t xml:space="preserve">Capítulo</t>
  </si>
  <si>
    <t xml:space="preserve">MONTANTES (PEX-AL-PE)</t>
  </si>
  <si>
    <t xml:space="preserve">INSMONPEX01</t>
  </si>
  <si>
    <t xml:space="preserve">Partida</t>
  </si>
  <si>
    <t xml:space="preserve">U</t>
  </si>
  <si>
    <t xml:space="preserve">DESMONTAJE DE TUBERIA</t>
  </si>
  <si>
    <t xml:space="preserve">Desmontaje de tubos de hierro y/o plomo de hasta 1" de diámetro, en instalación superficial de distribución de agua, con medios manuales, sin deteriorar los elementos constructivos a los que están sujetos, y carga manual sobre camión o contenedor.</t>
  </si>
  <si>
    <t xml:space="preserve">m.o.1</t>
  </si>
  <si>
    <t xml:space="preserve">Mano de obra</t>
  </si>
  <si>
    <t xml:space="preserve">h</t>
  </si>
  <si>
    <t xml:space="preserve">Mano de Obra: 1 Oficial de 1ª, 1 Ayudante y 1/2 Ayudante</t>
  </si>
  <si>
    <t xml:space="preserve">INSMONPEX01</t>
  </si>
  <si>
    <t xml:space="preserve">INSMONPEX02</t>
  </si>
  <si>
    <t xml:space="preserve">Partida</t>
  </si>
  <si>
    <t xml:space="preserve">M</t>
  </si>
  <si>
    <t xml:space="preserve">MONTANTE DE TUBO MULTICAPA CON AISLAMIENTO PERT-AL-PERT</t>
  </si>
  <si>
    <t xml:space="preserve">Tubería para montante de fontanería, colocada superficialmente y fijada al paramento, formada por tubo multicapa con aislamiento (PERT-AL-PERT) multicapa, de diametro adecuado. No incluye: material auxiliar para montaje y sujeción a la obra.</t>
  </si>
  <si>
    <t xml:space="preserve">ma-bm-10286310</t>
  </si>
  <si>
    <t xml:space="preserve">Material</t>
  </si>
  <si>
    <t xml:space="preserve">rollo</t>
  </si>
  <si>
    <t xml:space="preserve">Tubo MULTICAPA PERT-AL-PERT 25 mm; espesor 2,5 mm (25 m/rollo).   Ref. bm-10286310</t>
  </si>
  <si>
    <t xml:space="preserve">m.o.1</t>
  </si>
  <si>
    <t xml:space="preserve">Mano de obra</t>
  </si>
  <si>
    <t xml:space="preserve">h</t>
  </si>
  <si>
    <t xml:space="preserve">Mano de Obra: 1 Oficial de 1ª, 1 Ayudante y 1/2 Ayudante</t>
  </si>
  <si>
    <t xml:space="preserve">INSMONPEX02</t>
  </si>
  <si>
    <t xml:space="preserve">INSMONPEX03</t>
  </si>
  <si>
    <t xml:space="preserve">Partida</t>
  </si>
  <si>
    <t xml:space="preserve">U</t>
  </si>
  <si>
    <t xml:space="preserve">CONEXIONES (PERT-AL-PERT)</t>
  </si>
  <si>
    <t xml:space="preserve">Suministro y colocacion de conexiones, inluso; llaves de paso, codos, manguitos, yee, tee y pegamento para la correcta ejecucion de los trabajos.</t>
  </si>
  <si>
    <t xml:space="preserve">00163525</t>
  </si>
  <si>
    <t xml:space="preserve">Material</t>
  </si>
  <si>
    <t xml:space="preserve">u</t>
  </si>
  <si>
    <t xml:space="preserve">LLAVE ESFERA FITTINGS MULTICAPA 25 Ref.: 00163525</t>
  </si>
  <si>
    <t xml:space="preserve">m.o.1</t>
  </si>
  <si>
    <t xml:space="preserve">Mano de obra</t>
  </si>
  <si>
    <t xml:space="preserve">h</t>
  </si>
  <si>
    <t xml:space="preserve">Mano de Obra: 1 Oficial de 1ª, 1 Ayudante y 1/2 Ayudante</t>
  </si>
  <si>
    <t xml:space="preserve">00570210</t>
  </si>
  <si>
    <t xml:space="preserve">Material</t>
  </si>
  <si>
    <t xml:space="preserve">u</t>
  </si>
  <si>
    <t xml:space="preserve">MANGUITO 25 MULTICAPA MULTIPEX Ref.: 00570210</t>
  </si>
  <si>
    <t xml:space="preserve">00099509</t>
  </si>
  <si>
    <t xml:space="preserve">Material</t>
  </si>
  <si>
    <t xml:space="preserve">u</t>
  </si>
  <si>
    <t xml:space="preserve">CODO MULTICAPA Ø 25 Ref.: 00099509</t>
  </si>
  <si>
    <t xml:space="preserve">00570285</t>
  </si>
  <si>
    <t xml:space="preserve">Material</t>
  </si>
  <si>
    <t xml:space="preserve">u</t>
  </si>
  <si>
    <t xml:space="preserve">TÉ IGUAL 25 MULTICAPA MULTIPEX Ref.: 00570285</t>
  </si>
  <si>
    <t xml:space="preserve">INSMONPEX03</t>
  </si>
  <si>
    <t xml:space="preserve">INSMONPEX04</t>
  </si>
  <si>
    <t xml:space="preserve">Partida</t>
  </si>
  <si>
    <t xml:space="preserve">U</t>
  </si>
  <si>
    <t xml:space="preserve">FIJACION</t>
  </si>
  <si>
    <t xml:space="preserve">suministro y colocacion de material auxiliar de soporteria para montaje y sujeción a la obra. Incluye: Carril metalico y grapas de sujecion.</t>
  </si>
  <si>
    <t xml:space="preserve">carr1</t>
  </si>
  <si>
    <t xml:space="preserve">Material</t>
  </si>
  <si>
    <t xml:space="preserve">m</t>
  </si>
  <si>
    <t xml:space="preserve">CARRIL METÁLICO PARA GRAPA CSG 20X10 2 M FISCHER</t>
  </si>
  <si>
    <t xml:space="preserve">00094316</t>
  </si>
  <si>
    <t xml:space="preserve">Material</t>
  </si>
  <si>
    <t xml:space="preserve">u</t>
  </si>
  <si>
    <t xml:space="preserve">ABRAZADERA PARA CABLES Y TUBOS CLIP FT 25 FISCHER Ref.: 00094316</t>
  </si>
  <si>
    <t xml:space="preserve">00215083</t>
  </si>
  <si>
    <t xml:space="preserve">Material</t>
  </si>
  <si>
    <t xml:space="preserve">u</t>
  </si>
  <si>
    <t xml:space="preserve">TACO DUOPOWER 6X30 S 50 UD FISCHER Ref.: 00215083</t>
  </si>
  <si>
    <t xml:space="preserve">m.o.1</t>
  </si>
  <si>
    <t xml:space="preserve">Mano de obra</t>
  </si>
  <si>
    <t xml:space="preserve">h</t>
  </si>
  <si>
    <t xml:space="preserve">Mano de Obra: 1 Oficial de 1ª, 1 Ayudante y 1/2 Ayudante</t>
  </si>
  <si>
    <t xml:space="preserve">INSMONPEX04</t>
  </si>
  <si>
    <t xml:space="preserve">ALB03</t>
  </si>
  <si>
    <t xml:space="preserve">Partida</t>
  </si>
  <si>
    <t xml:space="preserve">PAR</t>
  </si>
  <si>
    <t xml:space="preserve">AYUDAS DE ALBAÑILERIA PARA FONTANERIA</t>
  </si>
  <si>
    <t xml:space="preserve">Ayudas de albañilería, necesarias para la correcta ejecución de la instalación de fontanería formada por: tubo de alimentación, montantes, instalación interior, cualquier otro elemento componente de la instalación, accesorios y piezas especiales, con un grado de complejidad medio, en edificio plurifamiliar, incluida p/p de elementos comunes. Incluso material auxiliar para la correcta ejecución de los trabajos.</t>
  </si>
  <si>
    <t xml:space="preserve">m.o.1</t>
  </si>
  <si>
    <t xml:space="preserve">Mano de obra</t>
  </si>
  <si>
    <t xml:space="preserve">h</t>
  </si>
  <si>
    <t xml:space="preserve">Mano de Obra: 1 Oficial de 1ª, 1 Ayudante y 1/2 Ayudante</t>
  </si>
  <si>
    <t xml:space="preserve">ALB03</t>
  </si>
  <si>
    <t xml:space="preserve">INSMONPEX05</t>
  </si>
  <si>
    <t xml:space="preserve">Partida</t>
  </si>
  <si>
    <t xml:space="preserve">PAR</t>
  </si>
  <si>
    <t xml:space="preserve">PRUEBA DE PRESION HIDROSTATICA (ESTANQUIDAD)</t>
  </si>
  <si>
    <t xml:space="preserve">PRUEBA DE PRESION HIDROSTATICA (ESTANQUIDAD)</t>
  </si>
  <si>
    <t xml:space="preserve">BOMBESTANQ</t>
  </si>
  <si>
    <t xml:space="preserve">Material</t>
  </si>
  <si>
    <t xml:space="preserve">U</t>
  </si>
  <si>
    <t xml:space="preserve">VEVOR Bomba de Prueba de Presión Hidrostática 25 bar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</si>
  <si>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</si>
  <si>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</si>
  <si>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</si>
  <si>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</si>
  <si>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</si>
  <si>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</si>
  <si>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</si>
  <si>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</si>
  <si>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</si>
  <si>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</si>
  <si>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</si>
  <si>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</si>
  <si>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</si>
  <si>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</si>
  <si>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</si>
  <si>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</si>
  <si>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</si>
  <si>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INSMONPEX05</t>
  </si>
  <si>
    <t xml:space="preserve">RE.INS.MON-HG-25mm-AT</t>
  </si>
  <si>
    <t xml:space="preserve">Partida</t>
  </si>
  <si>
    <t xml:space="preserve">m</t>
  </si>
  <si>
    <t xml:space="preserve">REINTALACIÓN DE MONTANTES DE AGUA POTABLE CON TUBERÍA ROSCADA Y  A VISTA DE HIERRO GALVANIZADO 25 mm</t>
  </si>
  <si>
    <t xml:space="preserve">REINTALACIÓN DE MONTANTES DE AGUA POTABLE CON TUBERÍA ROSCADA Y  A VISTA DE HIERRO GALVANIZADO 25 mm</t>
  </si>
  <si>
    <t xml:space="preserve">ma-lp-00017555</t>
  </si>
  <si>
    <t xml:space="preserve">Material</t>
  </si>
  <si>
    <t xml:space="preserve">pza</t>
  </si>
  <si>
    <t xml:space="preserve">Carril de montaje FISCHER SAMONTEC FUS 41/21/2 (2 m/pza).   Ref. lp-00017555</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</si>
  <si>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</si>
  <si>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</si>
  <si>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</si>
  <si>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</si>
  <si>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</si>
  <si>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</si>
  <si>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</si>
  <si>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</si>
  <si>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</si>
  <si>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</si>
  <si>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</si>
  <si>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</si>
  <si>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</si>
  <si>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ma-lp-00215083</t>
  </si>
  <si>
    <t xml:space="preserve">Material</t>
  </si>
  <si>
    <t xml:space="preserve">caja</t>
  </si>
  <si>
    <t xml:space="preserve">Taco DUOPOWER de FISCHER (50 pzas/caja).   Ref. lp-00215083</t>
  </si>
  <si>
    <t xml:space="preserve">ma-lp-00094317</t>
  </si>
  <si>
    <t xml:space="preserve">Material</t>
  </si>
  <si>
    <t xml:space="preserve">pza</t>
  </si>
  <si>
    <t xml:space="preserve">Abrazadera FISCHER CLIP FT para la fijación de cables y tubos IEC 32 mm.   Ref. lp-00094317</t>
  </si>
  <si>
    <t xml:space="preserve">ma-lp-00010889</t>
  </si>
  <si>
    <t xml:space="preserve">Material</t>
  </si>
  <si>
    <t xml:space="preserve">rollo</t>
  </si>
  <si>
    <t xml:space="preserve">Cinta Teflón PTFE de GYMCOL 25 mm (25 m/rollo).   Ref. lp-00010889</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</si>
  <si>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</si>
  <si>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</si>
  <si>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</si>
  <si>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</si>
  <si>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</si>
  <si>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</si>
  <si>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</si>
  <si>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</si>
  <si>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t>
  </si>
  <si>
    <t xml:space="preserve">%</t>
  </si>
  <si>
    <t xml:space="preserve">Herramientas Menores</t>
  </si>
  <si>
    <t xml:space="preserve">RE.INS.MON-HG-25mm-AT</t>
  </si>
  <si>
    <t xml:space="preserve">INSMONPEX</t>
  </si>
  <si>
    <t xml:space="preserve">INSMONCOB</t>
  </si>
  <si>
    <t xml:space="preserve">Capítulo</t>
  </si>
  <si>
    <t xml:space="preserve">MONTANTES (COBRE)</t>
  </si>
  <si>
    <t xml:space="preserve">INSMONCOB01</t>
  </si>
  <si>
    <t xml:space="preserve">Partida</t>
  </si>
  <si>
    <t xml:space="preserve">U</t>
  </si>
  <si>
    <t xml:space="preserve">AISLAMIENTO</t>
  </si>
  <si>
    <t xml:space="preserve">Suministro y colocacion de tubo de aislamiento compuesto de espuma de polietileno de 20mm de diametro y 6mm de espesor.</t>
  </si>
  <si>
    <t xml:space="preserve">00011090</t>
  </si>
  <si>
    <t xml:space="preserve">Material</t>
  </si>
  <si>
    <t xml:space="preserve">m</t>
  </si>
  <si>
    <t xml:space="preserve">COQUILLA CAUCHO 6X22 MM 2 M Ref.: 00011090</t>
  </si>
  <si>
    <t xml:space="preserve">m.o.1</t>
  </si>
  <si>
    <t xml:space="preserve">Mano de obra</t>
  </si>
  <si>
    <t xml:space="preserve">h</t>
  </si>
  <si>
    <t xml:space="preserve">Mano de Obra: 1 Oficial de 1ª, 1 Ayudante y 1/2 Ayudante</t>
  </si>
  <si>
    <t xml:space="preserve">INSMONCOB01</t>
  </si>
  <si>
    <t xml:space="preserve">INSMONCOB02</t>
  </si>
  <si>
    <t xml:space="preserve">Partida</t>
  </si>
  <si>
    <t xml:space="preserve">PAR</t>
  </si>
  <si>
    <t xml:space="preserve">CONEXIONES DE COBRE</t>
  </si>
  <si>
    <t xml:space="preserve">Suministro y colocacion de conexiones, inluso; llaves de paso, codos, manguitos, yee, tee y pegamento para la correcta ejecucion de los trabajos.</t>
  </si>
  <si>
    <t xml:space="preserve">00010942</t>
  </si>
  <si>
    <t xml:space="preserve">Material</t>
  </si>
  <si>
    <t xml:space="preserve">u</t>
  </si>
  <si>
    <t xml:space="preserve">CODO H-H COBRE Ø 22 Ref.: 00010942</t>
  </si>
  <si>
    <t xml:space="preserve">00011568</t>
  </si>
  <si>
    <t xml:space="preserve">Material</t>
  </si>
  <si>
    <t xml:space="preserve">u</t>
  </si>
  <si>
    <t xml:space="preserve">MANGUITO COBRE Ø 22 Ref.: 00011568</t>
  </si>
  <si>
    <t xml:space="preserve">00012129</t>
  </si>
  <si>
    <t xml:space="preserve">Material</t>
  </si>
  <si>
    <t xml:space="preserve">u</t>
  </si>
  <si>
    <t xml:space="preserve">TE COBRE Ø 22 Ref.: 00012129</t>
  </si>
  <si>
    <t xml:space="preserve">00012439</t>
  </si>
  <si>
    <t xml:space="preserve">Material</t>
  </si>
  <si>
    <t xml:space="preserve">u</t>
  </si>
  <si>
    <t xml:space="preserve">VÁLVULA ESFERA M-H PALANCA Ø 1" TURIA 3000 Ref.: 00012439</t>
  </si>
  <si>
    <t xml:space="preserve">INSMONCOB02</t>
  </si>
  <si>
    <t xml:space="preserve">INSMONCOB03</t>
  </si>
  <si>
    <t xml:space="preserve">Partida</t>
  </si>
  <si>
    <t xml:space="preserve">ML</t>
  </si>
  <si>
    <t xml:space="preserve">MONTANTE DE COBRE</t>
  </si>
  <si>
    <t xml:space="preserve">Tubería para montante de fontanería, colocada superficialmente, formada por tubo de cobre rígido de 22 y 28 mm de diámetro.</t>
  </si>
  <si>
    <t xml:space="preserve">00180065</t>
  </si>
  <si>
    <t xml:space="preserve">Material</t>
  </si>
  <si>
    <t xml:space="preserve">m</t>
  </si>
  <si>
    <t xml:space="preserve">TUBO COBRE Ø 22 2,5 M Ref.: 00180065</t>
  </si>
  <si>
    <t xml:space="preserve">cufij</t>
  </si>
  <si>
    <t xml:space="preserve">Material</t>
  </si>
  <si>
    <t xml:space="preserve">u</t>
  </si>
  <si>
    <t xml:space="preserve">Material auxiliar para montaje y sujeción a la obra de las tuberías de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</si>
  <si>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</si>
  <si>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</si>
  <si>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</si>
  <si>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</si>
  <si>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</si>
  <si>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</si>
  <si>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</si>
  <si>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</si>
  <si>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</si>
  <si>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</si>
  <si>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</si>
  <si>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</si>
  <si>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</si>
  <si>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</si>
  <si>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</si>
  <si>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</si>
  <si>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</si>
  <si>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INSMONCOB03</t>
  </si>
  <si>
    <t xml:space="preserve">INSMONCOB</t>
  </si>
  <si>
    <t xml:space="preserve">INSMON</t>
  </si>
  <si>
    <t xml:space="preserve">INSAMIAN</t>
  </si>
  <si>
    <t xml:space="preserve">Capítulo</t>
  </si>
  <si>
    <t xml:space="preserve">FIBROCEMENTO Y/O AMIANTO</t>
  </si>
  <si>
    <t xml:space="preserve">INSAMIAN00</t>
  </si>
  <si>
    <t xml:space="preserve">Partida</t>
  </si>
  <si>
    <t xml:space="preserve">PAR</t>
  </si>
  <si>
    <t xml:space="preserve">SUBIDA Y BAJADA DE CABINA A CUBIERTA</t>
  </si>
  <si>
    <t xml:space="preserve">DDDD</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</si>
  <si>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</si>
  <si>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</si>
  <si>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</si>
  <si>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</si>
  <si>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</si>
  <si>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</si>
  <si>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</si>
  <si>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</si>
  <si>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</si>
  <si>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</si>
  <si>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</si>
  <si>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</si>
  <si>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</si>
  <si>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</si>
  <si>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</si>
  <si>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</si>
  <si>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</si>
  <si>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INSAMIAN00</t>
  </si>
  <si>
    <t xml:space="preserve">INSAMIAN02</t>
  </si>
  <si>
    <t xml:space="preserve">Partida</t>
  </si>
  <si>
    <t xml:space="preserve">PAR</t>
  </si>
  <si>
    <t xml:space="preserve">CABINA DE DESCONTAMINACION</t>
  </si>
  <si>
    <t xml:space="preserve">Cabina para descontaminacion de amianto, utilizada como transición entre la zona contaminada o área de trabajo y la zona no contaminada, por la que todas las personas que hayan estado expuestas a amianto deben pasar para descontaminarse.</t>
  </si>
  <si>
    <t xml:space="preserve">CAB1</t>
  </si>
  <si>
    <t xml:space="preserve">Maquinaria</t>
  </si>
  <si>
    <t xml:space="preserve">dia</t>
  </si>
  <si>
    <t xml:space="preserve">Esclusa personal ECO-LINE modelo 900, 3 cámaras con palet de transporte vertical</t>
  </si>
  <si>
    <t xml:space="preserve">CAB2</t>
  </si>
  <si>
    <t xml:space="preserve">Maquinaria</t>
  </si>
  <si>
    <t xml:space="preserve">dia</t>
  </si>
  <si>
    <t xml:space="preserve">Tratamiento de agua termosifón C 25 L / S</t>
  </si>
  <si>
    <t xml:space="preserve">CAB3</t>
  </si>
  <si>
    <t xml:space="preserve">Maquinaria</t>
  </si>
  <si>
    <t xml:space="preserve">u</t>
  </si>
  <si>
    <t xml:space="preserve">Filtro agua residual 10", 1?</t>
  </si>
  <si>
    <t xml:space="preserve">CAB4</t>
  </si>
  <si>
    <t xml:space="preserve">Maquinaria</t>
  </si>
  <si>
    <t xml:space="preserve">dia</t>
  </si>
  <si>
    <t xml:space="preserve">Depresor D 20, potencia 140m3/h, conexión 220 Voltios, se conecta directamente a la pared de la esclusa,</t>
  </si>
  <si>
    <t xml:space="preserve">CAB5</t>
  </si>
  <si>
    <t xml:space="preserve">Maquinaria</t>
  </si>
  <si>
    <t xml:space="preserve">dia</t>
  </si>
  <si>
    <t xml:space="preserve">12 ud de Filtro roscado PF10 P3, conexión rosca EN 148-1</t>
  </si>
  <si>
    <t xml:space="preserve">m.o.1.fib</t>
  </si>
  <si>
    <t xml:space="preserve">Mano de obra</t>
  </si>
  <si>
    <t xml:space="preserve">h</t>
  </si>
  <si>
    <t xml:space="preserve">Mano de obra(FIBROCEMENTO) 1 : 1 Oficial + 2  Ayudante</t>
  </si>
  <si>
    <t xml:space="preserve">trns1</t>
  </si>
  <si>
    <t xml:space="preserve">Maquinaria</t>
  </si>
  <si>
    <t xml:space="preserve">u</t>
  </si>
  <si>
    <t xml:space="preserve">Transporte ida y vuelta</t>
  </si>
  <si>
    <t xml:space="preserve">INSAMIAN02</t>
  </si>
  <si>
    <t xml:space="preserve">INSAMIAN05</t>
  </si>
  <si>
    <t xml:space="preserve">Partida</t>
  </si>
  <si>
    <t xml:space="preserve">PAR</t>
  </si>
  <si>
    <t xml:space="preserve">SEÑALIZACION</t>
  </si>
  <si>
    <t xml:space="preserve">Señalizacion de la zona de trabajo y perimetro de seguridad para el control de acceso a obra con el objetivo de evitar la exposición al amianto de terceras personas.</t>
  </si>
  <si>
    <t xml:space="preserve">SEN1</t>
  </si>
  <si>
    <t xml:space="preserve">Material</t>
  </si>
  <si>
    <t xml:space="preserve">u</t>
  </si>
  <si>
    <t xml:space="preserve">CARTEL MULTISEÑAL AMIANTO Montadas sobre PVC Semirrígido de - 600 x 500</t>
  </si>
  <si>
    <t xml:space="preserve">SEN2</t>
  </si>
  <si>
    <t xml:space="preserve">Material</t>
  </si>
  <si>
    <t xml:space="preserve">u</t>
  </si>
  <si>
    <t xml:space="preserve">CARTEL MULTISEÑAL AMIANTO Montadas sobre PVC Semirrígido de - 500 x 300</t>
  </si>
  <si>
    <t xml:space="preserve">SEN3</t>
  </si>
  <si>
    <t xml:space="preserve">Material</t>
  </si>
  <si>
    <t xml:space="preserve">u</t>
  </si>
  <si>
    <t xml:space="preserve">ETIQUETAS ADHESIVAS LOGO AMIANTO Pre-cortadas 30 uds de . 10 cm x 4cm</t>
  </si>
  <si>
    <t xml:space="preserve">SEN4</t>
  </si>
  <si>
    <t xml:space="preserve">Material</t>
  </si>
  <si>
    <t xml:space="preserve">u</t>
  </si>
  <si>
    <t xml:space="preserve">ETIQUETAS ADHESIVAS LOGO AMIANTO Pre-cortadas 15 uds de . 18 cm x 7cm</t>
  </si>
  <si>
    <t xml:space="preserve">SEN5</t>
  </si>
  <si>
    <t xml:space="preserve">Material</t>
  </si>
  <si>
    <t xml:space="preserve">u</t>
  </si>
  <si>
    <t xml:space="preserve">ETIQUETA RESIDUOS AMIANTO ROLLOS DE VINILO ADHES Pre-cortadas 15 uds de . 10cm x 15 cm</t>
  </si>
  <si>
    <t xml:space="preserve">m.o.1.fib</t>
  </si>
  <si>
    <t xml:space="preserve">Mano de obra</t>
  </si>
  <si>
    <t xml:space="preserve">h</t>
  </si>
  <si>
    <t xml:space="preserve">Mano de obra(FIBROCEMENTO) 1 : 1 Oficial + 2  Ayudante</t>
  </si>
  <si>
    <t xml:space="preserve">INSAMIAN05</t>
  </si>
  <si>
    <t xml:space="preserve">INSAMIAN08</t>
  </si>
  <si>
    <t xml:space="preserve">Partida</t>
  </si>
  <si>
    <t xml:space="preserve">PAR</t>
  </si>
  <si>
    <t xml:space="preserve">EQUIPO DE PROTECCION INDIVIDUAL</t>
  </si>
  <si>
    <t xml:space="preserve">Suministro de equipamiento para operarios especializados, vestirán buzos desechables con las costuras selladas con capucha incorporada y elásticos en las muñecas y tobillos. Incluye; Equipos de protección individual con los que debe combinarse el traje: Mascarillas respiratorias, gafas, calzado y guantes de proteccion.</t>
  </si>
  <si>
    <t xml:space="preserve">EPI01</t>
  </si>
  <si>
    <t xml:space="preserve">Material</t>
  </si>
  <si>
    <t xml:space="preserve">u</t>
  </si>
  <si>
    <t xml:space="preserve">BUZO PROTECCIÓN CLASSIC XPERT T/L</t>
  </si>
  <si>
    <t xml:space="preserve">EPI02</t>
  </si>
  <si>
    <t xml:space="preserve">Material</t>
  </si>
  <si>
    <t xml:space="preserve">u</t>
  </si>
  <si>
    <t xml:space="preserve">GUANTE DE NITRILO</t>
  </si>
  <si>
    <t xml:space="preserve">EPI03</t>
  </si>
  <si>
    <t xml:space="preserve">Material</t>
  </si>
  <si>
    <t xml:space="preserve">u</t>
  </si>
  <si>
    <t xml:space="preserve">GAFA PROTECCIÓN MOD. 539</t>
  </si>
  <si>
    <t xml:space="preserve">EPI04</t>
  </si>
  <si>
    <t xml:space="preserve">Material</t>
  </si>
  <si>
    <t xml:space="preserve">u</t>
  </si>
  <si>
    <t xml:space="preserve">CUBREBOTAS</t>
  </si>
  <si>
    <t xml:space="preserve">EPI05</t>
  </si>
  <si>
    <t xml:space="preserve">Material</t>
  </si>
  <si>
    <t xml:space="preserve">u</t>
  </si>
  <si>
    <t xml:space="preserve">MASCARILLA AUTOFILTRANTE FFP3 NR DV, CE00086, EPI CAT. III</t>
  </si>
  <si>
    <t xml:space="preserve">INSAMIAN08</t>
  </si>
  <si>
    <t xml:space="preserve">INSAMIAN06</t>
  </si>
  <si>
    <t xml:space="preserve">Partida</t>
  </si>
  <si>
    <t xml:space="preserve">PAR</t>
  </si>
  <si>
    <t xml:space="preserve">ENCAPSULADO DE AMIANTO</t>
  </si>
  <si>
    <t xml:space="preserve">Encapsulado de bajante, cubierta y/o depositos de fibrocemento con amianto, procediendo a humedecido del material con una solucion acuosa aplicada a baja presión para evitar la dispersión de fibras de amianto al ambiente.</t>
  </si>
  <si>
    <t xml:space="preserve">PULV1</t>
  </si>
  <si>
    <t xml:space="preserve">Material</t>
  </si>
  <si>
    <t xml:space="preserve">u</t>
  </si>
  <si>
    <t xml:space="preserve">PULVERIZADOR PRES.PREV - + EMULTON ( LISTO PARA USAR )</t>
  </si>
  <si>
    <t xml:space="preserve">m.o.1.fib</t>
  </si>
  <si>
    <t xml:space="preserve">Mano de obra</t>
  </si>
  <si>
    <t xml:space="preserve">h</t>
  </si>
  <si>
    <t xml:space="preserve">Mano de obra(FIBROCEMENTO) 1 : 1 Oficial + 2  Ayudante</t>
  </si>
  <si>
    <t xml:space="preserve">INSAMIAN06</t>
  </si>
  <si>
    <t xml:space="preserve">INSAMIAN01</t>
  </si>
  <si>
    <t xml:space="preserve">Partida</t>
  </si>
  <si>
    <t xml:space="preserve">DIA</t>
  </si>
  <si>
    <t xml:space="preserve">DESMONTAJE DE BAJANTE DE FIBROCEMENTO CON AMIANTO</t>
  </si>
  <si>
    <t xml:space="preserve">Retirada de bajante de fibrocemento, realización del trabajo con personal especializado y de acuerdo con el Plan de Trabajo, elaborado por la empresa especialista y aprobado previamente por la Autoridad Laboral competente, en cumplimiento de lo que regula el RD 396/2006 de 31 de Marzo de 2006 , por el que se establecen las disposiciones mínimas de seguridad y salud aplicables a los trabajos con riesgo de exposición al amianto.</t>
  </si>
  <si>
    <t xml:space="preserve">m.o.1.fib</t>
  </si>
  <si>
    <t xml:space="preserve">Mano de obra</t>
  </si>
  <si>
    <t xml:space="preserve">h</t>
  </si>
  <si>
    <t xml:space="preserve">Mano de obra(FIBROCEMENTO) 1 : 1 Oficial + 2  Ayudante</t>
  </si>
  <si>
    <t xml:space="preserve">INSAMIAN01</t>
  </si>
  <si>
    <t xml:space="preserve">INSAMIAN03</t>
  </si>
  <si>
    <t xml:space="preserve">Partida</t>
  </si>
  <si>
    <t xml:space="preserve">DIA</t>
  </si>
  <si>
    <t xml:space="preserve">ASPIRADO</t>
  </si>
  <si>
    <t xml:space="preserve">Aspiradora con filtro HEPA para la limpieza del área de trabajo, con filtros de alta eficacia HEPA para el retiro de particulas sueltas.</t>
  </si>
  <si>
    <t xml:space="preserve">FILHEPA</t>
  </si>
  <si>
    <t xml:space="preserve">Maquinaria</t>
  </si>
  <si>
    <t xml:space="preserve">u</t>
  </si>
  <si>
    <t xml:space="preserve">ALQUILER ASPIRADORA Filtro HEPA una semana</t>
  </si>
  <si>
    <t xml:space="preserve">filtr</t>
  </si>
  <si>
    <t xml:space="preserve">Material</t>
  </si>
  <si>
    <t xml:space="preserve">u</t>
  </si>
  <si>
    <t xml:space="preserve">FILTRO CARTUCHO HEPA Certif . H - EcosPit</t>
  </si>
  <si>
    <t xml:space="preserve">filti</t>
  </si>
  <si>
    <t xml:space="preserve">Material</t>
  </si>
  <si>
    <t xml:space="preserve">u</t>
  </si>
  <si>
    <t xml:space="preserve">FILTRO BOLSA SEGURIDAD PACK-3 EcosPit</t>
  </si>
  <si>
    <t xml:space="preserve">m.o.1.fib</t>
  </si>
  <si>
    <t xml:space="preserve">Mano de obra</t>
  </si>
  <si>
    <t xml:space="preserve">h</t>
  </si>
  <si>
    <t xml:space="preserve">Mano de obra(FIBROCEMENTO) 1 : 1 Oficial + 2  Ayudante</t>
  </si>
  <si>
    <t xml:space="preserve">INSAMIAN03</t>
  </si>
  <si>
    <t xml:space="preserve">INSAMIAN04</t>
  </si>
  <si>
    <t xml:space="preserve">Partida</t>
  </si>
  <si>
    <t xml:space="preserve">PAR</t>
  </si>
  <si>
    <t xml:space="preserve">PLASTIFICADO, ETIQUETADO Y PALETIZADO.</t>
  </si>
  <si>
    <t xml:space="preserve">Plastificado con lamina negra para amianto, el etiquetado con logotipo de amianto, el paletizado del material en forma ordenada sobre pallet para su posterior retiro a vertedero autorizado.</t>
  </si>
  <si>
    <t xml:space="preserve">CINTABAL</t>
  </si>
  <si>
    <t xml:space="preserve">Material</t>
  </si>
  <si>
    <t xml:space="preserve">u</t>
  </si>
  <si>
    <t xml:space="preserve">CINTA BALIZAMIENTO AMIANTO LOGO AMIANTO ROLLO DE 200MTSX80MM</t>
  </si>
  <si>
    <t xml:space="preserve">CINAD</t>
  </si>
  <si>
    <t xml:space="preserve">Material</t>
  </si>
  <si>
    <t xml:space="preserve">u</t>
  </si>
  <si>
    <t xml:space="preserve">CINTA Adhesiva c/ LOGO AMIANTO ROLLO 66MTSX50MM</t>
  </si>
  <si>
    <t xml:space="preserve">CINAD02</t>
  </si>
  <si>
    <t xml:space="preserve">Material</t>
  </si>
  <si>
    <t xml:space="preserve">u</t>
  </si>
  <si>
    <t xml:space="preserve">CINTA Adhesiva Amarilla / Negra 25 mt x 80 mm</t>
  </si>
  <si>
    <t xml:space="preserve">roll300</t>
  </si>
  <si>
    <t xml:space="preserve">Material</t>
  </si>
  <si>
    <t xml:space="preserve">u</t>
  </si>
  <si>
    <t xml:space="preserve">Lámina negra, 100um, 6 x 50 m (300 m2)</t>
  </si>
  <si>
    <t xml:space="preserve">m.o.1.fib</t>
  </si>
  <si>
    <t xml:space="preserve">Mano de obra</t>
  </si>
  <si>
    <t xml:space="preserve">h</t>
  </si>
  <si>
    <t xml:space="preserve">Mano de obra(FIBROCEMENTO) 1 : 1 Oficial + 2  Ayudante</t>
  </si>
  <si>
    <t xml:space="preserve">INSAMIAN04</t>
  </si>
  <si>
    <t xml:space="preserve">INSAMIAN10</t>
  </si>
  <si>
    <t xml:space="preserve">Partida</t>
  </si>
  <si>
    <t xml:space="preserve">U</t>
  </si>
  <si>
    <t xml:space="preserve">PRUEBA DE PRESENCIA DE AMIANTO SAFETYWORKS</t>
  </si>
  <si>
    <t xml:space="preserve">Inspección de presencia de fibras de amianto en materiales de construcción para evaluar su composición y retirada de forma conveniente. Prueba ejecutada por laboratorio autorizado por el Ministerio de Trabajo para el recuento de fibras de amianto según la MTA/MA-051/A04 del INSHT según el BOE 271 de 10/11/2008 y acreditado por la Generalitat de Catalunya como laboratorio especializado en el análisis de fibras de amianto CT-ALA 1. Incluye informe final con los resultados de la prueba.</t>
  </si>
  <si>
    <t xml:space="preserve">prueba</t>
  </si>
  <si>
    <t xml:space="preserve">Material</t>
  </si>
  <si>
    <t xml:space="preserve">par</t>
  </si>
  <si>
    <t xml:space="preserve">Prueba de presencia de Amianto SAFETWORKS, incluye informe.</t>
  </si>
  <si>
    <t xml:space="preserve">INSAMIAN10</t>
  </si>
  <si>
    <t xml:space="preserve">GES003</t>
  </si>
  <si>
    <t xml:space="preserve">Partida</t>
  </si>
  <si>
    <t xml:space="preserve">PAR</t>
  </si>
  <si>
    <t xml:space="preserve">TRANSPORTE DE RESIDUOS PELIGROSOS</t>
  </si>
  <si>
    <t xml:space="preserve">Transporte de residuos peligrosos producidos en obras de construcción y/o demolición, con contenedor, a vertedero específico, instalación de tratamiento de residuos de construcción y demolición externa a la obra o centro de valorización o eliminación de residuos. Incluso servicio de entrega, alquiler y recogida en obra del contenedor. Teniendo encuenta las medidas para la eliminacion de estos segun la legislacion vigente. El transporte es autorizado por la ARC (Agencia de Residuos de Catalunya). El precio incluye el canon de vertido por entrega de residuos, la manipulacion, protecciones.</t>
  </si>
  <si>
    <t xml:space="preserve">EMB01</t>
  </si>
  <si>
    <t xml:space="preserve">Material</t>
  </si>
  <si>
    <t xml:space="preserve">u</t>
  </si>
  <si>
    <t xml:space="preserve">TROZOS: BIG BAG Dimens: Base 90 x 90 cm x 110 cm de alto</t>
  </si>
  <si>
    <t xml:space="preserve">EMB02</t>
  </si>
  <si>
    <t xml:space="preserve">Material</t>
  </si>
  <si>
    <t xml:space="preserve">u</t>
  </si>
  <si>
    <t xml:space="preserve">PLANCHAS: BIG BAG -Dim: Base 3,25 m x120 cm x35 cm alto</t>
  </si>
  <si>
    <t xml:space="preserve">EMB03</t>
  </si>
  <si>
    <t xml:space="preserve">Material</t>
  </si>
  <si>
    <t xml:space="preserve">u</t>
  </si>
  <si>
    <t xml:space="preserve">TUBOS: BIG BAG -Dim: Base 4.50 m x 60 cm x 60 cm alto</t>
  </si>
  <si>
    <t xml:space="preserve">EMB04</t>
  </si>
  <si>
    <t xml:space="preserve">Material</t>
  </si>
  <si>
    <t xml:space="preserve">u</t>
  </si>
  <si>
    <t xml:space="preserve">DEPOSIT: BIG BAG -Dim: Base1.20m x 1.20 m x 2.00 m alto</t>
  </si>
  <si>
    <t xml:space="preserve">FS</t>
  </si>
  <si>
    <t xml:space="preserve">Material</t>
  </si>
  <si>
    <t xml:space="preserve">u</t>
  </si>
  <si>
    <t xml:space="preserve">GESTION DE RESIDUO - HOJA FS</t>
  </si>
  <si>
    <t xml:space="preserve">TRNS3</t>
  </si>
  <si>
    <t xml:space="preserve">Maquinaria</t>
  </si>
  <si>
    <t xml:space="preserve">u</t>
  </si>
  <si>
    <t xml:space="preserve">TRANSPORTE DE RESIDUOS VERTEDERO AUTORIZADO MALADETA, 19</t>
  </si>
  <si>
    <t xml:space="preserve">RECU</t>
  </si>
  <si>
    <t xml:space="preserve">Material</t>
  </si>
  <si>
    <t xml:space="preserve">U</t>
  </si>
  <si>
    <t xml:space="preserve">RECUPERACION FONDO ECONOMICO</t>
  </si>
  <si>
    <t xml:space="preserve">TAS1</t>
  </si>
  <si>
    <t xml:space="preserve">Material</t>
  </si>
  <si>
    <t xml:space="preserve">U</t>
  </si>
  <si>
    <t xml:space="preserve">TASAS ESTATALES</t>
  </si>
  <si>
    <t xml:space="preserve">RES</t>
  </si>
  <si>
    <t xml:space="preserve">Maquinaria</t>
  </si>
  <si>
    <t xml:space="preserve">u</t>
  </si>
  <si>
    <t xml:space="preserve">(170605) RESIDUO FIBROCEMENTO DE 200 A 999 KG.</t>
  </si>
  <si>
    <t xml:space="preserve">GES003</t>
  </si>
  <si>
    <t xml:space="preserve">INSAMIAN09</t>
  </si>
  <si>
    <t xml:space="preserve">Partida</t>
  </si>
  <si>
    <t xml:space="preserve">M2</t>
  </si>
  <si>
    <t xml:space="preserve">DESMONTAJE DE PLACAS DE FIBROCEMENTO CON AMIANTO</t>
  </si>
  <si>
    <t xml:space="preserve">Retirada de cubierta de fibrocemento con amianto, realización del trabajo con personal especializado y de acuerdo con el Plan de Trabajo, elaborado por la empresa especialista y aprobado previamente por la Autoridad Laboral competente, en cumplimiento de lo que regula el RD 396/2006 de 31 de Marzo de 2006 , por el que se establecen las disposiciones mínimas de seguridad y salud aplicables a los trabajos con riesgo de exposición al amianto.</t>
  </si>
  <si>
    <t xml:space="preserve">INSAMIAN0901</t>
  </si>
  <si>
    <t xml:space="preserve">Partida</t>
  </si>
  <si>
    <t xml:space="preserve">M2</t>
  </si>
  <si>
    <t xml:space="preserve">DESMONTAJE DE PLACAS DE FIBROCEMENTO</t>
  </si>
  <si>
    <t xml:space="preserve">m.o.1.fib</t>
  </si>
  <si>
    <t xml:space="preserve">Mano de obra</t>
  </si>
  <si>
    <t xml:space="preserve">h</t>
  </si>
  <si>
    <t xml:space="preserve">Mano de obra(FIBROCEMENTO) 1 : 1 Oficial + 2  Ayudante</t>
  </si>
  <si>
    <t xml:space="preserve">INSAMIAN0901</t>
  </si>
  <si>
    <t xml:space="preserve">INSAMIAN09</t>
  </si>
  <si>
    <t xml:space="preserve">AUX015</t>
  </si>
  <si>
    <t xml:space="preserve">Partida</t>
  </si>
  <si>
    <t xml:space="preserve">H</t>
  </si>
  <si>
    <t xml:space="preserve">o PLATAFORMA ELEVADORA SUBE MUEBLES A VENTANAS</t>
  </si>
  <si>
    <t xml:space="preserve">Plataforma elevadora con acceso a terrazas o ventanas, para la elevacion de muebles.</t>
  </si>
  <si>
    <t xml:space="preserve">PLATF1</t>
  </si>
  <si>
    <t xml:space="preserve">Maquinaria</t>
  </si>
  <si>
    <t xml:space="preserve">h</t>
  </si>
  <si>
    <t xml:space="preserve">Plataforma elevadora con acceso a terrazas o ventanas, para la elevacion de muebles, Incluye: Operario</t>
  </si>
  <si>
    <t xml:space="preserve">PLATF2</t>
  </si>
  <si>
    <t xml:space="preserve">Maquinaria</t>
  </si>
  <si>
    <t xml:space="preserve">h</t>
  </si>
  <si>
    <t xml:space="preserve">Precio apartir de la 2da hora</t>
  </si>
  <si>
    <t xml:space="preserve">perm1</t>
  </si>
  <si>
    <t xml:space="preserve">Sin clasificar</t>
  </si>
  <si>
    <t xml:space="preserve">par</t>
  </si>
  <si>
    <t xml:space="preserve">Gestion del permiso por parte del industrial de la plataforma</t>
  </si>
  <si>
    <t xml:space="preserve">AUX015</t>
  </si>
  <si>
    <t xml:space="preserve">INSAMIAN11</t>
  </si>
  <si>
    <t xml:space="preserve">Partida</t>
  </si>
  <si>
    <t xml:space="preserve">PAR</t>
  </si>
  <si>
    <t xml:space="preserve">PLAN ESPECIFICO</t>
  </si>
  <si>
    <t xml:space="preserve">Realizacion de plan especifico realizado por un tecnico de prevencion de riesgos laborales, para el cumplimiento de todos los requisitos previstos por el Real Decreto 396/2006, y el articulo 13 del RD 296-06. El plan se abonara por anticipado, a la aceptacion del presupuesto, su tramite se demora 45 dias desde la fecha de entrada a registro.</t>
  </si>
  <si>
    <t xml:space="preserve">SAFETY</t>
  </si>
  <si>
    <t xml:space="preserve">Sin clasificar</t>
  </si>
  <si>
    <t xml:space="preserve">par</t>
  </si>
  <si>
    <t xml:space="preserve">Plan Especifico por SAFETWORKS</t>
  </si>
  <si>
    <t xml:space="preserve">INSAMIAN11</t>
  </si>
  <si>
    <t xml:space="preserve">INSAMIAN</t>
  </si>
  <si>
    <t xml:space="preserve">INSBAJ</t>
  </si>
  <si>
    <t xml:space="preserve">Capítulo</t>
  </si>
  <si>
    <t xml:space="preserve">o BAJANTE DE PVC</t>
  </si>
  <si>
    <t xml:space="preserve">DEM026</t>
  </si>
  <si>
    <t xml:space="preserve">Partida</t>
  </si>
  <si>
    <t xml:space="preserve">M</t>
  </si>
  <si>
    <t xml:space="preserve">o DEMOLICIÓN DE FORRADO DE CONDUCTOS</t>
  </si>
  <si>
    <t xml:space="preserve">Demolición del forrado de conductos para instalaciones, constituido por fábrica de ladrillo cerámico y revestido, con medios manuales,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</si>
  <si>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</si>
  <si>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</si>
  <si>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</si>
  <si>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</si>
  <si>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</si>
  <si>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</si>
  <si>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</si>
  <si>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</si>
  <si>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</si>
  <si>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</si>
  <si>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</si>
  <si>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</si>
  <si>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</si>
  <si>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</si>
  <si>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</si>
  <si>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</si>
  <si>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</si>
  <si>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</si>
  <si>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</si>
  <si>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</si>
  <si>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DEM026</t>
  </si>
  <si>
    <t xml:space="preserve">DES011</t>
  </si>
  <si>
    <t xml:space="preserve">Partida</t>
  </si>
  <si>
    <t xml:space="preserve">M</t>
  </si>
  <si>
    <t xml:space="preserve">o DESMONTAJE DE BAJANTE DE PVC</t>
  </si>
  <si>
    <t xml:space="preserve">Desmontaje de bajante de PVC, de 90mm A 160mm de diámetro máximo, con medios manuales, y carga manual sobre camión o contenedor. El precio incluye el desmontaje del material de sujeción, de los accesorios y de las piezas especiales.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</si>
  <si>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</si>
  <si>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</si>
  <si>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</si>
  <si>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</si>
  <si>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</si>
  <si>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</si>
  <si>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</si>
  <si>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</si>
  <si>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</si>
  <si>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</si>
  <si>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</si>
  <si>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</si>
  <si>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</si>
  <si>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</si>
  <si>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</si>
  <si>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</si>
  <si>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</si>
  <si>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</si>
  <si>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</si>
  <si>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</si>
  <si>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DES011</t>
  </si>
  <si>
    <t xml:space="preserve">DES011TV</t>
  </si>
  <si>
    <t xml:space="preserve">Partida</t>
  </si>
  <si>
    <t xml:space="preserve">M</t>
  </si>
  <si>
    <t xml:space="preserve">o DESMONTAJE DE BAJANTE DE PVC C/TRABAJOS VERTICALES</t>
  </si>
  <si>
    <t xml:space="preserve">Desmontaje de bajante de PVC CON TRABAJOS VERTICALES, de 90mm A 160mm de diámetro máximo, con medios manuales, y carga manual sobre camión o contenedor. El precio incluye el desmontaje del material de sujeción, de los accesorios y de las piezas especiales.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</si>
  <si>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</si>
  <si>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</si>
  <si>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</si>
  <si>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</si>
  <si>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</si>
  <si>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</si>
  <si>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</si>
  <si>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</si>
  <si>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</si>
  <si>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</si>
  <si>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</si>
  <si>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</si>
  <si>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</si>
  <si>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</si>
  <si>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</si>
  <si>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</si>
  <si>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</si>
  <si>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</si>
  <si>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</si>
  <si>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</si>
  <si>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DES011TV</t>
  </si>
  <si>
    <t xml:space="preserve">BAJ001</t>
  </si>
  <si>
    <t xml:space="preserve">Partida</t>
  </si>
  <si>
    <t xml:space="preserve">M</t>
  </si>
  <si>
    <t xml:space="preserve">o BAJANTE DE AGUAS RESIDUALES Y/O PLUVIALES DE PVC DE 110MM</t>
  </si>
  <si>
    <t xml:space="preserve">Suministro y colocación de bajante de la red de evacuación de aguas residuales y/o pluviales, formada por tubo de PVC, serie B, de 110 mm de diámetro; unión pegada con adhesivo. Incluso líquido limpiador, adhesivo para tubos y accesorios de PVC, material auxiliar para montaje y sujeción a la obra y accesorios.</t>
  </si>
  <si>
    <t xml:space="preserve">ma-lp-00002046</t>
  </si>
  <si>
    <t xml:space="preserve">Material</t>
  </si>
  <si>
    <t xml:space="preserve">pza</t>
  </si>
  <si>
    <t xml:space="preserve">Tubo de evacuación barra PVC diámetro 110 mm (3 m/pza).   Ref. lp-00002046</t>
  </si>
  <si>
    <t xml:space="preserve">ma-lp-00001433</t>
  </si>
  <si>
    <t xml:space="preserve">Material</t>
  </si>
  <si>
    <t xml:space="preserve">pza</t>
  </si>
  <si>
    <t xml:space="preserve">Derivación simple para evacuación H-H PVC 45º x 110 mm; color gris.   Ref. lp-00001433</t>
  </si>
  <si>
    <t xml:space="preserve">ma-lp-00001385</t>
  </si>
  <si>
    <t xml:space="preserve">Material</t>
  </si>
  <si>
    <t xml:space="preserve">pza</t>
  </si>
  <si>
    <t xml:space="preserve">Codo evacuación M-H PVC 45º x 110 mm; color gris.   Ref. lp-00001385</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</si>
  <si>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</si>
  <si>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</si>
  <si>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</si>
  <si>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</si>
  <si>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</si>
  <si>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</si>
  <si>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</si>
  <si>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</si>
  <si>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ma-lp-00010677</t>
  </si>
  <si>
    <t xml:space="preserve">Material</t>
  </si>
  <si>
    <t xml:space="preserve">pza</t>
  </si>
  <si>
    <t xml:space="preserve">Abrazadera regulable de aluminio esmaltado blanco para tubería 110 mm.   Ref. lp-00010677</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</si>
  <si>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</si>
  <si>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</si>
  <si>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</si>
  <si>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</si>
  <si>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</si>
  <si>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</si>
  <si>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</si>
  <si>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</si>
  <si>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</si>
  <si>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</si>
  <si>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</si>
  <si>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</si>
  <si>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</si>
  <si>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</si>
  <si>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</si>
  <si>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</si>
  <si>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</si>
  <si>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</si>
  <si>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</si>
  <si>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</si>
  <si>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</si>
  <si>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</si>
  <si>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</si>
  <si>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</si>
  <si>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</si>
  <si>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</si>
  <si>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</si>
  <si>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</si>
  <si>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</si>
  <si>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</si>
  <si>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</si>
  <si>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</si>
  <si>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</si>
  <si>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</si>
  <si>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</si>
  <si>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</si>
  <si>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</si>
  <si>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</si>
  <si>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</si>
  <si>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</si>
  <si>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BAJ001</t>
  </si>
  <si>
    <t xml:space="preserve">BAJ001TV</t>
  </si>
  <si>
    <t xml:space="preserve">Partida</t>
  </si>
  <si>
    <t xml:space="preserve">M</t>
  </si>
  <si>
    <t xml:space="preserve">o BAJANTE DE AGUAS RESIDUALES Y/O PLUVIALES DE PVC DE 110MM C/TRABAJOS VERTICALES</t>
  </si>
  <si>
    <t xml:space="preserve">Suministro y colocación CON TRABAJOS VERTICALES de bajante de la red de evacuación de aguas residuales y/o pluviales, formada por tubo de PVC, serie B, de 110 mm de diámetro; unión pegada con adhesivo. Incluso líquido limpiador, adhesivo para tubos y accesorios de PVC, material auxiliar para montaje y sujeción a la obra, accesorios.</t>
  </si>
  <si>
    <t xml:space="preserve">ma-lp-00002046</t>
  </si>
  <si>
    <t xml:space="preserve">Material</t>
  </si>
  <si>
    <t xml:space="preserve">pza</t>
  </si>
  <si>
    <t xml:space="preserve">Tubo de evacuación barra PVC diámetro 110 mm (3 m/pza).   Ref. lp-00002046</t>
  </si>
  <si>
    <t xml:space="preserve">ma-lp-00001433</t>
  </si>
  <si>
    <t xml:space="preserve">Material</t>
  </si>
  <si>
    <t xml:space="preserve">pza</t>
  </si>
  <si>
    <t xml:space="preserve">Derivación simple para evacuación H-H PVC 45º x 110 mm; color gris.   Ref. lp-00001433</t>
  </si>
  <si>
    <t xml:space="preserve">ma-lp-00001385</t>
  </si>
  <si>
    <t xml:space="preserve">Material</t>
  </si>
  <si>
    <t xml:space="preserve">pza</t>
  </si>
  <si>
    <t xml:space="preserve">Codo evacuación M-H PVC 45º x 110 mm; color gris.   Ref. lp-00001385</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</si>
  <si>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</si>
  <si>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</si>
  <si>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</si>
  <si>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</si>
  <si>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</si>
  <si>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</si>
  <si>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</si>
  <si>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</si>
  <si>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ma-lp-00010677</t>
  </si>
  <si>
    <t xml:space="preserve">Material</t>
  </si>
  <si>
    <t xml:space="preserve">pza</t>
  </si>
  <si>
    <t xml:space="preserve">Abrazadera regulable de aluminio esmaltado blanco para tubería 110 mm.   Ref. lp-00010677</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</si>
  <si>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</si>
  <si>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</si>
  <si>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</si>
  <si>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</si>
  <si>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</si>
  <si>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</si>
  <si>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</si>
  <si>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</si>
  <si>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</si>
  <si>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</si>
  <si>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</si>
  <si>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</si>
  <si>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</si>
  <si>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</si>
  <si>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</si>
  <si>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</si>
  <si>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</si>
  <si>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</si>
  <si>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</si>
  <si>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</si>
  <si>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</si>
  <si>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</si>
  <si>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</si>
  <si>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</si>
  <si>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</si>
  <si>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</si>
  <si>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</si>
  <si>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</si>
  <si>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</si>
  <si>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</si>
  <si>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</si>
  <si>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</si>
  <si>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</si>
  <si>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</si>
  <si>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</si>
  <si>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</si>
  <si>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</si>
  <si>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</si>
  <si>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</si>
  <si>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</si>
  <si>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BAJ001TV</t>
  </si>
  <si>
    <t xml:space="preserve">BAJ002</t>
  </si>
  <si>
    <t xml:space="preserve">Partida</t>
  </si>
  <si>
    <t xml:space="preserve">M</t>
  </si>
  <si>
    <t xml:space="preserve">o BAJANTE DE AGUAS RESIDUALES Y/O PLUVIALES DE PVC DE 125MM</t>
  </si>
  <si>
    <t xml:space="preserve">Suministro y colocación de bajante de la red de evacuación de aguas residuales y/o pluviales, formada por tubo de PVC, serie B, de 125 mm de diámetro; unión pegada con adhesivo. Incluso líquido limpiador, adhesivo para tubos y accesorios de PVC, material auxiliar para montaje y sujeción a la obra y accesorios.</t>
  </si>
  <si>
    <t xml:space="preserve">ma-lp-00002047</t>
  </si>
  <si>
    <t xml:space="preserve">Material</t>
  </si>
  <si>
    <t xml:space="preserve">pza</t>
  </si>
  <si>
    <t xml:space="preserve">Tubo de evacuación barra PVC diámetro 125 mm (3 m/pza).   Ref. lp-00002047</t>
  </si>
  <si>
    <t xml:space="preserve">ma-lp-00001433</t>
  </si>
  <si>
    <t xml:space="preserve">Material</t>
  </si>
  <si>
    <t xml:space="preserve">pza</t>
  </si>
  <si>
    <t xml:space="preserve">Derivación simple para evacuación H-H PVC 45º x 110 mm; color gris.   Ref. lp-00001433</t>
  </si>
  <si>
    <t xml:space="preserve">ma-lp-00001388</t>
  </si>
  <si>
    <t xml:space="preserve">Material</t>
  </si>
  <si>
    <t xml:space="preserve">pza</t>
  </si>
  <si>
    <t xml:space="preserve">Codo evacuación M-H PVC 45º x 125 mm; color gris.   Ref. lp-00001388</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</si>
  <si>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</si>
  <si>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</si>
  <si>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</si>
  <si>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</si>
  <si>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</si>
  <si>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</si>
  <si>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</si>
  <si>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</si>
  <si>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ma-lp-00010678</t>
  </si>
  <si>
    <t xml:space="preserve">Material</t>
  </si>
  <si>
    <t xml:space="preserve">pza</t>
  </si>
  <si>
    <t xml:space="preserve">Abrazadera regulable de aluminio esmaltado blanco para tubería 125 mm.   Ref. lp-00010678</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</si>
  <si>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</si>
  <si>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</si>
  <si>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</si>
  <si>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</si>
  <si>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</si>
  <si>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</si>
  <si>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</si>
  <si>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</si>
  <si>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</si>
  <si>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</si>
  <si>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</si>
  <si>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</si>
  <si>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</si>
  <si>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</si>
  <si>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</si>
  <si>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</si>
  <si>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</si>
  <si>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</si>
  <si>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</si>
  <si>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</si>
  <si>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</si>
  <si>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</si>
  <si>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</si>
  <si>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</si>
  <si>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</si>
  <si>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</si>
  <si>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</si>
  <si>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</si>
  <si>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</si>
  <si>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</si>
  <si>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</si>
  <si>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</si>
  <si>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</si>
  <si>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</si>
  <si>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</si>
  <si>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</si>
  <si>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</si>
  <si>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</si>
  <si>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</si>
  <si>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</si>
  <si>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BAJ002</t>
  </si>
  <si>
    <t xml:space="preserve">BAJ002TV</t>
  </si>
  <si>
    <t xml:space="preserve">Partida</t>
  </si>
  <si>
    <t xml:space="preserve">M</t>
  </si>
  <si>
    <t xml:space="preserve">o BAJANTE DE AGUAS RESIDUALES Y/O PLUVIALES DE PVC DE 125MM C/TRABAJOS VERTICALES</t>
  </si>
  <si>
    <t xml:space="preserve">Suministro y colocación CON TRABAJOS VERTICALES de bajante de la red de evacuación de aguas residuales y/o pluviales, formada por tubo de PVC, serie B, de 125 mm de diámetro; unión pegada con adhesivo. Incluso líquido limpiador, adhesivo para tubos y accesorios de PVC, material auxiliar para montaje y sujeción a la obra, accesorios.</t>
  </si>
  <si>
    <t xml:space="preserve">ma-lp-00002047</t>
  </si>
  <si>
    <t xml:space="preserve">Material</t>
  </si>
  <si>
    <t xml:space="preserve">pza</t>
  </si>
  <si>
    <t xml:space="preserve">Tubo de evacuación barra PVC diámetro 125 mm (3 m/pza).   Ref. lp-00002047</t>
  </si>
  <si>
    <t xml:space="preserve">ma-lp-00001433</t>
  </si>
  <si>
    <t xml:space="preserve">Material</t>
  </si>
  <si>
    <t xml:space="preserve">pza</t>
  </si>
  <si>
    <t xml:space="preserve">Derivación simple para evacuación H-H PVC 45º x 110 mm; color gris.   Ref. lp-00001433</t>
  </si>
  <si>
    <t xml:space="preserve">ma-lp-00001388</t>
  </si>
  <si>
    <t xml:space="preserve">Material</t>
  </si>
  <si>
    <t xml:space="preserve">pza</t>
  </si>
  <si>
    <t xml:space="preserve">Codo evacuación M-H PVC 45º x 125 mm; color gris.   Ref. lp-00001388</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</si>
  <si>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</si>
  <si>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</si>
  <si>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</si>
  <si>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</si>
  <si>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</si>
  <si>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</si>
  <si>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</si>
  <si>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</si>
  <si>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ma-lp-00010678</t>
  </si>
  <si>
    <t xml:space="preserve">Material</t>
  </si>
  <si>
    <t xml:space="preserve">pza</t>
  </si>
  <si>
    <t xml:space="preserve">Abrazadera regulable de aluminio esmaltado blanco para tubería 125 mm.   Ref. lp-00010678</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</si>
  <si>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</si>
  <si>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</si>
  <si>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</si>
  <si>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</si>
  <si>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</si>
  <si>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</si>
  <si>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</si>
  <si>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</si>
  <si>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</si>
  <si>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</si>
  <si>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</si>
  <si>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</si>
  <si>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</si>
  <si>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</si>
  <si>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</si>
  <si>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</si>
  <si>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</si>
  <si>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</si>
  <si>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</si>
  <si>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</si>
  <si>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</si>
  <si>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</si>
  <si>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</si>
  <si>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</si>
  <si>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</si>
  <si>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</si>
  <si>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</si>
  <si>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</si>
  <si>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</si>
  <si>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</si>
  <si>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</si>
  <si>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</si>
  <si>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</si>
  <si>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</si>
  <si>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</si>
  <si>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</si>
  <si>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</si>
  <si>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</si>
  <si>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</si>
  <si>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</si>
  <si>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BAJ002TV</t>
  </si>
  <si>
    <t xml:space="preserve">BAJ003</t>
  </si>
  <si>
    <t xml:space="preserve">Partida</t>
  </si>
  <si>
    <t xml:space="preserve">M</t>
  </si>
  <si>
    <t xml:space="preserve">o BAJANTE DE AGUAS RESIDUALES Y/O PLUVIALES DE PVC DE 160MM</t>
  </si>
  <si>
    <t xml:space="preserve">Suministro y colocación de bajante de la red de evacuación de aguas residuales y/o pluviales, formada por tubo de PVC, serie B, de 160 mm de diámetro; unión pegada con adhesivo. Incluso líquido limpiador, adhesivo para tubos y accesorios de PVC, material auxiliar para montaje y sujeción a la obra y accesorios.</t>
  </si>
  <si>
    <t xml:space="preserve">ma-sc-1900010316</t>
  </si>
  <si>
    <t xml:space="preserve">Material</t>
  </si>
  <si>
    <t xml:space="preserve">pza</t>
  </si>
  <si>
    <t xml:space="preserve">Tubo PVC serie B de evacuación 160x6 mm (3 m/pza).   Ref. sc-1900010316</t>
  </si>
  <si>
    <t xml:space="preserve">ma-sc-1900221636</t>
  </si>
  <si>
    <t xml:space="preserve">Material</t>
  </si>
  <si>
    <t xml:space="preserve">pza</t>
  </si>
  <si>
    <t xml:space="preserve">Derivación encolar simple PVC M-H 45° 160 mm.   Ref. sc-1900221636</t>
  </si>
  <si>
    <t xml:space="preserve">ma-sc-1900216046</t>
  </si>
  <si>
    <t xml:space="preserve">Material</t>
  </si>
  <si>
    <t xml:space="preserve">pza</t>
  </si>
  <si>
    <t xml:space="preserve">Codo encolar PVC M-H 45° 160 mm.   Ref. sc-1900216046</t>
  </si>
  <si>
    <t xml:space="preserve">ma-sc-1900165092</t>
  </si>
  <si>
    <t xml:space="preserve">Material</t>
  </si>
  <si>
    <t xml:space="preserve">pza</t>
  </si>
  <si>
    <t xml:space="preserve">Codo encolar PVC M-H 87° 160 mm. Ref. sc-1900165092</t>
  </si>
  <si>
    <t xml:space="preserve">ma-sc-1900216270</t>
  </si>
  <si>
    <t xml:space="preserve">Material</t>
  </si>
  <si>
    <t xml:space="preserve">pza</t>
  </si>
  <si>
    <t xml:space="preserve">Manguito encolar PVC H-H 160 mm.   Ref. sc-1900216270</t>
  </si>
  <si>
    <t xml:space="preserve">ma-sc-5100010160</t>
  </si>
  <si>
    <t xml:space="preserve">Material</t>
  </si>
  <si>
    <t xml:space="preserve">pza</t>
  </si>
  <si>
    <t xml:space="preserve">Abrazadera reforzada de tubo M8/M10 160 mm con 2 tornillos de BULTMEIER.   Ref. sc-5100010160</t>
  </si>
  <si>
    <t xml:space="preserve">ma-sc-5200005102</t>
  </si>
  <si>
    <t xml:space="preserve">Material</t>
  </si>
  <si>
    <t xml:space="preserve">pza</t>
  </si>
  <si>
    <t xml:space="preserve">Carril strut acero galvanizado perforado 41x21 mm de BULTMEIER (2 m/pza, espesor 2 mm).   Ref. sc-5200005102</t>
  </si>
  <si>
    <t xml:space="preserve">ma-sc-5202005101</t>
  </si>
  <si>
    <t xml:space="preserve">Material</t>
  </si>
  <si>
    <t xml:space="preserve">pza</t>
  </si>
  <si>
    <t xml:space="preserve">Tornillo carril M10X60 Strut para carril 41x21-41x41-41x62 de BULTMEIER.   Ref. sc-5202005101</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</si>
  <si>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</si>
  <si>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</si>
  <si>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</si>
  <si>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</si>
  <si>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</si>
  <si>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</si>
  <si>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</si>
  <si>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</si>
  <si>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</si>
  <si>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</si>
  <si>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</si>
  <si>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</si>
  <si>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</si>
  <si>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</si>
  <si>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</si>
  <si>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</si>
  <si>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</si>
  <si>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</si>
  <si>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</si>
  <si>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</si>
  <si>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</si>
  <si>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</si>
  <si>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</si>
  <si>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</si>
  <si>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</si>
  <si>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</si>
  <si>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</si>
  <si>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</si>
  <si>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</si>
  <si>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</si>
  <si>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</si>
  <si>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</si>
  <si>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</si>
  <si>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</si>
  <si>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</si>
  <si>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</si>
  <si>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</si>
  <si>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</si>
  <si>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</si>
  <si>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</si>
  <si>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</si>
  <si>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</si>
  <si>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</si>
  <si>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</si>
  <si>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</si>
  <si>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</si>
  <si>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</si>
  <si>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</si>
  <si>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BAJ003</t>
  </si>
  <si>
    <t xml:space="preserve">BAJ003TV</t>
  </si>
  <si>
    <t xml:space="preserve">Partida</t>
  </si>
  <si>
    <t xml:space="preserve">M</t>
  </si>
  <si>
    <t xml:space="preserve">o BAJANTE DE AGUAS RESIDUALES Y/O PLUVIALES DE PVC DE 160MM C/TRABAJOS VERTICALES</t>
  </si>
  <si>
    <t xml:space="preserve">Suministro y colocación CON TRABAJOS VERTICALES de bajante de la red de evacuación de aguas residuales y/o pluviales, formada por tubo de PVC, serie B, de 160 mm de diámetro; unión pegada con adhesivo. Incluso líquido limpiador, adhesivo para tubos y accesorios de PVC, material auxiliar para montaje y sujeción a la obra, accesorios.</t>
  </si>
  <si>
    <t xml:space="preserve">ma-sc-1900010316</t>
  </si>
  <si>
    <t xml:space="preserve">Material</t>
  </si>
  <si>
    <t xml:space="preserve">pza</t>
  </si>
  <si>
    <t xml:space="preserve">Tubo PVC serie B de evacuación 160x6 mm (3 m/pza).   Ref. sc-1900010316</t>
  </si>
  <si>
    <t xml:space="preserve">ma-sc-1900221636</t>
  </si>
  <si>
    <t xml:space="preserve">Material</t>
  </si>
  <si>
    <t xml:space="preserve">pza</t>
  </si>
  <si>
    <t xml:space="preserve">Derivación encolar simple PVC M-H 45° 160 mm.   Ref. sc-1900221636</t>
  </si>
  <si>
    <t xml:space="preserve">ma-bm-10003607</t>
  </si>
  <si>
    <t xml:space="preserve">Material</t>
  </si>
  <si>
    <t xml:space="preserve">und</t>
  </si>
  <si>
    <t xml:space="preserve">Broca para hormigón SDS Plus-3 BOSCH CYL-3; 14x260 mm   Ref. bm-10003607</t>
  </si>
  <si>
    <t xml:space="preserve">ma-sc-1900216046</t>
  </si>
  <si>
    <t xml:space="preserve">Material</t>
  </si>
  <si>
    <t xml:space="preserve">pza</t>
  </si>
  <si>
    <t xml:space="preserve">Codo encolar PVC M-H 45° 160 mm.   Ref. sc-1900216046</t>
  </si>
  <si>
    <t xml:space="preserve">ma-sc-1900165092</t>
  </si>
  <si>
    <t xml:space="preserve">Material</t>
  </si>
  <si>
    <t xml:space="preserve">pza</t>
  </si>
  <si>
    <t xml:space="preserve">Codo encolar PVC M-H 87° 160 mm. Ref. sc-1900165092</t>
  </si>
  <si>
    <t xml:space="preserve">ma-sc-1900216270</t>
  </si>
  <si>
    <t xml:space="preserve">Material</t>
  </si>
  <si>
    <t xml:space="preserve">pza</t>
  </si>
  <si>
    <t xml:space="preserve">Manguito encolar PVC H-H 160 mm.   Ref. sc-1900216270</t>
  </si>
  <si>
    <t xml:space="preserve">ma-sc-5100010160</t>
  </si>
  <si>
    <t xml:space="preserve">Material</t>
  </si>
  <si>
    <t xml:space="preserve">pza</t>
  </si>
  <si>
    <t xml:space="preserve">Abrazadera reforzada de tubo M8/M10 160 mm con 2 tornillos de BULTMEIER.   Ref. sc-5100010160</t>
  </si>
  <si>
    <t xml:space="preserve">ma-sc-5200005102</t>
  </si>
  <si>
    <t xml:space="preserve">Material</t>
  </si>
  <si>
    <t xml:space="preserve">pza</t>
  </si>
  <si>
    <t xml:space="preserve">Carril strut acero galvanizado perforado 41x21 mm de BULTMEIER (2 m/pza, espesor 2 mm).   Ref. sc-5200005102</t>
  </si>
  <si>
    <t xml:space="preserve">ma-sc-5202005101</t>
  </si>
  <si>
    <t xml:space="preserve">Material</t>
  </si>
  <si>
    <t xml:space="preserve">pza</t>
  </si>
  <si>
    <t xml:space="preserve">Tornillo carril M10X60 Strut para carril 41x21-41x41-41x62 de BULTMEIER.   Ref. sc-5202005101</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</si>
  <si>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</si>
  <si>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</si>
  <si>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</si>
  <si>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</si>
  <si>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</si>
  <si>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</si>
  <si>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</si>
  <si>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</si>
  <si>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</si>
  <si>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</si>
  <si>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</si>
  <si>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</si>
  <si>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</si>
  <si>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</si>
  <si>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</si>
  <si>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</si>
  <si>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</si>
  <si>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</si>
  <si>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</si>
  <si>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</si>
  <si>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</si>
  <si>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</si>
  <si>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</si>
  <si>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</si>
  <si>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</si>
  <si>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</si>
  <si>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</si>
  <si>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</si>
  <si>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</si>
  <si>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</si>
  <si>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</si>
  <si>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</si>
  <si>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</si>
  <si>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</si>
  <si>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</si>
  <si>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</si>
  <si>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</si>
  <si>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</si>
  <si>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</si>
  <si>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</si>
  <si>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</si>
  <si>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</si>
  <si>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</si>
  <si>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</si>
  <si>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BAJ003TV</t>
  </si>
  <si>
    <t xml:space="preserve">BAJ004</t>
  </si>
  <si>
    <t xml:space="preserve">Partida</t>
  </si>
  <si>
    <t xml:space="preserve">M</t>
  </si>
  <si>
    <t xml:space="preserve">o BAJANTE DE AGUAS RESIDUALES Y/O PLUVIALES DE PVC DE 250MM</t>
  </si>
  <si>
    <t xml:space="preserve">Suministro y colocación en andamio tubular de bajante de la red de evacuación de aguas residuales y/o pluviales, formada por tubo de PVC, serie B, de 250 mm de diámetro; unión pegada con adhesivo. Incluso líquido limpiador, adhesivo para tubos y accesorios de PVC, material auxiliar para montaje y sujeción a la obra, accesorios y piezas especiales.</t>
  </si>
  <si>
    <t xml:space="preserve">ma-sc-1900010325</t>
  </si>
  <si>
    <t xml:space="preserve">Material</t>
  </si>
  <si>
    <t xml:space="preserve">pza</t>
  </si>
  <si>
    <t xml:space="preserve">Tubo PVC serie B de evacuación 250x6 mm (3 m/pza).   Ref. sc-1900010325</t>
  </si>
  <si>
    <t xml:space="preserve">ma-sc-1900225136</t>
  </si>
  <si>
    <t xml:space="preserve">Material</t>
  </si>
  <si>
    <t xml:space="preserve">pza</t>
  </si>
  <si>
    <t xml:space="preserve">Derivación encolar simple PVC M-H 45° 250 mm.   Ref. sc-1900225136</t>
  </si>
  <si>
    <t xml:space="preserve">ma-sc-1900225046</t>
  </si>
  <si>
    <t xml:space="preserve">Material</t>
  </si>
  <si>
    <t xml:space="preserve">pza</t>
  </si>
  <si>
    <t xml:space="preserve">Codo encolar PVC M-H 45° 250 mm.   Ref. sc-1900225046</t>
  </si>
  <si>
    <t xml:space="preserve">ma-sc-1900225092</t>
  </si>
  <si>
    <t xml:space="preserve">Material</t>
  </si>
  <si>
    <t xml:space="preserve">pza</t>
  </si>
  <si>
    <t xml:space="preserve">Codo encolar PVC M-H 87° 250 mm. Ref. sc-1900225092</t>
  </si>
  <si>
    <t xml:space="preserve">ma-sc-1900225270</t>
  </si>
  <si>
    <t xml:space="preserve">Material</t>
  </si>
  <si>
    <t xml:space="preserve">pza</t>
  </si>
  <si>
    <t xml:space="preserve">Manguito encolar PVC H-H 250 mm.   Ref. sc-1900225270</t>
  </si>
  <si>
    <t xml:space="preserve">ma-sc-5100010250</t>
  </si>
  <si>
    <t xml:space="preserve">Material</t>
  </si>
  <si>
    <t xml:space="preserve">pza</t>
  </si>
  <si>
    <t xml:space="preserve">Abrazadera reforzada de tubo M8/M10 250mm con 2 tornillos de BULTMEIER.   Ref. sc-5100010250</t>
  </si>
  <si>
    <t xml:space="preserve">ma-sc-5200005102</t>
  </si>
  <si>
    <t xml:space="preserve">Material</t>
  </si>
  <si>
    <t xml:space="preserve">pza</t>
  </si>
  <si>
    <t xml:space="preserve">Carril strut acero galvanizado perforado 41x21 mm de BULTMEIER (2 m/pza, espesor 2 mm).   Ref. sc-5200005102</t>
  </si>
  <si>
    <t xml:space="preserve">ma-sc-5202005101</t>
  </si>
  <si>
    <t xml:space="preserve">Material</t>
  </si>
  <si>
    <t xml:space="preserve">pza</t>
  </si>
  <si>
    <t xml:space="preserve">Tornillo carril M10X60 Strut para carril 41x21-41x41-41x62 de BULTMEIER.   Ref. sc-5202005101</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</si>
  <si>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</si>
  <si>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</si>
  <si>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</si>
  <si>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</si>
  <si>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</si>
  <si>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</si>
  <si>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</si>
  <si>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</si>
  <si>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ma-lp-00551136</t>
  </si>
  <si>
    <t xml:space="preserve">Material</t>
  </si>
  <si>
    <t xml:space="preserve">cartucho</t>
  </si>
  <si>
    <t xml:space="preserve">Anclaje/Taco químico resina epoxi sin estireno BIGMAT. cargas medias-altas (410 ml/cartucho)   Ref. lp-00551136</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</si>
  <si>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</si>
  <si>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</si>
  <si>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</si>
  <si>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</si>
  <si>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</si>
  <si>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</si>
  <si>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</si>
  <si>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</si>
  <si>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</si>
  <si>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</si>
  <si>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</si>
  <si>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</si>
  <si>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</si>
  <si>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</si>
  <si>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</si>
  <si>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</si>
  <si>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</si>
  <si>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</si>
  <si>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</si>
  <si>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</si>
  <si>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</si>
  <si>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</si>
  <si>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</si>
  <si>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</si>
  <si>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</si>
  <si>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</si>
  <si>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</si>
  <si>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</si>
  <si>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</si>
  <si>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</si>
  <si>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</si>
  <si>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</si>
  <si>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</si>
  <si>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</si>
  <si>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</si>
  <si>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</si>
  <si>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BAJ004</t>
  </si>
  <si>
    <t xml:space="preserve">BAJ005</t>
  </si>
  <si>
    <t xml:space="preserve">Partida</t>
  </si>
  <si>
    <t xml:space="preserve">U</t>
  </si>
  <si>
    <t xml:space="preserve">o PIEZA DE PVC PARA AGUA RESIDUAL Y/O PLUVIAL ( YEE, TEE, CODO, AMPLIACION, DERIVACION, INJERTO)</t>
  </si>
  <si>
    <t xml:space="preserve">Pieza de PVC (Yee, Tee, codo, ampliacion, derivacion, injerto, etc. de la red de evacuación de aguas residuales y/o pluviales, serie B, cualquier diámetro; unión pegada con adhesivo. Incluso líquido limpiador, adhesivo para tubos y accesorios de PVC, material auxiliar para montaje y sujeción a la obra, accesorios y piezas especiales.</t>
  </si>
  <si>
    <t xml:space="preserve">00001441</t>
  </si>
  <si>
    <t xml:space="preserve">Material</t>
  </si>
  <si>
    <t xml:space="preserve">u</t>
  </si>
  <si>
    <t xml:space="preserve">DERIVACIÓN M-H Ø 160 45º PVC GRIS  Ref.: 00001441</t>
  </si>
  <si>
    <t xml:space="preserve">ma-lp-00540063</t>
  </si>
  <si>
    <t xml:space="preserve">Material</t>
  </si>
  <si>
    <t xml:space="preserve">envase</t>
  </si>
  <si>
    <t xml:space="preserve">Pegamento para tubería de PVC BIGMAT (500 ml/envase)   Ref. lp-00540063</t>
  </si>
  <si>
    <t xml:space="preserve">ma-lp-00564064</t>
  </si>
  <si>
    <t xml:space="preserve">Material</t>
  </si>
  <si>
    <t xml:space="preserve">envase</t>
  </si>
  <si>
    <t xml:space="preserve">Limpiador disolvente para tuberías de PVC BIGMAT (500 ml/envase)   Ref. lp-00564064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</si>
  <si>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</si>
  <si>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</si>
  <si>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</si>
  <si>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</si>
  <si>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</si>
  <si>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</si>
  <si>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</si>
  <si>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</si>
  <si>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</si>
  <si>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</si>
  <si>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</si>
  <si>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</si>
  <si>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</si>
  <si>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</si>
  <si>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</si>
  <si>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</si>
  <si>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</si>
  <si>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</si>
  <si>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</si>
  <si>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</si>
  <si>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BAJ005</t>
  </si>
  <si>
    <t xml:space="preserve">BAJ005TV</t>
  </si>
  <si>
    <t xml:space="preserve">Partida</t>
  </si>
  <si>
    <t xml:space="preserve">U</t>
  </si>
  <si>
    <t xml:space="preserve">o PIEZA DE PVC  C/TRABAJOS VERTICALES PARA AGUA RESIDUAL Y/O PLUVIAL ( YEE, TEE, CODO, AMPLIACION, DERIVACION, INJERTO)</t>
  </si>
  <si>
    <t xml:space="preserve">Pieza de PVC con TRABAJOS VERTICALES(Yee, Tee, codo, ampliacion, derivacion, injerto, etc. de la red de evacuación de aguas residuales y/o pluviales, serie B, cualquier diámetro; unión pegada con adhesivo. Incluso líquido limpiador, adhesivo para tubos y accesorios de PVC, material auxiliar para montaje y sujeción a la obra, accesorios y piezas especiales.</t>
  </si>
  <si>
    <t xml:space="preserve">00001441</t>
  </si>
  <si>
    <t xml:space="preserve">Material</t>
  </si>
  <si>
    <t xml:space="preserve">u</t>
  </si>
  <si>
    <t xml:space="preserve">DERIVACIÓN M-H Ø 160 45º PVC GRIS  Ref.: 00001441</t>
  </si>
  <si>
    <t xml:space="preserve">ma-lp-00540063</t>
  </si>
  <si>
    <t xml:space="preserve">Material</t>
  </si>
  <si>
    <t xml:space="preserve">envase</t>
  </si>
  <si>
    <t xml:space="preserve">Pegamento para tubería de PVC BIGMAT (500 ml/envase)   Ref. lp-00540063</t>
  </si>
  <si>
    <t xml:space="preserve">ma-lp-00564064</t>
  </si>
  <si>
    <t xml:space="preserve">Material</t>
  </si>
  <si>
    <t xml:space="preserve">envase</t>
  </si>
  <si>
    <t xml:space="preserve">Limpiador disolvente para tuberías de PVC BIGMAT (500 ml/envase)   Ref. lp-00564064</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</si>
  <si>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</si>
  <si>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</si>
  <si>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</si>
  <si>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</si>
  <si>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</si>
  <si>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</si>
  <si>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</si>
  <si>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</si>
  <si>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</si>
  <si>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</si>
  <si>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</si>
  <si>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</si>
  <si>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</si>
  <si>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</si>
  <si>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</si>
  <si>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</si>
  <si>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</si>
  <si>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</si>
  <si>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</si>
  <si>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</si>
  <si>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BAJ005TV</t>
  </si>
  <si>
    <t xml:space="preserve">BAJ006</t>
  </si>
  <si>
    <t xml:space="preserve">Partida</t>
  </si>
  <si>
    <t xml:space="preserve">M</t>
  </si>
  <si>
    <t xml:space="preserve">o FORRADO DE CONDUCTOS CON LADRILLO CERAMICO</t>
  </si>
  <si>
    <t xml:space="preserve">Forrado de conductos para instalaciones, sobre medianera, de 40 cm de longitud y 40 cm de ancho, realizado con fábrica de ladrillo cerámico hueco (ladrillo), para revestir, 29x14x7 cm, con juntas de 10 mm de espesor, recibo con mortero.</t>
  </si>
  <si>
    <t xml:space="preserve">ma-lp-00001156</t>
  </si>
  <si>
    <t xml:space="preserve">Material</t>
  </si>
  <si>
    <t xml:space="preserve">pza</t>
  </si>
  <si>
    <t xml:space="preserve">Gero 6 rústico o ladrillo macizo cara vista rojo (28,5x13,7x4,6 cm/pza).   Ref. lp-00001156</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</si>
  <si>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</si>
  <si>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</si>
  <si>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</si>
  <si>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</si>
  <si>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</si>
  <si>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</si>
  <si>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</si>
  <si>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</si>
  <si>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</si>
  <si>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</si>
  <si>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</si>
  <si>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</si>
  <si>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</si>
  <si>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</si>
  <si>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</si>
  <si>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</si>
  <si>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</si>
  <si>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</si>
  <si>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</si>
  <si>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</si>
  <si>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</si>
  <si>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</si>
  <si>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</si>
  <si>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</si>
  <si>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BAJ006</t>
  </si>
  <si>
    <t xml:space="preserve">BAJ007</t>
  </si>
  <si>
    <t xml:space="preserve">Partida</t>
  </si>
  <si>
    <t xml:space="preserve">M</t>
  </si>
  <si>
    <t xml:space="preserve">o FORRADO DE CONDUCTOS CON PLACAS DE PLADUR</t>
  </si>
  <si>
    <t xml:space="preserve">Forrado de conductos para instalaciones, adosado a un tabique, de 40 cm de longitud y 40 cm de anchura, realizado con placas de yeso laminado dispuestas en una cara y estructura simple autoportante, compuesto de: entramado autoportante de perfiles de chapa de acero galvanizado de 70 mm de anchura, constituido por canales, y montantes separados 600 mm entre sí, con una disposición normal "N"; dos placas tipo hidrofugado en la cara exterior del tabique, de 12,5 mm de espesor cada placa; aislamiento acústico colocado entre los perfiles, formado por panel semirrígido de lana mineral, espesor 65 mm, según UNE-EN 13162. Incluso banda acústica de dilatación autoadhesiva; anclajes de canales y montantes metálicos; tornillería para la fijación de las placas y pasta y cinta para el tratamiento de juntas.</t>
  </si>
  <si>
    <t xml:space="preserve">mt12psg220</t>
  </si>
  <si>
    <t xml:space="preserve">Material</t>
  </si>
  <si>
    <t xml:space="preserve">Ud</t>
  </si>
  <si>
    <t xml:space="preserve">Fijación compuesta por taco y tornillo 5x27.</t>
  </si>
  <si>
    <t xml:space="preserve">mt12psg041c</t>
  </si>
  <si>
    <t xml:space="preserve">Material</t>
  </si>
  <si>
    <t xml:space="preserve">m</t>
  </si>
  <si>
    <t xml:space="preserve">Banda autoadhesiva desolidarizante de espuma de poliuretano de celdas cerradas, de 3,2 mm de espesor y 70 mm de anchura, resistencia térmica 0,10 m²K/W, conductividad térmica 0,032 W/(mK).</t>
  </si>
  <si>
    <t xml:space="preserve">mt12psg070d</t>
  </si>
  <si>
    <t xml:space="preserve">Material</t>
  </si>
  <si>
    <t xml:space="preserve">m</t>
  </si>
  <si>
    <t xml:space="preserve">Canal de perfil de acero galvanizado de 70 mm de anchura, según UNE-EN 14195.</t>
  </si>
  <si>
    <t xml:space="preserve">mt12psg060d</t>
  </si>
  <si>
    <t xml:space="preserve">Material</t>
  </si>
  <si>
    <t xml:space="preserve">m</t>
  </si>
  <si>
    <t xml:space="preserve">Montante de perfil de acero galvanizado de 70 mm de anchura, según UNE-EN 14195.</t>
  </si>
  <si>
    <t xml:space="preserve">mt12psg010p</t>
  </si>
  <si>
    <t xml:space="preserve">Material</t>
  </si>
  <si>
    <t xml:space="preserve">m²</t>
  </si>
  <si>
    <t xml:space="preserve">Placa de yeso laminado H1 / UNE-EN 520 - 1200 / longitud / 12,5 / con los bordes longitudinales afinados, con alma de yeso hidrofugado, para zonas húmedas.</t>
  </si>
  <si>
    <t xml:space="preserve">mt12psg081c</t>
  </si>
  <si>
    <t xml:space="preserve">Material</t>
  </si>
  <si>
    <t xml:space="preserve">Ud</t>
  </si>
  <si>
    <t xml:space="preserve">Tornillo autoperforante 3,5x25 mm.</t>
  </si>
  <si>
    <t xml:space="preserve">mt12psg081e</t>
  </si>
  <si>
    <t xml:space="preserve">Material</t>
  </si>
  <si>
    <t xml:space="preserve">Ud</t>
  </si>
  <si>
    <t xml:space="preserve">Tornillo autoperforante 3,5x45 mm.</t>
  </si>
  <si>
    <t xml:space="preserve">mt16lra060c</t>
  </si>
  <si>
    <t xml:space="preserve">Material</t>
  </si>
  <si>
    <t xml:space="preserve">m²</t>
  </si>
  <si>
    <t xml:space="preserve">Panel semirrígido de lana mineral, espesor 65 mm, según UNE-EN 13162, Euroclase A1 de reacción al fuego según UNE-EN 13501-1.</t>
  </si>
  <si>
    <t xml:space="preserve">mt12psg030a</t>
  </si>
  <si>
    <t xml:space="preserve">Material</t>
  </si>
  <si>
    <t xml:space="preserve">kg</t>
  </si>
  <si>
    <t xml:space="preserve">Pasta de juntas, según UNE-EN 13963.</t>
  </si>
  <si>
    <t xml:space="preserve">mt12psg040a</t>
  </si>
  <si>
    <t xml:space="preserve">Material</t>
  </si>
  <si>
    <t xml:space="preserve">m</t>
  </si>
  <si>
    <t xml:space="preserve">Cinta microperforada de papel, según UNE-EN 13963.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</si>
  <si>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</si>
  <si>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</si>
  <si>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</si>
  <si>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</si>
  <si>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</si>
  <si>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</si>
  <si>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</si>
  <si>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</si>
  <si>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</si>
  <si>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</si>
  <si>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</si>
  <si>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</si>
  <si>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</si>
  <si>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</si>
  <si>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</si>
  <si>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</si>
  <si>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</si>
  <si>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</si>
  <si>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</si>
  <si>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</si>
  <si>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BAJ007</t>
  </si>
  <si>
    <t xml:space="preserve">BAJ008</t>
  </si>
  <si>
    <t xml:space="preserve">Partida</t>
  </si>
  <si>
    <t xml:space="preserve">U</t>
  </si>
  <si>
    <t xml:space="preserve">o SIFON DE PVC DE 110/160MM</t>
  </si>
  <si>
    <t xml:space="preserve">Sifon de PVC, JIMTEN, color gris, de 125/160mm de diametro.</t>
  </si>
  <si>
    <t xml:space="preserve">SIF1</t>
  </si>
  <si>
    <t xml:space="preserve">Material</t>
  </si>
  <si>
    <t xml:space="preserve">u</t>
  </si>
  <si>
    <t xml:space="preserve">Sifón en línea con registro enchufable 1900616905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</si>
  <si>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</si>
  <si>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</si>
  <si>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</si>
  <si>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</si>
  <si>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</si>
  <si>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</si>
  <si>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</si>
  <si>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</si>
  <si>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</si>
  <si>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</si>
  <si>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</si>
  <si>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</si>
  <si>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</si>
  <si>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</si>
  <si>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</si>
  <si>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</si>
  <si>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</si>
  <si>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</si>
  <si>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</si>
  <si>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</si>
  <si>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BAJ008</t>
  </si>
  <si>
    <t xml:space="preserve">INSBAJxxxx</t>
  </si>
  <si>
    <t xml:space="preserve">Partida</t>
  </si>
  <si>
    <t xml:space="preserve">ML</t>
  </si>
  <si>
    <t xml:space="preserve">XXXXXXXX BAJANTE DE AGUAS RESIDUALES Y/O PLUVIALES DE PVC DE 110MM</t>
  </si>
  <si>
    <t xml:space="preserve">Bajante de la red de evacuación de aguas residuales, formada por tubo de PVC, serie B, de 110 mm de diámetro; unión pegada con adhesivo. Incluso líquido limpiador, adhesivo para tubos y accesorios de PVC, material auxiliar para montaje y sujeción a la obra, accesorios y piezas especiales.</t>
  </si>
  <si>
    <t xml:space="preserve">00002046</t>
  </si>
  <si>
    <t xml:space="preserve">Material</t>
  </si>
  <si>
    <t xml:space="preserve">m</t>
  </si>
  <si>
    <t xml:space="preserve">TUBO EVACUACIÓN BARRA Ø 110 PVC GRIS 3 M Ref.: 00002046</t>
  </si>
  <si>
    <t xml:space="preserve">00314739</t>
  </si>
  <si>
    <t xml:space="preserve">Material</t>
  </si>
  <si>
    <t xml:space="preserve">l</t>
  </si>
  <si>
    <t xml:space="preserve">LIMPIADOR PVC BOTE 1 L Ref.: 00314739</t>
  </si>
  <si>
    <t xml:space="preserve">00343897</t>
  </si>
  <si>
    <t xml:space="preserve">Material</t>
  </si>
  <si>
    <t xml:space="preserve">l</t>
  </si>
  <si>
    <t xml:space="preserve">PEGAMENTO PVC PINCEL 500 ML NOVIPRO Ref.: 00343897</t>
  </si>
  <si>
    <t xml:space="preserve">m.o.1</t>
  </si>
  <si>
    <t xml:space="preserve">Mano de obra</t>
  </si>
  <si>
    <t xml:space="preserve">h</t>
  </si>
  <si>
    <t xml:space="preserve">Mano de Obra: 1 Oficial de 1ª, 1 Ayudante y 1/2 Ayudante</t>
  </si>
  <si>
    <t xml:space="preserve">INSBAJxxxx</t>
  </si>
  <si>
    <t xml:space="preserve">INSBAJ</t>
  </si>
  <si>
    <t xml:space="preserve">INSBAT</t>
  </si>
  <si>
    <t xml:space="preserve">Capítulo</t>
  </si>
  <si>
    <t xml:space="preserve">BATERIA</t>
  </si>
  <si>
    <t xml:space="preserve">INSBAT-MNR-15</t>
  </si>
  <si>
    <t xml:space="preserve">Partida</t>
  </si>
  <si>
    <t xml:space="preserve">und</t>
  </si>
  <si>
    <t xml:space="preserve">S/I BATERÍA DE POLIPROPILENO PARA 15 CONTADORES DE AGUA EN 3 FILAS</t>
  </si>
  <si>
    <t xml:space="preserve">Suministro e Instalación de Batería de polipropileno copolímero random (PP-R), de 75 mm de diámetro y salidas con conexión embridada, para centralización de un máximo de 15 contadores de 1/2" DN 15 mm en tres filas, con llave de corte, llaves de entrada, grifos de comprobación, válvulas de retención, llaves de salida, latiguillos y cuadro de clasificación. Incluso soportes para el colector y material auxiliar correspondientes.</t>
  </si>
  <si>
    <t xml:space="preserve">ma-sc-2124010115</t>
  </si>
  <si>
    <t xml:space="preserve">Material</t>
  </si>
  <si>
    <t xml:space="preserve">und</t>
  </si>
  <si>
    <t xml:space="preserve">Batería de polipropileno para 15 contadores de agua en 3 filas SALTOKI.   Ref. sc-2124010115</t>
  </si>
  <si>
    <t xml:space="preserve">ma-sc-2124080200</t>
  </si>
  <si>
    <t xml:space="preserve">Material</t>
  </si>
  <si>
    <t xml:space="preserve">pza</t>
  </si>
  <si>
    <t xml:space="preserve">Soporte DN75 28 cm para batería polipropileno de contadores de agua.   Ref. sc-2124080200</t>
  </si>
  <si>
    <t xml:space="preserve">ma-sc-2124080050</t>
  </si>
  <si>
    <t xml:space="preserve">Material</t>
  </si>
  <si>
    <t xml:space="preserve">pza</t>
  </si>
  <si>
    <t xml:space="preserve">Pletina ciega para batería de contadores de agua.   Ref. sc-2124080050</t>
  </si>
  <si>
    <t xml:space="preserve">ma-sc-2124080510</t>
  </si>
  <si>
    <t xml:space="preserve">Material</t>
  </si>
  <si>
    <t xml:space="preserve">pza</t>
  </si>
  <si>
    <t xml:space="preserve">Junta pletina para batería de contadores de agua.   Ref. sc-2124080510</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</si>
  <si>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</si>
  <si>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</si>
  <si>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</si>
  <si>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</si>
  <si>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</si>
  <si>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</si>
  <si>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</si>
  <si>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</si>
  <si>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</si>
  <si>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</si>
  <si>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</si>
  <si>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</si>
  <si>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</si>
  <si>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ma-pag1</t>
  </si>
  <si>
    <t xml:space="preserve">Material</t>
  </si>
  <si>
    <t xml:space="preserve">u</t>
  </si>
  <si>
    <t xml:space="preserve">Brida u.avk pn16 dn100 109-133mm s-603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</si>
  <si>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</si>
  <si>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</si>
  <si>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</si>
  <si>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</si>
  <si>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</si>
  <si>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</si>
  <si>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</si>
  <si>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</si>
  <si>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ma-bm-10282853</t>
  </si>
  <si>
    <t xml:space="preserve">Material</t>
  </si>
  <si>
    <t xml:space="preserve">bolsa</t>
  </si>
  <si>
    <t xml:space="preserve">Espárrago/Varilla de inyección para anclaje químico; 10x165 mm (8 Pzas./Bolsa)   Ref. bm-10282853</t>
  </si>
  <si>
    <t xml:space="preserve">ma-sc-2125000120</t>
  </si>
  <si>
    <t xml:space="preserve">Material</t>
  </si>
  <si>
    <t xml:space="preserve">pza</t>
  </si>
  <si>
    <t xml:space="preserve">Válvula para contador entrada COHISA Serie ST manual orientable 20 mm escuadra para batería de contadores de agua.   Ref. sc-2125000120</t>
  </si>
  <si>
    <t xml:space="preserve">ma-sc-2125000320</t>
  </si>
  <si>
    <t xml:space="preserve">Material</t>
  </si>
  <si>
    <t xml:space="preserve">pza</t>
  </si>
  <si>
    <t xml:space="preserve">Válvula para contador salida COHISA Serie ST manual 20 mm escuadra con sistema antirretorno para batería de contadores de agua.   Ref. sc-2125000320</t>
  </si>
  <si>
    <t xml:space="preserve">ma-sc-2125000281</t>
  </si>
  <si>
    <t xml:space="preserve">Material</t>
  </si>
  <si>
    <t xml:space="preserve">pza</t>
  </si>
  <si>
    <t xml:space="preserve">Válvula Te de comprobación de presión 1/2x20 mm.   Ref. sc-2125000281</t>
  </si>
  <si>
    <t xml:space="preserve">ma-sc-2054000005</t>
  </si>
  <si>
    <t xml:space="preserve">Material</t>
  </si>
  <si>
    <t xml:space="preserve">pza</t>
  </si>
  <si>
    <t xml:space="preserve">Válvula de retención muelle TULLER TEKNIK YORK rosca H y cuerpo de latón (diámetro 1 1/4" o 32 mm).   Ref. sc-2054000005</t>
  </si>
  <si>
    <t xml:space="preserve">ma-sc-2110020171</t>
  </si>
  <si>
    <t xml:space="preserve">Material</t>
  </si>
  <si>
    <t xml:space="preserve">pza</t>
  </si>
  <si>
    <t xml:space="preserve">Latiguillo flexible de acero inoxidable ACFLOW MH 50 cm 16 bar para contador de agua (diámetro 1” o 26 mm)..   Ref. sc-2110020171</t>
  </si>
  <si>
    <t xml:space="preserve">ma-nv-LSR90285</t>
  </si>
  <si>
    <t xml:space="preserve">Material</t>
  </si>
  <si>
    <t xml:space="preserve">pza</t>
  </si>
  <si>
    <t xml:space="preserve">Codo de cobre H-H soldar-roscar (28 mm-1”).   Ref. nv-LSR90285</t>
  </si>
  <si>
    <t xml:space="preserve">ma-sc-1255098054</t>
  </si>
  <si>
    <t xml:space="preserve">Material</t>
  </si>
  <si>
    <t xml:space="preserve">pza</t>
  </si>
  <si>
    <t xml:space="preserve">Doble rosca reducida de latón (32 a 25 mm).   Ref. sc-1255098054</t>
  </si>
  <si>
    <t xml:space="preserve">ma-lp-00012213</t>
  </si>
  <si>
    <t xml:space="preserve">Material</t>
  </si>
  <si>
    <t xml:space="preserve">rollo</t>
  </si>
  <si>
    <t xml:space="preserve">Cinta Teflón PTFE de GYMCOL 19 mm (50 m/rollo).   Ref. lp-00012213</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</si>
  <si>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</si>
  <si>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</si>
  <si>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</si>
  <si>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</si>
  <si>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</si>
  <si>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</si>
  <si>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</si>
  <si>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</si>
  <si>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t>
  </si>
  <si>
    <t xml:space="preserve">%</t>
  </si>
  <si>
    <t xml:space="preserve">Herramientas Menores</t>
  </si>
  <si>
    <t xml:space="preserve">INSBAT-MNR-15</t>
  </si>
  <si>
    <t xml:space="preserve">INSBAT-MNR-16</t>
  </si>
  <si>
    <t xml:space="preserve">Partida</t>
  </si>
  <si>
    <t xml:space="preserve">und</t>
  </si>
  <si>
    <t xml:space="preserve">S/I BATERÍA DE POLIPROPILENO PARA 21 CONTADORES DE AGUA EN 3 FILAS</t>
  </si>
  <si>
    <t xml:space="preserve">ddddddddddd</t>
  </si>
  <si>
    <t xml:space="preserve">ma-sc-2124010121</t>
  </si>
  <si>
    <t xml:space="preserve">Material</t>
  </si>
  <si>
    <t xml:space="preserve">und</t>
  </si>
  <si>
    <t xml:space="preserve">Batería de polipropileno para 21 contadores de agua en 3 filas SALTOKI.   Ref. sc-2124010121</t>
  </si>
  <si>
    <t xml:space="preserve">ma-sc-2124080200</t>
  </si>
  <si>
    <t xml:space="preserve">Material</t>
  </si>
  <si>
    <t xml:space="preserve">pza</t>
  </si>
  <si>
    <t xml:space="preserve">Soporte DN75 28 cm para batería polipropileno de contadores de agua.   Ref. sc-2124080200</t>
  </si>
  <si>
    <t xml:space="preserve">ma-sc-2124080050</t>
  </si>
  <si>
    <t xml:space="preserve">Material</t>
  </si>
  <si>
    <t xml:space="preserve">pza</t>
  </si>
  <si>
    <t xml:space="preserve">Pletina ciega para batería de contadores de agua.   Ref. sc-2124080050</t>
  </si>
  <si>
    <t xml:space="preserve">ma-sc-2124080510</t>
  </si>
  <si>
    <t xml:space="preserve">Material</t>
  </si>
  <si>
    <t xml:space="preserve">pza</t>
  </si>
  <si>
    <t xml:space="preserve">Junta pletina para batería de contadores de agua.   Ref. sc-2124080510</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</si>
  <si>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</si>
  <si>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</si>
  <si>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</si>
  <si>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</si>
  <si>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</si>
  <si>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</si>
  <si>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</si>
  <si>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</si>
  <si>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</si>
  <si>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</si>
  <si>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</si>
  <si>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</si>
  <si>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</si>
  <si>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ma-pag1</t>
  </si>
  <si>
    <t xml:space="preserve">Material</t>
  </si>
  <si>
    <t xml:space="preserve">u</t>
  </si>
  <si>
    <t xml:space="preserve">Brida u.avk pn16 dn100 109-133mm s-603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</si>
  <si>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</si>
  <si>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</si>
  <si>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</si>
  <si>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</si>
  <si>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</si>
  <si>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</si>
  <si>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</si>
  <si>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</si>
  <si>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ma-bm-10282853</t>
  </si>
  <si>
    <t xml:space="preserve">Material</t>
  </si>
  <si>
    <t xml:space="preserve">bolsa</t>
  </si>
  <si>
    <t xml:space="preserve">Espárrago/Varilla de inyección para anclaje químico; 10x165 mm (8 Pzas./Bolsa)   Ref. bm-10282853</t>
  </si>
  <si>
    <t xml:space="preserve">ma-sc-2125000120</t>
  </si>
  <si>
    <t xml:space="preserve">Material</t>
  </si>
  <si>
    <t xml:space="preserve">pza</t>
  </si>
  <si>
    <t xml:space="preserve">Válvula para contador entrada COHISA Serie ST manual orientable 20 mm escuadra para batería de contadores de agua.   Ref. sc-2125000120</t>
  </si>
  <si>
    <t xml:space="preserve">ma-sc-2125000320</t>
  </si>
  <si>
    <t xml:space="preserve">Material</t>
  </si>
  <si>
    <t xml:space="preserve">pza</t>
  </si>
  <si>
    <t xml:space="preserve">Válvula para contador salida COHISA Serie ST manual 20 mm escuadra con sistema antirretorno para batería de contadores de agua.   Ref. sc-2125000320</t>
  </si>
  <si>
    <t xml:space="preserve">ma-sc-2125000281</t>
  </si>
  <si>
    <t xml:space="preserve">Material</t>
  </si>
  <si>
    <t xml:space="preserve">pza</t>
  </si>
  <si>
    <t xml:space="preserve">Válvula Te de comprobación de presión 1/2x20 mm.   Ref. sc-2125000281</t>
  </si>
  <si>
    <t xml:space="preserve">ma-sc-2054000005</t>
  </si>
  <si>
    <t xml:space="preserve">Material</t>
  </si>
  <si>
    <t xml:space="preserve">pza</t>
  </si>
  <si>
    <t xml:space="preserve">Válvula de retención muelle TULLER TEKNIK YORK rosca H y cuerpo de latón (diámetro 1 1/4" o 32 mm).   Ref. sc-2054000005</t>
  </si>
  <si>
    <t xml:space="preserve">ma-sc-2110020171</t>
  </si>
  <si>
    <t xml:space="preserve">Material</t>
  </si>
  <si>
    <t xml:space="preserve">pza</t>
  </si>
  <si>
    <t xml:space="preserve">Latiguillo flexible de acero inoxidable ACFLOW MH 50 cm 16 bar para contador de agua (diámetro 1” o 26 mm)..   Ref. sc-2110020171</t>
  </si>
  <si>
    <t xml:space="preserve">ma-nv-LSR90285</t>
  </si>
  <si>
    <t xml:space="preserve">Material</t>
  </si>
  <si>
    <t xml:space="preserve">pza</t>
  </si>
  <si>
    <t xml:space="preserve">Codo de cobre H-H soldar-roscar (28 mm-1”).   Ref. nv-LSR90285</t>
  </si>
  <si>
    <t xml:space="preserve">ma-sc-1255098054</t>
  </si>
  <si>
    <t xml:space="preserve">Material</t>
  </si>
  <si>
    <t xml:space="preserve">pza</t>
  </si>
  <si>
    <t xml:space="preserve">Doble rosca reducida de latón (32 a 25 mm).   Ref. sc-1255098054</t>
  </si>
  <si>
    <t xml:space="preserve">ma-lp-00012213</t>
  </si>
  <si>
    <t xml:space="preserve">Material</t>
  </si>
  <si>
    <t xml:space="preserve">rollo</t>
  </si>
  <si>
    <t xml:space="preserve">Cinta Teflón PTFE de GYMCOL 19 mm (50 m/rollo).   Ref. lp-00012213</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</si>
  <si>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</si>
  <si>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</si>
  <si>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</si>
  <si>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</si>
  <si>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</si>
  <si>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</si>
  <si>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</si>
  <si>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</si>
  <si>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t>
  </si>
  <si>
    <t xml:space="preserve">%</t>
  </si>
  <si>
    <t xml:space="preserve">Herramientas Menores</t>
  </si>
  <si>
    <t xml:space="preserve">INSBAT-MNR-16</t>
  </si>
  <si>
    <t xml:space="preserve">INSBAT01</t>
  </si>
  <si>
    <t xml:space="preserve">Partida</t>
  </si>
  <si>
    <t xml:space="preserve">U</t>
  </si>
  <si>
    <t xml:space="preserve">BATERIA DE 15 CONTADORES</t>
  </si>
  <si>
    <t xml:space="preserve">Suministro y montaje de Batería de 15 contadores en 3 filas (5 en cada fila) de polipropileno (PP) o acero galvanizado. Incluso: flexos, conexiones, valvulas, manguitos, soportes para el colector, material auxiliar y el retiro de bateria actual al deposito de residuos autorizado.</t>
  </si>
  <si>
    <t xml:space="preserve">batprop1</t>
  </si>
  <si>
    <t xml:space="preserve">Material</t>
  </si>
  <si>
    <t xml:space="preserve">u</t>
  </si>
  <si>
    <t xml:space="preserve">Batería de contadores 15 contadores en 3 filas polipropileno (PP) modelo bandera</t>
  </si>
  <si>
    <t xml:space="preserve">valvE20mm</t>
  </si>
  <si>
    <t xml:space="preserve">Material</t>
  </si>
  <si>
    <t xml:space="preserve">u</t>
  </si>
  <si>
    <t xml:space="preserve">CUERPO VALVULA ENTRADA BATERIA ST ORIENTABLE 20MM</t>
  </si>
  <si>
    <t xml:space="preserve">valvS20mm</t>
  </si>
  <si>
    <t xml:space="preserve">Material</t>
  </si>
  <si>
    <t xml:space="preserve">u</t>
  </si>
  <si>
    <t xml:space="preserve">CUERPO VALVULA SALIDA MANUAL S/MANGUITO 20MM</t>
  </si>
  <si>
    <t xml:space="preserve">mang1</t>
  </si>
  <si>
    <t xml:space="preserve">Material</t>
  </si>
  <si>
    <t xml:space="preserve">u</t>
  </si>
  <si>
    <t xml:space="preserve">MANGUITO CONEXION ROSCA IZDA 3/4-DCHA 3/4 VALV.ST-RT</t>
  </si>
  <si>
    <t xml:space="preserve">soprt1</t>
  </si>
  <si>
    <t xml:space="preserve">Material</t>
  </si>
  <si>
    <t xml:space="preserve">u</t>
  </si>
  <si>
    <t xml:space="preserve">SOPORTE BATERIA PROLIPROPILENO DN75 28CM</t>
  </si>
  <si>
    <t xml:space="preserve">lag50cm</t>
  </si>
  <si>
    <t xml:space="preserve">Material</t>
  </si>
  <si>
    <t xml:space="preserve">u</t>
  </si>
  <si>
    <t xml:space="preserve">LATIGUILLO INOX 50CM MH 3/4 Ø20 16BAR</t>
  </si>
  <si>
    <t xml:space="preserve">vlvreten</t>
  </si>
  <si>
    <t xml:space="preserve">Material</t>
  </si>
  <si>
    <t xml:space="preserve">u</t>
  </si>
  <si>
    <t xml:space="preserve">VALVULA RETENCION YORK 2</t>
  </si>
  <si>
    <t xml:space="preserve">m.o.1</t>
  </si>
  <si>
    <t xml:space="preserve">Mano de obra</t>
  </si>
  <si>
    <t xml:space="preserve">h</t>
  </si>
  <si>
    <t xml:space="preserve">Mano de Obra: 1 Oficial de 1ª, 1 Ayudante y 1/2 Ayudante</t>
  </si>
  <si>
    <t xml:space="preserve">INSBAT01</t>
  </si>
  <si>
    <t xml:space="preserve">INSBAT</t>
  </si>
  <si>
    <t xml:space="preserve">INSACOM</t>
  </si>
  <si>
    <t xml:space="preserve">Capítulo</t>
  </si>
  <si>
    <t xml:space="preserve">ACOMETIDA DE AGUA ( NO USAR SI HAY MEDICIONES DE ARQUITECTOS)</t>
  </si>
  <si>
    <t xml:space="preserve">DEM014</t>
  </si>
  <si>
    <t xml:space="preserve">Partida</t>
  </si>
  <si>
    <t xml:space="preserve">M2</t>
  </si>
  <si>
    <t xml:space="preserve">o DEMOLICION DE SOLERA</t>
  </si>
  <si>
    <t xml:space="preserve">Demolición de solera de hormigón armado de 15 cm de espesor, con medios manuales y equipo de oxicorte, sin deteriorar los elementos constructivos contiguos, y carga manual sobre camión o contenedor.
NOTA: Se demolerán únicamente las zonas necesarias para el cambio de los colectores soterrados de la red de evacuación general del edificio y el cambio de la pequeña red de evacuación privativa de la entidad de planta baja correspondiente. Ver planos de derribo para comprobar las zonas a derribar y excavar.</t>
  </si>
  <si>
    <t xml:space="preserve">alq-martillo.neum.picador-ra-01</t>
  </si>
  <si>
    <t xml:space="preserve">Maquinaria</t>
  </si>
  <si>
    <t xml:space="preserve">h</t>
  </si>
  <si>
    <t xml:space="preserve">Alquiler de Martillo Neumático Picador 10 kg (Longitud 490 mm; Consumo de Aire: 0,95 m3).   Ref. RENTAIRE</t>
  </si>
  <si>
    <t xml:space="preserve">alq-martillo.neum.rompedor-ra-01</t>
  </si>
  <si>
    <t xml:space="preserve">Maquinaria</t>
  </si>
  <si>
    <t xml:space="preserve">h</t>
  </si>
  <si>
    <t xml:space="preserve">Alquiler de Martillo Neumático Rompedor 24 kg (Longitud 686 mm; Consumo de Aire: 1,25 m3).   Ref. RENTAIRE</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</si>
  <si>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</si>
  <si>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</si>
  <si>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</si>
  <si>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</si>
  <si>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</si>
  <si>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</si>
  <si>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</si>
  <si>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</si>
  <si>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</si>
  <si>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</si>
  <si>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</si>
  <si>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</si>
  <si>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</si>
  <si>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</si>
  <si>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</si>
  <si>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</si>
  <si>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</si>
  <si>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</si>
  <si>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</si>
  <si>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</si>
  <si>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</si>
  <si>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</si>
  <si>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</si>
  <si>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</si>
  <si>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DEM014</t>
  </si>
  <si>
    <t xml:space="preserve">COL001</t>
  </si>
  <si>
    <t xml:space="preserve">Partida</t>
  </si>
  <si>
    <t xml:space="preserve">M3</t>
  </si>
  <si>
    <t xml:space="preserve">o EXCAVACION EN INTERIOR DEL EDIFICIO</t>
  </si>
  <si>
    <t xml:space="preserve">Excavación en el interior del edificio, en suelo de arcilla semidura, con medios manuales, bajo nivel freático, y carga manual a camión o contenedor. Incluso utilización de bombas para bajar el nivel freático del terreno y poder trabajar en seco durante las labores de excavación.</t>
  </si>
  <si>
    <t xml:space="preserve">mq12bau030b</t>
  </si>
  <si>
    <t xml:space="preserve">Maquinaria</t>
  </si>
  <si>
    <t xml:space="preserve">h</t>
  </si>
  <si>
    <t xml:space="preserve">Bomba autoaspirante eléctrica de aguas limpias alta presión, de 3 kW, para un caudal de 30 m³/h.</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</si>
  <si>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</si>
  <si>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</si>
  <si>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</si>
  <si>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</si>
  <si>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</si>
  <si>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</si>
  <si>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</si>
  <si>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</si>
  <si>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</si>
  <si>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</si>
  <si>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</si>
  <si>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</si>
  <si>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</si>
  <si>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</si>
  <si>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</si>
  <si>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</si>
  <si>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</si>
  <si>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</si>
  <si>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</si>
  <si>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</si>
  <si>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COL001</t>
  </si>
  <si>
    <t xml:space="preserve">INSACOM03</t>
  </si>
  <si>
    <t xml:space="preserve">Partida</t>
  </si>
  <si>
    <t xml:space="preserve">ML</t>
  </si>
  <si>
    <t xml:space="preserve">ACOMETIDA DE AGUA</t>
  </si>
  <si>
    <t xml:space="preserve">Acometida enterrada para abastecimiento de agua potable de tubo de polietileno PE 100, de 63 mm de diámetro, colocada en el fondo de la zanja previamente excavada, debidamente compactada, nivelada y posterior relleno con arena hasta 10 cm. Incluso, accesorios.</t>
  </si>
  <si>
    <t xml:space="preserve">00001547</t>
  </si>
  <si>
    <t xml:space="preserve">Material</t>
  </si>
  <si>
    <t xml:space="preserve">m3</t>
  </si>
  <si>
    <t xml:space="preserve">BIG BAG ARENA FINA LA PLATAFORMA Ref.: 00001547</t>
  </si>
  <si>
    <t xml:space="preserve">ACOM</t>
  </si>
  <si>
    <t xml:space="preserve">Material</t>
  </si>
  <si>
    <t xml:space="preserve">m</t>
  </si>
  <si>
    <t xml:space="preserve">Tubo de polietileno alta densidad PE-100 PN10 Ø75mm 2 1/2" SDR17</t>
  </si>
  <si>
    <t xml:space="preserve">m.o.1</t>
  </si>
  <si>
    <t xml:space="preserve">Mano de obra</t>
  </si>
  <si>
    <t xml:space="preserve">h</t>
  </si>
  <si>
    <t xml:space="preserve">Mano de Obra: 1 Oficial de 1ª, 1 Ayudante y 1/2 Ayudante</t>
  </si>
  <si>
    <t xml:space="preserve">INSACOM03</t>
  </si>
  <si>
    <t xml:space="preserve">INSACOM04</t>
  </si>
  <si>
    <t xml:space="preserve">Partida</t>
  </si>
  <si>
    <t xml:space="preserve">PAR</t>
  </si>
  <si>
    <t xml:space="preserve">RELLENO DE ZANJA</t>
  </si>
  <si>
    <t xml:space="preserve">Relleno de zanjas, extendido del material por medios manuales y compactacion manual o mecanica.</t>
  </si>
  <si>
    <t xml:space="preserve">00001548</t>
  </si>
  <si>
    <t xml:space="preserve">Material</t>
  </si>
  <si>
    <t xml:space="preserve">m3</t>
  </si>
  <si>
    <t xml:space="preserve">BIG BAG ARENA DE MIGA LA PLATAFORMA Ref.: 00001548</t>
  </si>
  <si>
    <t xml:space="preserve">m.o.1</t>
  </si>
  <si>
    <t xml:space="preserve">Mano de obra</t>
  </si>
  <si>
    <t xml:space="preserve">h</t>
  </si>
  <si>
    <t xml:space="preserve">Mano de Obra: 1 Oficial de 1ª, 1 Ayudante y 1/2 Ayudante</t>
  </si>
  <si>
    <t xml:space="preserve">INSACOM04</t>
  </si>
  <si>
    <t xml:space="preserve">INSACOM05</t>
  </si>
  <si>
    <t xml:space="preserve">Partida</t>
  </si>
  <si>
    <t xml:space="preserve">PAR</t>
  </si>
  <si>
    <t xml:space="preserve">TAPADO DE ZANJA CON SOLERA DE HORMIGON</t>
  </si>
  <si>
    <t xml:space="preserve">Solera de hormigón armado, realizada con hormigón fabricado en obra, y malla electrosoldada ME 20x20 Ø 5-5.</t>
  </si>
  <si>
    <t xml:space="preserve">ma-lp-00001179</t>
  </si>
  <si>
    <t xml:space="preserve">Material</t>
  </si>
  <si>
    <t xml:space="preserve">pza</t>
  </si>
  <si>
    <t xml:space="preserve">Mallazo de acero corrugado electrosoldado; cuadrícula de 20x20 cm, diámetro 5 mm (3x2,5 m/pza).   Ref. lp-00001179</t>
  </si>
  <si>
    <t xml:space="preserve">00001159</t>
  </si>
  <si>
    <t xml:space="preserve">Material</t>
  </si>
  <si>
    <t xml:space="preserve">u</t>
  </si>
  <si>
    <t xml:space="preserve">HORMIGÓN SECO H-25, 25 KG, PLATAFORMA Ref.: 00001159</t>
  </si>
  <si>
    <t xml:space="preserve">m.o.1</t>
  </si>
  <si>
    <t xml:space="preserve">Mano de obra</t>
  </si>
  <si>
    <t xml:space="preserve">h</t>
  </si>
  <si>
    <t xml:space="preserve">Mano de Obra: 1 Oficial de 1ª, 1 Ayudante y 1/2 Ayudante</t>
  </si>
  <si>
    <t xml:space="preserve">INSACOM05</t>
  </si>
  <si>
    <t xml:space="preserve">TERR03</t>
  </si>
  <si>
    <t xml:space="preserve">Partida</t>
  </si>
  <si>
    <t xml:space="preserve">M2</t>
  </si>
  <si>
    <t xml:space="preserve">XXXXXX SOLERA DE HORMIGON</t>
  </si>
  <si>
    <t xml:space="preserve">Solera de hormigón armado de 10 cm de espesor, realizada con hormigón HA-25/F/20/XC2 fabricado en central, y vertido desde camión, y malla electrosoldada ME 20x20 Ø 5-5, colocada sobre separadores homologados, extendido y vibrado manual mediante regla vibrante, sin tratamiento de su superficie; con juntas de retracción de 5 mm de espesor, mediante corte con disco de diamante. Incluso panel de poliestireno expandido de 3 cm de espesor, para la ejecución de juntas de dilatación. El precio no incluye la base de la solera.</t>
  </si>
  <si>
    <t xml:space="preserve">sep2</t>
  </si>
  <si>
    <t xml:space="preserve">Material</t>
  </si>
  <si>
    <t xml:space="preserve">u</t>
  </si>
  <si>
    <t xml:space="preserve">Separador para soleras</t>
  </si>
  <si>
    <t xml:space="preserve">ma-lp-00001179</t>
  </si>
  <si>
    <t xml:space="preserve">Material</t>
  </si>
  <si>
    <t xml:space="preserve">pza</t>
  </si>
  <si>
    <t xml:space="preserve">Mallazo de acero corrugado electrosoldado; cuadrícula de 20x20 cm, diámetro 5 mm (3x2,5 m/pza).   Ref. lp-00001179</t>
  </si>
  <si>
    <t xml:space="preserve">00001159</t>
  </si>
  <si>
    <t xml:space="preserve">Material</t>
  </si>
  <si>
    <t xml:space="preserve">u</t>
  </si>
  <si>
    <t xml:space="preserve">HORMIGÓN SECO H-25, 25 KG, PLATAFORMA Ref.: 00001159</t>
  </si>
  <si>
    <t xml:space="preserve">ma-lp-00001613</t>
  </si>
  <si>
    <t xml:space="preserve">Material</t>
  </si>
  <si>
    <t xml:space="preserve">u</t>
  </si>
  <si>
    <t xml:space="preserve">Placa poliestireno expandido de 2000x1000 mm.  Ref.: 00001613</t>
  </si>
  <si>
    <t xml:space="preserve">m.o.1</t>
  </si>
  <si>
    <t xml:space="preserve">Mano de obra</t>
  </si>
  <si>
    <t xml:space="preserve">h</t>
  </si>
  <si>
    <t xml:space="preserve">Mano de Obra: 1 Oficial de 1ª, 1 Ayudante y 1/2 Ayudante</t>
  </si>
  <si>
    <t xml:space="preserve">TERR03</t>
  </si>
  <si>
    <t xml:space="preserve">CUB008</t>
  </si>
  <si>
    <t xml:space="preserve">Partida</t>
  </si>
  <si>
    <t xml:space="preserve">M2</t>
  </si>
  <si>
    <t xml:space="preserve">o PAVIMENTO DE BALDOSAS CERAMICAS 25x25</t>
  </si>
  <si>
    <t xml:space="preserve">Pavimento de baldosas cerámicas, de 30x30 cm, 25 €/m², capacidad de absorción de agua, resistencia al deslizamiento, recibidas con mortero de cemento M-5 de 3 cm de espesor y rejuntadas con mortero de juntas cementoso, color blanco, para juntas de hasta 3 mm.</t>
  </si>
  <si>
    <t xml:space="preserve">ma-manau-6622</t>
  </si>
  <si>
    <t xml:space="preserve">Material</t>
  </si>
  <si>
    <t xml:space="preserve">m2</t>
  </si>
  <si>
    <t xml:space="preserve">GC orgaz Base gres 24.6x24.6 -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</si>
  <si>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</si>
  <si>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</si>
  <si>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</si>
  <si>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</si>
  <si>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</si>
  <si>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</si>
  <si>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</si>
  <si>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</si>
  <si>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ma-lp-00532407</t>
  </si>
  <si>
    <t xml:space="preserve">Material</t>
  </si>
  <si>
    <t xml:space="preserve">bolsa</t>
  </si>
  <si>
    <t xml:space="preserve">Cuñas BIGMAT para la nivelación de pavimentos y revestimientos cerámicos (300 pzas/bolsa).   Ref lp-00532407</t>
  </si>
  <si>
    <t xml:space="preserve">ma-lp-00532404</t>
  </si>
  <si>
    <t xml:space="preserve">Material</t>
  </si>
  <si>
    <t xml:space="preserve">bolsa</t>
  </si>
  <si>
    <t xml:space="preserve">Bridas BIGMAT 1,5 mm para nivelación de pavimentos y revestimientos cerámicos (300 pzas/bolsa).   Ref. lp-00532404</t>
  </si>
  <si>
    <t xml:space="preserve">ma-lp-00008997</t>
  </si>
  <si>
    <t xml:space="preserve">Material</t>
  </si>
  <si>
    <t xml:space="preserve">u</t>
  </si>
  <si>
    <t xml:space="preserve">CANTONERA CUADRADA QUADEC ALUMINIO MATE NATURAL DE 2.50x12,5 MM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</si>
  <si>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</si>
  <si>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</si>
  <si>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</si>
  <si>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</si>
  <si>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</si>
  <si>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</si>
  <si>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</si>
  <si>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</si>
  <si>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</si>
  <si>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</si>
  <si>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</si>
  <si>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</si>
  <si>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</si>
  <si>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</si>
  <si>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</si>
  <si>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</si>
  <si>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</si>
  <si>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</si>
  <si>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</si>
  <si>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</si>
  <si>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CUB008</t>
  </si>
  <si>
    <t xml:space="preserve">GES001</t>
  </si>
  <si>
    <t xml:space="preserve">Partida</t>
  </si>
  <si>
    <t xml:space="preserve">M3</t>
  </si>
  <si>
    <t xml:space="preserve">GESTION DE RESIDUOS</t>
  </si>
  <si>
    <t xml:space="preserve">Transporte de residuos inertes, producidos en obras de construcción y/o demolición, con contenedor de 1 m³, a vertedero específico, instalación de tratamiento de residuos de construcción y demolición externa a la obra o centro de valorización o eliminación de residuos. Incluso servicio de entrega, alquiler y recogida en obra del contenedor.</t>
  </si>
  <si>
    <t xml:space="preserve">BIGBAG01</t>
  </si>
  <si>
    <t xml:space="preserve">Material</t>
  </si>
  <si>
    <t xml:space="preserve">saco</t>
  </si>
  <si>
    <t xml:space="preserve">Big Bag runa 1m3</t>
  </si>
  <si>
    <t xml:space="preserve">ma-lp-00019688</t>
  </si>
  <si>
    <t xml:space="preserve">Material</t>
  </si>
  <si>
    <t xml:space="preserve">und</t>
  </si>
  <si>
    <t xml:space="preserve">Saco de rafia para materiales y escombros; 50x90 cm    Ref. lp-00019688</t>
  </si>
  <si>
    <t xml:space="preserve">ADM01</t>
  </si>
  <si>
    <t xml:space="preserve">Material</t>
  </si>
  <si>
    <t xml:space="preserve">PAR</t>
  </si>
  <si>
    <t xml:space="preserve">Gestion del certificado de residuos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</si>
  <si>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</si>
  <si>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</si>
  <si>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</si>
  <si>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</si>
  <si>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</si>
  <si>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</si>
  <si>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</si>
  <si>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</si>
  <si>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</si>
  <si>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</si>
  <si>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</si>
  <si>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</si>
  <si>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</si>
  <si>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</si>
  <si>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</si>
  <si>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</si>
  <si>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</si>
  <si>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GES001</t>
  </si>
  <si>
    <t xml:space="preserve">DEM010</t>
  </si>
  <si>
    <t xml:space="preserve">Partida</t>
  </si>
  <si>
    <t xml:space="preserve">M2</t>
  </si>
  <si>
    <t xml:space="preserve">o DEMOLICION DE PAVIMENTO ( FC / PT / CB / VE / CL / RF )</t>
  </si>
  <si>
    <t xml:space="preserve">Demolición de pavimento existente, con medios manuales, sin deteriorar los elementos constructivos contiguos, y carga manual sobre camión o contenedor. El precio incluye el picado del material de agarre adherido al soporte, pero no incluye la demolición de la base soporte.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</si>
  <si>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</si>
  <si>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</si>
  <si>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</si>
  <si>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</si>
  <si>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</si>
  <si>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</si>
  <si>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</si>
  <si>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</si>
  <si>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</si>
  <si>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</si>
  <si>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</si>
  <si>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</si>
  <si>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</si>
  <si>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</si>
  <si>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</si>
  <si>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</si>
  <si>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</si>
  <si>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DEM010</t>
  </si>
  <si>
    <t xml:space="preserve">INSACOM</t>
  </si>
  <si>
    <t xml:space="preserve">INSAPLUVIALES</t>
  </si>
  <si>
    <t xml:space="preserve">Capítulo</t>
  </si>
  <si>
    <t xml:space="preserve">AGUAS PLUVIALES</t>
  </si>
  <si>
    <t xml:space="preserve">AAPP-CANALON.PVC-CURVO-250mm</t>
  </si>
  <si>
    <t xml:space="preserve">Partida</t>
  </si>
  <si>
    <t xml:space="preserve">m</t>
  </si>
  <si>
    <t xml:space="preserve">CANALÓN RECOLECTOR DE AGUAS PLUVIALES EN PVC 250 mm; INCLUYENDO FIJACIÓN DE SOPORTE CON TACO MECÁNICO</t>
  </si>
  <si>
    <t xml:space="preserve">CANALÓN RECOLECTOR DE AGUAS PLUVIALES EN PVC 250 mm; INCLUYENDO FIJACIÓN DE SOPORTE CON TACO MECÁNICO</t>
  </si>
  <si>
    <t xml:space="preserve">ma-om-10510654</t>
  </si>
  <si>
    <t xml:space="preserve">Material</t>
  </si>
  <si>
    <t xml:space="preserve">pza</t>
  </si>
  <si>
    <t xml:space="preserve">Canalón PVC curvo 250 mm; color gris (3 m/pza).   Ref. om-10510654</t>
  </si>
  <si>
    <t xml:space="preserve">ma-om-10510696</t>
  </si>
  <si>
    <t xml:space="preserve">Material</t>
  </si>
  <si>
    <t xml:space="preserve">pza</t>
  </si>
  <si>
    <t xml:space="preserve">Unión de canalón PVC curvo 250 mm; color gris.   Ref. om-10510696</t>
  </si>
  <si>
    <t xml:space="preserve">ma-om-10510724</t>
  </si>
  <si>
    <t xml:space="preserve">Material</t>
  </si>
  <si>
    <t xml:space="preserve">pza</t>
  </si>
  <si>
    <t xml:space="preserve">Soporte de canalón PVC curvo 250 mm; color gris.   Ref. om-10510724</t>
  </si>
  <si>
    <t xml:space="preserve">ma-om-10510703</t>
  </si>
  <si>
    <t xml:space="preserve">Material</t>
  </si>
  <si>
    <t xml:space="preserve">pza</t>
  </si>
  <si>
    <t xml:space="preserve">Ángulo de canalón de PVC curvo 250 mm; color gris.   Ref. om-10510703</t>
  </si>
  <si>
    <t xml:space="preserve">ma-om-10510710</t>
  </si>
  <si>
    <t xml:space="preserve">Material</t>
  </si>
  <si>
    <t xml:space="preserve">pza</t>
  </si>
  <si>
    <t xml:space="preserve">Tapa de canalón de PVC curvo 250 mm; color gris.   Ref. om-10510710</t>
  </si>
  <si>
    <t xml:space="preserve">ma-om-10510843</t>
  </si>
  <si>
    <t xml:space="preserve">Material</t>
  </si>
  <si>
    <t xml:space="preserve">pza</t>
  </si>
  <si>
    <t xml:space="preserve">Bajada central para canalón PVC 250 mm; color gris.   Ref. om-10510843</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</si>
  <si>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</si>
  <si>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</si>
  <si>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</si>
  <si>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</si>
  <si>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</si>
  <si>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</si>
  <si>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</si>
  <si>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</si>
  <si>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ma-lp-00215083</t>
  </si>
  <si>
    <t xml:space="preserve">Material</t>
  </si>
  <si>
    <t xml:space="preserve">caja</t>
  </si>
  <si>
    <t xml:space="preserve">Taco DUOPOWER de FISCHER (50 pzas/caja).   Ref. lp-00215083</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</si>
  <si>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</si>
  <si>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</si>
  <si>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</si>
  <si>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</si>
  <si>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</si>
  <si>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</si>
  <si>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</si>
  <si>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</si>
  <si>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</si>
  <si>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</si>
  <si>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</si>
  <si>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</si>
  <si>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</si>
  <si>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</si>
  <si>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</si>
  <si>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</si>
  <si>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</si>
  <si>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</si>
  <si>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</si>
  <si>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</si>
  <si>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</si>
  <si>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</si>
  <si>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</si>
  <si>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</si>
  <si>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</si>
  <si>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</si>
  <si>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</si>
  <si>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</si>
  <si>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</si>
  <si>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</si>
  <si>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</si>
  <si>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</si>
  <si>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</si>
  <si>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AAPP-CANALON.PVC-CURVO-250mm</t>
  </si>
  <si>
    <t xml:space="preserve">AAPP-CANALON.PVC-CURVO-125mm</t>
  </si>
  <si>
    <t xml:space="preserve">Partida</t>
  </si>
  <si>
    <t xml:space="preserve">m</t>
  </si>
  <si>
    <t xml:space="preserve">CANALÓN RECOLECTOR DE AGUAS PLUVIALES EN PVC 125 mm; INCLUYENDO FIJACIÓN DE SOPORTE CON TACO MECÁNICO</t>
  </si>
  <si>
    <t xml:space="preserve">CANALÓN RECOLECTOR DE AGUAS PLUVIALES EN PVC 125 mm; INCLUYENDO FIJACIÓN DE SOPORTE CON TACO MECÁNICO</t>
  </si>
  <si>
    <t xml:space="preserve">ma-bd-8011031254906</t>
  </si>
  <si>
    <t xml:space="preserve">Material</t>
  </si>
  <si>
    <t xml:space="preserve">pza</t>
  </si>
  <si>
    <t xml:space="preserve">Canalón PVC curvo 125 mm; color blanco. (2 m/pza).   Ref. bd-8011031254906</t>
  </si>
  <si>
    <t xml:space="preserve">ma-bd-union.canalon/c.125-b</t>
  </si>
  <si>
    <t xml:space="preserve">Material</t>
  </si>
  <si>
    <t xml:space="preserve">pza</t>
  </si>
  <si>
    <t xml:space="preserve">Unión de canalón PVC curvo 125 mm; color blanco.   Ref. bd-union.canalon/c.125-b</t>
  </si>
  <si>
    <t xml:space="preserve">ma-bd-8019966005495</t>
  </si>
  <si>
    <t xml:space="preserve">Material</t>
  </si>
  <si>
    <t xml:space="preserve">pza</t>
  </si>
  <si>
    <t xml:space="preserve">Soporte de canalón PVC curvo 125 mm; color blanco.   Ref. bd-8019966005495</t>
  </si>
  <si>
    <t xml:space="preserve">ma-bd-8019966019720</t>
  </si>
  <si>
    <t xml:space="preserve">Material</t>
  </si>
  <si>
    <t xml:space="preserve">pza</t>
  </si>
  <si>
    <t xml:space="preserve">Tapa de canalón de PVC curvo 125 mm; color blanco.   Ref. bd-8019966019720</t>
  </si>
  <si>
    <t xml:space="preserve">ma-bd-8019966078604</t>
  </si>
  <si>
    <t xml:space="preserve">Material</t>
  </si>
  <si>
    <t xml:space="preserve">pza</t>
  </si>
  <si>
    <t xml:space="preserve">Bajada central para canalón PVC 125 mm; color blanco.   Ref. bd-8019966078604</t>
  </si>
  <si>
    <t xml:space="preserve">ma-lp-00564064</t>
  </si>
  <si>
    <t xml:space="preserve">Material</t>
  </si>
  <si>
    <t xml:space="preserve">envase</t>
  </si>
  <si>
    <t xml:space="preserve">Limpiador disolvente para tuberías de PVC BIGMAT (500 ml/envase)   Ref. lp-00564064</t>
  </si>
  <si>
    <t xml:space="preserve">ma-lp-00540063</t>
  </si>
  <si>
    <t xml:space="preserve">Material</t>
  </si>
  <si>
    <t xml:space="preserve">envase</t>
  </si>
  <si>
    <t xml:space="preserve">Pegamento para tubería de PVC BIGMAT (500 ml/envase)   Ref. lp-00540063</t>
  </si>
  <si>
    <t xml:space="preserve">ma-lp-00215083</t>
  </si>
  <si>
    <t xml:space="preserve">Material</t>
  </si>
  <si>
    <t xml:space="preserve">caja</t>
  </si>
  <si>
    <t xml:space="preserve">Taco DUOPOWER de FISCHER (50 pzas/caja).   Ref. lp-00215083</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</si>
  <si>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</si>
  <si>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</si>
  <si>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</si>
  <si>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</si>
  <si>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</si>
  <si>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</si>
  <si>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</si>
  <si>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</si>
  <si>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</si>
  <si>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</si>
  <si>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</si>
  <si>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</si>
  <si>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</si>
  <si>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</si>
  <si>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</si>
  <si>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</si>
  <si>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</si>
  <si>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</si>
  <si>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</si>
  <si>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</si>
  <si>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</si>
  <si>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</si>
  <si>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</si>
  <si>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</si>
  <si>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</si>
  <si>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</si>
  <si>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</si>
  <si>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</si>
  <si>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</si>
  <si>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</si>
  <si>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</si>
  <si>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</si>
  <si>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</si>
  <si>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AAPP-CANALON.PVC-CURVO-125mm</t>
  </si>
  <si>
    <t xml:space="preserve">DESAGUES</t>
  </si>
  <si>
    <t xml:space="preserve">Capítulo</t>
  </si>
  <si>
    <t xml:space="preserve">DESAGÜES DE AGUAS PLUVIALES</t>
  </si>
  <si>
    <t xml:space="preserve">SANEADO-DESAGUES</t>
  </si>
  <si>
    <t xml:space="preserve">Capítulo</t>
  </si>
  <si>
    <t xml:space="preserve">SANEADO DE DESAGÜES DE AGUAS PLUVIALES</t>
  </si>
  <si>
    <t xml:space="preserve">SANEADO-DESAGUES-C/IMP-EPDM</t>
  </si>
  <si>
    <t xml:space="preserve">Partida</t>
  </si>
  <si>
    <t xml:space="preserve">und</t>
  </si>
  <si>
    <t xml:space="preserve">SANEADO Y REPARACIÓN DE DESAGÜE DE AGUAS PLUVIALES EXISTENTE (MÉTODO CON IMPERMEABILIZACIÓN EPDM)</t>
  </si>
  <si>
    <t xml:space="preserve">Reparación de desagüe de aguas pluviales existente con el respectivo recrecido de mortero y la adición de lámina impermeabilizante EPDM a fin de evitar estancamientos de agua. Las actividades incluyen:
• Demoler alicatado con capa base, en un área aproximada de 1 m2 alrededor del punto de desagüe.
• Desbastar el punto de desagüe para eliminar mohos y mugre, y limpiarlo con fungicida, lejía y/o detergente.
• Lijar y limpiar el bote y la cazoleta con disolvente.
• Reponer volumen removido con mortero cola.
• Impermeabilizar área de suelo al descubierto con lámina de caucho sintético EPDM vulcanizado 1 mm (incluyendo aplicación de adhesivo EPDM).
• Instalar bote y cazoleta, y sellar contornos de ambos componentes con masilla de poliuretano.
• Reponer alicatado.
• Colocar el sumidero.</t>
  </si>
  <si>
    <t xml:space="preserve">DEM003</t>
  </si>
  <si>
    <t xml:space="preserve">Partida</t>
  </si>
  <si>
    <t xml:space="preserve">M2</t>
  </si>
  <si>
    <t xml:space="preserve">o DEMOLICIÓN DE ALICATADO CERÁMICO ( VE / BJ / MT / AM / RF )</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</si>
  <si>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</si>
  <si>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</si>
  <si>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</si>
  <si>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</si>
  <si>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</si>
  <si>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</si>
  <si>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</si>
  <si>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DEM003</t>
  </si>
  <si>
    <t xml:space="preserve">LIMPIEZA-PAVIMENTO-01</t>
  </si>
  <si>
    <t xml:space="preserve">Partida</t>
  </si>
  <si>
    <t xml:space="preserve">m2</t>
  </si>
  <si>
    <t xml:space="preserve">XXXX LIMPIEZA DE PAVIMENTOS CON DETERGENTE SUAVE</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</si>
  <si>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</si>
  <si>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</si>
  <si>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</si>
  <si>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</si>
  <si>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</si>
  <si>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</si>
  <si>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</si>
  <si>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</si>
  <si>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</si>
  <si>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</si>
  <si>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</si>
  <si>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</si>
  <si>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</si>
  <si>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</si>
  <si>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</si>
  <si>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LIMPIEZA-PAVIMENTO-01</t>
  </si>
  <si>
    <t xml:space="preserve">CUB06-MNR-04-02</t>
  </si>
  <si>
    <t xml:space="preserve">Partida</t>
  </si>
  <si>
    <t xml:space="preserve">m2</t>
  </si>
  <si>
    <t xml:space="preserve">XXXXXX IMPERMEABILIZACIÓN CON LÁMINA  DE CAUCHO SINTÉTICO EPDM VULCANIZADO 1,2 mm; INCLUYE ADHESIVO EPDM (CUB)</t>
  </si>
  <si>
    <t xml:space="preserve">ma-lp-00201399</t>
  </si>
  <si>
    <t xml:space="preserve">Material</t>
  </si>
  <si>
    <t xml:space="preserve">envase</t>
  </si>
  <si>
    <t xml:space="preserve">Adhesivo EPDM SA-008 MAX de ROLLGUM para la unión de láminas impermeabilizantes de EPDM y bandas de butilo (5 litros/envase).   Ref. lp-00201399</t>
  </si>
  <si>
    <t xml:space="preserve">ma-lp-00285541</t>
  </si>
  <si>
    <t xml:space="preserve">Material</t>
  </si>
  <si>
    <t xml:space="preserve">m2</t>
  </si>
  <si>
    <t xml:space="preserve">Lámina impermeabilizante GISCOLENE 120 de caucho sintético EPDM vulcanizado (ancho: 3,00 m; espesor: 1,2 mm).   Ref. lp-00285541</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</si>
  <si>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</si>
  <si>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</si>
  <si>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</si>
  <si>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</si>
  <si>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</si>
  <si>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</si>
  <si>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</si>
  <si>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CUB06-MNR-04-02</t>
  </si>
  <si>
    <t xml:space="preserve">REVPAV-RASILLA-01</t>
  </si>
  <si>
    <t xml:space="preserve">Partida</t>
  </si>
  <si>
    <t xml:space="preserve">m2</t>
  </si>
  <si>
    <t xml:space="preserve">ALICATADO DE PAVIMENTO CON CERÁMICA EN RASILLA LISA 14x28 cm</t>
  </si>
  <si>
    <t xml:space="preserve">ma-lp-00299053</t>
  </si>
  <si>
    <t xml:space="preserve">Material</t>
  </si>
  <si>
    <t xml:space="preserve">pza</t>
  </si>
  <si>
    <t xml:space="preserve">Rasilla lisa de 1ª calidad con un espesor de 1,2 mm. Medidas: 14x28 cm   Ref. lp-00299053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</si>
  <si>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</si>
  <si>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</si>
  <si>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</si>
  <si>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</si>
  <si>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</si>
  <si>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</si>
  <si>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</si>
  <si>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</si>
  <si>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</si>
  <si>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</si>
  <si>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</si>
  <si>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</si>
  <si>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</si>
  <si>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</si>
  <si>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</si>
  <si>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REVPAV-RASILLA-01</t>
  </si>
  <si>
    <t xml:space="preserve">ma-lp-00541256</t>
  </si>
  <si>
    <t xml:space="preserve">Material</t>
  </si>
  <si>
    <t xml:space="preserve">envase</t>
  </si>
  <si>
    <t xml:space="preserve">Masilla de poliuretano BIGMAT (300 ml/envase); color marrón.   Ref. lp-00541256</t>
  </si>
  <si>
    <t xml:space="preserve">ma-lp-00564064</t>
  </si>
  <si>
    <t xml:space="preserve">Material</t>
  </si>
  <si>
    <t xml:space="preserve">envase</t>
  </si>
  <si>
    <t xml:space="preserve">Limpiador disolvente para tuberías de PVC BIGMAT (500 ml/envase)   Ref. lp-00564064</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</si>
  <si>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</si>
  <si>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</si>
  <si>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</si>
  <si>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</si>
  <si>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</si>
  <si>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</si>
  <si>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</si>
  <si>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</si>
  <si>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</si>
  <si>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</si>
  <si>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</si>
  <si>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</si>
  <si>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</si>
  <si>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</si>
  <si>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</si>
  <si>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</si>
  <si>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</si>
  <si>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</si>
  <si>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</si>
  <si>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</si>
  <si>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</si>
  <si>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</si>
  <si>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</si>
  <si>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</si>
  <si>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SANEADO-DESAGUES-C/IMP-EPDM</t>
  </si>
  <si>
    <t xml:space="preserve">SANEADO-DESAGUES-S/IMP-01</t>
  </si>
  <si>
    <t xml:space="preserve">Partida</t>
  </si>
  <si>
    <t xml:space="preserve">und</t>
  </si>
  <si>
    <t xml:space="preserve">SANEADO Y REPARACIÓN DE DESAGÜE DE AGUAS PLUVIALES EXISTENTE (MÉTODO SIN IMPERMEABILIZACIÓN)</t>
  </si>
  <si>
    <t xml:space="preserve">Reparación de desagüe de aguas pluviales existente con su respectivo recrecido de mortero a fin de evitar estancamientos de agua. Las actividades incluyen:
• Demoler alicatado con capa base, en un cuadro aproximado de 50 cm/lado alrededor del punto de desagüe.
• Desbastar el punto de desagüe para eliminar mohos y mugre, y aplicar limpiarlo con fungicida, lejía y/o detergente.
• Lijar y limpiar el bote y la cazoleta con disolvente.
• Aplicar mortero cola de reposición.
• Instalar bote y cazoleta, y sellar contornos de ambos componentes con masilla de poliuretano.
• Reponer alicatado.
• Colocar el sumidero.</t>
  </si>
  <si>
    <t xml:space="preserve">DEM003</t>
  </si>
  <si>
    <t xml:space="preserve">Partida</t>
  </si>
  <si>
    <t xml:space="preserve">M2</t>
  </si>
  <si>
    <t xml:space="preserve">o DEMOLICIÓN DE ALICATADO CERÁMICO ( VE / BJ / MT / AM / RF )</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</si>
  <si>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</si>
  <si>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</si>
  <si>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</si>
  <si>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</si>
  <si>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</si>
  <si>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</si>
  <si>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</si>
  <si>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DEM003</t>
  </si>
  <si>
    <t xml:space="preserve">LIMPIEZA-PAVIMENTO-01</t>
  </si>
  <si>
    <t xml:space="preserve">Partida</t>
  </si>
  <si>
    <t xml:space="preserve">m2</t>
  </si>
  <si>
    <t xml:space="preserve">XXXX LIMPIEZA DE PAVIMENTOS CON DETERGENTE SUAVE</t>
  </si>
  <si>
    <t xml:space="preserve">ma-lp-00394142</t>
  </si>
  <si>
    <t xml:space="preserve">Material</t>
  </si>
  <si>
    <t xml:space="preserve">envase</t>
  </si>
  <si>
    <t xml:space="preserve">Detergente neutro concentrado para limpieza y mantenimiento FILACLEANER (1 litro/envase).   Ref. lp-00394142</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</si>
  <si>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</si>
  <si>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</si>
  <si>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</si>
  <si>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</si>
  <si>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</si>
  <si>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</si>
  <si>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</si>
  <si>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</si>
  <si>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</si>
  <si>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</si>
  <si>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</si>
  <si>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LIMPIEZA-PAVIMENTO-01</t>
  </si>
  <si>
    <t xml:space="preserve">REVPAV-RASILLA-01</t>
  </si>
  <si>
    <t xml:space="preserve">Partida</t>
  </si>
  <si>
    <t xml:space="preserve">m2</t>
  </si>
  <si>
    <t xml:space="preserve">ALICATADO DE PAVIMENTO CON CERÁMICA EN RASILLA LISA 14x28 cm</t>
  </si>
  <si>
    <t xml:space="preserve">ma-lp-00299053</t>
  </si>
  <si>
    <t xml:space="preserve">Material</t>
  </si>
  <si>
    <t xml:space="preserve">pza</t>
  </si>
  <si>
    <t xml:space="preserve">Rasilla lisa de 1ª calidad con un espesor de 1,2 mm. Medidas: 14x28 cm   Ref. lp-00299053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</si>
  <si>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</si>
  <si>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</si>
  <si>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</si>
  <si>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</si>
  <si>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</si>
  <si>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</si>
  <si>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</si>
  <si>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</si>
  <si>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</si>
  <si>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</si>
  <si>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</si>
  <si>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</si>
  <si>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</si>
  <si>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</si>
  <si>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</si>
  <si>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REVPAV-RASILLA-01</t>
  </si>
  <si>
    <t xml:space="preserve">ma-lp-00541256</t>
  </si>
  <si>
    <t xml:space="preserve">Material</t>
  </si>
  <si>
    <t xml:space="preserve">envase</t>
  </si>
  <si>
    <t xml:space="preserve">Masilla de poliuretano BIGMAT (300 ml/envase); color marrón.   Ref. lp-00541256</t>
  </si>
  <si>
    <t xml:space="preserve">ma-lp-00564064</t>
  </si>
  <si>
    <t xml:space="preserve">Material</t>
  </si>
  <si>
    <t xml:space="preserve">envase</t>
  </si>
  <si>
    <t xml:space="preserve">Limpiador disolvente para tuberías de PVC BIGMAT (500 ml/envase)   Ref. lp-00564064</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</si>
  <si>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</si>
  <si>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</si>
  <si>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</si>
  <si>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</si>
  <si>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</si>
  <si>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</si>
  <si>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</si>
  <si>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</si>
  <si>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</si>
  <si>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</si>
  <si>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</si>
  <si>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</si>
  <si>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</si>
  <si>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</si>
  <si>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</si>
  <si>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</si>
  <si>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</si>
  <si>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</si>
  <si>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</si>
  <si>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</si>
  <si>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</si>
  <si>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</si>
  <si>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</si>
  <si>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</si>
  <si>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SANEADO-DESAGUES-S/IMP-01</t>
  </si>
  <si>
    <t xml:space="preserve">SANEADO-DESAGUES</t>
  </si>
  <si>
    <t xml:space="preserve">DESAGUES</t>
  </si>
  <si>
    <t xml:space="preserve">INSAPLUVIALES</t>
  </si>
  <si>
    <t xml:space="preserve">INSCOLEC</t>
  </si>
  <si>
    <t xml:space="preserve">Capítulo</t>
  </si>
  <si>
    <t xml:space="preserve">o COLECTOR</t>
  </si>
  <si>
    <t xml:space="preserve">DEM014</t>
  </si>
  <si>
    <t xml:space="preserve">Partida</t>
  </si>
  <si>
    <t xml:space="preserve">M2</t>
  </si>
  <si>
    <t xml:space="preserve">o DEMOLICION DE SOLERA</t>
  </si>
  <si>
    <t xml:space="preserve">Demolición de solera de hormigón armado de 15 cm de espesor, con medios manuales y equipo de oxicorte, sin deteriorar los elementos constructivos contiguos, y carga manual sobre camión o contenedor.
NOTA: Se demolerán únicamente las zonas necesarias para el cambio de los colectores soterrados de la red de evacuación general del edificio y el cambio de la pequeña red de evacuación privativa de la entidad de planta baja correspondiente. Ver planos de derribo para comprobar las zonas a derribar y excavar.</t>
  </si>
  <si>
    <t xml:space="preserve">alq-martillo.neum.picador-ra-01</t>
  </si>
  <si>
    <t xml:space="preserve">Maquinaria</t>
  </si>
  <si>
    <t xml:space="preserve">h</t>
  </si>
  <si>
    <t xml:space="preserve">Alquiler de Martillo Neumático Picador 10 kg (Longitud 490 mm; Consumo de Aire: 0,95 m3).   Ref. RENTAIRE</t>
  </si>
  <si>
    <t xml:space="preserve">alq-martillo.neum.rompedor-ra-01</t>
  </si>
  <si>
    <t xml:space="preserve">Maquinaria</t>
  </si>
  <si>
    <t xml:space="preserve">h</t>
  </si>
  <si>
    <t xml:space="preserve">Alquiler de Martillo Neumático Rompedor 24 kg (Longitud 686 mm; Consumo de Aire: 1,25 m3).   Ref. RENTAIRE</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</si>
  <si>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</si>
  <si>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</si>
  <si>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</si>
  <si>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</si>
  <si>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</si>
  <si>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</si>
  <si>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</si>
  <si>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</si>
  <si>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</si>
  <si>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</si>
  <si>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</si>
  <si>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</si>
  <si>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</si>
  <si>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</si>
  <si>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</si>
  <si>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</si>
  <si>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</si>
  <si>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</si>
  <si>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</si>
  <si>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</si>
  <si>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</si>
  <si>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</si>
  <si>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</si>
  <si>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</si>
  <si>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DEM014</t>
  </si>
  <si>
    <t xml:space="preserve">COL001</t>
  </si>
  <si>
    <t xml:space="preserve">Partida</t>
  </si>
  <si>
    <t xml:space="preserve">M3</t>
  </si>
  <si>
    <t xml:space="preserve">o EXCAVACION EN INTERIOR DEL EDIFICIO</t>
  </si>
  <si>
    <t xml:space="preserve">Excavación en el interior del edificio, en suelo de arcilla semidura, con medios manuales, bajo nivel freático, y carga manual a camión o contenedor. Incluso utilización de bombas para bajar el nivel freático del terreno y poder trabajar en seco durante las labores de excavación.</t>
  </si>
  <si>
    <t xml:space="preserve">mq12bau030b</t>
  </si>
  <si>
    <t xml:space="preserve">Maquinaria</t>
  </si>
  <si>
    <t xml:space="preserve">h</t>
  </si>
  <si>
    <t xml:space="preserve">Bomba autoaspirante eléctrica de aguas limpias alta presión, de 3 kW, para un caudal de 30 m³/h.</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</si>
  <si>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</si>
  <si>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</si>
  <si>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</si>
  <si>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</si>
  <si>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</si>
  <si>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</si>
  <si>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</si>
  <si>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</si>
  <si>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</si>
  <si>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</si>
  <si>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</si>
  <si>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</si>
  <si>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</si>
  <si>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</si>
  <si>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</si>
  <si>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</si>
  <si>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</si>
  <si>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</si>
  <si>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</si>
  <si>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</si>
  <si>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COL001</t>
  </si>
  <si>
    <t xml:space="preserve">COL002</t>
  </si>
  <si>
    <t xml:space="preserve">Partida</t>
  </si>
  <si>
    <t xml:space="preserve">M</t>
  </si>
  <si>
    <t xml:space="preserve">o DEMOLICION DE COLECTOR</t>
  </si>
  <si>
    <t xml:space="preserve">Demolición de colector enterrado, de cualquier tipo de material, de 300 mm de diámetro máximo, con medios manuales, y carga manual sobre camión o contenedor. El precio incluye la obturación temporal de las conducciones conectadas al elemento.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</si>
  <si>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</si>
  <si>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</si>
  <si>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</si>
  <si>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</si>
  <si>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</si>
  <si>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</si>
  <si>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</si>
  <si>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</si>
  <si>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</si>
  <si>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</si>
  <si>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</si>
  <si>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</si>
  <si>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</si>
  <si>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</si>
  <si>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</si>
  <si>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</si>
  <si>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</si>
  <si>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</si>
  <si>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</si>
  <si>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</si>
  <si>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COL002</t>
  </si>
  <si>
    <t xml:space="preserve">COL003</t>
  </si>
  <si>
    <t xml:space="preserve">Partida</t>
  </si>
  <si>
    <t xml:space="preserve">U</t>
  </si>
  <si>
    <t xml:space="preserve">o DEMOLICION DE ARQUETA DE OBRA</t>
  </si>
  <si>
    <t xml:space="preserve">Demolición de arqueta de obra de fábrica, enterrada, situada a 150 cm de la cota de acabado de planta baja, estimada de más de entre 200 y 500 l de capacidad, con medios manuales, sin deteriorar las conducciones que conecten con la arqueta, y carga manual sobre camión o contenedor. El precio incluye la obturación de las conducciones conectadas al elemento.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</si>
  <si>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</si>
  <si>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</si>
  <si>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</si>
  <si>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</si>
  <si>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</si>
  <si>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</si>
  <si>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</si>
  <si>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</si>
  <si>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</si>
  <si>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</si>
  <si>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</si>
  <si>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</si>
  <si>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</si>
  <si>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</si>
  <si>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</si>
  <si>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</si>
  <si>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</si>
  <si>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</si>
  <si>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</si>
  <si>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</si>
  <si>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COL003</t>
  </si>
  <si>
    <t xml:space="preserve">COL004</t>
  </si>
  <si>
    <t xml:space="preserve">Partida</t>
  </si>
  <si>
    <t xml:space="preserve">U</t>
  </si>
  <si>
    <t xml:space="preserve">o DEMOLICION DE REGISTRO DE 60x60CM</t>
  </si>
  <si>
    <t xml:space="preserve">Demolición de registro existente no registrable, situado a pie de bajante, dimensiones aproximadas máximas 60x60x60 cm, con medios manuales, sin deteriorar las conducciones que conecten con el arqueta, y carga manual sobre camión o contenedor.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</si>
  <si>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</si>
  <si>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</si>
  <si>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</si>
  <si>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</si>
  <si>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</si>
  <si>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</si>
  <si>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</si>
  <si>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</si>
  <si>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</si>
  <si>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</si>
  <si>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</si>
  <si>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</si>
  <si>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</si>
  <si>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</si>
  <si>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</si>
  <si>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</si>
  <si>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</si>
  <si>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</si>
  <si>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</si>
  <si>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</si>
  <si>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COL004</t>
  </si>
  <si>
    <t xml:space="preserve">COL005</t>
  </si>
  <si>
    <t xml:space="preserve">Partida</t>
  </si>
  <si>
    <t xml:space="preserve">M</t>
  </si>
  <si>
    <t xml:space="preserve">o TUBERIA DE SANEAMIENTO PVC SN4 TEJA DE DN 160MM</t>
  </si>
  <si>
    <t xml:space="preserve">Alcantarillado con tubo de PVC-U de pared maciza para saneamiento sin presión, de DN 160 mm y de SN 4 (4 kN/m2) de rigidez anular, según norma UNE-EN 1401-1, sobre solera de hormigón de 15 cm de grosor, cama de arena de 15 cm de grosor y relleno con arena hasta 30 cm por encima del tubo.</t>
  </si>
  <si>
    <t xml:space="preserve">00314739</t>
  </si>
  <si>
    <t xml:space="preserve">Material</t>
  </si>
  <si>
    <t xml:space="preserve">l</t>
  </si>
  <si>
    <t xml:space="preserve">LIMPIADOR PVC BOTE 1 L Ref.: 00314739</t>
  </si>
  <si>
    <t xml:space="preserve">ma-lp-00001547</t>
  </si>
  <si>
    <t xml:space="preserve">Material</t>
  </si>
  <si>
    <t xml:space="preserve">u</t>
  </si>
  <si>
    <t xml:space="preserve">BIG BAG ARENA FINA LA PLATAFORMA  Ref.: 00001547</t>
  </si>
  <si>
    <t xml:space="preserve">00343897</t>
  </si>
  <si>
    <t xml:space="preserve">Material</t>
  </si>
  <si>
    <t xml:space="preserve">l</t>
  </si>
  <si>
    <t xml:space="preserve">PEGAMENTO PVC PINCEL 500 ML NOVIPRO Ref.: 00343897</t>
  </si>
  <si>
    <t xml:space="preserve">ma-saltoki-1900040516</t>
  </si>
  <si>
    <t xml:space="preserve">Material</t>
  </si>
  <si>
    <t xml:space="preserve">U</t>
  </si>
  <si>
    <t xml:space="preserve">Tubo de saneamiento PVC PVC COMPACT UNE EN-ISO 1452 P Ø160mm SN4 teja DE 6M</t>
  </si>
  <si>
    <t xml:space="preserve">ALB001</t>
  </si>
  <si>
    <t xml:space="preserve">Partida</t>
  </si>
  <si>
    <t xml:space="preserve">M2</t>
  </si>
  <si>
    <t xml:space="preserve">o BASE PARA PAVIMENTO DE 4CM</t>
  </si>
  <si>
    <t xml:space="preserve">ma-lp-00134360</t>
  </si>
  <si>
    <t xml:space="preserve">Material</t>
  </si>
  <si>
    <t xml:space="preserve">m</t>
  </si>
  <si>
    <t xml:space="preserve">Polietireno expandido EPS, de Knauff, para aislamiento térmico. Tira 1000x100 mm. Espesor: 10 mm</t>
  </si>
  <si>
    <t xml:space="preserve">ma-lp-00001603A</t>
  </si>
  <si>
    <t xml:space="preserve">Material</t>
  </si>
  <si>
    <t xml:space="preserve">saco</t>
  </si>
  <si>
    <t xml:space="preserve">Mortero seco para aplicaciones en albañilería M-7,5 VALSEC; color gris (25 kg/saco)   Ref. lp-00001603</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</si>
  <si>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</si>
  <si>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</si>
  <si>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</si>
  <si>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</si>
  <si>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</si>
  <si>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</si>
  <si>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</si>
  <si>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</si>
  <si>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</si>
  <si>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</si>
  <si>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</si>
  <si>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ALB001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</si>
  <si>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</si>
  <si>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</si>
  <si>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</si>
  <si>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</si>
  <si>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</si>
  <si>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</si>
  <si>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</si>
  <si>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</si>
  <si>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</si>
  <si>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</si>
  <si>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</si>
  <si>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</si>
  <si>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</si>
  <si>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</si>
  <si>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</si>
  <si>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</si>
  <si>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</si>
  <si>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</si>
  <si>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</si>
  <si>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</si>
  <si>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COL005</t>
  </si>
  <si>
    <t xml:space="preserve">COL006</t>
  </si>
  <si>
    <t xml:space="preserve">Partida</t>
  </si>
  <si>
    <t xml:space="preserve">M</t>
  </si>
  <si>
    <t xml:space="preserve">o TUBERIA DE SANEAMIENTO PVC SN4 TEJA DE DN 250MM</t>
  </si>
  <si>
    <t xml:space="preserve">Alcantarillado con tubo de PVC-U de pared maciza para saneamiento sin presión, de DN 300 mm y de SN 4 (4 kN/m2) de rigidez anular, según norma UNE-EN 1401-1, sobre solera de hormigón de 15 cm de grosor, cama de arena de 15 cm de grosor y relleno con arena hasta 30 cm por encima del tubo.</t>
  </si>
  <si>
    <t xml:space="preserve">00314739</t>
  </si>
  <si>
    <t xml:space="preserve">Material</t>
  </si>
  <si>
    <t xml:space="preserve">l</t>
  </si>
  <si>
    <t xml:space="preserve">LIMPIADOR PVC BOTE 1 L Ref.: 00314739</t>
  </si>
  <si>
    <t xml:space="preserve">ma-lp-00001547</t>
  </si>
  <si>
    <t xml:space="preserve">Material</t>
  </si>
  <si>
    <t xml:space="preserve">u</t>
  </si>
  <si>
    <t xml:space="preserve">BIG BAG ARENA FINA LA PLATAFORMA  Ref.: 00001547</t>
  </si>
  <si>
    <t xml:space="preserve">00343897</t>
  </si>
  <si>
    <t xml:space="preserve">Material</t>
  </si>
  <si>
    <t xml:space="preserve">l</t>
  </si>
  <si>
    <t xml:space="preserve">PEGAMENTO PVC PINCEL 500 ML NOVIPRO Ref.: 00343897</t>
  </si>
  <si>
    <t xml:space="preserve">ma-saltoki-1900040525</t>
  </si>
  <si>
    <t xml:space="preserve">Material</t>
  </si>
  <si>
    <t xml:space="preserve">u</t>
  </si>
  <si>
    <t xml:space="preserve">Tubo de saneamiento PVC PVC COMPACT UNE EN-ISO 1452 P Ø250mm SN4 teja</t>
  </si>
  <si>
    <t xml:space="preserve">ALB001</t>
  </si>
  <si>
    <t xml:space="preserve">Partida</t>
  </si>
  <si>
    <t xml:space="preserve">M2</t>
  </si>
  <si>
    <t xml:space="preserve">o BASE PARA PAVIMENTO DE 4CM</t>
  </si>
  <si>
    <t xml:space="preserve">ma-lp-00134360</t>
  </si>
  <si>
    <t xml:space="preserve">Material</t>
  </si>
  <si>
    <t xml:space="preserve">m</t>
  </si>
  <si>
    <t xml:space="preserve">Polietireno expandido EPS, de Knauff, para aislamiento térmico. Tira 1000x100 mm. Espesor: 10 mm</t>
  </si>
  <si>
    <t xml:space="preserve">ma-lp-00001603A</t>
  </si>
  <si>
    <t xml:space="preserve">Material</t>
  </si>
  <si>
    <t xml:space="preserve">saco</t>
  </si>
  <si>
    <t xml:space="preserve">Mortero seco para aplicaciones en albañilería M-7,5 VALSEC; color gris (25 kg/saco)   Ref. lp-00001603</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</si>
  <si>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</si>
  <si>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</si>
  <si>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</si>
  <si>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</si>
  <si>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</si>
  <si>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</si>
  <si>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</si>
  <si>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</si>
  <si>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</si>
  <si>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</si>
  <si>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</si>
  <si>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ALB001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</si>
  <si>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</si>
  <si>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</si>
  <si>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</si>
  <si>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</si>
  <si>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</si>
  <si>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</si>
  <si>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</si>
  <si>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</si>
  <si>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</si>
  <si>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</si>
  <si>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</si>
  <si>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</si>
  <si>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</si>
  <si>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</si>
  <si>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</si>
  <si>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</si>
  <si>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</si>
  <si>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</si>
  <si>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</si>
  <si>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</si>
  <si>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COL006</t>
  </si>
  <si>
    <t xml:space="preserve">COL007</t>
  </si>
  <si>
    <t xml:space="preserve">Partida</t>
  </si>
  <si>
    <t xml:space="preserve">M</t>
  </si>
  <si>
    <t xml:space="preserve">o TUBERIA DE SANEAMIENTO PVC SN4 TEJA DE DN 300MM</t>
  </si>
  <si>
    <t xml:space="preserve">Alcantarillado con tubo de PVC-U de pared maciza para saneamiento sin presión, de DN 300 mm y de SN 4 (4 kN/m2) de rigidez anular, según norma UNE-EN 1401-1, sobre solera de hormigón de 15 cm de grosor, cama de arena de 15 cm de grosor y relleno con arena hasta 30 cm por encima del tubo.</t>
  </si>
  <si>
    <t xml:space="preserve">00314739</t>
  </si>
  <si>
    <t xml:space="preserve">Material</t>
  </si>
  <si>
    <t xml:space="preserve">l</t>
  </si>
  <si>
    <t xml:space="preserve">LIMPIADOR PVC BOTE 1 L Ref.: 00314739</t>
  </si>
  <si>
    <t xml:space="preserve">ma-lp-00001547</t>
  </si>
  <si>
    <t xml:space="preserve">Material</t>
  </si>
  <si>
    <t xml:space="preserve">u</t>
  </si>
  <si>
    <t xml:space="preserve">BIG BAG ARENA FINA LA PLATAFORMA  Ref.: 00001547</t>
  </si>
  <si>
    <t xml:space="preserve">00343897</t>
  </si>
  <si>
    <t xml:space="preserve">Material</t>
  </si>
  <si>
    <t xml:space="preserve">l</t>
  </si>
  <si>
    <t xml:space="preserve">PEGAMENTO PVC PINCEL 500 ML NOVIPRO Ref.: 00343897</t>
  </si>
  <si>
    <t xml:space="preserve">ma-saltoki-1900040531</t>
  </si>
  <si>
    <t xml:space="preserve">Material</t>
  </si>
  <si>
    <t xml:space="preserve">U</t>
  </si>
  <si>
    <t xml:space="preserve">Tubo de saneamiento PVC PVC COMPACT UNE EN-ISO 1452 P Ø315mm SN4 teja barra de 6m</t>
  </si>
  <si>
    <t xml:space="preserve">ALB001</t>
  </si>
  <si>
    <t xml:space="preserve">Partida</t>
  </si>
  <si>
    <t xml:space="preserve">M2</t>
  </si>
  <si>
    <t xml:space="preserve">o BASE PARA PAVIMENTO DE 4CM</t>
  </si>
  <si>
    <t xml:space="preserve">ma-lp-00134360</t>
  </si>
  <si>
    <t xml:space="preserve">Material</t>
  </si>
  <si>
    <t xml:space="preserve">m</t>
  </si>
  <si>
    <t xml:space="preserve">Polietireno expandido EPS, de Knauff, para aislamiento térmico. Tira 1000x100 mm. Espesor: 10 mm</t>
  </si>
  <si>
    <t xml:space="preserve">ma-lp-00001603A</t>
  </si>
  <si>
    <t xml:space="preserve">Material</t>
  </si>
  <si>
    <t xml:space="preserve">saco</t>
  </si>
  <si>
    <t xml:space="preserve">Mortero seco para aplicaciones en albañilería M-7,5 VALSEC; color gris (25 kg/saco)   Ref. lp-00001603</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</si>
  <si>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</si>
  <si>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</si>
  <si>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</si>
  <si>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</si>
  <si>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</si>
  <si>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</si>
  <si>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</si>
  <si>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</si>
  <si>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</si>
  <si>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</si>
  <si>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</si>
  <si>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ALB001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</si>
  <si>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</si>
  <si>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</si>
  <si>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</si>
  <si>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</si>
  <si>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</si>
  <si>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</si>
  <si>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</si>
  <si>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</si>
  <si>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</si>
  <si>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</si>
  <si>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</si>
  <si>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</si>
  <si>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</si>
  <si>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</si>
  <si>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</si>
  <si>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</si>
  <si>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</si>
  <si>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</si>
  <si>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</si>
  <si>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</si>
  <si>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COL007</t>
  </si>
  <si>
    <t xml:space="preserve">COL008</t>
  </si>
  <si>
    <t xml:space="preserve">Partida</t>
  </si>
  <si>
    <t xml:space="preserve">U</t>
  </si>
  <si>
    <t xml:space="preserve">o ARQUETA DE OBRA, NO REGISTRABLE DE PASO. 100x100x150CM</t>
  </si>
  <si>
    <t xml:space="preserve">Arqueta de paso, no registrable, soterrada, construido con fábrica de ladrillo cerámico macizo, de 1/2 pie de espesor, recibo con mortero de cemento, industrial, m-5, de dimensiones interiores 100x100x150 cm, sobre solera de hormigón en masa hm-30/b/20/x0+xa2 de 15 cm de espesor, formación de pendiente mínima del 2% , con el mismo tipo de hormigón, enlucido y bruñido interiormente con mortero de cimente, industrial, con aditivo hidrófugo, m-15 formando aristas y esquinas a media caña, cerrada su- periormente con tablero cerámico hueco machihembrado y losa de hormigón ha 30/b/20/xc4+xa2, armada con  malla electrosoldada y sellada herméticamente con mortero de cemento; previa excavación con medios manuales y posterior rellenado del trasdós con material granular. Incluso mortero para sellado de juntas y piezas de pvc cortadas longitudinalmente para formación del canal en el fondo del arqueta.</t>
  </si>
  <si>
    <t xml:space="preserve">ma-lp-00001159</t>
  </si>
  <si>
    <t xml:space="preserve">Material</t>
  </si>
  <si>
    <t xml:space="preserve">saco</t>
  </si>
  <si>
    <t xml:space="preserve">Mortero seco H-25 de VALSEC (25 kg/saco).   Ref. lp-00001159</t>
  </si>
  <si>
    <t xml:space="preserve">ma-lp-00001156</t>
  </si>
  <si>
    <t xml:space="preserve">Material</t>
  </si>
  <si>
    <t xml:space="preserve">pza</t>
  </si>
  <si>
    <t xml:space="preserve">Gero 6 rústico o ladrillo macizo cara vista rojo (28,5x13,7x4,6 cm/pza).   Ref. lp-00001156</t>
  </si>
  <si>
    <t xml:space="preserve">ma-lp-00001604</t>
  </si>
  <si>
    <t xml:space="preserve">Material</t>
  </si>
  <si>
    <t xml:space="preserve">saco</t>
  </si>
  <si>
    <t xml:space="preserve">Mortero seco M-5 de VALSEC; color gris (25 kg/saco).   Ref. lp-00001604</t>
  </si>
  <si>
    <t xml:space="preserve">mt11var110</t>
  </si>
  <si>
    <t xml:space="preserve">Material</t>
  </si>
  <si>
    <t xml:space="preserve">Ud</t>
  </si>
  <si>
    <t xml:space="preserve">Conjunto de piezas de PVC para realizar en el fondo de la arqueta de paso los cauces correspondientes.</t>
  </si>
  <si>
    <t xml:space="preserve">ma-lp-00001603A</t>
  </si>
  <si>
    <t xml:space="preserve">Material</t>
  </si>
  <si>
    <t xml:space="preserve">saco</t>
  </si>
  <si>
    <t xml:space="preserve">Mortero seco para aplicaciones en albañilería M-7,5 VALSEC; color gris (25 kg/saco)   Ref. lp-00001603</t>
  </si>
  <si>
    <t xml:space="preserve">ma-lp-00001228</t>
  </si>
  <si>
    <t xml:space="preserve">Material</t>
  </si>
  <si>
    <t xml:space="preserve">u</t>
  </si>
  <si>
    <t xml:space="preserve">Ladrillo cerámico hueco supermahón de medidas 50x20x4 cm. Color rojo Ref.: 00001228</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</si>
  <si>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</si>
  <si>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</si>
  <si>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</si>
  <si>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</si>
  <si>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</si>
  <si>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</si>
  <si>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</si>
  <si>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</si>
  <si>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</si>
  <si>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</si>
  <si>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</si>
  <si>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</si>
  <si>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</si>
  <si>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</si>
  <si>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</si>
  <si>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</si>
  <si>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</si>
  <si>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</si>
  <si>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</si>
  <si>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</si>
  <si>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</si>
  <si>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</si>
  <si>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</si>
  <si>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</si>
  <si>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COL008</t>
  </si>
  <si>
    <t xml:space="preserve">COL009</t>
  </si>
  <si>
    <t xml:space="preserve">Partida</t>
  </si>
  <si>
    <t xml:space="preserve">U</t>
  </si>
  <si>
    <t xml:space="preserve">o ARQUETA DE OBRA, REGISTRABLE EN EXTREMO. 50x50x50CM</t>
  </si>
  <si>
    <t xml:space="preserve">Arqueta de paso, registrable, soterrada, construido con fábrica de ladrillo cerámico macizo, de 1/2 pie de espesor, recibo con mortero de cemento, industrial, m-5, de dimensiones interiores 50x50x50 cm, sobre solera de hormigón en masa hm-30/b/20/x0+xa2 de 15 cm de espesor, formación de pendiente mínima del  2% , con el mismo tipo de hormigón, enlucido y bruñido interiormente con mortero de cemento, in- dustrial, con aditivo hidrófugo, m-15 formando aristas y esquinas a media caña, cerrado  superiormente con marco y tapa de hierro fundido clase b-125 según une-en 124; previa excavación con medios manuales y posterior rellenado del trasdós con material granular. Incluso mortero para sellado de juntas y colector de conexión de pvc, de tres entradas y una salida, con tapa de registro, para encuentros.</t>
  </si>
  <si>
    <t xml:space="preserve">ma-lp-00001159</t>
  </si>
  <si>
    <t xml:space="preserve">Material</t>
  </si>
  <si>
    <t xml:space="preserve">saco</t>
  </si>
  <si>
    <t xml:space="preserve">Mortero seco H-25 de VALSEC (25 kg/saco).   Ref. lp-00001159</t>
  </si>
  <si>
    <t xml:space="preserve">ma-lp-00001156</t>
  </si>
  <si>
    <t xml:space="preserve">Material</t>
  </si>
  <si>
    <t xml:space="preserve">pza</t>
  </si>
  <si>
    <t xml:space="preserve">Gero 6 rústico o ladrillo macizo cara vista rojo (28,5x13,7x4,6 cm/pza).   Ref. lp-00001156</t>
  </si>
  <si>
    <t xml:space="preserve">ma-lp-00001604</t>
  </si>
  <si>
    <t xml:space="preserve">Material</t>
  </si>
  <si>
    <t xml:space="preserve">saco</t>
  </si>
  <si>
    <t xml:space="preserve">Mortero seco M-5 de VALSEC; color gris (25 kg/saco).   Ref. lp-00001604</t>
  </si>
  <si>
    <t xml:space="preserve">mt11var130</t>
  </si>
  <si>
    <t xml:space="preserve">Material</t>
  </si>
  <si>
    <t xml:space="preserve">Ud</t>
  </si>
  <si>
    <t xml:space="preserve">Colector de conexión de PVC, con tres entradas y una salida, con tapa de registro.</t>
  </si>
  <si>
    <t xml:space="preserve">ma-lp-00001603A</t>
  </si>
  <si>
    <t xml:space="preserve">Material</t>
  </si>
  <si>
    <t xml:space="preserve">saco</t>
  </si>
  <si>
    <t xml:space="preserve">Mortero seco para aplicaciones en albañilería M-7,5 VALSEC; color gris (25 kg/saco)   Ref. lp-00001603</t>
  </si>
  <si>
    <t xml:space="preserve">mt11var100</t>
  </si>
  <si>
    <t xml:space="preserve">Material</t>
  </si>
  <si>
    <t xml:space="preserve">Ud</t>
  </si>
  <si>
    <t xml:space="preserve">Conjunto de elementos necesarios para garantizar el cierre hermético al paso de olores mefíticos en arquetas de saneamiento, compuesto por: angulares y chapas metálicas con sus elementos de fijación y anclaje, junta de neopreno, aceite y demás accesorios.</t>
  </si>
  <si>
    <t xml:space="preserve">mt11arf010e</t>
  </si>
  <si>
    <t xml:space="preserve">Material</t>
  </si>
  <si>
    <t xml:space="preserve">Ud</t>
  </si>
  <si>
    <t xml:space="preserve">Tapa de hormigón armado prefabricada, 50x50x5 cm.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</si>
  <si>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</si>
  <si>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</si>
  <si>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</si>
  <si>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</si>
  <si>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</si>
  <si>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</si>
  <si>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</si>
  <si>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</si>
  <si>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</si>
  <si>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</si>
  <si>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</si>
  <si>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</si>
  <si>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</si>
  <si>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</si>
  <si>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</si>
  <si>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</si>
  <si>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</si>
  <si>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</si>
  <si>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</si>
  <si>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</si>
  <si>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COL009</t>
  </si>
  <si>
    <t xml:space="preserve">COL010</t>
  </si>
  <si>
    <t xml:space="preserve">Partida</t>
  </si>
  <si>
    <t xml:space="preserve">U</t>
  </si>
  <si>
    <t xml:space="preserve">o ARQUETA DE OBRA, NO REGISTRABLE A PIE DE BAJANTE. 50x50x50CM</t>
  </si>
  <si>
    <t xml:space="preserve">Arqueta a pie de bajante, no registrable, enterrada, construido con fábrica de ladrillo cerámico macizo, de 1/2 pie de espesor, recibo con mortero de cemento, industrial, m-5, de dimensiones interiores 50x50x50 cm, sobre solera de hormigón en masa hm-30/b/20/x0+xa2 de 15 cm de espesor, formación de pendiente mínimo del 2%, con el mismo tipo de hormigón, enlucido y bruñido interiormente con mortero de cemento, industrial, con aditivo hidrófugo, m-15 formando aristas y esquinas a media caña, con codo de pvc de 45° colocado en dado de hormigón, para evitar el golpe de bajada en la pendiente de la suela, cerrada superiormente con tablero cerámico hueco machihembrado y losa de hormigón ha 30/b/20/xc4+xa2, armada con malla electrosoldada y sellada herméticamente con mortero de cemento; previa excavación con medios manuales y posterior rellenado del trasdós con material granular. Incluso mortero para sellado de juntas.</t>
  </si>
  <si>
    <t xml:space="preserve">ma-lp-00001159</t>
  </si>
  <si>
    <t xml:space="preserve">Material</t>
  </si>
  <si>
    <t xml:space="preserve">saco</t>
  </si>
  <si>
    <t xml:space="preserve">Mortero seco H-25 de VALSEC (25 kg/saco).   Ref. lp-00001159</t>
  </si>
  <si>
    <t xml:space="preserve">ma-lp-00001156</t>
  </si>
  <si>
    <t xml:space="preserve">Material</t>
  </si>
  <si>
    <t xml:space="preserve">pza</t>
  </si>
  <si>
    <t xml:space="preserve">Gero 6 rústico o ladrillo macizo cara vista rojo (28,5x13,7x4,6 cm/pza).   Ref. lp-00001156</t>
  </si>
  <si>
    <t xml:space="preserve">ma-lp-00001604</t>
  </si>
  <si>
    <t xml:space="preserve">Material</t>
  </si>
  <si>
    <t xml:space="preserve">saco</t>
  </si>
  <si>
    <t xml:space="preserve">Mortero seco M-5 de VALSEC; color gris (25 kg/saco).   Ref. lp-00001604</t>
  </si>
  <si>
    <t xml:space="preserve">ma-lp-00001388</t>
  </si>
  <si>
    <t xml:space="preserve">Material</t>
  </si>
  <si>
    <t xml:space="preserve">pza</t>
  </si>
  <si>
    <t xml:space="preserve">Codo evacuación M-H PVC 45º x 125 mm; color gris.   Ref. lp-00001388</t>
  </si>
  <si>
    <t xml:space="preserve">ma-lp-00001603A</t>
  </si>
  <si>
    <t xml:space="preserve">Material</t>
  </si>
  <si>
    <t xml:space="preserve">saco</t>
  </si>
  <si>
    <t xml:space="preserve">Mortero seco para aplicaciones en albañilería M-7,5 VALSEC; color gris (25 kg/saco)   Ref. lp-00001603</t>
  </si>
  <si>
    <t xml:space="preserve">ma-lp-00001228</t>
  </si>
  <si>
    <t xml:space="preserve">Material</t>
  </si>
  <si>
    <t xml:space="preserve">u</t>
  </si>
  <si>
    <t xml:space="preserve">Ladrillo cerámico hueco supermahón de medidas 50x20x4 cm. Color rojo Ref.: 00001228</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</si>
  <si>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</si>
  <si>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</si>
  <si>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</si>
  <si>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</si>
  <si>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</si>
  <si>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</si>
  <si>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</si>
  <si>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</si>
  <si>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</si>
  <si>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</si>
  <si>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</si>
  <si>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</si>
  <si>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</si>
  <si>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</si>
  <si>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</si>
  <si>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</si>
  <si>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</si>
  <si>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</si>
  <si>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</si>
  <si>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</si>
  <si>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</si>
  <si>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</si>
  <si>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</si>
  <si>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</si>
  <si>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COL010</t>
  </si>
  <si>
    <t xml:space="preserve">COL011</t>
  </si>
  <si>
    <t xml:space="preserve">Partida</t>
  </si>
  <si>
    <t xml:space="preserve">M3</t>
  </si>
  <si>
    <t xml:space="preserve">o RELLENO DE ZANJAS PARA INSTALACIONES</t>
  </si>
  <si>
    <t xml:space="preserve">Relleno de zanjas para instalaciones, con arena de 0 a 5 mm de diámetro y compactación en tongadas sucesivas de 20 cm de espesor máximo con pisón vibrante de guiado manual, hasta alcanzar una densidad seca no inferior. Incluso cinta o distintivo indicador de la instalación.</t>
  </si>
  <si>
    <t xml:space="preserve">mt01var010</t>
  </si>
  <si>
    <t xml:space="preserve">Material</t>
  </si>
  <si>
    <t xml:space="preserve">m</t>
  </si>
  <si>
    <t xml:space="preserve">Cinta plastificada.</t>
  </si>
  <si>
    <t xml:space="preserve">ma-lp-00001547</t>
  </si>
  <si>
    <t xml:space="preserve">Material</t>
  </si>
  <si>
    <t xml:space="preserve">u</t>
  </si>
  <si>
    <t xml:space="preserve">BIG BAG ARENA FINA LA PLATAFORMA  Ref.: 00001547</t>
  </si>
  <si>
    <t xml:space="preserve">BANVIB</t>
  </si>
  <si>
    <t xml:space="preserve">Maquinaria</t>
  </si>
  <si>
    <t xml:space="preserve">h</t>
  </si>
  <si>
    <t xml:space="preserve">Alquiler de bandeja vibrante de guiado manual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</si>
  <si>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</si>
  <si>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</si>
  <si>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</si>
  <si>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</si>
  <si>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</si>
  <si>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</si>
  <si>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</si>
  <si>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</si>
  <si>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</si>
  <si>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</si>
  <si>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</si>
  <si>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</si>
  <si>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</si>
  <si>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</si>
  <si>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</si>
  <si>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</si>
  <si>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</si>
  <si>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</si>
  <si>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</si>
  <si>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</si>
  <si>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COL011</t>
  </si>
  <si>
    <t xml:space="preserve">COL012</t>
  </si>
  <si>
    <t xml:space="preserve">Partida</t>
  </si>
  <si>
    <t xml:space="preserve">M3</t>
  </si>
  <si>
    <t xml:space="preserve">o RELLENO DE ZANJA CON MATERIAL DE PROPIA EXCAVACION</t>
  </si>
  <si>
    <t xml:space="preserve">Relleno envolvente y principal de zanjas para instalaciones, con tierra seleccionada procedente de la propia excavación y compactación en tongadas sucesivas de 20 cm de espesor máximo con bandeja vibrante de guiado manual, hasta alcanzar una densidad seca no inferior al 95% de la máxima obtenida en el ensayo Proctor Modificado, realizado según UNE 103501. Incluso cinta o distintivo indicador de la instalación. El precio no incluye la realización del ensayo Proctor Modificado.</t>
  </si>
  <si>
    <t xml:space="preserve">mt01var010</t>
  </si>
  <si>
    <t xml:space="preserve">Material</t>
  </si>
  <si>
    <t xml:space="preserve">m</t>
  </si>
  <si>
    <t xml:space="preserve">Cinta plastificada.</t>
  </si>
  <si>
    <t xml:space="preserve">BANVIB</t>
  </si>
  <si>
    <t xml:space="preserve">Maquinaria</t>
  </si>
  <si>
    <t xml:space="preserve">h</t>
  </si>
  <si>
    <t xml:space="preserve">Alquiler de bandeja vibrante de guiado manual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</si>
  <si>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</si>
  <si>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</si>
  <si>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</si>
  <si>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</si>
  <si>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</si>
  <si>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</si>
  <si>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</si>
  <si>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</si>
  <si>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</si>
  <si>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</si>
  <si>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</si>
  <si>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</si>
  <si>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</si>
  <si>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</si>
  <si>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</si>
  <si>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</si>
  <si>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</si>
  <si>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</si>
  <si>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</si>
  <si>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</si>
  <si>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COL012</t>
  </si>
  <si>
    <t xml:space="preserve">COL013</t>
  </si>
  <si>
    <t xml:space="preserve">Partida</t>
  </si>
  <si>
    <t xml:space="preserve">M3</t>
  </si>
  <si>
    <t xml:space="preserve">o RELLENO DE ZANJA PARA INSTALACIONES CON SAULO</t>
  </si>
  <si>
    <t xml:space="preserve">Relleno envolvente y principal de zanjas para instalaciones, con material Saulo y compactación en tongadas sucesivas de 20 cm de espesor máximo con bandeja vibrante de guiado manual, hasta alcanzar una densidad seca no inferior al 95% de la máxima obtenida en el ensayo Proctor Modificado, realizado según UNE 103501. Incluso cinta o distintivo indicador de la instalación. El precio no incluye la realización del ensayo Proctor Modificado.</t>
  </si>
  <si>
    <t xml:space="preserve">SAULO</t>
  </si>
  <si>
    <t xml:space="preserve">Material</t>
  </si>
  <si>
    <t xml:space="preserve">m3</t>
  </si>
  <si>
    <t xml:space="preserve">Saulo</t>
  </si>
  <si>
    <t xml:space="preserve">BANVIB</t>
  </si>
  <si>
    <t xml:space="preserve">Maquinaria</t>
  </si>
  <si>
    <t xml:space="preserve">h</t>
  </si>
  <si>
    <t xml:space="preserve">Alquiler de bandeja vibrante de guiado manual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</si>
  <si>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</si>
  <si>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</si>
  <si>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</si>
  <si>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</si>
  <si>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</si>
  <si>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</si>
  <si>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</si>
  <si>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</si>
  <si>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</si>
  <si>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</si>
  <si>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</si>
  <si>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</si>
  <si>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</si>
  <si>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</si>
  <si>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</si>
  <si>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</si>
  <si>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</si>
  <si>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</si>
  <si>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</si>
  <si>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</si>
  <si>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COL013</t>
  </si>
  <si>
    <t xml:space="preserve">COL014</t>
  </si>
  <si>
    <t xml:space="preserve">Partida</t>
  </si>
  <si>
    <t xml:space="preserve">M3</t>
  </si>
  <si>
    <t xml:space="preserve">o BASE DE SOLERA CON GRAVA</t>
  </si>
  <si>
    <t xml:space="preserve">Base de solera realizada mediante relleno en interior de edificación existente, con grava de 40 a 70 mm de diámetro, y compactación en tongadas sucesivas de 30 cm de espesor máximo con pisón vibrante de guiado manual, hasta alcanzar una densidad seca no inferior al 95% de la máxima obtenida en el ensayo proctor modificado, realizado según une 103501.</t>
  </si>
  <si>
    <t xml:space="preserve">ma-lp-00000338</t>
  </si>
  <si>
    <t xml:space="preserve">Material</t>
  </si>
  <si>
    <t xml:space="preserve">u</t>
  </si>
  <si>
    <t xml:space="preserve">Saca big-bag con 1 tonelada de gravilla redonda 20-40 Ref.: 00000338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</si>
  <si>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</si>
  <si>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</si>
  <si>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</si>
  <si>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</si>
  <si>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</si>
  <si>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</si>
  <si>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</si>
  <si>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</si>
  <si>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</si>
  <si>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</si>
  <si>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</si>
  <si>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</si>
  <si>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</si>
  <si>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</si>
  <si>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</si>
  <si>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</si>
  <si>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</si>
  <si>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</si>
  <si>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</si>
  <si>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</si>
  <si>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COL014</t>
  </si>
  <si>
    <t xml:space="preserve">COL015</t>
  </si>
  <si>
    <t xml:space="preserve">Partida</t>
  </si>
  <si>
    <t xml:space="preserve">M2</t>
  </si>
  <si>
    <t xml:space="preserve">o LAMINA SEPARADORA DE POLIETILENO</t>
  </si>
  <si>
    <t xml:space="preserve">Suministro y colocación de lámina separadora de polietileno, con una masa superficial de 46g/m2, no adherida, sobre el terreno o sobre un enmacado. Incluso p/p de cortes, fijaciones, resolución de solapes y uniones.</t>
  </si>
  <si>
    <t xml:space="preserve">ma-lp-00563534</t>
  </si>
  <si>
    <t xml:space="preserve">Material</t>
  </si>
  <si>
    <t xml:space="preserve">u</t>
  </si>
  <si>
    <t xml:space="preserve">Plastico negro 2 mt x 25 g.400 Ref.: 00563534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</si>
  <si>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</si>
  <si>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</si>
  <si>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</si>
  <si>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</si>
  <si>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</si>
  <si>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</si>
  <si>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</si>
  <si>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</si>
  <si>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</si>
  <si>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</si>
  <si>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</si>
  <si>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</si>
  <si>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</si>
  <si>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</si>
  <si>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</si>
  <si>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</si>
  <si>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</si>
  <si>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</si>
  <si>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</si>
  <si>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</si>
  <si>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COL015</t>
  </si>
  <si>
    <t xml:space="preserve">COL016</t>
  </si>
  <si>
    <t xml:space="preserve">Partida</t>
  </si>
  <si>
    <t xml:space="preserve">M2</t>
  </si>
  <si>
    <t xml:space="preserve">o SOLERA DE HORMIGON ARMADO 15CM</t>
  </si>
  <si>
    <t xml:space="preserve">Formación de solera de hormigón armado de 15 cm de espesor realizada con hormigón ha 25/b/20/ia fabricado en central con aditivo hidrófugo, y vertido con bomba, y malla electrosoldada me 15x15 ø6-6 b 500 t 6x2,20 une-en 10080 como armadura de reparto, colocada sobre separadores homologados, extendido y vibrado manual mediante regla vibrante, sin tratamiento de su superficie; con juntas de retracción de 9 mm de espesor, realizadas con sierra de disco, formando cuadrícula; recolzada sobre capa base existente. Incluso panel de poliestireno expandido de 2 cm de espesor en todo el perímetro y alrededor de cualquier elemento que interrumpa la suela, para la ejecución de juntas de retracción; embroquetado o conexión de los elementos exteriores (aros de arquetas, sumideros, cajas sifónicas, etc.) de las redes de instalaciones ejecutadas bajo la solera; y curación del hormigón. El precio no incluye la capa base.</t>
  </si>
  <si>
    <t xml:space="preserve">ma-lp-00001159</t>
  </si>
  <si>
    <t xml:space="preserve">Material</t>
  </si>
  <si>
    <t xml:space="preserve">saco</t>
  </si>
  <si>
    <t xml:space="preserve">Mortero seco H-25 de VALSEC (25 kg/saco).   Ref. lp-00001159</t>
  </si>
  <si>
    <t xml:space="preserve">ma-lp-00001179</t>
  </si>
  <si>
    <t xml:space="preserve">Material</t>
  </si>
  <si>
    <t xml:space="preserve">pza</t>
  </si>
  <si>
    <t xml:space="preserve">Mallazo de acero corrugado electrosoldado; cuadrícula de 20x20 cm, diámetro 5 mm (3x2,5 m/pza).   Ref. lp-00001179</t>
  </si>
  <si>
    <t xml:space="preserve">ma-lp-00001613</t>
  </si>
  <si>
    <t xml:space="preserve">Material</t>
  </si>
  <si>
    <t xml:space="preserve">u</t>
  </si>
  <si>
    <t xml:space="preserve">Placa poliestireno expandido de 2000x1000 mm.  Ref.: 00001613</t>
  </si>
  <si>
    <t xml:space="preserve">ma-lp-00000320</t>
  </si>
  <si>
    <t xml:space="preserve">Material</t>
  </si>
  <si>
    <t xml:space="preserve">m3</t>
  </si>
  <si>
    <t xml:space="preserve">Arcilla expandida súper ligera de Weber para recrecidos ligeros de altas prestaciones. Granulometría: 10-20 mm. 1,5 m3.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</si>
  <si>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</si>
  <si>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</si>
  <si>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</si>
  <si>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</si>
  <si>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</si>
  <si>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</si>
  <si>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</si>
  <si>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</si>
  <si>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</si>
  <si>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</si>
  <si>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</si>
  <si>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</si>
  <si>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</si>
  <si>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</si>
  <si>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</si>
  <si>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</si>
  <si>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</si>
  <si>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</si>
  <si>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</si>
  <si>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</si>
  <si>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COL016</t>
  </si>
  <si>
    <t xml:space="preserve">COL017</t>
  </si>
  <si>
    <t xml:space="preserve">Partida</t>
  </si>
  <si>
    <t xml:space="preserve">M2</t>
  </si>
  <si>
    <t xml:space="preserve">o BARRERA DE POTECCIÓN FRENTE AL RADÓN SOBRE SOLERA</t>
  </si>
  <si>
    <t xml:space="preserve">Barrera de protección frente al radón sobre solera en contacto con el terreno con nivel de referencia de exposición al radón 300 Bq/m3, con lámina de polietileno de baja densidad (LDPE), malla de refuerzo de fibra de poliéster y armadura de polietileno de alta densidad (PEAD/HDPE), de 0,4 mm de peso coeficiente de difusión frente al gas radón 10x10-12 m2/s, no adherida. Colocación en obra: con solapes en la cara superior de la solera, con pistola de aire caliente. Exhalación de radón prevista a través de la barrera de protección: 26,9 Bq/m2·h.</t>
  </si>
  <si>
    <t xml:space="preserve">mt15pdr400a</t>
  </si>
  <si>
    <t xml:space="preserve">Material</t>
  </si>
  <si>
    <t xml:space="preserve">m²</t>
  </si>
  <si>
    <t xml:space="preserve">Lámina de polietileno de baja densidad (LDPE), malla de refuerzo de fibra de poliéster y armadura de polietileno de alta densidad (PEAD/HDPE), de 0,4 mm de espesor, 0,35 kg/m² de masa superficial, y coeficiente de difusión frente al gas radón 10x10-12 m²/s.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</si>
  <si>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</si>
  <si>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</si>
  <si>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</si>
  <si>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</si>
  <si>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</si>
  <si>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</si>
  <si>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</si>
  <si>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</si>
  <si>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</si>
  <si>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</si>
  <si>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</si>
  <si>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</si>
  <si>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</si>
  <si>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</si>
  <si>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</si>
  <si>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</si>
  <si>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</si>
  <si>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</si>
  <si>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</si>
  <si>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</si>
  <si>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COL017</t>
  </si>
  <si>
    <t xml:space="preserve">COL018</t>
  </si>
  <si>
    <t xml:space="preserve">Partida</t>
  </si>
  <si>
    <t xml:space="preserve">PAR</t>
  </si>
  <si>
    <t xml:space="preserve">o DESMONTAJE Y MONTAJE DE APARATOS SANITARIOS DE BAÑO</t>
  </si>
  <si>
    <t xml:space="preserve">Desmontaje y montaje de conjunto de aparatos sanitarios en baño (1 aseo con pedestal, 1 inodoro y 1 bañera de hasta 100x90 cm), con medios manuales, y recuperación, acopio y montaje del material en el mismo emplazamiento, siendo el orden de ejecución del proceso inverso al de su instalación, sin afectar a la estabilidad de los elementos constructivos a los que pueda estar sujeto, y carga manual sobre camión o contenedor de escombros generados. El precio incluye el desmontaje del grifería y accesorios.
Nota: desmontaje de aparatos sanitarios en interior de baño de local por cambio de la pequeña red evacuación privativa de la entidad.</t>
  </si>
  <si>
    <t xml:space="preserve">LLV1</t>
  </si>
  <si>
    <t xml:space="preserve">Material</t>
  </si>
  <si>
    <t xml:space="preserve">u</t>
  </si>
  <si>
    <t xml:space="preserve">Llave de regulacion de 1/2"</t>
  </si>
  <si>
    <t xml:space="preserve">CODEV</t>
  </si>
  <si>
    <t xml:space="preserve">Material</t>
  </si>
  <si>
    <t xml:space="preserve">u</t>
  </si>
  <si>
    <t xml:space="preserve">Codo para evacuacion vertical</t>
  </si>
  <si>
    <t xml:space="preserve">ma-lp-00407540</t>
  </si>
  <si>
    <t xml:space="preserve">Material</t>
  </si>
  <si>
    <t xml:space="preserve">u</t>
  </si>
  <si>
    <t xml:space="preserve">Tubo Flexi-gas extensible para el calentador de 30 cm de longitud y tipo de racorería M-H 1/2" Ref.: 00407540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</si>
  <si>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</si>
  <si>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</si>
  <si>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</si>
  <si>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</si>
  <si>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</si>
  <si>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</si>
  <si>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</si>
  <si>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</si>
  <si>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</si>
  <si>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</si>
  <si>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</si>
  <si>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</si>
  <si>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</si>
  <si>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</si>
  <si>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</si>
  <si>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</si>
  <si>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</si>
  <si>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</si>
  <si>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</si>
  <si>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</si>
  <si>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COL018</t>
  </si>
  <si>
    <t xml:space="preserve">COL019</t>
  </si>
  <si>
    <t xml:space="preserve">Partida</t>
  </si>
  <si>
    <t xml:space="preserve">M2</t>
  </si>
  <si>
    <t xml:space="preserve">o BASE DE MORTERO LIGERO AUTONIVELANTE DE CEMENTO DE 4CM</t>
  </si>
  <si>
    <t xml:space="preserve">Base para pavimento interior, de 40 mm de espesor, de mortero ligero autonivelante, CT - C16 - F3 según UNE-EN 13813, vertido con mezcladora-bombeadora, sobre lámina de aislamiento para formación de suelo flotante. Incluso banda de panel rígido de poliestireno expandido para la preparación de las juntas perimetrales de dilatación. El precio no incluye la lámina de aislamiento.</t>
  </si>
  <si>
    <t xml:space="preserve">mt16pea020a</t>
  </si>
  <si>
    <t xml:space="preserve">Material</t>
  </si>
  <si>
    <t xml:space="preserve">m²</t>
  </si>
  <si>
    <t xml:space="preserve">Panel rígido de poliestireno expandido, según UNE-EN 13163, mecanizado lateral recto, de 10 mm de espesor, resistencia térmica 0,25 m²K/W, conductividad térmica 0,036 W/(mK), para junta de dilatación.</t>
  </si>
  <si>
    <t xml:space="preserve">ma-lp-00176176</t>
  </si>
  <si>
    <t xml:space="preserve">Material</t>
  </si>
  <si>
    <t xml:space="preserve">u</t>
  </si>
  <si>
    <t xml:space="preserve">Mortero autonivelante 5 de Valsec de 25kg</t>
  </si>
  <si>
    <t xml:space="preserve">mt09bnc020a</t>
  </si>
  <si>
    <t xml:space="preserve">Material</t>
  </si>
  <si>
    <t xml:space="preserve">l</t>
  </si>
  <si>
    <t xml:space="preserve">Líquido de curado incoloro, formado por una disolución de resinas sintéticas en base solvente, para el curado de hormigones y morteros.</t>
  </si>
  <si>
    <t xml:space="preserve">mq06pym020</t>
  </si>
  <si>
    <t xml:space="preserve">Maquinaria</t>
  </si>
  <si>
    <t xml:space="preserve">h</t>
  </si>
  <si>
    <t xml:space="preserve">Mezcladora-bombeadora para morteros autonivelantes.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</si>
  <si>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</si>
  <si>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</si>
  <si>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</si>
  <si>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</si>
  <si>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</si>
  <si>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</si>
  <si>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</si>
  <si>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</si>
  <si>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</si>
  <si>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</si>
  <si>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</si>
  <si>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</si>
  <si>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</si>
  <si>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</si>
  <si>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</si>
  <si>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</si>
  <si>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</si>
  <si>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</si>
  <si>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</si>
  <si>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</si>
  <si>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COL019</t>
  </si>
  <si>
    <t xml:space="preserve">COL020</t>
  </si>
  <si>
    <t xml:space="preserve">Partida</t>
  </si>
  <si>
    <t xml:space="preserve">M2</t>
  </si>
  <si>
    <t xml:space="preserve">o BASE DE MORTERO LIGERO AUTONIVELANTE DE CEMENTO DE 7CM</t>
  </si>
  <si>
    <t xml:space="preserve">Base para pavimento interior, de 40 mm de espesor, de mortero ligero autonivelante, CT - C16 - F3 según UNE-EN 13813, vertido con mezcladora-bombeadora, sobre lámina de aislamiento para formación de suelo flotante. Incluso banda de panel rígido de poliestireno expandido para la preparación de las juntas perimetrales de dilatación. El precio no incluye la lámina de aislamiento.</t>
  </si>
  <si>
    <t xml:space="preserve">mt16pea020a</t>
  </si>
  <si>
    <t xml:space="preserve">Material</t>
  </si>
  <si>
    <t xml:space="preserve">m²</t>
  </si>
  <si>
    <t xml:space="preserve">Panel rígido de poliestireno expandido, según UNE-EN 13163, mecanizado lateral recto, de 10 mm de espesor, resistencia térmica 0,25 m²K/W, conductividad térmica 0,036 W/(mK), para junta de dilatación.</t>
  </si>
  <si>
    <t xml:space="preserve">ma-lp-00176176</t>
  </si>
  <si>
    <t xml:space="preserve">Material</t>
  </si>
  <si>
    <t xml:space="preserve">u</t>
  </si>
  <si>
    <t xml:space="preserve">Mortero autonivelante 5 de Valsec de 25kg</t>
  </si>
  <si>
    <t xml:space="preserve">mt09bnc020a</t>
  </si>
  <si>
    <t xml:space="preserve">Material</t>
  </si>
  <si>
    <t xml:space="preserve">l</t>
  </si>
  <si>
    <t xml:space="preserve">Líquido de curado incoloro, formado por una disolución de resinas sintéticas en base solvente, para el curado de hormigones y morteros.</t>
  </si>
  <si>
    <t xml:space="preserve">mq06pym020</t>
  </si>
  <si>
    <t xml:space="preserve">Maquinaria</t>
  </si>
  <si>
    <t xml:space="preserve">h</t>
  </si>
  <si>
    <t xml:space="preserve">Mezcladora-bombeadora para morteros autonivelantes.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</si>
  <si>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</si>
  <si>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</si>
  <si>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</si>
  <si>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</si>
  <si>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</si>
  <si>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</si>
  <si>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</si>
  <si>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</si>
  <si>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</si>
  <si>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</si>
  <si>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</si>
  <si>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</si>
  <si>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</si>
  <si>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</si>
  <si>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</si>
  <si>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</si>
  <si>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</si>
  <si>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</si>
  <si>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</si>
  <si>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</si>
  <si>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COL020</t>
  </si>
  <si>
    <t xml:space="preserve">COL021</t>
  </si>
  <si>
    <t xml:space="preserve">Partida</t>
  </si>
  <si>
    <t xml:space="preserve">M2</t>
  </si>
  <si>
    <t xml:space="preserve">o PAVIMENTO DE GRES PORCELÁNICO ESMALTADO</t>
  </si>
  <si>
    <t xml:space="preserve">Pavimento interior de piezas de gres porcelánico esmaltado, de 400x600x10 mm, gama media, con resistencia al deslizamiento 35&lt;rd&lt;=45 según une-en 16165 y deslizamiento clase 2 según cta. Apoyo: de mortero de cemento. Colocación: en capa fina y mediante encolado simple con adhesivo cementoso mejorado de ligantes mixtos, tixótropo, c2 tiene s1, según une-en 12004, deformable, con deslizamiento reducido y mortero flexible, color gris. Rejuntado: con mortero de juntas cementosa mejorada, tipo cg2 w a, según une-en 13888, con absorción de agua reducida y resistencia elevada a la abrasión, en juntas de 2 mm de espesor.</t>
  </si>
  <si>
    <t xml:space="preserve">ma-sola.azulejos-01</t>
  </si>
  <si>
    <t xml:space="preserve">Material</t>
  </si>
  <si>
    <t xml:space="preserve">m2</t>
  </si>
  <si>
    <t xml:space="preserve">Baldosa porcelánica GELA de AZULIBER 40x60 mm; color beige.   Ref. solá azulejos-01</t>
  </si>
  <si>
    <t xml:space="preserve">ma-lp-00539956</t>
  </si>
  <si>
    <t xml:space="preserve">Material</t>
  </si>
  <si>
    <t xml:space="preserve">bolsa</t>
  </si>
  <si>
    <t xml:space="preserve">Cruceta plástica BIGMAT de 1,5 mm para instalación de baldosas de cerámica. (500 pzas/bolsa)   Ref.: 00539956</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</si>
  <si>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</si>
  <si>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</si>
  <si>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</si>
  <si>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</si>
  <si>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</si>
  <si>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</si>
  <si>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</si>
  <si>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</si>
  <si>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</si>
  <si>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</si>
  <si>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</si>
  <si>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</si>
  <si>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</si>
  <si>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</si>
  <si>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</si>
  <si>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</si>
  <si>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</si>
  <si>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</si>
  <si>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</si>
  <si>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</si>
  <si>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</si>
  <si>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</si>
  <si>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</si>
  <si>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</si>
  <si>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</si>
  <si>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</si>
  <si>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</si>
  <si>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</si>
  <si>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COL021</t>
  </si>
  <si>
    <t xml:space="preserve">COL022</t>
  </si>
  <si>
    <t xml:space="preserve">Partida</t>
  </si>
  <si>
    <t xml:space="preserve">ML</t>
  </si>
  <si>
    <t xml:space="preserve">o RODAPIE O ZOCALO DE GRES PORCELÁNICO ESMALTADO</t>
  </si>
  <si>
    <t xml:space="preserve">Pavimento interior de piezas de gres porcelánico esmaltado, de 400x600x10 mm, gama media, con resistencia al deslizamiento 35&lt;rd&lt;=45 según une-en 16165 y deslizamiento clase 2 según cta. Apoyo: de mortero de cemento. Colocación: en capa fina y mediante encolado simple con adhesivo cementoso mejorado de ligantes mixtos, tixótropo, c2 tiene s1, según une-en 12004, deformable, con deslizamiento reducido y mortero flexible, color gris. Rejuntado: con mortero de juntas cementosa mejorada, tipo cg2 w a, según une-en 13888, con absorción de agua reducida y resistencia elevada a la abrasión, en juntas de 2 mm de espesor.</t>
  </si>
  <si>
    <t xml:space="preserve">ma-sola.azulejos-01</t>
  </si>
  <si>
    <t xml:space="preserve">Material</t>
  </si>
  <si>
    <t xml:space="preserve">m2</t>
  </si>
  <si>
    <t xml:space="preserve">Baldosa porcelánica GELA de AZULIBER 40x60 mm; color beige.   Ref. solá azulejos-01</t>
  </si>
  <si>
    <t xml:space="preserve">ma-lp-00539956</t>
  </si>
  <si>
    <t xml:space="preserve">Material</t>
  </si>
  <si>
    <t xml:space="preserve">bolsa</t>
  </si>
  <si>
    <t xml:space="preserve">Cruceta plástica BIGMAT de 1,5 mm para instalación de baldosas de cerámica. (500 pzas/bolsa)   Ref.: 00539956</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</si>
  <si>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</si>
  <si>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</si>
  <si>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</si>
  <si>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</si>
  <si>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</si>
  <si>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</si>
  <si>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</si>
  <si>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</si>
  <si>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</si>
  <si>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</si>
  <si>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</si>
  <si>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</si>
  <si>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</si>
  <si>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</si>
  <si>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</si>
  <si>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</si>
  <si>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</si>
  <si>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</si>
  <si>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</si>
  <si>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</si>
  <si>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</si>
  <si>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</si>
  <si>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</si>
  <si>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</si>
  <si>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</si>
  <si>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</si>
  <si>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</si>
  <si>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</si>
  <si>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COL022</t>
  </si>
  <si>
    <t xml:space="preserve">COL023</t>
  </si>
  <si>
    <t xml:space="preserve">Partida</t>
  </si>
  <si>
    <t xml:space="preserve">H</t>
  </si>
  <si>
    <t xml:space="preserve">o EQUIPO DE INSPECCION - EQUIPO DE LIMPIEZA</t>
  </si>
  <si>
    <t xml:space="preserve">Servicio minimo de 1 hora, Incluye: Equipo de inspeccion visual para la valoracion optica del problema. Equipo de limpieza compuesto por camion cuba, dotado de bomba de alta presion para tareas de limpieza y bomba de absorcion para la retirada de residuos y aguas.</t>
  </si>
  <si>
    <t xml:space="preserve">PILO</t>
  </si>
  <si>
    <t xml:space="preserve">Material</t>
  </si>
  <si>
    <t xml:space="preserve">h</t>
  </si>
  <si>
    <t xml:space="preserve">DESATASCOS PILO (EQUIPOS DE INPECCION Y LIMPIEZA )</t>
  </si>
  <si>
    <t xml:space="preserve">COL023</t>
  </si>
  <si>
    <t xml:space="preserve">COL024</t>
  </si>
  <si>
    <t xml:space="preserve">Partida</t>
  </si>
  <si>
    <t xml:space="preserve">M2</t>
  </si>
  <si>
    <t xml:space="preserve">o CAPA DE MORTERO e= 4 cm; INCLUYE MALLA ZO DE REFUERZO (CUB)</t>
  </si>
  <si>
    <t xml:space="preserve">Capa de mortero de 4 cm de espesor, de mortero de cemento. Incluso banda de panel rígido de poliestireno expandido para la preparación de las juntas perimetrales de dilatación.</t>
  </si>
  <si>
    <t xml:space="preserve">pnl</t>
  </si>
  <si>
    <t xml:space="preserve">Material</t>
  </si>
  <si>
    <t xml:space="preserve">m2</t>
  </si>
  <si>
    <t xml:space="preserve">Panel rígido de poliestireno expandido de 30mm de espesor</t>
  </si>
  <si>
    <t xml:space="preserve">ma-lp-00001603A</t>
  </si>
  <si>
    <t xml:space="preserve">Material</t>
  </si>
  <si>
    <t xml:space="preserve">saco</t>
  </si>
  <si>
    <t xml:space="preserve">Mortero seco para aplicaciones en albañilería M-7,5 VALSEC; color gris (25 kg/saco)   Ref. lp-00001603</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</si>
  <si>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</si>
  <si>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</si>
  <si>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</si>
  <si>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</si>
  <si>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</si>
  <si>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</si>
  <si>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</si>
  <si>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</si>
  <si>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</si>
  <si>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</si>
  <si>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</si>
  <si>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</si>
  <si>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</si>
  <si>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</si>
  <si>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</si>
  <si>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</si>
  <si>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</si>
  <si>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</si>
  <si>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</si>
  <si>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</si>
  <si>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</si>
  <si>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</si>
  <si>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</si>
  <si>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</si>
  <si>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COL024</t>
  </si>
  <si>
    <t xml:space="preserve">INSCOLEC</t>
  </si>
  <si>
    <t xml:space="preserve">INSHUMO</t>
  </si>
  <si>
    <t xml:space="preserve">Capítulo</t>
  </si>
  <si>
    <t xml:space="preserve">INSTALACIONES PARA SALIDAS DE HUMOS</t>
  </si>
  <si>
    <t xml:space="preserve">HUM001</t>
  </si>
  <si>
    <t xml:space="preserve">Partida</t>
  </si>
  <si>
    <t xml:space="preserve">U</t>
  </si>
  <si>
    <t xml:space="preserve">o DEFLECTOR DE ALUMINIO BLANCO DE 125MM</t>
  </si>
  <si>
    <t xml:space="preserve">Suministro e instalación de deflectores de aluminio blanco para extracción de humos de las campanas de las cocinas, con la finalidad de unificar todos los conductos de extracción, se retiraran los existentes y se suministraran los nuevos.</t>
  </si>
  <si>
    <t xml:space="preserve">ma-lp-00117145</t>
  </si>
  <si>
    <t xml:space="preserve">Material</t>
  </si>
  <si>
    <t xml:space="preserve">u</t>
  </si>
  <si>
    <t xml:space="preserve">Deflector de Aluminio Blanco 125mm</t>
  </si>
  <si>
    <t xml:space="preserve">ma-lp-00012294</t>
  </si>
  <si>
    <t xml:space="preserve">Material</t>
  </si>
  <si>
    <t xml:space="preserve">pza</t>
  </si>
  <si>
    <t xml:space="preserve">Tubo redondo de aluminio esmaltado blanco 125 mm de DISMOL (50 cm/pza).   Ref. lp-00012294</t>
  </si>
  <si>
    <t xml:space="preserve">ma-lp-00012313</t>
  </si>
  <si>
    <t xml:space="preserve">Material</t>
  </si>
  <si>
    <t xml:space="preserve">m</t>
  </si>
  <si>
    <t xml:space="preserve">Tubo flexible evacuacion aluminio 125mm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</si>
  <si>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</si>
  <si>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</si>
  <si>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</si>
  <si>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</si>
  <si>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</si>
  <si>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</si>
  <si>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</si>
  <si>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</si>
  <si>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</si>
  <si>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</si>
  <si>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</si>
  <si>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</si>
  <si>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</si>
  <si>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</si>
  <si>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</si>
  <si>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</si>
  <si>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</si>
  <si>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</si>
  <si>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</si>
  <si>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</si>
  <si>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HUM001</t>
  </si>
  <si>
    <t xml:space="preserve">HUM002</t>
  </si>
  <si>
    <t xml:space="preserve">Sin clasificar</t>
  </si>
  <si>
    <t xml:space="preserve">U</t>
  </si>
  <si>
    <t xml:space="preserve">o DEFLECTOR DE ACERO INOXIDABLE DE 125MM</t>
  </si>
  <si>
    <t xml:space="preserve">JJJJ</t>
  </si>
  <si>
    <t xml:space="preserve">INSHUMO-01-AI-SP-200-AT</t>
  </si>
  <si>
    <t xml:space="preserve">Partida</t>
  </si>
  <si>
    <t xml:space="preserve">m</t>
  </si>
  <si>
    <t xml:space="preserve">SUMINISTRO Y COLOCACIÓN EN ANDAMIO TUBULAR DE CONDUCTO PARA SALIDA DE HUMOS CON TUBO PARED SIMPLE DE ACERO INOXIDABLE DIÁMETRO 200 mm</t>
  </si>
  <si>
    <t xml:space="preserve">SUMINISTRO Y COLOCACIÓN EN ANDAMIO TUBULAR DE CONDUCTO PARA SALIDA DE HUMOS CON TUBO PARED SIMPLE DE ACERO INOXIDABLE DIÁMETRO 200 mm</t>
  </si>
  <si>
    <t xml:space="preserve">ma-lm-18738636</t>
  </si>
  <si>
    <t xml:space="preserve">Material</t>
  </si>
  <si>
    <t xml:space="preserve">pza</t>
  </si>
  <si>
    <t xml:space="preserve">Tubo de simple pared en acero inoxidable 200 mm de DINAK (930 mm/pza).   Ref. lm-18738636</t>
  </si>
  <si>
    <t xml:space="preserve">ma-lm-19347965</t>
  </si>
  <si>
    <t xml:space="preserve">Material</t>
  </si>
  <si>
    <t xml:space="preserve">pza</t>
  </si>
  <si>
    <t xml:space="preserve">Te/Derivación 90º para tubo de simple pared en acero inoxidable 200 mm de DINAK.   Ref. lm-19347965</t>
  </si>
  <si>
    <t xml:space="preserve">ma-lm-19133793</t>
  </si>
  <si>
    <t xml:space="preserve">Material</t>
  </si>
  <si>
    <t xml:space="preserve">pza</t>
  </si>
  <si>
    <t xml:space="preserve">Codo 90º para tubo de simple pared en acero inoxidable 200 mm de DINAK.   Ref. lm-19133793</t>
  </si>
  <si>
    <t xml:space="preserve">ma-lm-18738762</t>
  </si>
  <si>
    <t xml:space="preserve">Material</t>
  </si>
  <si>
    <t xml:space="preserve">pza</t>
  </si>
  <si>
    <t xml:space="preserve">Codo 45º para tubo de simple pared en acero inoxidable 200 mm de DINAK (930 mm/pza).   Ref. lm-18738762</t>
  </si>
  <si>
    <t xml:space="preserve">ma-lm-19094110</t>
  </si>
  <si>
    <t xml:space="preserve">Material</t>
  </si>
  <si>
    <t xml:space="preserve">pza</t>
  </si>
  <si>
    <t xml:space="preserve">Manguito M-H para tubo de simple pared en acero inoxidable 200 mm de DINAK (430 mm/pza).   Ref. lm-19094110</t>
  </si>
  <si>
    <t xml:space="preserve">ma-lm-19348343</t>
  </si>
  <si>
    <t xml:space="preserve">Material</t>
  </si>
  <si>
    <t xml:space="preserve">pza</t>
  </si>
  <si>
    <t xml:space="preserve">Colector de hollín para tubo de simple pared en acero inoxidable 200 mm de DINAK.   Ref. lm-19348343</t>
  </si>
  <si>
    <t xml:space="preserve">ma-lm-18739084</t>
  </si>
  <si>
    <t xml:space="preserve">Material</t>
  </si>
  <si>
    <t xml:space="preserve">pza</t>
  </si>
  <si>
    <t xml:space="preserve">Abrazadera de unión para tubo de simple pared en acero inoxidable 200 mm de DINAK.   Ref. lm-18739084</t>
  </si>
  <si>
    <t xml:space="preserve">ma-lm-14668906</t>
  </si>
  <si>
    <t xml:space="preserve">Material</t>
  </si>
  <si>
    <t xml:space="preserve">pza</t>
  </si>
  <si>
    <t xml:space="preserve">Abrazadera para tubo de simple pared en acero inoxidable con bisagra 200 mm de DINAK   Ref. lm-14668906</t>
  </si>
  <si>
    <t xml:space="preserve">ma-lm-19363946</t>
  </si>
  <si>
    <t xml:space="preserve">Material</t>
  </si>
  <si>
    <t xml:space="preserve">pza</t>
  </si>
  <si>
    <t xml:space="preserve">Sombrerete/deflector para simple pared en acero inoxidable 200 mm de DINAK.   Ref. lm-19363946</t>
  </si>
  <si>
    <t xml:space="preserve">ma-lm-18739014</t>
  </si>
  <si>
    <t xml:space="preserve">Material</t>
  </si>
  <si>
    <t xml:space="preserve">pza</t>
  </si>
  <si>
    <t xml:space="preserve">Embellecedor o rosetón de simple pared en acero inoxidable 200 mm de DINAK.   Ref. lm-18739014</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</si>
  <si>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</si>
  <si>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</si>
  <si>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</si>
  <si>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</si>
  <si>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</si>
  <si>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</si>
  <si>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</si>
  <si>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</si>
  <si>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</si>
  <si>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</si>
  <si>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</si>
  <si>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</si>
  <si>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</si>
  <si>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</si>
  <si>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</si>
  <si>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</si>
  <si>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</si>
  <si>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</si>
  <si>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</si>
  <si>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</si>
  <si>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</si>
  <si>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</si>
  <si>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</si>
  <si>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</si>
  <si>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</si>
  <si>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</si>
  <si>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</si>
  <si>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</si>
  <si>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</si>
  <si>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</si>
  <si>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</si>
  <si>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</si>
  <si>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</si>
  <si>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</si>
  <si>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</si>
  <si>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</si>
  <si>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</si>
  <si>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</si>
  <si>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</si>
  <si>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</si>
  <si>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INSHUMO-01-AI-SP-200-AT</t>
  </si>
  <si>
    <t xml:space="preserve">INSHUMO-01-AI-SP-200-MS</t>
  </si>
  <si>
    <t xml:space="preserve">Partida</t>
  </si>
  <si>
    <t xml:space="preserve">m</t>
  </si>
  <si>
    <t xml:space="preserve">SUMINISTRO Y COLOCACIÓN EN MEDIO SUSPENDIDO/COLGADO DE CONDUCTO PARA SALIDA DE HUMOS CON TUBO PARED SIMPLE DE ACERO INOXIDABLE DIÁMETRO 200 mm</t>
  </si>
  <si>
    <t xml:space="preserve">SUMINISTRO Y COLOCACIÓN EN MEDIO SUSPENDIDO/COLGADO DE CONDUCTO PARA SALIDA DE HUMOS CON TUBO PARED SIMPLE DE ACERO INOXIDABLE DIÁMETRO 200 mm</t>
  </si>
  <si>
    <t xml:space="preserve">ma-lm-18738636</t>
  </si>
  <si>
    <t xml:space="preserve">Material</t>
  </si>
  <si>
    <t xml:space="preserve">pza</t>
  </si>
  <si>
    <t xml:space="preserve">Tubo de simple pared en acero inoxidable 200 mm de DINAK (930 mm/pza).   Ref. lm-18738636</t>
  </si>
  <si>
    <t xml:space="preserve">ma-lm-19347965</t>
  </si>
  <si>
    <t xml:space="preserve">Material</t>
  </si>
  <si>
    <t xml:space="preserve">pza</t>
  </si>
  <si>
    <t xml:space="preserve">Te/Derivación 90º para tubo de simple pared en acero inoxidable 200 mm de DINAK.   Ref. lm-19347965</t>
  </si>
  <si>
    <t xml:space="preserve">ma-lm-19133793</t>
  </si>
  <si>
    <t xml:space="preserve">Material</t>
  </si>
  <si>
    <t xml:space="preserve">pza</t>
  </si>
  <si>
    <t xml:space="preserve">Codo 90º para tubo de simple pared en acero inoxidable 200 mm de DINAK.   Ref. lm-19133793</t>
  </si>
  <si>
    <t xml:space="preserve">ma-lm-18738762</t>
  </si>
  <si>
    <t xml:space="preserve">Material</t>
  </si>
  <si>
    <t xml:space="preserve">pza</t>
  </si>
  <si>
    <t xml:space="preserve">Codo 45º para tubo de simple pared en acero inoxidable 200 mm de DINAK (930 mm/pza).   Ref. lm-18738762</t>
  </si>
  <si>
    <t xml:space="preserve">ma-lm-19094110</t>
  </si>
  <si>
    <t xml:space="preserve">Material</t>
  </si>
  <si>
    <t xml:space="preserve">pza</t>
  </si>
  <si>
    <t xml:space="preserve">Manguito M-H para tubo de simple pared en acero inoxidable 200 mm de DINAK (430 mm/pza).   Ref. lm-19094110</t>
  </si>
  <si>
    <t xml:space="preserve">ma-lm-19348343</t>
  </si>
  <si>
    <t xml:space="preserve">Material</t>
  </si>
  <si>
    <t xml:space="preserve">pza</t>
  </si>
  <si>
    <t xml:space="preserve">Colector de hollín para tubo de simple pared en acero inoxidable 200 mm de DINAK.   Ref. lm-19348343</t>
  </si>
  <si>
    <t xml:space="preserve">ma-lm-18739084</t>
  </si>
  <si>
    <t xml:space="preserve">Material</t>
  </si>
  <si>
    <t xml:space="preserve">pza</t>
  </si>
  <si>
    <t xml:space="preserve">Abrazadera de unión para tubo de simple pared en acero inoxidable 200 mm de DINAK.   Ref. lm-18739084</t>
  </si>
  <si>
    <t xml:space="preserve">ma-lm-14668906</t>
  </si>
  <si>
    <t xml:space="preserve">Material</t>
  </si>
  <si>
    <t xml:space="preserve">pza</t>
  </si>
  <si>
    <t xml:space="preserve">Abrazadera para tubo de simple pared en acero inoxidable con bisagra 200 mm de DINAK   Ref. lm-14668906</t>
  </si>
  <si>
    <t xml:space="preserve">ma-lm-19363946</t>
  </si>
  <si>
    <t xml:space="preserve">Material</t>
  </si>
  <si>
    <t xml:space="preserve">pza</t>
  </si>
  <si>
    <t xml:space="preserve">Sombrerete/deflector para simple pared en acero inoxidable 200 mm de DINAK.   Ref. lm-19363946</t>
  </si>
  <si>
    <t xml:space="preserve">ma-lm-18739014</t>
  </si>
  <si>
    <t xml:space="preserve">Material</t>
  </si>
  <si>
    <t xml:space="preserve">pza</t>
  </si>
  <si>
    <t xml:space="preserve">Embellecedor o rosetón de simple pared en acero inoxidable 200 mm de DINAK.   Ref. lm-18739014</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</si>
  <si>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</si>
  <si>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</si>
  <si>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</si>
  <si>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</si>
  <si>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</si>
  <si>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</si>
  <si>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</si>
  <si>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</si>
  <si>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</si>
  <si>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</si>
  <si>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</si>
  <si>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</si>
  <si>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</si>
  <si>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</si>
  <si>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</si>
  <si>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</si>
  <si>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</si>
  <si>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</si>
  <si>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</si>
  <si>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</si>
  <si>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</si>
  <si>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</si>
  <si>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</si>
  <si>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</si>
  <si>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</si>
  <si>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</si>
  <si>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</si>
  <si>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</si>
  <si>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</si>
  <si>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</si>
  <si>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</si>
  <si>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</si>
  <si>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</si>
  <si>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</si>
  <si>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</si>
  <si>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</si>
  <si>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</si>
  <si>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</si>
  <si>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</si>
  <si>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</si>
  <si>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INSHUMO-01-AI-SP-200-MS</t>
  </si>
  <si>
    <t xml:space="preserve">INSHUMO-01-AIx2-AT</t>
  </si>
  <si>
    <t xml:space="preserve">Partida</t>
  </si>
  <si>
    <t xml:space="preserve">m</t>
  </si>
  <si>
    <t xml:space="preserve">SUMINISTRO Y COLOCACIÓN DE CONDUCTO PARA SALIDA DE HUMOS CON TUBO PARED DOBLE DE ACERO INOXIDABLE EN CHAPAS AISI 304/304 INTERIOR Y EXTERIOR, DIÁMETRO EXTERIOR 300 mm</t>
  </si>
  <si>
    <t xml:space="preserve">SUMINISTRO Y COLOCACIÓN DE CONDUCTO PARA SALIDA DE HUMOS CON TUBO PARED DOBLE DE ACERO INOXIDABLE EN CHAPAS AISI 304/304 INTERIOR Y EXTERIOR, DIÁMETRO EXTERIOR 300 mm</t>
  </si>
  <si>
    <t xml:space="preserve">ma-centralbiomasa-2700275</t>
  </si>
  <si>
    <t xml:space="preserve">Material</t>
  </si>
  <si>
    <t xml:space="preserve">pza</t>
  </si>
  <si>
    <t xml:space="preserve">Tubo doble pared AISI 304/304 acero inoxidable 200 mm de SCHÜTZ o ROS TUBOS (1000 mm/pza).   Ref. centralbiomasa-2700275</t>
  </si>
  <si>
    <t xml:space="preserve">ma-centralbiomasa-2700274</t>
  </si>
  <si>
    <t xml:space="preserve">Material</t>
  </si>
  <si>
    <t xml:space="preserve">pza</t>
  </si>
  <si>
    <t xml:space="preserve">Tubo doble pared AISI 304/304 acero inoxidable 200 mm de SCHÜTZ o ROS TUBOS (500 mm/pza).   Ref. centralbiomasa-2700274</t>
  </si>
  <si>
    <t xml:space="preserve">ma-centralbiomasa-2700265</t>
  </si>
  <si>
    <t xml:space="preserve">Material</t>
  </si>
  <si>
    <t xml:space="preserve">pza</t>
  </si>
  <si>
    <t xml:space="preserve">Codo 45º para tubo doble pared AISI 304/304 acero inoxidable 200 mm de SCHÜTZ o ROS TUBOS.   Ref. centralbiomasa-2700265</t>
  </si>
  <si>
    <t xml:space="preserve">ma-centralbiomasa-4021805</t>
  </si>
  <si>
    <t xml:space="preserve">Material</t>
  </si>
  <si>
    <t xml:space="preserve">pza</t>
  </si>
  <si>
    <t xml:space="preserve">Te 90º para tubo doble pared AISI 304/304 acero inoxidable 200 mm de SCHÜTZ o ROS TUBOS.   Ref. centralbiomasa-4021805</t>
  </si>
  <si>
    <t xml:space="preserve">ma-centralbiomasa-4015940</t>
  </si>
  <si>
    <t xml:space="preserve">Material</t>
  </si>
  <si>
    <t xml:space="preserve">pza</t>
  </si>
  <si>
    <t xml:space="preserve">Tapa purga para tubo doble pared AISI 316/304 acero inoxidable 200 mm de SCHÜTZ o ROS TUBOS.   Ref. centralbiomasa-4015940</t>
  </si>
  <si>
    <t xml:space="preserve">ma-lp-00539975</t>
  </si>
  <si>
    <t xml:space="preserve">Material</t>
  </si>
  <si>
    <t xml:space="preserve">manta</t>
  </si>
  <si>
    <t xml:space="preserve">Manta de lana mineral aislante termo-acústica no hidrófila MRK 40 de URSA (11000x600x80 mm/manta; 2 mantas/paquete = 13,20 m2).   Ref. lp-00539975</t>
  </si>
  <si>
    <t xml:space="preserve">ma-centralbiomasa-4600709</t>
  </si>
  <si>
    <t xml:space="preserve">Material</t>
  </si>
  <si>
    <t xml:space="preserve">pza</t>
  </si>
  <si>
    <t xml:space="preserve">Abrazadera pared regulable doble pared acero inoxidable 250 mm para conductos AISI 304 de SCHÜTZ o ROS TUBOS.   Ref. centralbiomasa-4600709</t>
  </si>
  <si>
    <t xml:space="preserve">ma-bm-10943415</t>
  </si>
  <si>
    <t xml:space="preserve">Material</t>
  </si>
  <si>
    <t xml:space="preserve">bolsa</t>
  </si>
  <si>
    <t xml:space="preserve">Tamiz de nylon para taco/anclaje químico; 16x130 mm FISCHER (20 pzas./bolsa)   Ref. bm-10943415</t>
  </si>
  <si>
    <t xml:space="preserve">ma-lp-00016912</t>
  </si>
  <si>
    <t xml:space="preserve">Material</t>
  </si>
  <si>
    <t xml:space="preserve">bolsa</t>
  </si>
  <si>
    <t xml:space="preserve">Espárrago/Varilla de inyección para anclaje químico FISCHER FIS GS; 10x165 mm (8 pzas/bolsa).   Ref. lp-00016912.</t>
  </si>
  <si>
    <t xml:space="preserve">ma-lp-00551136</t>
  </si>
  <si>
    <t xml:space="preserve">Material</t>
  </si>
  <si>
    <t xml:space="preserve">cartucho</t>
  </si>
  <si>
    <t xml:space="preserve">Anclaje/Taco químico resina epoxi sin estireno BIGMAT. cargas medias-altas (410 ml/cartucho)   Ref. lp-00551136</t>
  </si>
  <si>
    <t xml:space="preserve">ma-centralbiomasa-2500336</t>
  </si>
  <si>
    <t xml:space="preserve">Material</t>
  </si>
  <si>
    <t xml:space="preserve">pza</t>
  </si>
  <si>
    <t xml:space="preserve">Sombrerete antilluvia para tubo modular doble pared acero inoxidable 250 mm AISI 304/304 de SCHÜTZ o ROS TUBOS.   Ref. centralbiomasa-2500336</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</si>
  <si>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</si>
  <si>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</si>
  <si>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</si>
  <si>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</si>
  <si>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</si>
  <si>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</si>
  <si>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</si>
  <si>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</si>
  <si>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</si>
  <si>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</si>
  <si>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</si>
  <si>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</si>
  <si>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</si>
  <si>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</si>
  <si>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</si>
  <si>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</si>
  <si>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</si>
  <si>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</si>
  <si>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</si>
  <si>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</si>
  <si>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</si>
  <si>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</si>
  <si>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</si>
  <si>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</si>
  <si>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</si>
  <si>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</si>
  <si>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</si>
  <si>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</si>
  <si>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INSHUMO-01-AIx2-AT</t>
  </si>
  <si>
    <t xml:space="preserve">INSHUMO-01-AL-125-AT</t>
  </si>
  <si>
    <t xml:space="preserve">Partida</t>
  </si>
  <si>
    <t xml:space="preserve">m</t>
  </si>
  <si>
    <t xml:space="preserve">SUMINISTRO Y COLOCACIÓN EN ANDAMIO TUBULAR DE CONDUCTO PARA SALIDA DE HUMOS CON TUBO REDONDO PARED SENCILLA DE ALUMINIO 125 mm</t>
  </si>
  <si>
    <t xml:space="preserve">Suministro y colocación en andamio tubular de conducto para salida de humos con tubo redondo pared sencilla de aluminio 125 mm</t>
  </si>
  <si>
    <t xml:space="preserve">ma-lp-00012295</t>
  </si>
  <si>
    <t xml:space="preserve">Material</t>
  </si>
  <si>
    <t xml:space="preserve">pza</t>
  </si>
  <si>
    <t xml:space="preserve">Tubo redondo de aluminio esmaltado blanco 130 mm de DISMOL (1 m/pza).   Ref. lp-00012295</t>
  </si>
  <si>
    <t xml:space="preserve">ma-tecsyair-TEC482</t>
  </si>
  <si>
    <t xml:space="preserve">Material</t>
  </si>
  <si>
    <t xml:space="preserve">pza</t>
  </si>
  <si>
    <t xml:space="preserve">Derivación “T” para tubo redondo 125 mm de TECSY-AIR para extracción de humos y sistemas de ventilación.   Ref. tecsyair-TEC482</t>
  </si>
  <si>
    <t xml:space="preserve">ma-lp-00010913</t>
  </si>
  <si>
    <t xml:space="preserve">Material</t>
  </si>
  <si>
    <t xml:space="preserve">pza</t>
  </si>
  <si>
    <t xml:space="preserve">Codo 87º de aluminio esmaltado blanco 125 mm para tubo redondo de DISMOL.   Ref. lp-00010913</t>
  </si>
  <si>
    <t xml:space="preserve">ma-lp-00010901</t>
  </si>
  <si>
    <t xml:space="preserve">Material</t>
  </si>
  <si>
    <t xml:space="preserve">pza</t>
  </si>
  <si>
    <t xml:space="preserve">Codo 45º de aluminio esmaltado blanco 125 mm de DISMOL.   Ref. lp-00010901</t>
  </si>
  <si>
    <t xml:space="preserve">ma-lp-00011622</t>
  </si>
  <si>
    <t xml:space="preserve">Material</t>
  </si>
  <si>
    <t xml:space="preserve">pza</t>
  </si>
  <si>
    <t xml:space="preserve">Manguito de aluminio esmaltado blanco 125 mm para tubo redondo de DISMOL.   Ref. lp-00011622</t>
  </si>
  <si>
    <t xml:space="preserve">ma-bm-10317034</t>
  </si>
  <si>
    <t xml:space="preserve">Material</t>
  </si>
  <si>
    <t xml:space="preserve">pza</t>
  </si>
  <si>
    <t xml:space="preserve">Sombrerete vitrificado para evacuación de humos 150 mm.   Ref. bm-10317034</t>
  </si>
  <si>
    <t xml:space="preserve">ma-bm-10147795</t>
  </si>
  <si>
    <t xml:space="preserve">Material</t>
  </si>
  <si>
    <t xml:space="preserve">pza</t>
  </si>
  <si>
    <t xml:space="preserve">Rosetón vitrificado para la evacuación de humos 150 mm.   Ref. bm-10147795</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</si>
  <si>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</si>
  <si>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</si>
  <si>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</si>
  <si>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</si>
  <si>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</si>
  <si>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</si>
  <si>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</si>
  <si>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</si>
  <si>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</si>
  <si>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</si>
  <si>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</si>
  <si>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</si>
  <si>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ma-lp-00010678</t>
  </si>
  <si>
    <t xml:space="preserve">Material</t>
  </si>
  <si>
    <t xml:space="preserve">pza</t>
  </si>
  <si>
    <t xml:space="preserve">Abrazadera regulable de aluminio esmaltado blanco para tubería 125 mm.   Ref. lp-00010678</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</si>
  <si>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</si>
  <si>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</si>
  <si>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</si>
  <si>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</si>
  <si>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</si>
  <si>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</si>
  <si>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</si>
  <si>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</si>
  <si>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</si>
  <si>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</si>
  <si>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</si>
  <si>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</si>
  <si>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</si>
  <si>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</si>
  <si>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</si>
  <si>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</si>
  <si>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</si>
  <si>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</si>
  <si>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</si>
  <si>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</si>
  <si>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</si>
  <si>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</si>
  <si>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</si>
  <si>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</si>
  <si>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</si>
  <si>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</si>
  <si>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</si>
  <si>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</si>
  <si>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INSHUMO-01-AL-125-AT</t>
  </si>
  <si>
    <t xml:space="preserve">INSHUMO-01-AL-125-MS</t>
  </si>
  <si>
    <t xml:space="preserve">Partida</t>
  </si>
  <si>
    <t xml:space="preserve">m</t>
  </si>
  <si>
    <t xml:space="preserve">SUMINISTRO Y COLOCACIÓN EN MEDIO SUSPENDIDO/COLGADO DE CONDUCTO PARA SALIDA DE HUMOS CON TUBO REDONDO PARED SENCILLA DE ALUMINIO 125 mm</t>
  </si>
  <si>
    <t xml:space="preserve">Suministro y colocación en medio suspendido/colgado de conducto para salida de humos con tubo redondo pared sencilla de aluminio 125 mm</t>
  </si>
  <si>
    <t xml:space="preserve">ma-lp-00012295</t>
  </si>
  <si>
    <t xml:space="preserve">Material</t>
  </si>
  <si>
    <t xml:space="preserve">pza</t>
  </si>
  <si>
    <t xml:space="preserve">Tubo redondo de aluminio esmaltado blanco 130 mm de DISMOL (1 m/pza).   Ref. lp-00012295</t>
  </si>
  <si>
    <t xml:space="preserve">ma-tecsyair-TEC482</t>
  </si>
  <si>
    <t xml:space="preserve">Material</t>
  </si>
  <si>
    <t xml:space="preserve">pza</t>
  </si>
  <si>
    <t xml:space="preserve">Derivación “T” para tubo redondo 125 mm de TECSY-AIR para extracción de humos y sistemas de ventilación.   Ref. tecsyair-TEC482</t>
  </si>
  <si>
    <t xml:space="preserve">ma-lp-00010913</t>
  </si>
  <si>
    <t xml:space="preserve">Material</t>
  </si>
  <si>
    <t xml:space="preserve">pza</t>
  </si>
  <si>
    <t xml:space="preserve">Codo 87º de aluminio esmaltado blanco 125 mm para tubo redondo de DISMOL.   Ref. lp-00010913</t>
  </si>
  <si>
    <t xml:space="preserve">ma-lp-00010901</t>
  </si>
  <si>
    <t xml:space="preserve">Material</t>
  </si>
  <si>
    <t xml:space="preserve">pza</t>
  </si>
  <si>
    <t xml:space="preserve">Codo 45º de aluminio esmaltado blanco 125 mm de DISMOL.   Ref. lp-00010901</t>
  </si>
  <si>
    <t xml:space="preserve">ma-lp-00011622</t>
  </si>
  <si>
    <t xml:space="preserve">Material</t>
  </si>
  <si>
    <t xml:space="preserve">pza</t>
  </si>
  <si>
    <t xml:space="preserve">Manguito de aluminio esmaltado blanco 125 mm para tubo redondo de DISMOL.   Ref. lp-00011622</t>
  </si>
  <si>
    <t xml:space="preserve">ma-bm-10317034</t>
  </si>
  <si>
    <t xml:space="preserve">Material</t>
  </si>
  <si>
    <t xml:space="preserve">pza</t>
  </si>
  <si>
    <t xml:space="preserve">Sombrerete vitrificado para evacuación de humos 150 mm.   Ref. bm-10317034</t>
  </si>
  <si>
    <t xml:space="preserve">ma-bm-10147795</t>
  </si>
  <si>
    <t xml:space="preserve">Material</t>
  </si>
  <si>
    <t xml:space="preserve">pza</t>
  </si>
  <si>
    <t xml:space="preserve">Rosetón vitrificado para la evacuación de humos 150 mm.   Ref. bm-10147795</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</si>
  <si>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</si>
  <si>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</si>
  <si>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</si>
  <si>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</si>
  <si>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</si>
  <si>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</si>
  <si>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</si>
  <si>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</si>
  <si>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</si>
  <si>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</si>
  <si>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</si>
  <si>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</si>
  <si>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ma-lp-00010678</t>
  </si>
  <si>
    <t xml:space="preserve">Material</t>
  </si>
  <si>
    <t xml:space="preserve">pza</t>
  </si>
  <si>
    <t xml:space="preserve">Abrazadera regulable de aluminio esmaltado blanco para tubería 125 mm.   Ref. lp-00010678</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</si>
  <si>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</si>
  <si>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</si>
  <si>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</si>
  <si>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</si>
  <si>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</si>
  <si>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</si>
  <si>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</si>
  <si>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</si>
  <si>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</si>
  <si>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</si>
  <si>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</si>
  <si>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</si>
  <si>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</si>
  <si>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</si>
  <si>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</si>
  <si>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</si>
  <si>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</si>
  <si>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</si>
  <si>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</si>
  <si>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</si>
  <si>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</si>
  <si>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</si>
  <si>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</si>
  <si>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</si>
  <si>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</si>
  <si>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</si>
  <si>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</si>
  <si>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</si>
  <si>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INSHUMO-01-AL-125-MS</t>
  </si>
  <si>
    <t xml:space="preserve">INSHUMO-01-PVC-125-AT</t>
  </si>
  <si>
    <t xml:space="preserve">Partida</t>
  </si>
  <si>
    <t xml:space="preserve">m</t>
  </si>
  <si>
    <t xml:space="preserve">SUMINISTRO Y COLOCACIÓN EN ANDAMIO TUBULAR DE CONDUCTO PARA SALIDA DE HUMOS CON TUBO REDONDO PVC 125 mm</t>
  </si>
  <si>
    <t xml:space="preserve">Suministro y colocación en andamio tubular de conducto para salida de humos con tubo redondo pvc 125 mm</t>
  </si>
  <si>
    <t xml:space="preserve">ma-tecsyair-TEC401-1</t>
  </si>
  <si>
    <t xml:space="preserve">Material</t>
  </si>
  <si>
    <t xml:space="preserve">pza</t>
  </si>
  <si>
    <t xml:space="preserve">Tubo redondo 125 mm de TECSY-AIR para extracción de humos y sistemas de ventilación (1 m/pza).   Ref. tecsyair-TEC401-1</t>
  </si>
  <si>
    <t xml:space="preserve">ma-tecsyair-TEC402</t>
  </si>
  <si>
    <t xml:space="preserve">Material</t>
  </si>
  <si>
    <t xml:space="preserve">pza</t>
  </si>
  <si>
    <t xml:space="preserve">Unión para tubo redondo 125 mm de TECSY-AIR para extracción de humos y sistemas de ventilación.   Ref. tecsyair-TEC402</t>
  </si>
  <si>
    <t xml:space="preserve">ma-tecsyair-TEC482</t>
  </si>
  <si>
    <t xml:space="preserve">Material</t>
  </si>
  <si>
    <t xml:space="preserve">pza</t>
  </si>
  <si>
    <t xml:space="preserve">Derivación “T” para tubo redondo 125 mm de TECSY-AIR para extracción de humos y sistemas de ventilación.   Ref. tecsyair-TEC482</t>
  </si>
  <si>
    <t xml:space="preserve">ma-tecsyair-TEC406</t>
  </si>
  <si>
    <t xml:space="preserve">Material</t>
  </si>
  <si>
    <t xml:space="preserve">pza</t>
  </si>
  <si>
    <t xml:space="preserve">Codo 90º para tubo redondo 125 mm de TECSY-AIR para extracción de humos y sistemas de ventilación.   Ref. tecsyair-TEC406</t>
  </si>
  <si>
    <t xml:space="preserve">ma-tecsyair-TEC446-45</t>
  </si>
  <si>
    <t xml:space="preserve">Material</t>
  </si>
  <si>
    <t xml:space="preserve">pza</t>
  </si>
  <si>
    <t xml:space="preserve">Codo 45º para tubo redondo 125 mm de TECSY-AIR para extracción de humos y sistemas de ventilación.   Ref. tecsyair-TEC446-45</t>
  </si>
  <si>
    <t xml:space="preserve">ma-bm-10317034</t>
  </si>
  <si>
    <t xml:space="preserve">Material</t>
  </si>
  <si>
    <t xml:space="preserve">pza</t>
  </si>
  <si>
    <t xml:space="preserve">Sombrerete vitrificado para evacuación de humos 150 mm.   Ref. bm-10317034</t>
  </si>
  <si>
    <t xml:space="preserve">ma-bm-10147795</t>
  </si>
  <si>
    <t xml:space="preserve">Material</t>
  </si>
  <si>
    <t xml:space="preserve">pza</t>
  </si>
  <si>
    <t xml:space="preserve">Rosetón vitrificado para la evacuación de humos 150 mm.   Ref. bm-10147795</t>
  </si>
  <si>
    <t xml:space="preserve">ma-lp-00540063</t>
  </si>
  <si>
    <t xml:space="preserve">Material</t>
  </si>
  <si>
    <t xml:space="preserve">envase</t>
  </si>
  <si>
    <t xml:space="preserve">Pegamento para tubería de PVC BIGMAT (500 ml/envase)   Ref. lp-00540063</t>
  </si>
  <si>
    <t xml:space="preserve">ma-lp-00564064</t>
  </si>
  <si>
    <t xml:space="preserve">Material</t>
  </si>
  <si>
    <t xml:space="preserve">envase</t>
  </si>
  <si>
    <t xml:space="preserve">Limpiador disolvente para tuberías de PVC BIGMAT (500 ml/envase)   Ref. lp-00564064</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</si>
  <si>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</si>
  <si>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</si>
  <si>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</si>
  <si>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</si>
  <si>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</si>
  <si>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</si>
  <si>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</si>
  <si>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</si>
  <si>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</si>
  <si>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</si>
  <si>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</si>
  <si>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</si>
  <si>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ma-lp-00010678</t>
  </si>
  <si>
    <t xml:space="preserve">Material</t>
  </si>
  <si>
    <t xml:space="preserve">pza</t>
  </si>
  <si>
    <t xml:space="preserve">Abrazadera regulable de aluminio esmaltado blanco para tubería 125 mm.   Ref. lp-00010678</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</si>
  <si>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</si>
  <si>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</si>
  <si>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</si>
  <si>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</si>
  <si>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</si>
  <si>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</si>
  <si>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</si>
  <si>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</si>
  <si>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</si>
  <si>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</si>
  <si>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</si>
  <si>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</si>
  <si>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</si>
  <si>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</si>
  <si>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</si>
  <si>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</si>
  <si>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</si>
  <si>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</si>
  <si>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</si>
  <si>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</si>
  <si>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</si>
  <si>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</si>
  <si>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</si>
  <si>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</si>
  <si>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</si>
  <si>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</si>
  <si>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</si>
  <si>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</si>
  <si>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INSHUMO-01-PVC-125-AT</t>
  </si>
  <si>
    <t xml:space="preserve">INSHUMO-01-PVC-125-MS</t>
  </si>
  <si>
    <t xml:space="preserve">Partida</t>
  </si>
  <si>
    <t xml:space="preserve">m</t>
  </si>
  <si>
    <t xml:space="preserve">SUMINISTRO Y COLOCACIÓN EN MEDIO SUSPENDIDO/COLGADO DE CONDUCTO PARA SALIDA DE HUMOS CON TUBO REDONDO PVC 125 mm</t>
  </si>
  <si>
    <t xml:space="preserve">SUMINISTRO Y COLOCACIÓN EN MEDIO SUSPENDIDO/COLGADO DE CONDUCTO PARA SALIDA DE HUMOS CON TUBO REDONDO PVC 125 mm</t>
  </si>
  <si>
    <t xml:space="preserve">ma-tecsyair-TEC401-1</t>
  </si>
  <si>
    <t xml:space="preserve">Material</t>
  </si>
  <si>
    <t xml:space="preserve">pza</t>
  </si>
  <si>
    <t xml:space="preserve">Tubo redondo 125 mm de TECSY-AIR para extracción de humos y sistemas de ventilación (1 m/pza).   Ref. tecsyair-TEC401-1</t>
  </si>
  <si>
    <t xml:space="preserve">ma-tecsyair-TEC482</t>
  </si>
  <si>
    <t xml:space="preserve">Material</t>
  </si>
  <si>
    <t xml:space="preserve">pza</t>
  </si>
  <si>
    <t xml:space="preserve">Derivación “T” para tubo redondo 125 mm de TECSY-AIR para extracción de humos y sistemas de ventilación.   Ref. tecsyair-TEC482</t>
  </si>
  <si>
    <t xml:space="preserve">ma-tecsyair-TEC406</t>
  </si>
  <si>
    <t xml:space="preserve">Material</t>
  </si>
  <si>
    <t xml:space="preserve">pza</t>
  </si>
  <si>
    <t xml:space="preserve">Codo 90º para tubo redondo 125 mm de TECSY-AIR para extracción de humos y sistemas de ventilación.   Ref. tecsyair-TEC406</t>
  </si>
  <si>
    <t xml:space="preserve">ma-tecsyair-TEC446-45</t>
  </si>
  <si>
    <t xml:space="preserve">Material</t>
  </si>
  <si>
    <t xml:space="preserve">pza</t>
  </si>
  <si>
    <t xml:space="preserve">Codo 45º para tubo redondo 125 mm de TECSY-AIR para extracción de humos y sistemas de ventilación.   Ref. tecsyair-TEC446-45</t>
  </si>
  <si>
    <t xml:space="preserve">ma-tecsyair-TEC402</t>
  </si>
  <si>
    <t xml:space="preserve">Material</t>
  </si>
  <si>
    <t xml:space="preserve">pza</t>
  </si>
  <si>
    <t xml:space="preserve">Unión para tubo redondo 125 mm de TECSY-AIR para extracción de humos y sistemas de ventilación.   Ref. tecsyair-TEC402</t>
  </si>
  <si>
    <t xml:space="preserve">ma-bm-10317034</t>
  </si>
  <si>
    <t xml:space="preserve">Material</t>
  </si>
  <si>
    <t xml:space="preserve">pza</t>
  </si>
  <si>
    <t xml:space="preserve">Sombrerete vitrificado para evacuación de humos 150 mm.   Ref. bm-10317034</t>
  </si>
  <si>
    <t xml:space="preserve">ma-bm-10147795</t>
  </si>
  <si>
    <t xml:space="preserve">Material</t>
  </si>
  <si>
    <t xml:space="preserve">pza</t>
  </si>
  <si>
    <t xml:space="preserve">Rosetón vitrificado para la evacuación de humos 150 mm.   Ref. bm-10147795</t>
  </si>
  <si>
    <t xml:space="preserve">ma-lp-00540063</t>
  </si>
  <si>
    <t xml:space="preserve">Material</t>
  </si>
  <si>
    <t xml:space="preserve">envase</t>
  </si>
  <si>
    <t xml:space="preserve">Pegamento para tubería de PVC BIGMAT (500 ml/envase)   Ref. lp-00540063</t>
  </si>
  <si>
    <t xml:space="preserve">ma-lp-00564064</t>
  </si>
  <si>
    <t xml:space="preserve">Material</t>
  </si>
  <si>
    <t xml:space="preserve">envase</t>
  </si>
  <si>
    <t xml:space="preserve">Limpiador disolvente para tuberías de PVC BIGMAT (500 ml/envase)   Ref. lp-00564064</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</si>
  <si>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</si>
  <si>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</si>
  <si>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</si>
  <si>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</si>
  <si>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</si>
  <si>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</si>
  <si>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</si>
  <si>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</si>
  <si>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</si>
  <si>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</si>
  <si>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</si>
  <si>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</si>
  <si>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ma-lp-00010678</t>
  </si>
  <si>
    <t xml:space="preserve">Material</t>
  </si>
  <si>
    <t xml:space="preserve">pza</t>
  </si>
  <si>
    <t xml:space="preserve">Abrazadera regulable de aluminio esmaltado blanco para tubería 125 mm.   Ref. lp-00010678</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</si>
  <si>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</si>
  <si>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</si>
  <si>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</si>
  <si>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</si>
  <si>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</si>
  <si>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</si>
  <si>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</si>
  <si>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</si>
  <si>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</si>
  <si>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</si>
  <si>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</si>
  <si>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</si>
  <si>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</si>
  <si>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</si>
  <si>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</si>
  <si>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</si>
  <si>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</si>
  <si>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</si>
  <si>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</si>
  <si>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</si>
  <si>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</si>
  <si>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</si>
  <si>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</si>
  <si>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</si>
  <si>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</si>
  <si>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</si>
  <si>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</si>
  <si>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</si>
  <si>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INSHUMO-01-PVC-125-MS</t>
  </si>
  <si>
    <t xml:space="preserve">INSHUMO-GALV-125-MS</t>
  </si>
  <si>
    <t xml:space="preserve">Partida</t>
  </si>
  <si>
    <t xml:space="preserve">m</t>
  </si>
  <si>
    <t xml:space="preserve">SUMINISTRO Y COLOCACIÓN EN MEDIO SUSPENDIDO/COLGADO DE CONDUCTO PARA SALIDA DE HUMOS CON TUBO REDONDO DE ACERO GALVANIZADO 125 mm</t>
  </si>
  <si>
    <t xml:space="preserve">SUMINISTRO Y COLOCACIÓN EN MEDIO SUSPENDIDO/COLGADO DE CONDUCTO PARA SALIDA DE HUMOS CON TUBO REDONDO DE ACERO GALVANIZADO 125 mm</t>
  </si>
  <si>
    <t xml:space="preserve">ma-hostelbar-Z025CA01003</t>
  </si>
  <si>
    <t xml:space="preserve">Material</t>
  </si>
  <si>
    <t xml:space="preserve">m</t>
  </si>
  <si>
    <t xml:space="preserve">Tubo helicoidal galvanizado 125 mm x e = 0,5 mm para salida de humos de MUNDOFAN (1 m/pza).   Ref. hostelbar-Z025CA01003</t>
  </si>
  <si>
    <t xml:space="preserve">ma-hostelbar-Z025CA01072</t>
  </si>
  <si>
    <t xml:space="preserve">Material</t>
  </si>
  <si>
    <t xml:space="preserve">pza</t>
  </si>
  <si>
    <t xml:space="preserve">Manguito de unión M-M acero galvanizado 125 mm para salida de humos de MUNDOFAN.   Ref. hostelbar-Z025CA01072</t>
  </si>
  <si>
    <t xml:space="preserve">ma-hostelbar-Z025CA01563</t>
  </si>
  <si>
    <t xml:space="preserve">Material</t>
  </si>
  <si>
    <t xml:space="preserve">pza</t>
  </si>
  <si>
    <t xml:space="preserve">Te Simple 45º en acero galvanizado 125 mm para salida de humos de MUNDOFAN.   Ref. hostelbar-Z025CA01563</t>
  </si>
  <si>
    <t xml:space="preserve">ma-hostelbar-Z025CA01523</t>
  </si>
  <si>
    <t xml:space="preserve">Material</t>
  </si>
  <si>
    <t xml:space="preserve">pza</t>
  </si>
  <si>
    <t xml:space="preserve">Codo 90º en acero galvanizado 125 mm para salida de humos de MUNDOFAN.   Ref. hostelbar-Z025CA01523</t>
  </si>
  <si>
    <t xml:space="preserve">ma-hostelbar-Z025CA01453</t>
  </si>
  <si>
    <t xml:space="preserve">Material</t>
  </si>
  <si>
    <t xml:space="preserve">pza</t>
  </si>
  <si>
    <t xml:space="preserve">Codo 45º en acero galvanizado 125 mm para salida de humos de MUNDOFAN.   Ref. hostelbar-Z025CA014532</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</si>
  <si>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</si>
  <si>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</si>
  <si>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</si>
  <si>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</si>
  <si>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</si>
  <si>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</si>
  <si>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</si>
  <si>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</si>
  <si>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</si>
  <si>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</si>
  <si>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</si>
  <si>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</si>
  <si>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ma-lp-00010678</t>
  </si>
  <si>
    <t xml:space="preserve">Material</t>
  </si>
  <si>
    <t xml:space="preserve">pza</t>
  </si>
  <si>
    <t xml:space="preserve">Abrazadera regulable de aluminio esmaltado blanco para tubería 125 mm.   Ref. lp-00010678</t>
  </si>
  <si>
    <t xml:space="preserve">ma-hostelbar-Z025CA01337</t>
  </si>
  <si>
    <t xml:space="preserve">Material</t>
  </si>
  <si>
    <t xml:space="preserve">pza</t>
  </si>
  <si>
    <t xml:space="preserve">Sombrerete chino en acero galvanizado 125 mm para salida de humos de MUNDOFAN.   Ref. hostelbar-Z025CA01337</t>
  </si>
  <si>
    <t xml:space="preserve">ma-bm-10147795</t>
  </si>
  <si>
    <t xml:space="preserve">Material</t>
  </si>
  <si>
    <t xml:space="preserve">pza</t>
  </si>
  <si>
    <t xml:space="preserve">Rosetón vitrificado para la evacuación de humos 150 mm.   Ref. bm-10147795</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</si>
  <si>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</si>
  <si>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</si>
  <si>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</si>
  <si>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</si>
  <si>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</si>
  <si>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</si>
  <si>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</si>
  <si>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</si>
  <si>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</si>
  <si>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</si>
  <si>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</si>
  <si>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</si>
  <si>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</si>
  <si>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</si>
  <si>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</si>
  <si>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</si>
  <si>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</si>
  <si>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</si>
  <si>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</si>
  <si>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</si>
  <si>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</si>
  <si>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</si>
  <si>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</si>
  <si>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</si>
  <si>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</si>
  <si>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</si>
  <si>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</si>
  <si>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</si>
  <si>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INSHUMO-GALV-125-MS</t>
  </si>
  <si>
    <t xml:space="preserve">INSHUMO-GALV-250-AT</t>
  </si>
  <si>
    <t xml:space="preserve">Partida</t>
  </si>
  <si>
    <t xml:space="preserve">m</t>
  </si>
  <si>
    <t xml:space="preserve">SUMINISTRO Y COLOCACIÓN EN ANDAMIO TUBULAR DE CONDUCTO PARA SALIDA DE HUMOS CON TUBO REDONDO DE ACERO GALVANIZADO 250 mm</t>
  </si>
  <si>
    <t xml:space="preserve">SUMINISTRO Y COLOCACIÓN EN ANDAMIO TUBULAR DE CONDUCTO PARA SALIDA DE HUMOS CON TUBO REDONDO DE ACERO GALVANIZADO 250 mm</t>
  </si>
  <si>
    <t xml:space="preserve">ma-hostelbar-Z025CA01008</t>
  </si>
  <si>
    <t xml:space="preserve">Material</t>
  </si>
  <si>
    <t xml:space="preserve">m</t>
  </si>
  <si>
    <t xml:space="preserve">Tubo helicoidal galvanizado 250 mm x e = 0,5 mm para salida de humos de MUNDOFAN (1 m/pza).   Ref. hostelbar-Z025CA01008</t>
  </si>
  <si>
    <t xml:space="preserve">ma-hostelbar-Z025CA01075</t>
  </si>
  <si>
    <t xml:space="preserve">Material</t>
  </si>
  <si>
    <t xml:space="preserve">pza</t>
  </si>
  <si>
    <t xml:space="preserve">Manguito de unión M-M acero galvanizado 250 mm para salida de humos de MUNDOFAN.   Ref. hostelbar-Z025CA01075</t>
  </si>
  <si>
    <t xml:space="preserve">ma-hostelbar-Z025CA01569</t>
  </si>
  <si>
    <t xml:space="preserve">Material</t>
  </si>
  <si>
    <t xml:space="preserve">pza</t>
  </si>
  <si>
    <t xml:space="preserve">Te Simple 45º en acero galvanizado 250 mm para salida de humos de MUNDOFAN.   Ref. hostelbar-Z025CA01569</t>
  </si>
  <si>
    <t xml:space="preserve">ma-hostelbar-Z025CA01458</t>
  </si>
  <si>
    <t xml:space="preserve">Material</t>
  </si>
  <si>
    <t xml:space="preserve">pza</t>
  </si>
  <si>
    <t xml:space="preserve">Codo 45º en acero galvanizado 250 mm para salida de humos de MUNDOFAN.   Ref. hostelbar-Z025CA01458</t>
  </si>
  <si>
    <t xml:space="preserve">ma-hostelbar-Z025CA01528</t>
  </si>
  <si>
    <t xml:space="preserve">Material</t>
  </si>
  <si>
    <t xml:space="preserve">pza</t>
  </si>
  <si>
    <t xml:space="preserve">Codo 90º en acero galvanizado 250 mm para salida de humos de MUNDOFAN.   Ref. hostelbar-Z025CA01528</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</si>
  <si>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</si>
  <si>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</si>
  <si>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</si>
  <si>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</si>
  <si>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</si>
  <si>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</si>
  <si>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</si>
  <si>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</si>
  <si>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</si>
  <si>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</si>
  <si>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</si>
  <si>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</si>
  <si>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ma-lm-14668906</t>
  </si>
  <si>
    <t xml:space="preserve">Material</t>
  </si>
  <si>
    <t xml:space="preserve">pza</t>
  </si>
  <si>
    <t xml:space="preserve">Abrazadera para tubo de simple pared en acero inoxidable con bisagra 200 mm de DINAK   Ref. lm-14668906</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</si>
  <si>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</si>
  <si>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</si>
  <si>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</si>
  <si>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</si>
  <si>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</si>
  <si>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</si>
  <si>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</si>
  <si>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</si>
  <si>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</si>
  <si>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</si>
  <si>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</si>
  <si>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</si>
  <si>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</si>
  <si>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</si>
  <si>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</si>
  <si>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</si>
  <si>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</si>
  <si>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</si>
  <si>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</si>
  <si>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</si>
  <si>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</si>
  <si>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</si>
  <si>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</si>
  <si>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</si>
  <si>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</si>
  <si>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</si>
  <si>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</si>
  <si>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</si>
  <si>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INSHUMO-GALV-250-AT</t>
  </si>
  <si>
    <t xml:space="preserve">INSHUMO-GALV-250-MS</t>
  </si>
  <si>
    <t xml:space="preserve">Partida</t>
  </si>
  <si>
    <t xml:space="preserve">m</t>
  </si>
  <si>
    <t xml:space="preserve">SUMINISTRO Y COLOCACIÓN EN MEDIO SUSPENDIDO/COLGADO DE CONDUCTO PARA SALIDA DE HUMOS CON TUBO REDONDO DE ACERO GALVANIZADO 250 mm</t>
  </si>
  <si>
    <t xml:space="preserve">SUMINISTRO Y COLOCACIÓN EN MEDIO SUSPENDIDO/COLGADO DE CONDUCTO PARA SALIDA DE HUMOS CON TUBO REDONDO DE ACERO GALVANIZADO 250 mm</t>
  </si>
  <si>
    <t xml:space="preserve">ma-hostelbar-Z025CA01008</t>
  </si>
  <si>
    <t xml:space="preserve">Material</t>
  </si>
  <si>
    <t xml:space="preserve">m</t>
  </si>
  <si>
    <t xml:space="preserve">Tubo helicoidal galvanizado 250 mm x e = 0,5 mm para salida de humos de MUNDOFAN (1 m/pza).   Ref. hostelbar-Z025CA01008</t>
  </si>
  <si>
    <t xml:space="preserve">ma-hostelbar-Z025CA01075</t>
  </si>
  <si>
    <t xml:space="preserve">Material</t>
  </si>
  <si>
    <t xml:space="preserve">pza</t>
  </si>
  <si>
    <t xml:space="preserve">Manguito de unión M-M acero galvanizado 250 mm para salida de humos de MUNDOFAN.   Ref. hostelbar-Z025CA01075</t>
  </si>
  <si>
    <t xml:space="preserve">ma-hostelbar-Z025CA01569</t>
  </si>
  <si>
    <t xml:space="preserve">Material</t>
  </si>
  <si>
    <t xml:space="preserve">pza</t>
  </si>
  <si>
    <t xml:space="preserve">Te Simple 45º en acero galvanizado 250 mm para salida de humos de MUNDOFAN.   Ref. hostelbar-Z025CA01569</t>
  </si>
  <si>
    <t xml:space="preserve">ma-hostelbar-Z025CA01458</t>
  </si>
  <si>
    <t xml:space="preserve">Material</t>
  </si>
  <si>
    <t xml:space="preserve">pza</t>
  </si>
  <si>
    <t xml:space="preserve">Codo 45º en acero galvanizado 250 mm para salida de humos de MUNDOFAN.   Ref. hostelbar-Z025CA01458</t>
  </si>
  <si>
    <t xml:space="preserve">ma-hostelbar-Z025CA01528</t>
  </si>
  <si>
    <t xml:space="preserve">Material</t>
  </si>
  <si>
    <t xml:space="preserve">pza</t>
  </si>
  <si>
    <t xml:space="preserve">Codo 90º en acero galvanizado 250 mm para salida de humos de MUNDOFAN.   Ref. hostelbar-Z025CA01528</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</si>
  <si>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</si>
  <si>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</si>
  <si>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</si>
  <si>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</si>
  <si>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</si>
  <si>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</si>
  <si>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</si>
  <si>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</si>
  <si>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</si>
  <si>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</si>
  <si>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</si>
  <si>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</si>
  <si>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ma-lm-14668906</t>
  </si>
  <si>
    <t xml:space="preserve">Material</t>
  </si>
  <si>
    <t xml:space="preserve">pza</t>
  </si>
  <si>
    <t xml:space="preserve">Abrazadera para tubo de simple pared en acero inoxidable con bisagra 200 mm de DINAK   Ref. lm-14668906</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</si>
  <si>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</si>
  <si>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</si>
  <si>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</si>
  <si>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</si>
  <si>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</si>
  <si>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</si>
  <si>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</si>
  <si>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</si>
  <si>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</si>
  <si>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</si>
  <si>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</si>
  <si>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</si>
  <si>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</si>
  <si>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</si>
  <si>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</si>
  <si>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</si>
  <si>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</si>
  <si>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</si>
  <si>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</si>
  <si>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</si>
  <si>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</si>
  <si>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</si>
  <si>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</si>
  <si>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</si>
  <si>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</si>
  <si>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</si>
  <si>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</si>
  <si>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</si>
  <si>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INSHUMO-GALV-250-MS</t>
  </si>
  <si>
    <t xml:space="preserve">INSHUMO-GALV.125-AT</t>
  </si>
  <si>
    <t xml:space="preserve">Partida</t>
  </si>
  <si>
    <t xml:space="preserve">m</t>
  </si>
  <si>
    <t xml:space="preserve">SUMINISTRO Y COLOCACIÓN EN ANDAMIO TUBULAR DE CONDUCTO PARA SALIDA DE HUMOS CON TUBO REDONDO DE ACERO GALVANIZADO 125 mm</t>
  </si>
  <si>
    <t xml:space="preserve">SUMINISTRO Y COLOCACIÓN EN ANDAMIO TUBULAR DE CONDUCTO PARA SALIDA DE HUMOS CON TUBO REDONDO DE ACERO GALVANIZADO 125 mm</t>
  </si>
  <si>
    <t xml:space="preserve">ma-hostelbar-Z025CA01003</t>
  </si>
  <si>
    <t xml:space="preserve">Material</t>
  </si>
  <si>
    <t xml:space="preserve">m</t>
  </si>
  <si>
    <t xml:space="preserve">Tubo helicoidal galvanizado 125 mm x e = 0,5 mm para salida de humos de MUNDOFAN (1 m/pza).   Ref. hostelbar-Z025CA01003</t>
  </si>
  <si>
    <t xml:space="preserve">ma-hostelbar-Z025CA01072</t>
  </si>
  <si>
    <t xml:space="preserve">Material</t>
  </si>
  <si>
    <t xml:space="preserve">pza</t>
  </si>
  <si>
    <t xml:space="preserve">Manguito de unión M-M acero galvanizado 125 mm para salida de humos de MUNDOFAN.   Ref. hostelbar-Z025CA01072</t>
  </si>
  <si>
    <t xml:space="preserve">ma-hostelbar-Z025CA01563</t>
  </si>
  <si>
    <t xml:space="preserve">Material</t>
  </si>
  <si>
    <t xml:space="preserve">pza</t>
  </si>
  <si>
    <t xml:space="preserve">Te Simple 45º en acero galvanizado 125 mm para salida de humos de MUNDOFAN.   Ref. hostelbar-Z025CA01563</t>
  </si>
  <si>
    <t xml:space="preserve">ma-hostelbar-Z025CA01523</t>
  </si>
  <si>
    <t xml:space="preserve">Material</t>
  </si>
  <si>
    <t xml:space="preserve">pza</t>
  </si>
  <si>
    <t xml:space="preserve">Codo 90º en acero galvanizado 125 mm para salida de humos de MUNDOFAN.   Ref. hostelbar-Z025CA01523</t>
  </si>
  <si>
    <t xml:space="preserve">ma-hostelbar-Z025CA01453</t>
  </si>
  <si>
    <t xml:space="preserve">Material</t>
  </si>
  <si>
    <t xml:space="preserve">pza</t>
  </si>
  <si>
    <t xml:space="preserve">Codo 45º en acero galvanizado 125 mm para salida de humos de MUNDOFAN.   Ref. hostelbar-Z025CA014532</t>
  </si>
  <si>
    <t xml:space="preserve">ma-bm-10282853</t>
  </si>
  <si>
    <t xml:space="preserve">Material</t>
  </si>
  <si>
    <t xml:space="preserve">bolsa</t>
  </si>
  <si>
    <t xml:space="preserve">Espárrago/Varilla de inyección para anclaje químico; 10x165 mm (8 Pzas./Bolsa)   Ref. bm-10282853</t>
  </si>
  <si>
    <t xml:space="preserve">ma-bm-10943415</t>
  </si>
  <si>
    <t xml:space="preserve">Material</t>
  </si>
  <si>
    <t xml:space="preserve">bolsa</t>
  </si>
  <si>
    <t xml:space="preserve">Tamiz de nylon para taco/anclaje químico; 16x130 mm FISCHER (20 pzas./bolsa)   Ref. bm-10943415</t>
  </si>
  <si>
    <t xml:space="preserve">ma-lp-00551136</t>
  </si>
  <si>
    <t xml:space="preserve">Material</t>
  </si>
  <si>
    <t xml:space="preserve">cartucho</t>
  </si>
  <si>
    <t xml:space="preserve">Anclaje/Taco químico resina epoxi sin estireno BIGMAT. cargas medias-altas (410 ml/cartucho)   Ref. lp-00551136</t>
  </si>
  <si>
    <t xml:space="preserve">ma-lp-00010678</t>
  </si>
  <si>
    <t xml:space="preserve">Material</t>
  </si>
  <si>
    <t xml:space="preserve">pza</t>
  </si>
  <si>
    <t xml:space="preserve">Abrazadera regulable de aluminio esmaltado blanco para tubería 125 mm.   Ref. lp-00010678</t>
  </si>
  <si>
    <t xml:space="preserve">ma-hostelbar-Z025CA01337</t>
  </si>
  <si>
    <t xml:space="preserve">Material</t>
  </si>
  <si>
    <t xml:space="preserve">pza</t>
  </si>
  <si>
    <t xml:space="preserve">Sombrerete chino en acero galvanizado 125 mm para salida de humos de MUNDOFAN.   Ref. hostelbar-Z025CA01337</t>
  </si>
  <si>
    <t xml:space="preserve">ma-bm-10147795</t>
  </si>
  <si>
    <t xml:space="preserve">Material</t>
  </si>
  <si>
    <t xml:space="preserve">pza</t>
  </si>
  <si>
    <t xml:space="preserve">Rosetón vitrificado para la evacuación de humos 150 mm.   Ref. bm-10147795</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</si>
  <si>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</si>
  <si>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</si>
  <si>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</si>
  <si>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</si>
  <si>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</si>
  <si>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</si>
  <si>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</si>
  <si>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</si>
  <si>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</si>
  <si>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</si>
  <si>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</si>
  <si>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</si>
  <si>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</si>
  <si>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</si>
  <si>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</si>
  <si>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</si>
  <si>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</si>
  <si>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</si>
  <si>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</si>
  <si>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</si>
  <si>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</si>
  <si>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</si>
  <si>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</si>
  <si>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</si>
  <si>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</si>
  <si>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</si>
  <si>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</si>
  <si>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</si>
  <si>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INSHUMO-GALV.125-AT</t>
  </si>
  <si>
    <t xml:space="preserve">INSHUMO</t>
  </si>
  <si>
    <t xml:space="preserve">INSMECANICAS</t>
  </si>
  <si>
    <t xml:space="preserve">Capítulo</t>
  </si>
  <si>
    <t xml:space="preserve">INSTALACIONES MECÁNICAS</t>
  </si>
  <si>
    <t xml:space="preserve">INSMECANICAS-AA</t>
  </si>
  <si>
    <t xml:space="preserve">Capítulo</t>
  </si>
  <si>
    <t xml:space="preserve">AIRE ACONDICIONADO</t>
  </si>
  <si>
    <t xml:space="preserve">INSMECANICAS-AA</t>
  </si>
  <si>
    <t xml:space="preserve">INSMECANICAS</t>
  </si>
  <si>
    <t xml:space="preserve">OTRAS.INSTALACIONES</t>
  </si>
  <si>
    <t xml:space="preserve">Capítulo</t>
  </si>
  <si>
    <t xml:space="preserve">OTRAS INSTALACIONES</t>
  </si>
  <si>
    <t xml:space="preserve">INS-ANTI.INCENDIO</t>
  </si>
  <si>
    <t xml:space="preserve">Capítulo</t>
  </si>
  <si>
    <t xml:space="preserve">INSTALACIONES ANTI-INCENDIO</t>
  </si>
  <si>
    <t xml:space="preserve">INS-ANTI.INCENDIO</t>
  </si>
  <si>
    <t xml:space="preserve">INS-DRENAJES</t>
  </si>
  <si>
    <t xml:space="preserve">Capítulo</t>
  </si>
  <si>
    <t xml:space="preserve">INSTALACIONES RELACIONADAS CON DRENAJES DE FLUIDOS</t>
  </si>
  <si>
    <t xml:space="preserve">INS-DRENAJES-AGUA</t>
  </si>
  <si>
    <t xml:space="preserve">Capítulo</t>
  </si>
  <si>
    <t xml:space="preserve">INSTALACIONES RELACIONADAS CON DRENAJES DE AGUA</t>
  </si>
  <si>
    <t xml:space="preserve">INS-DREN-AGUAxCONDENSACION-01-10</t>
  </si>
  <si>
    <t xml:space="preserve">Partida</t>
  </si>
  <si>
    <t xml:space="preserve">m</t>
  </si>
  <si>
    <t xml:space="preserve">INSTALACIONES RELACIONADAS CON DRENAJES DE AGUA POR CONDENSACIÓN CON MANGUERA TÉCNICA INDUSTRIAL A LA VISTA 10 mm</t>
  </si>
  <si>
    <t xml:space="preserve">INSTALACIONES RELACIONADAS CON DRENAJES DE AGUA POR CONDENSACIÓN CON MANGUERA TÉCNICA INDUSTRIAL A LA VISTA 10 mm</t>
  </si>
  <si>
    <t xml:space="preserve">ma-lp-00533781</t>
  </si>
  <si>
    <t xml:space="preserve">Material</t>
  </si>
  <si>
    <t xml:space="preserve">rollo</t>
  </si>
  <si>
    <t xml:space="preserve">Manguera técnica industrial CRISTALLO EXTRA 10 mm (50 m/rollo).   Ref. lp-00533781</t>
  </si>
  <si>
    <t xml:space="preserve">ma-bd-grapas-11</t>
  </si>
  <si>
    <t xml:space="preserve">Material</t>
  </si>
  <si>
    <t xml:space="preserve">bolsa</t>
  </si>
  <si>
    <t xml:space="preserve">Grapa de poliamida y acero para cable redondo 11 mm DIALL (100 pzas/bolsa).   Ref. bd-grapas-11</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</si>
  <si>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</si>
  <si>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</si>
  <si>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</si>
  <si>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</si>
  <si>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</si>
  <si>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</si>
  <si>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</si>
  <si>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</si>
  <si>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</si>
  <si>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</si>
  <si>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</si>
  <si>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</si>
  <si>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</si>
  <si>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</si>
  <si>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</si>
  <si>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</si>
  <si>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</si>
  <si>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</si>
  <si>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</si>
  <si>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</si>
  <si>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</si>
  <si>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</si>
  <si>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</si>
  <si>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</si>
  <si>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</si>
  <si>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</si>
  <si>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</si>
  <si>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</si>
  <si>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INS-DREN-AGUAxCONDENSACION-01-10</t>
  </si>
  <si>
    <t xml:space="preserve">INS-DRENAJES-AGUA</t>
  </si>
  <si>
    <t xml:space="preserve">INS-DRENAJES</t>
  </si>
  <si>
    <t xml:space="preserve">INS-TRANSMISION</t>
  </si>
  <si>
    <t xml:space="preserve">Capítulo</t>
  </si>
  <si>
    <t xml:space="preserve">INSTALACIONES RELACIONADAS CON SEÑALES Y TRANSMISION</t>
  </si>
  <si>
    <t xml:space="preserve">INSTRM-ACCESORIOS-01</t>
  </si>
  <si>
    <t xml:space="preserve">Partida</t>
  </si>
  <si>
    <t xml:space="preserve">und</t>
  </si>
  <si>
    <t xml:space="preserve">AMPLIFICADOR MÁSTIL DE 3 ENTRADAS Y 35 dB; INCLUYENDO ACCESORIOS CONEXOS</t>
  </si>
  <si>
    <t xml:space="preserve">AMPLIFICADOR MÁSTIL DE 3 ENTRADAS Y 35 dB; INCLUYENDO ACCESORIOS CONEXOS</t>
  </si>
  <si>
    <t xml:space="preserve">ma-lp-00013185</t>
  </si>
  <si>
    <t xml:space="preserve">Material</t>
  </si>
  <si>
    <t xml:space="preserve">pza</t>
  </si>
  <si>
    <t xml:space="preserve">Amplificador mástil LTE de TELEVES, 12-24V B3 (3 entradas: U-FMMX-FIMX).   Ref. lp-00013185</t>
  </si>
  <si>
    <t xml:space="preserve">ma-lp-00095512</t>
  </si>
  <si>
    <t xml:space="preserve">Material</t>
  </si>
  <si>
    <t xml:space="preserve">pza</t>
  </si>
  <si>
    <t xml:space="preserve">Fuente de alimentación 24VDC 130 mA 2 salidas F5795 de TELEVES.   Ref. lp-00095512</t>
  </si>
  <si>
    <t xml:space="preserve">ma-lp-00121298</t>
  </si>
  <si>
    <t xml:space="preserve">Material</t>
  </si>
  <si>
    <t xml:space="preserve">rollo</t>
  </si>
  <si>
    <t xml:space="preserve">Cable coaxial digital FL-75 de LAZSA; color blanco (50 m/rollo).   Ref. lp-00121298</t>
  </si>
  <si>
    <t xml:space="preserve">ma-lp-00013728</t>
  </si>
  <si>
    <t xml:space="preserve">Material</t>
  </si>
  <si>
    <t xml:space="preserve">pza</t>
  </si>
  <si>
    <t xml:space="preserve">Conectores F roscado con junta para cable coaxial TI01 de TELEVES.   Ref. lp-00013728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</si>
  <si>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</si>
  <si>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</si>
  <si>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</si>
  <si>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</si>
  <si>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</si>
  <si>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</si>
  <si>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</si>
  <si>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</si>
  <si>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</si>
  <si>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</si>
  <si>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</si>
  <si>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</si>
  <si>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</si>
  <si>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</si>
  <si>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</si>
  <si>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</si>
  <si>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</si>
  <si>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</si>
  <si>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</si>
  <si>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</si>
  <si>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INSTRM-ACCESORIOS-01</t>
  </si>
  <si>
    <t xml:space="preserve">INSTRM-ANTENAS-01</t>
  </si>
  <si>
    <t xml:space="preserve">Partida</t>
  </si>
  <si>
    <t xml:space="preserve">und</t>
  </si>
  <si>
    <t xml:space="preserve">ANTENA PARABÓLICA DE ACERO GALVANIZADO TIPO OFFSET 60 CM + LNB UNIVERSAL TELEVES</t>
  </si>
  <si>
    <t xml:space="preserve">Antena parabólica de acero galvanizado tipo OFFSET 60 cm + LNB universal TELEVES.</t>
  </si>
  <si>
    <t xml:space="preserve">ma-bd-3327967021600</t>
  </si>
  <si>
    <t xml:space="preserve">Material</t>
  </si>
  <si>
    <t xml:space="preserve">und</t>
  </si>
  <si>
    <t xml:space="preserve">Antena parabólica de acero galvanizado tipo OFFSET 60 cm + LNB universal TELEVES.   Ref. bd-3327967021600</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</si>
  <si>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</si>
  <si>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</si>
  <si>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</si>
  <si>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</si>
  <si>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</si>
  <si>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</si>
  <si>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</si>
  <si>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</si>
  <si>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</si>
  <si>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</si>
  <si>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</si>
  <si>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</si>
  <si>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</si>
  <si>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</si>
  <si>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</si>
  <si>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</si>
  <si>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</si>
  <si>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</si>
  <si>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</si>
  <si>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</si>
  <si>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</si>
  <si>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</si>
  <si>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</si>
  <si>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</si>
  <si>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</si>
  <si>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</si>
  <si>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</si>
  <si>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</si>
  <si>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</si>
  <si>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</si>
  <si>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</si>
  <si>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</si>
  <si>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INSTRM-ANTENAS-01</t>
  </si>
  <si>
    <t xml:space="preserve">INS-TRANSMISION</t>
  </si>
  <si>
    <t xml:space="preserve">OTRAS.INSTALACIONES</t>
  </si>
  <si>
    <t xml:space="preserve">INS</t>
  </si>
  <si>
    <t xml:space="preserve">AIS</t>
  </si>
  <si>
    <t xml:space="preserve">Capítulo</t>
  </si>
  <si>
    <t xml:space="preserve">Aislamientos e impermeabilizaciones</t>
  </si>
  <si>
    <t xml:space="preserve">AISMED</t>
  </si>
  <si>
    <t xml:space="preserve">Capítulo</t>
  </si>
  <si>
    <t xml:space="preserve">MEDIANERA</t>
  </si>
  <si>
    <t xml:space="preserve">AISMEDN01</t>
  </si>
  <si>
    <t xml:space="preserve">Partida</t>
  </si>
  <si>
    <t xml:space="preserve">M2</t>
  </si>
  <si>
    <t xml:space="preserve">IMPERMEABILIZACION DE MEDIANERA CON TABIQUE PLUVIAL DE PLACAS GRECADA</t>
  </si>
  <si>
    <t xml:space="preserve">Impermeabilización de pared medianera de 12 a 18 m de altura con tabique pluvial de placas grecadas de acero galvanizado, de 0,6
mm de espesor, con nervios cada 14 a 17 cm, inercia entre 11 y 13,5 cm4 y masa superficial entre 6,5 y 7,2 kg/m², acabado prelacado
en color estándar, disposición de las placas en hiladas solapadas, fijadas a la pared medianera sobre rastreles metálicos con tornillos
rosca-chapa; y remate perimetral de plancha galvanizada esmaltada, de varios colores.</t>
  </si>
  <si>
    <t xml:space="preserve">GRC1063</t>
  </si>
  <si>
    <t xml:space="preserve">Material</t>
  </si>
  <si>
    <t xml:space="preserve">m</t>
  </si>
  <si>
    <t xml:space="preserve">Rastrel de chapa galvanizada, para fijación de placas en tabiques pliviales</t>
  </si>
  <si>
    <t xml:space="preserve">GRC1064</t>
  </si>
  <si>
    <t xml:space="preserve">Material</t>
  </si>
  <si>
    <t xml:space="preserve">u</t>
  </si>
  <si>
    <t xml:space="preserve">Tornillo TI (SPTE SFS) 4,3x30 mm.</t>
  </si>
  <si>
    <t xml:space="preserve">GRC106</t>
  </si>
  <si>
    <t xml:space="preserve">Material</t>
  </si>
  <si>
    <t xml:space="preserve">m2</t>
  </si>
  <si>
    <t xml:space="preserve">Placa grecada de acero galvanizado, de 0,6 mm de espesor, con nervios cada 14 a 17 cm</t>
  </si>
  <si>
    <t xml:space="preserve">GRC1061</t>
  </si>
  <si>
    <t xml:space="preserve">Material</t>
  </si>
  <si>
    <t xml:space="preserve">u</t>
  </si>
  <si>
    <t xml:space="preserve">Tornillo rosca-chapa, para fijación de placas sobre rastreles metálicos.</t>
  </si>
  <si>
    <t xml:space="preserve">GRC1062</t>
  </si>
  <si>
    <t xml:space="preserve">Material</t>
  </si>
  <si>
    <t xml:space="preserve">m</t>
  </si>
  <si>
    <t xml:space="preserve">Remate perimetral de plancha galvanizada esmaltada, de varios colores</t>
  </si>
  <si>
    <t xml:space="preserve">m.o.1</t>
  </si>
  <si>
    <t xml:space="preserve">Mano de obra</t>
  </si>
  <si>
    <t xml:space="preserve">h</t>
  </si>
  <si>
    <t xml:space="preserve">Mano de Obra: 1 Oficial de 1ª, 1 Ayudante y 1/2 Ayudante</t>
  </si>
  <si>
    <t xml:space="preserve">AISMEDN01</t>
  </si>
  <si>
    <t xml:space="preserve">AISMED</t>
  </si>
  <si>
    <t xml:space="preserve">AIS001</t>
  </si>
  <si>
    <t xml:space="preserve">Partida</t>
  </si>
  <si>
    <t xml:space="preserve">M2</t>
  </si>
  <si>
    <t xml:space="preserve">MORTERO IMPERMEABILIZACIÓN IMPE FLEX DE 3MM</t>
  </si>
  <si>
    <t xml:space="preserve">MORTERO IMPERMEABILIZACIÓN IMPE FLEX DE 3MM</t>
  </si>
  <si>
    <t xml:space="preserve">ma-lp-00540829</t>
  </si>
  <si>
    <t xml:space="preserve">Material</t>
  </si>
  <si>
    <t xml:space="preserve">saco</t>
  </si>
  <si>
    <t xml:space="preserve">Mortero impermeabilización IMPE FLEX BIGMAT; color gris (15 kg/saco).   Ref. lp-00540829</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</si>
  <si>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</si>
  <si>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</si>
  <si>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</si>
  <si>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</si>
  <si>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</si>
  <si>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</si>
  <si>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</si>
  <si>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</si>
  <si>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</si>
  <si>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</si>
  <si>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</si>
  <si>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</si>
  <si>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</si>
  <si>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</si>
  <si>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</si>
  <si>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</si>
  <si>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</si>
  <si>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</si>
  <si>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</si>
  <si>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</si>
  <si>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</si>
  <si>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</si>
  <si>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</si>
  <si>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</si>
  <si>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AIS001</t>
  </si>
  <si>
    <t xml:space="preserve">AIS002</t>
  </si>
  <si>
    <t xml:space="preserve">Partida</t>
  </si>
  <si>
    <t xml:space="preserve">M2</t>
  </si>
  <si>
    <t xml:space="preserve">MORTERO IMPERMEABILIZACIÓN IMPE FLEX DE 20MM</t>
  </si>
  <si>
    <t xml:space="preserve">MORTERO IMPERMEABILIZACIÓN IMPE FLEX de 20mm es un mortero monocomponente que actúa de recubrimiento flexible impermeabilizante, está formulado a base de cemento, áridos seleccionados, y resinas impermeabilizantes especiales.</t>
  </si>
  <si>
    <t xml:space="preserve">ma-lp-00540829</t>
  </si>
  <si>
    <t xml:space="preserve">Material</t>
  </si>
  <si>
    <t xml:space="preserve">saco</t>
  </si>
  <si>
    <t xml:space="preserve">Mortero impermeabilización IMPE FLEX BIGMAT; color gris (15 kg/saco).   Ref. lp-00540829</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</si>
  <si>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</si>
  <si>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</si>
  <si>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</si>
  <si>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</si>
  <si>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</si>
  <si>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</si>
  <si>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</si>
  <si>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</si>
  <si>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</si>
  <si>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</si>
  <si>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</si>
  <si>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</si>
  <si>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</si>
  <si>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</si>
  <si>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</si>
  <si>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</si>
  <si>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</si>
  <si>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</si>
  <si>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</si>
  <si>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</si>
  <si>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</si>
  <si>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</si>
  <si>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</si>
  <si>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</si>
  <si>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AIS002</t>
  </si>
  <si>
    <t xml:space="preserve">AIS02</t>
  </si>
  <si>
    <t xml:space="preserve">Partida</t>
  </si>
  <si>
    <t xml:space="preserve">M2</t>
  </si>
  <si>
    <t xml:space="preserve">MORTERO IMPERMEABILIZANTE IMPER G</t>
  </si>
  <si>
    <t xml:space="preserve">Mortero impermeabilizante, con una capa de mortero de cemento, tipo Mortero impermeabilizante Imper G, de 20 mm de espesor medio, a buena vista, con acabado liso, aplicado manualmente. El precio no incluye la eliminación del revestimiento existente ni la realización del revestimiento posterior.</t>
  </si>
  <si>
    <t xml:space="preserve">MorImpG</t>
  </si>
  <si>
    <t xml:space="preserve">Material</t>
  </si>
  <si>
    <t xml:space="preserve">kg</t>
  </si>
  <si>
    <t xml:space="preserve">Mortero impermeabilizante Imper G de 25kg</t>
  </si>
  <si>
    <t xml:space="preserve">m.o.1</t>
  </si>
  <si>
    <t xml:space="preserve">Mano de obra</t>
  </si>
  <si>
    <t xml:space="preserve">h</t>
  </si>
  <si>
    <t xml:space="preserve">Mano de Obra: 1 Oficial de 1ª, 1 Ayudante y 1/2 Ayudante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</si>
  <si>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</si>
  <si>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</si>
  <si>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</si>
  <si>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</si>
  <si>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</si>
  <si>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</si>
  <si>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</si>
  <si>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</si>
  <si>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</si>
  <si>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</si>
  <si>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</si>
  <si>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</si>
  <si>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</si>
  <si>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</si>
  <si>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</si>
  <si>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</si>
  <si>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</si>
  <si>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</si>
  <si>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</si>
  <si>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</si>
  <si>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AIS02</t>
  </si>
  <si>
    <t xml:space="preserve">AIS03</t>
  </si>
  <si>
    <t xml:space="preserve">Partida</t>
  </si>
  <si>
    <t xml:space="preserve">M2</t>
  </si>
  <si>
    <t xml:space="preserve">MORTERO IMPERMEABILIZANTE WEBERTEC HYDROMUR</t>
  </si>
  <si>
    <t xml:space="preserve">Impermeabilizacion de muro, con dos capas de mortero monocomponente formulado a base de cemento, aridos seleccionados y resinas impermeabilizantes, Webertec Hydromur, a buena vista, con acabado liso, aplicado manualmente. El precio no incluye la eliminación del revestimiento existente ni la realización del revestimiento posterior.</t>
  </si>
  <si>
    <t xml:space="preserve">moreHy</t>
  </si>
  <si>
    <t xml:space="preserve">Material</t>
  </si>
  <si>
    <t xml:space="preserve">kg</t>
  </si>
  <si>
    <t xml:space="preserve">Mortero Webertec Hydromur "WEBER saco de 25kg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</si>
  <si>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</si>
  <si>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</si>
  <si>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</si>
  <si>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</si>
  <si>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</si>
  <si>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</si>
  <si>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</si>
  <si>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</si>
  <si>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</si>
  <si>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</si>
  <si>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</si>
  <si>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</si>
  <si>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</si>
  <si>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</si>
  <si>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</si>
  <si>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</si>
  <si>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</si>
  <si>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</si>
  <si>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</si>
  <si>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</si>
  <si>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AIS03</t>
  </si>
  <si>
    <t xml:space="preserve">AIS04</t>
  </si>
  <si>
    <t xml:space="preserve">Partida</t>
  </si>
  <si>
    <t xml:space="preserve">M2</t>
  </si>
  <si>
    <t xml:space="preserve">MORTERO IMPERMEABILIZANTE PROPAM IMPE EN MUROS CAPA GRUESA DE 10MM</t>
  </si>
  <si>
    <t xml:space="preserve">Impermeabilizacion de muro, con dos capas de mortero monocomponente formulado a base de cemento, aridos seleccionados y resinas impermeabilizantes, PROPAM IMPE, a buena vista, con acabado liso, aplicado manualmente. El precio no incluye la eliminación del revestimiento existente ni la realización del revestimiento posterior.</t>
  </si>
  <si>
    <t xml:space="preserve">00540832</t>
  </si>
  <si>
    <t xml:space="preserve">Material</t>
  </si>
  <si>
    <t xml:space="preserve">kg</t>
  </si>
  <si>
    <t xml:space="preserve">MORTERO IMPERMEABILIZACIÓN PROPAM CAL SEC BLANCO 25 KG Ref.: 00540832</t>
  </si>
  <si>
    <t xml:space="preserve">m.o.1</t>
  </si>
  <si>
    <t xml:space="preserve">Mano de obra</t>
  </si>
  <si>
    <t xml:space="preserve">h</t>
  </si>
  <si>
    <t xml:space="preserve">Mano de Obra: 1 Oficial de 1ª, 1 Ayudante y 1/2 Ayudante</t>
  </si>
  <si>
    <t xml:space="preserve">AIS04</t>
  </si>
  <si>
    <t xml:space="preserve">AIS05</t>
  </si>
  <si>
    <t xml:space="preserve">Partida</t>
  </si>
  <si>
    <t xml:space="preserve">M2</t>
  </si>
  <si>
    <t xml:space="preserve">MORTERO IMPERMEABILIZANTE PROPAM IMPE EN PAVIMENTOS CAPA DE 3MM</t>
  </si>
  <si>
    <t xml:space="preserve">MORTERO IMPERMEABILIZANTE PROPAM IMPE EN PAVIMENTOS CAPA DE 3MM</t>
  </si>
  <si>
    <t xml:space="preserve">00540828</t>
  </si>
  <si>
    <t xml:space="preserve">Material</t>
  </si>
  <si>
    <t xml:space="preserve">kg</t>
  </si>
  <si>
    <t xml:space="preserve">MORTERO IMPERMEABILIZACIÓN PROPAM IMPE GRIS 25 KG Ref.: 00540828</t>
  </si>
  <si>
    <t xml:space="preserve">m.o.1</t>
  </si>
  <si>
    <t xml:space="preserve">Mano de obra</t>
  </si>
  <si>
    <t xml:space="preserve">h</t>
  </si>
  <si>
    <t xml:space="preserve">Mano de Obra: 1 Oficial de 1ª, 1 Ayudante y 1/2 Ayudante</t>
  </si>
  <si>
    <t xml:space="preserve">AIS05</t>
  </si>
  <si>
    <t xml:space="preserve">AIS07</t>
  </si>
  <si>
    <t xml:space="preserve">Partida</t>
  </si>
  <si>
    <t xml:space="preserve">M2</t>
  </si>
  <si>
    <t xml:space="preserve">MORTERO IMPERMEABILIZANTE DANOCRET PROTECT FLEX 2C</t>
  </si>
  <si>
    <t xml:space="preserve">Impermeabilización con DANOCRET Protect Flex 2C con malla de fibra de vidrio antiálcalis, formado por dos capas de membrana cementosa PCC flexible e impermeable bicomponente para la protección superficial e impermeabilización del hormigón y el mortero. Formulado a base de conglomerantes hidráulicos, áridos seleccionados y polímeros que le proporcionan una excelente elasticidad, adherencia y capacidad impermeabilizante. El precio no incluye el revestimiento.</t>
  </si>
  <si>
    <t xml:space="preserve">danocret</t>
  </si>
  <si>
    <t xml:space="preserve">Material</t>
  </si>
  <si>
    <t xml:space="preserve">kg</t>
  </si>
  <si>
    <t xml:space="preserve">Danocret Protect Flex 500 Gris 15 kg</t>
  </si>
  <si>
    <t xml:space="preserve">00001705</t>
  </si>
  <si>
    <t xml:space="preserve">Material</t>
  </si>
  <si>
    <t xml:space="preserve">m2</t>
  </si>
  <si>
    <t xml:space="preserve">MALLA AZUL ESPECIAL MORTERO 50 M Ref.: 00001705</t>
  </si>
  <si>
    <t xml:space="preserve">m.o.1</t>
  </si>
  <si>
    <t xml:space="preserve">Mano de obra</t>
  </si>
  <si>
    <t xml:space="preserve">h</t>
  </si>
  <si>
    <t xml:space="preserve">Mano de Obra: 1 Oficial de 1ª, 1 Ayudante y 1/2 Ayudante</t>
  </si>
  <si>
    <t xml:space="preserve">AIS07</t>
  </si>
  <si>
    <t xml:space="preserve">PINT032</t>
  </si>
  <si>
    <t xml:space="preserve">Partida</t>
  </si>
  <si>
    <t xml:space="preserve">M2</t>
  </si>
  <si>
    <t xml:space="preserve">o HIDROFUGANTE Y ANTI-GRAFITI SIKAGARD 790</t>
  </si>
  <si>
    <t xml:space="preserve">Impregnación diseñada para la protección de todo tipo de soportes porosos minerales contra la penetración de líquidos en base agua y aceites, y para prevenir o reducir significativamente la tendencia a la aparición de manchas</t>
  </si>
  <si>
    <t xml:space="preserve">ma-obramat-25028586</t>
  </si>
  <si>
    <t xml:space="preserve">Material</t>
  </si>
  <si>
    <t xml:space="preserve">u</t>
  </si>
  <si>
    <t xml:space="preserve">IMPREGNACION SIKAGARD 790 de 5L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</si>
  <si>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</si>
  <si>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</si>
  <si>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</si>
  <si>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</si>
  <si>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</si>
  <si>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</si>
  <si>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</si>
  <si>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</si>
  <si>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</si>
  <si>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</si>
  <si>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</si>
  <si>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</si>
  <si>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</si>
  <si>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</si>
  <si>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</si>
  <si>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</si>
  <si>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</si>
  <si>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</si>
  <si>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</si>
  <si>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</si>
  <si>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PINT032</t>
  </si>
  <si>
    <t xml:space="preserve">AIS11</t>
  </si>
  <si>
    <t xml:space="preserve">Partida</t>
  </si>
  <si>
    <t xml:space="preserve">M2</t>
  </si>
  <si>
    <t xml:space="preserve">MORTERO IMPERMEABILIZACIÓN IMPE FLEX DE 2MM</t>
  </si>
  <si>
    <t xml:space="preserve">Impermeabilización bajo revestimiento cerámico o petreo, en paramentos verticales y horizontales de locales húmedos, con MORTERO IMPERMEABILIZACIÓN IMPE FLEX es un mortero monocomponente que actúa de recubrimiento flexible impermeabilizante, está formulado a base de cemento, áridos seleccionados, y resinas impermeabilizantes especiales. Aplicacion de 2 manos correspondientes a 4kg/m2.</t>
  </si>
  <si>
    <t xml:space="preserve">00540829</t>
  </si>
  <si>
    <t xml:space="preserve">Material</t>
  </si>
  <si>
    <t xml:space="preserve">kg</t>
  </si>
  <si>
    <t xml:space="preserve">MORTERO IMPERMEABILIZACIÓN BIGMAT IMPE FLEX GRIS 15 KG Ref.: 00540829</t>
  </si>
  <si>
    <t xml:space="preserve">00001705</t>
  </si>
  <si>
    <t xml:space="preserve">Material</t>
  </si>
  <si>
    <t xml:space="preserve">m2</t>
  </si>
  <si>
    <t xml:space="preserve">MALLA AZUL ESPECIAL MORTERO 50 M Ref.: 00001705</t>
  </si>
  <si>
    <t xml:space="preserve">m.o.1</t>
  </si>
  <si>
    <t xml:space="preserve">Mano de obra</t>
  </si>
  <si>
    <t xml:space="preserve">h</t>
  </si>
  <si>
    <t xml:space="preserve">Mano de Obra: 1 Oficial de 1ª, 1 Ayudante y 1/2 Ayudante</t>
  </si>
  <si>
    <t xml:space="preserve">AIS11</t>
  </si>
  <si>
    <t xml:space="preserve">AIS12</t>
  </si>
  <si>
    <t xml:space="preserve">Partida</t>
  </si>
  <si>
    <t xml:space="preserve">M2</t>
  </si>
  <si>
    <t xml:space="preserve">MORTERO IMPERMEABILIZANTE SIKA TOP SEAL 107</t>
  </si>
  <si>
    <t xml:space="preserve">Reparación de impermeabilización, SikaTop® Seal-107 es un mortero impermeabilizante de dos componentes, a base de una mezcla de cemento que incorpora aditivos especiales y polímeros modifi cados, aplicado con brocha en dos o más capas sobre el soporte humedecido, hasta conseguir un espesor mínimo total de 2 mm.</t>
  </si>
  <si>
    <t xml:space="preserve">SIKASEAL107</t>
  </si>
  <si>
    <t xml:space="preserve">Material</t>
  </si>
  <si>
    <t xml:space="preserve">kg</t>
  </si>
  <si>
    <t xml:space="preserve">Mortero impermeabilizante SikaTop Seal 107 Lote 25 Kg</t>
  </si>
  <si>
    <t xml:space="preserve">ma-om-10519845</t>
  </si>
  <si>
    <t xml:space="preserve">Material</t>
  </si>
  <si>
    <t xml:space="preserve">rollo</t>
  </si>
  <si>
    <t xml:space="preserve">Malla de refuerzo de fibra de vidrio ARMATOP 100 de SIKA (1x50 m/rollo; 175 gr/m2).   Ref. om-10519845</t>
  </si>
  <si>
    <t xml:space="preserve">m.o.1</t>
  </si>
  <si>
    <t xml:space="preserve">Mano de obra</t>
  </si>
  <si>
    <t xml:space="preserve">h</t>
  </si>
  <si>
    <t xml:space="preserve">Mano de Obra: 1 Oficial de 1ª, 1 Ayudante y 1/2 Ayudante</t>
  </si>
  <si>
    <t xml:space="preserve">AIS12</t>
  </si>
  <si>
    <t xml:space="preserve">AIS13-oki</t>
  </si>
  <si>
    <t xml:space="preserve">Partida</t>
  </si>
  <si>
    <t xml:space="preserve">ML</t>
  </si>
  <si>
    <t xml:space="preserve">TRATAMIENTO DE HUMEDADES POR CAPILARIDAD EN MUROS MEDIANTE INYECCIONES</t>
  </si>
  <si>
    <t xml:space="preserve">Tratamiento con barrera antihumedad basada en silosanos para tratamiento de humedades por capilaridad en muros de mampostería o de fábrica a una cara, con producto SikaMur® InjectoCream-100 o similar, sustancia repelente al agua, con perforaciones mediante taladros, y con una separación indicada en ficha tecnica del producto aplicado. El precio no incluye la eliminación del revestimiento existente ni la realización del revestimiento posterior.</t>
  </si>
  <si>
    <t xml:space="preserve">WHYDROMUR</t>
  </si>
  <si>
    <t xml:space="preserve">Material</t>
  </si>
  <si>
    <t xml:space="preserve">kg</t>
  </si>
  <si>
    <t xml:space="preserve">REVAT CAL PROPAMSA</t>
  </si>
  <si>
    <t xml:space="preserve">sikamur600</t>
  </si>
  <si>
    <t xml:space="preserve">Material</t>
  </si>
  <si>
    <t xml:space="preserve">u</t>
  </si>
  <si>
    <t xml:space="preserve">BARRERA ANTIHUMEDAD SIKAMUR INJECTOCREAM-100 600 CM</t>
  </si>
  <si>
    <t xml:space="preserve">pistsika</t>
  </si>
  <si>
    <t xml:space="preserve">Material</t>
  </si>
  <si>
    <t xml:space="preserve">u</t>
  </si>
  <si>
    <t xml:space="preserve">PISTOLA TUBULAR PARA MASILLAS 600ML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</si>
  <si>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</si>
  <si>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</si>
  <si>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</si>
  <si>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</si>
  <si>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</si>
  <si>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</si>
  <si>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</si>
  <si>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</si>
  <si>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</si>
  <si>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</si>
  <si>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</si>
  <si>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</si>
  <si>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</si>
  <si>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</si>
  <si>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</si>
  <si>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</si>
  <si>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</si>
  <si>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AIS13-oki</t>
  </si>
  <si>
    <t xml:space="preserve">AIS14.1</t>
  </si>
  <si>
    <t xml:space="preserve">Partida</t>
  </si>
  <si>
    <t xml:space="preserve">M2</t>
  </si>
  <si>
    <t xml:space="preserve">HIDROFUGADO TRANSPARENTE PARA FACHADAS</t>
  </si>
  <si>
    <t xml:space="preserve">Tratamiento superficial de protección hidrófuga para fachadas de piedra natural, mediante impregnación hidrófuga incolora, Antipluviol
W "MAPEI SPAIN", aplicada en manos sucesivas hasta la saturación del elemento (rendimiento: 0,75 kg/m²).</t>
  </si>
  <si>
    <t xml:space="preserve">00540897</t>
  </si>
  <si>
    <t xml:space="preserve">Material</t>
  </si>
  <si>
    <t xml:space="preserve">kg</t>
  </si>
  <si>
    <t xml:space="preserve">ANTIPLUVIOL W GARRAFA 10 KG. HIDRORREPELENTE SILICÓNICO Ref.: 00540897</t>
  </si>
  <si>
    <t xml:space="preserve">m.o.1</t>
  </si>
  <si>
    <t xml:space="preserve">Mano de obra</t>
  </si>
  <si>
    <t xml:space="preserve">h</t>
  </si>
  <si>
    <t xml:space="preserve">Mano de Obra: 1 Oficial de 1ª, 1 Ayudante y 1/2 Ayudante</t>
  </si>
  <si>
    <t xml:space="preserve">AIS14.1</t>
  </si>
  <si>
    <t xml:space="preserve">AIS17-MNR-01</t>
  </si>
  <si>
    <t xml:space="preserve">Partida</t>
  </si>
  <si>
    <t xml:space="preserve">m2</t>
  </si>
  <si>
    <t xml:space="preserve">XXXXXX REVESTIMIENTO CON IMPERMEABILIZANTE FIBRA LIQUIDO DE POLIURETANO</t>
  </si>
  <si>
    <t xml:space="preserve">REVESTIMIENTO CON IMPERMEABILIZANTE FIBRA LIQUIDO DE POLIURETANO</t>
  </si>
  <si>
    <t xml:space="preserve">ma-lp-00001704</t>
  </si>
  <si>
    <t xml:space="preserve">Material</t>
  </si>
  <si>
    <t xml:space="preserve">rollo</t>
  </si>
  <si>
    <t xml:space="preserve">Malla de fibra de vidrio blanca para refuerzo de impermeabilización (rollo 50x1 m)   Ref. lp-00001704</t>
  </si>
  <si>
    <t xml:space="preserve">ma-lp-00571314</t>
  </si>
  <si>
    <t xml:space="preserve">Material</t>
  </si>
  <si>
    <t xml:space="preserve">bidón</t>
  </si>
  <si>
    <t xml:space="preserve">Impermeabilizante fibrado con poliuretano de BIGMAT; color teja (15 litros/bidón).   Ref. lp-00571314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</si>
  <si>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</si>
  <si>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</si>
  <si>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</si>
  <si>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</si>
  <si>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</si>
  <si>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</si>
  <si>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</si>
  <si>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</si>
  <si>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</si>
  <si>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</si>
  <si>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</si>
  <si>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</si>
  <si>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</si>
  <si>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</si>
  <si>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</si>
  <si>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</si>
  <si>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</si>
  <si>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</si>
  <si>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</si>
  <si>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</si>
  <si>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AIS17-MNR-01</t>
  </si>
  <si>
    <t xml:space="preserve">AIS14.2</t>
  </si>
  <si>
    <t xml:space="preserve">Partida</t>
  </si>
  <si>
    <t xml:space="preserve">M2</t>
  </si>
  <si>
    <t xml:space="preserve">IMPREGNACION HIDROFUGA</t>
  </si>
  <si>
    <t xml:space="preserve">Aplicación manual de una mano de impregnación hidrófuga incolora, para la protección del hormigón o mortero frente a la humedad, la intemperie y las heladas.</t>
  </si>
  <si>
    <t xml:space="preserve">ma-lp-00394158</t>
  </si>
  <si>
    <t xml:space="preserve">Material</t>
  </si>
  <si>
    <t xml:space="preserve">envase</t>
  </si>
  <si>
    <t xml:space="preserve">Protector hidrofugado antisalitre HYDROREP ECO de FILA (5 litros/envase).   Ref. lp-00394158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</si>
  <si>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</si>
  <si>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</si>
  <si>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</si>
  <si>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</si>
  <si>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</si>
  <si>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</si>
  <si>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</si>
  <si>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</si>
  <si>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</si>
  <si>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</si>
  <si>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</si>
  <si>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</si>
  <si>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</si>
  <si>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</si>
  <si>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</si>
  <si>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</si>
  <si>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</si>
  <si>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AIS14.2</t>
  </si>
  <si>
    <t xml:space="preserve">AIS20-MNR-01-V-AT</t>
  </si>
  <si>
    <t xml:space="preserve">Partida</t>
  </si>
  <si>
    <t xml:space="preserve">m2</t>
  </si>
  <si>
    <t xml:space="preserve">MORTERO IMPERMEABILIZANTE FLEXIBLE BICOMPONENTE SIKATOP-209 ES; MEDIANTE USO DE ANDAMIO TUBULAR</t>
  </si>
  <si>
    <t xml:space="preserve">MORTERO IMPERMEABILIZANTE FLEXIBLE BICOMPONENTE SIKATOP-209 ES; MEDIANTE USO DE ANDAMIO TUBULAR</t>
  </si>
  <si>
    <t xml:space="preserve">ma-manau-49189-sikatop209es</t>
  </si>
  <si>
    <t xml:space="preserve">Material</t>
  </si>
  <si>
    <t xml:space="preserve">lote</t>
  </si>
  <si>
    <t xml:space="preserve">Mortero bicomponente de impermeabilización flexible SIKATOP-209 ES de SIKA (32 kg/lote A+B).   Ref. manau-49189</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</si>
  <si>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</si>
  <si>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</si>
  <si>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</si>
  <si>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</si>
  <si>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</si>
  <si>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</si>
  <si>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</si>
  <si>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</si>
  <si>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</si>
  <si>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</si>
  <si>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</si>
  <si>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</si>
  <si>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</si>
  <si>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</si>
  <si>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</si>
  <si>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</si>
  <si>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</si>
  <si>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</si>
  <si>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</si>
  <si>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</si>
  <si>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</si>
  <si>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</si>
  <si>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</si>
  <si>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</si>
  <si>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AIS20-MNR-01-V-AT</t>
  </si>
  <si>
    <t xml:space="preserve">AIS20-MNR-01-V-MS</t>
  </si>
  <si>
    <t xml:space="preserve">Partida</t>
  </si>
  <si>
    <t xml:space="preserve">m2</t>
  </si>
  <si>
    <t xml:space="preserve">MORTERO IMPERMEABILIZANTE FLEXIBLE BICOMPONENTE SIKATOP-209 ES; MEDIANTE USO DE MEDIO SUSPENDIDO/COLGADO</t>
  </si>
  <si>
    <t xml:space="preserve">MORTERO IMPERMEABILIZANTE FLEXIBLE BICOMPONENTE SIKATOP-209 ES; MEDIANTE USO DE MEDIO SUSPENDIDO/COLGADO</t>
  </si>
  <si>
    <t xml:space="preserve">ma-manau-49189-sikatop209es</t>
  </si>
  <si>
    <t xml:space="preserve">Material</t>
  </si>
  <si>
    <t xml:space="preserve">lote</t>
  </si>
  <si>
    <t xml:space="preserve">Mortero bicomponente de impermeabilización flexible SIKATOP-209 ES de SIKA (32 kg/lote A+B).   Ref. manau-49189</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</si>
  <si>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</si>
  <si>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</si>
  <si>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</si>
  <si>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</si>
  <si>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</si>
  <si>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</si>
  <si>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</si>
  <si>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</si>
  <si>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</si>
  <si>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</si>
  <si>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</si>
  <si>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</si>
  <si>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</si>
  <si>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</si>
  <si>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</si>
  <si>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</si>
  <si>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</si>
  <si>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</si>
  <si>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</si>
  <si>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</si>
  <si>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</si>
  <si>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</si>
  <si>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</si>
  <si>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</si>
  <si>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AIS20-MNR-01-V-MS</t>
  </si>
  <si>
    <t xml:space="preserve">AIS21</t>
  </si>
  <si>
    <t xml:space="preserve">Partida</t>
  </si>
  <si>
    <t xml:space="preserve">M2</t>
  </si>
  <si>
    <t xml:space="preserve">IMPERMEABILIZACION DE BALCON CON MORTERO INFINITY</t>
  </si>
  <si>
    <t xml:space="preserve">Impermeabilització de terres de balcons amb morter Infinity en pols a base de resines i additius especials per a capes de regularització de paviments, impermeable i d'alta resistència. Marcat CE conforme a la norma europea UNI EN 998G1. Acabat rugós per complir amb el C3 de la DB-SUA.</t>
  </si>
  <si>
    <t xml:space="preserve">ma-pp-infin-fix</t>
  </si>
  <si>
    <t xml:space="preserve">Material</t>
  </si>
  <si>
    <t xml:space="preserve">u</t>
  </si>
  <si>
    <t xml:space="preserve">INFINITY FIX 5KG</t>
  </si>
  <si>
    <t xml:space="preserve">ma-pp-micro-blnc</t>
  </si>
  <si>
    <t xml:space="preserve">Material</t>
  </si>
  <si>
    <t xml:space="preserve">u</t>
  </si>
  <si>
    <t xml:space="preserve">INFINITY MICROCEMENTO MD.1C. BLANCO 20KG</t>
  </si>
  <si>
    <t xml:space="preserve">ma-pp-infin-fiber</t>
  </si>
  <si>
    <t xml:space="preserve">Material</t>
  </si>
  <si>
    <t xml:space="preserve">u</t>
  </si>
  <si>
    <t xml:space="preserve">INFINITY FIBER (Fibras P/20KG) 120GR</t>
  </si>
  <si>
    <t xml:space="preserve">ma-pp-infin-micro-blnc</t>
  </si>
  <si>
    <t xml:space="preserve">Material</t>
  </si>
  <si>
    <t xml:space="preserve">u</t>
  </si>
  <si>
    <t xml:space="preserve">INFINITY MICROCEMENTO MD.1C. BLANCO 20KG</t>
  </si>
  <si>
    <t xml:space="preserve">ma-pp-incin-sealer</t>
  </si>
  <si>
    <t xml:space="preserve">Material</t>
  </si>
  <si>
    <t xml:space="preserve">u</t>
  </si>
  <si>
    <t xml:space="preserve">INFINITY SEALER 0.75L</t>
  </si>
  <si>
    <t xml:space="preserve">ma-pp-infin-finish</t>
  </si>
  <si>
    <t xml:space="preserve">Material</t>
  </si>
  <si>
    <t xml:space="preserve">u</t>
  </si>
  <si>
    <t xml:space="preserve">INFINITY FINISH 2C. MATE 3,25L</t>
  </si>
  <si>
    <t xml:space="preserve">ma-om-10519845</t>
  </si>
  <si>
    <t xml:space="preserve">Material</t>
  </si>
  <si>
    <t xml:space="preserve">rollo</t>
  </si>
  <si>
    <t xml:space="preserve">Malla de refuerzo de fibra de vidrio ARMATOP 100 de SIKA (1x50 m/rollo; 175 gr/m2).   Ref. om-10519845</t>
  </si>
  <si>
    <t xml:space="preserve">m.o.1</t>
  </si>
  <si>
    <t xml:space="preserve">Mano de obra</t>
  </si>
  <si>
    <t xml:space="preserve">h</t>
  </si>
  <si>
    <t xml:space="preserve">Mano de Obra: 1 Oficial de 1ª, 1 Ayudante y 1/2 Ayudante</t>
  </si>
  <si>
    <t xml:space="preserve">AIS21</t>
  </si>
  <si>
    <t xml:space="preserve">PINT029</t>
  </si>
  <si>
    <t xml:space="preserve">Partida</t>
  </si>
  <si>
    <t xml:space="preserve">M2</t>
  </si>
  <si>
    <t xml:space="preserve">o HIDROFUGANTE SIKAGARD 703W</t>
  </si>
  <si>
    <t xml:space="preserve">Hidrofugante Sikagard 703 W es una emulsión, lista para su uso, a base de silanos y siloxanos, que actúa como hidrofugante. Usos Se utiliza como impregnación para hidrofugar fachadas y proteger la edificiación frente a la penetración de agua. Se puede aplicar sobre hormigón, mortero, mampostería, ladrillo, piedra natural, fi brocemento, etc.</t>
  </si>
  <si>
    <t xml:space="preserve">ma-s.lucia-sikagard703w</t>
  </si>
  <si>
    <t xml:space="preserve">Material</t>
  </si>
  <si>
    <t xml:space="preserve">ud</t>
  </si>
  <si>
    <t xml:space="preserve">Hidrofugo SIKAGARD 703W 5L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</si>
  <si>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</si>
  <si>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</si>
  <si>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</si>
  <si>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</si>
  <si>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</si>
  <si>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</si>
  <si>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</si>
  <si>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</si>
  <si>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</si>
  <si>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</si>
  <si>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</si>
  <si>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</si>
  <si>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</si>
  <si>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</si>
  <si>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</si>
  <si>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</si>
  <si>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</si>
  <si>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</si>
  <si>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</si>
  <si>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</si>
  <si>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PINT029</t>
  </si>
  <si>
    <t xml:space="preserve">CUB21-OK</t>
  </si>
  <si>
    <t xml:space="preserve">Partida</t>
  </si>
  <si>
    <t xml:space="preserve">M2</t>
  </si>
  <si>
    <t xml:space="preserve">MORTERO IMPERMEABILIZANTE</t>
  </si>
  <si>
    <t xml:space="preserve">Impermeabilización de menaje horizontal con mortero impermeabilizante, monocomponente, de base cemento y resinas sintéticas, tipo Sika Monotop 107 Seal, de 2 mm de espesor aplicado en dos o tres capas (4kg/m2), previo repicado, limpieza y cepillado del antiguo revestimiento y con acabado fratasado.</t>
  </si>
  <si>
    <t xml:space="preserve">ma-bauhaus-sikatopseal107</t>
  </si>
  <si>
    <t xml:space="preserve">Material</t>
  </si>
  <si>
    <t xml:space="preserve">saco</t>
  </si>
  <si>
    <t xml:space="preserve">Mortero de impermeabilización SIKATOP SEAL-107 de SIKA (25 kg/saco).   Ref. bauhaus-sikatopseal107</t>
  </si>
  <si>
    <t xml:space="preserve">ma-om-10519845</t>
  </si>
  <si>
    <t xml:space="preserve">Material</t>
  </si>
  <si>
    <t xml:space="preserve">rollo</t>
  </si>
  <si>
    <t xml:space="preserve">Malla de refuerzo de fibra de vidrio ARMATOP 100 de SIKA (1x50 m/rollo; 175 gr/m2).   Ref. om-10519845</t>
  </si>
  <si>
    <t xml:space="preserve">m.o.1</t>
  </si>
  <si>
    <t xml:space="preserve">Mano de obra</t>
  </si>
  <si>
    <t xml:space="preserve">h</t>
  </si>
  <si>
    <t xml:space="preserve">Mano de Obra: 1 Oficial de 1ª, 1 Ayudante y 1/2 Ayudante</t>
  </si>
  <si>
    <t xml:space="preserve">CUB21-OK</t>
  </si>
  <si>
    <t xml:space="preserve">CUBIMP02-MNR-02</t>
  </si>
  <si>
    <t xml:space="preserve">Partida</t>
  </si>
  <si>
    <t xml:space="preserve">m2</t>
  </si>
  <si>
    <t xml:space="preserve">IMPERMEABILIZACIÓN CON MORTERO HIDRÁULICO FLEXIBLE "IMPE FLEX" DE PROPAMSA</t>
  </si>
  <si>
    <t xml:space="preserve">Impermeabilización con mortero hidráulico flexible "IMPE FLEX" de PROPAMSA</t>
  </si>
  <si>
    <t xml:space="preserve">ma-lp-00540829</t>
  </si>
  <si>
    <t xml:space="preserve">Material</t>
  </si>
  <si>
    <t xml:space="preserve">saco</t>
  </si>
  <si>
    <t xml:space="preserve">Mortero impermeabilización IMPE FLEX BIGMAT; color gris (15 kg/saco).   Ref. lp-00540829</t>
  </si>
  <si>
    <t xml:space="preserve">ma-lp-00388436</t>
  </si>
  <si>
    <t xml:space="preserve">Material</t>
  </si>
  <si>
    <t xml:space="preserve">rollo</t>
  </si>
  <si>
    <t xml:space="preserve">Malla impermeabilizante GEOTEXTIL A-154 de JIMTEN (5x1,5 m/rollo).   Ref. lp-00388436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</si>
  <si>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</si>
  <si>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</si>
  <si>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</si>
  <si>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</si>
  <si>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</si>
  <si>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</si>
  <si>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</si>
  <si>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</si>
  <si>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</si>
  <si>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</si>
  <si>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</si>
  <si>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</si>
  <si>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</si>
  <si>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</si>
  <si>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</si>
  <si>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</si>
  <si>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</si>
  <si>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</si>
  <si>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</si>
  <si>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</si>
  <si>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CUBIMP02-MNR-02</t>
  </si>
  <si>
    <t xml:space="preserve">CUBIMP02-MNR-03</t>
  </si>
  <si>
    <t xml:space="preserve">Partida</t>
  </si>
  <si>
    <t xml:space="preserve">m2</t>
  </si>
  <si>
    <t xml:space="preserve">IMPERMEABILIZACIÓN CON PRODUCTO MINERAL EN CAPA FINA "WEBERDRY IMPER F" de WEBER</t>
  </si>
  <si>
    <t xml:space="preserve">Impermeabilización con producto mineral en capa fina "WEBERDRY IMPER F" de WEBER</t>
  </si>
  <si>
    <t xml:space="preserve">ma-prolisur-08</t>
  </si>
  <si>
    <t xml:space="preserve">Material</t>
  </si>
  <si>
    <t xml:space="preserve">saco</t>
  </si>
  <si>
    <t xml:space="preserve">Impermeabilizante mineral en capa fina WEBERDRY IMPER F de WEBER (25 kg/saco).   Ref. prolisur-08</t>
  </si>
  <si>
    <t xml:space="preserve">ma-lp-00388436</t>
  </si>
  <si>
    <t xml:space="preserve">Material</t>
  </si>
  <si>
    <t xml:space="preserve">rollo</t>
  </si>
  <si>
    <t xml:space="preserve">Malla impermeabilizante GEOTEXTIL A-154 de JIMTEN (5x1,5 m/rollo).   Ref. lp-00388436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</si>
  <si>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</si>
  <si>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</si>
  <si>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</si>
  <si>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</si>
  <si>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</si>
  <si>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</si>
  <si>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</si>
  <si>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</si>
  <si>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</si>
  <si>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</si>
  <si>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</si>
  <si>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</si>
  <si>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</si>
  <si>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</si>
  <si>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</si>
  <si>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</si>
  <si>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</si>
  <si>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</si>
  <si>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</si>
  <si>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</si>
  <si>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CUBIMP02-MNR-03</t>
  </si>
  <si>
    <t xml:space="preserve">AIS</t>
  </si>
  <si>
    <t xml:space="preserve">CUB</t>
  </si>
  <si>
    <t xml:space="preserve">Capítulo</t>
  </si>
  <si>
    <t xml:space="preserve">o CUBIERTAS</t>
  </si>
  <si>
    <t xml:space="preserve">CUB001</t>
  </si>
  <si>
    <t xml:space="preserve">Partida</t>
  </si>
  <si>
    <t xml:space="preserve">M2</t>
  </si>
  <si>
    <t xml:space="preserve">o EXTRACCION DE PAVIMENTO E IMPERMEABILIZACION EXISTENTE</t>
  </si>
  <si>
    <t xml:space="preserve">Extracción de sistema de impermeabilización existente consistente en la retirada del pavimento de rasilla colocada con mortero de cemento, retirada de lámina impermeabilizante existente hasta alcanzar la base consolidada o pendientes sin dañar la estructura soporte, todo ello realizado con medios manuales.</t>
  </si>
  <si>
    <t xml:space="preserve">alq-martillo-mym-16kg</t>
  </si>
  <si>
    <t xml:space="preserve">Maquinaria</t>
  </si>
  <si>
    <t xml:space="preserve">h</t>
  </si>
  <si>
    <t xml:space="preserve">Alquiler de Martillo Eléctrico Picador-Demoledor 16 kg.   Ref. MÁQUINAS Y MÁQUINAS</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</si>
  <si>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</si>
  <si>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</si>
  <si>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</si>
  <si>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</si>
  <si>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</si>
  <si>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</si>
  <si>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</si>
  <si>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</si>
  <si>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</si>
  <si>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</si>
  <si>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</si>
  <si>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</si>
  <si>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</si>
  <si>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</si>
  <si>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</si>
  <si>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</si>
  <si>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</si>
  <si>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</si>
  <si>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</si>
  <si>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</si>
  <si>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</si>
  <si>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</si>
  <si>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</si>
  <si>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</si>
  <si>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CUB001</t>
  </si>
  <si>
    <t xml:space="preserve">CUB002</t>
  </si>
  <si>
    <t xml:space="preserve">Partida</t>
  </si>
  <si>
    <t xml:space="preserve">ML</t>
  </si>
  <si>
    <t xml:space="preserve">o REGATA EN EL PERIMETRO BAJO DEL MURO</t>
  </si>
  <si>
    <t xml:space="preserve">Apertura de regatas perimetrales en paramento vertical a una altura aproximada de 15cm para poder empotrar la lámina impermeabilizante.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</si>
  <si>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</si>
  <si>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</si>
  <si>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</si>
  <si>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</si>
  <si>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</si>
  <si>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</si>
  <si>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</si>
  <si>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</si>
  <si>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</si>
  <si>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</si>
  <si>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</si>
  <si>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</si>
  <si>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</si>
  <si>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</si>
  <si>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</si>
  <si>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</si>
  <si>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</si>
  <si>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</si>
  <si>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</si>
  <si>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</si>
  <si>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CUB002</t>
  </si>
  <si>
    <t xml:space="preserve">CUB003</t>
  </si>
  <si>
    <t xml:space="preserve">Partida</t>
  </si>
  <si>
    <t xml:space="preserve">M</t>
  </si>
  <si>
    <t xml:space="preserve">o FORMACION DE MEDIAS CAÑAS</t>
  </si>
  <si>
    <t xml:space="preserve">Formación de medias cañas con mortero en zonas perimetrales del muro de terraza para asentamiento del la lamina impermeabilizante.</t>
  </si>
  <si>
    <t xml:space="preserve">ma-lp-00001704</t>
  </si>
  <si>
    <t xml:space="preserve">Material</t>
  </si>
  <si>
    <t xml:space="preserve">rollo</t>
  </si>
  <si>
    <t xml:space="preserve">Malla de fibra de vidrio blanca para refuerzo de impermeabilización (rollo 50x1 m)   Ref. lp-00001704</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</si>
  <si>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</si>
  <si>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</si>
  <si>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</si>
  <si>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</si>
  <si>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</si>
  <si>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</si>
  <si>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</si>
  <si>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</si>
  <si>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</si>
  <si>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</si>
  <si>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</si>
  <si>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</si>
  <si>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</si>
  <si>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</si>
  <si>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</si>
  <si>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</si>
  <si>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</si>
  <si>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</si>
  <si>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</si>
  <si>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</si>
  <si>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</si>
  <si>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</si>
  <si>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</si>
  <si>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</si>
  <si>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CUB003</t>
  </si>
  <si>
    <t xml:space="preserve">CUB004</t>
  </si>
  <si>
    <t xml:space="preserve">Partida</t>
  </si>
  <si>
    <t xml:space="preserve">M2</t>
  </si>
  <si>
    <t xml:space="preserve">o RESTITUCION DE PENDIENTES</t>
  </si>
  <si>
    <t xml:space="preserve">Capa de regularización de mortero de cemento de 4 cm de espesor medio para formación de pendientes, para su posterior uso como soporte de la impermeabilización. Incluso replanteo y marcado de los niveles de acabado, colocación de banda de panel rígido de poliestireno expandido de espesor en el perímetro, formación de las juntas de retracción y curado de la superficie.</t>
  </si>
  <si>
    <t xml:space="preserve">COL024</t>
  </si>
  <si>
    <t xml:space="preserve">Partida</t>
  </si>
  <si>
    <t xml:space="preserve">M2</t>
  </si>
  <si>
    <t xml:space="preserve">o CAPA DE MORTERO e= 4 cm; INCLUYE MALLA ZO DE REFUERZO (CUB)</t>
  </si>
  <si>
    <t xml:space="preserve">pnl</t>
  </si>
  <si>
    <t xml:space="preserve">Material</t>
  </si>
  <si>
    <t xml:space="preserve">m2</t>
  </si>
  <si>
    <t xml:space="preserve">Panel rígido de poliestireno expandido de 30mm de espesor</t>
  </si>
  <si>
    <t xml:space="preserve">ma-lp-00001603A</t>
  </si>
  <si>
    <t xml:space="preserve">Material</t>
  </si>
  <si>
    <t xml:space="preserve">saco</t>
  </si>
  <si>
    <t xml:space="preserve">Mortero seco para aplicaciones en albañilería M-7,5 VALSEC; color gris (25 kg/saco)   Ref. lp-00001603</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</si>
  <si>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</si>
  <si>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</si>
  <si>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</si>
  <si>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</si>
  <si>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</si>
  <si>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</si>
  <si>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</si>
  <si>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</si>
  <si>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</si>
  <si>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</si>
  <si>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</si>
  <si>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COL024</t>
  </si>
  <si>
    <t xml:space="preserve">CUB004</t>
  </si>
  <si>
    <t xml:space="preserve">CUB005</t>
  </si>
  <si>
    <t xml:space="preserve">Partida</t>
  </si>
  <si>
    <t xml:space="preserve">M2</t>
  </si>
  <si>
    <t xml:space="preserve">o IMPERMEABILIZACIÓN CON LÁMINA  ASFALTICA APP BIGMAT PLUS FV 40</t>
  </si>
  <si>
    <t xml:space="preserve">Impermeabilización con Lámina para impermeablización cubierta Lámina APP BigMat Plus FV 40 es lámina impermeabilización de betún aditivado de 4 Kg/m2 Armada velo de vidrio. Film fusible en cara inferior y superior, totalmente adherida al soporte con soplete.</t>
  </si>
  <si>
    <t xml:space="preserve">ma-lp-00274122</t>
  </si>
  <si>
    <t xml:space="preserve">Material</t>
  </si>
  <si>
    <t xml:space="preserve">bote</t>
  </si>
  <si>
    <t xml:space="preserve">Primer de impermeabilización, emulsión asfáltica AQUASEAL BIGMAT de SOPREMA; color negro (25 kg/envase).   Ref. lp-00274122</t>
  </si>
  <si>
    <t xml:space="preserve">ma-lp-00269977</t>
  </si>
  <si>
    <t xml:space="preserve">Material</t>
  </si>
  <si>
    <t xml:space="preserve">rollo</t>
  </si>
  <si>
    <t xml:space="preserve">Lámina Impermeabilizante de betún aditivado APP BIGMAT PLUS FV 40 (MOPLY N PLUS FV 4 KG de SOPREMA) con fieltro FV; espesor 3 mm (10x1 m/rollo). Ref. lp-00269977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</si>
  <si>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</si>
  <si>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</si>
  <si>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</si>
  <si>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</si>
  <si>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</si>
  <si>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</si>
  <si>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</si>
  <si>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</si>
  <si>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</si>
  <si>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</si>
  <si>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</si>
  <si>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</si>
  <si>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</si>
  <si>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</si>
  <si>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</si>
  <si>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</si>
  <si>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</si>
  <si>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</si>
  <si>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</si>
  <si>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</si>
  <si>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CUB005</t>
  </si>
  <si>
    <t xml:space="preserve">CUB006</t>
  </si>
  <si>
    <t xml:space="preserve">Partida</t>
  </si>
  <si>
    <t xml:space="preserve">M2</t>
  </si>
  <si>
    <t xml:space="preserve">o GEOTEXTIL</t>
  </si>
  <si>
    <t xml:space="preserve">Geotextil no tejido Geotextil no tejido formado por fibras de poliéster y una masa superficial de 200 g/m². Colocación en obra: con solapes, directamente bajo el aislamiento térmico.</t>
  </si>
  <si>
    <t xml:space="preserve">ma-lp-00179615</t>
  </si>
  <si>
    <t xml:space="preserve">Material</t>
  </si>
  <si>
    <t xml:space="preserve">rollo</t>
  </si>
  <si>
    <t xml:space="preserve">Lámina geotextil de poliéster ROOFTEX V de SOPREMA; 150 gr/m2 (50x1,1 m/rollo).   Ref. lp-00179615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</si>
  <si>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</si>
  <si>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</si>
  <si>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</si>
  <si>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</si>
  <si>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</si>
  <si>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</si>
  <si>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</si>
  <si>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</si>
  <si>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</si>
  <si>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</si>
  <si>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</si>
  <si>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</si>
  <si>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</si>
  <si>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</si>
  <si>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</si>
  <si>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</si>
  <si>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</si>
  <si>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</si>
  <si>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</si>
  <si>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</si>
  <si>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CUB006</t>
  </si>
  <si>
    <t xml:space="preserve">CUB007</t>
  </si>
  <si>
    <t xml:space="preserve">Partida</t>
  </si>
  <si>
    <t xml:space="preserve">M2</t>
  </si>
  <si>
    <t xml:space="preserve">o PAVIMENTO DE RASILLA 14x28</t>
  </si>
  <si>
    <t xml:space="preserve">Suministro y colocación de pavimento de rasilla cerámica natural de 14x28 cm, colocada a punta de paleta con mortero 1:2:10 elaborado en obra, formación de juntas de dilatación cada 5m incluso rejuntado remates y limpieza, sellado de junta de dilatación con resinas de poliuretano. incluye borada.</t>
  </si>
  <si>
    <t xml:space="preserve">ma-lp-00299053</t>
  </si>
  <si>
    <t xml:space="preserve">Material</t>
  </si>
  <si>
    <t xml:space="preserve">pza</t>
  </si>
  <si>
    <t xml:space="preserve">Rasilla lisa de 1ª calidad con un espesor de 1,2 mm. Medidas: 14x28 cm   Ref. lp-00299053</t>
  </si>
  <si>
    <t xml:space="preserve">ma-lp-00540944</t>
  </si>
  <si>
    <t xml:space="preserve">Material</t>
  </si>
  <si>
    <t xml:space="preserve">saco</t>
  </si>
  <si>
    <t xml:space="preserve">Mortero juntas ULTRACOLOR PLUS BIGMAT 2 a 20 mm; color blanco (5 kg/saco).   Ref. lp-00540944</t>
  </si>
  <si>
    <t xml:space="preserve">ma-lp-00540875</t>
  </si>
  <si>
    <t xml:space="preserve">Material</t>
  </si>
  <si>
    <t xml:space="preserve">saco</t>
  </si>
  <si>
    <t xml:space="preserve">Mortero cola PEGOLAND GEL PORCELÁNICO C2TE para colocar cerámica (interior y exterior); color blanco (25 kg/saco).   Ref. lp-00540875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</si>
  <si>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</si>
  <si>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</si>
  <si>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</si>
  <si>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</si>
  <si>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</si>
  <si>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</si>
  <si>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</si>
  <si>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</si>
  <si>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</si>
  <si>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</si>
  <si>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</si>
  <si>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</si>
  <si>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</si>
  <si>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</si>
  <si>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</si>
  <si>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</si>
  <si>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</si>
  <si>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</si>
  <si>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</si>
  <si>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</si>
  <si>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CUB007</t>
  </si>
  <si>
    <t xml:space="preserve">CUB008</t>
  </si>
  <si>
    <t xml:space="preserve">Partida</t>
  </si>
  <si>
    <t xml:space="preserve">M2</t>
  </si>
  <si>
    <t xml:space="preserve">o PAVIMENTO DE BALDOSAS CERAMICAS 25x25</t>
  </si>
  <si>
    <t xml:space="preserve">Pavimento de baldosas cerámicas, de 30x30 cm, 25 €/m², capacidad de absorción de agua, resistencia al deslizamiento, recibidas con mortero de cemento M-5 de 3 cm de espesor y rejuntadas con mortero de juntas cementoso, color blanco, para juntas de hasta 3 mm.</t>
  </si>
  <si>
    <t xml:space="preserve">ma-manau-6622</t>
  </si>
  <si>
    <t xml:space="preserve">Material</t>
  </si>
  <si>
    <t xml:space="preserve">m2</t>
  </si>
  <si>
    <t xml:space="preserve">GC orgaz Base gres 24.6x24.6 -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</si>
  <si>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</si>
  <si>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</si>
  <si>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</si>
  <si>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</si>
  <si>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</si>
  <si>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</si>
  <si>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</si>
  <si>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</si>
  <si>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ma-lp-00532407</t>
  </si>
  <si>
    <t xml:space="preserve">Material</t>
  </si>
  <si>
    <t xml:space="preserve">bolsa</t>
  </si>
  <si>
    <t xml:space="preserve">Cuñas BIGMAT para la nivelación de pavimentos y revestimientos cerámicos (300 pzas/bolsa).   Ref lp-00532407</t>
  </si>
  <si>
    <t xml:space="preserve">ma-lp-00532404</t>
  </si>
  <si>
    <t xml:space="preserve">Material</t>
  </si>
  <si>
    <t xml:space="preserve">bolsa</t>
  </si>
  <si>
    <t xml:space="preserve">Bridas BIGMAT 1,5 mm para nivelación de pavimentos y revestimientos cerámicos (300 pzas/bolsa).   Ref. lp-00532404</t>
  </si>
  <si>
    <t xml:space="preserve">ma-lp-00008997</t>
  </si>
  <si>
    <t xml:space="preserve">Material</t>
  </si>
  <si>
    <t xml:space="preserve">u</t>
  </si>
  <si>
    <t xml:space="preserve">CANTONERA CUADRADA QUADEC ALUMINIO MATE NATURAL DE 2.50x12,5 MM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</si>
  <si>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</si>
  <si>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</si>
  <si>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</si>
  <si>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</si>
  <si>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</si>
  <si>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</si>
  <si>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</si>
  <si>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</si>
  <si>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</si>
  <si>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</si>
  <si>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</si>
  <si>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</si>
  <si>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</si>
  <si>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</si>
  <si>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</si>
  <si>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</si>
  <si>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</si>
  <si>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</si>
  <si>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</si>
  <si>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</si>
  <si>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CUB008</t>
  </si>
  <si>
    <t xml:space="preserve">CUB009</t>
  </si>
  <si>
    <t xml:space="preserve">Partida</t>
  </si>
  <si>
    <t xml:space="preserve">M</t>
  </si>
  <si>
    <t xml:space="preserve">o FORMACION DE MIMBEL RASILLA 14x28</t>
  </si>
  <si>
    <t xml:space="preserve">Suministro y colocación de mimbel de rasilla cerámica natural de 14x28 cm, colocada a punta de paleta con mortero 1:2:10 elaborado en obra. incluye borada.</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</si>
  <si>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</si>
  <si>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</si>
  <si>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</si>
  <si>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</si>
  <si>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ma-lp-00299053</t>
  </si>
  <si>
    <t xml:space="preserve">Material</t>
  </si>
  <si>
    <t xml:space="preserve">pza</t>
  </si>
  <si>
    <t xml:space="preserve">Rasilla lisa de 1ª calidad con un espesor de 1,2 mm. Medidas: 14x28 cm   Ref. lp-00299053</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</si>
  <si>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</si>
  <si>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</si>
  <si>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</si>
  <si>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</si>
  <si>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</si>
  <si>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</si>
  <si>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</si>
  <si>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</si>
  <si>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</si>
  <si>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</si>
  <si>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</si>
  <si>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</si>
  <si>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</si>
  <si>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</si>
  <si>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</si>
  <si>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</si>
  <si>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</si>
  <si>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</si>
  <si>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</si>
  <si>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</si>
  <si>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</si>
  <si>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</si>
  <si>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</si>
  <si>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</si>
  <si>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CUB009</t>
  </si>
  <si>
    <t xml:space="preserve">CUB010</t>
  </si>
  <si>
    <t xml:space="preserve">Partida</t>
  </si>
  <si>
    <t xml:space="preserve">M</t>
  </si>
  <si>
    <t xml:space="preserve">o FORMACION DE MIMBEL BALDOSA CERAMICA 25x25</t>
  </si>
  <si>
    <t xml:space="preserve">ZOCALO CERAMICO</t>
  </si>
  <si>
    <t xml:space="preserve">ma-manau-6622</t>
  </si>
  <si>
    <t xml:space="preserve">Material</t>
  </si>
  <si>
    <t xml:space="preserve">m2</t>
  </si>
  <si>
    <t xml:space="preserve">GC orgaz Base gres 24.6x24.6 -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</si>
  <si>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</si>
  <si>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</si>
  <si>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</si>
  <si>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</si>
  <si>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</si>
  <si>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</si>
  <si>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</si>
  <si>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</si>
  <si>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</si>
  <si>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</si>
  <si>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</si>
  <si>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</si>
  <si>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</si>
  <si>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</si>
  <si>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</si>
  <si>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</si>
  <si>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</si>
  <si>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</si>
  <si>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</si>
  <si>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</si>
  <si>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</si>
  <si>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</si>
  <si>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</si>
  <si>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</si>
  <si>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</si>
  <si>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</si>
  <si>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</si>
  <si>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</si>
  <si>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CUB010</t>
  </si>
  <si>
    <t xml:space="preserve">CUB011</t>
  </si>
  <si>
    <t xml:space="preserve">Partida</t>
  </si>
  <si>
    <t xml:space="preserve">U</t>
  </si>
  <si>
    <t xml:space="preserve">o SUMIDERO</t>
  </si>
  <si>
    <t xml:space="preserve">Suministro y colocacion de un nuevo sumidero de PVC de medidas con cierre sifonico para tubo pvc D-110. Incluye: Cazoleta.</t>
  </si>
  <si>
    <t xml:space="preserve">ma-lp-00001955</t>
  </si>
  <si>
    <t xml:space="preserve">Material</t>
  </si>
  <si>
    <t xml:space="preserve">pza</t>
  </si>
  <si>
    <t xml:space="preserve">Sumidero sifónico CEM de aluminio 20x20 cm con vaso-salida vertical 75 mm.   Ref. lp-00001955</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</si>
  <si>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</si>
  <si>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</si>
  <si>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</si>
  <si>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</si>
  <si>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</si>
  <si>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</si>
  <si>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</si>
  <si>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</si>
  <si>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</si>
  <si>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</si>
  <si>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</si>
  <si>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</si>
  <si>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</si>
  <si>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</si>
  <si>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</si>
  <si>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</si>
  <si>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</si>
  <si>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</si>
  <si>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</si>
  <si>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</si>
  <si>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</si>
  <si>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</si>
  <si>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</si>
  <si>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</si>
  <si>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CUB011</t>
  </si>
  <si>
    <t xml:space="preserve">CUB012</t>
  </si>
  <si>
    <t xml:space="preserve">Partida</t>
  </si>
  <si>
    <t xml:space="preserve">M2</t>
  </si>
  <si>
    <t xml:space="preserve">o RETIRO DE JUNTAS Y REJUNTADO DE PAVIMENTO CERAMICO</t>
  </si>
  <si>
    <t xml:space="preserve">Retiro de juntas y rejuntado de pavimento de baldosas cerámicas, mediante mortero de juntas cementoso mejorado, con absorción de agua reducida, color blanco, para juntas de 2 a 15 mm, previa eliminación del material de juntas existente con medios manuales.</t>
  </si>
  <si>
    <t xml:space="preserve">ma-lp-00540944</t>
  </si>
  <si>
    <t xml:space="preserve">Material</t>
  </si>
  <si>
    <t xml:space="preserve">saco</t>
  </si>
  <si>
    <t xml:space="preserve">Mortero juntas ULTRACOLOR PLUS BIGMAT 2 a 20 mm; color blanco (5 kg/saco).   Ref. lp-00540944</t>
  </si>
  <si>
    <t xml:space="preserve">ma-lp-00394135</t>
  </si>
  <si>
    <t xml:space="preserve">Material</t>
  </si>
  <si>
    <t xml:space="preserve">envase</t>
  </si>
  <si>
    <t xml:space="preserve">Detergente quitacemento DETERDEK de FILA (5 litros/envase).   Ref. lp-00394135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</si>
  <si>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</si>
  <si>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</si>
  <si>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</si>
  <si>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</si>
  <si>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</si>
  <si>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</si>
  <si>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</si>
  <si>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</si>
  <si>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</si>
  <si>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</si>
  <si>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</si>
  <si>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</si>
  <si>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</si>
  <si>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</si>
  <si>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</si>
  <si>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</si>
  <si>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</si>
  <si>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</si>
  <si>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</si>
  <si>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</si>
  <si>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CUB012</t>
  </si>
  <si>
    <t xml:space="preserve">CUB013</t>
  </si>
  <si>
    <t xml:space="preserve">Partida</t>
  </si>
  <si>
    <t xml:space="preserve">M</t>
  </si>
  <si>
    <t xml:space="preserve">o SELLADO DE JUNTA DE DILATACION</t>
  </si>
  <si>
    <t xml:space="preserve">Sellado de junta de dilatación horizontal en forjado, con una anchura media de junta de 10 mm, con panel rígido de lana mineral de 40 mm de espesor como material de relleno, recubierto por la cara superior con una capa de 6 mm de espesor de sellador elástico de silicona con propiedades ignífugas, color gris.</t>
  </si>
  <si>
    <t xml:space="preserve">panelrig</t>
  </si>
  <si>
    <t xml:space="preserve">Material</t>
  </si>
  <si>
    <t xml:space="preserve">m2</t>
  </si>
  <si>
    <t xml:space="preserve">Panel rígido de lana mineral, según UNE-EN 13162, no revestido, de 40mm</t>
  </si>
  <si>
    <t xml:space="preserve">ma-ma-659709</t>
  </si>
  <si>
    <t xml:space="preserve">Material</t>
  </si>
  <si>
    <t xml:space="preserve">u</t>
  </si>
  <si>
    <t xml:space="preserve">Sikaflex- 11 FC marron cartucho 300ml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</si>
  <si>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</si>
  <si>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</si>
  <si>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</si>
  <si>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</si>
  <si>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</si>
  <si>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</si>
  <si>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</si>
  <si>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</si>
  <si>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</si>
  <si>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</si>
  <si>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</si>
  <si>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</si>
  <si>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</si>
  <si>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</si>
  <si>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</si>
  <si>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</si>
  <si>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</si>
  <si>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</si>
  <si>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</si>
  <si>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</si>
  <si>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CUB013</t>
  </si>
  <si>
    <t xml:space="preserve">CUB014</t>
  </si>
  <si>
    <t xml:space="preserve">Partida</t>
  </si>
  <si>
    <t xml:space="preserve">M</t>
  </si>
  <si>
    <t xml:space="preserve">o SELLADO DE JUNTA CON CORDON DE POLIETILENO</t>
  </si>
  <si>
    <t xml:space="preserve">Sellado de junta de dilatación de 15 mm de anchura, en paramento horizontal exterior, con masilla elastómera monocomponente a base de poliuretano, de color blanco, sobre cordón de polietileno expandido de celdas cerradas, de sección circular de 20 mm de diámetro; acabado mediante alisado del material con espátula.</t>
  </si>
  <si>
    <t xml:space="preserve">ma-lp-00540928</t>
  </si>
  <si>
    <t xml:space="preserve">Material</t>
  </si>
  <si>
    <t xml:space="preserve">pza</t>
  </si>
  <si>
    <t xml:space="preserve">Cordón de espuma polietilénica extruida MAPEFOAM de MAPEI (1 m x 25 mm/pza).   Ref. lp-00540928</t>
  </si>
  <si>
    <t xml:space="preserve">ma-ma-659709</t>
  </si>
  <si>
    <t xml:space="preserve">Material</t>
  </si>
  <si>
    <t xml:space="preserve">u</t>
  </si>
  <si>
    <t xml:space="preserve">Sikaflex- 11 FC marron cartucho 300ml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</si>
  <si>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</si>
  <si>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</si>
  <si>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</si>
  <si>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</si>
  <si>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</si>
  <si>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</si>
  <si>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</si>
  <si>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</si>
  <si>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</si>
  <si>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</si>
  <si>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</si>
  <si>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</si>
  <si>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</si>
  <si>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</si>
  <si>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</si>
  <si>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</si>
  <si>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</si>
  <si>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</si>
  <si>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</si>
  <si>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</si>
  <si>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CUB014</t>
  </si>
  <si>
    <t xml:space="preserve">CUB014TV</t>
  </si>
  <si>
    <t xml:space="preserve">Partida</t>
  </si>
  <si>
    <t xml:space="preserve">M</t>
  </si>
  <si>
    <t xml:space="preserve">o SELLADO DE JUNTA CON CORDON DE POLIETILENO C/TRABAJOS VERTICALES ( PT / CB )</t>
  </si>
  <si>
    <t xml:space="preserve">Sellado de junta de dilatación de 15 mm de anchura CON TRABAJOS VERTICALES, en paramento horizontal exterior, con masilla elastómera monocomponente a base de poliuretano, de color blanco, sobre cordón de polietileno expandido de celdas cerradas, de sección circular de 20 mm de diámetro; acabado mediante alisado del material con espátula.</t>
  </si>
  <si>
    <t xml:space="preserve">ma-ma-659709</t>
  </si>
  <si>
    <t xml:space="preserve">Material</t>
  </si>
  <si>
    <t xml:space="preserve">u</t>
  </si>
  <si>
    <t xml:space="preserve">Sikaflex- 11 FC marron cartucho 300ml</t>
  </si>
  <si>
    <t xml:space="preserve">ma-lp-00540928</t>
  </si>
  <si>
    <t xml:space="preserve">Material</t>
  </si>
  <si>
    <t xml:space="preserve">pza</t>
  </si>
  <si>
    <t xml:space="preserve">Cordón de espuma polietilénica extruida MAPEFOAM de MAPEI (1 m x 25 mm/pza).   Ref. lp-00540928</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</si>
  <si>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</si>
  <si>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</si>
  <si>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</si>
  <si>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</si>
  <si>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</si>
  <si>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</si>
  <si>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</si>
  <si>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</si>
  <si>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</si>
  <si>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</si>
  <si>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</si>
  <si>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</si>
  <si>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</si>
  <si>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</si>
  <si>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</si>
  <si>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</si>
  <si>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</si>
  <si>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</si>
  <si>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</si>
  <si>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</si>
  <si>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CUB014TV</t>
  </si>
  <si>
    <t xml:space="preserve">CUB015</t>
  </si>
  <si>
    <t xml:space="preserve">Partida</t>
  </si>
  <si>
    <t xml:space="preserve">M2</t>
  </si>
  <si>
    <t xml:space="preserve">o REJUNTADO CON SIKACERAM-670 ELITE</t>
  </si>
  <si>
    <t xml:space="preserve">Rejuntado de pavimento de baldosas cerámicas con SIKACERAM-670 ELITE, mediante mortero de juntas cementoso mejorado, con absorción de agua reducida, color blanco, para juntas de 2 a 15 mm, previa eliminación del material de juntas existente con medios manuales.</t>
  </si>
  <si>
    <t xml:space="preserve">ma-web-Sikaceram670</t>
  </si>
  <si>
    <t xml:space="preserve">Material</t>
  </si>
  <si>
    <t xml:space="preserve">ud</t>
  </si>
  <si>
    <t xml:space="preserve">Sikaceram 670 Elite (Bolsa 5 Kg)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</si>
  <si>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</si>
  <si>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</si>
  <si>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</si>
  <si>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</si>
  <si>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</si>
  <si>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</si>
  <si>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</si>
  <si>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</si>
  <si>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</si>
  <si>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</si>
  <si>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</si>
  <si>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</si>
  <si>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</si>
  <si>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</si>
  <si>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</si>
  <si>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</si>
  <si>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</si>
  <si>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</si>
  <si>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</si>
  <si>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</si>
  <si>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CUB015</t>
  </si>
  <si>
    <t xml:space="preserve">CUB016</t>
  </si>
  <si>
    <t xml:space="preserve">Partida</t>
  </si>
  <si>
    <t xml:space="preserve">M2</t>
  </si>
  <si>
    <t xml:space="preserve">o IMPERMEABILIZACION CON POLIURETANO PU BIGMAT TEJA</t>
  </si>
  <si>
    <t xml:space="preserve">Impermeabilizacion con membrana de poliuretano monocomponente en color blanco, gris o terracota, de aplicación en frío, con tecnología activada por la humedad. Cura formando una membrana impermeabilizante continua y duradera para cubiertas expuestas así como para patios, terrazas y cubiertas.</t>
  </si>
  <si>
    <t xml:space="preserve">ma-lp-00571314</t>
  </si>
  <si>
    <t xml:space="preserve">Material</t>
  </si>
  <si>
    <t xml:space="preserve">bidón</t>
  </si>
  <si>
    <t xml:space="preserve">Impermeabilizante fibrado con poliuretano de BIGMAT; color teja (15 litros/bidón).   Ref. lp-00571314</t>
  </si>
  <si>
    <t xml:space="preserve">ma-om-10519845</t>
  </si>
  <si>
    <t xml:space="preserve">Material</t>
  </si>
  <si>
    <t xml:space="preserve">rollo</t>
  </si>
  <si>
    <t xml:space="preserve">Malla de refuerzo de fibra de vidrio ARMATOP 100 de SIKA (1x50 m/rollo; 175 gr/m2).   Ref. om-10519845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</si>
  <si>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</si>
  <si>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</si>
  <si>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</si>
  <si>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</si>
  <si>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</si>
  <si>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</si>
  <si>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</si>
  <si>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</si>
  <si>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</si>
  <si>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</si>
  <si>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</si>
  <si>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</si>
  <si>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</si>
  <si>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</si>
  <si>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</si>
  <si>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</si>
  <si>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</si>
  <si>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</si>
  <si>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</si>
  <si>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</si>
  <si>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CUB016</t>
  </si>
  <si>
    <t xml:space="preserve">CUB017</t>
  </si>
  <si>
    <t xml:space="preserve">Partida</t>
  </si>
  <si>
    <t xml:space="preserve">M2</t>
  </si>
  <si>
    <t xml:space="preserve">o IMPERMEABILIZACIÓN CON POLIURETANO SIKAFILL-420 DE SIKA</t>
  </si>
  <si>
    <t xml:space="preserve">Impermeabilización con membrana acrílica líquida de poliuretano SIKAFILL-420 de SIKA; incluye primer del mismo producto diluido con agua 10%</t>
  </si>
  <si>
    <t xml:space="preserve">ma-lm-90779424</t>
  </si>
  <si>
    <t xml:space="preserve">Material</t>
  </si>
  <si>
    <t xml:space="preserve">bidón</t>
  </si>
  <si>
    <t xml:space="preserve">Membrana acrílica líquida impermeabilizante SIKAFILL-420 EXTREME de SIKA (20 kg/bidón).   Ref. lm-90779424</t>
  </si>
  <si>
    <t xml:space="preserve">ma-vtc-97480</t>
  </si>
  <si>
    <t xml:space="preserve">Material</t>
  </si>
  <si>
    <t xml:space="preserve">rollo</t>
  </si>
  <si>
    <t xml:space="preserve">Malla TNT de Poliéster SIKALASTIC FLEECE 120 de SIKA (50 mx100 cm/rollo).   Ref. vtc-97480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</si>
  <si>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</si>
  <si>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</si>
  <si>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</si>
  <si>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</si>
  <si>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</si>
  <si>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</si>
  <si>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</si>
  <si>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</si>
  <si>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</si>
  <si>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</si>
  <si>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</si>
  <si>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</si>
  <si>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</si>
  <si>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</si>
  <si>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</si>
  <si>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</si>
  <si>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</si>
  <si>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</si>
  <si>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</si>
  <si>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</si>
  <si>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CUB017</t>
  </si>
  <si>
    <t xml:space="preserve">CUB018</t>
  </si>
  <si>
    <t xml:space="preserve">Partida</t>
  </si>
  <si>
    <t xml:space="preserve">M2</t>
  </si>
  <si>
    <t xml:space="preserve">o IMPERMEABILIZACION CON POLIURETANO MARISEAL 250</t>
  </si>
  <si>
    <t xml:space="preserve">Impermeabilización líquida de cubiertas, galerias y balcones. Sistema MARISEAL 250 formado por mMembrana de poliuretano monocomponente impermeable de aplicación líquida, altamente elástica, de aplicación y secado en frío, MARISEAL 250, previa aplicación de imprimación de poliuretano base agua, transparente, semi-rígida, de alta penetración, monocomponente y de secado rápido mariseal 710, colocación de malla en toda la superficie y en puntos singulares, acabado con una mano de Barniz de poliuretano alifático monocomponente, de aplicación líquida y secado en frío, para tránsito ligero de personas MARISEAL 400.</t>
  </si>
  <si>
    <t xml:space="preserve">ma-om-10519845</t>
  </si>
  <si>
    <t xml:space="preserve">Material</t>
  </si>
  <si>
    <t xml:space="preserve">rollo</t>
  </si>
  <si>
    <t xml:space="preserve">Malla de refuerzo de fibra de vidrio ARMATOP 100 de SIKA (1x50 m/rollo; 175 gr/m2).   Ref. om-10519845</t>
  </si>
  <si>
    <t xml:space="preserve">mrsl250</t>
  </si>
  <si>
    <t xml:space="preserve">Material</t>
  </si>
  <si>
    <t xml:space="preserve">kg</t>
  </si>
  <si>
    <t xml:space="preserve">Membrana de poliuretano Mariseal 250</t>
  </si>
  <si>
    <t xml:space="preserve">mar710</t>
  </si>
  <si>
    <t xml:space="preserve">Material</t>
  </si>
  <si>
    <t xml:space="preserve">kg</t>
  </si>
  <si>
    <t xml:space="preserve">Imprimacion MARISEAL 710</t>
  </si>
  <si>
    <t xml:space="preserve">mar400</t>
  </si>
  <si>
    <t xml:space="preserve">Material</t>
  </si>
  <si>
    <t xml:space="preserve">kg</t>
  </si>
  <si>
    <t xml:space="preserve">Barniz MARISEAL 400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</si>
  <si>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</si>
  <si>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</si>
  <si>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</si>
  <si>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</si>
  <si>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</si>
  <si>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</si>
  <si>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</si>
  <si>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</si>
  <si>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</si>
  <si>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</si>
  <si>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</si>
  <si>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</si>
  <si>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</si>
  <si>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</si>
  <si>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</si>
  <si>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</si>
  <si>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</si>
  <si>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</si>
  <si>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</si>
  <si>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</si>
  <si>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CUB018</t>
  </si>
  <si>
    <t xml:space="preserve">CUB019</t>
  </si>
  <si>
    <t xml:space="preserve">Partida</t>
  </si>
  <si>
    <t xml:space="preserve">M2</t>
  </si>
  <si>
    <t xml:space="preserve">o IMPERMEABILIZACION CON POLIURETANO SIKALASTIC 612</t>
  </si>
  <si>
    <t xml:space="preserve">Impermeabilizacion con Sikalastic 612 con membrana de poliuretano monocomponente en color blanco, gris o terracota, de aplicación en frío, con tecnología activada por la humedad. Cura formando una membrana impermeabilizante continua y duradera para cubiertas expuestas así como para terrazas y cubiertas.</t>
  </si>
  <si>
    <t xml:space="preserve">ma-s.lucia-02</t>
  </si>
  <si>
    <t xml:space="preserve">Material</t>
  </si>
  <si>
    <t xml:space="preserve">pack</t>
  </si>
  <si>
    <t xml:space="preserve">Imprimante de poliuretano para impermeabilización de cubiertas con membrana líquida SIKA CONCRETE PRIMER de SIKA (12 kg/bidón).   Ref. s.lucia-02</t>
  </si>
  <si>
    <t xml:space="preserve">ma-obramat-10363115</t>
  </si>
  <si>
    <t xml:space="preserve">Material</t>
  </si>
  <si>
    <t xml:space="preserve">envase</t>
  </si>
  <si>
    <t xml:space="preserve">SIKALASTIC 612 de SIKA; color terracota (15 litros/envase).</t>
  </si>
  <si>
    <t xml:space="preserve">ma-om-10519845</t>
  </si>
  <si>
    <t xml:space="preserve">Material</t>
  </si>
  <si>
    <t xml:space="preserve">rollo</t>
  </si>
  <si>
    <t xml:space="preserve">Malla de refuerzo de fibra de vidrio ARMATOP 100 de SIKA (1x50 m/rollo; 175 gr/m2).   Ref. om-10519845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</si>
  <si>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</si>
  <si>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</si>
  <si>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</si>
  <si>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</si>
  <si>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</si>
  <si>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</si>
  <si>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</si>
  <si>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</si>
  <si>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</si>
  <si>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</si>
  <si>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</si>
  <si>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</si>
  <si>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</si>
  <si>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</si>
  <si>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</si>
  <si>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</si>
  <si>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</si>
  <si>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</si>
  <si>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</si>
  <si>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</si>
  <si>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CUB019</t>
  </si>
  <si>
    <t xml:space="preserve">CUB020</t>
  </si>
  <si>
    <t xml:space="preserve">Partida</t>
  </si>
  <si>
    <t xml:space="preserve">M2</t>
  </si>
  <si>
    <t xml:space="preserve">o IMPERMEABILIZACION CON POLIURETANO MASTERSEAL M 640 BASF</t>
  </si>
  <si>
    <t xml:space="preserve">Impermeabilización de cubiertas, realizada mediante el sistema para revestir MasterSeal 640 "BASF Construction Chemical", con DITE - 05/0197, formada por: membrana elástica impermeabilizante a base de poliuretano, MasterSeal M 640 "BASF Construction Chemical", aplicada mediante brocha, rodillo o pistola; previa imprimación con MasterSeal P 640 "BASF Construction Chemical", aplicada con brocha, rodillo o pistola, sobre superficie soporte cementosa (no incluida en este precio).</t>
  </si>
  <si>
    <t xml:space="preserve">MSTSP640</t>
  </si>
  <si>
    <t xml:space="preserve">Material</t>
  </si>
  <si>
    <t xml:space="preserve">kg</t>
  </si>
  <si>
    <t xml:space="preserve">Imprimacion a base de poliuretano MasterSeal P 640</t>
  </si>
  <si>
    <t xml:space="preserve">MSTSML640</t>
  </si>
  <si>
    <t xml:space="preserve">Material</t>
  </si>
  <si>
    <t xml:space="preserve">kg</t>
  </si>
  <si>
    <t xml:space="preserve">MasterSeal M 640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</si>
  <si>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</si>
  <si>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</si>
  <si>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</si>
  <si>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</si>
  <si>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</si>
  <si>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</si>
  <si>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</si>
  <si>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</si>
  <si>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</si>
  <si>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</si>
  <si>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</si>
  <si>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</si>
  <si>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</si>
  <si>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</si>
  <si>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</si>
  <si>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</si>
  <si>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</si>
  <si>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</si>
  <si>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</si>
  <si>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</si>
  <si>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CUB020</t>
  </si>
  <si>
    <t xml:space="preserve">CUB021</t>
  </si>
  <si>
    <t xml:space="preserve">Partida</t>
  </si>
  <si>
    <t xml:space="preserve">M2</t>
  </si>
  <si>
    <t xml:space="preserve">o IMPERMEABILIZACIÓN CON MEMBRANA IMPERMEABILIZANTE REVESTIBLE BICOMPONENTE ARDEX 8+9</t>
  </si>
  <si>
    <t xml:space="preserve">IMPERMEABILIZACIÓN CON MEMBRANA IMPERMEABILIZANTE REVESTIBLE BICOMPONENTE ARDEX 8+9</t>
  </si>
  <si>
    <t xml:space="preserve">ma-ardex.tarifario.2024-61111</t>
  </si>
  <si>
    <t xml:space="preserve">Material</t>
  </si>
  <si>
    <t xml:space="preserve">rollo</t>
  </si>
  <si>
    <t xml:space="preserve">Banda geotextil de refuerzo para impermeabilización ARDEX SK12 (50 m/rollo).   Ref. ardex.tarifario.2024-61111</t>
  </si>
  <si>
    <t xml:space="preserve">ma-pinturas.mata-433739000</t>
  </si>
  <si>
    <t xml:space="preserve">Material</t>
  </si>
  <si>
    <t xml:space="preserve">pack</t>
  </si>
  <si>
    <t xml:space="preserve">Membrana impermeabilizante revestible bicomponente ARDEX 8 + 9 (20 kg/pack).   Ref. pinturas.mata-433739000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</si>
  <si>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</si>
  <si>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</si>
  <si>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</si>
  <si>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</si>
  <si>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</si>
  <si>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</si>
  <si>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</si>
  <si>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</si>
  <si>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</si>
  <si>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</si>
  <si>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</si>
  <si>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</si>
  <si>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</si>
  <si>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</si>
  <si>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</si>
  <si>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</si>
  <si>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</si>
  <si>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</si>
  <si>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</si>
  <si>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</si>
  <si>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CUB021</t>
  </si>
  <si>
    <t xml:space="preserve">CUB022</t>
  </si>
  <si>
    <t xml:space="preserve">Partida</t>
  </si>
  <si>
    <t xml:space="preserve">M2</t>
  </si>
  <si>
    <t xml:space="preserve">o IMPERMEABILIZACIÓN CON MEMBRANA LÍQUIDA FLEXIBLE MAPELASTIC AQUADEFENSE DE MAPEI</t>
  </si>
  <si>
    <t xml:space="preserve">Membrana líquida flexible a base de resinas sintéticas; de secado ultra rápido y consistencia pastosa para impermeabilización de superficies internas y externas. Aplicación (lista para usar): rodillo, brocha o espátula.</t>
  </si>
  <si>
    <t xml:space="preserve">ma-lp-00567972</t>
  </si>
  <si>
    <t xml:space="preserve">Material</t>
  </si>
  <si>
    <t xml:space="preserve">bote</t>
  </si>
  <si>
    <t xml:space="preserve">Membrana líquida flexible impermeabilizante MAPELASTIC AQUADEFENSE de MAPEI (7,5kg/bote). Ref.: 00567972</t>
  </si>
  <si>
    <t xml:space="preserve">ma-interazulejo-mapetex</t>
  </si>
  <si>
    <t xml:space="preserve">Material</t>
  </si>
  <si>
    <t xml:space="preserve">rollo</t>
  </si>
  <si>
    <t xml:space="preserve">Malla de Refuerzo TNT Macroperforado de Polipropileno MAPETEX SEL de MAPEI (25 m/rollo; ancho 1 m).   Ref. lechada.es-41625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</si>
  <si>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</si>
  <si>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</si>
  <si>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</si>
  <si>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</si>
  <si>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</si>
  <si>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</si>
  <si>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</si>
  <si>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</si>
  <si>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</si>
  <si>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</si>
  <si>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</si>
  <si>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</si>
  <si>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</si>
  <si>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</si>
  <si>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</si>
  <si>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</si>
  <si>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</si>
  <si>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</si>
  <si>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</si>
  <si>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</si>
  <si>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CUB022</t>
  </si>
  <si>
    <t xml:space="preserve">CUB023</t>
  </si>
  <si>
    <t xml:space="preserve">Partida</t>
  </si>
  <si>
    <t xml:space="preserve">M2</t>
  </si>
  <si>
    <t xml:space="preserve">o IMPERMEABILIZACION CON PINTURA DE CAUCHO AGUASTOP DE CEYS</t>
  </si>
  <si>
    <t xml:space="preserve">Suministro y colocacion de impermeabilizacion sobre superficie actual de pavimento y mimbel con pintura de caucho acrílico con fibras, es una dispersión acuosa de copolímeros acrílicos auto-reticulables con cargas y fibras de refuerzo que le confieren al producto, una vez seco, elasticidad y una gran resistencia mecánica. La película, una vez seca, es impermeable, elástica, transpirable y duradera a la intemperie de aplicacion en frio, aplicando. Incluye: Malla de refuerzo de geotextil.</t>
  </si>
  <si>
    <t xml:space="preserve">ma-lp-00158349</t>
  </si>
  <si>
    <t xml:space="preserve">Material</t>
  </si>
  <si>
    <t xml:space="preserve">u</t>
  </si>
  <si>
    <t xml:space="preserve">CAUCHO ACRÍLICO CON FIBRAS AGUASTOP CAUCHO FIBRAS CEYS ROJO 20 KG Ref.: 00158349</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</si>
  <si>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</si>
  <si>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</si>
  <si>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</si>
  <si>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</si>
  <si>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</si>
  <si>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</si>
  <si>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</si>
  <si>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</si>
  <si>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</si>
  <si>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</si>
  <si>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</si>
  <si>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</si>
  <si>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</si>
  <si>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</si>
  <si>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</si>
  <si>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</si>
  <si>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</si>
  <si>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</si>
  <si>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</si>
  <si>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</si>
  <si>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</si>
  <si>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</si>
  <si>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</si>
  <si>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</si>
  <si>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CUB023</t>
  </si>
  <si>
    <t xml:space="preserve">CUB024</t>
  </si>
  <si>
    <t xml:space="preserve">Partida</t>
  </si>
  <si>
    <t xml:space="preserve">M2</t>
  </si>
  <si>
    <t xml:space="preserve">o IMPERMEABILIZACION CON PINTURA SIKAFILL-200 FIBRAS</t>
  </si>
  <si>
    <t xml:space="preserve">Aplicacion de SIKAFILL-200, revestimiento elástico de consistencia cremosa, a base de copolímeros estireno- acrílicos en emulsión acuosa, con fibras de vidrio, que una vez seco forma una película flexible, impermeable y duradera.</t>
  </si>
  <si>
    <t xml:space="preserve">ma-leroy-13976711</t>
  </si>
  <si>
    <t xml:space="preserve">Material</t>
  </si>
  <si>
    <t xml:space="preserve">bote</t>
  </si>
  <si>
    <t xml:space="preserve">Pintura impermeabilizante SIKAFILL 200 fibras 20KG rojo</t>
  </si>
  <si>
    <t xml:space="preserve">ma-lp-00179615</t>
  </si>
  <si>
    <t xml:space="preserve">Material</t>
  </si>
  <si>
    <t xml:space="preserve">rollo</t>
  </si>
  <si>
    <t xml:space="preserve">Lámina geotextil de poliéster ROOFTEX V de SOPREMA; 150 gr/m2 (50x1,1 m/rollo).   Ref. lp-00179615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</si>
  <si>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</si>
  <si>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</si>
  <si>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</si>
  <si>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</si>
  <si>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</si>
  <si>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</si>
  <si>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</si>
  <si>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</si>
  <si>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</si>
  <si>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</si>
  <si>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</si>
  <si>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</si>
  <si>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</si>
  <si>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</si>
  <si>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</si>
  <si>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</si>
  <si>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</si>
  <si>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</si>
  <si>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</si>
  <si>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</si>
  <si>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CUB024</t>
  </si>
  <si>
    <t xml:space="preserve">CUB025</t>
  </si>
  <si>
    <t xml:space="preserve">Partida</t>
  </si>
  <si>
    <t xml:space="preserve">M2</t>
  </si>
  <si>
    <t xml:space="preserve">o IMPERMEABILIZACION CON PINTURA HIBRIDA ACRILICA-POLIURETANO CAMPOLIN NEO</t>
  </si>
  <si>
    <t xml:space="preserve">Suministro y colocacion de impermeabilizacion sobre superficie actual de pavimento y mimbel con resina hibrida Acrilica-Poliuretano de alta densidad, sin disolventes, que forma un revestimiento elastico impermeable al agua, transpirable al vapor de agua que permite que el soporte pueda respirar, gran elongacion y capacidad de absorver los movimientos propios de la cubierta por cambios de temperatura o asentamientos, elevada resistencia a los agentes atmosfericos, ideal para renovacion de cubiertas impermeabilizadas anteriormente con caucho. Incluye: Malla de fibra de vidrio indicada para el refuerzo en impermeabilización de cubiertas y terrazas, evitando la aparición de fisuras y grietas.</t>
  </si>
  <si>
    <t xml:space="preserve">ma-lp-00569901</t>
  </si>
  <si>
    <t xml:space="preserve">Material</t>
  </si>
  <si>
    <t xml:space="preserve">u</t>
  </si>
  <si>
    <t xml:space="preserve">CAMPOLIN NEO, ROJO 20 KG - Ref.: 00569901</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</si>
  <si>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</si>
  <si>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</si>
  <si>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</si>
  <si>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</si>
  <si>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</si>
  <si>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</si>
  <si>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</si>
  <si>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</si>
  <si>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</si>
  <si>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</si>
  <si>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</si>
  <si>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</si>
  <si>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</si>
  <si>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</si>
  <si>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</si>
  <si>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</si>
  <si>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</si>
  <si>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</si>
  <si>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</si>
  <si>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</si>
  <si>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</si>
  <si>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</si>
  <si>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</si>
  <si>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</si>
  <si>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CUB025</t>
  </si>
  <si>
    <t xml:space="preserve">CUB026</t>
  </si>
  <si>
    <t xml:space="preserve">Partida</t>
  </si>
  <si>
    <t xml:space="preserve">M2</t>
  </si>
  <si>
    <t xml:space="preserve">o IMPERMEABILIZACIÓN CON PINTURA ASFÁLTICA "TEXPUR-SOPREM" CAPA 1,6mm</t>
  </si>
  <si>
    <t xml:space="preserve">Impermeabilización con pintura asfáltica "texpur-soprem"; grosor/capa 1,6 mm (CUB).
Mínima Cantidad Consumida: 2,4 kg/m2.</t>
  </si>
  <si>
    <t xml:space="preserve">ma-lp-00305007</t>
  </si>
  <si>
    <t xml:space="preserve">Material</t>
  </si>
  <si>
    <t xml:space="preserve">bidón</t>
  </si>
  <si>
    <t xml:space="preserve">Primer de impermeabilización, emulsión asfáltica EMUFAL PRIMER de SOPREMA para preparar soporte a impermeabilizar (24 litros/bidón).   Ref. lp-00305007</t>
  </si>
  <si>
    <t xml:space="preserve">ma-lp-00388436</t>
  </si>
  <si>
    <t xml:space="preserve">Material</t>
  </si>
  <si>
    <t xml:space="preserve">rollo</t>
  </si>
  <si>
    <t xml:space="preserve">Malla impermeabilizante GEOTEXTIL A-154 de JIMTEN (5x1,5 m/rollo).   Ref. lp-00388436</t>
  </si>
  <si>
    <t xml:space="preserve">ma-lp-00291743</t>
  </si>
  <si>
    <t xml:space="preserve">Material</t>
  </si>
  <si>
    <t xml:space="preserve">bidón</t>
  </si>
  <si>
    <t xml:space="preserve">Pintura impermeabilizante TEXPUR de SOPREMA; color rojo (25 kg/bidón).   Ref. lp-00291743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</si>
  <si>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</si>
  <si>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</si>
  <si>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</si>
  <si>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</si>
  <si>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</si>
  <si>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</si>
  <si>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</si>
  <si>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</si>
  <si>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</si>
  <si>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</si>
  <si>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</si>
  <si>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</si>
  <si>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</si>
  <si>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</si>
  <si>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</si>
  <si>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</si>
  <si>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</si>
  <si>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</si>
  <si>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</si>
  <si>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</si>
  <si>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CUB026</t>
  </si>
  <si>
    <t xml:space="preserve">CUB027</t>
  </si>
  <si>
    <t xml:space="preserve">Partida</t>
  </si>
  <si>
    <t xml:space="preserve">M2</t>
  </si>
  <si>
    <t xml:space="preserve">o IMPERMEABILIZACIÓN CON PINTURA ASFÁLTICA "TEXPUR-SOPREM" CAPA 2,9mm</t>
  </si>
  <si>
    <t xml:space="preserve">Impermeabilización con pintura asfáltica "TEXPUR-SOPREM"; grosor/capa 2,9 mm (CUB).
Mínima Cantidad Consumida: 4,1 kg/m2.</t>
  </si>
  <si>
    <t xml:space="preserve">ma-lp-00305007</t>
  </si>
  <si>
    <t xml:space="preserve">Material</t>
  </si>
  <si>
    <t xml:space="preserve">bidón</t>
  </si>
  <si>
    <t xml:space="preserve">Primer de impermeabilización, emulsión asfáltica EMUFAL PRIMER de SOPREMA para preparar soporte a impermeabilizar (24 litros/bidón).   Ref. lp-00305007</t>
  </si>
  <si>
    <t xml:space="preserve">ma-lp-00388436</t>
  </si>
  <si>
    <t xml:space="preserve">Material</t>
  </si>
  <si>
    <t xml:space="preserve">rollo</t>
  </si>
  <si>
    <t xml:space="preserve">Malla impermeabilizante GEOTEXTIL A-154 de JIMTEN (5x1,5 m/rollo).   Ref. lp-00388436</t>
  </si>
  <si>
    <t xml:space="preserve">ma-lp-00291743</t>
  </si>
  <si>
    <t xml:space="preserve">Material</t>
  </si>
  <si>
    <t xml:space="preserve">bidón</t>
  </si>
  <si>
    <t xml:space="preserve">Pintura impermeabilizante TEXPUR de SOPREMA; color rojo (25 kg/bidón).   Ref. lp-00291743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</si>
  <si>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</si>
  <si>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</si>
  <si>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</si>
  <si>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</si>
  <si>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</si>
  <si>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</si>
  <si>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</si>
  <si>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</si>
  <si>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</si>
  <si>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</si>
  <si>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</si>
  <si>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</si>
  <si>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</si>
  <si>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</si>
  <si>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</si>
  <si>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</si>
  <si>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</si>
  <si>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</si>
  <si>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</si>
  <si>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</si>
  <si>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CUB027</t>
  </si>
  <si>
    <t xml:space="preserve">CUB028</t>
  </si>
  <si>
    <t xml:space="preserve">Partida</t>
  </si>
  <si>
    <t xml:space="preserve">M2</t>
  </si>
  <si>
    <t xml:space="preserve">o IMPRIMACION EMULSIÓN ASFALTICA BITUMINOSA</t>
  </si>
  <si>
    <t xml:space="preserve">Suministro y colocacion de imprimacion con emulsion asfaltica para lámina de impermeablización en cubierta adherida al soporte con soplete.</t>
  </si>
  <si>
    <t xml:space="preserve">ma-lp-00274122</t>
  </si>
  <si>
    <t xml:space="preserve">Material</t>
  </si>
  <si>
    <t xml:space="preserve">bote</t>
  </si>
  <si>
    <t xml:space="preserve">Primer de impermeabilización, emulsión asfáltica AQUASEAL BIGMAT de SOPREMA; color negro (25 kg/envase).   Ref. lp-00274122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</si>
  <si>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</si>
  <si>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</si>
  <si>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</si>
  <si>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</si>
  <si>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</si>
  <si>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</si>
  <si>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</si>
  <si>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</si>
  <si>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</si>
  <si>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</si>
  <si>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</si>
  <si>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</si>
  <si>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</si>
  <si>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</si>
  <si>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</si>
  <si>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</si>
  <si>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</si>
  <si>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</si>
  <si>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</si>
  <si>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</si>
  <si>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CUB028</t>
  </si>
  <si>
    <t xml:space="preserve">CUB029</t>
  </si>
  <si>
    <t xml:space="preserve">Partida</t>
  </si>
  <si>
    <t xml:space="preserve">M2</t>
  </si>
  <si>
    <t xml:space="preserve">o IMPERMEABILIZACIÓN CON LÁMINA  ASFALTICA DOBLE APP BIGMAT PLUS FV 40</t>
  </si>
  <si>
    <t xml:space="preserve">IMPERMEABILIZACIÓN CON DOBLE LÁMINA  ASFÁLTICA DE BETÚN CON FIELTRO DE FIBRA DE VIDRIO; INCLUYE ADHESIVO CON EMULSIÓN ASFÁLTICA EN PASTA (CUB)</t>
  </si>
  <si>
    <t xml:space="preserve">ma-lp-00274122</t>
  </si>
  <si>
    <t xml:space="preserve">Material</t>
  </si>
  <si>
    <t xml:space="preserve">bote</t>
  </si>
  <si>
    <t xml:space="preserve">Primer de impermeabilización, emulsión asfáltica AQUASEAL BIGMAT de SOPREMA; color negro (25 kg/envase).   Ref. lp-00274122</t>
  </si>
  <si>
    <t xml:space="preserve">ma-lp-00269977</t>
  </si>
  <si>
    <t xml:space="preserve">Material</t>
  </si>
  <si>
    <t xml:space="preserve">rollo</t>
  </si>
  <si>
    <t xml:space="preserve">Lámina Impermeabilizante de betún aditivado APP BIGMAT PLUS FV 40 (MOPLY N PLUS FV 4 KG de SOPREMA) con fieltro FV; espesor 3 mm (10x1 m/rollo). Ref. lp-00269977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</si>
  <si>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</si>
  <si>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</si>
  <si>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</si>
  <si>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</si>
  <si>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</si>
  <si>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</si>
  <si>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</si>
  <si>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</si>
  <si>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</si>
  <si>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</si>
  <si>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</si>
  <si>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</si>
  <si>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</si>
  <si>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</si>
  <si>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</si>
  <si>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</si>
  <si>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</si>
  <si>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</si>
  <si>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</si>
  <si>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</si>
  <si>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CUB029</t>
  </si>
  <si>
    <t xml:space="preserve">CUB030</t>
  </si>
  <si>
    <t xml:space="preserve">Partida</t>
  </si>
  <si>
    <t xml:space="preserve">M2</t>
  </si>
  <si>
    <t xml:space="preserve">o IMPERMEABILIZACIÓN CON LÁMINA  ASFÁLTICA SBS FP CON ACABADO PIZARRA COLOR GRIS</t>
  </si>
  <si>
    <t xml:space="preserve">Impermeabilización con lámina impermeable autoprotegida Morterplas SBS FP 4kg formada por base de betún elastomérico SBS con armadura de poliéster y autoproteccion mineral color gris, entregada en la barandilla de obra, por medio de una zanja.</t>
  </si>
  <si>
    <t xml:space="preserve">ma-lp-00274122</t>
  </si>
  <si>
    <t xml:space="preserve">Material</t>
  </si>
  <si>
    <t xml:space="preserve">bote</t>
  </si>
  <si>
    <t xml:space="preserve">Primer de impermeabilización, emulsión asfáltica AQUASEAL BIGMAT de SOPREMA; color negro (25 kg/envase).   Ref. lp-00274122</t>
  </si>
  <si>
    <t xml:space="preserve">ma-lp-00563154</t>
  </si>
  <si>
    <t xml:space="preserve">Material</t>
  </si>
  <si>
    <t xml:space="preserve">rollo</t>
  </si>
  <si>
    <t xml:space="preserve">Lámina impermeabilizante de betún elastómero SBS con armadura de poliéster MORTERPLAS SBS FP 4KG de SOPREMA (10x1 m/rollo gris).   Ref. lp-00563154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</si>
  <si>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</si>
  <si>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</si>
  <si>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</si>
  <si>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</si>
  <si>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</si>
  <si>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</si>
  <si>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</si>
  <si>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</si>
  <si>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</si>
  <si>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</si>
  <si>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</si>
  <si>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</si>
  <si>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</si>
  <si>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</si>
  <si>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</si>
  <si>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</si>
  <si>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</si>
  <si>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</si>
  <si>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</si>
  <si>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</si>
  <si>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CUB030</t>
  </si>
  <si>
    <t xml:space="preserve">CUB031</t>
  </si>
  <si>
    <t xml:space="preserve">Partida</t>
  </si>
  <si>
    <t xml:space="preserve">M2</t>
  </si>
  <si>
    <t xml:space="preserve">o IMPERMEABILIZACION CON LAMINA  ASFALTICA ELAST FV CON ACABADO PIZARRA COLOR ROJO</t>
  </si>
  <si>
    <t xml:space="preserve">Impermeabilización con lamina SBS BigMat ELAST FV 40 a base de betún modificado con plastómeros, tipo APP, con autoprotección mineral y armadura de fieltro de fibra de vidrio. Acabado una cara con laminillas de pizarra, excepto una banda de 8 cm para el solape y la otra con antiadherente de plástico. Se utiliza en sistemas de impermeabilización tipo bicapa con protección ligera (autoprotección), de acuerdo con las membranas GA-2, GA-5 y GA-6 de la norma UNE 104-402, adecuadas para la impermeabilización de cubiertas de edificios. Color pizagrra rojo. Rollo de 10x1 m. Espesor: 3 mm. Peso: 40 kg. Masa: 4,0 kg /m².</t>
  </si>
  <si>
    <t xml:space="preserve">ma-lp-00274122</t>
  </si>
  <si>
    <t xml:space="preserve">Material</t>
  </si>
  <si>
    <t xml:space="preserve">bote</t>
  </si>
  <si>
    <t xml:space="preserve">Primer de impermeabilización, emulsión asfáltica AQUASEAL BIGMAT de SOPREMA; color negro (25 kg/envase).   Ref. lp-00274122</t>
  </si>
  <si>
    <t xml:space="preserve">ma-lp-00278899</t>
  </si>
  <si>
    <t xml:space="preserve">Material</t>
  </si>
  <si>
    <t xml:space="preserve">rollo</t>
  </si>
  <si>
    <t xml:space="preserve">Lámina impermeabilizante de betún elastómero SBS con fieltro FV SBS BIGMAT ELAST FV 40 1X10 ROJA (MORTERPLAS SBS FV 4 KG de SOPREMA); espesor 3 mm (10x1 m/rollo).   Ref. lp-00278899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</si>
  <si>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</si>
  <si>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</si>
  <si>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</si>
  <si>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</si>
  <si>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</si>
  <si>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</si>
  <si>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</si>
  <si>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</si>
  <si>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</si>
  <si>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</si>
  <si>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</si>
  <si>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</si>
  <si>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</si>
  <si>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</si>
  <si>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</si>
  <si>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</si>
  <si>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</si>
  <si>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</si>
  <si>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</si>
  <si>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</si>
  <si>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CUB031</t>
  </si>
  <si>
    <t xml:space="preserve">CUB032</t>
  </si>
  <si>
    <t xml:space="preserve">Partida</t>
  </si>
  <si>
    <t xml:space="preserve">M2</t>
  </si>
  <si>
    <t xml:space="preserve">o IMPERMEABILIZACION CON LAMINA SCHLUTER DITRA 25</t>
  </si>
  <si>
    <t xml:space="preserve">Impermeabilización balcones con suministro y colocación de una lámina Schlüter DITRA 25 , lámina de polietileno con estructura cuadriculada , conformada en forma de cola de golondrina , con una tela sin tejer en su reverso, que actúa como impermeabilización , como equilibra instalada con cemento adhesivo flexible colocada con lana dentada según prescripciones fabricante. Se realizará refuerzo sobre encuentros con paramentos verticales (minveles empotrados en paredes).</t>
  </si>
  <si>
    <t xml:space="preserve">ma-lp-00009520</t>
  </si>
  <si>
    <t xml:space="preserve">Material</t>
  </si>
  <si>
    <t xml:space="preserve">UD</t>
  </si>
  <si>
    <t xml:space="preserve">Lámina impermeabilización Schlüter-Ditra rollo de 5 m2</t>
  </si>
  <si>
    <t xml:space="preserve">ma-lp-00540875</t>
  </si>
  <si>
    <t xml:space="preserve">Material</t>
  </si>
  <si>
    <t xml:space="preserve">saco</t>
  </si>
  <si>
    <t xml:space="preserve">Mortero cola PEGOLAND GEL PORCELÁNICO C2TE para colocar cerámica (interior y exterior); color blanco (25 kg/saco).   Ref. lp-00540875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</si>
  <si>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</si>
  <si>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</si>
  <si>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</si>
  <si>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</si>
  <si>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</si>
  <si>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</si>
  <si>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</si>
  <si>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</si>
  <si>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</si>
  <si>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</si>
  <si>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</si>
  <si>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</si>
  <si>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</si>
  <si>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</si>
  <si>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</si>
  <si>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</si>
  <si>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</si>
  <si>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</si>
  <si>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</si>
  <si>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</si>
  <si>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CUB032</t>
  </si>
  <si>
    <t xml:space="preserve">CUB033</t>
  </si>
  <si>
    <t xml:space="preserve">Partida</t>
  </si>
  <si>
    <t xml:space="preserve">M2</t>
  </si>
  <si>
    <t xml:space="preserve">o IMPERMEABILIZACION CON LAMINA EPDM DE 1.2MM</t>
  </si>
  <si>
    <t xml:space="preserve">Impermeabilizacion con lamina EPDM de 1.2mm, adhesivo de reticulación y contacto, a base de con cauchos sintéticos y base disolvente. Se usa para la unión por solape entre láminas impermeables de EPDM y entre láminas de butilo, así como para la adhesión de estas láminas sobre diversos sustratos y superficies como hormigón, cemento, madera y metal. Muy buena adherencia, resistencia al envejecimiento, frío o calor. Color negro.</t>
  </si>
  <si>
    <t xml:space="preserve">ma-lp-00201399</t>
  </si>
  <si>
    <t xml:space="preserve">Material</t>
  </si>
  <si>
    <t xml:space="preserve">envase</t>
  </si>
  <si>
    <t xml:space="preserve">Adhesivo EPDM SA-008 MAX de ROLLGUM para la unión de láminas impermeabilizantes de EPDM y bandas de butilo (5 litros/envase).   Ref. lp-00201399</t>
  </si>
  <si>
    <t xml:space="preserve">ma-lp-00285541</t>
  </si>
  <si>
    <t xml:space="preserve">Material</t>
  </si>
  <si>
    <t xml:space="preserve">m2</t>
  </si>
  <si>
    <t xml:space="preserve">Lámina impermeabilizante GISCOLENE 120 de caucho sintético EPDM vulcanizado (ancho: 3,00 m; espesor: 1,2 mm).   Ref. lp-00285541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</si>
  <si>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</si>
  <si>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</si>
  <si>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</si>
  <si>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</si>
  <si>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</si>
  <si>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</si>
  <si>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</si>
  <si>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</si>
  <si>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</si>
  <si>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</si>
  <si>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</si>
  <si>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</si>
  <si>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</si>
  <si>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</si>
  <si>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</si>
  <si>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</si>
  <si>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</si>
  <si>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</si>
  <si>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</si>
  <si>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</si>
  <si>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CUB033</t>
  </si>
  <si>
    <t xml:space="preserve">CUB034</t>
  </si>
  <si>
    <t xml:space="preserve">Partida</t>
  </si>
  <si>
    <t xml:space="preserve">M2</t>
  </si>
  <si>
    <t xml:space="preserve">o IMPERMEABILIZACIÓN DE CUBIERTA PLANA CON SISTEMA CHOVATERM BICAPA ADHESIVO NATURE (CHOVATERM XPS-50 POL PY 30)</t>
  </si>
  <si>
    <t xml:space="preserve">Suministro y aplicación de sistema de impermeabilización y de aislamiento térmico para cubiertas en rehabilitación, en cubierta plana, con pendiente inferior al 15%, no transitable, no ventilada, mediante solución CHOVATERM BICAPA de CHOVA, fijado mecánicamente sobre soporte resistente de pavimento cerámico y mortero existente, etc. El sistema se compone de aislamiento térmico y capa inferior de la impermeabilización con: sistema CHOVATERM XPS-40 POL PY 30 de CHOVA fijado mecánicamente al soporte, formado por lamas de aislamiento térmico de poliestireno extruido XPS CHOVAFOAM de 50 mm de grosor, unidas térmicamente a una lámina POLITABER POL PY 30 de CHOVA, lámina de betún modificado con elastómeros SBS, LBM-30-FP, que actúa como capa base de la impermeabilización; fijaciones: fijaciones mecánicas al soporte con 4 fijaciones cada m2; capa superior de la impermeabilización: lámina de betún modificado con elastómeros SBS, POLITABER NATURE COMBI 50/G color a escoger, con granulometría mineral de color según lámina CHOVA. Incluye parte proporcional de refuerzos necesarios en puntos singulares como: Encuentro con paramento vertical mediante la colocación de perfil de chapa de acero galvanizado con cordón de sellado, para remate y protección de la impermeabilización formada por: banda de refuerzo de 30 cm de ancho, realizado a partir de lámina LBM(SBS)-30-FP, POLITABER POL PY 30 «CHOVA», con armadura de fieltro de poliéster no tejido, acabado inferior y exterior de plástico, y remate con pieza de finalización de 50 cm de desarrollo con lámina LBM(SBS)-50/G-FP, POLITABER NATURE COMBI 50/G CHOVA; TRABAMIENTO CON BONERAS: realización de rebaje alrededor de las sumideros (6 unidades) de unos 7-10 mm y 92×100 cm de ancho máximo, con una pieza de 92 x 100 cm de CHOVATERM XPS 50 POL PY 30 fijado al soporte; colocación de sumideros compatibles con láminas asfálticas y paragravillas, surtida vertical, de 100 mm de diámetro, sobre el ChovATERM XPS 50 POL PY 30; colocado de pieza de refuerzo inferior (sobresaliendo 15 cm del ala de la cazoleta) de lámina LBM(SBS)-30-FP, POLITABER POL PY 30 «CHOVA»; colocación de piezas de refuerzo superior con la lámina LBM(SBS)-30-FP, POLITABER POL PY 30 CHOVA, de dimensiones máximas 92×100 cm. Toda la partida ejecutada según manual del fabricante.</t>
  </si>
  <si>
    <t xml:space="preserve">ma-manau-CHOVATERM.XPS-50POLPY30</t>
  </si>
  <si>
    <t xml:space="preserve">Material</t>
  </si>
  <si>
    <t xml:space="preserve">m2</t>
  </si>
  <si>
    <t xml:space="preserve">Lámina impermeabilizante con aislante térmico XPS-50 mm CHOVATERM XPS POL PY 30 de CHOVA (5x1 m/rollo).   Ref. Ref. manau-CHOVATERM.XPS-50POLPY30</t>
  </si>
  <si>
    <t xml:space="preserve">ma-pierre.sol-SOU.124159</t>
  </si>
  <si>
    <t xml:space="preserve">Material</t>
  </si>
  <si>
    <t xml:space="preserve">bombona</t>
  </si>
  <si>
    <t xml:space="preserve">Espuma PU adhesiva SOUDATHERM ROOF 330 de SOUDAL (10,4 kg/bombona).   Ref. pierre.sol-SOU.124159</t>
  </si>
  <si>
    <t xml:space="preserve">ma-manau-POLITABER.POL.PY.30</t>
  </si>
  <si>
    <t xml:space="preserve">Material</t>
  </si>
  <si>
    <t xml:space="preserve">m2</t>
  </si>
  <si>
    <t xml:space="preserve">Lámina de betún modificado con elastómero POLITABER POL PY 30 de CHOVA (12x1 m/rollo).…Ref. manau-POLITABER.POL.PY.30</t>
  </si>
  <si>
    <t xml:space="preserve">ma-manau-POLITABER.BANDA.33</t>
  </si>
  <si>
    <t xml:space="preserve">Material</t>
  </si>
  <si>
    <t xml:space="preserve">m2</t>
  </si>
  <si>
    <t xml:space="preserve">Lámina de betún modificado con elastómero POLITABER BANDA 33 de CHOVA (12x1 m/rollo).   Ref. manau-POLITABER.BANDA.33</t>
  </si>
  <si>
    <t xml:space="preserve">ma-manau-POLITABER.POL.PY.40</t>
  </si>
  <si>
    <t xml:space="preserve">Material</t>
  </si>
  <si>
    <t xml:space="preserve">m2</t>
  </si>
  <si>
    <t xml:space="preserve">Lámina de betún modificado con elastómero POLITABER POL PY 40 de CHOVA (10x1 m/rollo).   Ref. manau-POLITABER.POL.PY.40</t>
  </si>
  <si>
    <t xml:space="preserve">ma-om-10387356</t>
  </si>
  <si>
    <t xml:space="preserve">Material</t>
  </si>
  <si>
    <t xml:space="preserve">m</t>
  </si>
  <si>
    <t xml:space="preserve">Cordón Sellador/Relleno bituminoso de juntas MASTIC P20 de CHOVA.   Ref. om-10387356</t>
  </si>
  <si>
    <t xml:space="preserve">ma-manau-POLITABER.NATURE.C.50Gc</t>
  </si>
  <si>
    <t xml:space="preserve">Material</t>
  </si>
  <si>
    <t xml:space="preserve">m2</t>
  </si>
  <si>
    <t xml:space="preserve">Lámina impermeabilizante de betún modificado con elastómeros SBS POLITABER NATURE COMBI 50/G de CHOVA; color (8x1 m/rollo).   Ref. manau-POLITABER.NATUREC.50Gc</t>
  </si>
  <si>
    <t xml:space="preserve">ma-STOTHERM-01802-036</t>
  </si>
  <si>
    <t xml:space="preserve">Material</t>
  </si>
  <si>
    <t xml:space="preserve">pza</t>
  </si>
  <si>
    <t xml:space="preserve">Fijador de paneles aislantes STO-ESPIGA Martillada T UEZ—K-01 8/60 135 mm para sistema STOTHERM.   Ref. STOTHERM-01802-036</t>
  </si>
  <si>
    <t xml:space="preserve">ma-om-10356864</t>
  </si>
  <si>
    <t xml:space="preserve">Material</t>
  </si>
  <si>
    <t xml:space="preserve">m</t>
  </si>
  <si>
    <t xml:space="preserve">Perfil metálico galvanizado para remate perimetral de impermeabilización 7 cm de CHOVA.   Ref. om-10356864</t>
  </si>
  <si>
    <t xml:space="preserve">ma-lp-00215083</t>
  </si>
  <si>
    <t xml:space="preserve">Material</t>
  </si>
  <si>
    <t xml:space="preserve">caja</t>
  </si>
  <si>
    <t xml:space="preserve">Taco DUOPOWER de FISCHER (50 pzas/caja).   Ref. lp-00215083</t>
  </si>
  <si>
    <t xml:space="preserve">ma-lm-322182</t>
  </si>
  <si>
    <t xml:space="preserve">Material</t>
  </si>
  <si>
    <t xml:space="preserve">cartucho</t>
  </si>
  <si>
    <t xml:space="preserve">Masilla de poliuretano SIKAFLEX 11FC de SIKA; color gris (300 cm3/cartucho).   Ref. lm-322182</t>
  </si>
  <si>
    <t xml:space="preserve">ma-lp-00541254</t>
  </si>
  <si>
    <t xml:space="preserve">Material</t>
  </si>
  <si>
    <t xml:space="preserve">envase</t>
  </si>
  <si>
    <t xml:space="preserve">Masilla de poliuretano BIGMAT (600 ml/envase); color blanco.   Ref. lp-00541254</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</si>
  <si>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</si>
  <si>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</si>
  <si>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</si>
  <si>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</si>
  <si>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ma-bm-10003607</t>
  </si>
  <si>
    <t xml:space="preserve">Material</t>
  </si>
  <si>
    <t xml:space="preserve">und</t>
  </si>
  <si>
    <t xml:space="preserve">Broca para hormigón SDS Plus-3 BOSCH CYL-3; 14x260 mm   Ref. bm-10003607</t>
  </si>
  <si>
    <t xml:space="preserve">alq-taladro-tq-01</t>
  </si>
  <si>
    <t xml:space="preserve">Maquinaria</t>
  </si>
  <si>
    <t xml:space="preserve">h</t>
  </si>
  <si>
    <t xml:space="preserve">Alquiler de Taladro Percutor (Cable-Batería).   Ref. TOOLQUICK</t>
  </si>
  <si>
    <t xml:space="preserve">GAS-PROPANO.BUTANO</t>
  </si>
  <si>
    <t xml:space="preserve">Material</t>
  </si>
  <si>
    <t xml:space="preserve">carga</t>
  </si>
  <si>
    <t xml:space="preserve">CARGA DE GAS PROPANO/BUTANO EN BOMBONA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</si>
  <si>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</si>
  <si>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</si>
  <si>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</si>
  <si>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</si>
  <si>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</si>
  <si>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</si>
  <si>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</si>
  <si>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</si>
  <si>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</si>
  <si>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</si>
  <si>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</si>
  <si>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</si>
  <si>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</si>
  <si>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</si>
  <si>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</si>
  <si>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</si>
  <si>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</si>
  <si>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</si>
  <si>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</si>
  <si>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</si>
  <si>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CUB034</t>
  </si>
  <si>
    <t xml:space="preserve">CUB035</t>
  </si>
  <si>
    <t xml:space="preserve">Partida</t>
  </si>
  <si>
    <t xml:space="preserve">U</t>
  </si>
  <si>
    <t xml:space="preserve">o SOPORTE ANCLADO A MURO PARA CLARABOYA</t>
  </si>
  <si>
    <t xml:space="preserve">Suministro y colocación de soportes formados por perfiles metalicos cuadrados huecos de 60#5 mm a traves de 3 tornillos por unidad, anclados con taco quimico a muro de patio</t>
  </si>
  <si>
    <t xml:space="preserve">vilas-1233</t>
  </si>
  <si>
    <t xml:space="preserve">Material</t>
  </si>
  <si>
    <t xml:space="preserve">m</t>
  </si>
  <si>
    <t xml:space="preserve">TUB QUADRAT 60X60X5 (2A4000+RESTES)  CASTELL VILASECA</t>
  </si>
  <si>
    <t xml:space="preserve">ma-lp-00351244</t>
  </si>
  <si>
    <t xml:space="preserve">Material</t>
  </si>
  <si>
    <t xml:space="preserve">caja</t>
  </si>
  <si>
    <t xml:space="preserve">Electrodo básico EUTECTRODE ECB 3218 CASTOLIN EUTECTIC; 3,2x350 mm (5 kg o 150 varillas/caja).   Ref. lp-00351244</t>
  </si>
  <si>
    <t xml:space="preserve">ma-lp-00016913</t>
  </si>
  <si>
    <t xml:space="preserve">Material</t>
  </si>
  <si>
    <t xml:space="preserve">bolsa</t>
  </si>
  <si>
    <t xml:space="preserve">Espárrago/Varilla de inyección para anclaje químico FISCHER FIS GS; 12x120 mm (8 pzas/bolsa).   Ref. lp-00016913.</t>
  </si>
  <si>
    <t xml:space="preserve">ma-lp-00016623</t>
  </si>
  <si>
    <t xml:space="preserve">Material</t>
  </si>
  <si>
    <t xml:space="preserve">u</t>
  </si>
  <si>
    <t xml:space="preserve">Anclaje químico Fischer FIS P PLUS 300 T cartucho de 300 ml + 1 boquilla mezcladora. Ref.: 00016623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</si>
  <si>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</si>
  <si>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</si>
  <si>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</si>
  <si>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</si>
  <si>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</si>
  <si>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</si>
  <si>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</si>
  <si>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</si>
  <si>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</si>
  <si>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</si>
  <si>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</si>
  <si>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</si>
  <si>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</si>
  <si>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</si>
  <si>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</si>
  <si>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</si>
  <si>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</si>
  <si>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</si>
  <si>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</si>
  <si>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</si>
  <si>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CUB035</t>
  </si>
  <si>
    <t xml:space="preserve">CUB036</t>
  </si>
  <si>
    <t xml:space="preserve">Partida</t>
  </si>
  <si>
    <t xml:space="preserve">M</t>
  </si>
  <si>
    <t xml:space="preserve">o VIGAS DE ACERO DE PERFIL HUECO RECTANGULAR DE 120x60#6MM</t>
  </si>
  <si>
    <t xml:space="preserve">Suministro y colocación de vigas formadas por perfiles metalicos huecos rectangulares 120 x 60
# 6 mm, mediante soldadura a pilaretes.</t>
  </si>
  <si>
    <t xml:space="preserve">ma-vilas-1946</t>
  </si>
  <si>
    <t xml:space="preserve">Material</t>
  </si>
  <si>
    <t xml:space="preserve">m</t>
  </si>
  <si>
    <t xml:space="preserve">TUB RECTANGULAR 120x60x6MM</t>
  </si>
  <si>
    <t xml:space="preserve">ma-lp-00351244</t>
  </si>
  <si>
    <t xml:space="preserve">Material</t>
  </si>
  <si>
    <t xml:space="preserve">caja</t>
  </si>
  <si>
    <t xml:space="preserve">Electrodo básico EUTECTRODE ECB 3218 CASTOLIN EUTECTIC; 3,2x350 mm (5 kg o 150 varillas/caja).   Ref. lp-00351244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</si>
  <si>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</si>
  <si>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</si>
  <si>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</si>
  <si>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</si>
  <si>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</si>
  <si>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</si>
  <si>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</si>
  <si>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</si>
  <si>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</si>
  <si>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</si>
  <si>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</si>
  <si>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</si>
  <si>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</si>
  <si>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</si>
  <si>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</si>
  <si>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</si>
  <si>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</si>
  <si>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</si>
  <si>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</si>
  <si>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</si>
  <si>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CUB036</t>
  </si>
  <si>
    <t xml:space="preserve">CUB037</t>
  </si>
  <si>
    <t xml:space="preserve">Partida</t>
  </si>
  <si>
    <t xml:space="preserve">M2</t>
  </si>
  <si>
    <t xml:space="preserve">o SANEADO Y PINTADO DE ESTRUCTURA EXISTENTE DE CLARABOYA</t>
  </si>
  <si>
    <t xml:space="preserve">Preparacion de superficie metalica y posterior pintado de la misma, incluye: lijado para proceder posteriormente a su pintado mediante aplicación manual de dos manos de esmalte sintético; previa aplicación de una mano de imprimación antioxidante, color gris.</t>
  </si>
  <si>
    <t xml:space="preserve">ma-lp-00007331</t>
  </si>
  <si>
    <t xml:space="preserve">Material</t>
  </si>
  <si>
    <t xml:space="preserve">bote</t>
  </si>
  <si>
    <t xml:space="preserve">Imprimante TODO TERRENO de BEISSIER como puente de adherencia multisuperficie; color gris (2,5 litros/envase).   Ref. lp-00007331</t>
  </si>
  <si>
    <t xml:space="preserve">ma-lp-00523842</t>
  </si>
  <si>
    <t xml:space="preserve">Material</t>
  </si>
  <si>
    <t xml:space="preserve">bote</t>
  </si>
  <si>
    <t xml:space="preserve">Esmalte ecológico al agua de Titanlux con acabado mate Color blanco. Envase de 2,5 l.Ref.: 00523842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</si>
  <si>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</si>
  <si>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</si>
  <si>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</si>
  <si>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</si>
  <si>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</si>
  <si>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</si>
  <si>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</si>
  <si>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</si>
  <si>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</si>
  <si>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</si>
  <si>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</si>
  <si>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</si>
  <si>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</si>
  <si>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</si>
  <si>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</si>
  <si>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</si>
  <si>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</si>
  <si>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</si>
  <si>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</si>
  <si>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</si>
  <si>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CUB037</t>
  </si>
  <si>
    <t xml:space="preserve">CUB038</t>
  </si>
  <si>
    <t xml:space="preserve">Partida</t>
  </si>
  <si>
    <t xml:space="preserve">M2</t>
  </si>
  <si>
    <t xml:space="preserve">o CUBIERTA CLARABOYA DE POLICARBONATO CELULAR 6MM</t>
  </si>
  <si>
    <t xml:space="preserve">CUBIERTA DE PLACAS DE POLICARBONATO CELULAR 6 mm</t>
  </si>
  <si>
    <t xml:space="preserve">ma-lp-00563465</t>
  </si>
  <si>
    <t xml:space="preserve">Material</t>
  </si>
  <si>
    <t xml:space="preserve">placa</t>
  </si>
  <si>
    <t xml:space="preserve">Placa de policarbonato celular de ONDUCLAIR (2000x980x6 mm/placa).   Ref. lp-00563465</t>
  </si>
  <si>
    <t xml:space="preserve">ma-lp-00413509</t>
  </si>
  <si>
    <t xml:space="preserve">Material</t>
  </si>
  <si>
    <t xml:space="preserve">pza</t>
  </si>
  <si>
    <t xml:space="preserve">Perfil H de policarbonato para cubiertas ligeras translúcidas (3000x4a6 mm/pza).   Ref. lp-00413509</t>
  </si>
  <si>
    <t xml:space="preserve">ma-lp-00537566</t>
  </si>
  <si>
    <t xml:space="preserve">Material</t>
  </si>
  <si>
    <t xml:space="preserve">pza</t>
  </si>
  <si>
    <t xml:space="preserve">Perfil U de policarbonato para cubiertas ligeras translúcidas (2100x6 mm/pza).   Ref. lp-00537566</t>
  </si>
  <si>
    <t xml:space="preserve">ma-lp-00537570</t>
  </si>
  <si>
    <t xml:space="preserve">Material</t>
  </si>
  <si>
    <t xml:space="preserve">rollo</t>
  </si>
  <si>
    <t xml:space="preserve">Cinta microperforada 38 mm para placas de policarbonato ONDULINE (33 m/rollo).   Ref. lp-00537570</t>
  </si>
  <si>
    <t xml:space="preserve">ma-lp-00537572</t>
  </si>
  <si>
    <t xml:space="preserve">Material</t>
  </si>
  <si>
    <t xml:space="preserve">rollo</t>
  </si>
  <si>
    <t xml:space="preserve">Cinta ciega 25 mm para placas de policarbonato ONDULINE (50 m/rollo).   Ref. lp-00537572</t>
  </si>
  <si>
    <t xml:space="preserve">ma-lp-00114066</t>
  </si>
  <si>
    <t xml:space="preserve">Material</t>
  </si>
  <si>
    <t xml:space="preserve">cartucho</t>
  </si>
  <si>
    <t xml:space="preserve">Silicona SELLACEYS EXPRESS translúcida (280 ml/cartucho).   Ref. lp-00114066</t>
  </si>
  <si>
    <t xml:space="preserve">ma-lp-00412482</t>
  </si>
  <si>
    <t xml:space="preserve">Material</t>
  </si>
  <si>
    <t xml:space="preserve">bolsa</t>
  </si>
  <si>
    <t xml:space="preserve">Tornillo autoroscante cabeza hexagonal con arandela de 16 mm de HIDRAFIX (6,3x25 mm/pza; 500 pzas/bolsa).   Ref. lp-00412482</t>
  </si>
  <si>
    <t xml:space="preserve">ma-lp-00367910</t>
  </si>
  <si>
    <t xml:space="preserve">Material</t>
  </si>
  <si>
    <t xml:space="preserve">caja</t>
  </si>
  <si>
    <t xml:space="preserve">Juego de brocas metal HSS-CO-DIN 338 (19 brocas/caja).   Ref. lp-00367910</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</si>
  <si>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</si>
  <si>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</si>
  <si>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</si>
  <si>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</si>
  <si>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</si>
  <si>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</si>
  <si>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</si>
  <si>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</si>
  <si>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</si>
  <si>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</si>
  <si>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</si>
  <si>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</si>
  <si>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</si>
  <si>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</si>
  <si>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</si>
  <si>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</si>
  <si>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</si>
  <si>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</si>
  <si>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</si>
  <si>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</si>
  <si>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</si>
  <si>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</si>
  <si>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</si>
  <si>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</si>
  <si>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CUB038</t>
  </si>
  <si>
    <t xml:space="preserve">CUB039</t>
  </si>
  <si>
    <t xml:space="preserve">Partida</t>
  </si>
  <si>
    <t xml:space="preserve">M2</t>
  </si>
  <si>
    <t xml:space="preserve">o CUBIERTA CLARABOYA DE POLICARBONATO CELULAR 10MM</t>
  </si>
  <si>
    <t xml:space="preserve">Suministro y colocacion de claraboya con placas traslucida de policarbonato celular incoloro de 10mm de espesor; incluye: Perfiles en H para uniones de las placas, perfil perimetral en "U", fijaciones a estructura.</t>
  </si>
  <si>
    <t xml:space="preserve">ma-lp-00563467</t>
  </si>
  <si>
    <t xml:space="preserve">Material</t>
  </si>
  <si>
    <t xml:space="preserve">placa</t>
  </si>
  <si>
    <t xml:space="preserve">Placa de policarbonato celular de ONDUCLAIR (3000x980x10 mm/placa).   Ref. lp-00563467</t>
  </si>
  <si>
    <t xml:space="preserve">ma-lp-00413511</t>
  </si>
  <si>
    <t xml:space="preserve">Material</t>
  </si>
  <si>
    <t xml:space="preserve">pza</t>
  </si>
  <si>
    <t xml:space="preserve">Perfil H de policarbonato para cubiertas ligeras translúcidas (3000x10 mm/pza).   Ref. lp-00413511</t>
  </si>
  <si>
    <t xml:space="preserve">ma-lp-00537567</t>
  </si>
  <si>
    <t xml:space="preserve">Material</t>
  </si>
  <si>
    <t xml:space="preserve">pza</t>
  </si>
  <si>
    <t xml:space="preserve">Perfil U de policarbonato para cubiertas ligeras translúcidas (2100x10 mm/pza).   Ref. lp-00537567</t>
  </si>
  <si>
    <t xml:space="preserve">ma-lp-00537570</t>
  </si>
  <si>
    <t xml:space="preserve">Material</t>
  </si>
  <si>
    <t xml:space="preserve">rollo</t>
  </si>
  <si>
    <t xml:space="preserve">Cinta microperforada 38 mm para placas de policarbonato ONDULINE (33 m/rollo).   Ref. lp-00537570</t>
  </si>
  <si>
    <t xml:space="preserve">ma-lp-00537572</t>
  </si>
  <si>
    <t xml:space="preserve">Material</t>
  </si>
  <si>
    <t xml:space="preserve">rollo</t>
  </si>
  <si>
    <t xml:space="preserve">Cinta ciega 25 mm para placas de policarbonato ONDULINE (50 m/rollo).   Ref. lp-00537572</t>
  </si>
  <si>
    <t xml:space="preserve">ma-lp-00114066</t>
  </si>
  <si>
    <t xml:space="preserve">Material</t>
  </si>
  <si>
    <t xml:space="preserve">cartucho</t>
  </si>
  <si>
    <t xml:space="preserve">Silicona SELLACEYS EXPRESS translúcida (280 ml/cartucho).   Ref. lp-00114066</t>
  </si>
  <si>
    <t xml:space="preserve">ma-lp-00412482</t>
  </si>
  <si>
    <t xml:space="preserve">Material</t>
  </si>
  <si>
    <t xml:space="preserve">bolsa</t>
  </si>
  <si>
    <t xml:space="preserve">Tornillo autoroscante cabeza hexagonal con arandela de 16 mm de HIDRAFIX (6,3x25 mm/pza; 500 pzas/bolsa).   Ref. lp-00412482</t>
  </si>
  <si>
    <t xml:space="preserve">ma-lp-00367910</t>
  </si>
  <si>
    <t xml:space="preserve">Material</t>
  </si>
  <si>
    <t xml:space="preserve">caja</t>
  </si>
  <si>
    <t xml:space="preserve">Juego de brocas metal HSS-CO-DIN 338 (19 brocas/caja).   Ref. lp-00367910</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</si>
  <si>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</si>
  <si>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</si>
  <si>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</si>
  <si>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</si>
  <si>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</si>
  <si>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</si>
  <si>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</si>
  <si>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</si>
  <si>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</si>
  <si>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</si>
  <si>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</si>
  <si>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</si>
  <si>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</si>
  <si>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</si>
  <si>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</si>
  <si>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</si>
  <si>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</si>
  <si>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</si>
  <si>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</si>
  <si>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</si>
  <si>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</si>
  <si>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</si>
  <si>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</si>
  <si>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</si>
  <si>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CUB039</t>
  </si>
  <si>
    <t xml:space="preserve">CUB040</t>
  </si>
  <si>
    <t xml:space="preserve">Partida</t>
  </si>
  <si>
    <t xml:space="preserve">M2</t>
  </si>
  <si>
    <t xml:space="preserve">o CUBIERTA CLARABOYA DE POLICARBONATO CELULAR 16MM</t>
  </si>
  <si>
    <t xml:space="preserve">Suministro y colocacion de claraboya con placas traslucida de policarbonato celular incoloro de 16mm de espesor (5,59 kg/placa); incluye: Perfiles en H para uniones de las placas, perfil perimetral en "U", fijaciones a estructura.</t>
  </si>
  <si>
    <t xml:space="preserve">ma-lp-00563469</t>
  </si>
  <si>
    <t xml:space="preserve">Material</t>
  </si>
  <si>
    <t xml:space="preserve">placa</t>
  </si>
  <si>
    <t xml:space="preserve">Placa de policarbonato celular de ONDUCLAIR 5.59 kg/placa (3000x980x16 mm/placa).   Ref. lp-00563469</t>
  </si>
  <si>
    <t xml:space="preserve">ma-lp-00413513</t>
  </si>
  <si>
    <t xml:space="preserve">Material</t>
  </si>
  <si>
    <t xml:space="preserve">pza</t>
  </si>
  <si>
    <t xml:space="preserve">Perfil H de policarbonato para cubiertas ligeras translúcidas (3000x16 mm/pza).   Ref. lp-00413513</t>
  </si>
  <si>
    <t xml:space="preserve">ma-lp-00537568</t>
  </si>
  <si>
    <t xml:space="preserve">Material</t>
  </si>
  <si>
    <t xml:space="preserve">pza</t>
  </si>
  <si>
    <t xml:space="preserve">Perfil U de policarbonato para cubiertas ligeras translúcidas (2100x16 mm/pza).   Ref. lp-00537568</t>
  </si>
  <si>
    <t xml:space="preserve">ma-lp-00537570</t>
  </si>
  <si>
    <t xml:space="preserve">Material</t>
  </si>
  <si>
    <t xml:space="preserve">rollo</t>
  </si>
  <si>
    <t xml:space="preserve">Cinta microperforada 38 mm para placas de policarbonato ONDULINE (33 m/rollo).   Ref. lp-00537570</t>
  </si>
  <si>
    <t xml:space="preserve">ma-lp-00537572</t>
  </si>
  <si>
    <t xml:space="preserve">Material</t>
  </si>
  <si>
    <t xml:space="preserve">rollo</t>
  </si>
  <si>
    <t xml:space="preserve">Cinta ciega 25 mm para placas de policarbonato ONDULINE (50 m/rollo).   Ref. lp-00537572</t>
  </si>
  <si>
    <t xml:space="preserve">ma-lp-00114066</t>
  </si>
  <si>
    <t xml:space="preserve">Material</t>
  </si>
  <si>
    <t xml:space="preserve">cartucho</t>
  </si>
  <si>
    <t xml:space="preserve">Silicona SELLACEYS EXPRESS translúcida (280 ml/cartucho).   Ref. lp-00114066</t>
  </si>
  <si>
    <t xml:space="preserve">ma-lp-00412482</t>
  </si>
  <si>
    <t xml:space="preserve">Material</t>
  </si>
  <si>
    <t xml:space="preserve">bolsa</t>
  </si>
  <si>
    <t xml:space="preserve">Tornillo autoroscante cabeza hexagonal con arandela de 16 mm de HIDRAFIX (6,3x25 mm/pza; 500 pzas/bolsa).   Ref. lp-00412482</t>
  </si>
  <si>
    <t xml:space="preserve">ma-lp-00367910</t>
  </si>
  <si>
    <t xml:space="preserve">Material</t>
  </si>
  <si>
    <t xml:space="preserve">caja</t>
  </si>
  <si>
    <t xml:space="preserve">Juego de brocas metal HSS-CO-DIN 338 (19 brocas/caja).   Ref. lp-00367910</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</si>
  <si>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</si>
  <si>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</si>
  <si>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</si>
  <si>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</si>
  <si>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</si>
  <si>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</si>
  <si>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</si>
  <si>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</si>
  <si>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</si>
  <si>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</si>
  <si>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</si>
  <si>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</si>
  <si>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</si>
  <si>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</si>
  <si>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</si>
  <si>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</si>
  <si>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</si>
  <si>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</si>
  <si>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</si>
  <si>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</si>
  <si>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</si>
  <si>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</si>
  <si>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</si>
  <si>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</si>
  <si>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CUB040</t>
  </si>
  <si>
    <t xml:space="preserve">CUB041</t>
  </si>
  <si>
    <t xml:space="preserve">Partida</t>
  </si>
  <si>
    <t xml:space="preserve">M2</t>
  </si>
  <si>
    <t xml:space="preserve">o CUBIERTA CLARABOYA DE PLACA ONDULADA TRANNSLUCIDA</t>
  </si>
  <si>
    <t xml:space="preserve">Suministro y colocacion de claraboya con placas onduladas de poliester. Incluye: Perfiles para uniones de las placas y fijaciones a estructura.</t>
  </si>
  <si>
    <t xml:space="preserve">ma-lp-00563461</t>
  </si>
  <si>
    <t xml:space="preserve">Material</t>
  </si>
  <si>
    <t xml:space="preserve">u</t>
  </si>
  <si>
    <t xml:space="preserve">Placa poliester Onduclair PLR gran onda 2x1,10Onduline</t>
  </si>
  <si>
    <t xml:space="preserve">ma-leroy-10610726</t>
  </si>
  <si>
    <t xml:space="preserve">Material</t>
  </si>
  <si>
    <t xml:space="preserve">u</t>
  </si>
  <si>
    <t xml:space="preserve">Kit fijación placas gran onda pack de 10</t>
  </si>
  <si>
    <t xml:space="preserve">00411800</t>
  </si>
  <si>
    <t xml:space="preserve">Material</t>
  </si>
  <si>
    <t xml:space="preserve">u</t>
  </si>
  <si>
    <t xml:space="preserve">GANCHO URALITA M-7 280-115-20 MM Ref.: 00411800</t>
  </si>
  <si>
    <t xml:space="preserve">ma-ma-659709</t>
  </si>
  <si>
    <t xml:space="preserve">Material</t>
  </si>
  <si>
    <t xml:space="preserve">u</t>
  </si>
  <si>
    <t xml:space="preserve">Sikaflex- 11 FC marron cartucho 300ml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</si>
  <si>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</si>
  <si>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</si>
  <si>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</si>
  <si>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</si>
  <si>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</si>
  <si>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</si>
  <si>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</si>
  <si>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</si>
  <si>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</si>
  <si>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</si>
  <si>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</si>
  <si>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</si>
  <si>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</si>
  <si>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</si>
  <si>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</si>
  <si>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</si>
  <si>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</si>
  <si>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</si>
  <si>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</si>
  <si>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</si>
  <si>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CUB041</t>
  </si>
  <si>
    <t xml:space="preserve">CUB042</t>
  </si>
  <si>
    <t xml:space="preserve">Partida</t>
  </si>
  <si>
    <t xml:space="preserve">M2</t>
  </si>
  <si>
    <t xml:space="preserve">o CUBIERTA CLARABOYA DE PLACA ONDULADA DE FIBROCEMENTO SIN AMIANTO FIJADA A EXTRUCTURA EXISTENTE</t>
  </si>
  <si>
    <t xml:space="preserve">Suministro y colocación de placas onduladas de fibrocemento sin amianto de 3000 mm de longitud, 1100 mm de ancho y 6 mm de espesor; Euroclase A1 de reacción al fuego, para cubierta inclinada, con una pendiente inferior del 10%, colocadas con un solape de la placa superior de 150 mm y fijadas mecánicamente a cualquier tipo de correa estructural. Incluso accesorios de fijación de las placas y ribete de sellado autoadhesivo para la estanqueidad del solapamiento de placas.</t>
  </si>
  <si>
    <t xml:space="preserve">ma-obramat-10425716</t>
  </si>
  <si>
    <t xml:space="preserve">Material</t>
  </si>
  <si>
    <t xml:space="preserve">u</t>
  </si>
  <si>
    <t xml:space="preserve">Placa fibrocemento EURONIT granonda rojo rustico arcilla 2.00x1.10m</t>
  </si>
  <si>
    <t xml:space="preserve">ma-lp-00006902</t>
  </si>
  <si>
    <t xml:space="preserve">Material</t>
  </si>
  <si>
    <t xml:space="preserve">u</t>
  </si>
  <si>
    <t xml:space="preserve">Burlete autoadhesivo de caucho para aislamiento de puertas y ventanas. Color blanco Tamaño: 6 mm x 9 m Ref.: 00006902</t>
  </si>
  <si>
    <t xml:space="preserve">ma-lp-00001069</t>
  </si>
  <si>
    <t xml:space="preserve">Material</t>
  </si>
  <si>
    <t xml:space="preserve">u</t>
  </si>
  <si>
    <t xml:space="preserve">Accesorio gafa para cubierta ondulada Ref.: 00001069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</si>
  <si>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</si>
  <si>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</si>
  <si>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</si>
  <si>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</si>
  <si>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</si>
  <si>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</si>
  <si>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</si>
  <si>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</si>
  <si>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</si>
  <si>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</si>
  <si>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</si>
  <si>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</si>
  <si>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</si>
  <si>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</si>
  <si>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</si>
  <si>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</si>
  <si>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</si>
  <si>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</si>
  <si>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</si>
  <si>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</si>
  <si>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CUB042</t>
  </si>
  <si>
    <t xml:space="preserve">CUB043</t>
  </si>
  <si>
    <t xml:space="preserve">Partida</t>
  </si>
  <si>
    <t xml:space="preserve">U</t>
  </si>
  <si>
    <t xml:space="preserve">o CUBIERTA CLARABOYA DE CRISTAL DE BALDOSA GRABADA DE 18/20 DE 3.00x0.60M</t>
  </si>
  <si>
    <t xml:space="preserve">SUMINISTRO Y COLOCACION DE CRISTAL DE BALDOSA GRABADA DE 18/20</t>
  </si>
  <si>
    <t xml:space="preserve">ma-jc-crstal</t>
  </si>
  <si>
    <t xml:space="preserve">Material</t>
  </si>
  <si>
    <t xml:space="preserve">u</t>
  </si>
  <si>
    <t xml:space="preserve">Cristal armado de 3.00 x 0.60ml baldosa grabada 18/20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</si>
  <si>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</si>
  <si>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</si>
  <si>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</si>
  <si>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</si>
  <si>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</si>
  <si>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</si>
  <si>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</si>
  <si>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</si>
  <si>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</si>
  <si>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</si>
  <si>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</si>
  <si>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</si>
  <si>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</si>
  <si>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</si>
  <si>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</si>
  <si>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</si>
  <si>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</si>
  <si>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</si>
  <si>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</si>
  <si>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</si>
  <si>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CUB043</t>
  </si>
  <si>
    <t xml:space="preserve">CUB044</t>
  </si>
  <si>
    <t xml:space="preserve">Partida</t>
  </si>
  <si>
    <t xml:space="preserve">M2</t>
  </si>
  <si>
    <t xml:space="preserve">o CUBIERTA DE TEJAS CURVAS ROJO T2</t>
  </si>
  <si>
    <t xml:space="preserve">Cobertura de tejas cerámicas curvas, acabado con teja color rojo T2 (20x10x7,5 cm), recibidas con mortero de cemento industrial M5 o M7,5 directamente sobre la lámina asfáltica, en cubierta inclinada con pendiente &lt;=25%. El precio no incluye la lámina asfáltica, la resolución de puntos singulares ni las piezas especiales de la cobertura.</t>
  </si>
  <si>
    <t xml:space="preserve">ma-lp-00001603A</t>
  </si>
  <si>
    <t xml:space="preserve">Material</t>
  </si>
  <si>
    <t xml:space="preserve">saco</t>
  </si>
  <si>
    <t xml:space="preserve">Mortero seco para aplicaciones en albañilería M-7,5 VALSEC; color gris (25 kg/saco)   Ref. lp-00001603</t>
  </si>
  <si>
    <t xml:space="preserve">ma-lp-00110914</t>
  </si>
  <si>
    <t xml:space="preserve">Material</t>
  </si>
  <si>
    <t xml:space="preserve">pza</t>
  </si>
  <si>
    <t xml:space="preserve">Teja cerámica curva T2 Roja de LA ESCANDELLA (20x10x7,5 cm/pza).   Ref. lp-00110914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</si>
  <si>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</si>
  <si>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</si>
  <si>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</si>
  <si>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</si>
  <si>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</si>
  <si>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</si>
  <si>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</si>
  <si>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</si>
  <si>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</si>
  <si>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</si>
  <si>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</si>
  <si>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</si>
  <si>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</si>
  <si>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</si>
  <si>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</si>
  <si>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</si>
  <si>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</si>
  <si>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</si>
  <si>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</si>
  <si>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</si>
  <si>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CUB044</t>
  </si>
  <si>
    <t xml:space="preserve">CUB045</t>
  </si>
  <si>
    <t xml:space="preserve">Partida</t>
  </si>
  <si>
    <t xml:space="preserve">M2</t>
  </si>
  <si>
    <t xml:space="preserve">o CUBIERTA DE TEJAS CURVAS ROJO T4</t>
  </si>
  <si>
    <t xml:space="preserve">Cobertura de tejas cerámicas curvas, acabado con teja color rojo T4 (40x18,3x13 cm), recibidas con mortero de cemento industrial M5 o M7,5 directamente sobre la lámina asfáltica, en cubierta inclinada con pendiente &lt;=25%. El precio no incluye la lámina asfáltica, la resolución de puntos singulares ni las piezas especiales de la cobertura.</t>
  </si>
  <si>
    <t xml:space="preserve">ma-lp-00001603A</t>
  </si>
  <si>
    <t xml:space="preserve">Material</t>
  </si>
  <si>
    <t xml:space="preserve">saco</t>
  </si>
  <si>
    <t xml:space="preserve">Mortero seco para aplicaciones en albañilería M-7,5 VALSEC; color gris (25 kg/saco)   Ref. lp-00001603</t>
  </si>
  <si>
    <t xml:space="preserve">ma-lp-00110913</t>
  </si>
  <si>
    <t xml:space="preserve">Material</t>
  </si>
  <si>
    <t xml:space="preserve">pza</t>
  </si>
  <si>
    <t xml:space="preserve">Teja cerámica curva T4 Roja de LA ESCANDELLA (40x18,3x13 cm/pza).   Ref. lp-00110913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</si>
  <si>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</si>
  <si>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</si>
  <si>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</si>
  <si>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</si>
  <si>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</si>
  <si>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</si>
  <si>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</si>
  <si>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</si>
  <si>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</si>
  <si>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</si>
  <si>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</si>
  <si>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</si>
  <si>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</si>
  <si>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</si>
  <si>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</si>
  <si>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</si>
  <si>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</si>
  <si>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</si>
  <si>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</si>
  <si>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</si>
  <si>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CUB045</t>
  </si>
  <si>
    <t xml:space="preserve">CUB046</t>
  </si>
  <si>
    <t xml:space="preserve">Partida</t>
  </si>
  <si>
    <t xml:space="preserve">M2</t>
  </si>
  <si>
    <t xml:space="preserve">o CUBIERTA DE TEJAS CURVAS ROJO T5</t>
  </si>
  <si>
    <t xml:space="preserve">Cobertura de tejas cerámicas curvas, acabado con teja color rojo T5 (50x21x16 cm), recibidas con mortero de cemento industrial M5 o M7,5 directamente sobre la lámina asfáltica, en cubierta inclinada con pendiente &lt;=25%. El precio no incluye la lámina asfáltica, la resolución de puntos singulares ni las piezas especiales de la cobertura.</t>
  </si>
  <si>
    <t xml:space="preserve">ma-lp-00001603A</t>
  </si>
  <si>
    <t xml:space="preserve">Material</t>
  </si>
  <si>
    <t xml:space="preserve">saco</t>
  </si>
  <si>
    <t xml:space="preserve">Mortero seco para aplicaciones en albañilería M-7,5 VALSEC; color gris (25 kg/saco)   Ref. lp-00001603</t>
  </si>
  <si>
    <t xml:space="preserve">ma-lp-00110915</t>
  </si>
  <si>
    <t xml:space="preserve">Material</t>
  </si>
  <si>
    <t xml:space="preserve">pza</t>
  </si>
  <si>
    <t xml:space="preserve">Teja cerámica curva T5 Roja de LA ESCANDELLA (50x21x16cm/pza).   Ref. lp-00110915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</si>
  <si>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</si>
  <si>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</si>
  <si>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</si>
  <si>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</si>
  <si>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</si>
  <si>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</si>
  <si>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</si>
  <si>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</si>
  <si>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</si>
  <si>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</si>
  <si>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</si>
  <si>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</si>
  <si>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</si>
  <si>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</si>
  <si>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</si>
  <si>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</si>
  <si>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</si>
  <si>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</si>
  <si>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</si>
  <si>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</si>
  <si>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CUB046</t>
  </si>
  <si>
    <t xml:space="preserve">CUB047</t>
  </si>
  <si>
    <t xml:space="preserve">Partida</t>
  </si>
  <si>
    <t xml:space="preserve">M2</t>
  </si>
  <si>
    <t xml:space="preserve">o CUBIERTA DE PANEL SANDWICH, IMITACIÓN TEJA ÁRABE</t>
  </si>
  <si>
    <t xml:space="preserve">Suministro y colocacion de Panel de cubierta con una chapa exterior en imitación teja y núcleo aislante de espuma PUR o PIR de alta densidad, unos 36-40 kg/m3. Se trata de un panel sandwich con un acabado estético sobresaliente, además de gran resistencia mecánica y elevado aislamiento térmico; por todo ello, está especialmente recomendado para uso residencial.</t>
  </si>
  <si>
    <t xml:space="preserve">AUX004</t>
  </si>
  <si>
    <t xml:space="preserve">Partida</t>
  </si>
  <si>
    <t xml:space="preserve">MES</t>
  </si>
  <si>
    <t xml:space="preserve">o MES DE PLATAFORMA ELEVADORA DE TIJERAS</t>
  </si>
  <si>
    <t xml:space="preserve">BTID12</t>
  </si>
  <si>
    <t xml:space="preserve">Maquinaria</t>
  </si>
  <si>
    <t xml:space="preserve">DIA</t>
  </si>
  <si>
    <t xml:space="preserve">PLATAFORMA TIJERA DIESEL 12M ALQUILER DIARIO 63.27€</t>
  </si>
  <si>
    <t xml:space="preserve">SEGURO</t>
  </si>
  <si>
    <t xml:space="preserve">Material</t>
  </si>
  <si>
    <t xml:space="preserve">PAR</t>
  </si>
  <si>
    <t xml:space="preserve">SEGURO 14% (DÍAS NATURALES)</t>
  </si>
  <si>
    <t xml:space="preserve">RESID</t>
  </si>
  <si>
    <t xml:space="preserve">Material</t>
  </si>
  <si>
    <t xml:space="preserve">PAR</t>
  </si>
  <si>
    <t xml:space="preserve">GESTIÓN DE RESIDUOS 14€ (POR CONTRATO).</t>
  </si>
  <si>
    <t xml:space="preserve">ENTRG1</t>
  </si>
  <si>
    <t xml:space="preserve">Material</t>
  </si>
  <si>
    <t xml:space="preserve">PAR</t>
  </si>
  <si>
    <t xml:space="preserve">PORTES DE ENTREGA</t>
  </si>
  <si>
    <t xml:space="preserve">RECO1</t>
  </si>
  <si>
    <t xml:space="preserve">Material</t>
  </si>
  <si>
    <t xml:space="preserve">PAR</t>
  </si>
  <si>
    <t xml:space="preserve">PORTE DE RECOGIDA</t>
  </si>
  <si>
    <t xml:space="preserve">FIAN</t>
  </si>
  <si>
    <t xml:space="preserve">Material</t>
  </si>
  <si>
    <t xml:space="preserve">PAR</t>
  </si>
  <si>
    <t xml:space="preserve">FIANZA DE ALQUILER Y CONSUMO DE COMBUSTIBLE</t>
  </si>
  <si>
    <t xml:space="preserve">SEGURO14</t>
  </si>
  <si>
    <t xml:space="preserve">Material</t>
  </si>
  <si>
    <t xml:space="preserve">par</t>
  </si>
  <si>
    <t xml:space="preserve">Seguro obligatorio 14% (Cálculo días naturales)</t>
  </si>
  <si>
    <t xml:space="preserve">DIESEL</t>
  </si>
  <si>
    <t xml:space="preserve">Material</t>
  </si>
  <si>
    <t xml:space="preserve">l</t>
  </si>
  <si>
    <t xml:space="preserve">Diesel</t>
  </si>
  <si>
    <t xml:space="preserve">operador1</t>
  </si>
  <si>
    <t xml:space="preserve">Mano de obra</t>
  </si>
  <si>
    <t xml:space="preserve">h</t>
  </si>
  <si>
    <t xml:space="preserve">Operador plataforma de tijera</t>
  </si>
  <si>
    <t xml:space="preserve">AUX004</t>
  </si>
  <si>
    <t xml:space="preserve">AUX006</t>
  </si>
  <si>
    <t xml:space="preserve">Partida</t>
  </si>
  <si>
    <t xml:space="preserve">U</t>
  </si>
  <si>
    <t xml:space="preserve">o TRANSPORTE DE PLATAFORMA ELEVADORA</t>
  </si>
  <si>
    <t xml:space="preserve">ENTRG1</t>
  </si>
  <si>
    <t xml:space="preserve">Material</t>
  </si>
  <si>
    <t xml:space="preserve">PAR</t>
  </si>
  <si>
    <t xml:space="preserve">PORTES DE ENTREGA</t>
  </si>
  <si>
    <t xml:space="preserve">RECO1</t>
  </si>
  <si>
    <t xml:space="preserve">Material</t>
  </si>
  <si>
    <t xml:space="preserve">PAR</t>
  </si>
  <si>
    <t xml:space="preserve">PORTE DE RECOGIDA</t>
  </si>
  <si>
    <t xml:space="preserve">AUX006</t>
  </si>
  <si>
    <t xml:space="preserve">036teja-r-b-50</t>
  </si>
  <si>
    <t xml:space="preserve">Material</t>
  </si>
  <si>
    <t xml:space="preserve">m2</t>
  </si>
  <si>
    <t xml:space="preserve">PANEL TEJA EXTRA AISLAMIENTO ROJO MARRON TERRACOTA EXT/BLANCO INTERIOR 1,00x1,05M</t>
  </si>
  <si>
    <t xml:space="preserve">09cum2arojo5t</t>
  </si>
  <si>
    <t xml:space="preserve">Material</t>
  </si>
  <si>
    <t xml:space="preserve">m</t>
  </si>
  <si>
    <t xml:space="preserve">REMATE 5 TEJAS DE CUMBRERA A 2 AGUAS TEJA EN ROJO MARRON TERRACOTA</t>
  </si>
  <si>
    <t xml:space="preserve">09frontrojo5t</t>
  </si>
  <si>
    <t xml:space="preserve">Material</t>
  </si>
  <si>
    <t xml:space="preserve">m</t>
  </si>
  <si>
    <t xml:space="preserve">REMATE 5 TEJAS DE FRONTAL PARA PANEL TEJA ROJO MARRON TERRACOTA</t>
  </si>
  <si>
    <t xml:space="preserve">09latrojo</t>
  </si>
  <si>
    <t xml:space="preserve">Material</t>
  </si>
  <si>
    <t xml:space="preserve">m</t>
  </si>
  <si>
    <t xml:space="preserve">REMATE LATERAL FORMA DE U PARA PANEL TEJA ROJO MARRON TERRACOTA</t>
  </si>
  <si>
    <t xml:space="preserve">09canal416</t>
  </si>
  <si>
    <t xml:space="preserve">Material</t>
  </si>
  <si>
    <t xml:space="preserve">m</t>
  </si>
  <si>
    <t xml:space="preserve">CANAL DE CHAPA COLOR ROJO MARRON TERRACOTA, DESARROLLO DE 416MM</t>
  </si>
  <si>
    <t xml:space="preserve">09tapa416</t>
  </si>
  <si>
    <t xml:space="preserve">Material</t>
  </si>
  <si>
    <t xml:space="preserve">m</t>
  </si>
  <si>
    <t xml:space="preserve">TAPA PARA CANAL DE CHAPA COLOR ROJO MARRON TERRACOTA, DESARROLLO DE 416MM</t>
  </si>
  <si>
    <t xml:space="preserve">11canalembo</t>
  </si>
  <si>
    <t xml:space="preserve">Material</t>
  </si>
  <si>
    <t xml:space="preserve">u</t>
  </si>
  <si>
    <t xml:space="preserve">EMBOCADURA PARA CANAL PARA CONEXIÓN CON BAJANTE</t>
  </si>
  <si>
    <t xml:space="preserve">fijac1kit</t>
  </si>
  <si>
    <t xml:space="preserve">Material</t>
  </si>
  <si>
    <t xml:space="preserve">u</t>
  </si>
  <si>
    <t xml:space="preserve">Kit de accesorios de fijación, para paneles sándwich aislantes, en cubiertas inclinadas.</t>
  </si>
  <si>
    <t xml:space="preserve">00225201</t>
  </si>
  <si>
    <t xml:space="preserve">Material</t>
  </si>
  <si>
    <t xml:space="preserve">m</t>
  </si>
  <si>
    <t xml:space="preserve">CINTA ADHESIVA DOBLE CARA TYVEK BUTILO 50 MM 30 M Ref.: 00225201</t>
  </si>
  <si>
    <t xml:space="preserve">trnsparabe</t>
  </si>
  <si>
    <t xml:space="preserve">Material</t>
  </si>
  <si>
    <t xml:space="preserve">par</t>
  </si>
  <si>
    <t xml:space="preserve">Transporte Panel Sandwich Teja Arabe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</si>
  <si>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</si>
  <si>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</si>
  <si>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</si>
  <si>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</si>
  <si>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</si>
  <si>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</si>
  <si>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</si>
  <si>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</si>
  <si>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</si>
  <si>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</si>
  <si>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</si>
  <si>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</si>
  <si>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</si>
  <si>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</si>
  <si>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</si>
  <si>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</si>
  <si>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</si>
  <si>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</si>
  <si>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</si>
  <si>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</si>
  <si>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CUB047</t>
  </si>
  <si>
    <t xml:space="preserve">CUB048</t>
  </si>
  <si>
    <t xml:space="preserve">Partida</t>
  </si>
  <si>
    <t xml:space="preserve">M2</t>
  </si>
  <si>
    <t xml:space="preserve">o CUBIERTA DE PANEL SANDWICH ACERO-PU-ACERO 3 cm</t>
  </si>
  <si>
    <t xml:space="preserve">CUBIERTA DE PLACAS DE PANEL SANDWICH ACERO-PU-ACERO 3 cm</t>
  </si>
  <si>
    <t xml:space="preserve">ma-lp-00134445</t>
  </si>
  <si>
    <t xml:space="preserve">Material</t>
  </si>
  <si>
    <t xml:space="preserve">panel</t>
  </si>
  <si>
    <t xml:space="preserve">Panel sandwich aislante autoportante acabado GRECADO; color blanco/blanco (3000x1000x30 mm/panel).   Ref. lp-00134445</t>
  </si>
  <si>
    <t xml:space="preserve">ma-lp-00249793</t>
  </si>
  <si>
    <t xml:space="preserve">Material</t>
  </si>
  <si>
    <t xml:space="preserve">pza</t>
  </si>
  <si>
    <t xml:space="preserve">Remate lateral para panel sándwich acabado GRECADO de 3 cm (3 m/pza).   Ref. lp-00249793</t>
  </si>
  <si>
    <t xml:space="preserve">ma-lp-00269940</t>
  </si>
  <si>
    <t xml:space="preserve">Material</t>
  </si>
  <si>
    <t xml:space="preserve">pza</t>
  </si>
  <si>
    <t xml:space="preserve">Remate frontal para panel sándwich acabado GRECADO de 3 cm (1 m/pza).   Ref. lp-00269940</t>
  </si>
  <si>
    <t xml:space="preserve">ma-lp-00281618</t>
  </si>
  <si>
    <t xml:space="preserve">Material</t>
  </si>
  <si>
    <t xml:space="preserve">pza</t>
  </si>
  <si>
    <t xml:space="preserve">Remate de cumbrera para panel sándwich acabado GRECADO de 3 cm (3 m/pza).   Ref. lp-00281618</t>
  </si>
  <si>
    <t xml:space="preserve">ma-lp-00215083</t>
  </si>
  <si>
    <t xml:space="preserve">Material</t>
  </si>
  <si>
    <t xml:space="preserve">caja</t>
  </si>
  <si>
    <t xml:space="preserve">Taco DUOPOWER de FISCHER (50 pzas/caja).   Ref. lp-00215083</t>
  </si>
  <si>
    <t xml:space="preserve">ma-lp-00411804</t>
  </si>
  <si>
    <t xml:space="preserve">Material</t>
  </si>
  <si>
    <t xml:space="preserve">pza</t>
  </si>
  <si>
    <t xml:space="preserve">Tornillo punta broca de acero cincado para panel sándwich con arandela diámetro 16 mm (5,5/6,3x115 mm/pza).   Ref. lp-00411804</t>
  </si>
  <si>
    <t xml:space="preserve">ma-lp-00541254</t>
  </si>
  <si>
    <t xml:space="preserve">Material</t>
  </si>
  <si>
    <t xml:space="preserve">envase</t>
  </si>
  <si>
    <t xml:space="preserve">Masilla de poliuretano BIGMAT (600 ml/envase); color blanco.   Ref. lp-00541254</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</si>
  <si>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</si>
  <si>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</si>
  <si>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</si>
  <si>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</si>
  <si>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</si>
  <si>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</si>
  <si>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</si>
  <si>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</si>
  <si>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</si>
  <si>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alq-sierra.circular-tq-01</t>
  </si>
  <si>
    <t xml:space="preserve">Maquinaria</t>
  </si>
  <si>
    <t xml:space="preserve">h</t>
  </si>
  <si>
    <t xml:space="preserve">Alquiler de Sierra Circular Eléctrica Portátil.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</si>
  <si>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</si>
  <si>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</si>
  <si>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</si>
  <si>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</si>
  <si>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</si>
  <si>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</si>
  <si>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</si>
  <si>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</si>
  <si>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</si>
  <si>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</si>
  <si>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</si>
  <si>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</si>
  <si>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</si>
  <si>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</si>
  <si>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</si>
  <si>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</si>
  <si>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</si>
  <si>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</si>
  <si>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</si>
  <si>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</si>
  <si>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CUB048</t>
  </si>
  <si>
    <t xml:space="preserve">CUB049</t>
  </si>
  <si>
    <t xml:space="preserve">Partida</t>
  </si>
  <si>
    <t xml:space="preserve">M2</t>
  </si>
  <si>
    <t xml:space="preserve">o AISLAMIENTO TÉRMICO CON POLIESTIRENO ESTRUIDO (XPS) 40MM</t>
  </si>
  <si>
    <t xml:space="preserve">Aislamiento térmico de cubierta plana transitable, pendiente del 1% al 5%, para tráfico peatonal privado; formado por panel rígido de poliestireno extruido, de 40 mm de espesor.</t>
  </si>
  <si>
    <t xml:space="preserve">ma-lp-00275678</t>
  </si>
  <si>
    <t xml:space="preserve">Material</t>
  </si>
  <si>
    <t xml:space="preserve">paquete</t>
  </si>
  <si>
    <t xml:space="preserve">Placa XPS SL para Sistema SATE; 1250x600x40 mm/panel (7,5 m2/paquete).   Ref. lp-00275678</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</si>
  <si>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</si>
  <si>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</si>
  <si>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</si>
  <si>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</si>
  <si>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</si>
  <si>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</si>
  <si>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</si>
  <si>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</si>
  <si>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</si>
  <si>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</si>
  <si>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</si>
  <si>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</si>
  <si>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</si>
  <si>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</si>
  <si>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</si>
  <si>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</si>
  <si>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</si>
  <si>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</si>
  <si>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</si>
  <si>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</si>
  <si>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</si>
  <si>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</si>
  <si>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</si>
  <si>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</si>
  <si>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</si>
  <si>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</si>
  <si>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</si>
  <si>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</si>
  <si>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CUB049</t>
  </si>
  <si>
    <t xml:space="preserve">CUB050</t>
  </si>
  <si>
    <t xml:space="preserve">Partida</t>
  </si>
  <si>
    <t xml:space="preserve">M2</t>
  </si>
  <si>
    <t xml:space="preserve">o AISLAMIENTO TÉRMICO CON POLIESTIRENO ESTRUIDO (XPS) 60MM</t>
  </si>
  <si>
    <t xml:space="preserve">Aislamiento térmico de cubierta plana transitable, pendiente del 1% al 5%, para tráfico peatonal privado; formado por panel rígido de poliestireno extruido, de 60 mm de espesor.</t>
  </si>
  <si>
    <t xml:space="preserve">ma-lp-00275683</t>
  </si>
  <si>
    <t xml:space="preserve">Material</t>
  </si>
  <si>
    <t xml:space="preserve">paquete</t>
  </si>
  <si>
    <t xml:space="preserve">Placa XPS SL para Sistema SATE; 1250x600x60 mm/panel (5,25 m2/paquete).   Ref. lp-00275683</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</si>
  <si>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</si>
  <si>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</si>
  <si>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</si>
  <si>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</si>
  <si>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</si>
  <si>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</si>
  <si>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</si>
  <si>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</si>
  <si>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</si>
  <si>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</si>
  <si>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</si>
  <si>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</si>
  <si>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</si>
  <si>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</si>
  <si>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</si>
  <si>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</si>
  <si>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</si>
  <si>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</si>
  <si>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</si>
  <si>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</si>
  <si>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</si>
  <si>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</si>
  <si>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</si>
  <si>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</si>
  <si>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</si>
  <si>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</si>
  <si>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</si>
  <si>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</si>
  <si>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CUB050</t>
  </si>
  <si>
    <t xml:space="preserve">CUB051</t>
  </si>
  <si>
    <t xml:space="preserve">Partida</t>
  </si>
  <si>
    <t xml:space="preserve">M2</t>
  </si>
  <si>
    <t xml:space="preserve">o AISLAMIENTO TÉRMICO CON POLIESTIRENO ESTRUIDO (XPS) 80MM</t>
  </si>
  <si>
    <t xml:space="preserve">Aislamiento térmico de cubierta plana transitable, pendiente del 1% al 5%, para tráfico peatonal privado; formado por panel rígido de poliestireno extruido, de 80 mm de espesor.</t>
  </si>
  <si>
    <t xml:space="preserve">ma-lp-00275685</t>
  </si>
  <si>
    <t xml:space="preserve">Material</t>
  </si>
  <si>
    <t xml:space="preserve">paquete</t>
  </si>
  <si>
    <t xml:space="preserve">Placa XPS SL para Sistema SATE; 1250x600x80 mm/panel (3,75 m2/paquete).   Ref. lp-00275685</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</si>
  <si>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</si>
  <si>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</si>
  <si>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</si>
  <si>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</si>
  <si>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</si>
  <si>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</si>
  <si>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</si>
  <si>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</si>
  <si>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</si>
  <si>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</si>
  <si>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</si>
  <si>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</si>
  <si>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</si>
  <si>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</si>
  <si>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</si>
  <si>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</si>
  <si>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</si>
  <si>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</si>
  <si>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</si>
  <si>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</si>
  <si>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</si>
  <si>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</si>
  <si>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</si>
  <si>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</si>
  <si>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</si>
  <si>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</si>
  <si>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</si>
  <si>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</si>
  <si>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CUB051</t>
  </si>
  <si>
    <t xml:space="preserve">CUB052</t>
  </si>
  <si>
    <t xml:space="preserve">Partida</t>
  </si>
  <si>
    <t xml:space="preserve">M2</t>
  </si>
  <si>
    <t xml:space="preserve">o AISLAMIENTO TÉRMICO CON POLIESTIRENO EXPANDIDO (EPS) 40MM</t>
  </si>
  <si>
    <t xml:space="preserve">EEEE</t>
  </si>
  <si>
    <t xml:space="preserve">ma-lp-00235527</t>
  </si>
  <si>
    <t xml:space="preserve">Material</t>
  </si>
  <si>
    <t xml:space="preserve">placa</t>
  </si>
  <si>
    <t xml:space="preserve">Placa EPS KNAUF TECK para Sistema SATE; blanca (1000x500x40 mm/placa).   Ref. lp-00235527</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</si>
  <si>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</si>
  <si>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</si>
  <si>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</si>
  <si>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</si>
  <si>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</si>
  <si>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</si>
  <si>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</si>
  <si>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</si>
  <si>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</si>
  <si>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</si>
  <si>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</si>
  <si>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</si>
  <si>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</si>
  <si>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</si>
  <si>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</si>
  <si>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</si>
  <si>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</si>
  <si>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</si>
  <si>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</si>
  <si>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</si>
  <si>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</si>
  <si>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</si>
  <si>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</si>
  <si>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</si>
  <si>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</si>
  <si>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</si>
  <si>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</si>
  <si>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</si>
  <si>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CUB052</t>
  </si>
  <si>
    <t xml:space="preserve">CUB053</t>
  </si>
  <si>
    <t xml:space="preserve">Partida</t>
  </si>
  <si>
    <t xml:space="preserve">M2</t>
  </si>
  <si>
    <t xml:space="preserve">o AISLAMIENTO TÉRMICO CON POLIESTIRENO EXPANDIDO (EPS) 60MM</t>
  </si>
  <si>
    <t xml:space="preserve">CAPA DE AISLAMIENTO TÉRMICO CON LÁMINA POLIESTIRENO EXPANDIDO (EPS) 60 mm COLOCADA CON MORTERO ADHESIVO</t>
  </si>
  <si>
    <t xml:space="preserve">ma-lp-00235528</t>
  </si>
  <si>
    <t xml:space="preserve">Material</t>
  </si>
  <si>
    <t xml:space="preserve">placa</t>
  </si>
  <si>
    <t xml:space="preserve">Placa EPS KNAUF TECK para Sistema SATE; blanca (1000x500x60 mm/placa).   Ref. lp-00235528</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</si>
  <si>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</si>
  <si>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</si>
  <si>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</si>
  <si>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</si>
  <si>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</si>
  <si>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</si>
  <si>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</si>
  <si>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</si>
  <si>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</si>
  <si>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</si>
  <si>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</si>
  <si>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</si>
  <si>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</si>
  <si>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</si>
  <si>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</si>
  <si>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</si>
  <si>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</si>
  <si>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</si>
  <si>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</si>
  <si>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</si>
  <si>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</si>
  <si>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</si>
  <si>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</si>
  <si>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</si>
  <si>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</si>
  <si>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</si>
  <si>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</si>
  <si>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</si>
  <si>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CUB053</t>
  </si>
  <si>
    <t xml:space="preserve">CUB054</t>
  </si>
  <si>
    <t xml:space="preserve">Partida</t>
  </si>
  <si>
    <t xml:space="preserve">M2</t>
  </si>
  <si>
    <t xml:space="preserve">o AISLAMIENTO TÉRMICO CON POLIESTIRENO EXPANDIDO (EPS) 80MM</t>
  </si>
  <si>
    <t xml:space="preserve">CAPA DE AISLAMIENTO TÉRMICO CON LÁMINA POLIESTIRENO EXPANDIDO (EPS) 80 mm COLOCADA CON MORTERO ADHESIVO</t>
  </si>
  <si>
    <t xml:space="preserve">ma-lp-00535728</t>
  </si>
  <si>
    <t xml:space="preserve">Material</t>
  </si>
  <si>
    <t xml:space="preserve">placa</t>
  </si>
  <si>
    <t xml:space="preserve">Placa EPS para Sistema SATE; blanca (1000x500x80 mm/placa).   Ref. lp-00535728</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</si>
  <si>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</si>
  <si>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</si>
  <si>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</si>
  <si>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</si>
  <si>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ma-lp-00540007</t>
  </si>
  <si>
    <t xml:space="preserve">Material</t>
  </si>
  <si>
    <t xml:space="preserve">rollo</t>
  </si>
  <si>
    <t xml:space="preserve">Malla de fibra de vidrio SATE – BIGMAT (1.10x50m/rollo).   Ref- lp-00540007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</si>
  <si>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</si>
  <si>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</si>
  <si>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</si>
  <si>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</si>
  <si>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</si>
  <si>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</si>
  <si>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</si>
  <si>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</si>
  <si>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</si>
  <si>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</si>
  <si>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</si>
  <si>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</si>
  <si>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</si>
  <si>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</si>
  <si>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</si>
  <si>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</si>
  <si>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</si>
  <si>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</si>
  <si>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</si>
  <si>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</si>
  <si>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CUB054</t>
  </si>
  <si>
    <t xml:space="preserve">CUB055</t>
  </si>
  <si>
    <t xml:space="preserve">Partida</t>
  </si>
  <si>
    <t xml:space="preserve">UD</t>
  </si>
  <si>
    <t xml:space="preserve">o TRAMPILLA DE ACCESO A CUBIERTA 70x120CM MAYDISA</t>
  </si>
  <si>
    <t xml:space="preserve">Suministro y colocación de nuevo acceso a cubierta. Consiste en apertura de hueco en techo escalera. Posterior suministro y colocación de trampilla MAYDISA ISO de 120x70cm de accionamiento manual de apertura telescòpica. Incluye escalera integrada para acceso a cubierta EM-3 ISO metálica lacada 3 tramos MAYDISA Tapa Ignífuga EI2 de 120x70cm.</t>
  </si>
  <si>
    <t xml:space="preserve">DEM014</t>
  </si>
  <si>
    <t xml:space="preserve">Partida</t>
  </si>
  <si>
    <t xml:space="preserve">M2</t>
  </si>
  <si>
    <t xml:space="preserve">o DEMOLICION DE SOLERA</t>
  </si>
  <si>
    <t xml:space="preserve">alq-martillo.neum.picador-ra-01</t>
  </si>
  <si>
    <t xml:space="preserve">Maquinaria</t>
  </si>
  <si>
    <t xml:space="preserve">h</t>
  </si>
  <si>
    <t xml:space="preserve">Alquiler de Martillo Neumático Picador 10 kg (Longitud 490 mm; Consumo de Aire: 0,95 m3).   Ref. RENTAIRE</t>
  </si>
  <si>
    <t xml:space="preserve">alq-martillo.neum.rompedor-ra-01</t>
  </si>
  <si>
    <t xml:space="preserve">Maquinaria</t>
  </si>
  <si>
    <t xml:space="preserve">h</t>
  </si>
  <si>
    <t xml:space="preserve">Alquiler de Martillo Neumático Rompedor 24 kg (Longitud 686 mm; Consumo de Aire: 1,25 m3).   Ref. RENTAIRE</t>
  </si>
  <si>
    <t xml:space="preserve">alq-compresor-ra-01</t>
  </si>
  <si>
    <t xml:space="preserve">Maquinaria</t>
  </si>
  <si>
    <t xml:space="preserve">h</t>
  </si>
  <si>
    <t xml:space="preserve">Alquiler de Compresor Móvil 4litros/8kg presión, Caudal 4.000 LPM, Peso 1.025 kg.   Ref. RENTAIRE</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</si>
  <si>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</si>
  <si>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</si>
  <si>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</si>
  <si>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</si>
  <si>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</si>
  <si>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</si>
  <si>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</si>
  <si>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DEM014</t>
  </si>
  <si>
    <t xml:space="preserve">esc1</t>
  </si>
  <si>
    <t xml:space="preserve">Material</t>
  </si>
  <si>
    <t xml:space="preserve">ud</t>
  </si>
  <si>
    <t xml:space="preserve">EM-3 ISO metálica lacada 3 tramos Tapa Ignífuga EI2 de 120x70cm</t>
  </si>
  <si>
    <t xml:space="preserve">trap1</t>
  </si>
  <si>
    <t xml:space="preserve">Material</t>
  </si>
  <si>
    <t xml:space="preserve">ud</t>
  </si>
  <si>
    <t xml:space="preserve">Trampilla ISO de 120x70cm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</si>
  <si>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</si>
  <si>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</si>
  <si>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</si>
  <si>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</si>
  <si>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</si>
  <si>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</si>
  <si>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</si>
  <si>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</si>
  <si>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</si>
  <si>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</si>
  <si>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</si>
  <si>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</si>
  <si>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</si>
  <si>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</si>
  <si>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</si>
  <si>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</si>
  <si>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</si>
  <si>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</si>
  <si>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</si>
  <si>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</si>
  <si>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CUB055</t>
  </si>
  <si>
    <t xml:space="preserve">CUB056</t>
  </si>
  <si>
    <t xml:space="preserve">Partida</t>
  </si>
  <si>
    <t xml:space="preserve">U</t>
  </si>
  <si>
    <t xml:space="preserve">o TRAMPILLA DE ACCESO A CUBIERTA CON CUPULA DE 70x70cm</t>
  </si>
  <si>
    <t xml:space="preserve">- Derribo, desmontaje de zócalo y cubierta de hierro. 
- Saneado y preparación del soporte. 
- Suministro y colocación de zócalo de PVC o equivalente con mecanismo de apertura manual.
- Sellado, adecuación e impermeabilización del encuentro entre la base soporte de la cubierta y el zócalo de la claraboya mediante láminas bituminosa o equivalentes. 
- Suministro y colocación de una nueva cúpula de metacrilato de 70x70 telescopica con zocalo. 
- Se incluye la parte proporcional de desplazar, acopiar y adecuar los áridos de cubierta.
- Enyesado y pintura de la zona afectada y reparada.
- Carga, transporte y gestión de los residuos.</t>
  </si>
  <si>
    <t xml:space="preserve">ENF001</t>
  </si>
  <si>
    <t xml:space="preserve">Partida</t>
  </si>
  <si>
    <t xml:space="preserve">M2</t>
  </si>
  <si>
    <t xml:space="preserve">o ENFOSCADODE MORTERO M-7,5 DE 15mm</t>
  </si>
  <si>
    <t xml:space="preserve">ma-lp-00539164</t>
  </si>
  <si>
    <t xml:space="preserve">Material</t>
  </si>
  <si>
    <t xml:space="preserve">saco</t>
  </si>
  <si>
    <t xml:space="preserve">Mortero seco para aplicaciones en albañilería M-7,5 SAGRASEC; color blanco (25 kg/saco)   Ref. lp-00539164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</si>
  <si>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</si>
  <si>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</si>
  <si>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</si>
  <si>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</si>
  <si>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</si>
  <si>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</si>
  <si>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</si>
  <si>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</si>
  <si>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</si>
  <si>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</si>
  <si>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</si>
  <si>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</si>
  <si>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</si>
  <si>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</si>
  <si>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</si>
  <si>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</si>
  <si>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</si>
  <si>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</si>
  <si>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</si>
  <si>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ENF001</t>
  </si>
  <si>
    <t xml:space="preserve">PINT002</t>
  </si>
  <si>
    <t xml:space="preserve">Partida</t>
  </si>
  <si>
    <t xml:space="preserve">M2</t>
  </si>
  <si>
    <t xml:space="preserve">o PINTURA TRANSPIRABLE PALAS-INTERFACHADAS</t>
  </si>
  <si>
    <t xml:space="preserve">0120100600</t>
  </si>
  <si>
    <t xml:space="preserve">Material</t>
  </si>
  <si>
    <t xml:space="preserve">U</t>
  </si>
  <si>
    <t xml:space="preserve">FT-PALAS INTER FACHADAS BLANCO 14L       PINTURAS PALACIOS</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</si>
  <si>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</si>
  <si>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</si>
  <si>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</si>
  <si>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</si>
  <si>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</si>
  <si>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</si>
  <si>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</si>
  <si>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</si>
  <si>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</si>
  <si>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</si>
  <si>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</si>
  <si>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</si>
  <si>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</si>
  <si>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</si>
  <si>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</si>
  <si>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</si>
  <si>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</si>
  <si>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</si>
  <si>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</si>
  <si>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</si>
  <si>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</si>
  <si>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</si>
  <si>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</si>
  <si>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</si>
  <si>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</si>
  <si>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</si>
  <si>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</si>
  <si>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PINT002</t>
  </si>
  <si>
    <t xml:space="preserve">CUB028</t>
  </si>
  <si>
    <t xml:space="preserve">Partida</t>
  </si>
  <si>
    <t xml:space="preserve">M2</t>
  </si>
  <si>
    <t xml:space="preserve">o IMPRIMACION EMULSIÓN ASFALTICA BITUMINOSA</t>
  </si>
  <si>
    <t xml:space="preserve">ma-lp-00274122</t>
  </si>
  <si>
    <t xml:space="preserve">Material</t>
  </si>
  <si>
    <t xml:space="preserve">bote</t>
  </si>
  <si>
    <t xml:space="preserve">Primer de impermeabilización, emulsión asfáltica AQUASEAL BIGMAT de SOPREMA; color negro (25 kg/envase).   Ref. lp-00274122</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</si>
  <si>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</si>
  <si>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</si>
  <si>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</si>
  <si>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</si>
  <si>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</si>
  <si>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</si>
  <si>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</si>
  <si>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CUB028</t>
  </si>
  <si>
    <t xml:space="preserve">CUB060</t>
  </si>
  <si>
    <t xml:space="preserve">Partida</t>
  </si>
  <si>
    <t xml:space="preserve">M</t>
  </si>
  <si>
    <t xml:space="preserve">o BANDA DE REFUERZO E30 P ELAST DE LA CASA DANOSA</t>
  </si>
  <si>
    <t xml:space="preserve">ma-lucia-bandaE30P</t>
  </si>
  <si>
    <t xml:space="preserve">Material</t>
  </si>
  <si>
    <t xml:space="preserve">u</t>
  </si>
  <si>
    <t xml:space="preserve">Banda de refuerzo E 30 P ELAST de 0,32x12m</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</si>
  <si>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</si>
  <si>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</si>
  <si>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</si>
  <si>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</si>
  <si>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</si>
  <si>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</si>
  <si>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</si>
  <si>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CUB060</t>
  </si>
  <si>
    <t xml:space="preserve">CUB005</t>
  </si>
  <si>
    <t xml:space="preserve">Partida</t>
  </si>
  <si>
    <t xml:space="preserve">M2</t>
  </si>
  <si>
    <t xml:space="preserve">o IMPERMEABILIZACIÓN CON LÁMINA  ASFALTICA APP BIGMAT PLUS FV 40</t>
  </si>
  <si>
    <t xml:space="preserve">ma-lp-00274122</t>
  </si>
  <si>
    <t xml:space="preserve">Material</t>
  </si>
  <si>
    <t xml:space="preserve">bote</t>
  </si>
  <si>
    <t xml:space="preserve">Primer de impermeabilización, emulsión asfáltica AQUASEAL BIGMAT de SOPREMA; color negro (25 kg/envase).   Ref. lp-00274122</t>
  </si>
  <si>
    <t xml:space="preserve">ma-lp-00269977</t>
  </si>
  <si>
    <t xml:space="preserve">Material</t>
  </si>
  <si>
    <t xml:space="preserve">rollo</t>
  </si>
  <si>
    <t xml:space="preserve">Lámina Impermeabilizante de betún aditivado APP BIGMAT PLUS FV 40 (MOPLY N PLUS FV 4 KG de SOPREMA) con fieltro FV; espesor 3 mm (10x1 m/rollo). Ref. lp-00269977</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</si>
  <si>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</si>
  <si>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</si>
  <si>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</si>
  <si>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</si>
  <si>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</si>
  <si>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</si>
  <si>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</si>
  <si>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CUB005</t>
  </si>
  <si>
    <t xml:space="preserve">CUB009</t>
  </si>
  <si>
    <t xml:space="preserve">Partida</t>
  </si>
  <si>
    <t xml:space="preserve">M</t>
  </si>
  <si>
    <t xml:space="preserve">o FORMACION DE MIMBEL RASILLA 14x28</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</si>
  <si>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</si>
  <si>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</si>
  <si>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</si>
  <si>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</si>
  <si>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ma-lp-00299053</t>
  </si>
  <si>
    <t xml:space="preserve">Material</t>
  </si>
  <si>
    <t xml:space="preserve">pza</t>
  </si>
  <si>
    <t xml:space="preserve">Rasilla lisa de 1ª calidad con un espesor de 1,2 mm. Medidas: 14x28 cm   Ref. lp-00299053</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</si>
  <si>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</si>
  <si>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</si>
  <si>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</si>
  <si>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</si>
  <si>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</si>
  <si>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</si>
  <si>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</si>
  <si>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</si>
  <si>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</si>
  <si>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</si>
  <si>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</si>
  <si>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CUB009</t>
  </si>
  <si>
    <t xml:space="preserve">FEF010</t>
  </si>
  <si>
    <t xml:space="preserve">Partida</t>
  </si>
  <si>
    <t xml:space="preserve">m²</t>
  </si>
  <si>
    <t xml:space="preserve">Muro de carga de fábrica de ladrillo cerámico.</t>
  </si>
  <si>
    <t xml:space="preserve">mt04lpc010e</t>
  </si>
  <si>
    <t xml:space="preserve">Material</t>
  </si>
  <si>
    <t xml:space="preserve">Ud</t>
  </si>
  <si>
    <t xml:space="preserve">Ladrillo cerámico perforado (gero), para revestir, 29x14x5 cm, para uso en fábrica protegida (pieza P), categoría I, resistencia a compresión 10 N/mm², densidad 860 kg/m³, según UNE-EN 771-1.</t>
  </si>
  <si>
    <t xml:space="preserve">mt08aaa010a</t>
  </si>
  <si>
    <t xml:space="preserve">Material</t>
  </si>
  <si>
    <t xml:space="preserve">m³</t>
  </si>
  <si>
    <t xml:space="preserve">Agua.</t>
  </si>
  <si>
    <t xml:space="preserve">mt09mif010db</t>
  </si>
  <si>
    <t xml:space="preserve">Material</t>
  </si>
  <si>
    <t xml:space="preserve">t</t>
  </si>
  <si>
    <t xml:space="preserve">Mortero industrial para albañilería, de cemento, color gris, categoría M-7,5 (resistencia a compresión 7,5 N/mm²), suministrado a granel, según UNE-EN 998-2.</t>
  </si>
  <si>
    <t xml:space="preserve">mq06mms010</t>
  </si>
  <si>
    <t xml:space="preserve">Maquinaria</t>
  </si>
  <si>
    <t xml:space="preserve">h</t>
  </si>
  <si>
    <t xml:space="preserve">Mezclador continuo con silo, para mortero industrial en seco, suministrado a granel.</t>
  </si>
  <si>
    <t xml:space="preserve">moc-std1-generico</t>
  </si>
  <si>
    <t xml:space="preserve">Partida</t>
  </si>
  <si>
    <t xml:space="preserve">h</t>
  </si>
  <si>
    <t xml:space="preserve">Cuadrilla Std1 - 1 Oficial de 1ª, 1 Ayudante y 1/5 Ayudante</t>
  </si>
  <si>
    <t xml:space="preserve">%</t>
  </si>
  <si>
    <t xml:space="preserve">%</t>
  </si>
  <si>
    <t xml:space="preserve">Costes directos complementarios</t>
  </si>
  <si>
    <t xml:space="preserve">FEF010</t>
  </si>
  <si>
    <t xml:space="preserve">clara1</t>
  </si>
  <si>
    <t xml:space="preserve">Material</t>
  </si>
  <si>
    <t xml:space="preserve">u</t>
  </si>
  <si>
    <t xml:space="preserve">CLARABOYA 70x70cm. TELESCOPICA ZOCALO RECTO FULL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</si>
  <si>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</si>
  <si>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</si>
  <si>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</si>
  <si>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</si>
  <si>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</si>
  <si>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</si>
  <si>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</si>
  <si>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</si>
  <si>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</si>
  <si>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</si>
  <si>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</si>
  <si>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</si>
  <si>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</si>
  <si>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</si>
  <si>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</si>
  <si>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</si>
  <si>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</si>
  <si>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</si>
  <si>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</si>
  <si>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</si>
  <si>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CUB056</t>
  </si>
  <si>
    <t xml:space="preserve">CUB057</t>
  </si>
  <si>
    <t xml:space="preserve">Partida</t>
  </si>
  <si>
    <t xml:space="preserve">M2</t>
  </si>
  <si>
    <t xml:space="preserve">o CAPA DE MORTERO DE 2CM</t>
  </si>
  <si>
    <t xml:space="preserve">Capa de mortero de 2 cm de espesor, de mortero de cemento. Incluso banda de panel rígido de poliestireno expandido para la preparación de las juntas perimetrales de dilatación.</t>
  </si>
  <si>
    <t xml:space="preserve">ma-lp-00134360</t>
  </si>
  <si>
    <t xml:space="preserve">Material</t>
  </si>
  <si>
    <t xml:space="preserve">m</t>
  </si>
  <si>
    <t xml:space="preserve">Polietireno expandido EPS, de Knauff, para aislamiento térmico. Tira 1000x100 mm. Espesor: 10 mm</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</si>
  <si>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</si>
  <si>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</si>
  <si>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</si>
  <si>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</si>
  <si>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</si>
  <si>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</si>
  <si>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</si>
  <si>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</si>
  <si>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</si>
  <si>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</si>
  <si>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</si>
  <si>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</si>
  <si>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</si>
  <si>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</si>
  <si>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</si>
  <si>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</si>
  <si>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</si>
  <si>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</si>
  <si>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</si>
  <si>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</si>
  <si>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</si>
  <si>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</si>
  <si>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</si>
  <si>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</si>
  <si>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CUB057</t>
  </si>
  <si>
    <t xml:space="preserve">CUB058</t>
  </si>
  <si>
    <t xml:space="preserve">Partida</t>
  </si>
  <si>
    <t xml:space="preserve">M2</t>
  </si>
  <si>
    <t xml:space="preserve">o FORMACIÓN DE PENDIENTE CON MORTERO ALIGERADO 4 cm; INCLUYE IMPRIMACIÓN CON EMULSIÓN ASFÁLTICA (CUB)</t>
  </si>
  <si>
    <t xml:space="preserve">FORMACIÓN DE PENDIENTE CON MORTERO ALIGERADO 4 cm; INCLUYE IMPRIMACIÓN CON EMULSIÓN ASFÁLTICA (CUB)</t>
  </si>
  <si>
    <t xml:space="preserve">ma-lp-00001596</t>
  </si>
  <si>
    <t xml:space="preserve">Material</t>
  </si>
  <si>
    <t xml:space="preserve">pza</t>
  </si>
  <si>
    <t xml:space="preserve">Ladrillo cerámico MACIZO TOSCO de LA PALOMA CERÁMICAS (24x11x7 cm/pza).   Ref. lp-00001596</t>
  </si>
  <si>
    <t xml:space="preserve">ma-lp-00274122</t>
  </si>
  <si>
    <t xml:space="preserve">Material</t>
  </si>
  <si>
    <t xml:space="preserve">bote</t>
  </si>
  <si>
    <t xml:space="preserve">Primer de impermeabilización, emulsión asfáltica AQUASEAL BIGMAT de SOPREMA; color negro (25 kg/envase).   Ref. lp-00274122</t>
  </si>
  <si>
    <t xml:space="preserve">ma-lp-00539164</t>
  </si>
  <si>
    <t xml:space="preserve">Material</t>
  </si>
  <si>
    <t xml:space="preserve">saco</t>
  </si>
  <si>
    <t xml:space="preserve">Mortero seco para aplicaciones en albañilería M-7,5 SAGRASEC; color blanco (25 kg/saco)   Ref. lp-00539164</t>
  </si>
  <si>
    <t xml:space="preserve">ma-lp-00001542</t>
  </si>
  <si>
    <t xml:space="preserve">Material</t>
  </si>
  <si>
    <t xml:space="preserve">saco</t>
  </si>
  <si>
    <t xml:space="preserve">Arcilla expandida ARLITA LECA LIGHT PLUS de WEBER; granulometría 10-20 mm (50 litro/saco o 13,75 kg/saco).   Ref. lp-00001542</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</si>
  <si>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</si>
  <si>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</si>
  <si>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</si>
  <si>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</si>
  <si>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</si>
  <si>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</si>
  <si>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</si>
  <si>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</si>
  <si>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</si>
  <si>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</si>
  <si>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</si>
  <si>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</si>
  <si>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</si>
  <si>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</si>
  <si>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</si>
  <si>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</si>
  <si>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</si>
  <si>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</si>
  <si>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</si>
  <si>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</si>
  <si>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</si>
  <si>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</si>
  <si>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</si>
  <si>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</si>
  <si>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CUB058</t>
  </si>
  <si>
    <t xml:space="preserve">CUB059</t>
  </si>
  <si>
    <t xml:space="preserve">Partida</t>
  </si>
  <si>
    <t xml:space="preserve">U</t>
  </si>
  <si>
    <t xml:space="preserve">o MORRION O PARAHOJAS DE ALUMINIO</t>
  </si>
  <si>
    <t xml:space="preserve">Suministro y colocacion de morrion o parahojas de aluminio, son una solución eficaz para la protección de sumideros, desagües y otros sistemas de drenaje, diseñados para prevenir la obstrucción causada por hojas y residuos. Su diseño adaptable los hace compatibles con tubos de diámetros que van desde los 80 mm hasta los 125 mm, asegurando una amplia aplicación en diferentes instalaciones.</t>
  </si>
  <si>
    <t xml:space="preserve">ma-lp-00301759</t>
  </si>
  <si>
    <t xml:space="preserve">Material</t>
  </si>
  <si>
    <t xml:space="preserve">u</t>
  </si>
  <si>
    <t xml:space="preserve">MORRIÓN 360º ACERO GALVANIZADO Ref.: 00301759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</si>
  <si>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</si>
  <si>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</si>
  <si>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</si>
  <si>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</si>
  <si>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</si>
  <si>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</si>
  <si>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</si>
  <si>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</si>
  <si>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</si>
  <si>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</si>
  <si>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</si>
  <si>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</si>
  <si>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</si>
  <si>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</si>
  <si>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</si>
  <si>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</si>
  <si>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</si>
  <si>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</si>
  <si>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</si>
  <si>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</si>
  <si>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CUB059</t>
  </si>
  <si>
    <t xml:space="preserve">CUB060</t>
  </si>
  <si>
    <t xml:space="preserve">Partida</t>
  </si>
  <si>
    <t xml:space="preserve">M</t>
  </si>
  <si>
    <t xml:space="preserve">o BANDA DE REFUERZO E30 P ELAST DE LA CASA DANOSA</t>
  </si>
  <si>
    <t xml:space="preserve">HHHH</t>
  </si>
  <si>
    <t xml:space="preserve">ma-lucia-bandaE30P</t>
  </si>
  <si>
    <t xml:space="preserve">Material</t>
  </si>
  <si>
    <t xml:space="preserve">u</t>
  </si>
  <si>
    <t xml:space="preserve">Banda de refuerzo E 30 P ELAST de 0,32x12m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</si>
  <si>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</si>
  <si>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</si>
  <si>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</si>
  <si>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</si>
  <si>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</si>
  <si>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</si>
  <si>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</si>
  <si>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</si>
  <si>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</si>
  <si>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</si>
  <si>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</si>
  <si>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</si>
  <si>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</si>
  <si>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</si>
  <si>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</si>
  <si>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</si>
  <si>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</si>
  <si>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</si>
  <si>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</si>
  <si>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</si>
  <si>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CUB060</t>
  </si>
  <si>
    <t xml:space="preserve">CUB061</t>
  </si>
  <si>
    <t xml:space="preserve">Partida</t>
  </si>
  <si>
    <t xml:space="preserve">U</t>
  </si>
  <si>
    <t xml:space="preserve">o GARGOLA DE ACERO INOX AISI 304 - SCHLUTER</t>
  </si>
  <si>
    <t xml:space="preserve">Gárgola de acero inoxidable AISI 304, formada por placa en L de 100x100 mm, y tubo de salida de 45 mm de diámetro y 250 mm de longitud; colocación con masilla de silicona neutra; y sellado e impermeabilización de la junta perimetral con masilla de poliuretano, previa aplicación de la imprimación.</t>
  </si>
  <si>
    <t xml:space="preserve">ma-Schluter.Systems-KD.SPE.45/25</t>
  </si>
  <si>
    <t xml:space="preserve">Material</t>
  </si>
  <si>
    <t xml:space="preserve">pza</t>
  </si>
  <si>
    <t xml:space="preserve">Gárgola de acero inoxidable AISI 304 Schlüter-KERDI-DRAIN-SP-E 250 mm (diámetro: 45 mm).   Ref. Schluter.Systems-KD.SPE.45/25</t>
  </si>
  <si>
    <t xml:space="preserve">ma-lm-88455941</t>
  </si>
  <si>
    <t xml:space="preserve">Material</t>
  </si>
  <si>
    <t xml:space="preserve">envase</t>
  </si>
  <si>
    <t xml:space="preserve">Promotor de adhesión basado en solventes para substratos no porosos SIKA AKTIVATOR-205 de SIKA (250 ml/envase).   Ref. lm-88455941</t>
  </si>
  <si>
    <t xml:space="preserve">ma-ma-659709</t>
  </si>
  <si>
    <t xml:space="preserve">Material</t>
  </si>
  <si>
    <t xml:space="preserve">u</t>
  </si>
  <si>
    <t xml:space="preserve">Sikaflex- 11 FC marron cartucho 300ml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</si>
  <si>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</si>
  <si>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</si>
  <si>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</si>
  <si>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</si>
  <si>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</si>
  <si>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</si>
  <si>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</si>
  <si>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</si>
  <si>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</si>
  <si>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</si>
  <si>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</si>
  <si>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</si>
  <si>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</si>
  <si>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</si>
  <si>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</si>
  <si>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</si>
  <si>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</si>
  <si>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</si>
  <si>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</si>
  <si>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</si>
  <si>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CUB061</t>
  </si>
  <si>
    <t xml:space="preserve">CUB062</t>
  </si>
  <si>
    <t xml:space="preserve">Partida</t>
  </si>
  <si>
    <t xml:space="preserve">M</t>
  </si>
  <si>
    <t xml:space="preserve">o PINCHOS ANTI-PALOMAS</t>
  </si>
  <si>
    <t xml:space="preserve">Sistema de pletina de púas, para la protección frente a las aves, varillla para evitar que se posen palomas con base y pinchos de acero inoxidable. Protege hasta 19 cm, en elemento de fachada, colocada sobre cornisa, con adhesivo.</t>
  </si>
  <si>
    <t xml:space="preserve">ma-lp-00564478</t>
  </si>
  <si>
    <t xml:space="preserve">Material</t>
  </si>
  <si>
    <t xml:space="preserve">pza</t>
  </si>
  <si>
    <t xml:space="preserve">Varilla antipaloma con base y pinchos en acero inoxidable X140 (50 cm/pza con 32 púas).   Ref. lp-00564478</t>
  </si>
  <si>
    <t xml:space="preserve">ma-ma-659709</t>
  </si>
  <si>
    <t xml:space="preserve">Material</t>
  </si>
  <si>
    <t xml:space="preserve">u</t>
  </si>
  <si>
    <t xml:space="preserve">Sikaflex- 11 FC marron cartucho 300ml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</si>
  <si>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</si>
  <si>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</si>
  <si>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</si>
  <si>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</si>
  <si>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</si>
  <si>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</si>
  <si>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</si>
  <si>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</si>
  <si>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</si>
  <si>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</si>
  <si>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</si>
  <si>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</si>
  <si>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</si>
  <si>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</si>
  <si>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</si>
  <si>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</si>
  <si>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</si>
  <si>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</si>
  <si>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</si>
  <si>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</si>
  <si>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CUB062</t>
  </si>
  <si>
    <t xml:space="preserve">CUB062TV</t>
  </si>
  <si>
    <t xml:space="preserve">Partida</t>
  </si>
  <si>
    <t xml:space="preserve">M</t>
  </si>
  <si>
    <t xml:space="preserve">o PINCHOS ANTI-PALOMAS C/TRABAJOS VERTICALES</t>
  </si>
  <si>
    <t xml:space="preserve">Sistema de pletina de púas CON TRABAJOS VERTICALES, para la protección frente a las aves, varillla para evitar que se posen palomas con base y pinchos de acero inoxidable. Protege hasta 19 cm, en elemento de fachada, colocada sobre cornisa, con adhesivo.</t>
  </si>
  <si>
    <t xml:space="preserve">ma-lp-00564478</t>
  </si>
  <si>
    <t xml:space="preserve">Material</t>
  </si>
  <si>
    <t xml:space="preserve">pza</t>
  </si>
  <si>
    <t xml:space="preserve">Varilla antipaloma con base y pinchos en acero inoxidable X140 (50 cm/pza con 32 púas).   Ref. lp-00564478</t>
  </si>
  <si>
    <t xml:space="preserve">ma-ma-659709</t>
  </si>
  <si>
    <t xml:space="preserve">Material</t>
  </si>
  <si>
    <t xml:space="preserve">u</t>
  </si>
  <si>
    <t xml:space="preserve">Sikaflex- 11 FC marron cartucho 300ml</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</si>
  <si>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</si>
  <si>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</si>
  <si>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</si>
  <si>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</si>
  <si>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</si>
  <si>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</si>
  <si>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</si>
  <si>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</si>
  <si>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</si>
  <si>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</si>
  <si>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</si>
  <si>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</si>
  <si>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</si>
  <si>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</si>
  <si>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</si>
  <si>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</si>
  <si>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</si>
  <si>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</si>
  <si>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</si>
  <si>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</si>
  <si>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CUB062TV</t>
  </si>
  <si>
    <t xml:space="preserve">CUB063</t>
  </si>
  <si>
    <t xml:space="preserve">Partida</t>
  </si>
  <si>
    <t xml:space="preserve">M2</t>
  </si>
  <si>
    <t xml:space="preserve">o RED ANTI-PALOMAS</t>
  </si>
  <si>
    <t xml:space="preserve">Red antipájaros formada por malla de polietileno de 50x50 mm, sujeta al soporte, para proteger los huecos, evitando el acceso de palomas al edificio.</t>
  </si>
  <si>
    <t xml:space="preserve">ma-lp-00488370</t>
  </si>
  <si>
    <t xml:space="preserve">Material</t>
  </si>
  <si>
    <t xml:space="preserve">m2</t>
  </si>
  <si>
    <t xml:space="preserve">Red de polietileno para evitar la entrada de palomas de medidas 5x5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</si>
  <si>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</si>
  <si>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</si>
  <si>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</si>
  <si>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</si>
  <si>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</si>
  <si>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</si>
  <si>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</si>
  <si>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</si>
  <si>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</si>
  <si>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</si>
  <si>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</si>
  <si>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</si>
  <si>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</si>
  <si>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</si>
  <si>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</si>
  <si>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</si>
  <si>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</si>
  <si>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</si>
  <si>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</si>
  <si>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</si>
  <si>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CUB063</t>
  </si>
  <si>
    <t xml:space="preserve">CUB063TV</t>
  </si>
  <si>
    <t xml:space="preserve">Partida</t>
  </si>
  <si>
    <t xml:space="preserve">M2</t>
  </si>
  <si>
    <t xml:space="preserve">o RED ANTI-PALOMAS C/TRABAJOS VERTICALES</t>
  </si>
  <si>
    <t xml:space="preserve">Red antipájaros  CON TRABAJOS VERTICALES, formada por malla de polietileno de 50x50 mm, sujeta al soporte, para proteger los huecos, evitando el acceso de palomas al edificio.</t>
  </si>
  <si>
    <t xml:space="preserve">ma-lp-00488370</t>
  </si>
  <si>
    <t xml:space="preserve">Material</t>
  </si>
  <si>
    <t xml:space="preserve">m2</t>
  </si>
  <si>
    <t xml:space="preserve">Red de polietileno para evitar la entrada de palomas de medidas 5x5 m.</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</si>
  <si>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</si>
  <si>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</si>
  <si>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</si>
  <si>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</si>
  <si>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</si>
  <si>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</si>
  <si>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</si>
  <si>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</si>
  <si>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</si>
  <si>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</si>
  <si>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</si>
  <si>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</si>
  <si>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</si>
  <si>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</si>
  <si>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</si>
  <si>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</si>
  <si>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</si>
  <si>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</si>
  <si>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</si>
  <si>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</si>
  <si>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CUB063TV</t>
  </si>
  <si>
    <t xml:space="preserve">CUB064</t>
  </si>
  <si>
    <t xml:space="preserve">Partida</t>
  </si>
  <si>
    <t xml:space="preserve">U</t>
  </si>
  <si>
    <t xml:space="preserve">o CAMBIO DE SUMIDERO, IMPERMEABILIZACION Y PAVIMENTO (1M2)</t>
  </si>
  <si>
    <t xml:space="preserve">Cambio de sumidero, impermeabilizacion y pavimento de 1m2, mediante los siguientes trabajos:
1) Retirada de pavimento y lámina impermeabilizante existente por medios manuales en el contorno del sumidero 1m2.
2) Rebaje alrededor del sumidero de salida vertical existente en terraza, para posterior colocación de una nueva impermeabilización formada por una lámina de betún modificada SBS, traslapandola con lamina existente, reforzada con poliéster totalmente adherida al soporte mediante soplador, previa imprimación con emulsión asfáltica.
3) Conexión de la parte proporcional del nuevo sumidero con derivacion o tubería de evacuación existente.
4) Posterior suministro y colocacion de pavimento cerámico (14x28) contiguo al sumidero y mimbel aproximadamente 1m2.
NOTA: Se incluye repicado, con medios mecánicos y manuales, del espacio del sumidero de la cubierta de la finca hasta conseguir apertura necesaria para poder inspeccionar ocularmente y reparar el origen de las filtraciones produciendo síntomas evidentes en la vivienda. El cambio de 1m2 de pavimento nuevo se notara la diferencia con el antiguo.</t>
  </si>
  <si>
    <t xml:space="preserve">ma-lp-00001085</t>
  </si>
  <si>
    <t xml:space="preserve">Material</t>
  </si>
  <si>
    <t xml:space="preserve">u</t>
  </si>
  <si>
    <t xml:space="preserve">Emulsión asfáltica BigMat en base agua para preparación del soporte. Consistencia pastosa. 5 kg. Color negro.</t>
  </si>
  <si>
    <t xml:space="preserve">ma-lp-00167324</t>
  </si>
  <si>
    <t xml:space="preserve">Material</t>
  </si>
  <si>
    <t xml:space="preserve">u</t>
  </si>
  <si>
    <t xml:space="preserve">Lámina para impermeablización cubiertas BigMat Plax FV 40 tipo LBM (APP) 40 FV</t>
  </si>
  <si>
    <t xml:space="preserve">ma-lp-00538933</t>
  </si>
  <si>
    <t xml:space="preserve">Material</t>
  </si>
  <si>
    <t xml:space="preserve">und</t>
  </si>
  <si>
    <t xml:space="preserve">Palentina mango de haya natural, válida para todo tipo de pinturas. 50 mm</t>
  </si>
  <si>
    <t xml:space="preserve">ma-lp-00139016</t>
  </si>
  <si>
    <t xml:space="preserve">Material</t>
  </si>
  <si>
    <t xml:space="preserve">u</t>
  </si>
  <si>
    <t xml:space="preserve">Rollo cartón ondulado marrón para proteger objetos delicados, como muebles o suelos. Tamaño: 25 m x 90 cm</t>
  </si>
  <si>
    <t xml:space="preserve">ma-lp-00534912</t>
  </si>
  <si>
    <t xml:space="preserve">Material</t>
  </si>
  <si>
    <t xml:space="preserve">rollo</t>
  </si>
  <si>
    <t xml:space="preserve">Cinta pintor KREPP 48 mm (45 m/rollo).   Ref. lp-00534912</t>
  </si>
  <si>
    <t xml:space="preserve">ma-lp-00001603A</t>
  </si>
  <si>
    <t xml:space="preserve">Material</t>
  </si>
  <si>
    <t xml:space="preserve">saco</t>
  </si>
  <si>
    <t xml:space="preserve">Mortero seco para aplicaciones en albañilería M-7,5 VALSEC; color gris (25 kg/saco)   Ref. lp-00001603</t>
  </si>
  <si>
    <t xml:space="preserve">ma-lp-00540845</t>
  </si>
  <si>
    <t xml:space="preserve">Material</t>
  </si>
  <si>
    <t xml:space="preserve">saco</t>
  </si>
  <si>
    <t xml:space="preserve">Mortero cola PORCELÁNICO FLEX de BIGMAT; color gris (25 kg/saco).   Ref. lp-00540845</t>
  </si>
  <si>
    <t xml:space="preserve">ma-lp-00540947</t>
  </si>
  <si>
    <t xml:space="preserve">Material</t>
  </si>
  <si>
    <t xml:space="preserve">saco</t>
  </si>
  <si>
    <t xml:space="preserve">Mortero juntas ULTRACOLOR PLUS BIGMAT 2 a 20 mm; color grafito (5 kg/saco).   Ref. lp-00540947</t>
  </si>
  <si>
    <t xml:space="preserve">ma-lp-00539257</t>
  </si>
  <si>
    <t xml:space="preserve">Material</t>
  </si>
  <si>
    <t xml:space="preserve">u</t>
  </si>
  <si>
    <t xml:space="preserve">Esponja mixta bimaterial para limpieza de medida 20x13x7 cm.</t>
  </si>
  <si>
    <t xml:space="preserve">ma-lp-00019688</t>
  </si>
  <si>
    <t xml:space="preserve">Material</t>
  </si>
  <si>
    <t xml:space="preserve">und</t>
  </si>
  <si>
    <t xml:space="preserve">Saco de rafia para materiales y escombros; 50x90 cm    Ref. lp-00019688</t>
  </si>
  <si>
    <t xml:space="preserve">ma-lp-00001954</t>
  </si>
  <si>
    <t xml:space="preserve">Material</t>
  </si>
  <si>
    <t xml:space="preserve">pza</t>
  </si>
  <si>
    <t xml:space="preserve">Sumidero sifónico CEM de aluminio 15x15 cm con vaso-salida vertical 50 mm.   Ref. lp-00001954</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</si>
  <si>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</si>
  <si>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</si>
  <si>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</si>
  <si>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</si>
  <si>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ma-lp-00001374</t>
  </si>
  <si>
    <t xml:space="preserve">Material</t>
  </si>
  <si>
    <t xml:space="preserve">u</t>
  </si>
  <si>
    <t xml:space="preserve">Codo de evacuación 87º H-H diámetro 110 mm en PVC color gris</t>
  </si>
  <si>
    <t xml:space="preserve">ma-lp-00002046</t>
  </si>
  <si>
    <t xml:space="preserve">Material</t>
  </si>
  <si>
    <t xml:space="preserve">pza</t>
  </si>
  <si>
    <t xml:space="preserve">Tubo de evacuación barra PVC diámetro 110 mm (3 m/pza).   Ref. lp-00002046</t>
  </si>
  <si>
    <t xml:space="preserve">ma-lp-00299053</t>
  </si>
  <si>
    <t xml:space="preserve">Material</t>
  </si>
  <si>
    <t xml:space="preserve">pza</t>
  </si>
  <si>
    <t xml:space="preserve">Rasilla lisa de 1ª calidad con un espesor de 1,2 mm. Medidas: 14x28 cm   Ref. lp-00299053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</si>
  <si>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</si>
  <si>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</si>
  <si>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</si>
  <si>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</si>
  <si>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</si>
  <si>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</si>
  <si>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</si>
  <si>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</si>
  <si>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</si>
  <si>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</si>
  <si>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</si>
  <si>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</si>
  <si>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</si>
  <si>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</si>
  <si>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</si>
  <si>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</si>
  <si>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</si>
  <si>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</si>
  <si>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</si>
  <si>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</si>
  <si>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CUB064</t>
  </si>
  <si>
    <t xml:space="preserve">CUBIMP-MEMBRANA.PU-SIKA-02</t>
  </si>
  <si>
    <t xml:space="preserve">Partida</t>
  </si>
  <si>
    <t xml:space="preserve">m2</t>
  </si>
  <si>
    <t xml:space="preserve">XXXXXX IMPERMEABILIZACIÓN CON MEMBRANA LÍQUIDA DE POLIURETANO SIKALASTIC 612 DE SIKA</t>
  </si>
  <si>
    <t xml:space="preserve">IMPERMEABILIZACIÓN CON MEMBRANA LÍQUIDA DE POLIURETANO SIKALASTIC 612 DE SIKA</t>
  </si>
  <si>
    <t xml:space="preserve">ma-s.lucia-02</t>
  </si>
  <si>
    <t xml:space="preserve">Material</t>
  </si>
  <si>
    <t xml:space="preserve">pack</t>
  </si>
  <si>
    <t xml:space="preserve">Imprimante de poliuretano para impermeabilización de cubiertas con membrana líquida SIKA CONCRETE PRIMER de SIKA (12 kg/bidón).   Ref. s.lucia-02</t>
  </si>
  <si>
    <t xml:space="preserve">ma-s.lucia-01</t>
  </si>
  <si>
    <t xml:space="preserve">Material</t>
  </si>
  <si>
    <t xml:space="preserve">envase</t>
  </si>
  <si>
    <t xml:space="preserve">Membrana líquida impermeabilizante monocomponente a base de Poliuretano SIKALASTIC 612 de SIKA; color terracota (5 litros/envase).   Ref. s.lucia-01</t>
  </si>
  <si>
    <t xml:space="preserve">ma-vtc-97480</t>
  </si>
  <si>
    <t xml:space="preserve">Material</t>
  </si>
  <si>
    <t xml:space="preserve">rollo</t>
  </si>
  <si>
    <t xml:space="preserve">Malla TNT de Poliéster SIKALASTIC FLEECE 120 de SIKA (50 mx100 cm/rollo).   Ref. vtc-97480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</si>
  <si>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</si>
  <si>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</si>
  <si>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</si>
  <si>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</si>
  <si>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</si>
  <si>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</si>
  <si>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</si>
  <si>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</si>
  <si>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</si>
  <si>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</si>
  <si>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</si>
  <si>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</si>
  <si>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</si>
  <si>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</si>
  <si>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</si>
  <si>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</si>
  <si>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</si>
  <si>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</si>
  <si>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</si>
  <si>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</si>
  <si>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CUBIMP-MEMBRANA.PU-SIKA-02</t>
  </si>
  <si>
    <t xml:space="preserve">CUB-REJUNTADO.CERAMICO-14x28-GCA</t>
  </si>
  <si>
    <t xml:space="preserve">Partida</t>
  </si>
  <si>
    <t xml:space="preserve">m2</t>
  </si>
  <si>
    <t xml:space="preserve">XXXXXX REJUNTADO DE PAVIMENTO CERÁMICO 14x28 cm (GRADO DE COMPLEJIDAD ALTO)</t>
  </si>
  <si>
    <t xml:space="preserve">REJUNTADO DE PAVIMENTO CERÁMICO 14x28 cm (GRADO DE COMPLEJIDAD ALTO)</t>
  </si>
  <si>
    <t xml:space="preserve">ma-lp-00540944</t>
  </si>
  <si>
    <t xml:space="preserve">Material</t>
  </si>
  <si>
    <t xml:space="preserve">saco</t>
  </si>
  <si>
    <t xml:space="preserve">Mortero juntas ULTRACOLOR PLUS BIGMAT 2 a 20 mm; color blanco (5 kg/saco).   Ref. lp-00540944</t>
  </si>
  <si>
    <t xml:space="preserve">ma-lp-00394135</t>
  </si>
  <si>
    <t xml:space="preserve">Material</t>
  </si>
  <si>
    <t xml:space="preserve">envase</t>
  </si>
  <si>
    <t xml:space="preserve">Detergente quitacemento DETERDEK de FILA (5 litros/envase).   Ref. lp-00394135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</si>
  <si>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</si>
  <si>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</si>
  <si>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</si>
  <si>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</si>
  <si>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</si>
  <si>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</si>
  <si>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</si>
  <si>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</si>
  <si>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</si>
  <si>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</si>
  <si>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</si>
  <si>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</si>
  <si>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</si>
  <si>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</si>
  <si>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</si>
  <si>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</si>
  <si>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</si>
  <si>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</si>
  <si>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</si>
  <si>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</si>
  <si>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CUB-REJUNTADO.CERAMICO-14x28-GCA</t>
  </si>
  <si>
    <t xml:space="preserve">CUB-REJUNTADO.CERAMICO-25x25-GCA</t>
  </si>
  <si>
    <t xml:space="preserve">Partida</t>
  </si>
  <si>
    <t xml:space="preserve">m2</t>
  </si>
  <si>
    <t xml:space="preserve">XXXXXX REJUNTADO DE PAVIMENTO CERÁMICO 25x25 cm (GRADO DE COMPLEJIDAD ALTO)</t>
  </si>
  <si>
    <t xml:space="preserve">REJUNTADO DE PAVIMENTO CERÁMICO 25x25 cm (GRADO DE COMPLEJIDAD ALTO)</t>
  </si>
  <si>
    <t xml:space="preserve">ma-lp-00540944</t>
  </si>
  <si>
    <t xml:space="preserve">Material</t>
  </si>
  <si>
    <t xml:space="preserve">saco</t>
  </si>
  <si>
    <t xml:space="preserve">Mortero juntas ULTRACOLOR PLUS BIGMAT 2 a 20 mm; color blanco (5 kg/saco).   Ref. lp-00540944</t>
  </si>
  <si>
    <t xml:space="preserve">ma-lp-00394135</t>
  </si>
  <si>
    <t xml:space="preserve">Material</t>
  </si>
  <si>
    <t xml:space="preserve">envase</t>
  </si>
  <si>
    <t xml:space="preserve">Detergente quitacemento DETERDEK de FILA (5 litros/envase).   Ref. lp-00394135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</si>
  <si>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</si>
  <si>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</si>
  <si>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</si>
  <si>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</si>
  <si>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</si>
  <si>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</si>
  <si>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</si>
  <si>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</si>
  <si>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</si>
  <si>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</si>
  <si>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</si>
  <si>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</si>
  <si>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</si>
  <si>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</si>
  <si>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</si>
  <si>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</si>
  <si>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</si>
  <si>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</si>
  <si>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</si>
  <si>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</si>
  <si>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CUB-REJUNTADO.CERAMICO-25x25-GCA</t>
  </si>
  <si>
    <t xml:space="preserve">CUB-REJUNTADO.CERAMICO-14x28-GCM</t>
  </si>
  <si>
    <t xml:space="preserve">Partida</t>
  </si>
  <si>
    <t xml:space="preserve">m2</t>
  </si>
  <si>
    <t xml:space="preserve">XXXXXX REJUNTADO DE PAVIMENTO CERÁMICO 14x28 cm (GRADO DE COMPLEJIDAD MEDIO)</t>
  </si>
  <si>
    <t xml:space="preserve">REJUNTADO DE PAVIMENTO CERÁMICO 14x28 cm (GRADO DE COMPLEJIDAD MEDIO)</t>
  </si>
  <si>
    <t xml:space="preserve">ma-lp-00540944</t>
  </si>
  <si>
    <t xml:space="preserve">Material</t>
  </si>
  <si>
    <t xml:space="preserve">saco</t>
  </si>
  <si>
    <t xml:space="preserve">Mortero juntas ULTRACOLOR PLUS BIGMAT 2 a 20 mm; color blanco (5 kg/saco).   Ref. lp-00540944</t>
  </si>
  <si>
    <t xml:space="preserve">ma-lp-00394135</t>
  </si>
  <si>
    <t xml:space="preserve">Material</t>
  </si>
  <si>
    <t xml:space="preserve">envase</t>
  </si>
  <si>
    <t xml:space="preserve">Detergente quitacemento DETERDEK de FILA (5 litros/envase).   Ref. lp-00394135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</si>
  <si>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</si>
  <si>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</si>
  <si>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</si>
  <si>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</si>
  <si>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</si>
  <si>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</si>
  <si>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</si>
  <si>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</si>
  <si>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</si>
  <si>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</si>
  <si>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</si>
  <si>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</si>
  <si>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</si>
  <si>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</si>
  <si>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</si>
  <si>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</si>
  <si>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</si>
  <si>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</si>
  <si>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</si>
  <si>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</si>
  <si>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CUB-REJUNTADO.CERAMICO-14x28-GCM</t>
  </si>
  <si>
    <t xml:space="preserve">CUB-REJUNTADO.CERAMICO-25x25-GCM</t>
  </si>
  <si>
    <t xml:space="preserve">Partida</t>
  </si>
  <si>
    <t xml:space="preserve">m2</t>
  </si>
  <si>
    <t xml:space="preserve">XXXXXX REJUNTADO DE PAVIMENTO CERÁMICO 25x25 cm (GRADO DE COMPLEJIDAD MEDIO)</t>
  </si>
  <si>
    <t xml:space="preserve">REJUNTADO DE PAVIMENTO CERÁMICO 25x25 cm (GRADO DE COMPLEJIDAD MEDIO)</t>
  </si>
  <si>
    <t xml:space="preserve">ma-lp-00540944</t>
  </si>
  <si>
    <t xml:space="preserve">Material</t>
  </si>
  <si>
    <t xml:space="preserve">saco</t>
  </si>
  <si>
    <t xml:space="preserve">Mortero juntas ULTRACOLOR PLUS BIGMAT 2 a 20 mm; color blanco (5 kg/saco).   Ref. lp-00540944</t>
  </si>
  <si>
    <t xml:space="preserve">ma-lp-00394135</t>
  </si>
  <si>
    <t xml:space="preserve">Material</t>
  </si>
  <si>
    <t xml:space="preserve">envase</t>
  </si>
  <si>
    <t xml:space="preserve">Detergente quitacemento DETERDEK de FILA (5 litros/envase).   Ref. lp-00394135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</si>
  <si>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</si>
  <si>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</si>
  <si>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</si>
  <si>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</si>
  <si>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</si>
  <si>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</si>
  <si>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</si>
  <si>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</si>
  <si>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</si>
  <si>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</si>
  <si>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</si>
  <si>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</si>
  <si>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</si>
  <si>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</si>
  <si>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</si>
  <si>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</si>
  <si>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</si>
  <si>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</si>
  <si>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</si>
  <si>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</si>
  <si>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CUB-REJUNTADO.CERAMICO-25x25-GCM</t>
  </si>
  <si>
    <t xml:space="preserve">CUBIMP</t>
  </si>
  <si>
    <t xml:space="preserve">Partida</t>
  </si>
  <si>
    <t xml:space="preserve">M2</t>
  </si>
  <si>
    <t xml:space="preserve">XXXXXX IMPERMEABILIZACION CON PINTURA</t>
  </si>
  <si>
    <t xml:space="preserve">IMPERMEABILIZACION CON PINTURA</t>
  </si>
  <si>
    <t xml:space="preserve">CUBIMP01</t>
  </si>
  <si>
    <t xml:space="preserve">Partida</t>
  </si>
  <si>
    <t xml:space="preserve">M2</t>
  </si>
  <si>
    <t xml:space="preserve">LIMPIEZA DE PAVIMENTO ACTUAL</t>
  </si>
  <si>
    <t xml:space="preserve">acid1</t>
  </si>
  <si>
    <t xml:space="preserve">Material</t>
  </si>
  <si>
    <t xml:space="preserve">l</t>
  </si>
  <si>
    <t xml:space="preserve">Acido acetico</t>
  </si>
  <si>
    <t xml:space="preserve">m.o.1</t>
  </si>
  <si>
    <t xml:space="preserve">Mano de obra</t>
  </si>
  <si>
    <t xml:space="preserve">h</t>
  </si>
  <si>
    <t xml:space="preserve">Mano de Obra: 1 Oficial de 1ª, 1 Ayudante y 1/2 Ayudante</t>
  </si>
  <si>
    <t xml:space="preserve">CUBIMP01</t>
  </si>
  <si>
    <t xml:space="preserve">CUBIMP02</t>
  </si>
  <si>
    <t xml:space="preserve">Partida</t>
  </si>
  <si>
    <t xml:space="preserve">M2</t>
  </si>
  <si>
    <t xml:space="preserve">IMPERMEABILIZACION LIQUIDA DE CUBIERTA</t>
  </si>
  <si>
    <t xml:space="preserve">ma-lp-00179615</t>
  </si>
  <si>
    <t xml:space="preserve">Material</t>
  </si>
  <si>
    <t xml:space="preserve">rollo</t>
  </si>
  <si>
    <t xml:space="preserve">Lámina geotextil de poliéster ROOFTEX V de SOPREMA; 150 gr/m2 (50x1,1 m/rollo).   Ref. lp-00179615</t>
  </si>
  <si>
    <t xml:space="preserve">Antigo</t>
  </si>
  <si>
    <t xml:space="preserve">Material</t>
  </si>
  <si>
    <t xml:space="preserve">l</t>
  </si>
  <si>
    <t xml:space="preserve">Pintura antigotas</t>
  </si>
  <si>
    <t xml:space="preserve">m.o.1</t>
  </si>
  <si>
    <t xml:space="preserve">Mano de obra</t>
  </si>
  <si>
    <t xml:space="preserve">h</t>
  </si>
  <si>
    <t xml:space="preserve">Mano de Obra: 1 Oficial de 1ª, 1 Ayudante y 1/2 Ayudante</t>
  </si>
  <si>
    <t xml:space="preserve">CUBIMP02</t>
  </si>
  <si>
    <t xml:space="preserve">CUBIMP</t>
  </si>
  <si>
    <t xml:space="preserve">CUB01xxx</t>
  </si>
  <si>
    <t xml:space="preserve">Partida</t>
  </si>
  <si>
    <t xml:space="preserve">PAR</t>
  </si>
  <si>
    <t xml:space="preserve">XXXXXX MOVIMIENTO DE MOBILIARIO</t>
  </si>
  <si>
    <t xml:space="preserve">Movimiento de plantas y mobiliario dentro del area de trabajo, para la correcta ejecucion de los mismos.</t>
  </si>
  <si>
    <t xml:space="preserve">01AYUDANTE</t>
  </si>
  <si>
    <t xml:space="preserve">Mano de obra</t>
  </si>
  <si>
    <t xml:space="preserve">h</t>
  </si>
  <si>
    <t xml:space="preserve">Mano de Obra: 1 Ayudante</t>
  </si>
  <si>
    <t xml:space="preserve">CUB01xxx</t>
  </si>
  <si>
    <t xml:space="preserve">CUB05-MNR-MC-6cm</t>
  </si>
  <si>
    <t xml:space="preserve">Partida</t>
  </si>
  <si>
    <t xml:space="preserve">m2</t>
  </si>
  <si>
    <t xml:space="preserve">XXXXXX FORMACIÓN DE PENDIENTE CON MORTERO CONVENCIONAL 6 cm; INCLUYE IMPRIMACIÓN CON EMULSIÓN ASFÁLTICA (CUB)</t>
  </si>
  <si>
    <t xml:space="preserve">Formación de capa de 6 cm como rectificación de pendiente con mortero convencional; incluyendo imprimación con emulsión asfàltica (CUB)</t>
  </si>
  <si>
    <t xml:space="preserve">ma-lp-00001596</t>
  </si>
  <si>
    <t xml:space="preserve">Material</t>
  </si>
  <si>
    <t xml:space="preserve">pza</t>
  </si>
  <si>
    <t xml:space="preserve">Ladrillo cerámico MACIZO TOSCO de LA PALOMA CERÁMICAS (24x11x7 cm/pza).   Ref. lp-00001596</t>
  </si>
  <si>
    <t xml:space="preserve">ma-lp-00274122</t>
  </si>
  <si>
    <t xml:space="preserve">Material</t>
  </si>
  <si>
    <t xml:space="preserve">bote</t>
  </si>
  <si>
    <t xml:space="preserve">Primer de impermeabilización, emulsión asfáltica AQUASEAL BIGMAT de SOPREMA; color negro (25 kg/envase).   Ref. lp-00274122</t>
  </si>
  <si>
    <t xml:space="preserve">ma-lp-00539164</t>
  </si>
  <si>
    <t xml:space="preserve">Material</t>
  </si>
  <si>
    <t xml:space="preserve">saco</t>
  </si>
  <si>
    <t xml:space="preserve">Mortero seco para aplicaciones en albañilería M-7,5 SAGRASEC; color blanco (25 kg/saco)   Ref. lp-00539164</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</si>
  <si>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</si>
  <si>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</si>
  <si>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</si>
  <si>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</si>
  <si>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</si>
  <si>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</si>
  <si>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</si>
  <si>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</si>
  <si>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</si>
  <si>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</si>
  <si>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</si>
  <si>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</si>
  <si>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</si>
  <si>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</si>
  <si>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</si>
  <si>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</si>
  <si>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</si>
  <si>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</si>
  <si>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</si>
  <si>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</si>
  <si>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</si>
  <si>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</si>
  <si>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</si>
  <si>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</si>
  <si>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CUB05-MNR-MC-6cm</t>
  </si>
  <si>
    <t xml:space="preserve">CUB05-MNR-MA-6cm</t>
  </si>
  <si>
    <t xml:space="preserve">Partida</t>
  </si>
  <si>
    <t xml:space="preserve">m2</t>
  </si>
  <si>
    <t xml:space="preserve">XXXXXX FORMACIÓN DE PENDIENTE CON MORTERO ALIGERADO 6 cm; INCLUYE IMPRIMACIÓN CON EMULSIÓN ASFÁLTICA (CUB)</t>
  </si>
  <si>
    <t xml:space="preserve">Formación de capa de 6 cm como rectificación de pendiente con mortero aligerado (ARLITA de LECA o similar); incluyendo imprimación con emulsión asfàltica (CUB)</t>
  </si>
  <si>
    <t xml:space="preserve">ma-lp-00001596</t>
  </si>
  <si>
    <t xml:space="preserve">Material</t>
  </si>
  <si>
    <t xml:space="preserve">pza</t>
  </si>
  <si>
    <t xml:space="preserve">Ladrillo cerámico MACIZO TOSCO de LA PALOMA CERÁMICAS (24x11x7 cm/pza).   Ref. lp-00001596</t>
  </si>
  <si>
    <t xml:space="preserve">ma-lp-00274122</t>
  </si>
  <si>
    <t xml:space="preserve">Material</t>
  </si>
  <si>
    <t xml:space="preserve">bote</t>
  </si>
  <si>
    <t xml:space="preserve">Primer de impermeabilización, emulsión asfáltica AQUASEAL BIGMAT de SOPREMA; color negro (25 kg/envase).   Ref. lp-00274122</t>
  </si>
  <si>
    <t xml:space="preserve">ma-lp-00539164</t>
  </si>
  <si>
    <t xml:space="preserve">Material</t>
  </si>
  <si>
    <t xml:space="preserve">saco</t>
  </si>
  <si>
    <t xml:space="preserve">Mortero seco para aplicaciones en albañilería M-7,5 SAGRASEC; color blanco (25 kg/saco)   Ref. lp-00539164</t>
  </si>
  <si>
    <t xml:space="preserve">ma-lp-00001542</t>
  </si>
  <si>
    <t xml:space="preserve">Material</t>
  </si>
  <si>
    <t xml:space="preserve">saco</t>
  </si>
  <si>
    <t xml:space="preserve">Arcilla expandida ARLITA LECA LIGHT PLUS de WEBER; granulometría 10-20 mm (50 litro/saco o 13,75 kg/saco).   Ref. lp-00001542</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</si>
  <si>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</si>
  <si>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</si>
  <si>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</si>
  <si>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</si>
  <si>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</si>
  <si>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</si>
  <si>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</si>
  <si>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</si>
  <si>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</si>
  <si>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</si>
  <si>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</si>
  <si>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</si>
  <si>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</si>
  <si>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</si>
  <si>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</si>
  <si>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</si>
  <si>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</si>
  <si>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</si>
  <si>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</si>
  <si>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</si>
  <si>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</si>
  <si>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</si>
  <si>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</si>
  <si>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</si>
  <si>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CUB05-MNR-MA-6cm</t>
  </si>
  <si>
    <t xml:space="preserve">CUB06-MNR-01-01</t>
  </si>
  <si>
    <t xml:space="preserve">Partida</t>
  </si>
  <si>
    <t xml:space="preserve">m2</t>
  </si>
  <si>
    <t xml:space="preserve">XXXXXX IMPERMEABILIZACIÓN CON LÁMINA ASFÁLTICA DE BETÚN ELASTÓMERO 3 mm CON FIELTRO DE FIBRA DE VIDRIO; INCLUYE ADHESIVO CON EMULSIÓN ASFÁLTICA EN PASTA (CUB)</t>
  </si>
  <si>
    <t xml:space="preserve">IMPERMEABILIZACIÓN CON LÁMINA ASFÁLTICA DE BETÚN ELASTÓMERO 3 mm CON FIELTRO DE FIBRA DE VIDRIO; INCLUYE ADHESIVO CON EMULSIÓN ASFÁLTICA EN PASTA (CUB)</t>
  </si>
  <si>
    <t xml:space="preserve">ma-lp-00274122</t>
  </si>
  <si>
    <t xml:space="preserve">Material</t>
  </si>
  <si>
    <t xml:space="preserve">bote</t>
  </si>
  <si>
    <t xml:space="preserve">Primer de impermeabilización, emulsión asfáltica AQUASEAL BIGMAT de SOPREMA; color negro (25 kg/envase).   Ref. lp-00274122</t>
  </si>
  <si>
    <t xml:space="preserve">ma-lp-00278899</t>
  </si>
  <si>
    <t xml:space="preserve">Material</t>
  </si>
  <si>
    <t xml:space="preserve">rollo</t>
  </si>
  <si>
    <t xml:space="preserve">Lámina impermeabilizante de betún elastómero SBS con fieltro FV SBS BIGMAT ELAST FV 40 1X10 ROJA (MORTERPLAS SBS FV 4 KG de SOPREMA); espesor 3 mm (10x1 m/rollo).   Ref. lp-00278899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</si>
  <si>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</si>
  <si>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</si>
  <si>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</si>
  <si>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</si>
  <si>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</si>
  <si>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</si>
  <si>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</si>
  <si>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</si>
  <si>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</si>
  <si>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</si>
  <si>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</si>
  <si>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</si>
  <si>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</si>
  <si>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</si>
  <si>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</si>
  <si>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</si>
  <si>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</si>
  <si>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</si>
  <si>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</si>
  <si>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</si>
  <si>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CUB06-MNR-01-01</t>
  </si>
  <si>
    <t xml:space="preserve">CUB06-MNR-01-02</t>
  </si>
  <si>
    <t xml:space="preserve">Partida</t>
  </si>
  <si>
    <t xml:space="preserve">m2</t>
  </si>
  <si>
    <t xml:space="preserve">XXXXXX IMPERMEABILIZACIÓN CON LÁMINA ASFÁLTICA DE BETÚN ELASTÓMERO 3 mm CON FIELTRO DE FIBRA DE VIDRIO; INCLUYE ADHESIVO CON EMULSIÓN ASFÁLTICA EN BASE ACUOSA (CUB)</t>
  </si>
  <si>
    <t xml:space="preserve">IMPERMEABILIZACIÓN CON LÁMINA ASFÁLTICA DE BETÚN ELASTÓMERO 3 mm CON FIELTRO DE FIBRA DE VIDRIO; INCLUYE ADHESIVO CON EMULSIÓN ASFÁLTICA EN BASE ACUOSA (CUB)</t>
  </si>
  <si>
    <t xml:space="preserve">ma-lp-00305007</t>
  </si>
  <si>
    <t xml:space="preserve">Material</t>
  </si>
  <si>
    <t xml:space="preserve">bidón</t>
  </si>
  <si>
    <t xml:space="preserve">Primer de impermeabilización, emulsión asfáltica EMUFAL PRIMER de SOPREMA para preparar soporte a impermeabilizar (24 litros/bidón).   Ref. lp-00305007</t>
  </si>
  <si>
    <t xml:space="preserve">ma-lp-00278899</t>
  </si>
  <si>
    <t xml:space="preserve">Material</t>
  </si>
  <si>
    <t xml:space="preserve">rollo</t>
  </si>
  <si>
    <t xml:space="preserve">Lámina impermeabilizante de betún elastómero SBS con fieltro FV SBS BIGMAT ELAST FV 40 1X10 ROJA (MORTERPLAS SBS FV 4 KG de SOPREMA); espesor 3 mm (10x1 m/rollo).   Ref. lp-00278899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</si>
  <si>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</si>
  <si>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</si>
  <si>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</si>
  <si>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</si>
  <si>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</si>
  <si>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</si>
  <si>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</si>
  <si>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</si>
  <si>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</si>
  <si>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</si>
  <si>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</si>
  <si>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</si>
  <si>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</si>
  <si>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</si>
  <si>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</si>
  <si>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</si>
  <si>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</si>
  <si>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</si>
  <si>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</si>
  <si>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</si>
  <si>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CUB06-MNR-01-02</t>
  </si>
  <si>
    <t xml:space="preserve">CUB06-MNR-02-01</t>
  </si>
  <si>
    <t xml:space="preserve">Partida</t>
  </si>
  <si>
    <t xml:space="preserve">m2</t>
  </si>
  <si>
    <t xml:space="preserve">XXXXXX IMPERMEABILIZACIÓN CON LÁMINA ASFÁLTICA DE BETÚN ELASTÓMERO CON FIELTRO DE FIBRA DE POLYESTER; INCLUYE ADHESIVO CON EMULSIÓN ASFÁLTICA EN PASTA (CUB)</t>
  </si>
  <si>
    <t xml:space="preserve">IMPERMEABILIZACIÓN CON LÁMINA ASFÁLTICA DE BETÚN ELASTÓMERO CON FIELTRO DE FIBRA DE POLYESTER; INCLUYE ADHESIVO CON EMULSIÓN ASFÁLTICA EN PASTA (CUB)</t>
  </si>
  <si>
    <t xml:space="preserve">ma-lp-00274122</t>
  </si>
  <si>
    <t xml:space="preserve">Material</t>
  </si>
  <si>
    <t xml:space="preserve">bote</t>
  </si>
  <si>
    <t xml:space="preserve">Primer de impermeabilización, emulsión asfáltica AQUASEAL BIGMAT de SOPREMA; color negro (25 kg/envase).   Ref. lp-00274122</t>
  </si>
  <si>
    <t xml:space="preserve">ma-lp-00563154</t>
  </si>
  <si>
    <t xml:space="preserve">Material</t>
  </si>
  <si>
    <t xml:space="preserve">rollo</t>
  </si>
  <si>
    <t xml:space="preserve">Lámina impermeabilizante de betún elastómero SBS con armadura de poliéster MORTERPLAS SBS FP 4KG de SOPREMA (10x1 m/rollo gris).   Ref. lp-00563154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</si>
  <si>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</si>
  <si>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</si>
  <si>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</si>
  <si>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</si>
  <si>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</si>
  <si>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</si>
  <si>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</si>
  <si>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</si>
  <si>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</si>
  <si>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</si>
  <si>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</si>
  <si>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</si>
  <si>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</si>
  <si>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</si>
  <si>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</si>
  <si>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</si>
  <si>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</si>
  <si>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</si>
  <si>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</si>
  <si>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</si>
  <si>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CUB06-MNR-02-01</t>
  </si>
  <si>
    <t xml:space="preserve">CUB06-MNR-02-02</t>
  </si>
  <si>
    <t xml:space="preserve">Partida</t>
  </si>
  <si>
    <t xml:space="preserve">m2</t>
  </si>
  <si>
    <t xml:space="preserve">XXXXXX IMPERMEABILIZACIÓN CON LÁMINA ASFÁLTICA DE BETÚN ELASTÓMERO CON FIELTRO DE FIBRA DE POLYESTER; INCLUYE ADHESIVO CON EMULSIÓN ASFÁLTICA EN BASE ACUOSA (CUB)</t>
  </si>
  <si>
    <t xml:space="preserve">IMPERMEABILIZACIÓN CON LÁMINA ASFÁLTICA DE BETÚN ELASTÓMERO CON FIELTRO DE FIBRA DE POLYESTER; INCLUYE ADHESIVO CON EMULSIÓN ASFÁLTICA EN BASE ACUOSA (CUB)</t>
  </si>
  <si>
    <t xml:space="preserve">ma-lp-00305007</t>
  </si>
  <si>
    <t xml:space="preserve">Material</t>
  </si>
  <si>
    <t xml:space="preserve">bidón</t>
  </si>
  <si>
    <t xml:space="preserve">Primer de impermeabilización, emulsión asfáltica EMUFAL PRIMER de SOPREMA para preparar soporte a impermeabilizar (24 litros/bidón).   Ref. lp-00305007</t>
  </si>
  <si>
    <t xml:space="preserve">ma-lp-00563154</t>
  </si>
  <si>
    <t xml:space="preserve">Material</t>
  </si>
  <si>
    <t xml:space="preserve">rollo</t>
  </si>
  <si>
    <t xml:space="preserve">Lámina impermeabilizante de betún elastómero SBS con armadura de poliéster MORTERPLAS SBS FP 4KG de SOPREMA (10x1 m/rollo gris).   Ref. lp-00563154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</si>
  <si>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</si>
  <si>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</si>
  <si>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</si>
  <si>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</si>
  <si>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</si>
  <si>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</si>
  <si>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</si>
  <si>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</si>
  <si>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</si>
  <si>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</si>
  <si>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</si>
  <si>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</si>
  <si>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</si>
  <si>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</si>
  <si>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</si>
  <si>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</si>
  <si>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</si>
  <si>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</si>
  <si>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</si>
  <si>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</si>
  <si>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CUB06-MNR-02-02</t>
  </si>
  <si>
    <t xml:space="preserve">CUB06-MNR-03-02</t>
  </si>
  <si>
    <t xml:space="preserve">Partida</t>
  </si>
  <si>
    <t xml:space="preserve">m2</t>
  </si>
  <si>
    <t xml:space="preserve">XXXXXX IMPERMEABILIZACIÓN CON LÁMINA ASFÁLTICA DE BETÚN ADITIVADO 3 mm CON FIELTRO DE FIBRA DE VIDRIO; INCLUYE ADHESIVO CON EMULSIÓN ASFÁLTICA EN BASE ACUOSA (CUB)</t>
  </si>
  <si>
    <t xml:space="preserve">IMPERMEABILIZACIÓN CON LÁMINA ASFÁLTICA DE BETÚN ADITIVADO 3 mm CON FIELTRO DE FIBRA DE VIDRIO; INCLUYE ADHESIVO CON EMULSIÓN ASFÁLTICA EN BASE ACUOSA (CUB)</t>
  </si>
  <si>
    <t xml:space="preserve">ma-lp-00305007</t>
  </si>
  <si>
    <t xml:space="preserve">Material</t>
  </si>
  <si>
    <t xml:space="preserve">bidón</t>
  </si>
  <si>
    <t xml:space="preserve">Primer de impermeabilización, emulsión asfáltica EMUFAL PRIMER de SOPREMA para preparar soporte a impermeabilizar (24 litros/bidón).   Ref. lp-00305007</t>
  </si>
  <si>
    <t xml:space="preserve">ma-lp-00269977</t>
  </si>
  <si>
    <t xml:space="preserve">Material</t>
  </si>
  <si>
    <t xml:space="preserve">rollo</t>
  </si>
  <si>
    <t xml:space="preserve">Lámina Impermeabilizante de betún aditivado APP BIGMAT PLUS FV 40 (MOPLY N PLUS FV 4 KG de SOPREMA) con fieltro FV; espesor 3 mm (10x1 m/rollo). Ref. lp-00269977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</si>
  <si>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</si>
  <si>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</si>
  <si>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</si>
  <si>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</si>
  <si>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</si>
  <si>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</si>
  <si>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</si>
  <si>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</si>
  <si>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</si>
  <si>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</si>
  <si>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</si>
  <si>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</si>
  <si>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</si>
  <si>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</si>
  <si>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</si>
  <si>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</si>
  <si>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</si>
  <si>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</si>
  <si>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</si>
  <si>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</si>
  <si>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CUB06-MNR-03-02</t>
  </si>
  <si>
    <t xml:space="preserve">CUB06-MNR-04-01</t>
  </si>
  <si>
    <t xml:space="preserve">Partida</t>
  </si>
  <si>
    <t xml:space="preserve">m2</t>
  </si>
  <si>
    <t xml:space="preserve">XXXXXX IMPERMEABILIZACIÓN CON LÁMINA  DE CAUCHO SINTÉTICO EPDM VULCANIZADO 1 mm; INCLUYE ADHESIVO EPDM (CUB)</t>
  </si>
  <si>
    <t xml:space="preserve">IMPERMEABILIZACIÓN CON LÁMINA  DE CAUCHO SINTÉTICO EPDM VULCANIZADO 1 mm; INCLUYE ADHESIVO EPDM (CUB)</t>
  </si>
  <si>
    <t xml:space="preserve">ma-lp-00201399</t>
  </si>
  <si>
    <t xml:space="preserve">Material</t>
  </si>
  <si>
    <t xml:space="preserve">envase</t>
  </si>
  <si>
    <t xml:space="preserve">Adhesivo EPDM SA-008 MAX de ROLLGUM para la unión de láminas impermeabilizantes de EPDM y bandas de butilo (5 litros/envase).   Ref. lp-00201399</t>
  </si>
  <si>
    <t xml:space="preserve">ma-lp-00181594</t>
  </si>
  <si>
    <t xml:space="preserve">Material</t>
  </si>
  <si>
    <t xml:space="preserve">m</t>
  </si>
  <si>
    <t xml:space="preserve">Lámina impermeabilizante GISCOLENE 100 de caucho sintético EPDM vulcanizado (ancho: 3,00 m; espesor: 1 mm).   Ref. lp-00181594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</si>
  <si>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</si>
  <si>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</si>
  <si>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</si>
  <si>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</si>
  <si>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</si>
  <si>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</si>
  <si>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</si>
  <si>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</si>
  <si>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</si>
  <si>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</si>
  <si>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</si>
  <si>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</si>
  <si>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</si>
  <si>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</si>
  <si>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</si>
  <si>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</si>
  <si>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</si>
  <si>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</si>
  <si>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</si>
  <si>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</si>
  <si>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CUB06-MNR-04-01</t>
  </si>
  <si>
    <t xml:space="preserve">CUB06-MNR-04-02</t>
  </si>
  <si>
    <t xml:space="preserve">Partida</t>
  </si>
  <si>
    <t xml:space="preserve">m2</t>
  </si>
  <si>
    <t xml:space="preserve">XXXXXX IMPERMEABILIZACIÓN CON LÁMINA  DE CAUCHO SINTÉTICO EPDM VULCANIZADO 1,2 mm; INCLUYE ADHESIVO EPDM (CUB)</t>
  </si>
  <si>
    <t xml:space="preserve">IMPERMEABILIZACIÓN CON LÁMINA  DE CAUCHO SINTÉTICO EPDM VULCANIZADO 1,2 mm; INCLUYE ADHESIVO EPDM (CUB)</t>
  </si>
  <si>
    <t xml:space="preserve">ma-lp-00201399</t>
  </si>
  <si>
    <t xml:space="preserve">Material</t>
  </si>
  <si>
    <t xml:space="preserve">envase</t>
  </si>
  <si>
    <t xml:space="preserve">Adhesivo EPDM SA-008 MAX de ROLLGUM para la unión de láminas impermeabilizantes de EPDM y bandas de butilo (5 litros/envase).   Ref. lp-00201399</t>
  </si>
  <si>
    <t xml:space="preserve">ma-lp-00285541</t>
  </si>
  <si>
    <t xml:space="preserve">Material</t>
  </si>
  <si>
    <t xml:space="preserve">m2</t>
  </si>
  <si>
    <t xml:space="preserve">Lámina impermeabilizante GISCOLENE 120 de caucho sintético EPDM vulcanizado (ancho: 3,00 m; espesor: 1,2 mm).   Ref. lp-00285541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</si>
  <si>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</si>
  <si>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</si>
  <si>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</si>
  <si>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</si>
  <si>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</si>
  <si>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</si>
  <si>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</si>
  <si>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</si>
  <si>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</si>
  <si>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</si>
  <si>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</si>
  <si>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</si>
  <si>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</si>
  <si>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</si>
  <si>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</si>
  <si>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</si>
  <si>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</si>
  <si>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</si>
  <si>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</si>
  <si>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</si>
  <si>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CUB06-MNR-04-02</t>
  </si>
  <si>
    <t xml:space="preserve">CUB05-MNR-MC-04</t>
  </si>
  <si>
    <t xml:space="preserve">Partida</t>
  </si>
  <si>
    <t xml:space="preserve">m2</t>
  </si>
  <si>
    <t xml:space="preserve">XXXXXX FORMACIÓN DE PENDIENTE CON MORTERO CONVENCIONAL 4 cm; INCLUYE IMPRIMACIÓN CON EMULSIÓN ASFÁLTICA (CUB)</t>
  </si>
  <si>
    <t xml:space="preserve">FORMACIÓN DE PENDIENTE CON MORTERO CONVENCIONAL 4 cm; INCLUYE IMPRIMACIÓN CON EMULSIÓN ASFÁLTICA (CUB)</t>
  </si>
  <si>
    <t xml:space="preserve">ma-lp-00001596</t>
  </si>
  <si>
    <t xml:space="preserve">Material</t>
  </si>
  <si>
    <t xml:space="preserve">pza</t>
  </si>
  <si>
    <t xml:space="preserve">Ladrillo cerámico MACIZO TOSCO de LA PALOMA CERÁMICAS (24x11x7 cm/pza).   Ref. lp-00001596</t>
  </si>
  <si>
    <t xml:space="preserve">ma-lp-00274122</t>
  </si>
  <si>
    <t xml:space="preserve">Material</t>
  </si>
  <si>
    <t xml:space="preserve">bote</t>
  </si>
  <si>
    <t xml:space="preserve">Primer de impermeabilización, emulsión asfáltica AQUASEAL BIGMAT de SOPREMA; color negro (25 kg/envase).   Ref. lp-00274122</t>
  </si>
  <si>
    <t xml:space="preserve">ma-lp-00539164</t>
  </si>
  <si>
    <t xml:space="preserve">Material</t>
  </si>
  <si>
    <t xml:space="preserve">saco</t>
  </si>
  <si>
    <t xml:space="preserve">Mortero seco para aplicaciones en albañilería M-7,5 SAGRASEC; color blanco (25 kg/saco)   Ref. lp-00539164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</si>
  <si>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</si>
  <si>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</si>
  <si>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</si>
  <si>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</si>
  <si>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</si>
  <si>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</si>
  <si>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</si>
  <si>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</si>
  <si>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</si>
  <si>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</si>
  <si>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</si>
  <si>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</si>
  <si>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</si>
  <si>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</si>
  <si>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</si>
  <si>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</si>
  <si>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</si>
  <si>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</si>
  <si>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</si>
  <si>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</si>
  <si>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CUB05-MNR-MC-04</t>
  </si>
  <si>
    <t xml:space="preserve">CUB-SUMIDEROS.Y.CONEXOS</t>
  </si>
  <si>
    <t xml:space="preserve">Capítulo</t>
  </si>
  <si>
    <t xml:space="preserve">XXXXXX SUMIDEROS Y CONEXOS</t>
  </si>
  <si>
    <t xml:space="preserve">CUB09-MNR-01-01</t>
  </si>
  <si>
    <t xml:space="preserve">Partida</t>
  </si>
  <si>
    <t xml:space="preserve">und</t>
  </si>
  <si>
    <t xml:space="preserve">XXXXXX SUMINISTRO Y COLOCACIÓN DE SUMIDERO SIFÓNICO PVC 10X10 CM CON SALIDA VERTICAL DIÁMETRO 32-40 mm; INCLUYE CAZOLETA DE CAUCHO EPDM CON PARAGRAVILLA (CUB)</t>
  </si>
  <si>
    <t xml:space="preserve">Suministro y colocación de sumidero sifónico ADEQUA PVC 10x10 cm con salida vertical diámetro 32-40 mm; incluye cazoleta de caucho EPDM con paragravilla (CUB)</t>
  </si>
  <si>
    <t xml:space="preserve">ma-lp-00001951</t>
  </si>
  <si>
    <t xml:space="preserve">Material</t>
  </si>
  <si>
    <t xml:space="preserve">pza</t>
  </si>
  <si>
    <t xml:space="preserve">Sumidero sifónico ADEQUA PVC 10x10 cm con salida vertical diámetro 32-40 mm; color gris.   Ref. lp-00001951</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</si>
  <si>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</si>
  <si>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</si>
  <si>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</si>
  <si>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</si>
  <si>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</si>
  <si>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</si>
  <si>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</si>
  <si>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</si>
  <si>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</si>
  <si>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</si>
  <si>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</si>
  <si>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</si>
  <si>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</si>
  <si>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</si>
  <si>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</si>
  <si>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</si>
  <si>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</si>
  <si>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</si>
  <si>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</si>
  <si>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</si>
  <si>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</si>
  <si>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</si>
  <si>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</si>
  <si>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</si>
  <si>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</si>
  <si>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</si>
  <si>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</si>
  <si>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</si>
  <si>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CUB09-MNR-01-01</t>
  </si>
  <si>
    <t xml:space="preserve">CUB09-MNR-01-02</t>
  </si>
  <si>
    <t xml:space="preserve">Partida</t>
  </si>
  <si>
    <t xml:space="preserve">und</t>
  </si>
  <si>
    <t xml:space="preserve">XXXXXX SUMINISTRO Y COLOCACIÓN DE SUMIDERO SIFÓNICO PVC 15X15 CM CON SALIDA VERTICAL DIÁMETRO 40-50 mm; INCLUYE CAZOLETA DE CAUCHO EPDM CON PARAGRAVILLA (CUB)</t>
  </si>
  <si>
    <t xml:space="preserve">Suministro y colocación de sumidero sifónico ADEQUA PVC 15x15 cm con salida vertical diámetro 40-50 mm; incluye cazoleta de caucho EPDM con paragravilla (CUB).</t>
  </si>
  <si>
    <t xml:space="preserve">ma-lp-00179404</t>
  </si>
  <si>
    <t xml:space="preserve">Material</t>
  </si>
  <si>
    <t xml:space="preserve">pza</t>
  </si>
  <si>
    <t xml:space="preserve">Sumidero sifónico ADEQUA PVC 15x15 cm con salida vertical diámetro 40-50 mm; color gris.   Ref. lp-00179404</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</si>
  <si>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</si>
  <si>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</si>
  <si>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</si>
  <si>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</si>
  <si>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</si>
  <si>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</si>
  <si>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</si>
  <si>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</si>
  <si>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</si>
  <si>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</si>
  <si>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</si>
  <si>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</si>
  <si>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</si>
  <si>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</si>
  <si>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</si>
  <si>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</si>
  <si>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</si>
  <si>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</si>
  <si>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</si>
  <si>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</si>
  <si>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</si>
  <si>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</si>
  <si>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</si>
  <si>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</si>
  <si>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</si>
  <si>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</si>
  <si>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</si>
  <si>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</si>
  <si>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CUB09-MNR-01-02</t>
  </si>
  <si>
    <t xml:space="preserve">CUB09-MNR-01-03</t>
  </si>
  <si>
    <t xml:space="preserve">Partida</t>
  </si>
  <si>
    <t xml:space="preserve">und</t>
  </si>
  <si>
    <t xml:space="preserve">XXXXXX SUMINISTRO Y COLOCACIÓN DE SUMIDERO SIFÓNICO PVC 20X20 CM CON SALIDA VERTICAL DIÁMETRO 80-90 mm; INCLUYE CAZOLETA DE CAUCHO EPDM CON PARAGRAVILLA (CUB)</t>
  </si>
  <si>
    <t xml:space="preserve">Suministro y colocación de sumidero sifónico ADEQUA PVC 20x20 cm con salida vertical diámetro 80-90 mm; incluye cazoleta de caucho EPDM con paragravilla (CUB).</t>
  </si>
  <si>
    <t xml:space="preserve">ma-lp-00001956</t>
  </si>
  <si>
    <t xml:space="preserve">Material</t>
  </si>
  <si>
    <t xml:space="preserve">pza</t>
  </si>
  <si>
    <t xml:space="preserve">Sumidero sifónico ADEQUA PVC 20x20 cm con salida vertical diámetro 80-90 mm; color gris.   Ref. lp-00001956</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</si>
  <si>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</si>
  <si>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</si>
  <si>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</si>
  <si>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</si>
  <si>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</si>
  <si>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</si>
  <si>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</si>
  <si>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</si>
  <si>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</si>
  <si>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</si>
  <si>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</si>
  <si>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</si>
  <si>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</si>
  <si>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</si>
  <si>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</si>
  <si>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</si>
  <si>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</si>
  <si>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</si>
  <si>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</si>
  <si>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</si>
  <si>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</si>
  <si>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</si>
  <si>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</si>
  <si>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</si>
  <si>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</si>
  <si>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</si>
  <si>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</si>
  <si>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</si>
  <si>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CUB09-MNR-01-03</t>
  </si>
  <si>
    <t xml:space="preserve">CUB09-MNR-02-01</t>
  </si>
  <si>
    <t xml:space="preserve">Partida</t>
  </si>
  <si>
    <t xml:space="preserve">und</t>
  </si>
  <si>
    <t xml:space="preserve">XXXXXX SUMINISTRO Y COLOCACIÓN DE SUMIDERO SIFÓNICO CEM DE ALUMINIO 10X10 CM CON SALIDA VERTICAL DIÁMETRO 40 mm; INCLUYE CAZOLETA DE CAUCHO EPDM CON PARAGRAVILLA (CUB)</t>
  </si>
  <si>
    <t xml:space="preserve">Suministro y colocación de sumidero sifónico CEM de aluminio 10x10 cm con salida vertical diámetro 40 mm; incluye cazoleta de caucho EPDM con paragravilla (CUB).</t>
  </si>
  <si>
    <t xml:space="preserve">ma-lp-00211669</t>
  </si>
  <si>
    <t xml:space="preserve">Material</t>
  </si>
  <si>
    <t xml:space="preserve">pza</t>
  </si>
  <si>
    <t xml:space="preserve">Sumidero sifónico CEM de aluminio 10x10 cm con vaso-salida vertical 40 mm.   Ref. lp-00211669</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</si>
  <si>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</si>
  <si>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</si>
  <si>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</si>
  <si>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</si>
  <si>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</si>
  <si>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</si>
  <si>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</si>
  <si>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</si>
  <si>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</si>
  <si>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</si>
  <si>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</si>
  <si>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</si>
  <si>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</si>
  <si>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</si>
  <si>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</si>
  <si>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</si>
  <si>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</si>
  <si>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</si>
  <si>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</si>
  <si>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</si>
  <si>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</si>
  <si>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</si>
  <si>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</si>
  <si>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</si>
  <si>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</si>
  <si>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</si>
  <si>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</si>
  <si>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</si>
  <si>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CUB09-MNR-02-01</t>
  </si>
  <si>
    <t xml:space="preserve">CUB09-MNR-02-02</t>
  </si>
  <si>
    <t xml:space="preserve">Partida</t>
  </si>
  <si>
    <t xml:space="preserve">und</t>
  </si>
  <si>
    <t xml:space="preserve">XXXXXX SUMINISTRO Y COLOCACIÓN DE SUMIDERO SIFÓNICO CEM DE ALUMINIO 15X15 CM CON SALIDA VERTICAL DIÁMETRO 50 mm; INCLUYE CAZOLETA DE CAUCHO EPDM CON PARAGRAVILLA (CUB)</t>
  </si>
  <si>
    <t xml:space="preserve">Suministro y colocación de sumidero sifónico CEM de aluminio 15x15 cm con salida vertical diámetro 50 mm; incluye cazoleta de caucho EPDM con paragravilla (CUB).</t>
  </si>
  <si>
    <t xml:space="preserve">ma-lp-00001954</t>
  </si>
  <si>
    <t xml:space="preserve">Material</t>
  </si>
  <si>
    <t xml:space="preserve">pza</t>
  </si>
  <si>
    <t xml:space="preserve">Sumidero sifónico CEM de aluminio 15x15 cm con vaso-salida vertical 50 mm.   Ref. lp-00001954</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</si>
  <si>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</si>
  <si>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</si>
  <si>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</si>
  <si>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</si>
  <si>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</si>
  <si>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</si>
  <si>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</si>
  <si>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</si>
  <si>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</si>
  <si>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</si>
  <si>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</si>
  <si>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</si>
  <si>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</si>
  <si>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</si>
  <si>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</si>
  <si>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</si>
  <si>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</si>
  <si>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</si>
  <si>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</si>
  <si>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</si>
  <si>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</si>
  <si>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</si>
  <si>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</si>
  <si>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</si>
  <si>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</si>
  <si>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</si>
  <si>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</si>
  <si>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</si>
  <si>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CUB09-MNR-02-02</t>
  </si>
  <si>
    <t xml:space="preserve">CUB09-MNR-02-03</t>
  </si>
  <si>
    <t xml:space="preserve">Partida</t>
  </si>
  <si>
    <t xml:space="preserve">und</t>
  </si>
  <si>
    <t xml:space="preserve">XXXXXX SUMINISTRO Y COLOCACIÓN DE SUMIDERO SIFÓNICO CEM DE ALUMINIO 20X20 CM CON SALIDA VERTICAL DIÁMETRO 75 mm; INCLUYE CAZOLETA DE CAUCHO EPDM CON PARAGRAVILLA (CUB)</t>
  </si>
  <si>
    <t xml:space="preserve">Suministro y colocación de sumidero sifónico CEM de aluminio 20x20 cm con salida vertical diámetro 75 mm; incluye cazoleta de caucho EPDM con paragravilla (CUB).</t>
  </si>
  <si>
    <t xml:space="preserve">ma-lp-00001955</t>
  </si>
  <si>
    <t xml:space="preserve">Material</t>
  </si>
  <si>
    <t xml:space="preserve">pza</t>
  </si>
  <si>
    <t xml:space="preserve">Sumidero sifónico CEM de aluminio 20x20 cm con vaso-salida vertical 75 mm.   Ref. lp-00001955</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</si>
  <si>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</si>
  <si>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</si>
  <si>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</si>
  <si>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</si>
  <si>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</si>
  <si>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</si>
  <si>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</si>
  <si>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</si>
  <si>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</si>
  <si>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</si>
  <si>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</si>
  <si>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</si>
  <si>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</si>
  <si>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</si>
  <si>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</si>
  <si>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</si>
  <si>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</si>
  <si>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</si>
  <si>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</si>
  <si>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</si>
  <si>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</si>
  <si>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</si>
  <si>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</si>
  <si>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</si>
  <si>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</si>
  <si>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</si>
  <si>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</si>
  <si>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</si>
  <si>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CUB09-MNR-02-03</t>
  </si>
  <si>
    <t xml:space="preserve">CUB09-PARAHOJAS-AG</t>
  </si>
  <si>
    <t xml:space="preserve">Partida</t>
  </si>
  <si>
    <t xml:space="preserve">pza</t>
  </si>
  <si>
    <t xml:space="preserve">XXXXXX S/C PARAHOJAS UNIVERSAL DE ACERO GALVANIZADO 80/125 MM</t>
  </si>
  <si>
    <t xml:space="preserve">S/C PARAHOJAS UNIVERSAL GALVANIZADO 80/125 mm</t>
  </si>
  <si>
    <t xml:space="preserve">ma-ferrolan-23450101</t>
  </si>
  <si>
    <t xml:space="preserve">Material</t>
  </si>
  <si>
    <t xml:space="preserve">pza</t>
  </si>
  <si>
    <t xml:space="preserve">Parahojas universal galvanizado 80/125 mm.   Ref. ferrolan-23450101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</si>
  <si>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</si>
  <si>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</si>
  <si>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</si>
  <si>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</si>
  <si>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</si>
  <si>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</si>
  <si>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</si>
  <si>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</si>
  <si>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</si>
  <si>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</si>
  <si>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</si>
  <si>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</si>
  <si>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</si>
  <si>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</si>
  <si>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</si>
  <si>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</si>
  <si>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</si>
  <si>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</si>
  <si>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</si>
  <si>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</si>
  <si>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CUB09-PARAHOJAS-AG</t>
  </si>
  <si>
    <t xml:space="preserve">CUB09-PARAHOJAS-AI</t>
  </si>
  <si>
    <t xml:space="preserve">Partida</t>
  </si>
  <si>
    <t xml:space="preserve">pza</t>
  </si>
  <si>
    <t xml:space="preserve">XXXXXX S/C PARAHOJAS UNIVERSAL DE ACERO INOXIDABLE 60/120 mm</t>
  </si>
  <si>
    <t xml:space="preserve">ssssssss</t>
  </si>
  <si>
    <t xml:space="preserve">ma-zonabrico-1901001</t>
  </si>
  <si>
    <t xml:space="preserve">Material</t>
  </si>
  <si>
    <t xml:space="preserve">pza</t>
  </si>
  <si>
    <t xml:space="preserve">Parahojas universal de acero inoxidable 60-120 mm.   Ref. zonabrico-1901001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</si>
  <si>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</si>
  <si>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</si>
  <si>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</si>
  <si>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</si>
  <si>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</si>
  <si>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</si>
  <si>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</si>
  <si>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</si>
  <si>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</si>
  <si>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</si>
  <si>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</si>
  <si>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</si>
  <si>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</si>
  <si>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</si>
  <si>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</si>
  <si>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</si>
  <si>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</si>
  <si>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</si>
  <si>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</si>
  <si>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</si>
  <si>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CUB09-PARAHOJAS-AI</t>
  </si>
  <si>
    <t xml:space="preserve">CUB-SUMIDEROS.Y.CONEXOS</t>
  </si>
  <si>
    <t xml:space="preserve">CUB11-MNR-01</t>
  </si>
  <si>
    <t xml:space="preserve">Partida</t>
  </si>
  <si>
    <t xml:space="preserve">m2</t>
  </si>
  <si>
    <t xml:space="preserve">XXXXXX SUMINISTRO Y COLOCACIÓN DE MEMBRANA GEOTEXTIL DE POLIÉSTER ROOFTEX V DE SOPREMA 150 gr/m2</t>
  </si>
  <si>
    <t xml:space="preserve">SUMINISTRO Y COLOCACIÓN DE MEMBRANA GEOTEXTIL DE POLIÉSTER ROOFTEX V DE SOPREMA 150 gr/m2</t>
  </si>
  <si>
    <t xml:space="preserve">ma-lp-00179615</t>
  </si>
  <si>
    <t xml:space="preserve">Material</t>
  </si>
  <si>
    <t xml:space="preserve">rollo</t>
  </si>
  <si>
    <t xml:space="preserve">Lámina geotextil de poliéster ROOFTEX V de SOPREMA; 150 gr/m2 (50x1,1 m/rollo).   Ref. lp-00179615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</si>
  <si>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</si>
  <si>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</si>
  <si>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</si>
  <si>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</si>
  <si>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</si>
  <si>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</si>
  <si>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</si>
  <si>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</si>
  <si>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</si>
  <si>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</si>
  <si>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</si>
  <si>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</si>
  <si>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</si>
  <si>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</si>
  <si>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</si>
  <si>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</si>
  <si>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</si>
  <si>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</si>
  <si>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</si>
  <si>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</si>
  <si>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CUB11-MNR-01</t>
  </si>
  <si>
    <t xml:space="preserve">CUB-SELLADO.JUNTA-EPS-10-01</t>
  </si>
  <si>
    <t xml:space="preserve">Partida</t>
  </si>
  <si>
    <t xml:space="preserve">m</t>
  </si>
  <si>
    <t xml:space="preserve">XXXXXX SELLADO DE JUNTAS DE DILATACIÓN 10 mm EN SUPERFICIE Y/O PERIMETRALES, A BASE DE TIRA DE POLIESTIRENO (EPS) Y MASILLA DE POLIURETANO</t>
  </si>
  <si>
    <t xml:space="preserve">Sellado de juntas de dilatación 10 mm en superficie y/o perimetrales, a base de tira de poliestireno (eps) y masilla de poliuretano</t>
  </si>
  <si>
    <t xml:space="preserve">ma-lp-00534912</t>
  </si>
  <si>
    <t xml:space="preserve">Material</t>
  </si>
  <si>
    <t xml:space="preserve">rollo</t>
  </si>
  <si>
    <t xml:space="preserve">Cinta pintor KREPP 48 mm (45 m/rollo).   Ref. lp-00534912</t>
  </si>
  <si>
    <t xml:space="preserve">ma-lp-00222892</t>
  </si>
  <si>
    <t xml:space="preserve">Material</t>
  </si>
  <si>
    <t xml:space="preserve">tira</t>
  </si>
  <si>
    <t xml:space="preserve">Tira de poliestireno expandido EPS densidad 10 kg/m3 (1000x100x10 mm/tira).   Ref. lp-00222892</t>
  </si>
  <si>
    <t xml:space="preserve">ma-ep-s/c</t>
  </si>
  <si>
    <t xml:space="preserve">Material</t>
  </si>
  <si>
    <t xml:space="preserve">envase</t>
  </si>
  <si>
    <t xml:space="preserve">Imprimante EUROTEX activador-promotor de adherencia de PU (1 litro/envase).   Ref. ep-s/c</t>
  </si>
  <si>
    <t xml:space="preserve">ma-lp-00541259</t>
  </si>
  <si>
    <t xml:space="preserve">Material</t>
  </si>
  <si>
    <t xml:space="preserve">envase</t>
  </si>
  <si>
    <t xml:space="preserve">Masilla de poliuretano BIGMAT (600 ml/envase); color marrón.   Ref. lp-00541259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</si>
  <si>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</si>
  <si>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</si>
  <si>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</si>
  <si>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</si>
  <si>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</si>
  <si>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</si>
  <si>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</si>
  <si>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</si>
  <si>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</si>
  <si>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</si>
  <si>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</si>
  <si>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</si>
  <si>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</si>
  <si>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</si>
  <si>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</si>
  <si>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</si>
  <si>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</si>
  <si>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</si>
  <si>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</si>
  <si>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</si>
  <si>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CUB-SELLADO.JUNTA-EPS-10-01</t>
  </si>
  <si>
    <t xml:space="preserve">CUB-SELLADO.JUNTA-EPS-20-01</t>
  </si>
  <si>
    <t xml:space="preserve">Partida</t>
  </si>
  <si>
    <t xml:space="preserve">m</t>
  </si>
  <si>
    <t xml:space="preserve">XXXXXX SELLADO DE JUNTAS DE DILATACIÓN 20 mm EN SUPERFICIE Y/O PERIMETRALES, A BASE DE TIRA DE POLIESTIRENO (EPS) Y MASILLA DE POLIURETANO</t>
  </si>
  <si>
    <t xml:space="preserve">Sellado de juntas de dilatación 20 mm en superficie y/o perimetrales, a base de tira de poliestireno (eps) y masilla de poliuretano</t>
  </si>
  <si>
    <t xml:space="preserve">ma-lp-00534912</t>
  </si>
  <si>
    <t xml:space="preserve">Material</t>
  </si>
  <si>
    <t xml:space="preserve">rollo</t>
  </si>
  <si>
    <t xml:space="preserve">Cinta pintor KREPP 48 mm (45 m/rollo).   Ref. lp-00534912</t>
  </si>
  <si>
    <t xml:space="preserve">ma-lp-00222892</t>
  </si>
  <si>
    <t xml:space="preserve">Material</t>
  </si>
  <si>
    <t xml:space="preserve">tira</t>
  </si>
  <si>
    <t xml:space="preserve">Tira de poliestireno expandido EPS densidad 10 kg/m3 (1000x100x10 mm/tira).   Ref. lp-00222892</t>
  </si>
  <si>
    <t xml:space="preserve">ma-ep-s/c</t>
  </si>
  <si>
    <t xml:space="preserve">Material</t>
  </si>
  <si>
    <t xml:space="preserve">envase</t>
  </si>
  <si>
    <t xml:space="preserve">Imprimante EUROTEX activador-promotor de adherencia de PU (1 litro/envase).   Ref. ep-s/c</t>
  </si>
  <si>
    <t xml:space="preserve">ma-lp-00541259</t>
  </si>
  <si>
    <t xml:space="preserve">Material</t>
  </si>
  <si>
    <t xml:space="preserve">envase</t>
  </si>
  <si>
    <t xml:space="preserve">Masilla de poliuretano BIGMAT (600 ml/envase); color marrón.   Ref. lp-00541259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</si>
  <si>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</si>
  <si>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</si>
  <si>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</si>
  <si>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</si>
  <si>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</si>
  <si>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</si>
  <si>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</si>
  <si>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</si>
  <si>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</si>
  <si>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</si>
  <si>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</si>
  <si>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</si>
  <si>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</si>
  <si>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</si>
  <si>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</si>
  <si>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</si>
  <si>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</si>
  <si>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</si>
  <si>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</si>
  <si>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</si>
  <si>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CUB-SELLADO.JUNTA-EPS-20-01</t>
  </si>
  <si>
    <t xml:space="preserve">CUB-SELLADO.JUNTA-EPS-15-01</t>
  </si>
  <si>
    <t xml:space="preserve">Partida</t>
  </si>
  <si>
    <t xml:space="preserve">m</t>
  </si>
  <si>
    <t xml:space="preserve">XXXXXX SELLADO DE JUNTAS DE DILATACIÓN 15 mm EN SUPERFICIE Y/O PERIMETRALES, A BASE DE CORDÓN DE POLIESTIRENO Y MASILLA DE POLIURETANO</t>
  </si>
  <si>
    <t xml:space="preserve">Sellado de juntas de dilatación 15 mm en superficie y/o perimetrales, a base de cordón de poliestireno y masilla de poliuretano</t>
  </si>
  <si>
    <t xml:space="preserve">ma-lp-00534912</t>
  </si>
  <si>
    <t xml:space="preserve">Material</t>
  </si>
  <si>
    <t xml:space="preserve">rollo</t>
  </si>
  <si>
    <t xml:space="preserve">Cinta pintor KREPP 48 mm (45 m/rollo).   Ref. lp-00534912</t>
  </si>
  <si>
    <t xml:space="preserve">ma-lp-00540972</t>
  </si>
  <si>
    <t xml:space="preserve">Material</t>
  </si>
  <si>
    <t xml:space="preserve">pza</t>
  </si>
  <si>
    <t xml:space="preserve">Cordón de espuma polietilénica extruida MAPEFOAM de MAPEI (1 m x 15 mm/pza).   Ref. lp-00540972</t>
  </si>
  <si>
    <t xml:space="preserve">ma-ep-s/c</t>
  </si>
  <si>
    <t xml:space="preserve">Material</t>
  </si>
  <si>
    <t xml:space="preserve">envase</t>
  </si>
  <si>
    <t xml:space="preserve">Imprimante EUROTEX activador-promotor de adherencia de PU (1 litro/envase).   Ref. ep-s/c</t>
  </si>
  <si>
    <t xml:space="preserve">ma-lp-00541259</t>
  </si>
  <si>
    <t xml:space="preserve">Material</t>
  </si>
  <si>
    <t xml:space="preserve">envase</t>
  </si>
  <si>
    <t xml:space="preserve">Masilla de poliuretano BIGMAT (600 ml/envase); color marrón.   Ref. lp-00541259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</si>
  <si>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</si>
  <si>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</si>
  <si>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</si>
  <si>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</si>
  <si>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</si>
  <si>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</si>
  <si>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</si>
  <si>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</si>
  <si>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</si>
  <si>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</si>
  <si>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</si>
  <si>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</si>
  <si>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</si>
  <si>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</si>
  <si>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</si>
  <si>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</si>
  <si>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</si>
  <si>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</si>
  <si>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</si>
  <si>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</si>
  <si>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CUB-SELLADO.JUNTA-EPS-15-01</t>
  </si>
  <si>
    <t xml:space="preserve">CUB-SELLADO.JUNTA-EPS-25-01</t>
  </si>
  <si>
    <t xml:space="preserve">Partida</t>
  </si>
  <si>
    <t xml:space="preserve">m</t>
  </si>
  <si>
    <t xml:space="preserve">XXXXXX SELLADO DE JUNTAS DE DILATACIÓN 25 mm EN SUPERFICIE Y/O PERIMETRALES, A BASE DE CORDÓN DE POLIESTIRENO Y MASILLA DE POLIURETANO</t>
  </si>
  <si>
    <t xml:space="preserve">Sellado de juntas de dilatación 25 mm en superficie y/o perimetrales, a base de cordón de poliestireno y masilla de poliuretano</t>
  </si>
  <si>
    <t xml:space="preserve">ma-lp-00534912</t>
  </si>
  <si>
    <t xml:space="preserve">Material</t>
  </si>
  <si>
    <t xml:space="preserve">rollo</t>
  </si>
  <si>
    <t xml:space="preserve">Cinta pintor KREPP 48 mm (45 m/rollo).   Ref. lp-00534912</t>
  </si>
  <si>
    <t xml:space="preserve">ma-lp-00540972</t>
  </si>
  <si>
    <t xml:space="preserve">Material</t>
  </si>
  <si>
    <t xml:space="preserve">pza</t>
  </si>
  <si>
    <t xml:space="preserve">Cordón de espuma polietilénica extruida MAPEFOAM de MAPEI (1 m x 15 mm/pza).   Ref. lp-00540972</t>
  </si>
  <si>
    <t xml:space="preserve">ma-ep-s/c</t>
  </si>
  <si>
    <t xml:space="preserve">Material</t>
  </si>
  <si>
    <t xml:space="preserve">envase</t>
  </si>
  <si>
    <t xml:space="preserve">Imprimante EUROTEX activador-promotor de adherencia de PU (1 litro/envase).   Ref. ep-s/c</t>
  </si>
  <si>
    <t xml:space="preserve">ma-lp-00541259</t>
  </si>
  <si>
    <t xml:space="preserve">Material</t>
  </si>
  <si>
    <t xml:space="preserve">envase</t>
  </si>
  <si>
    <t xml:space="preserve">Masilla de poliuretano BIGMAT (600 ml/envase); color marrón.   Ref. lp-00541259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</si>
  <si>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</si>
  <si>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</si>
  <si>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</si>
  <si>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</si>
  <si>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</si>
  <si>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</si>
  <si>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</si>
  <si>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</si>
  <si>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</si>
  <si>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</si>
  <si>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</si>
  <si>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</si>
  <si>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</si>
  <si>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</si>
  <si>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</si>
  <si>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</si>
  <si>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</si>
  <si>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</si>
  <si>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</si>
  <si>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</si>
  <si>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CUB-SELLADO.JUNTA-EPS-25-01</t>
  </si>
  <si>
    <t xml:space="preserve">CUB-CAPA.REGULARIZADORA-GTX-2cm</t>
  </si>
  <si>
    <t xml:space="preserve">Partida</t>
  </si>
  <si>
    <t xml:space="preserve">m2</t>
  </si>
  <si>
    <t xml:space="preserve">XXXXXX CAPA DE MORTERO e= 2 cm; INCLUYE MALLA DE REFUERZO EN LÁMINA GEOTEXTIL DE POLIÉSTER (CUB)</t>
  </si>
  <si>
    <t xml:space="preserve">CAPA DE MORTERO e= 2 cm; INCLUYE MALLA DE REFUERZO EN LÁMINA GEOTEXTIL DE POLIÉSTER (CUB)</t>
  </si>
  <si>
    <t xml:space="preserve">ma-lp-00179615</t>
  </si>
  <si>
    <t xml:space="preserve">Material</t>
  </si>
  <si>
    <t xml:space="preserve">rollo</t>
  </si>
  <si>
    <t xml:space="preserve">Lámina geotextil de poliéster ROOFTEX V de SOPREMA; 150 gr/m2 (50x1,1 m/rollo).   Ref. lp-00179615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</si>
  <si>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</si>
  <si>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</si>
  <si>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</si>
  <si>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</si>
  <si>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</si>
  <si>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</si>
  <si>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</si>
  <si>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</si>
  <si>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</si>
  <si>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</si>
  <si>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</si>
  <si>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</si>
  <si>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</si>
  <si>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</si>
  <si>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</si>
  <si>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</si>
  <si>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</si>
  <si>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</si>
  <si>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</si>
  <si>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</si>
  <si>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</si>
  <si>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</si>
  <si>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</si>
  <si>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</si>
  <si>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CUB-CAPA.REGULARIZADORA-GTX-2cm</t>
  </si>
  <si>
    <t xml:space="preserve">CUB-CAPA.REGULARIZADORA-GTX-3cm</t>
  </si>
  <si>
    <t xml:space="preserve">Partida</t>
  </si>
  <si>
    <t xml:space="preserve">m2</t>
  </si>
  <si>
    <t xml:space="preserve">XXXXXX CAPA DE MORTERO e= 3 cm; INCLUYE MALLA DE REFUERZO EN LÁMINA GEOTEXTIL DE POLIÉSTER (CUB)</t>
  </si>
  <si>
    <t xml:space="preserve">CAPA DE MORTERO e= 3 cm; INCLUYE MALLA DE REFUERZO EN LÁMINA GEOTEXTIL DE POLIÉSTER (CUB)</t>
  </si>
  <si>
    <t xml:space="preserve">ma-lp-00179615</t>
  </si>
  <si>
    <t xml:space="preserve">Material</t>
  </si>
  <si>
    <t xml:space="preserve">rollo</t>
  </si>
  <si>
    <t xml:space="preserve">Lámina geotextil de poliéster ROOFTEX V de SOPREMA; 150 gr/m2 (50x1,1 m/rollo).   Ref. lp-00179615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</si>
  <si>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</si>
  <si>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</si>
  <si>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</si>
  <si>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</si>
  <si>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</si>
  <si>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</si>
  <si>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</si>
  <si>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</si>
  <si>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</si>
  <si>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</si>
  <si>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</si>
  <si>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</si>
  <si>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</si>
  <si>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</si>
  <si>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</si>
  <si>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</si>
  <si>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</si>
  <si>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</si>
  <si>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</si>
  <si>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</si>
  <si>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</si>
  <si>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</si>
  <si>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</si>
  <si>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</si>
  <si>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CUB-CAPA.REGULARIZADORA-GTX-3cm</t>
  </si>
  <si>
    <t xml:space="preserve">CUB-CAPA.REGULARIZADORA-GTX-4cm</t>
  </si>
  <si>
    <t xml:space="preserve">Partida</t>
  </si>
  <si>
    <t xml:space="preserve">m2</t>
  </si>
  <si>
    <t xml:space="preserve">XXXXXX CAPA DE MORTERO e= 4 cm; INCLUYE MALLA DE REFUERZO EN LÁMINA GEOTEXTIL DE POLIÉSTER (CUB)</t>
  </si>
  <si>
    <t xml:space="preserve">CAPA DE MORTERO e= 4 cm; INCLUYE MALLA DE REFUERZO EN LÁMINA GEOTEXTIL DE POLIÉSTER (CUB)</t>
  </si>
  <si>
    <t xml:space="preserve">ma-lp-00179615</t>
  </si>
  <si>
    <t xml:space="preserve">Material</t>
  </si>
  <si>
    <t xml:space="preserve">rollo</t>
  </si>
  <si>
    <t xml:space="preserve">Lámina geotextil de poliéster ROOFTEX V de SOPREMA; 150 gr/m2 (50x1,1 m/rollo).   Ref. lp-00179615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</si>
  <si>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</si>
  <si>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</si>
  <si>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</si>
  <si>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</si>
  <si>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</si>
  <si>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</si>
  <si>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</si>
  <si>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</si>
  <si>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</si>
  <si>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</si>
  <si>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</si>
  <si>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</si>
  <si>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</si>
  <si>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</si>
  <si>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</si>
  <si>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</si>
  <si>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</si>
  <si>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</si>
  <si>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</si>
  <si>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</si>
  <si>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</si>
  <si>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</si>
  <si>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</si>
  <si>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</si>
  <si>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CUB-CAPA.REGULARIZADORA-GTX-4cm</t>
  </si>
  <si>
    <t xml:space="preserve">CUB-CAPA.REGULARIZADORA-MFV-2cm</t>
  </si>
  <si>
    <t xml:space="preserve">Partida</t>
  </si>
  <si>
    <t xml:space="preserve">m2</t>
  </si>
  <si>
    <t xml:space="preserve">XXXXXX CAPA DE MORTERO e= 2 cm; INCLUYE MALLA DE REFUERZO EN FIBRA DE VIDRIO (CUB)</t>
  </si>
  <si>
    <t xml:space="preserve">Capa de mortero e=3 cm entre la lámina impermeabilizante y pavimento acabado; incluye refuerzo con malla de fibra de vidrio (CUB)</t>
  </si>
  <si>
    <t xml:space="preserve">ma-lp-00001705</t>
  </si>
  <si>
    <t xml:space="preserve">Material</t>
  </si>
  <si>
    <t xml:space="preserve">rollo</t>
  </si>
  <si>
    <t xml:space="preserve">Malla de fibra de vidrio azul para refuerzo de morteros y revocos (rollo 50x1 m)   Ref. lp-00001705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</si>
  <si>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</si>
  <si>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</si>
  <si>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</si>
  <si>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</si>
  <si>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</si>
  <si>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</si>
  <si>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</si>
  <si>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</si>
  <si>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</si>
  <si>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</si>
  <si>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</si>
  <si>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</si>
  <si>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</si>
  <si>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</si>
  <si>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</si>
  <si>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</si>
  <si>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</si>
  <si>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</si>
  <si>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</si>
  <si>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</si>
  <si>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</si>
  <si>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</si>
  <si>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</si>
  <si>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</si>
  <si>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CUB-CAPA.REGULARIZADORA-MFV-2cm</t>
  </si>
  <si>
    <t xml:space="preserve">CUB-CAPA.REGULARIZADORA-MFV-3cm</t>
  </si>
  <si>
    <t xml:space="preserve">Partida</t>
  </si>
  <si>
    <t xml:space="preserve">m2</t>
  </si>
  <si>
    <t xml:space="preserve">XXXXXX CAPA DE MORTERO e= 3 cm; INCLUYE MALLA DE REFUERZO EN FIBRA DE VIDRIO (CUB)</t>
  </si>
  <si>
    <t xml:space="preserve">Capa de mortero e=3 cm entre la lámina impermeabilizante y pavimento acabado; incluye refuerzo con malla de fibra de vidrio (CUB)</t>
  </si>
  <si>
    <t xml:space="preserve">ma-lp-00001705</t>
  </si>
  <si>
    <t xml:space="preserve">Material</t>
  </si>
  <si>
    <t xml:space="preserve">rollo</t>
  </si>
  <si>
    <t xml:space="preserve">Malla de fibra de vidrio azul para refuerzo de morteros y revocos (rollo 50x1 m)   Ref. lp-00001705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</si>
  <si>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</si>
  <si>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</si>
  <si>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</si>
  <si>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</si>
  <si>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</si>
  <si>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</si>
  <si>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</si>
  <si>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</si>
  <si>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</si>
  <si>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</si>
  <si>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</si>
  <si>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</si>
  <si>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</si>
  <si>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</si>
  <si>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</si>
  <si>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</si>
  <si>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</si>
  <si>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</si>
  <si>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</si>
  <si>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</si>
  <si>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</si>
  <si>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</si>
  <si>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</si>
  <si>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</si>
  <si>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CUB-CAPA.REGULARIZADORA-MFV-3cm</t>
  </si>
  <si>
    <t xml:space="preserve">CUB-CAPA.REGULARIZADORA-MFV-4cm</t>
  </si>
  <si>
    <t xml:space="preserve">Partida</t>
  </si>
  <si>
    <t xml:space="preserve">m2</t>
  </si>
  <si>
    <t xml:space="preserve">XXXXXX CAPA DE MORTERO e= 4 cm; INCLUYE MALLA DE REFUERZO EN FIBRA DE VIDRIO (CUB)</t>
  </si>
  <si>
    <t xml:space="preserve">Capa de mortero e=4 cm entre la lámina impermeabilizante y pavimento acabado; incluye refuerzo con malla de fibra de vidrio (CUB)</t>
  </si>
  <si>
    <t xml:space="preserve">ma-lp-00001705</t>
  </si>
  <si>
    <t xml:space="preserve">Material</t>
  </si>
  <si>
    <t xml:space="preserve">rollo</t>
  </si>
  <si>
    <t xml:space="preserve">Malla de fibra de vidrio azul para refuerzo de morteros y revocos (rollo 50x1 m)   Ref. lp-00001705</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</si>
  <si>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</si>
  <si>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</si>
  <si>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</si>
  <si>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</si>
  <si>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</si>
  <si>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</si>
  <si>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</si>
  <si>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</si>
  <si>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</si>
  <si>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</si>
  <si>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</si>
  <si>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</si>
  <si>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</si>
  <si>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</si>
  <si>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</si>
  <si>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</si>
  <si>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</si>
  <si>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</si>
  <si>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</si>
  <si>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</si>
  <si>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</si>
  <si>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</si>
  <si>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</si>
  <si>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</si>
  <si>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CUB-CAPA.REGULARIZADORA-MFV-4cm</t>
  </si>
  <si>
    <t xml:space="preserve">CUB-SELLADO.JUNTA-PU-15-AT-01</t>
  </si>
  <si>
    <t xml:space="preserve">Partida</t>
  </si>
  <si>
    <t xml:space="preserve">m</t>
  </si>
  <si>
    <t xml:space="preserve">XXXXXX SELLADO DE JUNTAS DE DILATACIÓN 15 MM EN SUPERFICIE Y/O PERIMETRALES, A BASE DE MASILLA SELLANTE DE POLIURETANO; MEDIANTE EL USO DE ANDAMIO TUBULAR</t>
  </si>
  <si>
    <t xml:space="preserve">SELLADO DE JUNTAS DE DILATACIÓN 15 MM EN SUPERFICIE Y/O PERIMETRALES, A BASE DE MASILLA SELLANTE DE POLIURETANO; MEDIANTE EL USO DE ANDAMIO TUBULAR</t>
  </si>
  <si>
    <t xml:space="preserve">ma-dispival-barniz.PU-4kg</t>
  </si>
  <si>
    <t xml:space="preserve">Material</t>
  </si>
  <si>
    <t xml:space="preserve">kit</t>
  </si>
  <si>
    <t xml:space="preserve">Barniz de poliuretano alifático bicomponente de REVETÓN (4 kg/kit).   Ref. dispival-barniz.PU-4kg</t>
  </si>
  <si>
    <t xml:space="preserve">ma-dispival-masilla.PU</t>
  </si>
  <si>
    <t xml:space="preserve">Material</t>
  </si>
  <si>
    <t xml:space="preserve">cartucho</t>
  </si>
  <si>
    <t xml:space="preserve">Masilla sellante de juntas al poliuretano MASITEX P de REVETÓN; color gris (300 ml/cartucho).   Ref. dispival-masilla.PU</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</si>
  <si>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</si>
  <si>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</si>
  <si>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</si>
  <si>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</si>
  <si>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</si>
  <si>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</si>
  <si>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</si>
  <si>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</si>
  <si>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</si>
  <si>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</si>
  <si>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</si>
  <si>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</si>
  <si>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</si>
  <si>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</si>
  <si>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</si>
  <si>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</si>
  <si>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</si>
  <si>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</si>
  <si>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</si>
  <si>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</si>
  <si>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CUB-SELLADO.JUNTA-PU-15-AT-01</t>
  </si>
  <si>
    <t xml:space="preserve">CUB-SELLADO.JUNTA-PU-15-MS-01</t>
  </si>
  <si>
    <t xml:space="preserve">Partida</t>
  </si>
  <si>
    <t xml:space="preserve">m</t>
  </si>
  <si>
    <t xml:space="preserve">XXXXXX SELLADO DE JUNTAS DE DILATACIÓN 15 MM EN SUPERFICIE Y/O PERIMETRALES, A BASE DE MASILLA SELLANTE DE POLIURETANO; MEDIANTE EL USO DE MEDIO SUSPENDIDO/COLGADO</t>
  </si>
  <si>
    <t xml:space="preserve">SELLADO DE JUNTAS DE DILATACIÓN 15 MM EN SUPERFICIE Y/O PERIMETRALES, A BASE DE MASILLA SELLANTE DE POLIURETANO; MEDIANTE EL USO DE MEDIO SUSPENDIDO/COLGADO</t>
  </si>
  <si>
    <t xml:space="preserve">ma-dispival-barniz.PU-4kg</t>
  </si>
  <si>
    <t xml:space="preserve">Material</t>
  </si>
  <si>
    <t xml:space="preserve">kit</t>
  </si>
  <si>
    <t xml:space="preserve">Barniz de poliuretano alifático bicomponente de REVETÓN (4 kg/kit).   Ref. dispival-barniz.PU-4kg</t>
  </si>
  <si>
    <t xml:space="preserve">ma-dispival-masilla.PU</t>
  </si>
  <si>
    <t xml:space="preserve">Material</t>
  </si>
  <si>
    <t xml:space="preserve">cartucho</t>
  </si>
  <si>
    <t xml:space="preserve">Masilla sellante de juntas al poliuretano MASITEX P de REVETÓN; color gris (300 ml/cartucho).   Ref. dispival-masilla.PU</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</si>
  <si>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</si>
  <si>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</si>
  <si>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</si>
  <si>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</si>
  <si>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</si>
  <si>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</si>
  <si>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</si>
  <si>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</si>
  <si>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</si>
  <si>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</si>
  <si>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</si>
  <si>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</si>
  <si>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</si>
  <si>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</si>
  <si>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</si>
  <si>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</si>
  <si>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</si>
  <si>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</si>
  <si>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</si>
  <si>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</si>
  <si>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CUB-SELLADO.JUNTA-PU-15-MS-01</t>
  </si>
  <si>
    <t xml:space="preserve">CUB-SELLADO.JUNTA-PU-20-AT-01</t>
  </si>
  <si>
    <t xml:space="preserve">Partida</t>
  </si>
  <si>
    <t xml:space="preserve">m</t>
  </si>
  <si>
    <t xml:space="preserve">XXXXXX SELLADO DE JUNTAS DE DILATACIÓN 20 mm EN SUPERFICIE Y/O PERIMETRALES, A BASE DE MASILLA SELLANTE DE POLIURETANO; MEDIANTE EL USO DE ANDAMIO TUBULAR</t>
  </si>
  <si>
    <t xml:space="preserve">SELLADO DE JUNTAS DE DILATACIÓN 20 mm EN SUPERFICIE Y/O PERIMETRALES, A BASE DE MASILLA SELLANTE DE POLIURETANO; MEDIANTE EL USO DE ANDAMIO TUBULAR</t>
  </si>
  <si>
    <t xml:space="preserve">ma-dispival-barniz.PU-4kg</t>
  </si>
  <si>
    <t xml:space="preserve">Material</t>
  </si>
  <si>
    <t xml:space="preserve">kit</t>
  </si>
  <si>
    <t xml:space="preserve">Barniz de poliuretano alifático bicomponente de REVETÓN (4 kg/kit).   Ref. dispival-barniz.PU-4kg</t>
  </si>
  <si>
    <t xml:space="preserve">ma-dispival-masilla.PU</t>
  </si>
  <si>
    <t xml:space="preserve">Material</t>
  </si>
  <si>
    <t xml:space="preserve">cartucho</t>
  </si>
  <si>
    <t xml:space="preserve">Masilla sellante de juntas al poliuretano MASITEX P de REVETÓN; color gris (300 ml/cartucho).   Ref. dispival-masilla.PU</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</si>
  <si>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</si>
  <si>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</si>
  <si>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</si>
  <si>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</si>
  <si>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</si>
  <si>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</si>
  <si>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</si>
  <si>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</si>
  <si>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</si>
  <si>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</si>
  <si>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</si>
  <si>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</si>
  <si>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</si>
  <si>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</si>
  <si>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</si>
  <si>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</si>
  <si>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</si>
  <si>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</si>
  <si>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</si>
  <si>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</si>
  <si>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CUB-SELLADO.JUNTA-PU-20-AT-01</t>
  </si>
  <si>
    <t xml:space="preserve">CUB-SELLADO.JUNTA-PU-20-MS-01</t>
  </si>
  <si>
    <t xml:space="preserve">Partida</t>
  </si>
  <si>
    <t xml:space="preserve">m</t>
  </si>
  <si>
    <t xml:space="preserve">XXXXXX SELLADO DE JUNTAS DE DILATACIÓN 20 mm EN SUPERFICIE Y/O PERIMETRALES, A BASE DE MASILLA SELLANTE DE POLIURETANO; MEDIANTE EL USO DE MEDIO SUSPENDIDO/COLGADO</t>
  </si>
  <si>
    <t xml:space="preserve">SELLADO DE JUNTAS DE DILATACIÓN 20 mm EN SUPERFICIE Y/O PERIMETRALES, A BASE DE MASILLA SELLANTE DE POLIURETANO; MEDIANTE EL USO DE MEDIO SUSPENDIDO/COLGADO</t>
  </si>
  <si>
    <t xml:space="preserve">ma-dispival-barniz.PU-4kg</t>
  </si>
  <si>
    <t xml:space="preserve">Material</t>
  </si>
  <si>
    <t xml:space="preserve">kit</t>
  </si>
  <si>
    <t xml:space="preserve">Barniz de poliuretano alifático bicomponente de REVETÓN (4 kg/kit).   Ref. dispival-barniz.PU-4kg</t>
  </si>
  <si>
    <t xml:space="preserve">ma-dispival-masilla.PU</t>
  </si>
  <si>
    <t xml:space="preserve">Material</t>
  </si>
  <si>
    <t xml:space="preserve">cartucho</t>
  </si>
  <si>
    <t xml:space="preserve">Masilla sellante de juntas al poliuretano MASITEX P de REVETÓN; color gris (300 ml/cartucho).   Ref. dispival-masilla.PU</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</si>
  <si>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</si>
  <si>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</si>
  <si>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</si>
  <si>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</si>
  <si>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</si>
  <si>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</si>
  <si>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</si>
  <si>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</si>
  <si>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</si>
  <si>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</si>
  <si>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</si>
  <si>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</si>
  <si>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</si>
  <si>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</si>
  <si>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</si>
  <si>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</si>
  <si>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</si>
  <si>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</si>
  <si>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</si>
  <si>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</si>
  <si>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CUB-SELLADO.JUNTA-PU-20-MS-01</t>
  </si>
  <si>
    <t xml:space="preserve">CUB-SELLADO.JUNTA-PU-25-AT-01</t>
  </si>
  <si>
    <t xml:space="preserve">Partida</t>
  </si>
  <si>
    <t xml:space="preserve">m</t>
  </si>
  <si>
    <t xml:space="preserve">XXXXXX SELLADO DE JUNTAS DE DILATACIÓN 25 mm EN SUPERFICIE Y/O PERIMETRALES, A BASE DE MASILLA SELLANTE DE POLIURETANO; MEDIANTE EL USO DE MEDIO SUSPENDIDO/COLGADO</t>
  </si>
  <si>
    <t xml:space="preserve">SELLADO DE JUNTAS DE DILATACIÓN 25 mm EN SUPERFICIE Y/O PERIMETRALES, A BASE DE MASILLA SELLANTE DE POLIURETANO; MEDIANTE EL USO DE MEDIO SUSPENDIDO/COLGADO</t>
  </si>
  <si>
    <t xml:space="preserve">ma-dispival-barniz.PU-4kg</t>
  </si>
  <si>
    <t xml:space="preserve">Material</t>
  </si>
  <si>
    <t xml:space="preserve">kit</t>
  </si>
  <si>
    <t xml:space="preserve">Barniz de poliuretano alifático bicomponente de REVETÓN (4 kg/kit).   Ref. dispival-barniz.PU-4kg</t>
  </si>
  <si>
    <t xml:space="preserve">ma-dispival-masilla.PU</t>
  </si>
  <si>
    <t xml:space="preserve">Material</t>
  </si>
  <si>
    <t xml:space="preserve">cartucho</t>
  </si>
  <si>
    <t xml:space="preserve">Masilla sellante de juntas al poliuretano MASITEX P de REVETÓN; color gris (300 ml/cartucho).   Ref. dispival-masilla.PU</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</si>
  <si>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</si>
  <si>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</si>
  <si>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</si>
  <si>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</si>
  <si>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</si>
  <si>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</si>
  <si>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</si>
  <si>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</si>
  <si>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</si>
  <si>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</si>
  <si>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</si>
  <si>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</si>
  <si>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</si>
  <si>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</si>
  <si>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</si>
  <si>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</si>
  <si>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</si>
  <si>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</si>
  <si>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</si>
  <si>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</si>
  <si>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CUB-SELLADO.JUNTA-PU-25-AT-01</t>
  </si>
  <si>
    <t xml:space="preserve">CUB-SELLADO.JUNTA-PU-25-MS-01</t>
  </si>
  <si>
    <t xml:space="preserve">Partida</t>
  </si>
  <si>
    <t xml:space="preserve">m</t>
  </si>
  <si>
    <t xml:space="preserve">XXXXXX SELLADO DE JUNTAS DE DILATACIÓN 25 mm EN SUPERFICIE Y/O PERIMETRALES, A BASE DE MASILLA SELLANTE DE POLIURETANO; MEDIANTE EL USO DE MEDIO SUSPENDIDO/COLGADO</t>
  </si>
  <si>
    <t xml:space="preserve">SELLADO DE JUNTAS DE DILATACIÓN 25 mm EN SUPERFICIE Y/O PERIMETRALES, A BASE DE MASILLA SELLANTE DE POLIURETANO; MEDIANTE EL USO DE MEDIO SUSPENDIDO/COLGADO</t>
  </si>
  <si>
    <t xml:space="preserve">ma-dispival-barniz.PU-4kg</t>
  </si>
  <si>
    <t xml:space="preserve">Material</t>
  </si>
  <si>
    <t xml:space="preserve">kit</t>
  </si>
  <si>
    <t xml:space="preserve">Barniz de poliuretano alifático bicomponente de REVETÓN (4 kg/kit).   Ref. dispival-barniz.PU-4kg</t>
  </si>
  <si>
    <t xml:space="preserve">ma-dispival-masilla.PU</t>
  </si>
  <si>
    <t xml:space="preserve">Material</t>
  </si>
  <si>
    <t xml:space="preserve">cartucho</t>
  </si>
  <si>
    <t xml:space="preserve">Masilla sellante de juntas al poliuretano MASITEX P de REVETÓN; color gris (300 ml/cartucho).   Ref. dispival-masilla.PU</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</si>
  <si>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</si>
  <si>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</si>
  <si>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</si>
  <si>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</si>
  <si>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</si>
  <si>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</si>
  <si>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</si>
  <si>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</si>
  <si>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</si>
  <si>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</si>
  <si>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</si>
  <si>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</si>
  <si>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</si>
  <si>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</si>
  <si>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</si>
  <si>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</si>
  <si>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</si>
  <si>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</si>
  <si>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</si>
  <si>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</si>
  <si>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CUB-SELLADO.JUNTA-PU-25-MS-01</t>
  </si>
  <si>
    <t xml:space="preserve">CUB50-MNR-POLICARBONATO-16-PSD</t>
  </si>
  <si>
    <t xml:space="preserve">Partida</t>
  </si>
  <si>
    <t xml:space="preserve">m2</t>
  </si>
  <si>
    <t xml:space="preserve">XXXXXX CUBIERTA CLARABOYA DE POLICARBONATO CELULAR 16 mm (6,76 KG/PLACA)</t>
  </si>
  <si>
    <t xml:space="preserve">Suministro y colocacion de claraboya con placas traslucida de policarbonato celular incoloro de 16mm de espesor (6,76 kg/placa); incluye: Perfiles en H para uniones de las placas, perfil perimetral en "U", fijaciones a estructura.</t>
  </si>
  <si>
    <t xml:space="preserve">ma-lp-00413504</t>
  </si>
  <si>
    <t xml:space="preserve">Material</t>
  </si>
  <si>
    <t xml:space="preserve">placa</t>
  </si>
  <si>
    <t xml:space="preserve">Placa de policarbonato celular de ONDUCLAIR 6.76 kg/placa (3000x980x16 mm/placa).   Ref. lp-00413504</t>
  </si>
  <si>
    <t xml:space="preserve">ma-lp-00413513</t>
  </si>
  <si>
    <t xml:space="preserve">Material</t>
  </si>
  <si>
    <t xml:space="preserve">pza</t>
  </si>
  <si>
    <t xml:space="preserve">Perfil H de policarbonato para cubiertas ligeras translúcidas (3000x16 mm/pza).   Ref. lp-00413513</t>
  </si>
  <si>
    <t xml:space="preserve">ma-lp-00537568</t>
  </si>
  <si>
    <t xml:space="preserve">Material</t>
  </si>
  <si>
    <t xml:space="preserve">pza</t>
  </si>
  <si>
    <t xml:space="preserve">Perfil U de policarbonato para cubiertas ligeras translúcidas (2100x16 mm/pza).   Ref. lp-00537568</t>
  </si>
  <si>
    <t xml:space="preserve">ma-lp-00537570</t>
  </si>
  <si>
    <t xml:space="preserve">Material</t>
  </si>
  <si>
    <t xml:space="preserve">rollo</t>
  </si>
  <si>
    <t xml:space="preserve">Cinta microperforada 38 mm para placas de policarbonato ONDULINE (33 m/rollo).   Ref. lp-00537570</t>
  </si>
  <si>
    <t xml:space="preserve">ma-lp-00537572</t>
  </si>
  <si>
    <t xml:space="preserve">Material</t>
  </si>
  <si>
    <t xml:space="preserve">rollo</t>
  </si>
  <si>
    <t xml:space="preserve">Cinta ciega 25 mm para placas de policarbonato ONDULINE (50 m/rollo).   Ref. lp-00537572</t>
  </si>
  <si>
    <t xml:space="preserve">ma-lp-00114066</t>
  </si>
  <si>
    <t xml:space="preserve">Material</t>
  </si>
  <si>
    <t xml:space="preserve">cartucho</t>
  </si>
  <si>
    <t xml:space="preserve">Silicona SELLACEYS EXPRESS translúcida (280 ml/cartucho).   Ref. lp-00114066</t>
  </si>
  <si>
    <t xml:space="preserve">ma-lp-00412482</t>
  </si>
  <si>
    <t xml:space="preserve">Material</t>
  </si>
  <si>
    <t xml:space="preserve">bolsa</t>
  </si>
  <si>
    <t xml:space="preserve">Tornillo autoroscante cabeza hexagonal con arandela de 16 mm de HIDRAFIX (6,3x25 mm/pza; 500 pzas/bolsa).   Ref. lp-00412482</t>
  </si>
  <si>
    <t xml:space="preserve">ma-lp-00367910</t>
  </si>
  <si>
    <t xml:space="preserve">Material</t>
  </si>
  <si>
    <t xml:space="preserve">caja</t>
  </si>
  <si>
    <t xml:space="preserve">Juego de brocas metal HSS-CO-DIN 338 (19 brocas/caja).   Ref. lp-00367910</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</si>
  <si>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</si>
  <si>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</si>
  <si>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</si>
  <si>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</si>
  <si>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</si>
  <si>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</si>
  <si>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</si>
  <si>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</si>
  <si>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</si>
  <si>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</si>
  <si>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</si>
  <si>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</si>
  <si>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</si>
  <si>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</si>
  <si>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</si>
  <si>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</si>
  <si>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</si>
  <si>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</si>
  <si>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</si>
  <si>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</si>
  <si>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</si>
  <si>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</si>
  <si>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</si>
  <si>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</si>
  <si>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CUB50-MNR-POLICARBONATO-16-PSD</t>
  </si>
  <si>
    <t xml:space="preserve">CUB25</t>
  </si>
  <si>
    <t xml:space="preserve">Partida</t>
  </si>
  <si>
    <t xml:space="preserve">M2</t>
  </si>
  <si>
    <t xml:space="preserve">XXXXXX CUBIERTA CLARABOYA DE POLICARBONATO CELULAR 16MM</t>
  </si>
  <si>
    <t xml:space="preserve">Suministro y colocacion de claraboya con placas traslucida de policarbonato celular incoloro de 16mm de espesor. Incluye: Perfiles en H para uniones de las placas, perfil perimetral en "U", fijaciones a estructura.</t>
  </si>
  <si>
    <t xml:space="preserve">00413504</t>
  </si>
  <si>
    <t xml:space="preserve">Material</t>
  </si>
  <si>
    <t xml:space="preserve">u</t>
  </si>
  <si>
    <t xml:space="preserve">POLICARBONATO CELULAR EN PLACA 3000X980X16 MM INCOLORO Ref.: 00413504</t>
  </si>
  <si>
    <t xml:space="preserve">00413524</t>
  </si>
  <si>
    <t xml:space="preserve">Material</t>
  </si>
  <si>
    <t xml:space="preserve">u</t>
  </si>
  <si>
    <t xml:space="preserve">PERFIL U POLICARBONATO PARA 16 MM 2100 MM Ref.: 00413524</t>
  </si>
  <si>
    <t xml:space="preserve">00537563</t>
  </si>
  <si>
    <t xml:space="preserve">Material</t>
  </si>
  <si>
    <t xml:space="preserve">u</t>
  </si>
  <si>
    <t xml:space="preserve">PERFIL H POLICARBONATO PARA 16 MM 3000 MM Ref.: 00537563</t>
  </si>
  <si>
    <t xml:space="preserve">ma-ma-659709</t>
  </si>
  <si>
    <t xml:space="preserve">Material</t>
  </si>
  <si>
    <t xml:space="preserve">u</t>
  </si>
  <si>
    <t xml:space="preserve">Sikaflex- 11 FC marron cartucho 300ml</t>
  </si>
  <si>
    <t xml:space="preserve">00468120</t>
  </si>
  <si>
    <t xml:space="preserve">Material</t>
  </si>
  <si>
    <t xml:space="preserve">u</t>
  </si>
  <si>
    <t xml:space="preserve">TORNILLO AUTOTALADRANTE CABEZA HEXAGONAL CON ARANDELA VULCANIZADA ACERO-EPDM 5,5X50 MM P16 500 UDS Ref.: 00468120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</si>
  <si>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</si>
  <si>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</si>
  <si>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</si>
  <si>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</si>
  <si>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</si>
  <si>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</si>
  <si>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</si>
  <si>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</si>
  <si>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</si>
  <si>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</si>
  <si>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</si>
  <si>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</si>
  <si>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</si>
  <si>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</si>
  <si>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</si>
  <si>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</si>
  <si>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</si>
  <si>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CUB25</t>
  </si>
  <si>
    <t xml:space="preserve">CUBIMP02-MNR-SIKAFLOOR-01</t>
  </si>
  <si>
    <t xml:space="preserve">Partida</t>
  </si>
  <si>
    <t xml:space="preserve">m2</t>
  </si>
  <si>
    <t xml:space="preserve">XXXXXX IMPERMEABILIZACIÓN ASFÁLTICA CON PRODUCTOS SIKAFLOOR DE SIKA</t>
  </si>
  <si>
    <t xml:space="preserve">IMPERMEABILIZACIÓN ASFÁLTICA CON PRODUCTOS SIKAFLOOR DE SIKA
Imprimante SIKAFLOOR 156; Mortero Autonivelante SIKAFLOOR 200 LEVEL (e=10 mm); Revestimiento SIKAFLOOR 420.</t>
  </si>
  <si>
    <t xml:space="preserve">ma-s.lucia-sikafloor156-10kg</t>
  </si>
  <si>
    <t xml:space="preserve">Material</t>
  </si>
  <si>
    <t xml:space="preserve">pack</t>
  </si>
  <si>
    <t xml:space="preserve">Imprimante, mortero de nivelación y capa base epoxi bicomponente SIKAFLOOR-156 de SIKA (pack 10 kg de Componentes A (7,5 kg) y B (2,5 kg)).   Ref. s.lucia-sikafloor156-10kg</t>
  </si>
  <si>
    <t xml:space="preserve">ma-bauhaus-sikafloor200level</t>
  </si>
  <si>
    <t xml:space="preserve">Material</t>
  </si>
  <si>
    <t xml:space="preserve">saco</t>
  </si>
  <si>
    <t xml:space="preserve">Mortero autonivelante cementoso modificado con polímeros para recrecidos de 3 a 50 mm SIKAFLOOR-200 LEVEL (25 kg/saco).   Ref. bauhaus-sikafloor200level</t>
  </si>
  <si>
    <t xml:space="preserve">ma-s.lucia-sikafloor420-15lt</t>
  </si>
  <si>
    <t xml:space="preserve">Material</t>
  </si>
  <si>
    <t xml:space="preserve">envase</t>
  </si>
  <si>
    <t xml:space="preserve">Revestimiento monocomponente de alta elasticidad de poliuretano SIKAFLOOR 420 de SIKA (15 litros o 19,35 kg/envase).   Ref. s.lucia-sikafloor420-15lt</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</si>
  <si>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</si>
  <si>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</si>
  <si>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</si>
  <si>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</si>
  <si>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</si>
  <si>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</si>
  <si>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</si>
  <si>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</si>
  <si>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</si>
  <si>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</si>
  <si>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</si>
  <si>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</si>
  <si>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</si>
  <si>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</si>
  <si>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</si>
  <si>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</si>
  <si>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</si>
  <si>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</si>
  <si>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</si>
  <si>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</si>
  <si>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CUBIMP02-MNR-SIKAFLOOR-01</t>
  </si>
  <si>
    <t xml:space="preserve">CUB</t>
  </si>
  <si>
    <t xml:space="preserve">REV</t>
  </si>
  <si>
    <t xml:space="preserve">Capítulo</t>
  </si>
  <si>
    <t xml:space="preserve">o Revestimientos y trasdosados</t>
  </si>
  <si>
    <t xml:space="preserve">PAV000</t>
  </si>
  <si>
    <t xml:space="preserve">Capítulo</t>
  </si>
  <si>
    <t xml:space="preserve">PAVIMENTOS</t>
  </si>
  <si>
    <t xml:space="preserve">PAV001</t>
  </si>
  <si>
    <t xml:space="preserve">Partida</t>
  </si>
  <si>
    <t xml:space="preserve">M2</t>
  </si>
  <si>
    <t xml:space="preserve">PAVIMENTO CERAMICO GC ORGAZ BASE GRECOGRES 24.6x24.6CM</t>
  </si>
  <si>
    <t xml:space="preserve">Pavimento de baldosas cerámicas de gres rústico GRECOGRES, de 25x25cm, 22€/m², capacidad de absorción de agua E&lt;3%, grupo AI, resistencia al deslizamiento Rd&lt;=15, clase 0, recibidas con mortero de cemento M-10 de 3 cm de espesor y rejuntadas con mortero de juntas cementoso mejorado, con absorción de agua reducida y resistencia elevada a la abrasión tipo CG 2 W A, color blanco, para juntas de 2 a 15 mm.</t>
  </si>
  <si>
    <t xml:space="preserve">ma-manau-6622</t>
  </si>
  <si>
    <t xml:space="preserve">Material</t>
  </si>
  <si>
    <t xml:space="preserve">m2</t>
  </si>
  <si>
    <t xml:space="preserve">GC orgaz Base gres 24.6x24.6 -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</si>
  <si>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</si>
  <si>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</si>
  <si>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</si>
  <si>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</si>
  <si>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</si>
  <si>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</si>
  <si>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</si>
  <si>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</si>
  <si>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ma-lp-00532407</t>
  </si>
  <si>
    <t xml:space="preserve">Material</t>
  </si>
  <si>
    <t xml:space="preserve">bolsa</t>
  </si>
  <si>
    <t xml:space="preserve">Cuñas BIGMAT para la nivelación de pavimentos y revestimientos cerámicos (300 pzas/bolsa).   Ref lp-00532407</t>
  </si>
  <si>
    <t xml:space="preserve">ma-lp-00532404</t>
  </si>
  <si>
    <t xml:space="preserve">Material</t>
  </si>
  <si>
    <t xml:space="preserve">bolsa</t>
  </si>
  <si>
    <t xml:space="preserve">Bridas BIGMAT 1,5 mm para nivelación de pavimentos y revestimientos cerámicos (300 pzas/bolsa).   Ref. lp-00532404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</si>
  <si>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</si>
  <si>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</si>
  <si>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</si>
  <si>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</si>
  <si>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</si>
  <si>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</si>
  <si>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</si>
  <si>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</si>
  <si>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</si>
  <si>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</si>
  <si>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</si>
  <si>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</si>
  <si>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</si>
  <si>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</si>
  <si>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</si>
  <si>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</si>
  <si>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</si>
  <si>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</si>
  <si>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</si>
  <si>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</si>
  <si>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PAV001</t>
  </si>
  <si>
    <t xml:space="preserve">PAV002</t>
  </si>
  <si>
    <t xml:space="preserve">Partida</t>
  </si>
  <si>
    <t xml:space="preserve">M2</t>
  </si>
  <si>
    <t xml:space="preserve">PAVIMENTO CERAMICO GC ORGAZ BASE GRECOGRES 31.4x31.4CM</t>
  </si>
  <si>
    <t xml:space="preserve">Pavimento de baldosas cerámicas de gres rústico GRECOGRES, de 31x31cm, 26€/m², capacidad de absorción de agua E&lt;3%, grupo AI, resistencia al deslizamiento Rd&lt;=15, clase 0, recibidas con mortero de cemento M-10 de 3 cm de espesor y rejuntadas con mortero de juntas cementoso mejorado, con absorción de agua reducida y resistencia elevada a la abrasión tipo CG 2 W A, color blanco, para juntas de 2 a 15 mm.</t>
  </si>
  <si>
    <t xml:space="preserve">ma-manau-6623</t>
  </si>
  <si>
    <t xml:space="preserve">Material</t>
  </si>
  <si>
    <t xml:space="preserve">M2</t>
  </si>
  <si>
    <t xml:space="preserve">GC orgaz Base gres 31.4x31.4 -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</si>
  <si>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</si>
  <si>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</si>
  <si>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</si>
  <si>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</si>
  <si>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</si>
  <si>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</si>
  <si>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</si>
  <si>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</si>
  <si>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ma-lp-00532407</t>
  </si>
  <si>
    <t xml:space="preserve">Material</t>
  </si>
  <si>
    <t xml:space="preserve">bolsa</t>
  </si>
  <si>
    <t xml:space="preserve">Cuñas BIGMAT para la nivelación de pavimentos y revestimientos cerámicos (300 pzas/bolsa).   Ref lp-00532407</t>
  </si>
  <si>
    <t xml:space="preserve">ma-lp-00532404</t>
  </si>
  <si>
    <t xml:space="preserve">Material</t>
  </si>
  <si>
    <t xml:space="preserve">bolsa</t>
  </si>
  <si>
    <t xml:space="preserve">Bridas BIGMAT 1,5 mm para nivelación de pavimentos y revestimientos cerámicos (300 pzas/bolsa).   Ref. lp-00532404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</si>
  <si>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</si>
  <si>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</si>
  <si>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</si>
  <si>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</si>
  <si>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</si>
  <si>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</si>
  <si>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</si>
  <si>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</si>
  <si>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</si>
  <si>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</si>
  <si>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</si>
  <si>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</si>
  <si>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</si>
  <si>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</si>
  <si>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</si>
  <si>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</si>
  <si>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</si>
  <si>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</si>
  <si>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</si>
  <si>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</si>
  <si>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PAV002</t>
  </si>
  <si>
    <t xml:space="preserve">PAV003</t>
  </si>
  <si>
    <t xml:space="preserve">Partida</t>
  </si>
  <si>
    <t xml:space="preserve">M</t>
  </si>
  <si>
    <t xml:space="preserve">RODAPIE CERAMICO GC ORGAZ ROD GRECOGRES 7.5x31.4CM</t>
  </si>
  <si>
    <t xml:space="preserve">Rodapié cerámico de gres rústico, de 8 cm, 3 €/m, recibido con adhesivo cementoso de uso exclusivo para interiores, Ci sin ninguna característica adicional y rejuntado con mortero de juntas cementoso mejorado, con absorción de agua reducida y resistencia elevada a la abrasión tipo CG 2 W A, color blanco, para juntas de 2 a 15 mm.</t>
  </si>
  <si>
    <t xml:space="preserve">ma-manau-50449</t>
  </si>
  <si>
    <t xml:space="preserve">Material</t>
  </si>
  <si>
    <t xml:space="preserve">U</t>
  </si>
  <si>
    <t xml:space="preserve">GC ORGAZ ROD 7.5X31.4 -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</si>
  <si>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</si>
  <si>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</si>
  <si>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</si>
  <si>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</si>
  <si>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</si>
  <si>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</si>
  <si>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</si>
  <si>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</si>
  <si>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</si>
  <si>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</si>
  <si>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</si>
  <si>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</si>
  <si>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</si>
  <si>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</si>
  <si>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</si>
  <si>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</si>
  <si>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</si>
  <si>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</si>
  <si>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</si>
  <si>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</si>
  <si>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</si>
  <si>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</si>
  <si>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</si>
  <si>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</si>
  <si>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</si>
  <si>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</si>
  <si>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</si>
  <si>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</si>
  <si>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PAV003</t>
  </si>
  <si>
    <t xml:space="preserve">PAV004</t>
  </si>
  <si>
    <t xml:space="preserve">Partida</t>
  </si>
  <si>
    <t xml:space="preserve">M</t>
  </si>
  <si>
    <t xml:space="preserve">VIERTEAGUAS CERAMICO EN BALCON GC ORGAZ 31.4x29.3CM</t>
  </si>
  <si>
    <t xml:space="preserve">FFF</t>
  </si>
  <si>
    <t xml:space="preserve">ma-manau-6665</t>
  </si>
  <si>
    <t xml:space="preserve">Material</t>
  </si>
  <si>
    <t xml:space="preserve">u</t>
  </si>
  <si>
    <t xml:space="preserve">Vierteaguas ceramico en balcon GC ORGAZ VIERTEAGUAS 31.4X29.3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</si>
  <si>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</si>
  <si>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</si>
  <si>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</si>
  <si>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</si>
  <si>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</si>
  <si>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</si>
  <si>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</si>
  <si>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</si>
  <si>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ma-lp-00532407</t>
  </si>
  <si>
    <t xml:space="preserve">Material</t>
  </si>
  <si>
    <t xml:space="preserve">bolsa</t>
  </si>
  <si>
    <t xml:space="preserve">Cuñas BIGMAT para la nivelación de pavimentos y revestimientos cerámicos (300 pzas/bolsa).   Ref lp-00532407</t>
  </si>
  <si>
    <t xml:space="preserve">ma-lp-00532404</t>
  </si>
  <si>
    <t xml:space="preserve">Material</t>
  </si>
  <si>
    <t xml:space="preserve">bolsa</t>
  </si>
  <si>
    <t xml:space="preserve">Bridas BIGMAT 1,5 mm para nivelación de pavimentos y revestimientos cerámicos (300 pzas/bolsa).   Ref. lp-00532404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</si>
  <si>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</si>
  <si>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</si>
  <si>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</si>
  <si>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</si>
  <si>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</si>
  <si>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</si>
  <si>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</si>
  <si>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</si>
  <si>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</si>
  <si>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</si>
  <si>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</si>
  <si>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</si>
  <si>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</si>
  <si>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</si>
  <si>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</si>
  <si>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</si>
  <si>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</si>
  <si>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</si>
  <si>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</si>
  <si>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</si>
  <si>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PAV004</t>
  </si>
  <si>
    <t xml:space="preserve">REV-MORTERO.BASTARDO-15mm-AT</t>
  </si>
  <si>
    <t xml:space="preserve">Partida</t>
  </si>
  <si>
    <t xml:space="preserve">m2</t>
  </si>
  <si>
    <t xml:space="preserve">MORTERO BASTARDO 15 mm DE CAL Y CEMENTO BLANCO</t>
  </si>
  <si>
    <t xml:space="preserve">S/C MORTERO BASTARDO 15 mm DE CAL Y CEMENTO BLANCO</t>
  </si>
  <si>
    <t xml:space="preserve">ma-lp-00179979</t>
  </si>
  <si>
    <t xml:space="preserve">Material</t>
  </si>
  <si>
    <t xml:space="preserve">saco</t>
  </si>
  <si>
    <t xml:space="preserve">Cal hidráulica natural CALIX NHL – 3,5 de FYM; color blanco (25 kg/saco).   Ref. lp-00179979</t>
  </si>
  <si>
    <t xml:space="preserve">ma-lp-00179136</t>
  </si>
  <si>
    <t xml:space="preserve">Material</t>
  </si>
  <si>
    <t xml:space="preserve">saco</t>
  </si>
  <si>
    <t xml:space="preserve">Cemento PORTLAND blanco II/A-L 42,5 R de VALSEC (25 kg/saco).   Ref. lp-00179136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</si>
  <si>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</si>
  <si>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</si>
  <si>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</si>
  <si>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</si>
  <si>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</si>
  <si>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</si>
  <si>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</si>
  <si>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</si>
  <si>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</si>
  <si>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</si>
  <si>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</si>
  <si>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</si>
  <si>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</si>
  <si>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</si>
  <si>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</si>
  <si>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</si>
  <si>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</si>
  <si>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</si>
  <si>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</si>
  <si>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</si>
  <si>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REV-MORTERO.BASTARDO-15mm-AT</t>
  </si>
  <si>
    <t xml:space="preserve">REV-REVOCO-DEC.PETREO.C1-H-AT-1</t>
  </si>
  <si>
    <t xml:space="preserve">Partida</t>
  </si>
  <si>
    <t xml:space="preserve">m2</t>
  </si>
  <si>
    <t xml:space="preserve">REVOCO PÉTREO DECORATIVO AL SILOXANO APLICADO SOBRE ENFOSCADO DE PARAMENTO HORIZONTAL, MEDIANTE EL USO DE ANDAMIO TUBULAR</t>
  </si>
  <si>
    <t xml:space="preserve">REVOCO PÉTREO DECORATIVO AL SILOXANO APLICADO SOBRE ENFOSCADO DE PARAMENTO HORIZONTAL, MEDIANTE EL USO DE ANDAMIO TUBULAR</t>
  </si>
  <si>
    <t xml:space="preserve">ma-stockpinturas-70248-001</t>
  </si>
  <si>
    <t xml:space="preserve">Material</t>
  </si>
  <si>
    <t xml:space="preserve">bidón</t>
  </si>
  <si>
    <t xml:space="preserve">Imprimante acrílico pigmentado al agua GRANOCRYL de BEISSIER (25 kg/bidón).   Ref. stockpinturas-70248-001</t>
  </si>
  <si>
    <t xml:space="preserve">ma-pp-GRANOCRYL.BRS.SL03-C1</t>
  </si>
  <si>
    <t xml:space="preserve">Material</t>
  </si>
  <si>
    <t xml:space="preserve">bidón</t>
  </si>
  <si>
    <t xml:space="preserve">Mortero al siloxano para revoco decorativo GRANOCRYL BRS SL03 de BEISSIER; color C1 (20 kg/bidón).   Ref. pp-GRANOCRYL.BRS.SL03-C1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</si>
  <si>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</si>
  <si>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</si>
  <si>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</si>
  <si>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</si>
  <si>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</si>
  <si>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</si>
  <si>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</si>
  <si>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</si>
  <si>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</si>
  <si>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</si>
  <si>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</si>
  <si>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</si>
  <si>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</si>
  <si>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</si>
  <si>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</si>
  <si>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</si>
  <si>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</si>
  <si>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</si>
  <si>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</si>
  <si>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</si>
  <si>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REV-REVOCO-DEC.PETREO.C1-H-AT-1</t>
  </si>
  <si>
    <t xml:space="preserve">REV-REVOCO-DEC.PETREO.C1-H-MS-1</t>
  </si>
  <si>
    <t xml:space="preserve">Partida</t>
  </si>
  <si>
    <t xml:space="preserve">m2</t>
  </si>
  <si>
    <t xml:space="preserve">REVOCO PÉTREO DECORATIVO AL SILOXANO APLICADO SOBRE ENFOSCADO DE PARAMENTO HORIZONTAL, MEDIANTE EL USO DE MEDIO SUSPENDIDO/COLGADO</t>
  </si>
  <si>
    <t xml:space="preserve">REVOCO PÉTREO DECORATIVO AL SILOXANO APLICADO SOBRE ENFOSCADO DE PARAMENTO HORIZONTAL, MEDIANTE EL USO DE MEDIO SUSPENDIDO/COLGADO</t>
  </si>
  <si>
    <t xml:space="preserve">ma-stockpinturas-70248-001</t>
  </si>
  <si>
    <t xml:space="preserve">Material</t>
  </si>
  <si>
    <t xml:space="preserve">bidón</t>
  </si>
  <si>
    <t xml:space="preserve">Imprimante acrílico pigmentado al agua GRANOCRYL de BEISSIER (25 kg/bidón).   Ref. stockpinturas-70248-001</t>
  </si>
  <si>
    <t xml:space="preserve">ma-pp-GRANOCRYL.BRS.SL03-C1</t>
  </si>
  <si>
    <t xml:space="preserve">Material</t>
  </si>
  <si>
    <t xml:space="preserve">bidón</t>
  </si>
  <si>
    <t xml:space="preserve">Mortero al siloxano para revoco decorativo GRANOCRYL BRS SL03 de BEISSIER; color C1 (20 kg/bidón).   Ref. pp-GRANOCRYL.BRS.SL03-C1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</si>
  <si>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</si>
  <si>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</si>
  <si>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</si>
  <si>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</si>
  <si>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</si>
  <si>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</si>
  <si>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</si>
  <si>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</si>
  <si>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</si>
  <si>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</si>
  <si>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</si>
  <si>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</si>
  <si>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</si>
  <si>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</si>
  <si>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</si>
  <si>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</si>
  <si>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</si>
  <si>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</si>
  <si>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</si>
  <si>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</si>
  <si>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REV-REVOCO-DEC.PETREO.C1-H-MS-1</t>
  </si>
  <si>
    <t xml:space="preserve">REV-REVOCO-DEC.PETREO.C1-V-AT-1</t>
  </si>
  <si>
    <t xml:space="preserve">Partida</t>
  </si>
  <si>
    <t xml:space="preserve">m2</t>
  </si>
  <si>
    <t xml:space="preserve">REVOCO PÉTREO DECORATIVO AL SILOXANO APLICADO SOBRE ENFOSCADO DE PARAMENTO VERTICAL, MEDIANTE EL USO DE ANDAMIO TUBULAR</t>
  </si>
  <si>
    <t xml:space="preserve">REVOCO PÉTREO DECORATIVO AL SILOXANO APLICADO SOBRE ENFOSCADO DE PARAMENTO VERTICAL, MEDIANTE EL USO DE ANDAMIO TUBULAR</t>
  </si>
  <si>
    <t xml:space="preserve">ma-stockpinturas-70248-001</t>
  </si>
  <si>
    <t xml:space="preserve">Material</t>
  </si>
  <si>
    <t xml:space="preserve">bidón</t>
  </si>
  <si>
    <t xml:space="preserve">Imprimante acrílico pigmentado al agua GRANOCRYL de BEISSIER (25 kg/bidón).   Ref. stockpinturas-70248-001</t>
  </si>
  <si>
    <t xml:space="preserve">ma-pp-GRANOCRYL.BRS.SL03-C1</t>
  </si>
  <si>
    <t xml:space="preserve">Material</t>
  </si>
  <si>
    <t xml:space="preserve">bidón</t>
  </si>
  <si>
    <t xml:space="preserve">Mortero al siloxano para revoco decorativo GRANOCRYL BRS SL03 de BEISSIER; color C1 (20 kg/bidón).   Ref. pp-GRANOCRYL.BRS.SL03-C1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</si>
  <si>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</si>
  <si>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</si>
  <si>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</si>
  <si>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</si>
  <si>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</si>
  <si>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</si>
  <si>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</si>
  <si>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</si>
  <si>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</si>
  <si>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</si>
  <si>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</si>
  <si>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</si>
  <si>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</si>
  <si>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</si>
  <si>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</si>
  <si>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</si>
  <si>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</si>
  <si>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</si>
  <si>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</si>
  <si>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</si>
  <si>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REV-REVOCO-DEC.PETREO.C1-V-AT-1</t>
  </si>
  <si>
    <t xml:space="preserve">REV-REVOCO-DEC.PETREO.C1-V-MS-1</t>
  </si>
  <si>
    <t xml:space="preserve">Partida</t>
  </si>
  <si>
    <t xml:space="preserve">m2</t>
  </si>
  <si>
    <t xml:space="preserve">REVOCO PÉTREO DECORATIVO AL SILOXANO APLICADO SOBRE ENFOSCADO DE PARAMENTO VERTICAL, MEDIANTE EL USO DE MEDIO SUSPENDIDO/COLGADO</t>
  </si>
  <si>
    <t xml:space="preserve">REVOCO PÉTREO DECORATIVO AL SILOXANO APLICADO SOBRE ENFOSCADO DE PARAMENTO VERTICAL, MEDIANTE EL USO DE MEDIO SUSPENDIDO/COLGADO</t>
  </si>
  <si>
    <t xml:space="preserve">ma-stockpinturas-70248-001</t>
  </si>
  <si>
    <t xml:space="preserve">Material</t>
  </si>
  <si>
    <t xml:space="preserve">bidón</t>
  </si>
  <si>
    <t xml:space="preserve">Imprimante acrílico pigmentado al agua GRANOCRYL de BEISSIER (25 kg/bidón).   Ref. stockpinturas-70248-001</t>
  </si>
  <si>
    <t xml:space="preserve">ma-pp-GRANOCRYL.BRS.SL03-C1</t>
  </si>
  <si>
    <t xml:space="preserve">Material</t>
  </si>
  <si>
    <t xml:space="preserve">bidón</t>
  </si>
  <si>
    <t xml:space="preserve">Mortero al siloxano para revoco decorativo GRANOCRYL BRS SL03 de BEISSIER; color C1 (20 kg/bidón).   Ref. pp-GRANOCRYL.BRS.SL03-C1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</si>
  <si>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</si>
  <si>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</si>
  <si>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</si>
  <si>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</si>
  <si>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</si>
  <si>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</si>
  <si>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</si>
  <si>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</si>
  <si>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</si>
  <si>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</si>
  <si>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</si>
  <si>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</si>
  <si>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</si>
  <si>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</si>
  <si>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</si>
  <si>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</si>
  <si>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</si>
  <si>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</si>
  <si>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</si>
  <si>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</si>
  <si>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REV-REVOCO-DEC.PETREO.C1-V-MS-1</t>
  </si>
  <si>
    <t xml:space="preserve">REV00100</t>
  </si>
  <si>
    <t xml:space="preserve">Partida</t>
  </si>
  <si>
    <t xml:space="preserve">M2</t>
  </si>
  <si>
    <t xml:space="preserve">ABRILLANTAMIENTO MECÁNICO DE MÁRMOL EN PARAMENTOS HORIZONTALES, MEDIANTE EL USO DE ANDAMIO TUBULAR</t>
  </si>
  <si>
    <t xml:space="preserve">ABRILLANTAMIENTO MECÁNICO DE MÁRMOL EN PARAMENTOS HORIZONTALES, MEDIANTE EL USO DE ANDAMIO TUBULAR</t>
  </si>
  <si>
    <t xml:space="preserve">ma-lp-00195806</t>
  </si>
  <si>
    <t xml:space="preserve">Material</t>
  </si>
  <si>
    <t xml:space="preserve">envase</t>
  </si>
  <si>
    <t xml:space="preserve">Abrillantador protector de mármol interior PASO de CEYS (1 litro/envase).   Ref. lp-00195806</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</si>
  <si>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</si>
  <si>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</si>
  <si>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</si>
  <si>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</si>
  <si>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</si>
  <si>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</si>
  <si>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</si>
  <si>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</si>
  <si>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</si>
  <si>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</si>
  <si>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</si>
  <si>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</si>
  <si>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</si>
  <si>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</si>
  <si>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</si>
  <si>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</si>
  <si>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</si>
  <si>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</si>
  <si>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</si>
  <si>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</si>
  <si>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</si>
  <si>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</si>
  <si>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</si>
  <si>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</si>
  <si>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REV00100</t>
  </si>
  <si>
    <t xml:space="preserve">REV00100TV</t>
  </si>
  <si>
    <t xml:space="preserve">Partida</t>
  </si>
  <si>
    <t xml:space="preserve">M2</t>
  </si>
  <si>
    <t xml:space="preserve">ABRILLANTAMIENTO MECÁNICO DE MÁRMOL EN PARAMENTOS HORIZONTALES, MEDIANTE EL USO DE MEDIO SUSPENDIDO/COLGADO</t>
  </si>
  <si>
    <t xml:space="preserve">ABRILLANTAMIENTO MECÁNICO DE MÁRMOL EN PARAMENTOS HORIZONTALES, MEDIANTE EL USO DE MEDIO SUSPENDIDO/COLGADO</t>
  </si>
  <si>
    <t xml:space="preserve">ma-lp-00195806</t>
  </si>
  <si>
    <t xml:space="preserve">Material</t>
  </si>
  <si>
    <t xml:space="preserve">envase</t>
  </si>
  <si>
    <t xml:space="preserve">Abrillantador protector de mármol interior PASO de CEYS (1 litro/envase).   Ref. lp-00195806</t>
  </si>
  <si>
    <t xml:space="preserve">alq-hidrolimpiadora-ra-01</t>
  </si>
  <si>
    <t xml:space="preserve">Maquinaria</t>
  </si>
  <si>
    <t xml:space="preserve">h</t>
  </si>
  <si>
    <t xml:space="preserve">Alquiler de HidroLimpiadora Eléctrica 200 bares.   Ref. RENTAIRE</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</si>
  <si>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</si>
  <si>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</si>
  <si>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</si>
  <si>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</si>
  <si>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</si>
  <si>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</si>
  <si>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</si>
  <si>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</si>
  <si>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</si>
  <si>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</si>
  <si>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</si>
  <si>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</si>
  <si>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</si>
  <si>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</si>
  <si>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</si>
  <si>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</si>
  <si>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</si>
  <si>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</si>
  <si>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</si>
  <si>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</si>
  <si>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REV00100TV</t>
  </si>
  <si>
    <t xml:space="preserve">REV002</t>
  </si>
  <si>
    <t xml:space="preserve">Partida</t>
  </si>
  <si>
    <t xml:space="preserve">ML</t>
  </si>
  <si>
    <t xml:space="preserve">RODAPIE O ZOCALO CERAMICO PORCELANICO</t>
  </si>
  <si>
    <t xml:space="preserve">Rodapié cerámico de gres esmaltado, de 8 cm, recibido con adhesivo cementoso de uso exclusivo para interiores, rejuntado con mortero de juntas cementoso mejorado, con absorción de agua reducida y resistencia elevada a la abrasión, color blanco, para juntas de 2 a 15 mm.</t>
  </si>
  <si>
    <t xml:space="preserve">ma-lp-00407759</t>
  </si>
  <si>
    <t xml:space="preserve">Material</t>
  </si>
  <si>
    <t xml:space="preserve">pza</t>
  </si>
  <si>
    <t xml:space="preserve">Rodapié cerámico OCRE MARIOLA de AZULIBER (8x33,3 cm/pza).   Ref. lp-00407759</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</si>
  <si>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</si>
  <si>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</si>
  <si>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</si>
  <si>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</si>
  <si>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</si>
  <si>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</si>
  <si>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</si>
  <si>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</si>
  <si>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</si>
  <si>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</si>
  <si>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</si>
  <si>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</si>
  <si>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</si>
  <si>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</si>
  <si>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</si>
  <si>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</si>
  <si>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</si>
  <si>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</si>
  <si>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</si>
  <si>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</si>
  <si>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</si>
  <si>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</si>
  <si>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</si>
  <si>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</si>
  <si>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</si>
  <si>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</si>
  <si>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</si>
  <si>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</si>
  <si>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REV002</t>
  </si>
  <si>
    <t xml:space="preserve">REV003</t>
  </si>
  <si>
    <t xml:space="preserve">Partida</t>
  </si>
  <si>
    <t xml:space="preserve">M2</t>
  </si>
  <si>
    <t xml:space="preserve">REVESTIMIENTO GRES PORCELÁNICO ESMALTADO</t>
  </si>
  <si>
    <t xml:space="preserve">Pavimento interior de piezas de gres porcelánico esmaltado, de 400x600x10 mm, gama media, con resistencia al deslizamiento 35&lt;rd&lt;=45 según une-en 16165 y deslizamiento clase 2 según cta. Apoyo: de mortero de cemento. Colocación: en capa fina y mediante encolado simple con adhesivo cementoso mejorado de ligantes mixtos, tixótropo, c2 tiene s1, según une-en 12004, deformable, con deslizamiento reducido y mortero flexible, color gris. Rejuntado: con mortero de juntas cementosa mejorada, tipo cg2 w a, según une-en 13888, con absorción de agua reducida y resistencia elevada a la abrasión, en juntas de 2 mm de espesor.</t>
  </si>
  <si>
    <t xml:space="preserve">ma-sola.azulejos-01</t>
  </si>
  <si>
    <t xml:space="preserve">Material</t>
  </si>
  <si>
    <t xml:space="preserve">m2</t>
  </si>
  <si>
    <t xml:space="preserve">Baldosa porcelánica GELA de AZULIBER 40x60 mm; color beige.   Ref. solá azulejos-01</t>
  </si>
  <si>
    <t xml:space="preserve">ma-lp-00539956</t>
  </si>
  <si>
    <t xml:space="preserve">Material</t>
  </si>
  <si>
    <t xml:space="preserve">bolsa</t>
  </si>
  <si>
    <t xml:space="preserve">Cruceta plástica BIGMAT de 1,5 mm para instalación de baldosas de cerámica. (500 pzas/bolsa)   Ref.: 00539956</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</si>
  <si>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</si>
  <si>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</si>
  <si>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</si>
  <si>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</si>
  <si>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</si>
  <si>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</si>
  <si>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</si>
  <si>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</si>
  <si>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ma-lp-00008997</t>
  </si>
  <si>
    <t xml:space="preserve">Material</t>
  </si>
  <si>
    <t xml:space="preserve">u</t>
  </si>
  <si>
    <t xml:space="preserve">CANTONERA CUADRADA QUADEC ALUMINIO MATE NATURAL DE 2.50x12,5 MM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</si>
  <si>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</si>
  <si>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</si>
  <si>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</si>
  <si>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</si>
  <si>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</si>
  <si>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</si>
  <si>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</si>
  <si>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</si>
  <si>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</si>
  <si>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</si>
  <si>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</si>
  <si>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</si>
  <si>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</si>
  <si>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</si>
  <si>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</si>
  <si>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</si>
  <si>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</si>
  <si>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</si>
  <si>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</si>
  <si>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</si>
  <si>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REV003</t>
  </si>
  <si>
    <t xml:space="preserve">REV004</t>
  </si>
  <si>
    <t xml:space="preserve">Partida</t>
  </si>
  <si>
    <t xml:space="preserve">M</t>
  </si>
  <si>
    <t xml:space="preserve">XXXXXX RODAPIE O ZOCALO DE GRES PORCELÁNICO ESMALTADO DE 8CM</t>
  </si>
  <si>
    <t xml:space="preserve">Pavimento interior de piezas de gres porcelánico esmaltado, de 8cm, gama media, con resistencia al deslizamiento 35&lt;rd&lt;=45 según une-en 16165 y deslizamiento clase 2 según cta. Apoyo: de mortero de cemento. Colocación: en capa fina y mediante encolado simple con adhesivo cementoso mejorado de ligantes mixtos, tixótropo, c2 tiene s1, según une-en 12004, deformable, con deslizamiento reducido y mortero flexible, color gris. Rejuntado: con mortero de juntas cementosa mejorada, tipo cg2 w a, según une-en 13888, con absorción de agua reducida y resistencia elevada a la abrasión, en juntas de 2 mm de espesor.</t>
  </si>
  <si>
    <t xml:space="preserve">ma-sola.azulejos-01</t>
  </si>
  <si>
    <t xml:space="preserve">Material</t>
  </si>
  <si>
    <t xml:space="preserve">m2</t>
  </si>
  <si>
    <t xml:space="preserve">Baldosa porcelánica GELA de AZULIBER 40x60 mm; color beige.   Ref. solá azulejos-01</t>
  </si>
  <si>
    <t xml:space="preserve">ma-lp-00539956</t>
  </si>
  <si>
    <t xml:space="preserve">Material</t>
  </si>
  <si>
    <t xml:space="preserve">bolsa</t>
  </si>
  <si>
    <t xml:space="preserve">Cruceta plástica BIGMAT de 1,5 mm para instalación de baldosas de cerámica. (500 pzas/bolsa)   Ref.: 00539956</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</si>
  <si>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</si>
  <si>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</si>
  <si>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</si>
  <si>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</si>
  <si>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</si>
  <si>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</si>
  <si>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</si>
  <si>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</si>
  <si>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</si>
  <si>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</si>
  <si>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</si>
  <si>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</si>
  <si>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</si>
  <si>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</si>
  <si>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</si>
  <si>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</si>
  <si>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</si>
  <si>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</si>
  <si>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</si>
  <si>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</si>
  <si>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</si>
  <si>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</si>
  <si>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</si>
  <si>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</si>
  <si>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</si>
  <si>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</si>
  <si>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</si>
  <si>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</si>
  <si>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REV004</t>
  </si>
  <si>
    <t xml:space="preserve">REV0044</t>
  </si>
  <si>
    <t xml:space="preserve">Partida</t>
  </si>
  <si>
    <t xml:space="preserve">M2</t>
  </si>
  <si>
    <t xml:space="preserve">ALISADO DE MURO CON GOTELE</t>
  </si>
  <si>
    <t xml:space="preserve">Alisado y nivelado de paramentos interiores revestidos con pintura con textura picada o gotelé, mediante plaste en polvo, color blanco, aplicado con llana o espátula en sucesivas capas, hasta alcanzar un espesor total de 5 mm.</t>
  </si>
  <si>
    <t xml:space="preserve">ma-lp-00006794</t>
  </si>
  <si>
    <t xml:space="preserve">Material</t>
  </si>
  <si>
    <t xml:space="preserve">ud</t>
  </si>
  <si>
    <t xml:space="preserve">Emplaste Aguaplast Profesional, pasta de 15kg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</si>
  <si>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</si>
  <si>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</si>
  <si>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</si>
  <si>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</si>
  <si>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</si>
  <si>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</si>
  <si>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</si>
  <si>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</si>
  <si>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</si>
  <si>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</si>
  <si>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</si>
  <si>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</si>
  <si>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</si>
  <si>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</si>
  <si>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</si>
  <si>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</si>
  <si>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</si>
  <si>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</si>
  <si>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</si>
  <si>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</si>
  <si>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REV0044</t>
  </si>
  <si>
    <t xml:space="preserve">REV005</t>
  </si>
  <si>
    <t xml:space="preserve">Partida</t>
  </si>
  <si>
    <t xml:space="preserve">M2</t>
  </si>
  <si>
    <t xml:space="preserve">REVESTIMIENTO DE BALDOSA DE VALENCIA DE 20x20CM</t>
  </si>
  <si>
    <t xml:space="preserve">Revestimiento interior con piezas de baldosa de valencia, de 200x200 mm, color blanco, acabado brillo, gama media, capacidad de absorción de agua e&gt;10%, grupo biii, según une-en 14411. Soporte: menaje de fábrica, vertical, de hasta 3 m de altura. Colocación: en capa grande con mortero de cemento m-5. mortero flexible, color gris. Rejuntado: con mortero de juntas cementosa mejorada, tipo cg2 w a, según une-en 13888, con absorción de agua reducida y resistencia elevada a la abrasión, en juntas de 2 mm de espesor.</t>
  </si>
  <si>
    <t xml:space="preserve">mt19aba100ap</t>
  </si>
  <si>
    <t xml:space="preserve">Material</t>
  </si>
  <si>
    <t xml:space="preserve">m²</t>
  </si>
  <si>
    <t xml:space="preserve">Piezas de azulejo, de 200x200 mm, color blanco, acabado mate, gama superior, capacidad de absorción de agua E&gt;10%, grupo BIII, según UNE-EN 14411.</t>
  </si>
  <si>
    <t xml:space="preserve">ma-lp-00539956</t>
  </si>
  <si>
    <t xml:space="preserve">Material</t>
  </si>
  <si>
    <t xml:space="preserve">bolsa</t>
  </si>
  <si>
    <t xml:space="preserve">Cruceta plástica BIGMAT de 1,5 mm para instalación de baldosas de cerámica. (500 pzas/bolsa)   Ref.: 00539956</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</si>
  <si>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</si>
  <si>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</si>
  <si>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</si>
  <si>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</si>
  <si>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</si>
  <si>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</si>
  <si>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</si>
  <si>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</si>
  <si>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</si>
  <si>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</si>
  <si>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</si>
  <si>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</si>
  <si>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</si>
  <si>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</si>
  <si>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</si>
  <si>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</si>
  <si>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</si>
  <si>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</si>
  <si>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</si>
  <si>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</si>
  <si>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</si>
  <si>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</si>
  <si>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</si>
  <si>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</si>
  <si>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</si>
  <si>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</si>
  <si>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</si>
  <si>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</si>
  <si>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REV005</t>
  </si>
  <si>
    <t xml:space="preserve">REV0055</t>
  </si>
  <si>
    <t xml:space="preserve">Partida</t>
  </si>
  <si>
    <t xml:space="preserve">M2</t>
  </si>
  <si>
    <t xml:space="preserve">APLICACION DE RESINA PUENTE DE UNION SIKA TOP 50</t>
  </si>
  <si>
    <t xml:space="preserve">Suministro y aplicación de puente de adherencia sikatop 50. El precio incluye la protección de los elementos del entorno que puedan verse afectados durante los trabajos.</t>
  </si>
  <si>
    <t xml:space="preserve">sika</t>
  </si>
  <si>
    <t xml:space="preserve">Material</t>
  </si>
  <si>
    <t xml:space="preserve">ud</t>
  </si>
  <si>
    <t xml:space="preserve">Sika Top 50 Resina union bote 5 kg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</si>
  <si>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</si>
  <si>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</si>
  <si>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</si>
  <si>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</si>
  <si>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</si>
  <si>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</si>
  <si>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</si>
  <si>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</si>
  <si>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</si>
  <si>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</si>
  <si>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</si>
  <si>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</si>
  <si>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</si>
  <si>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</si>
  <si>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</si>
  <si>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</si>
  <si>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</si>
  <si>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</si>
  <si>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</si>
  <si>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</si>
  <si>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REV0055</t>
  </si>
  <si>
    <t xml:space="preserve">REV012</t>
  </si>
  <si>
    <t xml:space="preserve">Partida</t>
  </si>
  <si>
    <t xml:space="preserve">PAR</t>
  </si>
  <si>
    <t xml:space="preserve">TRABAJOS REPARACION EN INTERIOR DE VIVIENDA</t>
  </si>
  <si>
    <t xml:space="preserve">-Movimiento de mobibliario para la correcta ejecucion de los trabajos.
-Retiro de material en mal estado en paramento horizontal (techo), con medios manuales, sin deteriorar la superficie soporte. 
-Revestimiento de techo con yeso y/o mecafino a buena vista, sobre paramento horizontal, de hasta 3 m de altura, previa colocación de malla antiálcalis en grietas, esquinas y encuentros.
-Aplicación manual de dos manos de pintura plastica en interior, color similar el existente, a dos manos previa aplicación de una mano de imprimación. El precio incluye la protección de los elementos del entorno que puedan verse afectados durante los trabajos.</t>
  </si>
  <si>
    <t xml:space="preserve">PRE003</t>
  </si>
  <si>
    <t xml:space="preserve">Partida</t>
  </si>
  <si>
    <t xml:space="preserve">PAR</t>
  </si>
  <si>
    <t xml:space="preserve">o TRASLADO DE MOBILIARIO Y/O PLANTAS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</si>
  <si>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</si>
  <si>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</si>
  <si>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</si>
  <si>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</si>
  <si>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</si>
  <si>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</si>
  <si>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</si>
  <si>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PRE003</t>
  </si>
  <si>
    <t xml:space="preserve">DEM020</t>
  </si>
  <si>
    <t xml:space="preserve">Partida</t>
  </si>
  <si>
    <t xml:space="preserve">M2</t>
  </si>
  <si>
    <t xml:space="preserve">o DEMOLICIÓN DE ENFOSCADO EN TECHO</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</si>
  <si>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</si>
  <si>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</si>
  <si>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</si>
  <si>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</si>
  <si>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</si>
  <si>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</si>
  <si>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</si>
  <si>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DEM020</t>
  </si>
  <si>
    <t xml:space="preserve">REV05</t>
  </si>
  <si>
    <t xml:space="preserve">Partida</t>
  </si>
  <si>
    <t xml:space="preserve">M2</t>
  </si>
  <si>
    <t xml:space="preserve">REVESTIMIENTO DE YESO</t>
  </si>
  <si>
    <t xml:space="preserve">ma-lp-00001706</t>
  </si>
  <si>
    <t xml:space="preserve">Material</t>
  </si>
  <si>
    <t xml:space="preserve">rollo</t>
  </si>
  <si>
    <t xml:space="preserve">Malla de fibra de vidrio para yeso REGARSA con luz de 5x5 mm (50 m/rollo)   Ref. lp-00001706</t>
  </si>
  <si>
    <t xml:space="preserve">ma-lp-00579020</t>
  </si>
  <si>
    <t xml:space="preserve">Material</t>
  </si>
  <si>
    <t xml:space="preserve">saco</t>
  </si>
  <si>
    <t xml:space="preserve">Yeso controlado LONGIPS PREMIUM de PLACO (17 kg/saco).   Ref. lp-00579020</t>
  </si>
  <si>
    <t xml:space="preserve">ma-lp-00018144</t>
  </si>
  <si>
    <t xml:space="preserve">Material</t>
  </si>
  <si>
    <t xml:space="preserve">pza</t>
  </si>
  <si>
    <t xml:space="preserve">Esquinero pequeño monocapa para carga de 8 mm (2,5 m/pza).   Ref. lp-00018144</t>
  </si>
  <si>
    <t xml:space="preserve">00018338</t>
  </si>
  <si>
    <t xml:space="preserve">Material</t>
  </si>
  <si>
    <t xml:space="preserve">m</t>
  </si>
  <si>
    <t xml:space="preserve">GUARDAVIVO PVC 2,50 M Ref.: 00018338</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</si>
  <si>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</si>
  <si>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</si>
  <si>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</si>
  <si>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</si>
  <si>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</si>
  <si>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</si>
  <si>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</si>
  <si>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REV05</t>
  </si>
  <si>
    <t xml:space="preserve">PINT003</t>
  </si>
  <si>
    <t xml:space="preserve">Partida</t>
  </si>
  <si>
    <t xml:space="preserve">M2</t>
  </si>
  <si>
    <t xml:space="preserve">o PINTURA ACRILICA EN  INTERIOR PALAS P-500</t>
  </si>
  <si>
    <t xml:space="preserve">ma-palacios-8436563360107</t>
  </si>
  <si>
    <t xml:space="preserve">Material</t>
  </si>
  <si>
    <t xml:space="preserve">U</t>
  </si>
  <si>
    <t xml:space="preserve">PALAS P-500 CUBREX INT-EXT.BLCO. 14L</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</si>
  <si>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</si>
  <si>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</si>
  <si>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</si>
  <si>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</si>
  <si>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</si>
  <si>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</si>
  <si>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</si>
  <si>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</si>
  <si>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</si>
  <si>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</si>
  <si>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</si>
  <si>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</si>
  <si>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</si>
  <si>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</si>
  <si>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</si>
  <si>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</si>
  <si>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</si>
  <si>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</si>
  <si>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</si>
  <si>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</si>
  <si>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</si>
  <si>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</si>
  <si>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</si>
  <si>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</si>
  <si>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</si>
  <si>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</si>
  <si>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</si>
  <si>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PINT003</t>
  </si>
  <si>
    <t xml:space="preserve">REV012</t>
  </si>
  <si>
    <t xml:space="preserve">REV05</t>
  </si>
  <si>
    <t xml:space="preserve">Partida</t>
  </si>
  <si>
    <t xml:space="preserve">M2</t>
  </si>
  <si>
    <t xml:space="preserve">REVESTIMIENTO DE YESO</t>
  </si>
  <si>
    <t xml:space="preserve">Revestimiento de yeso de construcción B1 a buena vista, sobre paramento vertical, de hasta 3 m de altura, previa colocación de malla antiálcalis en esquinas y encuentros.</t>
  </si>
  <si>
    <t xml:space="preserve">ma-lp-00001706</t>
  </si>
  <si>
    <t xml:space="preserve">Material</t>
  </si>
  <si>
    <t xml:space="preserve">rollo</t>
  </si>
  <si>
    <t xml:space="preserve">Malla de fibra de vidrio para yeso REGARSA con luz de 5x5 mm (50 m/rollo)   Ref. lp-00001706</t>
  </si>
  <si>
    <t xml:space="preserve">ma-lp-00579020</t>
  </si>
  <si>
    <t xml:space="preserve">Material</t>
  </si>
  <si>
    <t xml:space="preserve">saco</t>
  </si>
  <si>
    <t xml:space="preserve">Yeso controlado LONGIPS PREMIUM de PLACO (17 kg/saco).   Ref. lp-00579020</t>
  </si>
  <si>
    <t xml:space="preserve">ma-lp-00018144</t>
  </si>
  <si>
    <t xml:space="preserve">Material</t>
  </si>
  <si>
    <t xml:space="preserve">pza</t>
  </si>
  <si>
    <t xml:space="preserve">Esquinero pequeño monocapa para carga de 8 mm (2,5 m/pza).   Ref. lp-00018144</t>
  </si>
  <si>
    <t xml:space="preserve">00018338</t>
  </si>
  <si>
    <t xml:space="preserve">Material</t>
  </si>
  <si>
    <t xml:space="preserve">m</t>
  </si>
  <si>
    <t xml:space="preserve">GUARDAVIVO PVC 2,50 M Ref.: 00018338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</si>
  <si>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</si>
  <si>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</si>
  <si>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</si>
  <si>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</si>
  <si>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</si>
  <si>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</si>
  <si>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</si>
  <si>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</si>
  <si>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</si>
  <si>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</si>
  <si>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</si>
  <si>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</si>
  <si>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</si>
  <si>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</si>
  <si>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</si>
  <si>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</si>
  <si>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</si>
  <si>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</si>
  <si>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</si>
  <si>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</si>
  <si>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REV05</t>
  </si>
  <si>
    <t xml:space="preserve">REV07</t>
  </si>
  <si>
    <t xml:space="preserve">Partida</t>
  </si>
  <si>
    <t xml:space="preserve">M2</t>
  </si>
  <si>
    <t xml:space="preserve">ALISADO DE PAREDES</t>
  </si>
  <si>
    <t xml:space="preserve">Alisado de paredes con yeso y/o mecafino a buena vista, sobre paramento vertical, de hasta 3 m de altura, previa colocación de malla antiálcalis en esquinas y encuentros.</t>
  </si>
  <si>
    <t xml:space="preserve">00095260</t>
  </si>
  <si>
    <t xml:space="preserve">Material</t>
  </si>
  <si>
    <t xml:space="preserve">kg</t>
  </si>
  <si>
    <t xml:space="preserve">YESO MANUAL CONTROLADO S1 17 KG LA PLATAFORMA Ref.: 00095260</t>
  </si>
  <si>
    <t xml:space="preserve">m.o.1</t>
  </si>
  <si>
    <t xml:space="preserve">Mano de obra</t>
  </si>
  <si>
    <t xml:space="preserve">h</t>
  </si>
  <si>
    <t xml:space="preserve">Mano de Obra: 1 Oficial de 1ª, 1 Ayudante y 1/2 Ayudante</t>
  </si>
  <si>
    <t xml:space="preserve">REV07</t>
  </si>
  <si>
    <t xml:space="preserve">REV08</t>
  </si>
  <si>
    <t xml:space="preserve">Partida</t>
  </si>
  <si>
    <t xml:space="preserve">M2</t>
  </si>
  <si>
    <t xml:space="preserve">REVOCO DECORATIVO SOBRE PARAMENTO INTERIOR</t>
  </si>
  <si>
    <t xml:space="preserve">REVOCO DECORATIVO SOBRE PARAMENTO INTERIOR</t>
  </si>
  <si>
    <t xml:space="preserve">PST1</t>
  </si>
  <si>
    <t xml:space="preserve">Material</t>
  </si>
  <si>
    <t xml:space="preserve">m3</t>
  </si>
  <si>
    <t xml:space="preserve">Pasta de mortero de cal para revocos, incluso china.</t>
  </si>
  <si>
    <t xml:space="preserve">PIGM</t>
  </si>
  <si>
    <t xml:space="preserve">Material</t>
  </si>
  <si>
    <t xml:space="preserve">kg</t>
  </si>
  <si>
    <t xml:space="preserve">Pigmento para morteros y revocos.</t>
  </si>
  <si>
    <t xml:space="preserve">m.o.1.e</t>
  </si>
  <si>
    <t xml:space="preserve">Mano de obra</t>
  </si>
  <si>
    <t xml:space="preserve">h</t>
  </si>
  <si>
    <t xml:space="preserve">Mano de obra Especializada: 1 Oficial + 2 Ayudante</t>
  </si>
  <si>
    <t xml:space="preserve">REV08</t>
  </si>
  <si>
    <t xml:space="preserve">REV10</t>
  </si>
  <si>
    <t xml:space="preserve">Partida</t>
  </si>
  <si>
    <t xml:space="preserve">PAR</t>
  </si>
  <si>
    <t xml:space="preserve">FILTRACION EN TECHO O MURO</t>
  </si>
  <si>
    <t xml:space="preserve">Retiro de material en mal estado, en paramento vertical (Muro), con medios manuales, sin deteriorar la superficie soporte, suministro y colocacion de revestimiento tratando de igualar el acabado existente. Aplicación manual de dos manos de pintura color similar al existente en paramento vertical.</t>
  </si>
  <si>
    <t xml:space="preserve">DEM019</t>
  </si>
  <si>
    <t xml:space="preserve">Partida</t>
  </si>
  <si>
    <t xml:space="preserve">m2</t>
  </si>
  <si>
    <t xml:space="preserve">o DEMOLICIÓN DE ENFOSCADO EN MURO</t>
  </si>
  <si>
    <t xml:space="preserve">alq-martillo-mym-16kg</t>
  </si>
  <si>
    <t xml:space="preserve">Maquinaria</t>
  </si>
  <si>
    <t xml:space="preserve">h</t>
  </si>
  <si>
    <t xml:space="preserve">Alquiler de Martillo Eléctrico Picador-Demoledor 16 kg.   Ref. MÁQUINAS Y MÁQUINAS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</si>
  <si>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</si>
  <si>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</si>
  <si>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</si>
  <si>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</si>
  <si>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</si>
  <si>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</si>
  <si>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</si>
  <si>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DEM019</t>
  </si>
  <si>
    <t xml:space="preserve">MORHID001</t>
  </si>
  <si>
    <t xml:space="preserve">Partida</t>
  </si>
  <si>
    <t xml:space="preserve">M2</t>
  </si>
  <si>
    <t xml:space="preserve">o MORTERO HIDROFUGO PROPAM REVOC 15mm</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</si>
  <si>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</si>
  <si>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</si>
  <si>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</si>
  <si>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</si>
  <si>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</si>
  <si>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</si>
  <si>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</si>
  <si>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</si>
  <si>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</si>
  <si>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</si>
  <si>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</si>
  <si>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</si>
  <si>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</si>
  <si>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</si>
  <si>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</si>
  <si>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</si>
  <si>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</si>
  <si>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</si>
  <si>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</si>
  <si>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</si>
  <si>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</si>
  <si>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</si>
  <si>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</si>
  <si>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MORHID001</t>
  </si>
  <si>
    <t xml:space="preserve">REV05</t>
  </si>
  <si>
    <t xml:space="preserve">Partida</t>
  </si>
  <si>
    <t xml:space="preserve">M2</t>
  </si>
  <si>
    <t xml:space="preserve">REVESTIMIENTO DE YESO</t>
  </si>
  <si>
    <t xml:space="preserve">ma-lp-00001706</t>
  </si>
  <si>
    <t xml:space="preserve">Material</t>
  </si>
  <si>
    <t xml:space="preserve">rollo</t>
  </si>
  <si>
    <t xml:space="preserve">Malla de fibra de vidrio para yeso REGARSA con luz de 5x5 mm (50 m/rollo)   Ref. lp-00001706</t>
  </si>
  <si>
    <t xml:space="preserve">ma-lp-00579020</t>
  </si>
  <si>
    <t xml:space="preserve">Material</t>
  </si>
  <si>
    <t xml:space="preserve">saco</t>
  </si>
  <si>
    <t xml:space="preserve">Yeso controlado LONGIPS PREMIUM de PLACO (17 kg/saco).   Ref. lp-00579020</t>
  </si>
  <si>
    <t xml:space="preserve">ma-lp-00018144</t>
  </si>
  <si>
    <t xml:space="preserve">Material</t>
  </si>
  <si>
    <t xml:space="preserve">pza</t>
  </si>
  <si>
    <t xml:space="preserve">Esquinero pequeño monocapa para carga de 8 mm (2,5 m/pza).   Ref. lp-00018144</t>
  </si>
  <si>
    <t xml:space="preserve">00018338</t>
  </si>
  <si>
    <t xml:space="preserve">Material</t>
  </si>
  <si>
    <t xml:space="preserve">m</t>
  </si>
  <si>
    <t xml:space="preserve">GUARDAVIVO PVC 2,50 M Ref.: 00018338</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</si>
  <si>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</si>
  <si>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</si>
  <si>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</si>
  <si>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</si>
  <si>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</si>
  <si>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</si>
  <si>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</si>
  <si>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REV05</t>
  </si>
  <si>
    <t xml:space="preserve">PINT003</t>
  </si>
  <si>
    <t xml:space="preserve">Partida</t>
  </si>
  <si>
    <t xml:space="preserve">M2</t>
  </si>
  <si>
    <t xml:space="preserve">o PINTURA ACRILICA EN  INTERIOR PALAS P-500</t>
  </si>
  <si>
    <t xml:space="preserve">ma-palacios-8436563360107</t>
  </si>
  <si>
    <t xml:space="preserve">Material</t>
  </si>
  <si>
    <t xml:space="preserve">U</t>
  </si>
  <si>
    <t xml:space="preserve">PALAS P-500 CUBREX INT-EXT.BLCO. 14L</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</si>
  <si>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</si>
  <si>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</si>
  <si>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</si>
  <si>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</si>
  <si>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</si>
  <si>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</si>
  <si>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</si>
  <si>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</si>
  <si>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</si>
  <si>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</si>
  <si>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</si>
  <si>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</si>
  <si>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</si>
  <si>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</si>
  <si>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</si>
  <si>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</si>
  <si>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</si>
  <si>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</si>
  <si>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</si>
  <si>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</si>
  <si>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</si>
  <si>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</si>
  <si>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</si>
  <si>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</si>
  <si>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t>
  </si>
  <si>
    <t xml:space="preserve">%</t>
  </si>
  <si>
    <t xml:space="preserve">Herramientas Menores</t>
  </si>
  <si>
    <t xml:space="preserve">PINT003</t>
  </si>
  <si>
    <t xml:space="preserve">REV10</t>
  </si>
  <si>
    <t xml:space="preserve">REV11</t>
  </si>
  <si>
    <t xml:space="preserve">Partida</t>
  </si>
  <si>
    <t xml:space="preserve">M2</t>
  </si>
  <si>
    <t xml:space="preserve">REVESTIMIENTO PETREO REVETÓN CUBIC BLANCO</t>
  </si>
  <si>
    <t xml:space="preserve">Aplicación manual de dos manos de revestimiento pétreo, liso, texturado, fino para fachadas de Revetón Cubic. Color blanco, la primera mano diluida con un 10 a 15% de agua y la siguiente sin diluir; previa aplicación de una mano de imprimación a base de copolímeros acrílicos en suspensión acuosa, sobre paramento exterior de hormigón. El precio incluye la protección de los elementos del entorno que puedan verse afectados durante los trabajos y la resolución de puntos singulares.</t>
  </si>
  <si>
    <t xml:space="preserve">ma-amodeco-reveton.imprim.acril</t>
  </si>
  <si>
    <t xml:space="preserve">Material</t>
  </si>
  <si>
    <t xml:space="preserve">bidón</t>
  </si>
  <si>
    <t xml:space="preserve">Imprimación acuosa fijadora acrílica COTEFILM de REVETÓN (15 litros/bidón).   Ref. amodeco-reveton.imprim.acril</t>
  </si>
  <si>
    <t xml:space="preserve">ma-lp-00539797</t>
  </si>
  <si>
    <t xml:space="preserve">Material</t>
  </si>
  <si>
    <t xml:space="preserve">bidón</t>
  </si>
  <si>
    <t xml:space="preserve">Revestimiento pétreo liso texturado fino para fachadas de REVETÓN CUBIC; color blanco (15 litros/bidón).   Ref. lp-00539797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</si>
  <si>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</si>
  <si>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</si>
  <si>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</si>
  <si>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</si>
  <si>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</si>
  <si>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</si>
  <si>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</si>
  <si>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</si>
  <si>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</si>
  <si>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</si>
  <si>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</si>
  <si>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</si>
  <si>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</si>
  <si>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</si>
  <si>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</si>
  <si>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</si>
  <si>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</si>
  <si>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</si>
  <si>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</si>
  <si>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</si>
  <si>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REV11</t>
  </si>
  <si>
    <t xml:space="preserve">REVPINT22</t>
  </si>
  <si>
    <t xml:space="preserve">Partida</t>
  </si>
  <si>
    <t xml:space="preserve">M2</t>
  </si>
  <si>
    <t xml:space="preserve">REVESTIMIENTO PROTECTOR EPOXI SIKAGARD 62</t>
  </si>
  <si>
    <t xml:space="preserve">Revestimiento protector a base de resinas Epoxi Bicomponente, es una pintura para revestimientos protectores a base de resinas epoxi, bicomponente, 100% sólidos, rígido con colores de alta resistencia. Capa de protección resistente a productos químicos en hormigón, piedra, morteros, cemento epoxi, productos a base de resinas epoxi y acero. ? Forro en tanques de almacenamiento y silos. Revestimiento anti-corrosión en el acero en las plantas de procesamiento de alimentos, plantas de aguas residuales, granjas, empresas agrícolas, químicas y farmacéuticas y las instalaciones de la industria de bebidas.</t>
  </si>
  <si>
    <t xml:space="preserve">ma-web-lucia-sikagard62</t>
  </si>
  <si>
    <t xml:space="preserve">Material</t>
  </si>
  <si>
    <t xml:space="preserve">kg</t>
  </si>
  <si>
    <t xml:space="preserve">Sikagard 62. Parte A Bidón de 3.75kg. Parte B Bidón de 1.25kg</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</si>
  <si>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</si>
  <si>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</si>
  <si>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</si>
  <si>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</si>
  <si>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</si>
  <si>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</si>
  <si>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</si>
  <si>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</si>
  <si>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</si>
  <si>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</si>
  <si>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</si>
  <si>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</si>
  <si>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</si>
  <si>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</si>
  <si>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</si>
  <si>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</si>
  <si>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</si>
  <si>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</si>
  <si>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</si>
  <si>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</si>
  <si>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</si>
  <si>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</si>
  <si>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</si>
  <si>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</si>
  <si>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</si>
  <si>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</si>
  <si>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</si>
  <si>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</si>
  <si>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</si>
  <si>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</si>
  <si>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</si>
  <si>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</si>
  <si>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</si>
  <si>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</si>
  <si>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</si>
  <si>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</si>
  <si>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REVPINT22</t>
  </si>
  <si>
    <t xml:space="preserve">REVPINT32-MNR-01-H</t>
  </si>
  <si>
    <t xml:space="preserve">Partida</t>
  </si>
  <si>
    <t xml:space="preserve">m2</t>
  </si>
  <si>
    <t xml:space="preserve">XXXXXX REVESTIMIENTO PÉTREO LISO TEXTURADO FINO EN PARAMENTOS HORIZONTALES DE FACHADAS "REVETÓN CUBIC"</t>
  </si>
  <si>
    <t xml:space="preserve">PINTURA CON REVESTIMIENTO PÉTREO LISO TEXTURADO FINO EN PARAMENTOS HORIZONTALES DE FACHADAS "REVETÓN CUBIC"</t>
  </si>
  <si>
    <t xml:space="preserve">ma-da-01031-G</t>
  </si>
  <si>
    <t xml:space="preserve">Material</t>
  </si>
  <si>
    <t xml:space="preserve">envase</t>
  </si>
  <si>
    <t xml:space="preserve">Fijador/sellador acrílico penetrante y resistente al roce FIXOART de D’ARTIC (5 litros/envase).   Ref. da-01031-G</t>
  </si>
  <si>
    <t xml:space="preserve">ma-lp-00539797</t>
  </si>
  <si>
    <t xml:space="preserve">Material</t>
  </si>
  <si>
    <t xml:space="preserve">bidón</t>
  </si>
  <si>
    <t xml:space="preserve">Revestimiento pétreo liso texturado fino para fachadas de REVETÓN CUBIC; color blanco (15 litros/bidón).   Ref. lp-00539797</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</si>
  <si>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</si>
  <si>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</si>
  <si>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</si>
  <si>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</si>
  <si>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</si>
  <si>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</si>
  <si>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</si>
  <si>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</si>
  <si>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</si>
  <si>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</si>
  <si>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</si>
  <si>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</si>
  <si>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</si>
  <si>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</si>
  <si>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</si>
  <si>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</si>
  <si>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</si>
  <si>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</si>
  <si>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</si>
  <si>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</si>
  <si>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REVPINT32-MNR-01-H</t>
  </si>
  <si>
    <t xml:space="preserve">REVPINT32-MNR-01-V</t>
  </si>
  <si>
    <t xml:space="preserve">Partida</t>
  </si>
  <si>
    <t xml:space="preserve">m2</t>
  </si>
  <si>
    <t xml:space="preserve">XXXXXX REVESTIMIENTO PÉTREO LISO TEXTURADO FINO EN PARAMENTOS VERTICALES DE FACHADAS "REVETÓN CUBIC"</t>
  </si>
  <si>
    <t xml:space="preserve">PINTURA CON REVESTIMIENTO PÉTREO LISO TEXTURADO FINO EN PARAMENTOS VERTICALES DE FACHADAS "REVETÓN CUBIC"</t>
  </si>
  <si>
    <t xml:space="preserve">ma-da-01031-G</t>
  </si>
  <si>
    <t xml:space="preserve">Material</t>
  </si>
  <si>
    <t xml:space="preserve">envase</t>
  </si>
  <si>
    <t xml:space="preserve">Fijador/sellador acrílico penetrante y resistente al roce FIXOART de D’ARTIC (5 litros/envase).   Ref. da-01031-G</t>
  </si>
  <si>
    <t xml:space="preserve">ma-lp-00539797</t>
  </si>
  <si>
    <t xml:space="preserve">Material</t>
  </si>
  <si>
    <t xml:space="preserve">bidón</t>
  </si>
  <si>
    <t xml:space="preserve">Revestimiento pétreo liso texturado fino para fachadas de REVETÓN CUBIC; color blanco (15 litros/bidón).   Ref. lp-00539797</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</si>
  <si>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</si>
  <si>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</si>
  <si>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</si>
  <si>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</si>
  <si>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</si>
  <si>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</si>
  <si>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</si>
  <si>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</si>
  <si>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</si>
  <si>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</si>
  <si>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</si>
  <si>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</si>
  <si>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</si>
  <si>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</si>
  <si>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</si>
  <si>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</si>
  <si>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</si>
  <si>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</si>
  <si>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</si>
  <si>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</si>
  <si>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REVPINT32-MNR-01-V</t>
  </si>
  <si>
    <t xml:space="preserve">PAV000</t>
  </si>
  <si>
    <t xml:space="preserve">REVPAV</t>
  </si>
  <si>
    <t xml:space="preserve">Capítulo</t>
  </si>
  <si>
    <t xml:space="preserve">PAVIMENTOS</t>
  </si>
  <si>
    <t xml:space="preserve">REVPAV-BALDOSA.EXTRUSIONADA-01</t>
  </si>
  <si>
    <t xml:space="preserve">Partida</t>
  </si>
  <si>
    <t xml:space="preserve">m2</t>
  </si>
  <si>
    <t xml:space="preserve">REVESTIMIENTO DE SUELO CON BALDOSA NATURAL EXTRUSIONADA ANTIDESLIZANTE 1ª O GRES DE ANDORRA DE GRESAN (24,5X24,5 CM/PZA)</t>
  </si>
  <si>
    <t xml:space="preserve">REVESTIMIENTO DE SUELO CON BALDOSA NATURAL EXTRUSIONADA ANTIDESLIZANTE 1ª O GRES DE ANDORRA DE GRESAN (24,5X24,5 CM/PZA)</t>
  </si>
  <si>
    <t xml:space="preserve">ma-ia-11</t>
  </si>
  <si>
    <t xml:space="preserve">Material</t>
  </si>
  <si>
    <t xml:space="preserve">m2</t>
  </si>
  <si>
    <t xml:space="preserve">Baldosa natural extrusionada antideslizante 1ª o gres de ANDORRA de GRESAN (24,5x24,5 cm/pza).   Ref. ia-11</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</si>
  <si>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</si>
  <si>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</si>
  <si>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</si>
  <si>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</si>
  <si>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</si>
  <si>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</si>
  <si>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</si>
  <si>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</si>
  <si>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</si>
  <si>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</si>
  <si>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</si>
  <si>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</si>
  <si>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</si>
  <si>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</si>
  <si>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</si>
  <si>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</si>
  <si>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</si>
  <si>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</si>
  <si>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</si>
  <si>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</si>
  <si>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</si>
  <si>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</si>
  <si>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</si>
  <si>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</si>
  <si>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</si>
  <si>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</si>
  <si>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</si>
  <si>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</si>
  <si>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REVPAV-BALDOSA.EXTRUSIONADA-01</t>
  </si>
  <si>
    <t xml:space="preserve">REVPAV-CERAMICA.ESMALTADA-01</t>
  </si>
  <si>
    <t xml:space="preserve">Partida</t>
  </si>
  <si>
    <t xml:space="preserve">m2</t>
  </si>
  <si>
    <t xml:space="preserve">ALICATADO DE PAVIMENTO CON CERÁMICA ESMALTADA TIPO GRES EN FORMATO 31,5x31,5 cm</t>
  </si>
  <si>
    <t xml:space="preserve">ALICATADO DE PAVIMENTO CON CERÁMICA ESMALTADA TIPO GRES EN FORMATO 31,5x31,5 cm</t>
  </si>
  <si>
    <t xml:space="preserve">ma-ma-s/c</t>
  </si>
  <si>
    <t xml:space="preserve">Material</t>
  </si>
  <si>
    <t xml:space="preserve">m2</t>
  </si>
  <si>
    <t xml:space="preserve">Cerámica esmaltada tipo gres en formato 31,5x31,5 cm</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</si>
  <si>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</si>
  <si>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</si>
  <si>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</si>
  <si>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</si>
  <si>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</si>
  <si>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</si>
  <si>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</si>
  <si>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</si>
  <si>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</si>
  <si>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</si>
  <si>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</si>
  <si>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</si>
  <si>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</si>
  <si>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</si>
  <si>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</si>
  <si>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</si>
  <si>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</si>
  <si>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</si>
  <si>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</si>
  <si>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</si>
  <si>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</si>
  <si>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</si>
  <si>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</si>
  <si>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</si>
  <si>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</si>
  <si>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</si>
  <si>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</si>
  <si>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</si>
  <si>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REVPAV-CERAMICA.ESMALTADA-01</t>
  </si>
  <si>
    <t xml:space="preserve">REVPAV-CERAMICA.NATURAL-01</t>
  </si>
  <si>
    <t xml:space="preserve">Partida</t>
  </si>
  <si>
    <t xml:space="preserve">m2</t>
  </si>
  <si>
    <t xml:space="preserve">ALICATADO DE PAVIMENTO CON CERÁMICA NATURAL HIERRO 2.0 DE ROSA GRES EN FORMATO 31x31 cm</t>
  </si>
  <si>
    <t xml:space="preserve">ALICATADO DE PAVIMENTO CON CERÁMICA NATURAL HIERRO 2.0 DE ROSA GRES EN FORMATO 31x31 cm</t>
  </si>
  <si>
    <t xml:space="preserve">ma-fl-94303701</t>
  </si>
  <si>
    <t xml:space="preserve">Material</t>
  </si>
  <si>
    <t xml:space="preserve">m2</t>
  </si>
  <si>
    <t xml:space="preserve">Baldosa Cerámica NATURAL HIERRO 2.0 de ROSA GRES (31x31x0,9 cm/pza).   Ref. fl-94303701</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</si>
  <si>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</si>
  <si>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</si>
  <si>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</si>
  <si>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</si>
  <si>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</si>
  <si>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</si>
  <si>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</si>
  <si>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</si>
  <si>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</si>
  <si>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</si>
  <si>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</si>
  <si>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</si>
  <si>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</si>
  <si>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</si>
  <si>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</si>
  <si>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</si>
  <si>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</si>
  <si>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</si>
  <si>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</si>
  <si>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</si>
  <si>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</si>
  <si>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</si>
  <si>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</si>
  <si>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</si>
  <si>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</si>
  <si>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</si>
  <si>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</si>
  <si>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</si>
  <si>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REVPAV-CERAMICA.NATURAL-01</t>
  </si>
  <si>
    <t xml:space="preserve">REVPAV-GRES.PORCELANICO-01</t>
  </si>
  <si>
    <t xml:space="preserve">Partida</t>
  </si>
  <si>
    <t xml:space="preserve">m2</t>
  </si>
  <si>
    <t xml:space="preserve">XXXXXX REVESTIMIENTO DE SUELO CON BALDOSA DE GRES PORCELÁNICO BEIGE 60x40 mm</t>
  </si>
  <si>
    <t xml:space="preserve">REVESTIMIENTO DE SUELO CON BALDOSA DE GRES PORCELÁNICO BEIGE 60x40 mm</t>
  </si>
  <si>
    <t xml:space="preserve">ma-sola.azulejos-01</t>
  </si>
  <si>
    <t xml:space="preserve">Material</t>
  </si>
  <si>
    <t xml:space="preserve">m2</t>
  </si>
  <si>
    <t xml:space="preserve">Baldosa porcelánica GELA de AZULIBER 40x60 mm; color beige.   Ref. solá azulejos-01</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</si>
  <si>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</si>
  <si>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</si>
  <si>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</si>
  <si>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</si>
  <si>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</si>
  <si>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</si>
  <si>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</si>
  <si>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</si>
  <si>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</si>
  <si>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</si>
  <si>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</si>
  <si>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</si>
  <si>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</si>
  <si>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</si>
  <si>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</si>
  <si>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</si>
  <si>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</si>
  <si>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</si>
  <si>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</si>
  <si>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</si>
  <si>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</si>
  <si>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</si>
  <si>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</si>
  <si>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</si>
  <si>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</si>
  <si>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</si>
  <si>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</si>
  <si>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</si>
  <si>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REVPAV-GRES.PORCELANICO-01</t>
  </si>
  <si>
    <t xml:space="preserve">REVPAV-BALDOSA.HIDRAULICA-01</t>
  </si>
  <si>
    <t xml:space="preserve">Partida</t>
  </si>
  <si>
    <t xml:space="preserve">m2</t>
  </si>
  <si>
    <t xml:space="preserve">REVESTIMIENTO DE SUELO CON BALDOSA HIDRÁULICA TERRAZO PIZARRA RUGOSO COLOR CREMA 400x400x38 mm</t>
  </si>
  <si>
    <t xml:space="preserve">REVESTIMIENTO DE SUELO CON BALDOSA HIDRÁULICA TERRAZO PIZARRA RUGOSO COLOR CREMA 400x400x38 mm</t>
  </si>
  <si>
    <t xml:space="preserve">ma-lp-00407834</t>
  </si>
  <si>
    <t xml:space="preserve">Material</t>
  </si>
  <si>
    <t xml:space="preserve">pza</t>
  </si>
  <si>
    <t xml:space="preserve">Baldosa terrazo pizarra rugoso de BEDIFA con espesor 38 mm; color crema (40x40 cm/pza).   Ref. lp-00407834</t>
  </si>
  <si>
    <t xml:space="preserve">ma-lp-00001604</t>
  </si>
  <si>
    <t xml:space="preserve">Material</t>
  </si>
  <si>
    <t xml:space="preserve">saco</t>
  </si>
  <si>
    <t xml:space="preserve">Mortero seco M-5 de VALSEC; color gris (25 kg/saco).   Ref. lp-00001604</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</si>
  <si>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</si>
  <si>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</si>
  <si>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</si>
  <si>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</si>
  <si>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</si>
  <si>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</si>
  <si>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</si>
  <si>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</si>
  <si>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</si>
  <si>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</si>
  <si>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</si>
  <si>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</si>
  <si>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</si>
  <si>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</si>
  <si>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</si>
  <si>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</si>
  <si>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</si>
  <si>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</si>
  <si>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</si>
  <si>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</si>
  <si>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</si>
  <si>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</si>
  <si>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</si>
  <si>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</si>
  <si>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REVPAV-BALDOSA.HIDRAULICA-01</t>
  </si>
  <si>
    <t xml:space="preserve">REVPAV-BALDOSA.PAV.PRENSADO-01</t>
  </si>
  <si>
    <t xml:space="preserve">Partida</t>
  </si>
  <si>
    <t xml:space="preserve">m2</t>
  </si>
  <si>
    <t xml:space="preserve">REVESTIMIENTO DE SUELO CON BALDOSA DE PAVIMENTO PRENSADO NATURAL COLOR ROJO CUGAT DE BENESOL (14x28 cm por pieza)</t>
  </si>
  <si>
    <t xml:space="preserve">REVESTIMIENTO DE SUELO CON BALDOSA DE PAVIMENTO PRENSADO NATURAL COLOR ROJO CUGAT DE BENESOL (14x28 cm por pieza)</t>
  </si>
  <si>
    <t xml:space="preserve">ma-mausa-BEPRNAT1428</t>
  </si>
  <si>
    <t xml:space="preserve">Material</t>
  </si>
  <si>
    <t xml:space="preserve">m2</t>
  </si>
  <si>
    <t xml:space="preserve">Pavimento prensado natural color Rojo Cugat de BENESOL (14x28 cm/pza).   Ref. mausa-BEPRNAT1428</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</si>
  <si>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</si>
  <si>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</si>
  <si>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</si>
  <si>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</si>
  <si>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</si>
  <si>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</si>
  <si>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</si>
  <si>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</si>
  <si>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</si>
  <si>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</si>
  <si>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</si>
  <si>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</si>
  <si>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</si>
  <si>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</si>
  <si>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</si>
  <si>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</si>
  <si>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</si>
  <si>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</si>
  <si>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</si>
  <si>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</si>
  <si>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</si>
  <si>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</si>
  <si>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</si>
  <si>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</si>
  <si>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</si>
  <si>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</si>
  <si>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</si>
  <si>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</si>
  <si>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REVPAV-BALDOSA.PAV.PRENSADO-01</t>
  </si>
  <si>
    <t xml:space="preserve">REVPAV-BALDOSA.CALAF-01</t>
  </si>
  <si>
    <t xml:space="preserve">Partida</t>
  </si>
  <si>
    <t xml:space="preserve">m2</t>
  </si>
  <si>
    <t xml:space="preserve">REVESTIMIENTO DE SUELO CON BALDOSA BASE MONTSERRAT ROJO DE CALAF (27x27x1,6 cm/pza)</t>
  </si>
  <si>
    <t xml:space="preserve">REVESTIMIENTO DE SUELO CON BALDOSA BASE MONTSERRAT ROJO DE CALAF (27x27x1,6 cm/pza)</t>
  </si>
  <si>
    <t xml:space="preserve">ma-mausa-Sku-CALAF11</t>
  </si>
  <si>
    <t xml:space="preserve">Material</t>
  </si>
  <si>
    <t xml:space="preserve">pza</t>
  </si>
  <si>
    <t xml:space="preserve">Baldosa Base Montserrat Rojo Biselado de CALAF (27x27x16 cm/pza).   Ref. mausa-Sku-CALAF11</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</si>
  <si>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</si>
  <si>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</si>
  <si>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</si>
  <si>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</si>
  <si>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</si>
  <si>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</si>
  <si>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</si>
  <si>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</si>
  <si>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</si>
  <si>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</si>
  <si>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</si>
  <si>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</si>
  <si>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</si>
  <si>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</si>
  <si>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</si>
  <si>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</si>
  <si>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</si>
  <si>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</si>
  <si>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</si>
  <si>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</si>
  <si>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</si>
  <si>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</si>
  <si>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</si>
  <si>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</si>
  <si>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</si>
  <si>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</si>
  <si>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</si>
  <si>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</si>
  <si>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REVPAV-BALDOSA.CALAF-01</t>
  </si>
  <si>
    <t xml:space="preserve">REVPAV-BALDOSA.VITRIA-14x28-CT1</t>
  </si>
  <si>
    <t xml:space="preserve">Partida</t>
  </si>
  <si>
    <t xml:space="preserve">m2</t>
  </si>
  <si>
    <t xml:space="preserve">REVESTIMIENTO DE SUELO CON BALDOSA VIDRIADA COLOR CT1 (14x28 cm/pza)</t>
  </si>
  <si>
    <t xml:space="preserve">REVESTIMIENTO DE SUELO CON BALDOSA VIDRIADA COLOR CT1 (14x28 cm/pza)
CT1 = Colores Tipo 1: Paja 10 – Amarillo 50 – Amarillo 52 – Beige 85 – Tabaco 16 – Marrón 95 - Rojo 24 – Verde 28 – Verde 31.</t>
  </si>
  <si>
    <t xml:space="preserve">ma-ferres-baldosa.VT-14x28-CT1</t>
  </si>
  <si>
    <t xml:space="preserve">Material</t>
  </si>
  <si>
    <t xml:space="preserve">pza</t>
  </si>
  <si>
    <t xml:space="preserve">Baldosa vidriada (14x28 cm/pza).   Ref. ferres-baldosa.VT-14x28-CT1</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</si>
  <si>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</si>
  <si>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</si>
  <si>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</si>
  <si>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</si>
  <si>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</si>
  <si>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</si>
  <si>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</si>
  <si>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</si>
  <si>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</si>
  <si>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</si>
  <si>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</si>
  <si>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</si>
  <si>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</si>
  <si>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</si>
  <si>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</si>
  <si>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</si>
  <si>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</si>
  <si>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</si>
  <si>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</si>
  <si>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</si>
  <si>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</si>
  <si>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</si>
  <si>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</si>
  <si>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</si>
  <si>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</si>
  <si>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</si>
  <si>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</si>
  <si>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</si>
  <si>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REVPAV-BALDOSA.VITRIA-14x28-CT1</t>
  </si>
  <si>
    <t xml:space="preserve">REVPAV-CATALANA.20x20-01</t>
  </si>
  <si>
    <t xml:space="preserve">Partida</t>
  </si>
  <si>
    <t xml:space="preserve">m2</t>
  </si>
  <si>
    <t xml:space="preserve">REVESTIMIENTO DE SUELO CON BALDOSA CATALANA TERRACOTA-ROJO 15 (20x20 cm/pza).   Ref. terraceramica.20x20</t>
  </si>
  <si>
    <t xml:space="preserve">Revestimiento de suelo con baldosa catalana TERRACOTA-ROJO 15 (20x20 cm/pza).   Ref. terraceramica.20x20.</t>
  </si>
  <si>
    <t xml:space="preserve">ma-terraceramica-catalana.20x20</t>
  </si>
  <si>
    <t xml:space="preserve">Material</t>
  </si>
  <si>
    <t xml:space="preserve">m2</t>
  </si>
  <si>
    <t xml:space="preserve">Baldosa catalana TERRACOTA-ROJO 15 (20x20 cm/pza).   Ref. terraceramica-catalana.20x20</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</si>
  <si>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</si>
  <si>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</si>
  <si>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</si>
  <si>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</si>
  <si>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</si>
  <si>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</si>
  <si>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</si>
  <si>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</si>
  <si>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</si>
  <si>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</si>
  <si>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</si>
  <si>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</si>
  <si>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</si>
  <si>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</si>
  <si>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</si>
  <si>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</si>
  <si>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</si>
  <si>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</si>
  <si>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</si>
  <si>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</si>
  <si>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</si>
  <si>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</si>
  <si>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</si>
  <si>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</si>
  <si>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</si>
  <si>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</si>
  <si>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</si>
  <si>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</si>
  <si>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REVPAV-CATALANA.20x20-01</t>
  </si>
  <si>
    <t xml:space="preserve">REVPAV-EPOXI.ACUOSO-01</t>
  </si>
  <si>
    <t xml:space="preserve">Partida</t>
  </si>
  <si>
    <t xml:space="preserve">m2</t>
  </si>
  <si>
    <t xml:space="preserve">REVESTIMIENTO DE SUELO CON RESINA EPOXI BICOMPONENTE EN BASE ACUOSA</t>
  </si>
  <si>
    <t xml:space="preserve">REVESTIMIENTO DE SUELO CON RESINA EPOXI BICOMPONENTE EN BASE ACUOSA</t>
  </si>
  <si>
    <t xml:space="preserve">ma-bauhaus-30656835</t>
  </si>
  <si>
    <t xml:space="preserve">Material</t>
  </si>
  <si>
    <t xml:space="preserve">envase</t>
  </si>
  <si>
    <t xml:space="preserve">Resina epoxi bicomponente en base acuosa para suelos MAKE INDUSTRIALE (4 litros/envase). Ref. bauhaus-30656835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</si>
  <si>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</si>
  <si>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</si>
  <si>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</si>
  <si>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</si>
  <si>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</si>
  <si>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</si>
  <si>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</si>
  <si>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</si>
  <si>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</si>
  <si>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</si>
  <si>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</si>
  <si>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</si>
  <si>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</si>
  <si>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</si>
  <si>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</si>
  <si>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</si>
  <si>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</si>
  <si>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</si>
  <si>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</si>
  <si>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</si>
  <si>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REVPAV-EPOXI.ACUOSO-01</t>
  </si>
  <si>
    <t xml:space="preserve">REVPAV-RASILLA-01</t>
  </si>
  <si>
    <t xml:space="preserve">Partida</t>
  </si>
  <si>
    <t xml:space="preserve">m2</t>
  </si>
  <si>
    <t xml:space="preserve">ALICATADO DE PAVIMENTO CON CERÁMICA EN RASILLA LISA 14x28 cm</t>
  </si>
  <si>
    <t xml:space="preserve">ALICATADO DE PAVIMENTO CON CERÁMICA EN RASILLA LISA 14x28 cm</t>
  </si>
  <si>
    <t xml:space="preserve">ma-lp-00299053</t>
  </si>
  <si>
    <t xml:space="preserve">Material</t>
  </si>
  <si>
    <t xml:space="preserve">pza</t>
  </si>
  <si>
    <t xml:space="preserve">Rasilla lisa de 1ª calidad con un espesor de 1,2 mm. Medidas: 14x28 cm   Ref. lp-00299053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</si>
  <si>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</si>
  <si>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</si>
  <si>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</si>
  <si>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</si>
  <si>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</si>
  <si>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</si>
  <si>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</si>
  <si>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</si>
  <si>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</si>
  <si>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</si>
  <si>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</si>
  <si>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</si>
  <si>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</si>
  <si>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</si>
  <si>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</si>
  <si>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</si>
  <si>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</si>
  <si>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</si>
  <si>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</si>
  <si>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</si>
  <si>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</si>
  <si>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</si>
  <si>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</si>
  <si>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</si>
  <si>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</si>
  <si>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</si>
  <si>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</si>
  <si>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</si>
  <si>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REVPAV-RASILLA-01</t>
  </si>
  <si>
    <t xml:space="preserve">REVPAV-RASILLA-02</t>
  </si>
  <si>
    <t xml:space="preserve">Partida</t>
  </si>
  <si>
    <t xml:space="preserve">m2</t>
  </si>
  <si>
    <t xml:space="preserve">ALICATADO DE PAVIMENTO CON CERÁMICA EN RASILLA LISA 14x28 cm</t>
  </si>
  <si>
    <t xml:space="preserve">ALICATADO DE PAVIMENTO CON CERÁMICA EN RASILLA LISA 14x28 cm</t>
  </si>
  <si>
    <t xml:space="preserve">ma-manau-308943</t>
  </si>
  <si>
    <t xml:space="preserve">Material</t>
  </si>
  <si>
    <t xml:space="preserve">m2</t>
  </si>
  <si>
    <t xml:space="preserve">Baldosa gres natural rojo de BENESOL (14x28 cm/pza).   Ref. manau-308943</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</si>
  <si>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</si>
  <si>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</si>
  <si>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</si>
  <si>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</si>
  <si>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</si>
  <si>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</si>
  <si>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</si>
  <si>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</si>
  <si>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</si>
  <si>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</si>
  <si>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</si>
  <si>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</si>
  <si>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</si>
  <si>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</si>
  <si>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</si>
  <si>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</si>
  <si>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</si>
  <si>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</si>
  <si>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</si>
  <si>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</si>
  <si>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</si>
  <si>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</si>
  <si>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</si>
  <si>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</si>
  <si>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</si>
  <si>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</si>
  <si>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</si>
  <si>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</si>
  <si>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REVPAV-RASILLA-02</t>
  </si>
  <si>
    <t xml:space="preserve">REVPAV-BALDOSA.HIDRAULICA-02</t>
  </si>
  <si>
    <t xml:space="preserve">Partida</t>
  </si>
  <si>
    <t xml:space="preserve">m2</t>
  </si>
  <si>
    <t xml:space="preserve">REVESTIMIENTO DE SUELO CON BALDOSA HIDRÁULICA CONTEMPORÁNEA DE CEMENTO PIGMENTADO 133-B DE ADRIHOSAN (20x20x1,5 cm/pza)</t>
  </si>
  <si>
    <t xml:space="preserve">REVESTIMIENTO DE SUELO CON BALDOSA HIDRÁULICA CONTEMPORÁNEA DE CEMENTO PIGMENTADO 133-B DE ADRIHOSAN (20x20x1,5 cm/pza)</t>
  </si>
  <si>
    <t xml:space="preserve">ma-adrihosan-133-B</t>
  </si>
  <si>
    <t xml:space="preserve">Material</t>
  </si>
  <si>
    <t xml:space="preserve">m2</t>
  </si>
  <si>
    <t xml:space="preserve">Baldosa hidráulica contemporánea de cemento pigmentado 133-B de ADRIHOSAN (20x20x1,5 cm/pza).   Ref. adrihosan-133-B</t>
  </si>
  <si>
    <t xml:space="preserve">ma-lp-00001604</t>
  </si>
  <si>
    <t xml:space="preserve">Material</t>
  </si>
  <si>
    <t xml:space="preserve">saco</t>
  </si>
  <si>
    <t xml:space="preserve">Mortero seco M-5 de VALSEC; color gris (25 kg/saco).   Ref. lp-00001604</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</si>
  <si>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</si>
  <si>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</si>
  <si>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</si>
  <si>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</si>
  <si>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</si>
  <si>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</si>
  <si>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</si>
  <si>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</si>
  <si>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</si>
  <si>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</si>
  <si>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</si>
  <si>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</si>
  <si>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</si>
  <si>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</si>
  <si>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</si>
  <si>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</si>
  <si>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</si>
  <si>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</si>
  <si>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</si>
  <si>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</si>
  <si>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</si>
  <si>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</si>
  <si>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</si>
  <si>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</si>
  <si>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REVPAV-BALDOSA.HIDRAULICA-02</t>
  </si>
  <si>
    <t xml:space="preserve">REVPAV-BALDOSA.HIDRAULICA-03</t>
  </si>
  <si>
    <t xml:space="preserve">Partida</t>
  </si>
  <si>
    <t xml:space="preserve">m2</t>
  </si>
  <si>
    <t xml:space="preserve">REVESTIMIENTO DE SUELO CON BALDOSA HIDRÁULICA GEOMÉTRICA DE CEMENTO PIGMENTADO 221-A DE ADRIHOSAN (20x20x1,5 cm/pza)</t>
  </si>
  <si>
    <t xml:space="preserve">REVESTIMIENTO DE SUELO CON BALDOSA HIDRÁULICA GEOMÉTRICA DE CEMENTO PIGMENTADO 221-A DE ADRIHOSAN (20x20x1,5 cm/pza)</t>
  </si>
  <si>
    <t xml:space="preserve">ma-adrihosan-221-A</t>
  </si>
  <si>
    <t xml:space="preserve">Material</t>
  </si>
  <si>
    <t xml:space="preserve">m2</t>
  </si>
  <si>
    <t xml:space="preserve">Baldosa hidráulica contemporánea de cemento pigmentado 221-A de ADRIHOSAN (20x20x1,5 cm/pza).   Ref. adrihosan-221-A</t>
  </si>
  <si>
    <t xml:space="preserve">ma-lp-00001604</t>
  </si>
  <si>
    <t xml:space="preserve">Material</t>
  </si>
  <si>
    <t xml:space="preserve">saco</t>
  </si>
  <si>
    <t xml:space="preserve">Mortero seco M-5 de VALSEC; color gris (25 kg/saco).   Ref. lp-00001604</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</si>
  <si>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</si>
  <si>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</si>
  <si>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</si>
  <si>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</si>
  <si>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</si>
  <si>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</si>
  <si>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</si>
  <si>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</si>
  <si>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</si>
  <si>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</si>
  <si>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</si>
  <si>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</si>
  <si>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</si>
  <si>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</si>
  <si>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</si>
  <si>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</si>
  <si>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</si>
  <si>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</si>
  <si>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</si>
  <si>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</si>
  <si>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</si>
  <si>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</si>
  <si>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</si>
  <si>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</si>
  <si>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REVPAV-BALDOSA.HIDRAULICA-03</t>
  </si>
  <si>
    <t xml:space="preserve">REVPAV02</t>
  </si>
  <si>
    <t xml:space="preserve">Partida</t>
  </si>
  <si>
    <t xml:space="preserve">M2</t>
  </si>
  <si>
    <t xml:space="preserve">PAVIMENTO LAMINADO AC5 de 12mm</t>
  </si>
  <si>
    <t xml:space="preserve">Pavimento laminado, de lamas de 1380x190x12mm , Clase 33 de uso residencial, resistencia a la abrasión AC5, laminado decorativo en roble, ensamblado con adhesivo con clase de durabilidad en las juntas, colocadas sobre lámina de espuma de polietileno de alta densidad de 2 mm de espesor.</t>
  </si>
  <si>
    <t xml:space="preserve">quick</t>
  </si>
  <si>
    <t xml:space="preserve">Material</t>
  </si>
  <si>
    <t xml:space="preserve">m2</t>
  </si>
  <si>
    <t xml:space="preserve">QUICK STEP IMPRESSIVE ULTRA 12mm ROBLE</t>
  </si>
  <si>
    <t xml:space="preserve">lami1</t>
  </si>
  <si>
    <t xml:space="preserve">Material</t>
  </si>
  <si>
    <t xml:space="preserve">m2</t>
  </si>
  <si>
    <t xml:space="preserve">LAMINA ESPUMA POLIETILENO (FOAM) 2mm 30m2</t>
  </si>
  <si>
    <t xml:space="preserve">cint1</t>
  </si>
  <si>
    <t xml:space="preserve">Material</t>
  </si>
  <si>
    <t xml:space="preserve">m</t>
  </si>
  <si>
    <t xml:space="preserve">Cinta autoadhesiva para sellado de juntas.</t>
  </si>
  <si>
    <t xml:space="preserve">adh1</t>
  </si>
  <si>
    <t xml:space="preserve">Material</t>
  </si>
  <si>
    <t xml:space="preserve">l</t>
  </si>
  <si>
    <t xml:space="preserve">Adhesivo, con clase de durabilidad D3 según UNE-EN 204.</t>
  </si>
  <si>
    <t xml:space="preserve">m.o.1</t>
  </si>
  <si>
    <t xml:space="preserve">Mano de obra</t>
  </si>
  <si>
    <t xml:space="preserve">h</t>
  </si>
  <si>
    <t xml:space="preserve">Mano de Obra: 1 Oficial de 1ª, 1 Ayudante y 1/2 Ayudante</t>
  </si>
  <si>
    <t xml:space="preserve">REVPAV02</t>
  </si>
  <si>
    <t xml:space="preserve">REVPAV03</t>
  </si>
  <si>
    <t xml:space="preserve">Partida</t>
  </si>
  <si>
    <t xml:space="preserve">M2</t>
  </si>
  <si>
    <t xml:space="preserve">PAVIMENTO LAMINADO AC5 de 8mm</t>
  </si>
  <si>
    <t xml:space="preserve">Pavimento laminado Finfloor Original roble titanio, de lamas de 1200x189x8mm, Clase 33 de uso residencial, resistencia a la abrasión AC5, laminado decorativo en roble, ensamblado con adhesivo con clase de durabilidad en las juntas, colocadas sobre lámina de espuma de polietileno de alta densidad de 2 mm de espesor.</t>
  </si>
  <si>
    <t xml:space="preserve">lami8mm</t>
  </si>
  <si>
    <t xml:space="preserve">Material</t>
  </si>
  <si>
    <t xml:space="preserve">m2</t>
  </si>
  <si>
    <t xml:space="preserve">FINFLOOR ORIGINAL ROBLE GLAMOUR</t>
  </si>
  <si>
    <t xml:space="preserve">lami1</t>
  </si>
  <si>
    <t xml:space="preserve">Material</t>
  </si>
  <si>
    <t xml:space="preserve">m2</t>
  </si>
  <si>
    <t xml:space="preserve">LAMINA ESPUMA POLIETILENO (FOAM) 2mm 30m2</t>
  </si>
  <si>
    <t xml:space="preserve">cint1</t>
  </si>
  <si>
    <t xml:space="preserve">Material</t>
  </si>
  <si>
    <t xml:space="preserve">m</t>
  </si>
  <si>
    <t xml:space="preserve">Cinta autoadhesiva para sellado de juntas.</t>
  </si>
  <si>
    <t xml:space="preserve">adh1</t>
  </si>
  <si>
    <t xml:space="preserve">Material</t>
  </si>
  <si>
    <t xml:space="preserve">l</t>
  </si>
  <si>
    <t xml:space="preserve">Adhesivo, con clase de durabilidad D3 según UNE-EN 204.</t>
  </si>
  <si>
    <t xml:space="preserve">m.o.1</t>
  </si>
  <si>
    <t xml:space="preserve">Mano de obra</t>
  </si>
  <si>
    <t xml:space="preserve">h</t>
  </si>
  <si>
    <t xml:space="preserve">Mano de Obra: 1 Oficial de 1ª, 1 Ayudante y 1/2 Ayudante</t>
  </si>
  <si>
    <t xml:space="preserve">REVPAV03</t>
  </si>
  <si>
    <t xml:space="preserve">CUB010</t>
  </si>
  <si>
    <t xml:space="preserve">Partida</t>
  </si>
  <si>
    <t xml:space="preserve">M</t>
  </si>
  <si>
    <t xml:space="preserve">o FORMACION DE MIMBEL BALDOSA CERAMICA 25x25</t>
  </si>
  <si>
    <t xml:space="preserve">ZOCALO CERAMICO</t>
  </si>
  <si>
    <t xml:space="preserve">ma-manau-6622</t>
  </si>
  <si>
    <t xml:space="preserve">Material</t>
  </si>
  <si>
    <t xml:space="preserve">m2</t>
  </si>
  <si>
    <t xml:space="preserve">GC orgaz Base gres 24.6x24.6 - MANAU</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</si>
  <si>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</si>
  <si>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</si>
  <si>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</si>
  <si>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</si>
  <si>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ma-lp-00540946</t>
  </si>
  <si>
    <t xml:space="preserve">Material</t>
  </si>
  <si>
    <t xml:space="preserve">saco</t>
  </si>
  <si>
    <t xml:space="preserve">Mortero juntas ULTRACOLOR PLUS BIGMAT 2 a 20 mm; color chocolate (5 kg/saco).   Ref. lp-00540946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</si>
  <si>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</si>
  <si>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</si>
  <si>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</si>
  <si>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</si>
  <si>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</si>
  <si>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</si>
  <si>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</si>
  <si>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</si>
  <si>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</si>
  <si>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</si>
  <si>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</si>
  <si>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</si>
  <si>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</si>
  <si>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</si>
  <si>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</si>
  <si>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</si>
  <si>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</si>
  <si>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</si>
  <si>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</si>
  <si>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</si>
  <si>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CUB010</t>
  </si>
  <si>
    <t xml:space="preserve">ZOC002</t>
  </si>
  <si>
    <t xml:space="preserve">Partida</t>
  </si>
  <si>
    <t xml:space="preserve">ML</t>
  </si>
  <si>
    <t xml:space="preserve">ZOCALO DM LACADO BLANCO 7CM</t>
  </si>
  <si>
    <t xml:space="preserve">Zocalo de DM lacado blanco, de 7cm, fijado al paramento mediante clavos.</t>
  </si>
  <si>
    <t xml:space="preserve">m.o.1</t>
  </si>
  <si>
    <t xml:space="preserve">Mano de obra</t>
  </si>
  <si>
    <t xml:space="preserve">h</t>
  </si>
  <si>
    <t xml:space="preserve">Mano de Obra: 1 Oficial de 1ª, 1 Ayudante y 1/2 Ayudante</t>
  </si>
  <si>
    <t xml:space="preserve">CLV1</t>
  </si>
  <si>
    <t xml:space="preserve">Material</t>
  </si>
  <si>
    <t xml:space="preserve">u</t>
  </si>
  <si>
    <t xml:space="preserve">Clavo de acero galvanizado con cabeza perdida, de 1,4 mm de diámetro</t>
  </si>
  <si>
    <t xml:space="preserve">00401517</t>
  </si>
  <si>
    <t xml:space="preserve">Material</t>
  </si>
  <si>
    <t xml:space="preserve">u</t>
  </si>
  <si>
    <t xml:space="preserve">RODAPIE P2 ROBLE HELSINKI 2200X80X15 MM Ref.: 00401517</t>
  </si>
  <si>
    <t xml:space="preserve">ma-lp-00119379</t>
  </si>
  <si>
    <t xml:space="preserve">Material</t>
  </si>
  <si>
    <t xml:space="preserve">u</t>
  </si>
  <si>
    <t xml:space="preserve">RODAPIÉ MDF RECTO MELAMINA BLANCO 120X15X2240 MM</t>
  </si>
  <si>
    <t xml:space="preserve">ZOC002</t>
  </si>
  <si>
    <t xml:space="preserve">REVPAV06</t>
  </si>
  <si>
    <t xml:space="preserve">Partida</t>
  </si>
  <si>
    <t xml:space="preserve">M2</t>
  </si>
  <si>
    <t xml:space="preserve">MORTERO AUTONIVELANTE DE 7CM</t>
  </si>
  <si>
    <t xml:space="preserve">Base para pavimento interior, de 70 mm de espesor, de mortero ligero autonivelante capa gruesa, sobre lámina de aislamiento para formación de suelo flotante. Incluso banda de panel rígido de poliestireno expandido para la preparación de las juntas perimetrales de dilatación.</t>
  </si>
  <si>
    <t xml:space="preserve">ma-lp-00001613</t>
  </si>
  <si>
    <t xml:space="preserve">Material</t>
  </si>
  <si>
    <t xml:space="preserve">u</t>
  </si>
  <si>
    <t xml:space="preserve">Placa poliestireno expandido de 2000x1000 mm.  Ref.: 00001613</t>
  </si>
  <si>
    <t xml:space="preserve">ma-lp-00176176</t>
  </si>
  <si>
    <t xml:space="preserve">Material</t>
  </si>
  <si>
    <t xml:space="preserve">u</t>
  </si>
  <si>
    <t xml:space="preserve">Mortero autonivelante 5 de Valsec de 25kg</t>
  </si>
  <si>
    <t xml:space="preserve">00176176</t>
  </si>
  <si>
    <t xml:space="preserve">Material</t>
  </si>
  <si>
    <t xml:space="preserve">kg</t>
  </si>
  <si>
    <t xml:space="preserve">MORTERO AUTONIVELANTE AUTONIVEL 5 25 KG</t>
  </si>
  <si>
    <t xml:space="preserve">m.o.1</t>
  </si>
  <si>
    <t xml:space="preserve">Mano de obra</t>
  </si>
  <si>
    <t xml:space="preserve">h</t>
  </si>
  <si>
    <t xml:space="preserve">Mano de Obra: 1 Oficial de 1ª, 1 Ayudante y 1/2 Ayudante</t>
  </si>
  <si>
    <t xml:space="preserve">REVPAV06</t>
  </si>
  <si>
    <t xml:space="preserve">REVPAV07</t>
  </si>
  <si>
    <t xml:space="preserve">Partida</t>
  </si>
  <si>
    <t xml:space="preserve">M2</t>
  </si>
  <si>
    <t xml:space="preserve">PAVIMENTO DE GRANITO GRIS DE 60X40X2CM</t>
  </si>
  <si>
    <t xml:space="preserve">Base para pavimento interior, de 70 mm de espesor, de mortero ligero autonivelante capa gruesa, sobre lámina de aislamiento para formación de suelo flotante. Incluso banda de panel rígido de poliestireno expandido para la preparación de las juntas perimetrales de dilatación.</t>
  </si>
  <si>
    <t xml:space="preserve">PAVGRANITO</t>
  </si>
  <si>
    <t xml:space="preserve">Material</t>
  </si>
  <si>
    <t xml:space="preserve">m2</t>
  </si>
  <si>
    <t xml:space="preserve">Granito gris de 60x40x2cm</t>
  </si>
  <si>
    <t xml:space="preserve">00540875</t>
  </si>
  <si>
    <t xml:space="preserve">Material</t>
  </si>
  <si>
    <t xml:space="preserve">kg</t>
  </si>
  <si>
    <t xml:space="preserve">MORTERO COLA PEGOLAND GEL PORCELÁNICO BLANCO 25 KG Ref.: 00540875</t>
  </si>
  <si>
    <t xml:space="preserve">00540944</t>
  </si>
  <si>
    <t xml:space="preserve">Material</t>
  </si>
  <si>
    <t xml:space="preserve">kg</t>
  </si>
  <si>
    <t xml:space="preserve">MORTERO JUNTAS 2-20 MM BIGMAT ULTRACOLOR BLANCO 5 KG Ref.: 00540944</t>
  </si>
  <si>
    <t xml:space="preserve">m.o.1</t>
  </si>
  <si>
    <t xml:space="preserve">Mano de obra</t>
  </si>
  <si>
    <t xml:space="preserve">h</t>
  </si>
  <si>
    <t xml:space="preserve">Mano de Obra: 1 Oficial de 1ª, 1 Ayudante y 1/2 Ayudante</t>
  </si>
  <si>
    <t xml:space="preserve">REVPAV07</t>
  </si>
  <si>
    <t xml:space="preserve">REVPAV08</t>
  </si>
  <si>
    <t xml:space="preserve">Partida</t>
  </si>
  <si>
    <t xml:space="preserve">M2</t>
  </si>
  <si>
    <t xml:space="preserve">PAVIMENTO HIDRAULICO</t>
  </si>
  <si>
    <t xml:space="preserve">Solado de baldosas hidráulicas cuadradas, de 20x20 cm, lisas, color a elegir, colocadas con adhesivo cementoso de fraguado normal, C1, color gris, con doble encolado, rejuntadas con mortero de juntas cementoso tipo L, color blanco, para juntas de hasta 3 mm y tratamiento superficial mediante aplicación con rodillo de producto impermeabilizante para el sellado de poros.</t>
  </si>
  <si>
    <t xml:space="preserve">bald1</t>
  </si>
  <si>
    <t xml:space="preserve">Material</t>
  </si>
  <si>
    <t xml:space="preserve">m2</t>
  </si>
  <si>
    <t xml:space="preserve">Baldosa hidraulica</t>
  </si>
  <si>
    <t xml:space="preserve">00540875</t>
  </si>
  <si>
    <t xml:space="preserve">Material</t>
  </si>
  <si>
    <t xml:space="preserve">kg</t>
  </si>
  <si>
    <t xml:space="preserve">MORTERO COLA PEGOLAND GEL PORCELÁNICO BLANCO 25 KG Ref.: 00540875</t>
  </si>
  <si>
    <t xml:space="preserve">00540944</t>
  </si>
  <si>
    <t xml:space="preserve">Material</t>
  </si>
  <si>
    <t xml:space="preserve">kg</t>
  </si>
  <si>
    <t xml:space="preserve">MORTERO JUNTAS 2-20 MM BIGMAT ULTRACOLOR BLANCO 5 KG Ref.: 00540944</t>
  </si>
  <si>
    <t xml:space="preserve">cruc1</t>
  </si>
  <si>
    <t xml:space="preserve">Material</t>
  </si>
  <si>
    <t xml:space="preserve">u</t>
  </si>
  <si>
    <t xml:space="preserve">Crucetas</t>
  </si>
  <si>
    <t xml:space="preserve">m.o.1</t>
  </si>
  <si>
    <t xml:space="preserve">Mano de obra</t>
  </si>
  <si>
    <t xml:space="preserve">h</t>
  </si>
  <si>
    <t xml:space="preserve">Mano de Obra: 1 Oficial de 1ª, 1 Ayudante y 1/2 Ayudante</t>
  </si>
  <si>
    <t xml:space="preserve">REVPAV08</t>
  </si>
  <si>
    <t xml:space="preserve">REVPAV09</t>
  </si>
  <si>
    <t xml:space="preserve">Partida</t>
  </si>
  <si>
    <t xml:space="preserve">M2</t>
  </si>
  <si>
    <t xml:space="preserve">FELPUDO VINILICO DE RIZOS ENTRELAZADOS</t>
  </si>
  <si>
    <t xml:space="preserve">Felpudo de rizos de vinilo entrelazados, color negro, espesor total 14 mm, uso interior y exterior, enrollable.</t>
  </si>
  <si>
    <t xml:space="preserve">FELP1</t>
  </si>
  <si>
    <t xml:space="preserve">Material</t>
  </si>
  <si>
    <t xml:space="preserve">m2</t>
  </si>
  <si>
    <t xml:space="preserve">Felpudo de rizos de vinilo entrelazados, color negro, espesor total 14 mm</t>
  </si>
  <si>
    <t xml:space="preserve">m.o.1</t>
  </si>
  <si>
    <t xml:space="preserve">Mano de obra</t>
  </si>
  <si>
    <t xml:space="preserve">h</t>
  </si>
  <si>
    <t xml:space="preserve">Mano de Obra: 1 Oficial de 1ª, 1 Ayudante y 1/2 Ayudante</t>
  </si>
  <si>
    <t xml:space="preserve">REVPAV09</t>
  </si>
  <si>
    <t xml:space="preserve">ZOCALOS.Y.RODAPIES</t>
  </si>
  <si>
    <t xml:space="preserve">Capítulo</t>
  </si>
  <si>
    <t xml:space="preserve">ZÓCALOS Y RODAPIÉS</t>
  </si>
  <si>
    <t xml:space="preserve">ZOCALOS-CERAMICOS</t>
  </si>
  <si>
    <t xml:space="preserve">Capítulo</t>
  </si>
  <si>
    <t xml:space="preserve">ZÓCALOS Y RODAPIÉS CERÁMICOS</t>
  </si>
  <si>
    <t xml:space="preserve">RODAPIE-CERAM.VITRIO-14x28-CT1</t>
  </si>
  <si>
    <t xml:space="preserve">Partida</t>
  </si>
  <si>
    <t xml:space="preserve">m</t>
  </si>
  <si>
    <t xml:space="preserve">ZÓCALO CERÁMICO h = 14 cm CON BALDOSA VIDRIADA COLOR CT1 (14x28 cm/pza)</t>
  </si>
  <si>
    <t xml:space="preserve">ZÓCALO CERÁMICO h = 14 cm CON BALDOSA VIDRIADA COLOR CT1 (14x28 cm/pza)
CT1 = Colores Tipo 1: Paja 10 – Amarillo 50 – Amarillo 52 – Beige 85 – Tabaco 16 – Marrón 95 - Rojo 24 – Verde 28 – Verde 31.</t>
  </si>
  <si>
    <t xml:space="preserve">ma-ferres-baldosa.VT-14x28-CT1</t>
  </si>
  <si>
    <t xml:space="preserve">Material</t>
  </si>
  <si>
    <t xml:space="preserve">pza</t>
  </si>
  <si>
    <t xml:space="preserve">Baldosa vidriada (14x28 cm/pza).   Ref. ferres-baldosa.VT-14x28-CT1</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</si>
  <si>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</si>
  <si>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</si>
  <si>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</si>
  <si>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</si>
  <si>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</si>
  <si>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</si>
  <si>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</si>
  <si>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</si>
  <si>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</si>
  <si>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</si>
  <si>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</si>
  <si>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</si>
  <si>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</si>
  <si>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</si>
  <si>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</si>
  <si>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</si>
  <si>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</si>
  <si>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</si>
  <si>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</si>
  <si>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</si>
  <si>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</si>
  <si>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</si>
  <si>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</si>
  <si>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</si>
  <si>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</si>
  <si>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</si>
  <si>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</si>
  <si>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</si>
  <si>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RODAPIE-CERAM.VITRIO-14x28-CT1</t>
  </si>
  <si>
    <t xml:space="preserve">RODAPIE-CERAMICO-05</t>
  </si>
  <si>
    <t xml:space="preserve">Partida</t>
  </si>
  <si>
    <t xml:space="preserve">m</t>
  </si>
  <si>
    <t xml:space="preserve">ZÓCALO CERÁMICO h = 60 cm CON BALDOSA GRES ARAGÓN DUERO ROA</t>
  </si>
  <si>
    <t xml:space="preserve">ZÓCALO CERÁMICO h = 60 cm CON BALDOSA GRES ARAGÓN DUERO ROA</t>
  </si>
  <si>
    <t xml:space="preserve">ma-ig-339.904071</t>
  </si>
  <si>
    <t xml:space="preserve">Material</t>
  </si>
  <si>
    <t xml:space="preserve">m2</t>
  </si>
  <si>
    <t xml:space="preserve">Baldosa GRES ARAGÓN DUERO ROA de INDIGAR; 30x30 cm espesor 10 mm (0,99 m2/caja; 11 pzas/caja).   Ref. indigar-339.904071</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</si>
  <si>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</si>
  <si>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</si>
  <si>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</si>
  <si>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</si>
  <si>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</si>
  <si>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</si>
  <si>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</si>
  <si>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</si>
  <si>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</si>
  <si>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</si>
  <si>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</si>
  <si>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</si>
  <si>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</si>
  <si>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</si>
  <si>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</si>
  <si>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</si>
  <si>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</si>
  <si>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</si>
  <si>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</si>
  <si>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</si>
  <si>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</si>
  <si>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</si>
  <si>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</si>
  <si>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</si>
  <si>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</si>
  <si>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</si>
  <si>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</si>
  <si>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</si>
  <si>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RODAPIE-CERAMICO-05</t>
  </si>
  <si>
    <t xml:space="preserve">RODAPIE-CERAMICO-01</t>
  </si>
  <si>
    <t xml:space="preserve">Partida</t>
  </si>
  <si>
    <t xml:space="preserve">m</t>
  </si>
  <si>
    <t xml:space="preserve">RODAPIÉ CERÁMICO OCRE MARIOLA de AZULIBER (h = 8 cm)</t>
  </si>
  <si>
    <t xml:space="preserve">RODAPIÉ CERÁMICO OCRE MARIOLA de AZULIBER (h = 8 cm)</t>
  </si>
  <si>
    <t xml:space="preserve">ma-lp-00407759</t>
  </si>
  <si>
    <t xml:space="preserve">Material</t>
  </si>
  <si>
    <t xml:space="preserve">pza</t>
  </si>
  <si>
    <t xml:space="preserve">Rodapié cerámico OCRE MARIOLA de AZULIBER (8x33,3 cm/pza).   Ref. lp-00407759</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</si>
  <si>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</si>
  <si>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</si>
  <si>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</si>
  <si>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</si>
  <si>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</si>
  <si>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</si>
  <si>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</si>
  <si>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</si>
  <si>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</si>
  <si>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</si>
  <si>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</si>
  <si>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</si>
  <si>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</si>
  <si>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</si>
  <si>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</si>
  <si>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</si>
  <si>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</si>
  <si>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</si>
  <si>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</si>
  <si>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</si>
  <si>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</si>
  <si>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</si>
  <si>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</si>
  <si>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</si>
  <si>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</si>
  <si>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</si>
  <si>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</si>
  <si>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</si>
  <si>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RODAPIE-CERAMICO-01</t>
  </si>
  <si>
    <t xml:space="preserve">RODAPIE-CERAMICO-02</t>
  </si>
  <si>
    <t xml:space="preserve">Partida</t>
  </si>
  <si>
    <t xml:space="preserve">m</t>
  </si>
  <si>
    <t xml:space="preserve">RODAPIÉ CERÁMICO SERIE STOCKHOLM BEIGE (h = 8 cm)</t>
  </si>
  <si>
    <t xml:space="preserve">RODAPIÉ CERÁMICO SERIE STOCKHOLM BEIGE (H = 8 CM)</t>
  </si>
  <si>
    <t xml:space="preserve">ma-lp-00533120</t>
  </si>
  <si>
    <t xml:space="preserve">Material</t>
  </si>
  <si>
    <t xml:space="preserve">pza</t>
  </si>
  <si>
    <t xml:space="preserve">Rodapié cerámico serie STOCKHOLM beige (8x45 cm/pza).   Ref. lp-00533120</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</si>
  <si>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</si>
  <si>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</si>
  <si>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</si>
  <si>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</si>
  <si>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</si>
  <si>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</si>
  <si>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</si>
  <si>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</si>
  <si>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</si>
  <si>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</si>
  <si>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</si>
  <si>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</si>
  <si>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</si>
  <si>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</si>
  <si>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</si>
  <si>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</si>
  <si>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</si>
  <si>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</si>
  <si>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</si>
  <si>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</si>
  <si>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</si>
  <si>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</si>
  <si>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</si>
  <si>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</si>
  <si>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</si>
  <si>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</si>
  <si>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</si>
  <si>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</si>
  <si>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RODAPIE-CERAMICO-02</t>
  </si>
  <si>
    <t xml:space="preserve">RODAPIE-CERAMICO-03</t>
  </si>
  <si>
    <t xml:space="preserve">Partida</t>
  </si>
  <si>
    <t xml:space="preserve">m</t>
  </si>
  <si>
    <t xml:space="preserve">RODAPIÉ CERÁMICO SERIE STOCKHOLM GRIS (h = 8 cm)</t>
  </si>
  <si>
    <t xml:space="preserve">RODAPIÉ CERÁMICO SERIE STOCKHOLM GRIS (h = 8 cm)</t>
  </si>
  <si>
    <t xml:space="preserve">ma-lp-00533118</t>
  </si>
  <si>
    <t xml:space="preserve">Material</t>
  </si>
  <si>
    <t xml:space="preserve">pza</t>
  </si>
  <si>
    <t xml:space="preserve">Rodapié cerámico serie STOCKHOLM gris (8x45 cm/pza).   Ref. lp-00533118</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</si>
  <si>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</si>
  <si>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</si>
  <si>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</si>
  <si>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</si>
  <si>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</si>
  <si>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</si>
  <si>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</si>
  <si>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</si>
  <si>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</si>
  <si>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</si>
  <si>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</si>
  <si>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</si>
  <si>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</si>
  <si>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</si>
  <si>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</si>
  <si>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</si>
  <si>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</si>
  <si>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</si>
  <si>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</si>
  <si>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</si>
  <si>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</si>
  <si>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</si>
  <si>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</si>
  <si>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</si>
  <si>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</si>
  <si>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</si>
  <si>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</si>
  <si>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</si>
  <si>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RODAPIE-CERAMICO-03</t>
  </si>
  <si>
    <t xml:space="preserve">RODAPIE-CERAMICO-04</t>
  </si>
  <si>
    <t xml:space="preserve">Partida</t>
  </si>
  <si>
    <t xml:space="preserve">m</t>
  </si>
  <si>
    <t xml:space="preserve">RODAPIÉ CERÁMICO RÚSTICO ANDUJAR TERRA (h = 8 cm)</t>
  </si>
  <si>
    <t xml:space="preserve">RODAPIÉ CERÁMICO RÚSTICO ANDUJAR TERRA (h = 8 cm)</t>
  </si>
  <si>
    <t xml:space="preserve">ma-lp-00534345</t>
  </si>
  <si>
    <t xml:space="preserve">Material</t>
  </si>
  <si>
    <t xml:space="preserve">pza</t>
  </si>
  <si>
    <t xml:space="preserve">Rodapié cerámico rústico ANDUJAR TERRA (8x33 cm/pza).   Ref. lp-00534345</t>
  </si>
  <si>
    <t xml:space="preserve">ma-lp-00540875</t>
  </si>
  <si>
    <t xml:space="preserve">Material</t>
  </si>
  <si>
    <t xml:space="preserve">saco</t>
  </si>
  <si>
    <t xml:space="preserve">Mortero cola PEGOLAND GEL PORCELÁNICO C2TE para colocar cerámica (interior y exterior); color blanco (25 kg/saco).   Ref. lp-00540875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</si>
  <si>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</si>
  <si>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</si>
  <si>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</si>
  <si>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</si>
  <si>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</si>
  <si>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</si>
  <si>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</si>
  <si>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</si>
  <si>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</si>
  <si>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</si>
  <si>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</si>
  <si>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</si>
  <si>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</si>
  <si>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</si>
  <si>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</si>
  <si>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</si>
  <si>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</si>
  <si>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</si>
  <si>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</si>
  <si>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</si>
  <si>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</si>
  <si>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</si>
  <si>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</si>
  <si>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</si>
  <si>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RODAPIE-CERAMICO-04</t>
  </si>
  <si>
    <t xml:space="preserve">ZOCALOS-CERAMICOS</t>
  </si>
  <si>
    <t xml:space="preserve">ZOCALOS.Y.RODAPIES</t>
  </si>
  <si>
    <t xml:space="preserve">REVPAV</t>
  </si>
  <si>
    <t xml:space="preserve">REVPINT</t>
  </si>
  <si>
    <t xml:space="preserve">Capítulo</t>
  </si>
  <si>
    <t xml:space="preserve">o PINTURAS</t>
  </si>
  <si>
    <t xml:space="preserve">PREP001</t>
  </si>
  <si>
    <t xml:space="preserve">Partida</t>
  </si>
  <si>
    <t xml:space="preserve">M2</t>
  </si>
  <si>
    <t xml:space="preserve">o DECAPADO DE PINTURA AL BARNIZ/ESMALTE EN MADERA/METAL CON KEIM</t>
  </si>
  <si>
    <t xml:space="preserve">Preparación de superficie de carpintería metálica o de madera, con capas de pintura en mal estado, mediante la aplicación con brocha de decapante KEIM,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</si>
  <si>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</si>
  <si>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</si>
  <si>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</si>
  <si>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</si>
  <si>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</si>
  <si>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</si>
  <si>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</si>
  <si>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</si>
  <si>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</si>
  <si>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</si>
  <si>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</si>
  <si>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</si>
  <si>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</si>
  <si>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</si>
  <si>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</si>
  <si>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</si>
  <si>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</si>
  <si>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</si>
  <si>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</si>
  <si>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</si>
  <si>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</si>
  <si>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</si>
  <si>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</si>
  <si>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</si>
  <si>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</si>
  <si>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</si>
  <si>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</si>
  <si>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</si>
  <si>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PREP001</t>
  </si>
  <si>
    <t xml:space="preserve">PREP002</t>
  </si>
  <si>
    <t xml:space="preserve">Partida</t>
  </si>
  <si>
    <t xml:space="preserve">M2</t>
  </si>
  <si>
    <t xml:space="preserve">o DECAPADO DE PINTURA AL BARNIZ/ESMALTE EN MADERA/METAL CON ISAVAL</t>
  </si>
  <si>
    <t xml:space="preserve">Preparación de superficie de carpintería metálica o de madera, con capas de pintura en mal estado, mediante la aplicación con brocha de decapante ISAVAL, impregnando la pintura existente, eliminándola con espátula una vez reblandecida y lavado posterior con agua o disolvente hasta eliminar los restos del decapante, para proceder posteriormente a su repintado.</t>
  </si>
  <si>
    <t xml:space="preserve">ma-servicolor-848016</t>
  </si>
  <si>
    <t xml:space="preserve">Material</t>
  </si>
  <si>
    <t xml:space="preserve">envase</t>
  </si>
  <si>
    <t xml:space="preserve">Decapante o quitapinturas universal de ISAVAL (4 litros/envase).   Ref. servicolor-848016</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</si>
  <si>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</si>
  <si>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</si>
  <si>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</si>
  <si>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</si>
  <si>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</si>
  <si>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</si>
  <si>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</si>
  <si>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</si>
  <si>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</si>
  <si>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</si>
  <si>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</si>
  <si>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</si>
  <si>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</si>
  <si>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</si>
  <si>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</si>
  <si>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</si>
  <si>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</si>
  <si>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</si>
  <si>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</si>
  <si>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</si>
  <si>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</si>
  <si>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</si>
  <si>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</si>
  <si>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</si>
  <si>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PREP002</t>
  </si>
  <si>
    <t xml:space="preserve">PREP003</t>
  </si>
  <si>
    <t xml:space="preserve">Partida</t>
  </si>
  <si>
    <t xml:space="preserve">M2</t>
  </si>
  <si>
    <t xml:space="preserve">o DECAPADO DE PINTURA EN BARANDILLAS Y VERJAS</t>
  </si>
  <si>
    <t xml:space="preserve">DECAPADO A MANO DE PINTURA EXISTENTE EN BARANDILLAS Y VERJAS ABIERTAS CON PRODUCTO CONVENCIONAL</t>
  </si>
  <si>
    <t xml:space="preserve">ma-lp-00107760</t>
  </si>
  <si>
    <t xml:space="preserve">Material</t>
  </si>
  <si>
    <t xml:space="preserve">envase</t>
  </si>
  <si>
    <t xml:space="preserve">Decapante o quitapinturas en gel BARPIMO (4 litros/envase)   Ref. lp-00107760.</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</si>
  <si>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</si>
  <si>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</si>
  <si>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</si>
  <si>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</si>
  <si>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</si>
  <si>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</si>
  <si>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</si>
  <si>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</si>
  <si>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</si>
  <si>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</si>
  <si>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</si>
  <si>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</si>
  <si>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</si>
  <si>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</si>
  <si>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</si>
  <si>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</si>
  <si>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</si>
  <si>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</si>
  <si>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</si>
  <si>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</si>
  <si>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</si>
  <si>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</si>
  <si>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</si>
  <si>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</si>
  <si>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PREP003</t>
  </si>
  <si>
    <t xml:space="preserve">PREP004</t>
  </si>
  <si>
    <t xml:space="preserve">Partida</t>
  </si>
  <si>
    <t xml:space="preserve">M2</t>
  </si>
  <si>
    <t xml:space="preserve">o DECAPADO DE GRANULITE</t>
  </si>
  <si>
    <t xml:space="preserve">Preparación de superficie de fachada, con capas de pintura en mal estado, mediante la aplicación con brocha de decapante, impregnando la pintura existente, eliminándola con espátula una vez reblandecida y lavado posterior con agua o disolvente hasta eliminar los restos del decapante.</t>
  </si>
  <si>
    <t xml:space="preserve">ma-pint.valderas-SKU.084900033</t>
  </si>
  <si>
    <t xml:space="preserve">Material</t>
  </si>
  <si>
    <t xml:space="preserve">envase</t>
  </si>
  <si>
    <t xml:space="preserve">Decapante de pinturas en base acuosa gel tixotrópico QUITAPLAST de JAFEP (4 litros/envase).   Ref. pintu.valderas-SKU.084900033</t>
  </si>
  <si>
    <t xml:space="preserve">alq-decapadora-tq-01</t>
  </si>
  <si>
    <t xml:space="preserve">Maquinaria</t>
  </si>
  <si>
    <t xml:space="preserve">h</t>
  </si>
  <si>
    <t xml:space="preserve">Alquiler de Decapadora de Pintura 1.600 W.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</si>
  <si>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</si>
  <si>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</si>
  <si>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</si>
  <si>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</si>
  <si>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</si>
  <si>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</si>
  <si>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</si>
  <si>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</si>
  <si>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</si>
  <si>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</si>
  <si>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</si>
  <si>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</si>
  <si>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</si>
  <si>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</si>
  <si>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</si>
  <si>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</si>
  <si>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</si>
  <si>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</si>
  <si>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</si>
  <si>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</si>
  <si>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PREP004</t>
  </si>
  <si>
    <t xml:space="preserve">PREP005</t>
  </si>
  <si>
    <t xml:space="preserve">Partida</t>
  </si>
  <si>
    <t xml:space="preserve">M</t>
  </si>
  <si>
    <t xml:space="preserve">o DECAPADO DE PINTURA EN TUBERÍA</t>
  </si>
  <si>
    <t xml:space="preserve">Preparación de tuberias, con capas de pintura en mal estado, mediante la aplicación con brocha de decapante BARPIMO, impregnando la pintura existente, eliminándola con espátula una vez reblandecida y lavado posterior con agua o disolvente hasta eliminar los restos del decapante, para proceder posteriormente a su repintado.</t>
  </si>
  <si>
    <t xml:space="preserve">ma-lp-00107760</t>
  </si>
  <si>
    <t xml:space="preserve">Material</t>
  </si>
  <si>
    <t xml:space="preserve">envase</t>
  </si>
  <si>
    <t xml:space="preserve">Decapante o quitapinturas en gel BARPIMO (4 litros/envase)   Ref. lp-00107760.</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</si>
  <si>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</si>
  <si>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</si>
  <si>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</si>
  <si>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</si>
  <si>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</si>
  <si>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</si>
  <si>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</si>
  <si>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</si>
  <si>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</si>
  <si>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</si>
  <si>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</si>
  <si>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</si>
  <si>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</si>
  <si>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</si>
  <si>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</si>
  <si>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</si>
  <si>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</si>
  <si>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</si>
  <si>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</si>
  <si>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</si>
  <si>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</si>
  <si>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</si>
  <si>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</si>
  <si>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</si>
  <si>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PREP005</t>
  </si>
  <si>
    <t xml:space="preserve">PREP006</t>
  </si>
  <si>
    <t xml:space="preserve">Partida</t>
  </si>
  <si>
    <t xml:space="preserve">M2</t>
  </si>
  <si>
    <t xml:space="preserve">o PREPARACION DE BARANDILLA CON CEPILLO METALICO</t>
  </si>
  <si>
    <t xml:space="preserve">Preparación de superficie de barandilla metálica, con capas de pintura en estado regular, mediante raspado y lijado de la pintura existente con medios manuales o mecanicos, para proceder posteriormente a su repintado.</t>
  </si>
  <si>
    <t xml:space="preserve">00017615</t>
  </si>
  <si>
    <t xml:space="preserve">Material</t>
  </si>
  <si>
    <t xml:space="preserve">u</t>
  </si>
  <si>
    <t xml:space="preserve">CEPILLO MANUAL ACERO LATONADO ESTRECHO 50806-A BELLOTA Ref.: 00017615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</si>
  <si>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</si>
  <si>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</si>
  <si>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</si>
  <si>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</si>
  <si>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</si>
  <si>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</si>
  <si>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</si>
  <si>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</si>
  <si>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</si>
  <si>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</si>
  <si>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</si>
  <si>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</si>
  <si>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</si>
  <si>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</si>
  <si>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</si>
  <si>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</si>
  <si>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</si>
  <si>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</si>
  <si>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</si>
  <si>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</si>
  <si>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PREP006</t>
  </si>
  <si>
    <t xml:space="preserve">PREP007</t>
  </si>
  <si>
    <t xml:space="preserve">Partida</t>
  </si>
  <si>
    <t xml:space="preserve">M2</t>
  </si>
  <si>
    <t xml:space="preserve">o ENMASILLADO PARA TAPADO DE GRIETAS Y AGUJEROS EN MADERA EN PUERTAS</t>
  </si>
  <si>
    <t xml:space="preserve">ENMASILLADO PARA TAPADO DE GRIETAS Y AGUJEROS EN MADERA EN PUERTAS</t>
  </si>
  <si>
    <t xml:space="preserve">ma-la-00566779</t>
  </si>
  <si>
    <t xml:space="preserve">Material</t>
  </si>
  <si>
    <t xml:space="preserve">u</t>
  </si>
  <si>
    <t xml:space="preserve">Emplaste masilla madera 200 gr haya Ref: 00566779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</si>
  <si>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</si>
  <si>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</si>
  <si>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</si>
  <si>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</si>
  <si>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</si>
  <si>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</si>
  <si>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</si>
  <si>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</si>
  <si>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</si>
  <si>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</si>
  <si>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</si>
  <si>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</si>
  <si>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</si>
  <si>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</si>
  <si>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</si>
  <si>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</si>
  <si>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</si>
  <si>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</si>
  <si>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</si>
  <si>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</si>
  <si>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PREP007</t>
  </si>
  <si>
    <t xml:space="preserve">PREP008</t>
  </si>
  <si>
    <t xml:space="preserve">Partida</t>
  </si>
  <si>
    <t xml:space="preserve">M2</t>
  </si>
  <si>
    <t xml:space="preserve">o IMPRIMACION PROPAM GRIP+</t>
  </si>
  <si>
    <t xml:space="preserve">PROPAM GRIP+ es un Imprimante promotor de adherencia universal listo al uso, a base de resinas acrílicas en dispersión y áridos silíceos de cuarzo, para aplicación de pavimentos y revestimientos cementosos y adhesivos de cerámica sobre todo tipo de soportes absorbentes y no absorbentes. Adecuado para la colocación de morteros de cemento sobre soportes de yeso o anhidrita. Utilización en pavimentos y revestimientos tanto en interior como en exterior. Colocación de morteros autonivelantes y recrecidos sobre soportes porosos y no porosos. Aplicación de morteros de regularización sobre superficies sin absorción superficial (hormigón liso, cemento, yeso, cal, bloque de hormigón, etc.) Colocación de morteros autonivelantes y recrecidos sobre soportes de anhidrita.</t>
  </si>
  <si>
    <t xml:space="preserve">ma-lp-00540839</t>
  </si>
  <si>
    <t xml:space="preserve">Material</t>
  </si>
  <si>
    <t xml:space="preserve">bote</t>
  </si>
  <si>
    <t xml:space="preserve">Imprimante promotor de adherencia PROPAM GRIP+ (5 kg/envase).   Ref. lp-00540839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</si>
  <si>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</si>
  <si>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</si>
  <si>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</si>
  <si>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</si>
  <si>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</si>
  <si>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</si>
  <si>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</si>
  <si>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</si>
  <si>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</si>
  <si>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</si>
  <si>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</si>
  <si>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</si>
  <si>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</si>
  <si>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</si>
  <si>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</si>
  <si>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</si>
  <si>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</si>
  <si>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</si>
  <si>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</si>
  <si>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</si>
  <si>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PREP008</t>
  </si>
  <si>
    <t xml:space="preserve">PINT001</t>
  </si>
  <si>
    <t xml:space="preserve">Partida</t>
  </si>
  <si>
    <t xml:space="preserve">M2</t>
  </si>
  <si>
    <t xml:space="preserve">o RASCADO DE CAPA DE PINTURA O BARNIZ</t>
  </si>
  <si>
    <t xml:space="preserve">Rascado de capa de pintura o barniz, acabado liso, aplicada sobre paramento vertical, con medios manuales, mediante rasqueta y espátula.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</si>
  <si>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</si>
  <si>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</si>
  <si>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</si>
  <si>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</si>
  <si>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</si>
  <si>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</si>
  <si>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</si>
  <si>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</si>
  <si>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</si>
  <si>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</si>
  <si>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</si>
  <si>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</si>
  <si>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</si>
  <si>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</si>
  <si>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</si>
  <si>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</si>
  <si>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</si>
  <si>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</si>
  <si>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</si>
  <si>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</si>
  <si>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PINT001</t>
  </si>
  <si>
    <t xml:space="preserve">PINT002</t>
  </si>
  <si>
    <t xml:space="preserve">Partida</t>
  </si>
  <si>
    <t xml:space="preserve">M2</t>
  </si>
  <si>
    <t xml:space="preserve">o PINTURA TRANSPIRABLE PALAS-INTERFACHADAS</t>
  </si>
  <si>
    <t xml:space="preserve">Aplicación manual de dos manos de pintura transpirable en fachada, color a elegir, acabado mate, textura lisa, a dos manos previa aplicación de una mano de imprimación. El precio incluye la protección de los elementos del entorno que puedan verse afectados durante los trabajos.</t>
  </si>
  <si>
    <t xml:space="preserve">0120100600</t>
  </si>
  <si>
    <t xml:space="preserve">Material</t>
  </si>
  <si>
    <t xml:space="preserve">U</t>
  </si>
  <si>
    <t xml:space="preserve">FT-PALAS INTER FACHADAS BLANCO 14L       PINTURAS PALACIOS</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</si>
  <si>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</si>
  <si>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</si>
  <si>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</si>
  <si>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</si>
  <si>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</si>
  <si>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</si>
  <si>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</si>
  <si>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</si>
  <si>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</si>
  <si>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</si>
  <si>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</si>
  <si>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</si>
  <si>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</si>
  <si>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</si>
  <si>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</si>
  <si>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</si>
  <si>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</si>
  <si>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</si>
  <si>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</si>
  <si>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</si>
  <si>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</si>
  <si>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</si>
  <si>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</si>
  <si>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</si>
  <si>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</si>
  <si>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</si>
  <si>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</si>
  <si>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</si>
  <si>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</si>
  <si>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</si>
  <si>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</si>
  <si>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</si>
  <si>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</si>
  <si>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</si>
  <si>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</si>
  <si>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</si>
  <si>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</si>
  <si>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</si>
  <si>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</si>
  <si>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</si>
  <si>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PINT002</t>
  </si>
  <si>
    <t xml:space="preserve">PINT002TV</t>
  </si>
  <si>
    <t xml:space="preserve">Partida</t>
  </si>
  <si>
    <t xml:space="preserve">M2</t>
  </si>
  <si>
    <t xml:space="preserve">o PINTURA TRANSPIRABLE PALAS-INTERFACHADAS C/TRABAJOS VERTICALES</t>
  </si>
  <si>
    <t xml:space="preserve">Aplicación manual de dos manos de pintura transpirable en fachada CON TRABAJOS VERTICALES, color a elegir, acabado mate, textura lisa, a dos manos previa aplicación de una mano de imprimación. El precio incluye la protección de los elementos del entorno que puedan verse afectados durante los trabajos.</t>
  </si>
  <si>
    <t xml:space="preserve">0120100600</t>
  </si>
  <si>
    <t xml:space="preserve">Material</t>
  </si>
  <si>
    <t xml:space="preserve">U</t>
  </si>
  <si>
    <t xml:space="preserve">FT-PALAS INTER FACHADAS BLANCO 14L       PINTURAS PALACIOS</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</si>
  <si>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</si>
  <si>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</si>
  <si>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</si>
  <si>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</si>
  <si>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</si>
  <si>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</si>
  <si>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</si>
  <si>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</si>
  <si>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</si>
  <si>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</si>
  <si>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</si>
  <si>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</si>
  <si>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</si>
  <si>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</si>
  <si>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</si>
  <si>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</si>
  <si>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</si>
  <si>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</si>
  <si>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</si>
  <si>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</si>
  <si>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</si>
  <si>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</si>
  <si>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</si>
  <si>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</si>
  <si>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</si>
  <si>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</si>
  <si>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</si>
  <si>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</si>
  <si>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</si>
  <si>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</si>
  <si>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</si>
  <si>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</si>
  <si>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</si>
  <si>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</si>
  <si>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</si>
  <si>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</si>
  <si>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</si>
  <si>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</si>
  <si>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</si>
  <si>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</si>
  <si>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PINT002TV</t>
  </si>
  <si>
    <t xml:space="preserve">PINT003</t>
  </si>
  <si>
    <t xml:space="preserve">Partida</t>
  </si>
  <si>
    <t xml:space="preserve">M2</t>
  </si>
  <si>
    <t xml:space="preserve">o PINTURA ACRILICA EN  INTERIOR PALAS P-500</t>
  </si>
  <si>
    <t xml:space="preserve">Aplicación manual de dos manos de pintura plastica en interior, color a elegir, acabado mate, textura lisa, a dos manos previa aplicación de una mano de imprimación. El precio incluye la protección de los elementos del entorno que puedan verse afectados durante los trabajos.</t>
  </si>
  <si>
    <t xml:space="preserve">ma-palacios-8436563360107</t>
  </si>
  <si>
    <t xml:space="preserve">Material</t>
  </si>
  <si>
    <t xml:space="preserve">U</t>
  </si>
  <si>
    <t xml:space="preserve">PALAS P-500 CUBREX INT-EXT.BLCO. 14L</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</si>
  <si>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</si>
  <si>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</si>
  <si>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</si>
  <si>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</si>
  <si>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</si>
  <si>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</si>
  <si>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</si>
  <si>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</si>
  <si>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</si>
  <si>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</si>
  <si>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</si>
  <si>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</si>
  <si>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</si>
  <si>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</si>
  <si>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</si>
  <si>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</si>
  <si>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</si>
  <si>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</si>
  <si>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</si>
  <si>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</si>
  <si>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</si>
  <si>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</si>
  <si>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</si>
  <si>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</si>
  <si>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</si>
  <si>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</si>
  <si>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</si>
  <si>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</si>
  <si>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</si>
  <si>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</si>
  <si>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</si>
  <si>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</si>
  <si>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</si>
  <si>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</si>
  <si>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</si>
  <si>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</si>
  <si>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</si>
  <si>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</si>
  <si>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</si>
  <si>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</si>
  <si>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PINT003</t>
  </si>
  <si>
    <t xml:space="preserve">PINT004</t>
  </si>
  <si>
    <t xml:space="preserve">Partida</t>
  </si>
  <si>
    <t xml:space="preserve">M2</t>
  </si>
  <si>
    <t xml:space="preserve">o PINTURA DE SILICATO POTÁSICO SILVEL VELADURA SILICATO DE ISAVAL</t>
  </si>
  <si>
    <t xml:space="preserve">Aplicación manual de dos manos de pintura al silicato efecto veladura Silvel "PINTURAS ISAVAL",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</si>
  <si>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 xml:space="preserve">ma-pp-8426106221507</t>
  </si>
  <si>
    <t xml:space="preserve">Material</t>
  </si>
  <si>
    <t xml:space="preserve">bidón</t>
  </si>
  <si>
    <t xml:space="preserve">Imprimante concentrado fijador diluyente a base de silicato SILTOP de ISAVAL (15 litros/bidón).   Ref. pp-8426106221507</t>
  </si>
  <si>
    <t xml:space="preserve">ma-pp-E8.15.55</t>
  </si>
  <si>
    <t xml:space="preserve">Material</t>
  </si>
  <si>
    <t xml:space="preserve">bidón</t>
  </si>
  <si>
    <t xml:space="preserve">Pintura a base de silicato potásico para obtener efectos “veladura” en exteriores e interiores SILVEL VELADURA SILICATO de ISAVAL; color A (15 litros/bidón).   Ref. pp-E8.15.55</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</si>
  <si>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</si>
  <si>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</si>
  <si>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</si>
  <si>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</si>
  <si>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</si>
  <si>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</si>
  <si>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</si>
  <si>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</si>
  <si>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</si>
  <si>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</si>
  <si>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</si>
  <si>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</si>
  <si>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</si>
  <si>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</si>
  <si>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</si>
  <si>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</si>
  <si>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</si>
  <si>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</si>
  <si>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</si>
  <si>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</si>
  <si>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</si>
  <si>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</si>
  <si>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</si>
  <si>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</si>
  <si>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</si>
  <si>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</si>
  <si>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</si>
  <si>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</si>
  <si>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</si>
  <si>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</si>
  <si>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</si>
  <si>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</si>
  <si>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</si>
  <si>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</si>
  <si>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</si>
  <si>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</si>
  <si>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PINT004</t>
  </si>
  <si>
    <t xml:space="preserve">PINT004TV</t>
  </si>
  <si>
    <t xml:space="preserve">Partida</t>
  </si>
  <si>
    <t xml:space="preserve">M2</t>
  </si>
  <si>
    <t xml:space="preserve">o PINTURA DE SILICATO POTÁSICO SILVEL VELADURA SILICATO DE ISAVAL C/TRABAJOS VERTICALES</t>
  </si>
  <si>
    <t xml:space="preserve">Aplicación manual CON TRABAJOS VERTICALES de dos manos de pintura al silicato efecto veladura Silvel "PINTURAS ISAVAL",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</si>
  <si>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 xml:space="preserve">ma-pp-8426106221507</t>
  </si>
  <si>
    <t xml:space="preserve">Material</t>
  </si>
  <si>
    <t xml:space="preserve">bidón</t>
  </si>
  <si>
    <t xml:space="preserve">Imprimante concentrado fijador diluyente a base de silicato SILTOP de ISAVAL (15 litros/bidón).   Ref. pp-8426106221507</t>
  </si>
  <si>
    <t xml:space="preserve">ma-pp-E8.15.55</t>
  </si>
  <si>
    <t xml:space="preserve">Material</t>
  </si>
  <si>
    <t xml:space="preserve">bidón</t>
  </si>
  <si>
    <t xml:space="preserve">Pintura a base de silicato potásico para obtener efectos “veladura” en exteriores e interiores SILVEL VELADURA SILICATO de ISAVAL; color A (15 litros/bidón).   Ref. pp-E8.15.55</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</si>
  <si>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</si>
  <si>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</si>
  <si>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</si>
  <si>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</si>
  <si>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</si>
  <si>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</si>
  <si>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</si>
  <si>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</si>
  <si>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</si>
  <si>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</si>
  <si>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</si>
  <si>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</si>
  <si>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</si>
  <si>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</si>
  <si>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</si>
  <si>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</si>
  <si>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</si>
  <si>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</si>
  <si>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</si>
  <si>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</si>
  <si>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</si>
  <si>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</si>
  <si>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</si>
  <si>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</si>
  <si>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</si>
  <si>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</si>
  <si>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</si>
  <si>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</si>
  <si>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</si>
  <si>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</si>
  <si>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</si>
  <si>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</si>
  <si>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</si>
  <si>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</si>
  <si>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</si>
  <si>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</si>
  <si>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PINT004TV</t>
  </si>
  <si>
    <t xml:space="preserve">PINT005</t>
  </si>
  <si>
    <t xml:space="preserve">Partida</t>
  </si>
  <si>
    <t xml:space="preserve">M2</t>
  </si>
  <si>
    <t xml:space="preserve">o PINTURA DE SILICATO POTÁSICO KEIM RESTAURO-LASUR DE KEIM</t>
  </si>
  <si>
    <t xml:space="preserve">Aplicación manual de dos manos de pintura al sol-silicato "KEIM RESTAURO-LASUR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</si>
  <si>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 xml:space="preserve">ma-colorsan-02-B</t>
  </si>
  <si>
    <t xml:space="preserve">Material</t>
  </si>
  <si>
    <t xml:space="preserve">bidón</t>
  </si>
  <si>
    <t xml:space="preserve">Imprimante y diluyente KEIM RESTAURO-FIXATIV – ALTERMAT (20 litros/envase).   Ref. colorsan-02-B</t>
  </si>
  <si>
    <t xml:space="preserve">ma-colorsan-01-B</t>
  </si>
  <si>
    <t xml:space="preserve">Material</t>
  </si>
  <si>
    <t xml:space="preserve">bidón</t>
  </si>
  <si>
    <t xml:space="preserve">Pintura de capa fina a base de sol-silicato KEIM RESTAURO-LASUR (15 litros/bidón).   Ref. colorsan-01-B</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</si>
  <si>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</si>
  <si>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</si>
  <si>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</si>
  <si>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</si>
  <si>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</si>
  <si>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</si>
  <si>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</si>
  <si>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</si>
  <si>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</si>
  <si>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</si>
  <si>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</si>
  <si>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</si>
  <si>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</si>
  <si>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</si>
  <si>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</si>
  <si>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</si>
  <si>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</si>
  <si>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</si>
  <si>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</si>
  <si>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</si>
  <si>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</si>
  <si>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</si>
  <si>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</si>
  <si>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</si>
  <si>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</si>
  <si>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</si>
  <si>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</si>
  <si>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</si>
  <si>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</si>
  <si>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</si>
  <si>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</si>
  <si>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</si>
  <si>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</si>
  <si>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</si>
  <si>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</si>
  <si>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</si>
  <si>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PINT005</t>
  </si>
  <si>
    <t xml:space="preserve">PINT005TV</t>
  </si>
  <si>
    <t xml:space="preserve">Partida</t>
  </si>
  <si>
    <t xml:space="preserve">M2</t>
  </si>
  <si>
    <t xml:space="preserve">o PINTURA DE SILICATO POTÁSICO KEIM RESTAURO-LASUR DE KEIM C/TRABAJOS VERTICALES</t>
  </si>
  <si>
    <t xml:space="preserve">Aplicación manual CON TRABAJOS VERTICALES de dos manos de pintura al sol-silicato "KEIM RESTAURO-LASUR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</si>
  <si>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 xml:space="preserve">ma-colorsan-02-B</t>
  </si>
  <si>
    <t xml:space="preserve">Material</t>
  </si>
  <si>
    <t xml:space="preserve">bidón</t>
  </si>
  <si>
    <t xml:space="preserve">Imprimante y diluyente KEIM RESTAURO-FIXATIV – ALTERMAT (20 litros/envase).   Ref. colorsan-02-B</t>
  </si>
  <si>
    <t xml:space="preserve">ma-colorsan-01-B</t>
  </si>
  <si>
    <t xml:space="preserve">Material</t>
  </si>
  <si>
    <t xml:space="preserve">bidón</t>
  </si>
  <si>
    <t xml:space="preserve">Pintura de capa fina a base de sol-silicato KEIM RESTAURO-LASUR (15 litros/bidón).   Ref. colorsan-01-B</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</si>
  <si>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</si>
  <si>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</si>
  <si>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</si>
  <si>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</si>
  <si>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</si>
  <si>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</si>
  <si>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</si>
  <si>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</si>
  <si>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</si>
  <si>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</si>
  <si>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</si>
  <si>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</si>
  <si>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</si>
  <si>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</si>
  <si>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</si>
  <si>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</si>
  <si>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</si>
  <si>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</si>
  <si>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</si>
  <si>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</si>
  <si>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</si>
  <si>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</si>
  <si>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</si>
  <si>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</si>
  <si>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</si>
  <si>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</si>
  <si>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</si>
  <si>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</si>
  <si>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</si>
  <si>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</si>
  <si>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</si>
  <si>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</si>
  <si>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</si>
  <si>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</si>
  <si>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</si>
  <si>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</si>
  <si>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PINT005TV</t>
  </si>
  <si>
    <t xml:space="preserve">PINT006</t>
  </si>
  <si>
    <t xml:space="preserve">Partida</t>
  </si>
  <si>
    <t xml:space="preserve">M2</t>
  </si>
  <si>
    <t xml:space="preserve">o PINTURA DE SOL-SILICATO KEIM SOLTALIT</t>
  </si>
  <si>
    <t xml:space="preserve">Aplicación manual de dos manos de pintura al "SOL-SILICATO KEIM SOLTALIT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</si>
  <si>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 xml:space="preserve">ma-colorsan-04-B</t>
  </si>
  <si>
    <t xml:space="preserve">Material</t>
  </si>
  <si>
    <t xml:space="preserve">bidón</t>
  </si>
  <si>
    <t xml:space="preserve">Imprimante y diluyente al sol-silicato SOLDALIT-FIXATIV de KEIM (20 litros/bidón).   Ref. colorsan-04-B</t>
  </si>
  <si>
    <t xml:space="preserve">ma-colorsan-03-GC1aGC3-G</t>
  </si>
  <si>
    <t xml:space="preserve">Material</t>
  </si>
  <si>
    <t xml:space="preserve">envase</t>
  </si>
  <si>
    <t xml:space="preserve">Pintura de fachadas universal de sol-silicato SOLDALIT de KEIM; colores Grupos 1 a 3 (5 kg/envase).   Ref. colorsan-03-GC1aGC3-G</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</si>
  <si>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</si>
  <si>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</si>
  <si>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</si>
  <si>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</si>
  <si>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</si>
  <si>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</si>
  <si>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</si>
  <si>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</si>
  <si>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</si>
  <si>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</si>
  <si>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</si>
  <si>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</si>
  <si>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</si>
  <si>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</si>
  <si>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</si>
  <si>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</si>
  <si>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</si>
  <si>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</si>
  <si>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</si>
  <si>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</si>
  <si>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</si>
  <si>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</si>
  <si>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</si>
  <si>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</si>
  <si>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</si>
  <si>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</si>
  <si>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</si>
  <si>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</si>
  <si>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</si>
  <si>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</si>
  <si>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</si>
  <si>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</si>
  <si>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</si>
  <si>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</si>
  <si>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</si>
  <si>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</si>
  <si>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PINT006</t>
  </si>
  <si>
    <t xml:space="preserve">PINT006TV</t>
  </si>
  <si>
    <t xml:space="preserve">Partida</t>
  </si>
  <si>
    <t xml:space="preserve">M2</t>
  </si>
  <si>
    <t xml:space="preserve">o PINTURA DE SOL-SILICATO KEIM SOLTALIT C/TRABAJOS VERTICALES</t>
  </si>
  <si>
    <t xml:space="preserve">Aplicación manual CON TRABAJOS VERTICALES de dos manos de pintura al "SOL-SILICATO KEIM SOLTALIT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</si>
  <si>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 xml:space="preserve">ma-colorsan-04-B</t>
  </si>
  <si>
    <t xml:space="preserve">Material</t>
  </si>
  <si>
    <t xml:space="preserve">bidón</t>
  </si>
  <si>
    <t xml:space="preserve">Imprimante y diluyente al sol-silicato SOLDALIT-FIXATIV de KEIM (20 litros/bidón).   Ref. colorsan-04-B</t>
  </si>
  <si>
    <t xml:space="preserve">ma-colorsan-03-GC1aGC3-G</t>
  </si>
  <si>
    <t xml:space="preserve">Material</t>
  </si>
  <si>
    <t xml:space="preserve">envase</t>
  </si>
  <si>
    <t xml:space="preserve">Pintura de fachadas universal de sol-silicato SOLDALIT de KEIM; colores Grupos 1 a 3 (5 kg/envase).   Ref. colorsan-03-GC1aGC3-G</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</si>
  <si>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</si>
  <si>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</si>
  <si>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</si>
  <si>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</si>
  <si>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</si>
  <si>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</si>
  <si>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</si>
  <si>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</si>
  <si>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</si>
  <si>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</si>
  <si>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</si>
  <si>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</si>
  <si>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</si>
  <si>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</si>
  <si>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</si>
  <si>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</si>
  <si>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</si>
  <si>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</si>
  <si>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</si>
  <si>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</si>
  <si>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</si>
  <si>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</si>
  <si>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</si>
  <si>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</si>
  <si>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</si>
  <si>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</si>
  <si>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</si>
  <si>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</si>
  <si>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</si>
  <si>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</si>
  <si>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</si>
  <si>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</si>
  <si>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</si>
  <si>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</si>
  <si>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</si>
  <si>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</si>
  <si>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PINT006TV</t>
  </si>
  <si>
    <t xml:space="preserve">PINT007</t>
  </si>
  <si>
    <t xml:space="preserve">Partida</t>
  </si>
  <si>
    <t xml:space="preserve">M2</t>
  </si>
  <si>
    <t xml:space="preserve">o PINTURA MINERAL AL MICROSILICATO GEOLITE</t>
  </si>
  <si>
    <t xml:space="preserve">Aplicación manual de GEOLITE microsilicato es una geopintura transpirable cubriente con efecto mate y con grano fino, para la protección monolítica de hormigones, nuevos o reparados, contra la carbonatación, resistente a los agentes atmosféricos, a algas y mohos. Aplicable pasadas 4 horas sobre las reparaciones realizadas con los geomorteros GEOLITE 10 o GEOLITE 40. Rendimiento sobre soporte acabado fratasado grano fino 0,35 litros/m2 en 2 manos.   Ref. banoidea-K05816.</t>
  </si>
  <si>
    <t xml:space="preserve">ma-banoidea-K05816</t>
  </si>
  <si>
    <t xml:space="preserve">Material</t>
  </si>
  <si>
    <t xml:space="preserve">bidón</t>
  </si>
  <si>
    <t xml:space="preserve">Geopintura mineral para la protección decorativa del hormigón GEOLITE MICROSILICATO de KERAKOLL (14 litros/bidón).   Ref. banoidea-K05816</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</si>
  <si>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</si>
  <si>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</si>
  <si>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</si>
  <si>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</si>
  <si>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</si>
  <si>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</si>
  <si>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</si>
  <si>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</si>
  <si>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</si>
  <si>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</si>
  <si>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</si>
  <si>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</si>
  <si>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</si>
  <si>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</si>
  <si>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</si>
  <si>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</si>
  <si>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</si>
  <si>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</si>
  <si>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</si>
  <si>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</si>
  <si>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</si>
  <si>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</si>
  <si>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</si>
  <si>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</si>
  <si>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</si>
  <si>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</si>
  <si>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</si>
  <si>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</si>
  <si>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</si>
  <si>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</si>
  <si>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</si>
  <si>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</si>
  <si>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</si>
  <si>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</si>
  <si>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</si>
  <si>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</si>
  <si>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PINT007</t>
  </si>
  <si>
    <t xml:space="preserve">PINT008</t>
  </si>
  <si>
    <t xml:space="preserve">Partida</t>
  </si>
  <si>
    <t xml:space="preserve">M2</t>
  </si>
  <si>
    <t xml:space="preserve">o PINTURA ACRÍLICA SILICONADA PROCOLOR PROEXIL</t>
  </si>
  <si>
    <t xml:space="preserve">PINTURA ACRÍLICA SILICONADA "PROCOLOR" EN PARAMENTOS HORIZONTALES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</si>
  <si>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</si>
  <si>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</si>
  <si>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</si>
  <si>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</si>
  <si>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ma-imcasa-01-B</t>
  </si>
  <si>
    <t xml:space="preserve">Material</t>
  </si>
  <si>
    <t xml:space="preserve">bidón</t>
  </si>
  <si>
    <t xml:space="preserve">Pintura acrílica siliconada PROEXIL LISO MATE de PROCOLOR (15 litros/bidón).   Ref. imcasa-01-B</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</si>
  <si>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</si>
  <si>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</si>
  <si>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</si>
  <si>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</si>
  <si>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</si>
  <si>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</si>
  <si>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</si>
  <si>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</si>
  <si>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</si>
  <si>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</si>
  <si>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</si>
  <si>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</si>
  <si>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</si>
  <si>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</si>
  <si>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</si>
  <si>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</si>
  <si>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</si>
  <si>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</si>
  <si>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</si>
  <si>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</si>
  <si>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PINT008</t>
  </si>
  <si>
    <t xml:space="preserve">PINT008TV</t>
  </si>
  <si>
    <t xml:space="preserve">Partida</t>
  </si>
  <si>
    <t xml:space="preserve">M2</t>
  </si>
  <si>
    <t xml:space="preserve">o PINTURA ACRÍLICA SILICONADA PROCOLOR PROEXIL C/TRABAJOS VERTICALES</t>
  </si>
  <si>
    <t xml:space="preserve">PINTURA ACRÍLICA SILICONADA PROCOLOR PROEXIL C/TRABAJOS VERTICALES</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</si>
  <si>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</si>
  <si>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</si>
  <si>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</si>
  <si>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</si>
  <si>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ma-imcasa-01-B</t>
  </si>
  <si>
    <t xml:space="preserve">Material</t>
  </si>
  <si>
    <t xml:space="preserve">bidón</t>
  </si>
  <si>
    <t xml:space="preserve">Pintura acrílica siliconada PROEXIL LISO MATE de PROCOLOR (15 litros/bidón).   Ref. imcasa-01-B</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</si>
  <si>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</si>
  <si>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</si>
  <si>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</si>
  <si>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</si>
  <si>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</si>
  <si>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</si>
  <si>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</si>
  <si>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</si>
  <si>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</si>
  <si>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</si>
  <si>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</si>
  <si>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</si>
  <si>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</si>
  <si>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</si>
  <si>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</si>
  <si>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</si>
  <si>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</si>
  <si>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</si>
  <si>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</si>
  <si>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</si>
  <si>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PINT008TV</t>
  </si>
  <si>
    <t xml:space="preserve">PINT009</t>
  </si>
  <si>
    <t xml:space="preserve">Partida</t>
  </si>
  <si>
    <t xml:space="preserve">M2</t>
  </si>
  <si>
    <t xml:space="preserve">o PINTURA PLÁSTICA SILICONADA BLANCO Y X-BLANCO SILART-D'ARTIC</t>
  </si>
  <si>
    <t xml:space="preserve">PINTURA PLÁSTICA SILICONADA BLANCO Y X-BLANCO SILART-D'ARTIC</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</si>
  <si>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</si>
  <si>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</si>
  <si>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</si>
  <si>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</si>
  <si>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ma-da-04041B-B</t>
  </si>
  <si>
    <t xml:space="preserve">Material</t>
  </si>
  <si>
    <t xml:space="preserve">bidón</t>
  </si>
  <si>
    <t xml:space="preserve">Pintura plástica siliconada mate multiuso SILART de D’ARTIC; blanco (15 litros/bidón).   Ref. da-04041B-B</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</si>
  <si>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</si>
  <si>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</si>
  <si>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</si>
  <si>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</si>
  <si>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</si>
  <si>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</si>
  <si>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</si>
  <si>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</si>
  <si>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</si>
  <si>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</si>
  <si>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</si>
  <si>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</si>
  <si>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</si>
  <si>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</si>
  <si>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</si>
  <si>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</si>
  <si>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</si>
  <si>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</si>
  <si>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</si>
  <si>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</si>
  <si>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PINT009</t>
  </si>
  <si>
    <t xml:space="preserve">PINT010</t>
  </si>
  <si>
    <t xml:space="preserve">Partida</t>
  </si>
  <si>
    <t xml:space="preserve">M2</t>
  </si>
  <si>
    <t xml:space="preserve">o PINTURA DE MICRO-SILICONA LOTUSAN</t>
  </si>
  <si>
    <t xml:space="preserve">Aplicación manual de dos manos de pintura de micro-silicona, efecto flor de loto mca. LOTUSAN, previa aplicación de imprimacion de microemulsion siloxanica para consolidar y regularizar el fondo, mejorando la adherencia de la pintura. El precio incluye la protección de los elementos del entorno que puedan verse afectados durante los trabajos.</t>
  </si>
  <si>
    <t xml:space="preserve">ma-lp-00540839</t>
  </si>
  <si>
    <t xml:space="preserve">Material</t>
  </si>
  <si>
    <t xml:space="preserve">bote</t>
  </si>
  <si>
    <t xml:space="preserve">Imprimante promotor de adherencia PROPAM GRIP+ (5 kg/envase).   Ref. lp-00540839</t>
  </si>
  <si>
    <t xml:space="preserve">ma-stockpinturas-lotu</t>
  </si>
  <si>
    <t xml:space="preserve">Material</t>
  </si>
  <si>
    <t xml:space="preserve">bote</t>
  </si>
  <si>
    <t xml:space="preserve">Beissier Lotusan Autolimpiable 15L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</si>
  <si>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</si>
  <si>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</si>
  <si>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</si>
  <si>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</si>
  <si>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</si>
  <si>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</si>
  <si>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</si>
  <si>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</si>
  <si>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</si>
  <si>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</si>
  <si>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</si>
  <si>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</si>
  <si>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</si>
  <si>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</si>
  <si>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</si>
  <si>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</si>
  <si>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</si>
  <si>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</si>
  <si>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</si>
  <si>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</si>
  <si>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PINT010</t>
  </si>
  <si>
    <t xml:space="preserve">PINT011</t>
  </si>
  <si>
    <t xml:space="preserve">Partida</t>
  </si>
  <si>
    <t xml:space="preserve">M2</t>
  </si>
  <si>
    <t xml:space="preserve">o PINTURA AL PLIOLITE PLIOVAL DE ISAVAL</t>
  </si>
  <si>
    <t xml:space="preserve">Pintado de paramentos con dos manos, a rodillo, incluye fijador de preparación y dos manos de pintura monocomponente al Pliolite PLIOVAL DE ISAVAL color igual al existente o a determinar según indicaciones de la DF, permeable al vapor del agua y resistente a los rayos U.V. y a los factores atmosféricos.</t>
  </si>
  <si>
    <t xml:space="preserve">ma-servicolor-700108-G</t>
  </si>
  <si>
    <t xml:space="preserve">Material</t>
  </si>
  <si>
    <t xml:space="preserve">envase</t>
  </si>
  <si>
    <t xml:space="preserve">Imprimante acrílico en solución fijador al disolvente FIXACRIL de ISAVAL (4 litros/envase).   Ref. servicolor-700108-G</t>
  </si>
  <si>
    <t xml:space="preserve">ma-pp-s/c-04-G</t>
  </si>
  <si>
    <t xml:space="preserve">Material</t>
  </si>
  <si>
    <t xml:space="preserve">envase</t>
  </si>
  <si>
    <t xml:space="preserve">Revestimiento acrílico a base de resinas Pliolite al disolvente PLIOVAL de ISAVAL; color blanco (4 litros/envase).   Ref.. pp-s/c-04-G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</si>
  <si>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</si>
  <si>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</si>
  <si>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</si>
  <si>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</si>
  <si>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</si>
  <si>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</si>
  <si>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</si>
  <si>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</si>
  <si>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</si>
  <si>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</si>
  <si>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</si>
  <si>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</si>
  <si>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</si>
  <si>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</si>
  <si>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</si>
  <si>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</si>
  <si>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</si>
  <si>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</si>
  <si>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</si>
  <si>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</si>
  <si>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PINT011</t>
  </si>
  <si>
    <t xml:space="preserve">PINT011TV</t>
  </si>
  <si>
    <t xml:space="preserve">Partida</t>
  </si>
  <si>
    <t xml:space="preserve">M2</t>
  </si>
  <si>
    <t xml:space="preserve">o PINTURA AL PLIOLITE PLIOVAL DE ISAVAL C/TRABAJOS VERTICALES</t>
  </si>
  <si>
    <t xml:space="preserve">Pintado de paramentos con dos manos CON TRABAJOS VERTICALES, a rodillo, incluye fijador de preparación y dos manos de pintura monocomponente al Pliolite PLIOVAL DE ISAVAL color igual al existente o a determinar según indicaciones de la DF, permeable al vapor del agua y resistente a los rayos U.V. y a los factores atmosféricos.</t>
  </si>
  <si>
    <t xml:space="preserve">ma-servicolor-700108-G</t>
  </si>
  <si>
    <t xml:space="preserve">Material</t>
  </si>
  <si>
    <t xml:space="preserve">envase</t>
  </si>
  <si>
    <t xml:space="preserve">Imprimante acrílico en solución fijador al disolvente FIXACRIL de ISAVAL (4 litros/envase).   Ref. servicolor-700108-G</t>
  </si>
  <si>
    <t xml:space="preserve">ma-pp-s/c-04-G</t>
  </si>
  <si>
    <t xml:space="preserve">Material</t>
  </si>
  <si>
    <t xml:space="preserve">envase</t>
  </si>
  <si>
    <t xml:space="preserve">Revestimiento acrílico a base de resinas Pliolite al disolvente PLIOVAL de ISAVAL; color blanco (4 litros/envase).   Ref.. pp-s/c-04-G</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</si>
  <si>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</si>
  <si>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</si>
  <si>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</si>
  <si>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</si>
  <si>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</si>
  <si>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</si>
  <si>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</si>
  <si>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</si>
  <si>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</si>
  <si>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</si>
  <si>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</si>
  <si>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</si>
  <si>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</si>
  <si>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</si>
  <si>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</si>
  <si>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</si>
  <si>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</si>
  <si>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</si>
  <si>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</si>
  <si>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</si>
  <si>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PINT011TV</t>
  </si>
  <si>
    <t xml:space="preserve">PINT012</t>
  </si>
  <si>
    <t xml:space="preserve">Partida</t>
  </si>
  <si>
    <t xml:space="preserve">M2</t>
  </si>
  <si>
    <t xml:space="preserve">o PINTURA AL SILOXANO BEISSIER</t>
  </si>
  <si>
    <t xml:space="preserve">Revestimiento elástico liso al siloxano para protección, impermeabilización y decoración de fachadas y muros exteriores. Clasificado según UNE-EN 1062: Materiales de recubrimiento y sistemas de recubrimiento para albañilería exterior y hormigón.</t>
  </si>
  <si>
    <t xml:space="preserve">ma-pp-0135002200SJ-B</t>
  </si>
  <si>
    <t xml:space="preserve">Material</t>
  </si>
  <si>
    <t xml:space="preserve">bidón</t>
  </si>
  <si>
    <t xml:space="preserve">Imprimante sellador para fondos pulverulentos DELTAFIX de BEISSIER (25 litros/bidón).   Ref. pp-0135002200SJ-B</t>
  </si>
  <si>
    <t xml:space="preserve">ma-pp-0137006000SL</t>
  </si>
  <si>
    <t xml:space="preserve">Material</t>
  </si>
  <si>
    <t xml:space="preserve">envase</t>
  </si>
  <si>
    <t xml:space="preserve">Pintura elástica al siloxano BETAELASTIC de BEISSIER (15 litros/envase).   Ref. pp-0137006000SL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</si>
  <si>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</si>
  <si>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</si>
  <si>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</si>
  <si>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</si>
  <si>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</si>
  <si>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</si>
  <si>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</si>
  <si>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</si>
  <si>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</si>
  <si>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</si>
  <si>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</si>
  <si>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</si>
  <si>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</si>
  <si>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</si>
  <si>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</si>
  <si>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</si>
  <si>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</si>
  <si>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</si>
  <si>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</si>
  <si>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</si>
  <si>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PINT012</t>
  </si>
  <si>
    <t xml:space="preserve">PINT012TV</t>
  </si>
  <si>
    <t xml:space="preserve">Partida</t>
  </si>
  <si>
    <t xml:space="preserve">M2</t>
  </si>
  <si>
    <t xml:space="preserve">o PINTURA AL SILOXANO BEISSIER C/TRABAJOS VERTICALES</t>
  </si>
  <si>
    <t xml:space="preserve">Revestimiento elástico liso al siloxano para protección, impermeabilización y decoración de fachadas y muros exteriores. Clasificado según UNE-EN 1062: Materiales de recubrimiento y sistemas de recubrimiento para albañilería exterior y hormigón.</t>
  </si>
  <si>
    <t xml:space="preserve">ma-pp-0135002200SJ-B</t>
  </si>
  <si>
    <t xml:space="preserve">Material</t>
  </si>
  <si>
    <t xml:space="preserve">bidón</t>
  </si>
  <si>
    <t xml:space="preserve">Imprimante sellador para fondos pulverulentos DELTAFIX de BEISSIER (25 litros/bidón).   Ref. pp-0135002200SJ-B</t>
  </si>
  <si>
    <t xml:space="preserve">ma-pp-0137006000SL</t>
  </si>
  <si>
    <t xml:space="preserve">Material</t>
  </si>
  <si>
    <t xml:space="preserve">envase</t>
  </si>
  <si>
    <t xml:space="preserve">Pintura elástica al siloxano BETAELASTIC de BEISSIER (15 litros/envase).   Ref. pp-0137006000SL</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</si>
  <si>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</si>
  <si>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</si>
  <si>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</si>
  <si>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</si>
  <si>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</si>
  <si>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</si>
  <si>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</si>
  <si>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</si>
  <si>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</si>
  <si>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</si>
  <si>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</si>
  <si>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</si>
  <si>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</si>
  <si>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</si>
  <si>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</si>
  <si>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</si>
  <si>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</si>
  <si>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</si>
  <si>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</si>
  <si>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</si>
  <si>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PINT012TV</t>
  </si>
  <si>
    <t xml:space="preserve">PINT013</t>
  </si>
  <si>
    <t xml:space="preserve">Partida</t>
  </si>
  <si>
    <t xml:space="preserve">M2</t>
  </si>
  <si>
    <t xml:space="preserve">o PINTURA ACRILSILOXÁNICA REVETON ABSYDE</t>
  </si>
  <si>
    <t xml:space="preserve">Pintura acrilsiloxánica en paramentos verticales de fachadas con producto "REVETÓN ABSYDE"; mediante uso de andamio tubular.</t>
  </si>
  <si>
    <t xml:space="preserve">ma-bricosyl-01</t>
  </si>
  <si>
    <t xml:space="preserve">Material</t>
  </si>
  <si>
    <t xml:space="preserve">bidón</t>
  </si>
  <si>
    <t xml:space="preserve">Pintura acrilsiloxánica para fachadas REVETÓN ABSYDE; color blanco y acabado mate. (15 litros/bidón).   Ref. bricosyl-01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</si>
  <si>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</si>
  <si>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</si>
  <si>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</si>
  <si>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</si>
  <si>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</si>
  <si>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</si>
  <si>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</si>
  <si>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</si>
  <si>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</si>
  <si>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</si>
  <si>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</si>
  <si>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</si>
  <si>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</si>
  <si>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</si>
  <si>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</si>
  <si>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</si>
  <si>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</si>
  <si>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</si>
  <si>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</si>
  <si>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</si>
  <si>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PINT013</t>
  </si>
  <si>
    <t xml:space="preserve">PINT014</t>
  </si>
  <si>
    <t xml:space="preserve">Partida</t>
  </si>
  <si>
    <t xml:space="preserve">M2</t>
  </si>
  <si>
    <t xml:space="preserve">o PINTURA ACRÍLICA POLISILOXÁNICA RALPE</t>
  </si>
  <si>
    <t xml:space="preserve">PINTURA ACRÍLICA POLISILOXÁNICA EN PARAMENTOS VERTICALES DE FACHADAS CON PRODUCTO "RALPE"; MEDIANTE USO DE ANDAMIO TUBULAR</t>
  </si>
  <si>
    <t xml:space="preserve">ma-ralpe-SKU1065</t>
  </si>
  <si>
    <t xml:space="preserve">Material</t>
  </si>
  <si>
    <t xml:space="preserve">envase</t>
  </si>
  <si>
    <t xml:space="preserve">Imprimante incoloro a base de copolímeros acrílicos (4 litros/envase).   Ref. ralpe-SKU1065</t>
  </si>
  <si>
    <t xml:space="preserve">ma-ralpe-SKU1005</t>
  </si>
  <si>
    <t xml:space="preserve">Material</t>
  </si>
  <si>
    <t xml:space="preserve">envase</t>
  </si>
  <si>
    <t xml:space="preserve">Pintura acrílica exterior con polímeros de polisiloxano modificados HIDROCALPE de RALPE (4 litros/envase).   Ref. ralpe-SKU1005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</si>
  <si>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</si>
  <si>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</si>
  <si>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</si>
  <si>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</si>
  <si>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</si>
  <si>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</si>
  <si>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</si>
  <si>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</si>
  <si>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</si>
  <si>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</si>
  <si>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</si>
  <si>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</si>
  <si>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</si>
  <si>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</si>
  <si>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</si>
  <si>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</si>
  <si>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</si>
  <si>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</si>
  <si>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</si>
  <si>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</si>
  <si>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PINT014</t>
  </si>
  <si>
    <t xml:space="preserve">PINT015</t>
  </si>
  <si>
    <t xml:space="preserve">Partida</t>
  </si>
  <si>
    <t xml:space="preserve">M2</t>
  </si>
  <si>
    <t xml:space="preserve">o PINTURA ACRÍLICA ANTIFISURAS MONTO</t>
  </si>
  <si>
    <t xml:space="preserve">PINTURA ACRÍLICA ANTIFISURAS EN PARAMENTO VERTICAL CON PRODUCTO "MONTÓ"; MEDIANTE EL USO DE ANDAMIO TUBULAR</t>
  </si>
  <si>
    <t xml:space="preserve">ma-malagasol-5023609004</t>
  </si>
  <si>
    <t xml:space="preserve">Material</t>
  </si>
  <si>
    <t xml:space="preserve">envase</t>
  </si>
  <si>
    <t xml:space="preserve">Imprimante fijador multiuso FIJAMONT de MONTÓ (4 litros/envase).   Ref. malagasol-5023609004</t>
  </si>
  <si>
    <t xml:space="preserve">ma-cuidadodelhogar-502983.103.12</t>
  </si>
  <si>
    <t xml:space="preserve">Material</t>
  </si>
  <si>
    <t xml:space="preserve">bidón</t>
  </si>
  <si>
    <t xml:space="preserve">Pintura acrílica OVALDINE FACHADAS ANTIFISURAS de MONTÓ; color blanco (12 litros/bidón).   Ref. cuidadodelhogar-502983.103.12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</si>
  <si>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</si>
  <si>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</si>
  <si>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</si>
  <si>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</si>
  <si>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</si>
  <si>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</si>
  <si>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</si>
  <si>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</si>
  <si>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</si>
  <si>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</si>
  <si>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</si>
  <si>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</si>
  <si>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</si>
  <si>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</si>
  <si>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</si>
  <si>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</si>
  <si>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</si>
  <si>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</si>
  <si>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</si>
  <si>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</si>
  <si>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PINT015</t>
  </si>
  <si>
    <t xml:space="preserve">PINT015TV</t>
  </si>
  <si>
    <t xml:space="preserve">Partida</t>
  </si>
  <si>
    <t xml:space="preserve">M2</t>
  </si>
  <si>
    <t xml:space="preserve">o PINTURA ACRÍLICA ANTIFISURAS MONTO C/TRABAJOS VERTICALES</t>
  </si>
  <si>
    <t xml:space="preserve">RRRR</t>
  </si>
  <si>
    <t xml:space="preserve">ma-malagasol-5023609004</t>
  </si>
  <si>
    <t xml:space="preserve">Material</t>
  </si>
  <si>
    <t xml:space="preserve">envase</t>
  </si>
  <si>
    <t xml:space="preserve">Imprimante fijador multiuso FIJAMONT de MONTÓ (4 litros/envase).   Ref. malagasol-5023609004</t>
  </si>
  <si>
    <t xml:space="preserve">ma-cuidadodelhogar-502983.103.12</t>
  </si>
  <si>
    <t xml:space="preserve">Material</t>
  </si>
  <si>
    <t xml:space="preserve">bidón</t>
  </si>
  <si>
    <t xml:space="preserve">Pintura acrílica OVALDINE FACHADAS ANTIFISURAS de MONTÓ; color blanco (12 litros/bidón).   Ref. cuidadodelhogar-502983.103.12</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</si>
  <si>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</si>
  <si>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</si>
  <si>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</si>
  <si>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</si>
  <si>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</si>
  <si>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</si>
  <si>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</si>
  <si>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</si>
  <si>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</si>
  <si>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</si>
  <si>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</si>
  <si>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</si>
  <si>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</si>
  <si>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</si>
  <si>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</si>
  <si>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</si>
  <si>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</si>
  <si>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</si>
  <si>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</si>
  <si>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</si>
  <si>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PINT015TV</t>
  </si>
  <si>
    <t xml:space="preserve">PINT016</t>
  </si>
  <si>
    <t xml:space="preserve">Partida</t>
  </si>
  <si>
    <t xml:space="preserve">M2</t>
  </si>
  <si>
    <t xml:space="preserve">o PINTURA PLÁSTICA ACRÍLICA MATE REVETON NOVEX</t>
  </si>
  <si>
    <t xml:space="preserve">PINTURA PLÁSTICA ACRÍLICA MATE "REVETÓN NOVEX" EN PARAMENTOS VERTICALES, MEDIANTE EL USO DE ANDAMIO TUBULAR</t>
  </si>
  <si>
    <t xml:space="preserve">ma-multipinturas-1358</t>
  </si>
  <si>
    <t xml:space="preserve">Material</t>
  </si>
  <si>
    <t xml:space="preserve">bidón</t>
  </si>
  <si>
    <t xml:space="preserve">Imprimante COTEFILM IMPRIMACIÓN ACUOSA de REVETÓN (15 litros/bidón).   Ref. multipinturas-1358</t>
  </si>
  <si>
    <t xml:space="preserve">ma-lp-00538880</t>
  </si>
  <si>
    <t xml:space="preserve">Material</t>
  </si>
  <si>
    <t xml:space="preserve">bidón</t>
  </si>
  <si>
    <t xml:space="preserve">Pintura plástica acrílica mate interior/exterior de REVETÓN NOVEX; color blanco (15 litros/bidón).   Ref. lp-00538880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</si>
  <si>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</si>
  <si>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</si>
  <si>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</si>
  <si>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</si>
  <si>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</si>
  <si>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</si>
  <si>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</si>
  <si>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</si>
  <si>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</si>
  <si>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</si>
  <si>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</si>
  <si>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</si>
  <si>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</si>
  <si>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</si>
  <si>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</si>
  <si>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</si>
  <si>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</si>
  <si>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</si>
  <si>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</si>
  <si>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</si>
  <si>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PINT016</t>
  </si>
  <si>
    <t xml:space="preserve">PINT017</t>
  </si>
  <si>
    <t xml:space="preserve">Partida</t>
  </si>
  <si>
    <t xml:space="preserve">M2</t>
  </si>
  <si>
    <t xml:space="preserve">o PINTURA CLORO-CAUCHO BARPIMO</t>
  </si>
  <si>
    <t xml:space="preserve">PINTURA CLORO-CAUCHO EN PARAMENTOS HORIZONTALES MEDIANTE EL USO DE ANDAMIO TUBULAR (FCH)</t>
  </si>
  <si>
    <t xml:space="preserve">ma-lp-00007525</t>
  </si>
  <si>
    <t xml:space="preserve">Material</t>
  </si>
  <si>
    <t xml:space="preserve">bidón</t>
  </si>
  <si>
    <t xml:space="preserve">Pintura CLOROCAUCHO SUELOS de BARPIMO, color rojo inglés (15 litros/bidón).   Ref. lp-00007525</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</si>
  <si>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</si>
  <si>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</si>
  <si>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</si>
  <si>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</si>
  <si>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</si>
  <si>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</si>
  <si>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</si>
  <si>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</si>
  <si>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</si>
  <si>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</si>
  <si>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</si>
  <si>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</si>
  <si>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</si>
  <si>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</si>
  <si>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</si>
  <si>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</si>
  <si>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</si>
  <si>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</si>
  <si>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</si>
  <si>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</si>
  <si>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</si>
  <si>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</si>
  <si>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</si>
  <si>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</si>
  <si>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PINT017</t>
  </si>
  <si>
    <t xml:space="preserve">PINT018</t>
  </si>
  <si>
    <t xml:space="preserve">Partida</t>
  </si>
  <si>
    <t xml:space="preserve">M2</t>
  </si>
  <si>
    <t xml:space="preserve">o PINTURA ANTI-CARBONATACIÓN DE REVETON</t>
  </si>
  <si>
    <t xml:space="preserve">Pintura anticarbonatación de REVENTON, con una mano de fondo y dos de acabado a base de partículas goactivas de silicato para regenerar y proteger superficies de hormigón por cristalización, color según estudio cromático.</t>
  </si>
  <si>
    <t xml:space="preserve">ma-dispival-rev.anticarbonato-15</t>
  </si>
  <si>
    <t xml:space="preserve">Material</t>
  </si>
  <si>
    <t xml:space="preserve">bidón</t>
  </si>
  <si>
    <t xml:space="preserve">Revestimiento acrílico anticarbonatación liso de REVETON; color blanco (15 lts/bidón).   Ref. dispival-rev.anticarbonato-15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</si>
  <si>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</si>
  <si>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</si>
  <si>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</si>
  <si>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</si>
  <si>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</si>
  <si>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</si>
  <si>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</si>
  <si>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</si>
  <si>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</si>
  <si>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</si>
  <si>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</si>
  <si>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</si>
  <si>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</si>
  <si>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</si>
  <si>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</si>
  <si>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</si>
  <si>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</si>
  <si>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</si>
  <si>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</si>
  <si>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</si>
  <si>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PINT018</t>
  </si>
  <si>
    <t xml:space="preserve">PINT018TV</t>
  </si>
  <si>
    <t xml:space="preserve">Partida</t>
  </si>
  <si>
    <t xml:space="preserve">M2</t>
  </si>
  <si>
    <t xml:space="preserve">o PINTURA ANTI-CARBONATACIÓN DE REVETON C/VERTICALES</t>
  </si>
  <si>
    <t xml:space="preserve">Pintura anticarbonatación C/VERTICALES de REVENTON, con una mano de fondo y dos de acabado a base de partículas goactivas de silicato para regenerar y proteger superficies de hormigón por cristalización, color según estudio cromático.</t>
  </si>
  <si>
    <t xml:space="preserve">ma-dispival-rev.anticarbonato-15</t>
  </si>
  <si>
    <t xml:space="preserve">Material</t>
  </si>
  <si>
    <t xml:space="preserve">bidón</t>
  </si>
  <si>
    <t xml:space="preserve">Revestimiento acrílico anticarbonatación liso de REVETON; color blanco (15 lts/bidón).   Ref. dispival-rev.anticarbonato-15</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</si>
  <si>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</si>
  <si>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</si>
  <si>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</si>
  <si>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</si>
  <si>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</si>
  <si>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</si>
  <si>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</si>
  <si>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</si>
  <si>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</si>
  <si>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</si>
  <si>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</si>
  <si>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</si>
  <si>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</si>
  <si>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</si>
  <si>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</si>
  <si>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</si>
  <si>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</si>
  <si>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</si>
  <si>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</si>
  <si>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</si>
  <si>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PINT018TV</t>
  </si>
  <si>
    <t xml:space="preserve">PINT019</t>
  </si>
  <si>
    <t xml:space="preserve">Partida</t>
  </si>
  <si>
    <t xml:space="preserve">M2</t>
  </si>
  <si>
    <t xml:space="preserve">o PINTURA ANTI-CARBONATACIÓN DE SIKAGARD 670 W</t>
  </si>
  <si>
    <t xml:space="preserve">Pintura anticarbonatación tipo SIKAGARD 670 W de la marca SIKA, con una mano de fondo y dos de acabado a base de partículas goactivas de silicato para regenerar y proteger superficies de hormigón por cristalización, color según estudio cromático.</t>
  </si>
  <si>
    <t xml:space="preserve">ma-s.lucia-sikagard.670.w.elast</t>
  </si>
  <si>
    <t xml:space="preserve">Material</t>
  </si>
  <si>
    <t xml:space="preserve">bidón</t>
  </si>
  <si>
    <t xml:space="preserve">Revestimiento de protección para hormigón frente a agentes agresivos (carbonatación, humedad o cloruros) SIKAGARD-670 W ELASTOCOLOR (20 litros/bidón).   Ref. s.lucia-sikagard.670.w.elast</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</si>
  <si>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</si>
  <si>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</si>
  <si>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</si>
  <si>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</si>
  <si>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</si>
  <si>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</si>
  <si>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</si>
  <si>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</si>
  <si>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</si>
  <si>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</si>
  <si>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</si>
  <si>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</si>
  <si>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</si>
  <si>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</si>
  <si>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</si>
  <si>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</si>
  <si>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</si>
  <si>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</si>
  <si>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</si>
  <si>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</si>
  <si>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PINT019</t>
  </si>
  <si>
    <t xml:space="preserve">PINT020</t>
  </si>
  <si>
    <t xml:space="preserve">Partida</t>
  </si>
  <si>
    <t xml:space="preserve">M2</t>
  </si>
  <si>
    <t xml:space="preserve">o PINTURA ANTI-CARBONATACION DE KERAKOLL 05816</t>
  </si>
  <si>
    <t xml:space="preserve">Pintura anticarbonatación tipo Geolite Microsilicato de la marca Kerakoll, con una mano de fondo y dos de acabado a base de partículas goactivas de silicato para regenerar y proteger superficies de hormigón por cristalización, color según estudio cromático.</t>
  </si>
  <si>
    <t xml:space="preserve">ma-internet-kerakoll-05816</t>
  </si>
  <si>
    <t xml:space="preserve">Material</t>
  </si>
  <si>
    <t xml:space="preserve">u</t>
  </si>
  <si>
    <t xml:space="preserve">Kerakoll 05816 Geolite Microsilicato blco. 14L</t>
  </si>
  <si>
    <t xml:space="preserve">ma-palacios-019501240022</t>
  </si>
  <si>
    <t xml:space="preserve">Material</t>
  </si>
  <si>
    <t xml:space="preserve">u</t>
  </si>
  <si>
    <t xml:space="preserve">ROD.NYLON BICOLOR D60 22cm PTR   PINTURAS PALACIOS</t>
  </si>
  <si>
    <t xml:space="preserve">ma-palacios-019506100017</t>
  </si>
  <si>
    <t xml:space="preserve">Material</t>
  </si>
  <si>
    <t xml:space="preserve">u</t>
  </si>
  <si>
    <t xml:space="preserve">CUBETA PL. NEGRA+REJ.PLAST. *PINTOR* 16L   PINTURAS PALACIOS</t>
  </si>
  <si>
    <t xml:space="preserve">ma-palacios-019002001312</t>
  </si>
  <si>
    <t xml:space="preserve">Material</t>
  </si>
  <si>
    <t xml:space="preserve">u</t>
  </si>
  <si>
    <t xml:space="preserve">BRO.PRENSADA EXTRA AZUL 12   PINTURAS PALACIOS</t>
  </si>
  <si>
    <t xml:space="preserve">ma-palacios-020500000024</t>
  </si>
  <si>
    <t xml:space="preserve">Material</t>
  </si>
  <si>
    <t xml:space="preserve">u</t>
  </si>
  <si>
    <t xml:space="preserve">CINTA KREPP M 24mm X 45MI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</si>
  <si>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</si>
  <si>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</si>
  <si>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</si>
  <si>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</si>
  <si>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</si>
  <si>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</si>
  <si>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</si>
  <si>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</si>
  <si>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</si>
  <si>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</si>
  <si>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</si>
  <si>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</si>
  <si>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</si>
  <si>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</si>
  <si>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</si>
  <si>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</si>
  <si>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</si>
  <si>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</si>
  <si>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</si>
  <si>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</si>
  <si>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PINT020</t>
  </si>
  <si>
    <t xml:space="preserve">PINT020TV</t>
  </si>
  <si>
    <t xml:space="preserve">Partida</t>
  </si>
  <si>
    <t xml:space="preserve">M2</t>
  </si>
  <si>
    <t xml:space="preserve">o PINTURA ANTI-CARBONATACION DE KERAKOLL 05816 C/VERTICALES</t>
  </si>
  <si>
    <t xml:space="preserve">Pintura anticarbonatación C/VERTICALES tipo Geolite Microsilicato de la marca Kerakoll, con una mano de fondo y dos de acabado a base de partículas goactivas de silicato para regenerar y proteger superficies de hormigón por cristalización, color según estudio cromático.</t>
  </si>
  <si>
    <t xml:space="preserve">ma-internet-kerakoll-05816</t>
  </si>
  <si>
    <t xml:space="preserve">Material</t>
  </si>
  <si>
    <t xml:space="preserve">u</t>
  </si>
  <si>
    <t xml:space="preserve">Kerakoll 05816 Geolite Microsilicato blco. 14L</t>
  </si>
  <si>
    <t xml:space="preserve">ma-palacios-019501240022</t>
  </si>
  <si>
    <t xml:space="preserve">Material</t>
  </si>
  <si>
    <t xml:space="preserve">u</t>
  </si>
  <si>
    <t xml:space="preserve">ROD.NYLON BICOLOR D60 22cm PTR   PINTURAS PALACIOS</t>
  </si>
  <si>
    <t xml:space="preserve">ma-palacios-019506100017</t>
  </si>
  <si>
    <t xml:space="preserve">Material</t>
  </si>
  <si>
    <t xml:space="preserve">u</t>
  </si>
  <si>
    <t xml:space="preserve">CUBETA PL. NEGRA+REJ.PLAST. *PINTOR* 16L   PINTURAS PALACIOS</t>
  </si>
  <si>
    <t xml:space="preserve">ma-palacios-019002001312</t>
  </si>
  <si>
    <t xml:space="preserve">Material</t>
  </si>
  <si>
    <t xml:space="preserve">u</t>
  </si>
  <si>
    <t xml:space="preserve">BRO.PRENSADA EXTRA AZUL 12   PINTURAS PALACIOS</t>
  </si>
  <si>
    <t xml:space="preserve">ma-palacios-020500000024</t>
  </si>
  <si>
    <t xml:space="preserve">Material</t>
  </si>
  <si>
    <t xml:space="preserve">u</t>
  </si>
  <si>
    <t xml:space="preserve">CINTA KREPP M 24mm X 45MI     PINTURAS PALACIOS</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</si>
  <si>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</si>
  <si>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</si>
  <si>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</si>
  <si>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</si>
  <si>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</si>
  <si>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</si>
  <si>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</si>
  <si>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</si>
  <si>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</si>
  <si>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</si>
  <si>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</si>
  <si>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</si>
  <si>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</si>
  <si>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</si>
  <si>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</si>
  <si>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</si>
  <si>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</si>
  <si>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</si>
  <si>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</si>
  <si>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</si>
  <si>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PINT020TV</t>
  </si>
  <si>
    <t xml:space="preserve">PINT021</t>
  </si>
  <si>
    <t xml:space="preserve">Partida</t>
  </si>
  <si>
    <t xml:space="preserve">M2</t>
  </si>
  <si>
    <t xml:space="preserve">o PINTURA  A LA CAL</t>
  </si>
  <si>
    <t xml:space="preserve">Aplicación manual de dos manos de pintura a la cal, color blanco, previa aplicación de una mano de imprimación, sobre paramento exterior de mortero. El precio incluye la protección de los elementos del entorno que puedan verse afectados durante los trabajos y la resolución de puntos singulares.</t>
  </si>
  <si>
    <t xml:space="preserve">IMPRE1</t>
  </si>
  <si>
    <t xml:space="preserve">Material</t>
  </si>
  <si>
    <t xml:space="preserve">l</t>
  </si>
  <si>
    <t xml:space="preserve">Imprimacion granulosa</t>
  </si>
  <si>
    <t xml:space="preserve">pintcal</t>
  </si>
  <si>
    <t xml:space="preserve">Material</t>
  </si>
  <si>
    <t xml:space="preserve">l</t>
  </si>
  <si>
    <t xml:space="preserve">Pintura a la cal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</si>
  <si>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</si>
  <si>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</si>
  <si>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</si>
  <si>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</si>
  <si>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</si>
  <si>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</si>
  <si>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</si>
  <si>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</si>
  <si>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</si>
  <si>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</si>
  <si>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</si>
  <si>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</si>
  <si>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</si>
  <si>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</si>
  <si>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</si>
  <si>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</si>
  <si>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</si>
  <si>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</si>
  <si>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</si>
  <si>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</si>
  <si>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PINT021</t>
  </si>
  <si>
    <t xml:space="preserve">PINT021TV</t>
  </si>
  <si>
    <t xml:space="preserve">Partida</t>
  </si>
  <si>
    <t xml:space="preserve">M2</t>
  </si>
  <si>
    <t xml:space="preserve">o PINTURA  A LA CAL C/VERTICALES</t>
  </si>
  <si>
    <t xml:space="preserve">Aplicación manual de dos manos de pintura a la cal C/VERTICALES, color blanco, previa aplicación de una mano de imprimación, sobre paramento exterior de mortero. El precio incluye la protección de los elementos del entorno que puedan verse afectados durante los trabajos y la resolución de puntos singulares.</t>
  </si>
  <si>
    <t xml:space="preserve">pintcal</t>
  </si>
  <si>
    <t xml:space="preserve">Material</t>
  </si>
  <si>
    <t xml:space="preserve">l</t>
  </si>
  <si>
    <t xml:space="preserve">Pintura a la cal</t>
  </si>
  <si>
    <t xml:space="preserve">IMPRE1</t>
  </si>
  <si>
    <t xml:space="preserve">Material</t>
  </si>
  <si>
    <t xml:space="preserve">l</t>
  </si>
  <si>
    <t xml:space="preserve">Imprimacion granulosa</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</si>
  <si>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</si>
  <si>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</si>
  <si>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</si>
  <si>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</si>
  <si>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</si>
  <si>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</si>
  <si>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</si>
  <si>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</si>
  <si>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</si>
  <si>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</si>
  <si>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</si>
  <si>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</si>
  <si>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</si>
  <si>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</si>
  <si>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</si>
  <si>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</si>
  <si>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</si>
  <si>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</si>
  <si>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</si>
  <si>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</si>
  <si>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PINT021TV</t>
  </si>
  <si>
    <t xml:space="preserve">PINT022</t>
  </si>
  <si>
    <t xml:space="preserve">Partida</t>
  </si>
  <si>
    <t xml:space="preserve">M2</t>
  </si>
  <si>
    <t xml:space="preserve">o PINTURA MINERAL DE LIME PAINT de FLEUR</t>
  </si>
  <si>
    <t xml:space="preserve">Pintura mineral "LIME PAINT DE FLEUR" en paramentos horizontales, mediante el uso de andamio tubular (FCH)</t>
  </si>
  <si>
    <t xml:space="preserve">ma-bh-30285813</t>
  </si>
  <si>
    <t xml:space="preserve">Material</t>
  </si>
  <si>
    <t xml:space="preserve">envase</t>
  </si>
  <si>
    <t xml:space="preserve">Imprimante FONDO LIME PAINT de FLEUR para pintura mineral (2,5 litros/envase).   Ref. bh-30285813</t>
  </si>
  <si>
    <t xml:space="preserve">ma-bh-30227277</t>
  </si>
  <si>
    <t xml:space="preserve">Material</t>
  </si>
  <si>
    <t xml:space="preserve">envase</t>
  </si>
  <si>
    <t xml:space="preserve">Pintura mineral LIME PAINT de FLEUR para efectos decorativos; color Cream Love (2,5 litros/envase).   Ref. bh-30227277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</si>
  <si>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</si>
  <si>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</si>
  <si>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</si>
  <si>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</si>
  <si>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</si>
  <si>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</si>
  <si>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</si>
  <si>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</si>
  <si>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</si>
  <si>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</si>
  <si>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</si>
  <si>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</si>
  <si>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</si>
  <si>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</si>
  <si>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</si>
  <si>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</si>
  <si>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</si>
  <si>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</si>
  <si>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</si>
  <si>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</si>
  <si>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PINT022</t>
  </si>
  <si>
    <t xml:space="preserve">PINT023</t>
  </si>
  <si>
    <t xml:space="preserve">Partida</t>
  </si>
  <si>
    <t xml:space="preserve">M2</t>
  </si>
  <si>
    <t xml:space="preserve">o PINTURA  ANTIHUMEDAD TIXOVAL CON RESINA PILOWAY DE ISAVAL</t>
  </si>
  <si>
    <t xml:space="preserve">Pintura tixotrópica TIXOVAL ANTIHUMEDAD RESINA PLIOWAY de ISAVAL con bajo olor especialmente desarrollada para el pintado de paredes con humedades que suben por capilaridad a través de la estructura de la construcción. Directamente aplicable sobre soportes húmedos y en estancias donde exite tendencia a la condensación de humedad.</t>
  </si>
  <si>
    <t xml:space="preserve">ma-pp-8426106541056-G</t>
  </si>
  <si>
    <t xml:space="preserve">Material</t>
  </si>
  <si>
    <t xml:space="preserve">envase</t>
  </si>
  <si>
    <t xml:space="preserve">Pintura tixotrópica TIXOVAL ANTIHUMEDAD RESINA PLIOWAY de ISAVAL (4 litros/envase).   Ref. pp-8426106541056</t>
  </si>
  <si>
    <t xml:space="preserve">ma-pp-8426102250062</t>
  </si>
  <si>
    <t xml:space="preserve">Material</t>
  </si>
  <si>
    <t xml:space="preserve">envase</t>
  </si>
  <si>
    <t xml:space="preserve">Disolvente TIXOVAL D-50 de ISAVAL (1 litro/envase).   Ref. pp-8426106650062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</si>
  <si>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</si>
  <si>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</si>
  <si>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</si>
  <si>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</si>
  <si>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</si>
  <si>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</si>
  <si>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</si>
  <si>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</si>
  <si>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</si>
  <si>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</si>
  <si>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</si>
  <si>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</si>
  <si>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</si>
  <si>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</si>
  <si>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</si>
  <si>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</si>
  <si>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</si>
  <si>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</si>
  <si>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</si>
  <si>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</si>
  <si>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PINT023</t>
  </si>
  <si>
    <t xml:space="preserve">PINT024</t>
  </si>
  <si>
    <t xml:space="preserve">Partida</t>
  </si>
  <si>
    <t xml:space="preserve">M2</t>
  </si>
  <si>
    <t xml:space="preserve">o PINTURA  ANTIHUMEDAD DIANA  CON RESINA PILOWAY DE REVENTON</t>
  </si>
  <si>
    <t xml:space="preserve">Pintura acrilica transpirable DIANA ANTIHUMEDAD RESINA PLIOWAY de REVENTON. Proteccion y reparacion de paredes y techos especialmente sometidos a elevado grado de humedad como zocalos, cimientos, bodegas, sotanos, parkings subterraneos, baños, piscinas interiores, estaciones de depuracion. Repintable con pintura plastica. Acabado mate. Color blanco.</t>
  </si>
  <si>
    <t xml:space="preserve">ma-lp-00540273</t>
  </si>
  <si>
    <t xml:space="preserve">Material</t>
  </si>
  <si>
    <t xml:space="preserve">u</t>
  </si>
  <si>
    <t xml:space="preserve">Pintura transpirable antihumedad blanca de 4L</t>
  </si>
  <si>
    <t xml:space="preserve">ma-lp-00007104</t>
  </si>
  <si>
    <t xml:space="preserve">Material</t>
  </si>
  <si>
    <t xml:space="preserve">u</t>
  </si>
  <si>
    <t xml:space="preserve">Isolfix disolvente sin olor 1L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</si>
  <si>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</si>
  <si>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</si>
  <si>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</si>
  <si>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</si>
  <si>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</si>
  <si>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</si>
  <si>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</si>
  <si>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</si>
  <si>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</si>
  <si>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</si>
  <si>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</si>
  <si>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</si>
  <si>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</si>
  <si>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</si>
  <si>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</si>
  <si>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</si>
  <si>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</si>
  <si>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</si>
  <si>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</si>
  <si>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</si>
  <si>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PINT024</t>
  </si>
  <si>
    <t xml:space="preserve">PINT025</t>
  </si>
  <si>
    <t xml:space="preserve">Partida</t>
  </si>
  <si>
    <t xml:space="preserve">M2</t>
  </si>
  <si>
    <t xml:space="preserve">o PINTURA  ANTI-MANCHAS ISOLFIX</t>
  </si>
  <si>
    <t xml:space="preserve">Pintura ISOLFIX al agua es una pintura de fondo y acabado para paredes y techos, para aislar y cubrir manchas, de humo, nicotina, hollín, café, taninos, aceite, grasas, manchas de agua secas, rotuladores, etc. en yeso, madera, fondos minerales o pintados. Lavable y reforzada contra la aparición de mohos. Especialmente indicada para cubrir manchas en cocinas y baños. Excelente cubrición, sin olor, no gotea ni amarillea. Resiste al frote y a la humedad ambiente. Interior y exterior. Envase 10 l. Color: blanco. Acabado mate, coloreable.</t>
  </si>
  <si>
    <t xml:space="preserve">ma-lp-00007342</t>
  </si>
  <si>
    <t xml:space="preserve">Material</t>
  </si>
  <si>
    <t xml:space="preserve">u</t>
  </si>
  <si>
    <t xml:space="preserve">Isolfix al agua cubre manchas 10L</t>
  </si>
  <si>
    <t xml:space="preserve">ma-lp-00007104</t>
  </si>
  <si>
    <t xml:space="preserve">Material</t>
  </si>
  <si>
    <t xml:space="preserve">u</t>
  </si>
  <si>
    <t xml:space="preserve">Isolfix disolvente sin olor 1L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</si>
  <si>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</si>
  <si>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</si>
  <si>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</si>
  <si>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</si>
  <si>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</si>
  <si>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</si>
  <si>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</si>
  <si>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</si>
  <si>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</si>
  <si>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</si>
  <si>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</si>
  <si>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</si>
  <si>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</si>
  <si>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</si>
  <si>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</si>
  <si>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</si>
  <si>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</si>
  <si>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</si>
  <si>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</si>
  <si>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</si>
  <si>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PINT025</t>
  </si>
  <si>
    <t xml:space="preserve">PINT026</t>
  </si>
  <si>
    <t xml:space="preserve">Partida</t>
  </si>
  <si>
    <t xml:space="preserve">M2</t>
  </si>
  <si>
    <t xml:space="preserve">o PINTURA DE ORNAMENTACION Y MOLDURAS VESTIBULO</t>
  </si>
  <si>
    <t xml:space="preserve">Aplicación manual de dos manos de pintura en ornamentacion y moldura, color de acuerdo al estudio cromatico del gabinete del color, plastica en interior, color a elegir, acabado mate, textura lisa, a dos manos previa aplicación de una mano de imprimación. El precio incluye la protección de los elementos del entorno que puedan verse afectados durante los trabajos, precintado de las zonas a pintar.</t>
  </si>
  <si>
    <t xml:space="preserve">ma-palacios-8436563360107</t>
  </si>
  <si>
    <t xml:space="preserve">Material</t>
  </si>
  <si>
    <t xml:space="preserve">U</t>
  </si>
  <si>
    <t xml:space="preserve">PALAS P-500 CUBREX INT-EXT.BLCO. 14L</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</si>
  <si>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</si>
  <si>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</si>
  <si>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</si>
  <si>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</si>
  <si>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</si>
  <si>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</si>
  <si>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</si>
  <si>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</si>
  <si>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</si>
  <si>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</si>
  <si>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</si>
  <si>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</si>
  <si>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</si>
  <si>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</si>
  <si>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</si>
  <si>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</si>
  <si>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</si>
  <si>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</si>
  <si>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</si>
  <si>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</si>
  <si>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</si>
  <si>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</si>
  <si>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</si>
  <si>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</si>
  <si>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</si>
  <si>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</si>
  <si>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</si>
  <si>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</si>
  <si>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</si>
  <si>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</si>
  <si>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</si>
  <si>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</si>
  <si>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</si>
  <si>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</si>
  <si>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</si>
  <si>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</si>
  <si>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</si>
  <si>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</si>
  <si>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</si>
  <si>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</si>
  <si>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PINT026</t>
  </si>
  <si>
    <t xml:space="preserve">PINT027</t>
  </si>
  <si>
    <t xml:space="preserve">Partida</t>
  </si>
  <si>
    <t xml:space="preserve">M2</t>
  </si>
  <si>
    <t xml:space="preserve">o FONDO SELLADOR/FIJADOR ACRÍLICO FIXOART DE D'ARTIC</t>
  </si>
  <si>
    <t xml:space="preserve">Fijador acrílico de gran penetración. Duro y resistente. Sella pinturas plásticas antiguas, de cal, temple y monocapas degradados con microfisuras. Ligero aumento del tono del soporte. Incrementa el rendimiento de los acabados con pinturas plásticas.</t>
  </si>
  <si>
    <t xml:space="preserve">ma-da-01031-G</t>
  </si>
  <si>
    <t xml:space="preserve">Material</t>
  </si>
  <si>
    <t xml:space="preserve">envase</t>
  </si>
  <si>
    <t xml:space="preserve">Fijador/sellador acrílico penetrante y resistente al roce FIXOART de D’ARTIC (5 litros/envase).   Ref. da-01031-G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</si>
  <si>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</si>
  <si>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</si>
  <si>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</si>
  <si>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</si>
  <si>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</si>
  <si>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</si>
  <si>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</si>
  <si>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</si>
  <si>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</si>
  <si>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</si>
  <si>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</si>
  <si>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</si>
  <si>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</si>
  <si>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</si>
  <si>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</si>
  <si>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</si>
  <si>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</si>
  <si>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</si>
  <si>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</si>
  <si>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</si>
  <si>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PINT027</t>
  </si>
  <si>
    <t xml:space="preserve">PINT028</t>
  </si>
  <si>
    <t xml:space="preserve">Partida</t>
  </si>
  <si>
    <t xml:space="preserve">M2</t>
  </si>
  <si>
    <t xml:space="preserve">o FONDO SELLADOR/FIJADOR ACRÍLICO REVENTON</t>
  </si>
  <si>
    <t xml:space="preserve">Imprimación incolora al agua para consolidar y sellar superficies de obra nueva o deterioradas y repintable con pintura y esmalte al agua. Para el tratamiento de superficies porosas como yeso, mortero, hormigón, ladrillo. Interior/ Exterior.</t>
  </si>
  <si>
    <t xml:space="preserve">ma-dispival-imprimante.acrilico4</t>
  </si>
  <si>
    <t xml:space="preserve">Material</t>
  </si>
  <si>
    <t xml:space="preserve">envase</t>
  </si>
  <si>
    <t xml:space="preserve">Imprimación fijadora acrílica al agua para consolidar y sellar superficies de REVETÓN (4 litros/envase).   Ref. dispival-imprimante.acrilico4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</si>
  <si>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</si>
  <si>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</si>
  <si>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</si>
  <si>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</si>
  <si>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</si>
  <si>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</si>
  <si>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</si>
  <si>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</si>
  <si>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</si>
  <si>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</si>
  <si>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</si>
  <si>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</si>
  <si>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</si>
  <si>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</si>
  <si>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</si>
  <si>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</si>
  <si>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</si>
  <si>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</si>
  <si>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</si>
  <si>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</si>
  <si>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PINT028</t>
  </si>
  <si>
    <t xml:space="preserve">PINT029</t>
  </si>
  <si>
    <t xml:space="preserve">Partida</t>
  </si>
  <si>
    <t xml:space="preserve">M2</t>
  </si>
  <si>
    <t xml:space="preserve">o HIDROFUGANTE SIKAGARD 703W</t>
  </si>
  <si>
    <t xml:space="preserve">Hidrofugante Sikagard 703 W es una emulsión, lista para su uso, a base de silanos y siloxanos, que actúa como hidrofugante. Usos Se utiliza como impregnación para hidrofugar fachadas y proteger la edificiación frente a la penetración de agua. Se puede aplicar sobre hormigón, mortero, mampostería, ladrillo, piedra natural, fi brocemento, etc.</t>
  </si>
  <si>
    <t xml:space="preserve">ma-s.lucia-sikagard703w</t>
  </si>
  <si>
    <t xml:space="preserve">Material</t>
  </si>
  <si>
    <t xml:space="preserve">ud</t>
  </si>
  <si>
    <t xml:space="preserve">Hidrofugo SIKAGARD 703W 5L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</si>
  <si>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</si>
  <si>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</si>
  <si>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</si>
  <si>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</si>
  <si>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</si>
  <si>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</si>
  <si>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</si>
  <si>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</si>
  <si>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</si>
  <si>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</si>
  <si>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</si>
  <si>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</si>
  <si>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</si>
  <si>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</si>
  <si>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</si>
  <si>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</si>
  <si>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</si>
  <si>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</si>
  <si>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</si>
  <si>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</si>
  <si>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PINT029</t>
  </si>
  <si>
    <t xml:space="preserve">PINT029.1</t>
  </si>
  <si>
    <t xml:space="preserve">Partida</t>
  </si>
  <si>
    <t xml:space="preserve">M2</t>
  </si>
  <si>
    <t xml:space="preserve">o HIDROFUGANTE SIKAGARD 790 ALL IN ONE PROTECT</t>
  </si>
  <si>
    <t xml:space="preserve">EEE</t>
  </si>
  <si>
    <t xml:space="preserve">ma-manau-528508</t>
  </si>
  <si>
    <t xml:space="preserve">Material</t>
  </si>
  <si>
    <t xml:space="preserve">u</t>
  </si>
  <si>
    <t xml:space="preserve">Sikagard 790 All in one Protect 5 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</si>
  <si>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</si>
  <si>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</si>
  <si>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</si>
  <si>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</si>
  <si>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</si>
  <si>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</si>
  <si>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</si>
  <si>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</si>
  <si>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</si>
  <si>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</si>
  <si>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</si>
  <si>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</si>
  <si>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</si>
  <si>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</si>
  <si>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</si>
  <si>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</si>
  <si>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</si>
  <si>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</si>
  <si>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</si>
  <si>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</si>
  <si>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PINT029.1</t>
  </si>
  <si>
    <t xml:space="preserve">PINT030</t>
  </si>
  <si>
    <t xml:space="preserve">Partida</t>
  </si>
  <si>
    <t xml:space="preserve">M2</t>
  </si>
  <si>
    <t xml:space="preserve">o HIDROFUGANTE  ANTIPLUVIOL W DE MAPEI</t>
  </si>
  <si>
    <t xml:space="preserve">Hidrofugante ANTIPLUVIOL W DE MAPEI para Protección incolora de revoques cementosos, hormigón celular, ladrillos cara vista, piedras naturales y artificiales contra la acción de la lluvia intensa. Es una dispersión lechosa a base de silanos y siloxanos en emulsión acuosa, caracterizada por una elevada capacidad para impregnar todos los materiales minerales absorbentes utilizados en la construcción volviéndolos hidrorrepelentes.</t>
  </si>
  <si>
    <t xml:space="preserve">ma-lp-00540897</t>
  </si>
  <si>
    <t xml:space="preserve">Material</t>
  </si>
  <si>
    <t xml:space="preserve">envase</t>
  </si>
  <si>
    <t xml:space="preserve">Hidro-repelente silicónico ANTIPLUVIOL W de MAPEI; transparente (10 kg/envase).   Ref. lp-00540897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</si>
  <si>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</si>
  <si>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</si>
  <si>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</si>
  <si>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</si>
  <si>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</si>
  <si>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</si>
  <si>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</si>
  <si>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</si>
  <si>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</si>
  <si>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</si>
  <si>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</si>
  <si>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</si>
  <si>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</si>
  <si>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</si>
  <si>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</si>
  <si>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</si>
  <si>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</si>
  <si>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</si>
  <si>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</si>
  <si>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</si>
  <si>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PINT030</t>
  </si>
  <si>
    <t xml:space="preserve">PINT030TV</t>
  </si>
  <si>
    <t xml:space="preserve">Partida</t>
  </si>
  <si>
    <t xml:space="preserve">M2</t>
  </si>
  <si>
    <t xml:space="preserve">o HIDROFUGANTE  ANTIPLUVIOL W DE MAPEI C/TRABAJOS VERTICALES</t>
  </si>
  <si>
    <t xml:space="preserve">Hidrofugante ANTIPLUVIOL W DE MAPEI para Protección incolora de revoques cementosos CON TRABAJOS VERTICALES, hormigón celular, ladrillos cara vista, piedras naturales y artificiales contra la acción de la lluvia intensa. Es una dispersión lechosa a base de silanos y siloxanos en emulsión acuosa, caracterizada por una elevada capacidad para impregnar todos los materiales minerales absorbentes utilizados en la construcción volviéndolos hidrorrepelentes.</t>
  </si>
  <si>
    <t xml:space="preserve">ma-lp-00540897</t>
  </si>
  <si>
    <t xml:space="preserve">Material</t>
  </si>
  <si>
    <t xml:space="preserve">envase</t>
  </si>
  <si>
    <t xml:space="preserve">Hidro-repelente silicónico ANTIPLUVIOL W de MAPEI; transparente (10 kg/envase).   Ref. lp-00540897</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</si>
  <si>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</si>
  <si>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</si>
  <si>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</si>
  <si>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</si>
  <si>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</si>
  <si>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</si>
  <si>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</si>
  <si>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</si>
  <si>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</si>
  <si>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</si>
  <si>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</si>
  <si>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</si>
  <si>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</si>
  <si>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</si>
  <si>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</si>
  <si>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</si>
  <si>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</si>
  <si>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</si>
  <si>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</si>
  <si>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</si>
  <si>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PINT030TV</t>
  </si>
  <si>
    <t xml:space="preserve">PINT031</t>
  </si>
  <si>
    <t xml:space="preserve">Partida</t>
  </si>
  <si>
    <t xml:space="preserve">M2</t>
  </si>
  <si>
    <t xml:space="preserve">o HIDROFUGANTE DITOSA</t>
  </si>
  <si>
    <t xml:space="preserve">Aplicación manual de una mano de impregnación hidrófuga incolora, para la protección del hormigón o mortero frente a la humedad, la intemperie y las heladas.</t>
  </si>
  <si>
    <t xml:space="preserve">ma-acnorte-SKU.ACNHX05</t>
  </si>
  <si>
    <t xml:space="preserve">Material</t>
  </si>
  <si>
    <t xml:space="preserve">envase</t>
  </si>
  <si>
    <t xml:space="preserve">Hidrofugante PREMIUM a base de Polialquilsiloxano HX-05 de DITOSA (5 litros/envase).   Ref. acnorte-SKU.ACNHX05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</si>
  <si>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</si>
  <si>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</si>
  <si>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</si>
  <si>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</si>
  <si>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</si>
  <si>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</si>
  <si>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</si>
  <si>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</si>
  <si>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</si>
  <si>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</si>
  <si>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</si>
  <si>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</si>
  <si>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</si>
  <si>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</si>
  <si>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</si>
  <si>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</si>
  <si>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</si>
  <si>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</si>
  <si>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</si>
  <si>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</si>
  <si>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PINT031</t>
  </si>
  <si>
    <t xml:space="preserve">PINT032</t>
  </si>
  <si>
    <t xml:space="preserve">Partida</t>
  </si>
  <si>
    <t xml:space="preserve">M2</t>
  </si>
  <si>
    <t xml:space="preserve">o HIDROFUGANTE Y ANTI-GRAFITI SIKAGARD 790</t>
  </si>
  <si>
    <t xml:space="preserve">Impregnación diseñada para la protección de todo tipo de soportes porosos minerales contra la penetración de líquidos en base agua y aceites, y para prevenir o reducir significativamente la tendencia a la aparición de manchas</t>
  </si>
  <si>
    <t xml:space="preserve">ma-obramat-25028586</t>
  </si>
  <si>
    <t xml:space="preserve">Material</t>
  </si>
  <si>
    <t xml:space="preserve">u</t>
  </si>
  <si>
    <t xml:space="preserve">IMPREGNACION SIKAGARD 790 de 5L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</si>
  <si>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</si>
  <si>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</si>
  <si>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</si>
  <si>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</si>
  <si>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</si>
  <si>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</si>
  <si>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</si>
  <si>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</si>
  <si>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</si>
  <si>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</si>
  <si>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</si>
  <si>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</si>
  <si>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</si>
  <si>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</si>
  <si>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</si>
  <si>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</si>
  <si>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</si>
  <si>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</si>
  <si>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</si>
  <si>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</si>
  <si>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PINT032</t>
  </si>
  <si>
    <t xml:space="preserve">PINT033</t>
  </si>
  <si>
    <t xml:space="preserve">Partida</t>
  </si>
  <si>
    <t xml:space="preserve">M2</t>
  </si>
  <si>
    <t xml:space="preserve">o PROTECCION ANTIGRAFITI PLX-WAX</t>
  </si>
  <si>
    <t xml:space="preserve">TRATAMIENTO ANTIGRAFITI</t>
  </si>
  <si>
    <t xml:space="preserve">ma-atebion-plx-wax</t>
  </si>
  <si>
    <t xml:space="preserve">Material</t>
  </si>
  <si>
    <t xml:space="preserve">l</t>
  </si>
  <si>
    <t xml:space="preserve">PROTECCIÓN PLX WAX</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</si>
  <si>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</si>
  <si>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</si>
  <si>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</si>
  <si>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</si>
  <si>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</si>
  <si>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</si>
  <si>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</si>
  <si>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</si>
  <si>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</si>
  <si>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</si>
  <si>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</si>
  <si>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</si>
  <si>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</si>
  <si>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</si>
  <si>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</si>
  <si>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</si>
  <si>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</si>
  <si>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</si>
  <si>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</si>
  <si>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</si>
  <si>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PINT033</t>
  </si>
  <si>
    <t xml:space="preserve">PINT034</t>
  </si>
  <si>
    <t xml:space="preserve">Partida</t>
  </si>
  <si>
    <t xml:space="preserve">M2</t>
  </si>
  <si>
    <t xml:space="preserve">o IMPRIMACION TODO TERRENO GRIS</t>
  </si>
  <si>
    <t xml:space="preserve">Imprimación al agua con TODO TERRENO de BEISSIER para pintar superficies difíciles.
Pintura polivalente para imprimar, proteger y pintar superficies difíciles, aplicable como puente de adherencia multisuperficie sobre metales, plásticos, maderas y cerámicas. Rendimiento Teórico aproximado de 10 a 12,5 m2/litro y por mano.
Imprimación TODO TERRENO de BEISSIER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
Extraordinaria adherencia sobre cualquier superficie. Autonivelante. Secado rápido sin marcas de brocha..</t>
  </si>
  <si>
    <t xml:space="preserve">ma-lp-00007331</t>
  </si>
  <si>
    <t xml:space="preserve">Material</t>
  </si>
  <si>
    <t xml:space="preserve">bote</t>
  </si>
  <si>
    <t xml:space="preserve">Imprimante TODO TERRENO de BEISSIER como puente de adherencia multisuperficie; color gris (2,5 litros/envase).   Ref. lp-00007331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</si>
  <si>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</si>
  <si>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</si>
  <si>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</si>
  <si>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</si>
  <si>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</si>
  <si>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</si>
  <si>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</si>
  <si>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</si>
  <si>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</si>
  <si>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</si>
  <si>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</si>
  <si>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</si>
  <si>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</si>
  <si>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</si>
  <si>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</si>
  <si>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</si>
  <si>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</si>
  <si>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</si>
  <si>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</si>
  <si>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</si>
  <si>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PINT034</t>
  </si>
  <si>
    <t xml:space="preserve">PINT034TV</t>
  </si>
  <si>
    <t xml:space="preserve">Partida</t>
  </si>
  <si>
    <t xml:space="preserve">M2</t>
  </si>
  <si>
    <t xml:space="preserve">o IMPRIMACION TODO TERRENO GRIS C/TRABAJOS VERTICALES</t>
  </si>
  <si>
    <t xml:space="preserve">Imprimación al agua con TODO TERRENO de BEISSIER para pintar superficies difíciles CON TRABAJOS VERTICALES.
Pintura polivalente para imprimar, proteger y pintar superficies difíciles, aplicable como puente de adherencia multisuperficie sobre metales, plásticos, maderas y cerámicas. Rendimiento Teórico aproximado de 10 a 12,5 m2/litro y por mano.
Imprimación TODO TERRENO de BEISSIER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
Extraordinaria adherencia sobre cualquier superficie. Autonivelante. Secado rápido sin marcas de brocha..</t>
  </si>
  <si>
    <t xml:space="preserve">ma-lp-00007331</t>
  </si>
  <si>
    <t xml:space="preserve">Material</t>
  </si>
  <si>
    <t xml:space="preserve">bote</t>
  </si>
  <si>
    <t xml:space="preserve">Imprimante TODO TERRENO de BEISSIER como puente de adherencia multisuperficie; color gris (2,5 litros/envase).   Ref. lp-00007331</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</si>
  <si>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</si>
  <si>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</si>
  <si>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</si>
  <si>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</si>
  <si>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</si>
  <si>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</si>
  <si>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</si>
  <si>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</si>
  <si>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</si>
  <si>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</si>
  <si>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</si>
  <si>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</si>
  <si>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</si>
  <si>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</si>
  <si>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</si>
  <si>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</si>
  <si>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</si>
  <si>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</si>
  <si>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</si>
  <si>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</si>
  <si>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PINT034TV</t>
  </si>
  <si>
    <t xml:space="preserve">PINT035</t>
  </si>
  <si>
    <t xml:space="preserve">Partida</t>
  </si>
  <si>
    <t xml:space="preserve">M2</t>
  </si>
  <si>
    <t xml:space="preserve">o IMPRIMACION TODO TERRENO AL AGUA BLANCO</t>
  </si>
  <si>
    <t xml:space="preserve">Imprimación todo terreno al agua de Beissier para pintar superficies difíciles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vidrioExtraordinaria adherencia sobre cualquier superficie.</t>
  </si>
  <si>
    <t xml:space="preserve">ma-lp-00007337</t>
  </si>
  <si>
    <t xml:space="preserve">Material</t>
  </si>
  <si>
    <t xml:space="preserve">u</t>
  </si>
  <si>
    <t xml:space="preserve">Imprimacion todo terreno al agua de 2L</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</si>
  <si>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</si>
  <si>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</si>
  <si>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</si>
  <si>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</si>
  <si>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</si>
  <si>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</si>
  <si>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</si>
  <si>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</si>
  <si>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</si>
  <si>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</si>
  <si>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</si>
  <si>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</si>
  <si>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</si>
  <si>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</si>
  <si>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</si>
  <si>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</si>
  <si>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</si>
  <si>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</si>
  <si>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</si>
  <si>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</si>
  <si>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PINT035</t>
  </si>
  <si>
    <t xml:space="preserve">PINT036</t>
  </si>
  <si>
    <t xml:space="preserve">Partida</t>
  </si>
  <si>
    <t xml:space="preserve">M2</t>
  </si>
  <si>
    <t xml:space="preserve">o IMPRIMACIÓN ANTIOXIDANTE BARPIMO</t>
  </si>
  <si>
    <t xml:space="preserve">Imprimación sintética antioxidante de Barpimo está indicada para protección y preparación anticorrosiva de superficies y estructuras de hierro y acero. Fácil de aplicar y gran poder de cubrición.</t>
  </si>
  <si>
    <t xml:space="preserve">ma-lp-00007314</t>
  </si>
  <si>
    <t xml:space="preserve">Material</t>
  </si>
  <si>
    <t xml:space="preserve">envase</t>
  </si>
  <si>
    <t xml:space="preserve">Imprimador antioxidante BARPIMO (4 litros/envase)   Ref. lp-00007314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</si>
  <si>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</si>
  <si>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</si>
  <si>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</si>
  <si>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</si>
  <si>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</si>
  <si>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</si>
  <si>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</si>
  <si>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</si>
  <si>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</si>
  <si>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</si>
  <si>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</si>
  <si>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</si>
  <si>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</si>
  <si>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</si>
  <si>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</si>
  <si>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</si>
  <si>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</si>
  <si>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</si>
  <si>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</si>
  <si>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</si>
  <si>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PINT036</t>
  </si>
  <si>
    <t xml:space="preserve">PINT037</t>
  </si>
  <si>
    <t xml:space="preserve">Partida</t>
  </si>
  <si>
    <t xml:space="preserve">M2</t>
  </si>
  <si>
    <t xml:space="preserve">o PINTURA EN BARANDILLA TITÁN OXICRON FORJA</t>
  </si>
  <si>
    <t xml:space="preserve">Aplicación manual en barandilla de dos manos de esmalte TITÁN OXICRON FORJA, a base de resinas alquídicas, color negro; previa aplicación de una mano de imprimación sintética antioxidante de secado rápido, a base de resinas alquídicas, color gris, acabado mate, sobre barandilla con entrepaño de barrotes, de acero.</t>
  </si>
  <si>
    <t xml:space="preserve">ma-lp-00007314</t>
  </si>
  <si>
    <t xml:space="preserve">Material</t>
  </si>
  <si>
    <t xml:space="preserve">envase</t>
  </si>
  <si>
    <t xml:space="preserve">Imprimador antioxidante BARPIMO (4 litros/envase)   Ref. lp-00007314</t>
  </si>
  <si>
    <t xml:space="preserve">ma-lp-00383509</t>
  </si>
  <si>
    <t xml:space="preserve">Material</t>
  </si>
  <si>
    <t xml:space="preserve">envase</t>
  </si>
  <si>
    <t xml:space="preserve">Esmalte antioxidante metálico de altos sólidos OXIRÓN FORJA de TITANLUX; color negro (4 litros/envase).   Ref. lp-00383509</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</si>
  <si>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</si>
  <si>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</si>
  <si>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</si>
  <si>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</si>
  <si>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</si>
  <si>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</si>
  <si>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</si>
  <si>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</si>
  <si>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</si>
  <si>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</si>
  <si>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</si>
  <si>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</si>
  <si>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</si>
  <si>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</si>
  <si>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</si>
  <si>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</si>
  <si>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</si>
  <si>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</si>
  <si>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</si>
  <si>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</si>
  <si>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</si>
  <si>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</si>
  <si>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</si>
  <si>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</si>
  <si>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PINT037</t>
  </si>
  <si>
    <t xml:space="preserve">PINT037TV</t>
  </si>
  <si>
    <t xml:space="preserve">Partida</t>
  </si>
  <si>
    <t xml:space="preserve">M2</t>
  </si>
  <si>
    <t xml:space="preserve">o PINTURA EN BARANDILLA TITÁN OXICRON FORJA C/TRABAJOS VERTICALES</t>
  </si>
  <si>
    <t xml:space="preserve">Aplicación manual en barandilla de dos manos de esmalte TITÁN OXICRON FORJA, CON TRABAJOS VERTICALES, a base de resinas alquídicas, color negro; previa aplicación de una mano de imprimación sintética antioxidante de secado rápido, a base de resinas alquídicas, color gris, acabado mate, sobre barandilla con entrepaño de barrotes, de acero.</t>
  </si>
  <si>
    <t xml:space="preserve">ma-lp-00007314</t>
  </si>
  <si>
    <t xml:space="preserve">Material</t>
  </si>
  <si>
    <t xml:space="preserve">envase</t>
  </si>
  <si>
    <t xml:space="preserve">Imprimador antioxidante BARPIMO (4 litros/envase)   Ref. lp-00007314</t>
  </si>
  <si>
    <t xml:space="preserve">ma-lp-00383509</t>
  </si>
  <si>
    <t xml:space="preserve">Material</t>
  </si>
  <si>
    <t xml:space="preserve">envase</t>
  </si>
  <si>
    <t xml:space="preserve">Esmalte antioxidante metálico de altos sólidos OXIRÓN FORJA de TITANLUX; color negro (4 litros/envase).   Ref. lp-00383509</t>
  </si>
  <si>
    <t xml:space="preserve">ma-lp-00539029</t>
  </si>
  <si>
    <t xml:space="preserve">Material</t>
  </si>
  <si>
    <t xml:space="preserve">envase</t>
  </si>
  <si>
    <t xml:space="preserve">Disolvente-Diluente Nitro BIGMAT (1 litro/envase)   Ref. lp-00539029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</si>
  <si>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</si>
  <si>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</si>
  <si>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</si>
  <si>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</si>
  <si>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</si>
  <si>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</si>
  <si>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</si>
  <si>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</si>
  <si>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</si>
  <si>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</si>
  <si>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</si>
  <si>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</si>
  <si>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</si>
  <si>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</si>
  <si>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</si>
  <si>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</si>
  <si>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</si>
  <si>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</si>
  <si>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</si>
  <si>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</si>
  <si>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PINT037TV</t>
  </si>
  <si>
    <t xml:space="preserve">PINT038</t>
  </si>
  <si>
    <t xml:space="preserve">Partida</t>
  </si>
  <si>
    <t xml:space="preserve">M2</t>
  </si>
  <si>
    <t xml:space="preserve">o PINTURA EN BARANDILLA PROCOFER PROCOLOR FORJA</t>
  </si>
  <si>
    <t xml:space="preserve">Aplicación manual en barandilla de dos manos de esmalte PROCOFER FORJA DE PROCOLOR, a base de resinas alquídicas, color negro; previa aplicación de una mano de imprimación sintética antioxidante de secado rápido, a base de resinas alquídicas, color gris, acabado mate, sobre barandilla con entrepaño de barrotes, de acero.</t>
  </si>
  <si>
    <t xml:space="preserve">ma-pinturasalejo-procofer.forja</t>
  </si>
  <si>
    <t xml:space="preserve">Material</t>
  </si>
  <si>
    <t xml:space="preserve">envase</t>
  </si>
  <si>
    <t xml:space="preserve">Esmalte antioxidante y decorativo PROCOFER EXPERT FORJA de PROCOLOR (2,5 litros/envase; gris y negro).   Ref. pinturasalejo-procofer.forja</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</si>
  <si>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</si>
  <si>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</si>
  <si>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</si>
  <si>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</si>
  <si>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</si>
  <si>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</si>
  <si>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</si>
  <si>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</si>
  <si>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</si>
  <si>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</si>
  <si>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</si>
  <si>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</si>
  <si>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</si>
  <si>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</si>
  <si>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</si>
  <si>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</si>
  <si>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</si>
  <si>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</si>
  <si>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</si>
  <si>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</si>
  <si>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</si>
  <si>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</si>
  <si>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</si>
  <si>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</si>
  <si>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PINT038</t>
  </si>
  <si>
    <t xml:space="preserve">PINT039</t>
  </si>
  <si>
    <t xml:space="preserve">Partida</t>
  </si>
  <si>
    <t xml:space="preserve">M2</t>
  </si>
  <si>
    <t xml:space="preserve">o PINTURA EN BARANDILLA KILATE PROCOLOR SATINADO</t>
  </si>
  <si>
    <t xml:space="preserve">Esmalte en barandilla LISO KILATE PROCOLOR SATINADO, sintético alquídico liso y acabado satinado de gran protección anticorrosiva. No hace falta realizar una imprimación antes de aplicar este esmalte y esta se realiza muy fácilmente. Sobre el hierro limpio u oxidado. Se puede utilizar tanto para superficies interiores y exteriores, de gran adherencia y dureza. Aplicable con rodillo, brocha y pistola.</t>
  </si>
  <si>
    <t xml:space="preserve">ma-colorsan-minio.titan-g</t>
  </si>
  <si>
    <t xml:space="preserve">Material</t>
  </si>
  <si>
    <t xml:space="preserve">envase</t>
  </si>
  <si>
    <t xml:space="preserve">Imprimante sintético graso para hierro y madera TITÁN de TITANLUX (4 litros/envase).   Ref. colorsan-minio.titan-g</t>
  </si>
  <si>
    <t xml:space="preserve">ma-pinturasalejo-kilate.satin.g</t>
  </si>
  <si>
    <t xml:space="preserve">Material</t>
  </si>
  <si>
    <t xml:space="preserve">envase</t>
  </si>
  <si>
    <t xml:space="preserve">Esmalte sintético de altos sólidos con acabado satinado KILATE de PROCOLOR (4 litros/envase).   Ref. pinturasalejo-kilate.satin.g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</si>
  <si>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</si>
  <si>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</si>
  <si>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</si>
  <si>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</si>
  <si>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</si>
  <si>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</si>
  <si>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</si>
  <si>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</si>
  <si>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</si>
  <si>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</si>
  <si>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</si>
  <si>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</si>
  <si>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</si>
  <si>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</si>
  <si>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</si>
  <si>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</si>
  <si>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</si>
  <si>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</si>
  <si>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</si>
  <si>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</si>
  <si>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PINT039</t>
  </si>
  <si>
    <t xml:space="preserve">PINT040</t>
  </si>
  <si>
    <t xml:space="preserve">Partida</t>
  </si>
  <si>
    <t xml:space="preserve">M2</t>
  </si>
  <si>
    <t xml:space="preserve">o PINTURA EN BARANDILLA LISO SATINADO VALENTINE</t>
  </si>
  <si>
    <t xml:space="preserve">Esmalte en barandilla LISO SATINADO VALENTINE, sintético alquídico liso y acabado satinado de gran protección anticorrosiva. No hace falta realizar una imprimación antes de aplicar este esmalte y esta se realiza muy fácilmente. Sobre el hierro limpio u oxidado. Se puede utilizar tanto para superficies interiores y exteriores, de gran adherencia y dureza. Aplicable con rodillo, brocha y pistola.</t>
  </si>
  <si>
    <t xml:space="preserve">ma-reyplast-D0601-0047.007</t>
  </si>
  <si>
    <t xml:space="preserve">Material</t>
  </si>
  <si>
    <t xml:space="preserve">envase</t>
  </si>
  <si>
    <t xml:space="preserve">Esmalte sintético alquídico DIRECTO AL METAL LISO SATINADO de VALENTINE D0601 (4 litros/envase).   Ref. reyplast-D0601-0047.007</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</si>
  <si>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</si>
  <si>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</si>
  <si>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</si>
  <si>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</si>
  <si>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</si>
  <si>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</si>
  <si>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</si>
  <si>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</si>
  <si>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</si>
  <si>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</si>
  <si>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</si>
  <si>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</si>
  <si>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</si>
  <si>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</si>
  <si>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</si>
  <si>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</si>
  <si>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</si>
  <si>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</si>
  <si>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</si>
  <si>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</si>
  <si>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</si>
  <si>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</si>
  <si>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</si>
  <si>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</si>
  <si>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PINT040</t>
  </si>
  <si>
    <t xml:space="preserve">PINT041</t>
  </si>
  <si>
    <t xml:space="preserve">Partida</t>
  </si>
  <si>
    <t xml:space="preserve">M</t>
  </si>
  <si>
    <t xml:space="preserve">o PINTURA EN PASAMANOS TITÁN OXICRON FORJA</t>
  </si>
  <si>
    <t xml:space="preserve">Aplicación manual en pasamanos de dos manos de esmalte TITÁN OXICRON FORJA, a base de resinas alquídicas, color negro; previa aplicación de una mano de imprimación sintética antioxidante de secado rápido, a base de resinas alquídicas, color gris, acabado mate, sobre barandilla con entrepaño de barrotes, de acero.</t>
  </si>
  <si>
    <t xml:space="preserve">ma-lp-00007314</t>
  </si>
  <si>
    <t xml:space="preserve">Material</t>
  </si>
  <si>
    <t xml:space="preserve">envase</t>
  </si>
  <si>
    <t xml:space="preserve">Imprimador antioxidante BARPIMO (4 litros/envase)   Ref. lp-00007314</t>
  </si>
  <si>
    <t xml:space="preserve">ma-lp-00383509</t>
  </si>
  <si>
    <t xml:space="preserve">Material</t>
  </si>
  <si>
    <t xml:space="preserve">envase</t>
  </si>
  <si>
    <t xml:space="preserve">Esmalte antioxidante metálico de altos sólidos OXIRÓN FORJA de TITANLUX; color negro (4 litros/envase).   Ref. lp-00383509</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</si>
  <si>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</si>
  <si>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</si>
  <si>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</si>
  <si>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</si>
  <si>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</si>
  <si>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</si>
  <si>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</si>
  <si>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</si>
  <si>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</si>
  <si>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</si>
  <si>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</si>
  <si>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</si>
  <si>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</si>
  <si>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</si>
  <si>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</si>
  <si>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</si>
  <si>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</si>
  <si>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</si>
  <si>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</si>
  <si>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</si>
  <si>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</si>
  <si>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</si>
  <si>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</si>
  <si>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</si>
  <si>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PINT041</t>
  </si>
  <si>
    <t xml:space="preserve">PINT042</t>
  </si>
  <si>
    <t xml:space="preserve">Partida</t>
  </si>
  <si>
    <t xml:space="preserve">M2</t>
  </si>
  <si>
    <t xml:space="preserve">o PINTURA ESMALTE AL AGUA CON POLIURETANO RUBBOL BL DE SIKKENS</t>
  </si>
  <si>
    <t xml:space="preserve">Pintura esmalte al agua RUBBOL BL SATURA (acabado satinado) es un esmalte en base agua con resina de poliuretano. Su formulación innovadora le confiere una dureza extrema y una excelente resistencia a los roces y la abrasión. De secado rápido, está especialmente formulado para facilitar su aplicación, dejando un tiempo suficientemente largo como para trabajar sin que se noten los retoques. USOS: Como capa de acabado, en combinación con RUBBOL BL PRIMER, sobre superficies de madera y hierro galvanizado para exterior. PVC, cemento y yeso para interiores. También se puede aplicar sobre antiguas capas de esmaltes sintéticos, limpias y lijadas.</t>
  </si>
  <si>
    <t xml:space="preserve">ma-pinturasalejo-rubbol.blprimer</t>
  </si>
  <si>
    <t xml:space="preserve">Material</t>
  </si>
  <si>
    <t xml:space="preserve">envase</t>
  </si>
  <si>
    <t xml:space="preserve">Imprimante multisuperficie al agua RUBBOL BL PRIMER de SIKKENS (2,5 litros/envase).   Ref. pinturasalejo-rubbol.blprimer</t>
  </si>
  <si>
    <t xml:space="preserve">ma-imcasa-rubbol.bl-satura</t>
  </si>
  <si>
    <t xml:space="preserve">Material</t>
  </si>
  <si>
    <t xml:space="preserve">envase</t>
  </si>
  <si>
    <t xml:space="preserve">Esmalte en base agua con resina de poliuretano RUBBOL BL SATURA de SIKKENS (2,5 litros/envase).   Ref. imcasa-rubbol.bl-satura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</si>
  <si>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</si>
  <si>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</si>
  <si>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</si>
  <si>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</si>
  <si>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</si>
  <si>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</si>
  <si>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</si>
  <si>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</si>
  <si>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</si>
  <si>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</si>
  <si>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</si>
  <si>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</si>
  <si>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</si>
  <si>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</si>
  <si>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</si>
  <si>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</si>
  <si>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</si>
  <si>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</si>
  <si>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</si>
  <si>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</si>
  <si>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PINT042</t>
  </si>
  <si>
    <t xml:space="preserve">PINT043</t>
  </si>
  <si>
    <t xml:space="preserve">Partida</t>
  </si>
  <si>
    <t xml:space="preserve">M2</t>
  </si>
  <si>
    <t xml:space="preserve">o PINTURA ESMALTE POLIURETANO ALIFÁTICO "2KR/ISAVAL" CON EQUIPO AIRLESS</t>
  </si>
  <si>
    <t xml:space="preserve">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t>
  </si>
  <si>
    <t xml:space="preserve">ma-lp-00007331</t>
  </si>
  <si>
    <t xml:space="preserve">Material</t>
  </si>
  <si>
    <t xml:space="preserve">bote</t>
  </si>
  <si>
    <t xml:space="preserve">Imprimante TODO TERRENO de BEISSIER como puente de adherencia multisuperficie; color gris (2,5 litros/envase).   Ref. lp-00007331</t>
  </si>
  <si>
    <t xml:space="preserve">ma-servicolor-801318</t>
  </si>
  <si>
    <t xml:space="preserve">Material</t>
  </si>
  <si>
    <t xml:space="preserve">pza</t>
  </si>
  <si>
    <t xml:space="preserve">Esmalte alifático 2kR + catalizador de ISAVAL; color blanco con acabado satinado (4 litros/envase).   Ref. servicolor-801318</t>
  </si>
  <si>
    <t xml:space="preserve">alquiler-airless-tq-01</t>
  </si>
  <si>
    <t xml:space="preserve">Maquinaria</t>
  </si>
  <si>
    <t xml:space="preserve">h</t>
  </si>
  <si>
    <t xml:space="preserve">Alquiler de Equipo Airless para Pintura.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</si>
  <si>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</si>
  <si>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</si>
  <si>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</si>
  <si>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</si>
  <si>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</si>
  <si>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</si>
  <si>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</si>
  <si>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</si>
  <si>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</si>
  <si>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</si>
  <si>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</si>
  <si>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</si>
  <si>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</si>
  <si>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</si>
  <si>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</si>
  <si>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</si>
  <si>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</si>
  <si>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</si>
  <si>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</si>
  <si>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</si>
  <si>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PINT043</t>
  </si>
  <si>
    <t xml:space="preserve">PINT044</t>
  </si>
  <si>
    <t xml:space="preserve">Partida</t>
  </si>
  <si>
    <t xml:space="preserve">M2</t>
  </si>
  <si>
    <t xml:space="preserve">o PINTURA ESMALTE POLIURETANO TITANLAK DE TITAN</t>
  </si>
  <si>
    <t xml:space="preserve">El esmalte de poliuretano TITANLAK de TITAN es sintético, satinado y está basado en tecnología de altos sólidos. Es especial para lacar y esmaltar. Es de fácil aplicación obteniendo acabados satinados de gran finura, suavidad al tacto e inmejorable aspecto lacado. Características: Se puede aplicar en exteriores e interiores. Alta resistencia y durabilidad. Muy lavable. Resistente a roces, rayados, jabones, manchas de licor, zumos, aceites, etc. Protege y embellece toda clase de superficies de madera y metálicas (muebles, estanterías, puertas, ventanas, radiadores, etc.). Hay que tener en cuenta que las superficies a pintar deben estar limpias, secas e imprimadas adecuadamente. Disponible en varios colores.</t>
  </si>
  <si>
    <t xml:space="preserve">ma-lp-00007331</t>
  </si>
  <si>
    <t xml:space="preserve">Material</t>
  </si>
  <si>
    <t xml:space="preserve">bote</t>
  </si>
  <si>
    <t xml:space="preserve">Imprimante TODO TERRENO de BEISSIER como puente de adherencia multisuperficie; color gris (2,5 litros/envase).   Ref. lp-00007331</t>
  </si>
  <si>
    <t xml:space="preserve">ma-bh-24148548-G</t>
  </si>
  <si>
    <t xml:space="preserve">Material</t>
  </si>
  <si>
    <t xml:space="preserve">envase</t>
  </si>
  <si>
    <t xml:space="preserve">Esmalte de poliuretano TITANLAK de TITAN; acabado satinado (4 litros/envase).   Ref. bh-24148548-G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</si>
  <si>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</si>
  <si>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</si>
  <si>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</si>
  <si>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</si>
  <si>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</si>
  <si>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</si>
  <si>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</si>
  <si>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</si>
  <si>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</si>
  <si>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</si>
  <si>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</si>
  <si>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</si>
  <si>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</si>
  <si>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</si>
  <si>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</si>
  <si>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</si>
  <si>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</si>
  <si>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</si>
  <si>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</si>
  <si>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</si>
  <si>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PINT044</t>
  </si>
  <si>
    <t xml:space="preserve">PINT045</t>
  </si>
  <si>
    <t xml:space="preserve">Partida</t>
  </si>
  <si>
    <t xml:space="preserve">M2</t>
  </si>
  <si>
    <t xml:space="preserve">o PINTURA ESMALTE POLIURETANO NOVOLACK DE EUROTEX</t>
  </si>
  <si>
    <t xml:space="preserve">NOVOLACK es un esmalte sintético de primera calidad sin pigmentos tóxicos, diseñado para la protección y decoración tanto de elementos exteriores como interiores. Posee una excelente cubrición y brochabilidad.
APLICACIONES:
* Por ser un esmalte sintético con acción antioxidante, y la protección y el aspecto de acabado, son factores que permiten el pintado directo sobre superficies de acero y en condiciones muy específicas.
* Es adecuado para proteger y decorar todo tipo de superficies metálicas, minerales o de madera como puertas, ventanas, paredes, muebles, mobiliario de jardín, etc.., tanto en interiores como en exteriores.
* Apto para la protección y mantenimiento de maquinaria e instalaciones, tanto industriales como domésticas.
* Por su rápido secado y escasez de olor se puede emplear en lugares cuya ocupación haya de ser inmediata como centros hospitalarios, públicos, hosteleros.
* Producto listo al uso. No es necesario diluir, excepto cuando sea necesario por las condiciones de aplicación.</t>
  </si>
  <si>
    <t xml:space="preserve">ma-lp-00007331</t>
  </si>
  <si>
    <t xml:space="preserve">Material</t>
  </si>
  <si>
    <t xml:space="preserve">bote</t>
  </si>
  <si>
    <t xml:space="preserve">Imprimante TODO TERRENO de BEISSIER como puente de adherencia multisuperficie; color gris (2,5 litros/envase).   Ref. lp-00007331</t>
  </si>
  <si>
    <t xml:space="preserve">ma-epinturas-01</t>
  </si>
  <si>
    <t xml:space="preserve">Material</t>
  </si>
  <si>
    <t xml:space="preserve">envase</t>
  </si>
  <si>
    <t xml:space="preserve">Esmalte sintético con poliuretano NOVOLACK de EUROTEX (4 litros/envase).   Ref. epinturas-01</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</si>
  <si>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</si>
  <si>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</si>
  <si>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</si>
  <si>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</si>
  <si>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</si>
  <si>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</si>
  <si>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</si>
  <si>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</si>
  <si>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</si>
  <si>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</si>
  <si>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</si>
  <si>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</si>
  <si>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</si>
  <si>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</si>
  <si>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</si>
  <si>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</si>
  <si>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</si>
  <si>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</si>
  <si>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</si>
  <si>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</si>
  <si>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</si>
  <si>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</si>
  <si>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</si>
  <si>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</si>
  <si>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PINT045</t>
  </si>
  <si>
    <t xml:space="preserve">PINT046</t>
  </si>
  <si>
    <t xml:space="preserve">Partida</t>
  </si>
  <si>
    <t xml:space="preserve">M2</t>
  </si>
  <si>
    <t xml:space="preserve">o PINTURA ESMALTE POLIURETANO ALPLAC DE TOLLENS</t>
  </si>
  <si>
    <t xml:space="preserve">Esmalte-laca satinado a base de resinas de poliuretano con propiedades anticorrosivas, de altas prestaciones y secado rápido para interior y exterior. Al contener poliuretanos y ceras permite obtener acabados de tacto sedoso y excepcional resistencia a golpes y rayadas. APLICACIONES: En interior y exterior sobre todo tipo de superficies metálicas, madera, yeso, cemento. Yeso: Paredes techos de cocinas, baños, escaleras, etc. Madera: Carpintería de obra, muebles, bancos de jardín, embarcaciones, etc. Hierro: Muebles, puertas, rejas, estructuras, maquinaria agrícola, etc.</t>
  </si>
  <si>
    <t xml:space="preserve">ma-lp-00007331</t>
  </si>
  <si>
    <t xml:space="preserve">Material</t>
  </si>
  <si>
    <t xml:space="preserve">bote</t>
  </si>
  <si>
    <t xml:space="preserve">Imprimante TODO TERRENO de BEISSIER como puente de adherencia multisuperficie; color gris (2,5 litros/envase).   Ref. lp-00007331</t>
  </si>
  <si>
    <t xml:space="preserve">ma-lp-00564203</t>
  </si>
  <si>
    <t xml:space="preserve">Material</t>
  </si>
  <si>
    <t xml:space="preserve">envase</t>
  </si>
  <si>
    <t xml:space="preserve">Esmalte laca ALPLAC de TOLLENS con resinas de poliuretano (4 litros/envase).   Ref. lp-00564203</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</si>
  <si>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</si>
  <si>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</si>
  <si>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</si>
  <si>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</si>
  <si>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</si>
  <si>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</si>
  <si>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</si>
  <si>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</si>
  <si>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</si>
  <si>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</si>
  <si>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</si>
  <si>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</si>
  <si>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</si>
  <si>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</si>
  <si>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</si>
  <si>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</si>
  <si>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</si>
  <si>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</si>
  <si>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</si>
  <si>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</si>
  <si>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</si>
  <si>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</si>
  <si>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</si>
  <si>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</si>
  <si>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PINT046</t>
  </si>
  <si>
    <t xml:space="preserve">PINT047</t>
  </si>
  <si>
    <t xml:space="preserve">Partida</t>
  </si>
  <si>
    <t xml:space="preserve">M2</t>
  </si>
  <si>
    <t xml:space="preserve">o PUENTE DE UNION DE EPOXI Y ESMALTE POLIURETANO EN CHAPAS DE ALUMINIO</t>
  </si>
  <si>
    <t xml:space="preserve">Puente de unión de dos componentes a base de resina epoxi en paneles y chapas de aluminio fachada  y aplicación manual de dos manos de esmalte sintético en base de poliuretano de secado rápido, color RAL 7033.
FICHAS EN OBRA MONTURIOL</t>
  </si>
  <si>
    <t xml:space="preserve">EPOX2C</t>
  </si>
  <si>
    <t xml:space="preserve">Material</t>
  </si>
  <si>
    <t xml:space="preserve">l</t>
  </si>
  <si>
    <t xml:space="preserve">IMPR.IMPREX EPOXI-POLIAM. GRIS 2C. 4L IS</t>
  </si>
  <si>
    <t xml:space="preserve">POL4L</t>
  </si>
  <si>
    <t xml:space="preserve">Material</t>
  </si>
  <si>
    <t xml:space="preserve">l</t>
  </si>
  <si>
    <t xml:space="preserve">IS.ESM.PU.ALIF. *2KR DS* MATE -TR- 16LCOLOR 7033  +  CATALIZADOR ESM.2KR 3,2L ( p / 16L )</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</si>
  <si>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</si>
  <si>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</si>
  <si>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</si>
  <si>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</si>
  <si>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</si>
  <si>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</si>
  <si>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</si>
  <si>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</si>
  <si>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</si>
  <si>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</si>
  <si>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</si>
  <si>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</si>
  <si>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</si>
  <si>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</si>
  <si>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</si>
  <si>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</si>
  <si>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</si>
  <si>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</si>
  <si>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</si>
  <si>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</si>
  <si>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PINT047</t>
  </si>
  <si>
    <t xml:space="preserve">PINT048</t>
  </si>
  <si>
    <t xml:space="preserve">Partida</t>
  </si>
  <si>
    <t xml:space="preserve">M2</t>
  </si>
  <si>
    <t xml:space="preserve">o PINTURA ESMALTE ALIFÁTICO DE ISAVAL</t>
  </si>
  <si>
    <t xml:space="preserve">Esmalte poliuretano acrílico curado con isocianato alifático de elevada dureza y muy buena adherencia sobre gran variedad de superficies metálicas o no metálicas.
PROPIEDADES
• No amarillea.
• Excelente retención de color y brillo.
• Resistente a los nocivos efectos de la intemperie.
• Indicado para ambientes agresivos como son las zonas industriales y marinas.
• Alta opacidad y nivelación.
• Buena adherencia sobre soportes difíciles.
• Después de seco al tacto, horneando 20-30 minutos a 70-80º C se consigue un curado instantáneo.
• Aplicación en interior y exterior.
USOS: Pensado especialmente para el pintado de gran variedad de sustratos tanto metálicos (hierro, acero, galvanizado, latón, aluminio, etc.) como no metálicos (madera, hormigón, yeso, etc.) cuando se requiera un acabado de calidad y resistencia.</t>
  </si>
  <si>
    <t xml:space="preserve">ma-pp-s/c-01</t>
  </si>
  <si>
    <t xml:space="preserve">Material</t>
  </si>
  <si>
    <t xml:space="preserve">kit</t>
  </si>
  <si>
    <t xml:space="preserve">Imprimante epoxídico poliamida bicomponente IMPREX de ISAVAL (4 litros/envase + endurecedor 0,66 litros).   Ref.   pp-s/c-01</t>
  </si>
  <si>
    <t xml:space="preserve">ma-pp-s/c-08</t>
  </si>
  <si>
    <t xml:space="preserve">Material</t>
  </si>
  <si>
    <t xml:space="preserve">kit</t>
  </si>
  <si>
    <t xml:space="preserve">Esmalte alifático 2kR + catalizador de ISAVAL (4 litros/envase + catalizador 0,80 litros).   Ref. pp-s/c-08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</si>
  <si>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</si>
  <si>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</si>
  <si>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</si>
  <si>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</si>
  <si>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</si>
  <si>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</si>
  <si>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</si>
  <si>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</si>
  <si>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</si>
  <si>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</si>
  <si>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</si>
  <si>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</si>
  <si>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</si>
  <si>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</si>
  <si>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</si>
  <si>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</si>
  <si>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</si>
  <si>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</si>
  <si>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</si>
  <si>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</si>
  <si>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PINT048</t>
  </si>
  <si>
    <t xml:space="preserve">PINT049</t>
  </si>
  <si>
    <t xml:space="preserve">Partida</t>
  </si>
  <si>
    <t xml:space="preserve">M2</t>
  </si>
  <si>
    <t xml:space="preserve">o PINTURA MULTISUPERFICIE EN MADERA, METAL Y PVC</t>
  </si>
  <si>
    <t xml:space="preserve">Pintura multisuperficie en madera, metal y pvc; mediante uso de andamio tubular</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</si>
  <si>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</si>
  <si>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</si>
  <si>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</si>
  <si>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</si>
  <si>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</si>
  <si>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</si>
  <si>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</si>
  <si>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</si>
  <si>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</si>
  <si>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</si>
  <si>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</si>
  <si>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</si>
  <si>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</si>
  <si>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</si>
  <si>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</si>
  <si>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</si>
  <si>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</si>
  <si>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</si>
  <si>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</si>
  <si>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</si>
  <si>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</si>
  <si>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</si>
  <si>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</si>
  <si>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</si>
  <si>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PINT049</t>
  </si>
  <si>
    <t xml:space="preserve">PINT050</t>
  </si>
  <si>
    <t xml:space="preserve">Partida</t>
  </si>
  <si>
    <t xml:space="preserve">M</t>
  </si>
  <si>
    <t xml:space="preserve">o PINTURA MULTISUPERFICIE EN MADERA, METAL Y PVC DE h=30cm</t>
  </si>
  <si>
    <t xml:space="preserve">Pintura multisuperficie en madera, metal y pvc de 30cm de altura; mediante uso de andamio tubular</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</si>
  <si>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</si>
  <si>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</si>
  <si>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</si>
  <si>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</si>
  <si>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</si>
  <si>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</si>
  <si>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</si>
  <si>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</si>
  <si>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</si>
  <si>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</si>
  <si>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</si>
  <si>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</si>
  <si>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</si>
  <si>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</si>
  <si>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</si>
  <si>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</si>
  <si>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</si>
  <si>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</si>
  <si>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</si>
  <si>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</si>
  <si>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</si>
  <si>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</si>
  <si>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</si>
  <si>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</si>
  <si>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PINT050</t>
  </si>
  <si>
    <t xml:space="preserve">PINT051</t>
  </si>
  <si>
    <t xml:space="preserve">Partida</t>
  </si>
  <si>
    <t xml:space="preserve">M</t>
  </si>
  <si>
    <t xml:space="preserve">o PINTURA AL ESMALTE EN TUBERÍA METÁLICA Diámetro &lt;= 25 mm</t>
  </si>
  <si>
    <t xml:space="preserve">Aplicación manual de pintura para imprimar, proteger y pintar tuberia hasta 25mm de diametro, aplicable como puente de adherencia multisuperficie sobre metales y posterior mano de pintura esmalte.</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</si>
  <si>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</si>
  <si>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</si>
  <si>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</si>
  <si>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</si>
  <si>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</si>
  <si>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</si>
  <si>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</si>
  <si>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</si>
  <si>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</si>
  <si>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</si>
  <si>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</si>
  <si>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</si>
  <si>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</si>
  <si>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</si>
  <si>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</si>
  <si>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</si>
  <si>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</si>
  <si>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</si>
  <si>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</si>
  <si>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</si>
  <si>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</si>
  <si>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</si>
  <si>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</si>
  <si>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</si>
  <si>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</si>
  <si>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</si>
  <si>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</si>
  <si>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</si>
  <si>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PINT051</t>
  </si>
  <si>
    <t xml:space="preserve">PINT051TV</t>
  </si>
  <si>
    <t xml:space="preserve">Partida</t>
  </si>
  <si>
    <t xml:space="preserve">M</t>
  </si>
  <si>
    <t xml:space="preserve">o PINTURA AL ESMALTE EN TUBERÍA METÁLICA Diámetro &lt;= 25 mm C/TRABAJOS VERTICALES</t>
  </si>
  <si>
    <t xml:space="preserve">Aplicación manual CON TRABAJOS VERTICALES, de pintura para imprimar, proteger y pintar tuberia hasta 25mm de diametro, aplicable como puente de adherencia multisuperficie sobre metales y posterior mano de pintura esmalte.</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</si>
  <si>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</si>
  <si>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</si>
  <si>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</si>
  <si>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</si>
  <si>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</si>
  <si>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</si>
  <si>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</si>
  <si>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</si>
  <si>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</si>
  <si>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</si>
  <si>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</si>
  <si>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</si>
  <si>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</si>
  <si>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</si>
  <si>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</si>
  <si>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</si>
  <si>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</si>
  <si>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</si>
  <si>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</si>
  <si>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</si>
  <si>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</si>
  <si>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</si>
  <si>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</si>
  <si>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</si>
  <si>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</si>
  <si>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</si>
  <si>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</si>
  <si>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</si>
  <si>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PINT051TV</t>
  </si>
  <si>
    <t xml:space="preserve">PINT052</t>
  </si>
  <si>
    <t xml:space="preserve">Partida</t>
  </si>
  <si>
    <t xml:space="preserve">M</t>
  </si>
  <si>
    <t xml:space="preserve">o PINTURA AL ESMALTE EN PERFIL METÁLICO IPN10</t>
  </si>
  <si>
    <t xml:space="preserve">Pintura al esmalte en perfil metálico IPN10; mediante uso de andamio tubular</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</si>
  <si>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</si>
  <si>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</si>
  <si>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</si>
  <si>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</si>
  <si>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</si>
  <si>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</si>
  <si>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</si>
  <si>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</si>
  <si>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</si>
  <si>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</si>
  <si>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</si>
  <si>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</si>
  <si>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</si>
  <si>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</si>
  <si>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</si>
  <si>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</si>
  <si>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</si>
  <si>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</si>
  <si>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</si>
  <si>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</si>
  <si>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</si>
  <si>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</si>
  <si>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</si>
  <si>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</si>
  <si>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</si>
  <si>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</si>
  <si>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</si>
  <si>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</si>
  <si>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PINT052</t>
  </si>
  <si>
    <t xml:space="preserve">PINT052TV</t>
  </si>
  <si>
    <t xml:space="preserve">Partida</t>
  </si>
  <si>
    <t xml:space="preserve">M</t>
  </si>
  <si>
    <t xml:space="preserve">o PINTURA AL ESMALTE EN PERFIL METÁLICO IPN10 C/TRABAJOS VERTICALES</t>
  </si>
  <si>
    <t xml:space="preserve">Pintura al esmalte en perfil metálico IPN10; mediante Trabajos verticales</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</si>
  <si>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</si>
  <si>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</si>
  <si>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</si>
  <si>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</si>
  <si>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</si>
  <si>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</si>
  <si>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</si>
  <si>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</si>
  <si>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</si>
  <si>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</si>
  <si>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</si>
  <si>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</si>
  <si>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</si>
  <si>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</si>
  <si>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</si>
  <si>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</si>
  <si>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</si>
  <si>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</si>
  <si>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</si>
  <si>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</si>
  <si>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</si>
  <si>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</si>
  <si>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</si>
  <si>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</si>
  <si>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</si>
  <si>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</si>
  <si>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</si>
  <si>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</si>
  <si>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PINT052TV</t>
  </si>
  <si>
    <t xml:space="preserve">PINT053</t>
  </si>
  <si>
    <t xml:space="preserve">Partida</t>
  </si>
  <si>
    <t xml:space="preserve">M</t>
  </si>
  <si>
    <t xml:space="preserve">o PINTURA AL ESMALTE EN PERFIL METÁLICO IPN14</t>
  </si>
  <si>
    <t xml:space="preserve">Pintura al esmalte en perfil metálico IPN14; mediante uso de andamio tubular</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</si>
  <si>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</si>
  <si>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</si>
  <si>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</si>
  <si>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</si>
  <si>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</si>
  <si>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</si>
  <si>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</si>
  <si>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</si>
  <si>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</si>
  <si>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</si>
  <si>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</si>
  <si>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</si>
  <si>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</si>
  <si>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</si>
  <si>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</si>
  <si>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</si>
  <si>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</si>
  <si>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</si>
  <si>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</si>
  <si>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</si>
  <si>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</si>
  <si>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</si>
  <si>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</si>
  <si>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</si>
  <si>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</si>
  <si>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</si>
  <si>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</si>
  <si>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</si>
  <si>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PINT053</t>
  </si>
  <si>
    <t xml:space="preserve">PINT053TV</t>
  </si>
  <si>
    <t xml:space="preserve">Partida</t>
  </si>
  <si>
    <t xml:space="preserve">M</t>
  </si>
  <si>
    <t xml:space="preserve">o PINTURA AL ESMALTE EN PERFIL METÁLICO IPN14 C/TRABAJOS VERTICALES</t>
  </si>
  <si>
    <t xml:space="preserve">Pintura al esmalte en perfil metálico IPN14; mediante Trabajos verticales</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</si>
  <si>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</si>
  <si>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</si>
  <si>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</si>
  <si>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</si>
  <si>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</si>
  <si>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</si>
  <si>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</si>
  <si>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</si>
  <si>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</si>
  <si>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</si>
  <si>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</si>
  <si>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</si>
  <si>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</si>
  <si>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</si>
  <si>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</si>
  <si>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</si>
  <si>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</si>
  <si>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</si>
  <si>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</si>
  <si>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</si>
  <si>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</si>
  <si>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</si>
  <si>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</si>
  <si>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</si>
  <si>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</si>
  <si>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</si>
  <si>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</si>
  <si>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</si>
  <si>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PINT053TV</t>
  </si>
  <si>
    <t xml:space="preserve">PINT054</t>
  </si>
  <si>
    <t xml:space="preserve">Partida</t>
  </si>
  <si>
    <t xml:space="preserve">M2</t>
  </si>
  <si>
    <t xml:space="preserve">o PINTURA INTUMESCENTE EN ESTRUCTURA METALICA 90 minutos</t>
  </si>
  <si>
    <t xml:space="preserve">Protección pasiva contra incendios de estructura metálica, mediante la aplicación de tres manos de pintura intumescente para interior o exterior, Promapaint-SC4 "PROMAT", a base de copolímeros acrílicos en emulsión acuosa, color blanco, hasta formar un espesor  mínimo de película seca de 1620 micras y conseguir una resistencia al fuego de 90 minutos, según UNE-EN 13381-8. El precio no incluye la imprimación ni el revestimiento posterior.</t>
  </si>
  <si>
    <t xml:space="preserve">ma-pinturaslagun-X13</t>
  </si>
  <si>
    <t xml:space="preserve">Material</t>
  </si>
  <si>
    <t xml:space="preserve">envase</t>
  </si>
  <si>
    <t xml:space="preserve">Imprimante alquídico SX-130 de TITANTECH; color gris 7042 (4 litros/envase).   Ref. pinturaslagun-X13</t>
  </si>
  <si>
    <t xml:space="preserve">ma-leroym-89565281</t>
  </si>
  <si>
    <t xml:space="preserve">Material</t>
  </si>
  <si>
    <t xml:space="preserve">bidón</t>
  </si>
  <si>
    <t xml:space="preserve">Pintura intumescente al agua PROMAPAINT SC4 de PROMAT / 90 min metal y 120 hormigón (25 kg/bidón).   Ref. lm-89565281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</si>
  <si>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</si>
  <si>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</si>
  <si>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</si>
  <si>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</si>
  <si>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</si>
  <si>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</si>
  <si>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</si>
  <si>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</si>
  <si>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</si>
  <si>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</si>
  <si>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</si>
  <si>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</si>
  <si>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</si>
  <si>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</si>
  <si>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</si>
  <si>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</si>
  <si>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</si>
  <si>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</si>
  <si>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</si>
  <si>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</si>
  <si>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PINT054</t>
  </si>
  <si>
    <t xml:space="preserve">PINT054TV</t>
  </si>
  <si>
    <t xml:space="preserve">Partida</t>
  </si>
  <si>
    <t xml:space="preserve">M2</t>
  </si>
  <si>
    <t xml:space="preserve">o PINTURA INTUMESCENTE EN ESTRUCTURA METALICA 90 minutos C/TRABAJOS VERTICALES</t>
  </si>
  <si>
    <t xml:space="preserve">Protección pasiva contra incendios de estructura metálica CON TRABAJOS VERTICALES, mediante la aplicación de tres manos de pintura intumescente para interior o exterior, Promapaint-SC4 "PROMAT", a base de copolímeros acrílicos en emulsión acuosa, color blanco, hasta formar un espesor  mínimo de película seca de 1620 micras y conseguir una resistencia al fuego de 90 minutos, según UNE-EN 13381-8. El precio no incluye la imprimación ni el revestimiento posterior.</t>
  </si>
  <si>
    <t xml:space="preserve">ma-pinturaslagun-X13</t>
  </si>
  <si>
    <t xml:space="preserve">Material</t>
  </si>
  <si>
    <t xml:space="preserve">envase</t>
  </si>
  <si>
    <t xml:space="preserve">Imprimante alquídico SX-130 de TITANTECH; color gris 7042 (4 litros/envase).   Ref. pinturaslagun-X13</t>
  </si>
  <si>
    <t xml:space="preserve">ma-leroym-89565281</t>
  </si>
  <si>
    <t xml:space="preserve">Material</t>
  </si>
  <si>
    <t xml:space="preserve">bidón</t>
  </si>
  <si>
    <t xml:space="preserve">Pintura intumescente al agua PROMAPAINT SC4 de PROMAT / 90 min metal y 120 hormigón (25 kg/bidón).   Ref. lm-89565281</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</si>
  <si>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</si>
  <si>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</si>
  <si>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</si>
  <si>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</si>
  <si>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</si>
  <si>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</si>
  <si>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</si>
  <si>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</si>
  <si>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</si>
  <si>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</si>
  <si>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</si>
  <si>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</si>
  <si>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</si>
  <si>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</si>
  <si>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</si>
  <si>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</si>
  <si>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</si>
  <si>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</si>
  <si>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</si>
  <si>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</si>
  <si>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PINT054TV</t>
  </si>
  <si>
    <t xml:space="preserve">PINT055</t>
  </si>
  <si>
    <t xml:space="preserve">Partida</t>
  </si>
  <si>
    <t xml:space="preserve">M2</t>
  </si>
  <si>
    <t xml:space="preserve">o PINTURA INTUMESCENTE EN ESTRUCTURA HORMIGON 60 minutos</t>
  </si>
  <si>
    <t xml:space="preserve">Sistema de protección pasiva contra incendios de viga de hormigón, de 80 mm de dimensión mínima y 20 mm de distancia mínima  equivalente al eje, mediante la aplicación de dos manos de pintura intumescente para interior o exterior, Promapaint-SC4 "PROMAT", a  base de copolímeros acrílicos en emulsión acuosa, color blanco, hasta formar un espesor mínimo de película seca de 1100 micras y  conseguir una resistencia al fuego de 60 minutos, según UNE-EN 13381-3.</t>
  </si>
  <si>
    <t xml:space="preserve">ma-pinturaslagun-X13</t>
  </si>
  <si>
    <t xml:space="preserve">Material</t>
  </si>
  <si>
    <t xml:space="preserve">envase</t>
  </si>
  <si>
    <t xml:space="preserve">Imprimante alquídico SX-130 de TITANTECH; color gris 7042 (4 litros/envase).   Ref. pinturaslagun-X13</t>
  </si>
  <si>
    <t xml:space="preserve">ma-leroym-89565281</t>
  </si>
  <si>
    <t xml:space="preserve">Material</t>
  </si>
  <si>
    <t xml:space="preserve">bidón</t>
  </si>
  <si>
    <t xml:space="preserve">Pintura intumescente al agua PROMAPAINT SC4 de PROMAT / 90 min metal y 120 hormigón (25 kg/bidón).   Ref. lm-89565281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</si>
  <si>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</si>
  <si>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</si>
  <si>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</si>
  <si>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</si>
  <si>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</si>
  <si>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</si>
  <si>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</si>
  <si>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</si>
  <si>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</si>
  <si>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</si>
  <si>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</si>
  <si>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</si>
  <si>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</si>
  <si>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</si>
  <si>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</si>
  <si>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</si>
  <si>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</si>
  <si>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</si>
  <si>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</si>
  <si>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</si>
  <si>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PINT055</t>
  </si>
  <si>
    <t xml:space="preserve">PINT055TV</t>
  </si>
  <si>
    <t xml:space="preserve">Partida</t>
  </si>
  <si>
    <t xml:space="preserve">M2</t>
  </si>
  <si>
    <t xml:space="preserve">o PINTURA INTUMESCENTE EN ESTRUCTURA HORMIGON 60 minutos C/TRABAJOS VERTICALES</t>
  </si>
  <si>
    <t xml:space="preserve">Sistema de protección pasiva contra incendios de viga de hormigón CON TRABAJOS VERTICALES, de 80 mm de dimensión mínima y 20 mm de distancia mínima  equivalente al eje, mediante la aplicación de dos manos de pintura intumescente para interior o exterior, Promapaint-SC4 "PROMAT", a  base de copolímeros acrílicos en emulsión acuosa, color blanco, hasta formar un espesor mínimo de película seca de 1100 micras y  conseguir una resistencia al fuego de 60 minutos, según UNE-EN 13381-3.</t>
  </si>
  <si>
    <t xml:space="preserve">ma-pinturaslagun-X13</t>
  </si>
  <si>
    <t xml:space="preserve">Material</t>
  </si>
  <si>
    <t xml:space="preserve">envase</t>
  </si>
  <si>
    <t xml:space="preserve">Imprimante alquídico SX-130 de TITANTECH; color gris 7042 (4 litros/envase).   Ref. pinturaslagun-X13</t>
  </si>
  <si>
    <t xml:space="preserve">ma-leroym-89565281</t>
  </si>
  <si>
    <t xml:space="preserve">Material</t>
  </si>
  <si>
    <t xml:space="preserve">bidón</t>
  </si>
  <si>
    <t xml:space="preserve">Pintura intumescente al agua PROMAPAINT SC4 de PROMAT / 90 min metal y 120 hormigón (25 kg/bidón).   Ref. lm-89565281</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</si>
  <si>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</si>
  <si>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</si>
  <si>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</si>
  <si>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</si>
  <si>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</si>
  <si>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</si>
  <si>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</si>
  <si>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</si>
  <si>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</si>
  <si>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</si>
  <si>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</si>
  <si>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</si>
  <si>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</si>
  <si>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</si>
  <si>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</si>
  <si>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</si>
  <si>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</si>
  <si>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</si>
  <si>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</si>
  <si>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</si>
  <si>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PINT055TV</t>
  </si>
  <si>
    <t xml:space="preserve">REVPINT05</t>
  </si>
  <si>
    <t xml:space="preserve">Partida</t>
  </si>
  <si>
    <t xml:space="preserve">M2</t>
  </si>
  <si>
    <t xml:space="preserve">XXXXXX PINTURA INTUMESCENTE 15MIN</t>
  </si>
  <si>
    <t xml:space="preserve">Protección pasiva contra incendios de estructura metálica, mediante la aplicación de pintura intumescente, en emulsión acuosa monocomponente, color blanco, acabado mate liso, hasta formar un espesor mínimo de película seca de 299 micras y conseguir una resistencia al fuego de 15 minutos.</t>
  </si>
  <si>
    <t xml:space="preserve">INTUMS1</t>
  </si>
  <si>
    <t xml:space="preserve">Material</t>
  </si>
  <si>
    <t xml:space="preserve">kg</t>
  </si>
  <si>
    <t xml:space="preserve">PROMAPAINT SC4 25KG</t>
  </si>
  <si>
    <t xml:space="preserve">m.o.1</t>
  </si>
  <si>
    <t xml:space="preserve">Mano de obra</t>
  </si>
  <si>
    <t xml:space="preserve">h</t>
  </si>
  <si>
    <t xml:space="preserve">Mano de Obra: 1 Oficial de 1ª, 1 Ayudante y 1/2 Ayudante</t>
  </si>
  <si>
    <t xml:space="preserve">REVPINT05</t>
  </si>
  <si>
    <t xml:space="preserve">REVPINT04</t>
  </si>
  <si>
    <t xml:space="preserve">Partida</t>
  </si>
  <si>
    <t xml:space="preserve">M2</t>
  </si>
  <si>
    <t xml:space="preserve">XXXXXX PINTURA INTUMESCENTE 30MIN</t>
  </si>
  <si>
    <t xml:space="preserve">Protección pasiva contra incendios de estructura metálica, mediante la aplicación de pintura intumescente, en emulsión acuosa monocomponente, color blanco, acabado mate liso, hasta formar un espesor mínimo de película seca de 637 micras y conseguir una resistencia al fuego de 30 minutos.</t>
  </si>
  <si>
    <t xml:space="preserve">INTUMS1</t>
  </si>
  <si>
    <t xml:space="preserve">Material</t>
  </si>
  <si>
    <t xml:space="preserve">kg</t>
  </si>
  <si>
    <t xml:space="preserve">PROMAPAINT SC4 25KG</t>
  </si>
  <si>
    <t xml:space="preserve">m.o.1</t>
  </si>
  <si>
    <t xml:space="preserve">Mano de obra</t>
  </si>
  <si>
    <t xml:space="preserve">h</t>
  </si>
  <si>
    <t xml:space="preserve">Mano de Obra: 1 Oficial de 1ª, 1 Ayudante y 1/2 Ayudante</t>
  </si>
  <si>
    <t xml:space="preserve">REVPINT04</t>
  </si>
  <si>
    <t xml:space="preserve">REVPINT-SILICATO.POTASIO-H-MS-1</t>
  </si>
  <si>
    <t xml:space="preserve">Partida</t>
  </si>
  <si>
    <t xml:space="preserve">m2</t>
  </si>
  <si>
    <t xml:space="preserve">XXXXXX PINTURA A BASE DE SILICATO POTÁSICO "SILVEL VELADURA SILICATO de ISAVAL" EN PARAMENTOS HORIZONTALES EXTERIORES Y MEDIANTE EL USO DE MEDIO SUSPENDIDO/COLGADO (FCH)</t>
  </si>
  <si>
    <t xml:space="preserve">PINTURA A BASE DE SILICATO POTÁSICO "SILVEL VELADURA SILICATO de ISAVAL" EN PARAMENTOS HORIZONTALES EXTERIORES Y MEDIANTE EL USO DE MEDIO SUSPENDIDO/COLGADO (FCH)</t>
  </si>
  <si>
    <t xml:space="preserve">ma-pp-8426106221507</t>
  </si>
  <si>
    <t xml:space="preserve">Material</t>
  </si>
  <si>
    <t xml:space="preserve">bidón</t>
  </si>
  <si>
    <t xml:space="preserve">Imprimante concentrado fijador diluyente a base de silicato SILTOP de ISAVAL (15 litros/bidón).   Ref. pp-8426106221507</t>
  </si>
  <si>
    <t xml:space="preserve">ma-pp-E8.15.55</t>
  </si>
  <si>
    <t xml:space="preserve">Material</t>
  </si>
  <si>
    <t xml:space="preserve">bidón</t>
  </si>
  <si>
    <t xml:space="preserve">Pintura a base de silicato potásico para obtener efectos “veladura” en exteriores e interiores SILVEL VELADURA SILICATO de ISAVAL; color A (15 litros/bidón).   Ref. pp-E8.15.55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</si>
  <si>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</si>
  <si>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</si>
  <si>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</si>
  <si>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</si>
  <si>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</si>
  <si>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</si>
  <si>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</si>
  <si>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</si>
  <si>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</si>
  <si>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</si>
  <si>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</si>
  <si>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</si>
  <si>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</si>
  <si>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</si>
  <si>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</si>
  <si>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</si>
  <si>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</si>
  <si>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</si>
  <si>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</si>
  <si>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</si>
  <si>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REVPINT-SILICATO.POTASIO-H-MS-1</t>
  </si>
  <si>
    <t xml:space="preserve">REVPINT-SILICATO.POTASIO-V-AT-1</t>
  </si>
  <si>
    <t xml:space="preserve">Partida</t>
  </si>
  <si>
    <t xml:space="preserve">m2</t>
  </si>
  <si>
    <t xml:space="preserve">XXXXXX PINTURA A BASE DE SILICATO POTÁSICO "SILVEL VELADURA SILICATO de ISAVAL" EN PARAMENTOS VERTICALES EXTERIORES Y MEDIANTE EL USO DE ANDAMIO TUBULAR (FCH)</t>
  </si>
  <si>
    <t xml:space="preserve">PINTURA A BASE DE SILICATO POTÁSICO "SILVEL VELADURA SILICATO de ISAVAL" EN PARAMENTOS VERTICALES EXTERIORES Y MEDIANTE EL USO DE ANDAMIO TUBULAR (FCH)</t>
  </si>
  <si>
    <t xml:space="preserve">ma-pp-8426106221507</t>
  </si>
  <si>
    <t xml:space="preserve">Material</t>
  </si>
  <si>
    <t xml:space="preserve">bidón</t>
  </si>
  <si>
    <t xml:space="preserve">Imprimante concentrado fijador diluyente a base de silicato SILTOP de ISAVAL (15 litros/bidón).   Ref. pp-8426106221507</t>
  </si>
  <si>
    <t xml:space="preserve">ma-pp-E8.15.55</t>
  </si>
  <si>
    <t xml:space="preserve">Material</t>
  </si>
  <si>
    <t xml:space="preserve">bidón</t>
  </si>
  <si>
    <t xml:space="preserve">Pintura a base de silicato potásico para obtener efectos “veladura” en exteriores e interiores SILVEL VELADURA SILICATO de ISAVAL; color A (15 litros/bidón).   Ref. pp-E8.15.55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</si>
  <si>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</si>
  <si>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</si>
  <si>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</si>
  <si>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</si>
  <si>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</si>
  <si>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</si>
  <si>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</si>
  <si>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</si>
  <si>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</si>
  <si>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</si>
  <si>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</si>
  <si>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</si>
  <si>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</si>
  <si>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</si>
  <si>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</si>
  <si>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</si>
  <si>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</si>
  <si>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</si>
  <si>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</si>
  <si>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</si>
  <si>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REVPINT-SILICATO.POTASIO-V-AT-1</t>
  </si>
  <si>
    <t xml:space="preserve">REVPINT-SILICATO.POTASIO-V-AT-2</t>
  </si>
  <si>
    <t xml:space="preserve">Partida</t>
  </si>
  <si>
    <t xml:space="preserve">m2</t>
  </si>
  <si>
    <t xml:space="preserve">XXXXXX PINTURA A BASE DE SILICATO POTÁSICO "KEIM RESTAURO-LASUR DE KEIM" EN PARAMENTOS VERTICALES EXTERIORES Y MEDIANTE EL USO DE ANDAMIO TUBULAR (FCH)</t>
  </si>
  <si>
    <t xml:space="preserve">PINTURA A BASE DE SILICATO POTÁSICO "KEIM RESTAURO-LASUR DE KEIM" EN PARAMENTOS VERTICALES EXTERIORES Y MEDIANTE EL USO DE ANDAMIO TUBULAR (FCH)</t>
  </si>
  <si>
    <t xml:space="preserve">ma-colorsan-02-B</t>
  </si>
  <si>
    <t xml:space="preserve">Material</t>
  </si>
  <si>
    <t xml:space="preserve">bidón</t>
  </si>
  <si>
    <t xml:space="preserve">Imprimante y diluyente KEIM RESTAURO-FIXATIV – ALTERMAT (20 litros/envase).   Ref. colorsan-02-B</t>
  </si>
  <si>
    <t xml:space="preserve">ma-colorsan-01-B</t>
  </si>
  <si>
    <t xml:space="preserve">Material</t>
  </si>
  <si>
    <t xml:space="preserve">bidón</t>
  </si>
  <si>
    <t xml:space="preserve">Pintura de capa fina a base de sol-silicato KEIM RESTAURO-LASUR (15 litros/bidón).   Ref. colorsan-01-B</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</si>
  <si>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</si>
  <si>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</si>
  <si>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</si>
  <si>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</si>
  <si>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</si>
  <si>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</si>
  <si>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</si>
  <si>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</si>
  <si>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</si>
  <si>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</si>
  <si>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</si>
  <si>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</si>
  <si>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</si>
  <si>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</si>
  <si>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</si>
  <si>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</si>
  <si>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</si>
  <si>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</si>
  <si>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</si>
  <si>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</si>
  <si>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REVPINT-SILICATO.POTASIO-V-AT-2</t>
  </si>
  <si>
    <t xml:space="preserve">REVPINT-SILICATO.POTASIO-V-MS-2</t>
  </si>
  <si>
    <t xml:space="preserve">Partida</t>
  </si>
  <si>
    <t xml:space="preserve">m2</t>
  </si>
  <si>
    <t xml:space="preserve">XXXXXX PINTURA A BASE DE SILICATO POTÁSICO "KEIM RESTAURO-LASUR DE KEIM" EN PARAMENTOS VERTICALES EXTERIORES Y MEDIANTE EL USO DE MEDIO SUSPENDIDO/COLGADO (FCH)</t>
  </si>
  <si>
    <t xml:space="preserve">PINTURA A BASE DE SILICATO POTÁSICO "KEIM RESTAURO-LASUR DE KEIM" EN PARAMENTOS VERTICALES EXTERIORES Y MEDIANTE EL USO DE MEDIO SUSPENDIDO/COLGADO (FCH)</t>
  </si>
  <si>
    <t xml:space="preserve">ma-colorsan-02-B</t>
  </si>
  <si>
    <t xml:space="preserve">Material</t>
  </si>
  <si>
    <t xml:space="preserve">bidón</t>
  </si>
  <si>
    <t xml:space="preserve">Imprimante y diluyente KEIM RESTAURO-FIXATIV – ALTERMAT (20 litros/envase).   Ref. colorsan-02-B</t>
  </si>
  <si>
    <t xml:space="preserve">ma-colorsan-01-B</t>
  </si>
  <si>
    <t xml:space="preserve">Material</t>
  </si>
  <si>
    <t xml:space="preserve">bidón</t>
  </si>
  <si>
    <t xml:space="preserve">Pintura de capa fina a base de sol-silicato KEIM RESTAURO-LASUR (15 litros/bidón).   Ref. colorsan-01-B</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</si>
  <si>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</si>
  <si>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</si>
  <si>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</si>
  <si>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</si>
  <si>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</si>
  <si>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</si>
  <si>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</si>
  <si>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</si>
  <si>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</si>
  <si>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</si>
  <si>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</si>
  <si>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</si>
  <si>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</si>
  <si>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</si>
  <si>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</si>
  <si>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</si>
  <si>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</si>
  <si>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</si>
  <si>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</si>
  <si>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</si>
  <si>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REVPINT-SILICATO.POTASIO-V-MS-2</t>
  </si>
  <si>
    <t xml:space="preserve">REVPINT-SOL.SILICATO-V-AT-01</t>
  </si>
  <si>
    <t xml:space="preserve">Partida</t>
  </si>
  <si>
    <t xml:space="preserve">m2</t>
  </si>
  <si>
    <t xml:space="preserve">XXXXXX PINTURA A BASE DE SOL-SILICATO "KEIM SOLTALIT" EN PARAMENTOS VERTICALES EXTERIORES MEDIANTE EL USO DE ANDAMIO TUBULAR (FCH)</t>
  </si>
  <si>
    <t xml:space="preserve">PINTURA A BASE DE SOL-SILICATO "KEIM SOLTALIT" EN PARAMENTOS VERTICALES EXTERIORES MEDIANTE EL USO DE ANDAMIO TUBULAR (FCH)</t>
  </si>
  <si>
    <t xml:space="preserve">ma-colorsan-04-B</t>
  </si>
  <si>
    <t xml:space="preserve">Material</t>
  </si>
  <si>
    <t xml:space="preserve">bidón</t>
  </si>
  <si>
    <t xml:space="preserve">Imprimante y diluyente al sol-silicato SOLDALIT-FIXATIV de KEIM (20 litros/bidón).   Ref. colorsan-04-B</t>
  </si>
  <si>
    <t xml:space="preserve">ma-colorsan-03-GC1aGC3-G</t>
  </si>
  <si>
    <t xml:space="preserve">Material</t>
  </si>
  <si>
    <t xml:space="preserve">envase</t>
  </si>
  <si>
    <t xml:space="preserve">Pintura de fachadas universal de sol-silicato SOLDALIT de KEIM; colores Grupos 1 a 3 (5 kg/envase).   Ref. colorsan-03-GC1aGC3-G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</si>
  <si>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</si>
  <si>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</si>
  <si>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</si>
  <si>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</si>
  <si>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</si>
  <si>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</si>
  <si>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</si>
  <si>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</si>
  <si>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</si>
  <si>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</si>
  <si>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</si>
  <si>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</si>
  <si>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</si>
  <si>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</si>
  <si>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</si>
  <si>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</si>
  <si>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</si>
  <si>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</si>
  <si>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</si>
  <si>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</si>
  <si>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REVPINT-SOL.SILICATO-V-AT-01</t>
  </si>
  <si>
    <t xml:space="preserve">REVPINT-SOL.SILICATO-V-MS-01</t>
  </si>
  <si>
    <t xml:space="preserve">Partida</t>
  </si>
  <si>
    <t xml:space="preserve">m2</t>
  </si>
  <si>
    <t xml:space="preserve">XXXXXX PINTURA A BASE DE SOL-SILICATO "KEIM SOLTALIT (COLOR)" EN PARAMENTOS VERTICALES EXTERIORES MEDIANTE EL USO DE MEDIO SUSPENDIDO/COLGADO (FCH)</t>
  </si>
  <si>
    <t xml:space="preserve">PINTURA A BASE DE SOL-SILICATO "KEIM SOLTALIT (COLOR)" EN PARAMENTOS VERTICALES EXTERIORES MEDIANTE EL USO DE MEDIO SUSPENDIDO/COLGADO (FCH)</t>
  </si>
  <si>
    <t xml:space="preserve">ma-colorsan-04-B</t>
  </si>
  <si>
    <t xml:space="preserve">Material</t>
  </si>
  <si>
    <t xml:space="preserve">bidón</t>
  </si>
  <si>
    <t xml:space="preserve">Imprimante y diluyente al sol-silicato SOLDALIT-FIXATIV de KEIM (20 litros/bidón).   Ref. colorsan-04-B</t>
  </si>
  <si>
    <t xml:space="preserve">ma-colorsan-03-GC1aGC3-G</t>
  </si>
  <si>
    <t xml:space="preserve">Material</t>
  </si>
  <si>
    <t xml:space="preserve">envase</t>
  </si>
  <si>
    <t xml:space="preserve">Pintura de fachadas universal de sol-silicato SOLDALIT de KEIM; colores Grupos 1 a 3 (5 kg/envase).   Ref. colorsan-03-GC1aGC3-G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</si>
  <si>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</si>
  <si>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</si>
  <si>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</si>
  <si>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</si>
  <si>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</si>
  <si>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</si>
  <si>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</si>
  <si>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</si>
  <si>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</si>
  <si>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</si>
  <si>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</si>
  <si>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</si>
  <si>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</si>
  <si>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</si>
  <si>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</si>
  <si>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</si>
  <si>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</si>
  <si>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</si>
  <si>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</si>
  <si>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</si>
  <si>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REVPINT-SOL.SILICATO-V-MS-01</t>
  </si>
  <si>
    <t xml:space="preserve">REVPINT-SOL.SILICATO-H-MS-01</t>
  </si>
  <si>
    <t xml:space="preserve">Partida</t>
  </si>
  <si>
    <t xml:space="preserve">m2</t>
  </si>
  <si>
    <t xml:space="preserve">XXXXXX PINTURA A BASE DE SOL-SILICATO "KEIM SOLTALIT (COLOR)" EN PARAMENTOS HORIZONTALES EXTERIORES MEDIANTE EL USO DE MEDIO SUSPENDIDO/COLGADO (FCH)</t>
  </si>
  <si>
    <t xml:space="preserve">PINTURA A BASE DE SOL-SILICATO "KEIM SOLTALIT (COLOR)" EN PARAMENTOS HORIZONTALES EXTERIORES MEDIANTE EL USO DE MEDIO SUSPENDIDO/COLGADO (FCH)</t>
  </si>
  <si>
    <t xml:space="preserve">ma-colorsan-04-B</t>
  </si>
  <si>
    <t xml:space="preserve">Material</t>
  </si>
  <si>
    <t xml:space="preserve">bidón</t>
  </si>
  <si>
    <t xml:space="preserve">Imprimante y diluyente al sol-silicato SOLDALIT-FIXATIV de KEIM (20 litros/bidón).   Ref. colorsan-04-B</t>
  </si>
  <si>
    <t xml:space="preserve">ma-colorsan-03-GC1aGC3-G</t>
  </si>
  <si>
    <t xml:space="preserve">Material</t>
  </si>
  <si>
    <t xml:space="preserve">envase</t>
  </si>
  <si>
    <t xml:space="preserve">Pintura de fachadas universal de sol-silicato SOLDALIT de KEIM; colores Grupos 1 a 3 (5 kg/envase).   Ref. colorsan-03-GC1aGC3-G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</si>
  <si>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</si>
  <si>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</si>
  <si>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</si>
  <si>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</si>
  <si>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</si>
  <si>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</si>
  <si>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</si>
  <si>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</si>
  <si>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</si>
  <si>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</si>
  <si>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</si>
  <si>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</si>
  <si>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</si>
  <si>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</si>
  <si>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</si>
  <si>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</si>
  <si>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</si>
  <si>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</si>
  <si>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</si>
  <si>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</si>
  <si>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REVPINT-SOL.SILICATO-H-MS-01</t>
  </si>
  <si>
    <t xml:space="preserve">REVPREP01-OK</t>
  </si>
  <si>
    <t xml:space="preserve">Partida</t>
  </si>
  <si>
    <t xml:space="preserve">M2</t>
  </si>
  <si>
    <t xml:space="preserve">XXXXXX DECAPADO DE PINTURA EXISTENTE</t>
  </si>
  <si>
    <t xml:space="preserve">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</si>
  <si>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</si>
  <si>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</si>
  <si>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</si>
  <si>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</si>
  <si>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</si>
  <si>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</si>
  <si>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</si>
  <si>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</si>
  <si>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</si>
  <si>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</si>
  <si>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</si>
  <si>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</si>
  <si>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</si>
  <si>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</si>
  <si>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</si>
  <si>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</si>
  <si>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</si>
  <si>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</si>
  <si>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</si>
  <si>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</si>
  <si>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</si>
  <si>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</si>
  <si>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</si>
  <si>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</si>
  <si>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</si>
  <si>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REVPREP01-OK</t>
  </si>
  <si>
    <t xml:space="preserve">REVPINT-TUB20a25-AT-02</t>
  </si>
  <si>
    <t xml:space="preserve">Partida</t>
  </si>
  <si>
    <t xml:space="preserve">m</t>
  </si>
  <si>
    <t xml:space="preserve">XXXXXX PINTURA AL ESMALTE EN TUBERÍA METÁLICA (20 mm &lt; Diámetro &lt;= 25 mm) CON ESMALTE SINTÉTICO DE ALTOS SÓLIDOS KILATE DE PROCOLOR ACABADO SATINADO; MEDIANTE USO DE ANDAMIO TUBULAR</t>
  </si>
  <si>
    <t xml:space="preserve">PINTURA AL ESMALTE EN TUBERÍA METÁLICA (20 mm &lt; Diámetro &lt;= 25 mm) CON ESMALTE SINTÉTICO DE ALTOS SÓLIDOS KILATE DE PROCOLOR ACABADO SATINADO; MEDIANTE USO DE ANDAMIO TUBULAR</t>
  </si>
  <si>
    <t xml:space="preserve">ma-colorsan-minio.titan-g</t>
  </si>
  <si>
    <t xml:space="preserve">Material</t>
  </si>
  <si>
    <t xml:space="preserve">envase</t>
  </si>
  <si>
    <t xml:space="preserve">Imprimante sintético graso para hierro y madera TITÁN de TITANLUX (4 litros/envase).   Ref. colorsan-minio.titan-g</t>
  </si>
  <si>
    <t xml:space="preserve">ma-pinturasalejo-kilate.satin.g</t>
  </si>
  <si>
    <t xml:space="preserve">Material</t>
  </si>
  <si>
    <t xml:space="preserve">envase</t>
  </si>
  <si>
    <t xml:space="preserve">Esmalte sintético de altos sólidos con acabado satinado KILATE de PROCOLOR (4 litros/envase).   Ref. pinturasalejo-kilate.satin.g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</si>
  <si>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</si>
  <si>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</si>
  <si>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</si>
  <si>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</si>
  <si>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</si>
  <si>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</si>
  <si>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</si>
  <si>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</si>
  <si>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</si>
  <si>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</si>
  <si>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</si>
  <si>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</si>
  <si>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</si>
  <si>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</si>
  <si>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</si>
  <si>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</si>
  <si>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</si>
  <si>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</si>
  <si>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</si>
  <si>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</si>
  <si>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REVPINT-TUB20a25-AT-02</t>
  </si>
  <si>
    <t xml:space="preserve">REVPINT-TUB20a25-MS-02</t>
  </si>
  <si>
    <t xml:space="preserve">Partida</t>
  </si>
  <si>
    <t xml:space="preserve">m</t>
  </si>
  <si>
    <t xml:space="preserve">XXXXXX PINTURA AL ESMALTE EN TUBERÍA METÁLICA (20 mm &lt; Diámetro &lt;= 25 mm) CON ESMALTE SINTÉTICO DE ALTOS SÓLIDOS KILATE DE PROCOLOR ACABADO SATINADO; MEDIANTE USO DE MEDIO SUSPENDIDO/COLGADO</t>
  </si>
  <si>
    <t xml:space="preserve">PINTURA AL ESMALTE EN TUBERÍA METÁLICA (20 mm &lt; Diámetro &lt;= 25 mm) CON ESMALTE SINTÉTICO DE ALTOS SÓLIDOS KILATE DE PROCOLOR ACABADO SATINADO; MEDIANTE USO DE MEDIO SUSPENDIDO/COLGADO</t>
  </si>
  <si>
    <t xml:space="preserve">ma-colorsan-minio.titan-g</t>
  </si>
  <si>
    <t xml:space="preserve">Material</t>
  </si>
  <si>
    <t xml:space="preserve">envase</t>
  </si>
  <si>
    <t xml:space="preserve">Imprimante sintético graso para hierro y madera TITÁN de TITANLUX (4 litros/envase).   Ref. colorsan-minio.titan-g</t>
  </si>
  <si>
    <t xml:space="preserve">ma-pinturasalejo-kilate.satin.g</t>
  </si>
  <si>
    <t xml:space="preserve">Material</t>
  </si>
  <si>
    <t xml:space="preserve">envase</t>
  </si>
  <si>
    <t xml:space="preserve">Esmalte sintético de altos sólidos con acabado satinado KILATE de PROCOLOR (4 litros/envase).   Ref. pinturasalejo-kilate.satin.g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</si>
  <si>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</si>
  <si>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</si>
  <si>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</si>
  <si>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</si>
  <si>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</si>
  <si>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</si>
  <si>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</si>
  <si>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</si>
  <si>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</si>
  <si>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</si>
  <si>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</si>
  <si>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</si>
  <si>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</si>
  <si>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</si>
  <si>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</si>
  <si>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</si>
  <si>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</si>
  <si>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</si>
  <si>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</si>
  <si>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</si>
  <si>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REVPINT-TUB20a25-MS-02</t>
  </si>
  <si>
    <t xml:space="preserve">REVPINT-MINERAL-HORMIGON-H-MS</t>
  </si>
  <si>
    <t xml:space="preserve">Partida</t>
  </si>
  <si>
    <t xml:space="preserve">m2</t>
  </si>
  <si>
    <t xml:space="preserve">XXXXXX PINTURA MINERAL AL MICROSILICATO PARA PROTECCIÓN DE PARAMENTOS HORIZONTALES DE HORMIGÓN; MEDIANTE EL USO DE MEDIO SUSPENDIDO/COLGADO</t>
  </si>
  <si>
    <t xml:space="preserve">PINTURA MINERAL AL MICROSILICATO PARA PROTECCIÓN DE PARAMENTOS HORIZONTALES DE HORMIGÓN; MEDIANTE EL USO DE MEDIO SUSPENDIDO/COLGADO</t>
  </si>
  <si>
    <t xml:space="preserve">ma-banoidea-K05816</t>
  </si>
  <si>
    <t xml:space="preserve">Material</t>
  </si>
  <si>
    <t xml:space="preserve">bidón</t>
  </si>
  <si>
    <t xml:space="preserve">Geopintura mineral para la protección decorativa del hormigón GEOLITE MICROSILICATO de KERAKOLL (14 litros/bidón).   Ref. banoidea-K05816</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</si>
  <si>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</si>
  <si>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</si>
  <si>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</si>
  <si>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</si>
  <si>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</si>
  <si>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</si>
  <si>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</si>
  <si>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</si>
  <si>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</si>
  <si>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</si>
  <si>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</si>
  <si>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</si>
  <si>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</si>
  <si>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</si>
  <si>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</si>
  <si>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</si>
  <si>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</si>
  <si>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</si>
  <si>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</si>
  <si>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</si>
  <si>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REVPINT-MINERAL-HORMIGON-H-MS</t>
  </si>
  <si>
    <t xml:space="preserve">REVPINT-MINERAL-HORMIGON-V-MS</t>
  </si>
  <si>
    <t xml:space="preserve">Partida</t>
  </si>
  <si>
    <t xml:space="preserve">m2</t>
  </si>
  <si>
    <t xml:space="preserve">XXXXXX PINTURA MINERAL AL MICROSILICATO PARA PROTECCIÓN DE PARAMENTOS VERTICALES DE HORMIGÓN; MEDIANTE EL USO DE MEDIO SUSPENDIDO/COLGADO</t>
  </si>
  <si>
    <t xml:space="preserve">PINTURA MINERAL AL MICROSILICATO PARA PROTECCIÓN DE PARAMENTOS VERTICALES DE HORMIGÓN; MEDIANTE EL USO DE MEDIO SUSPENDIDO/COLGADO</t>
  </si>
  <si>
    <t xml:space="preserve">ma-banoidea-K05816</t>
  </si>
  <si>
    <t xml:space="preserve">Material</t>
  </si>
  <si>
    <t xml:space="preserve">bidón</t>
  </si>
  <si>
    <t xml:space="preserve">Geopintura mineral para la protección decorativa del hormigón GEOLITE MICROSILICATO de KERAKOLL (14 litros/bidón).   Ref. banoidea-K05816</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</si>
  <si>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</si>
  <si>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</si>
  <si>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</si>
  <si>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</si>
  <si>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</si>
  <si>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</si>
  <si>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</si>
  <si>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</si>
  <si>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</si>
  <si>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</si>
  <si>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</si>
  <si>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</si>
  <si>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</si>
  <si>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</si>
  <si>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</si>
  <si>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</si>
  <si>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</si>
  <si>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</si>
  <si>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</si>
  <si>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</si>
  <si>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REVPINT-MINERAL-HORMIGON-V-MS</t>
  </si>
  <si>
    <t xml:space="preserve">PINT-SILICONADA.PROEXIL-H-AT</t>
  </si>
  <si>
    <t xml:space="preserve">Partida</t>
  </si>
  <si>
    <t xml:space="preserve">m2</t>
  </si>
  <si>
    <t xml:space="preserve">XXXXXX PINTURA ACRÍLICA SILICONADA "PROCOLOR/PROEXIL" EN PARAMENTOS HORIZONTALES (FCH)</t>
  </si>
  <si>
    <t xml:space="preserve">PINTURA ACRÍLICA SILICONADA "PROCOLOR/PROEXIL" EN PARAMENTOS HORIZONTALES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</si>
  <si>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</si>
  <si>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</si>
  <si>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</si>
  <si>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</si>
  <si>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ma-imcasa-01-B</t>
  </si>
  <si>
    <t xml:space="preserve">Material</t>
  </si>
  <si>
    <t xml:space="preserve">bidón</t>
  </si>
  <si>
    <t xml:space="preserve">Pintura acrílica siliconada PROEXIL LISO MATE de PROCOLOR (15 litros/bidón).   Ref. imcasa-01-B</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</si>
  <si>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</si>
  <si>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</si>
  <si>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</si>
  <si>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</si>
  <si>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</si>
  <si>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</si>
  <si>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</si>
  <si>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</si>
  <si>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</si>
  <si>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</si>
  <si>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</si>
  <si>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</si>
  <si>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</si>
  <si>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</si>
  <si>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</si>
  <si>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</si>
  <si>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</si>
  <si>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</si>
  <si>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</si>
  <si>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</si>
  <si>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PINT-SILICONADA.PROEXIL-H-AT</t>
  </si>
  <si>
    <t xml:space="preserve">REVPINT-ACRIL.SILICONADA-V-AT</t>
  </si>
  <si>
    <t xml:space="preserve">Partida</t>
  </si>
  <si>
    <t xml:space="preserve">m2</t>
  </si>
  <si>
    <t xml:space="preserve">XXXXXX PINTURA ACRÍLICA SILICONADA "PROCOLOR" EN PARAMENTOS VERTICALES (FCH)</t>
  </si>
  <si>
    <t xml:space="preserve">PINTURA ACRÍLICA SILICONADA "PROCOLOR" EN PARAMENTOS VERTICALES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</si>
  <si>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</si>
  <si>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</si>
  <si>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</si>
  <si>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</si>
  <si>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ma-imcasa-01-B</t>
  </si>
  <si>
    <t xml:space="preserve">Material</t>
  </si>
  <si>
    <t xml:space="preserve">bidón</t>
  </si>
  <si>
    <t xml:space="preserve">Pintura acrílica siliconada PROEXIL LISO MATE de PROCOLOR (15 litros/bidón).   Ref. imcasa-01-B</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</si>
  <si>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</si>
  <si>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</si>
  <si>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</si>
  <si>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</si>
  <si>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</si>
  <si>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</si>
  <si>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</si>
  <si>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</si>
  <si>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</si>
  <si>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</si>
  <si>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</si>
  <si>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</si>
  <si>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</si>
  <si>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</si>
  <si>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</si>
  <si>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</si>
  <si>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</si>
  <si>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</si>
  <si>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</si>
  <si>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</si>
  <si>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REVPINT-ACRIL.SILICONADA-V-AT</t>
  </si>
  <si>
    <t xml:space="preserve">REVPINT02</t>
  </si>
  <si>
    <t xml:space="preserve">Partida</t>
  </si>
  <si>
    <t xml:space="preserve">M2</t>
  </si>
  <si>
    <t xml:space="preserve">XXXXXX PINTURA AL PLIOLITE</t>
  </si>
  <si>
    <t xml:space="preserve">Pintado de paramentos con dos manos, a rodillo, incluye fijador de preparación y dos manos de pintura monocomponente al Pliolite color igual al existente o a determinar según indicaciones de la DF, permeable al vapor del agua y resistente a los rayos U.V. y a los factores atmosféricos.</t>
  </si>
  <si>
    <t xml:space="preserve">pntexte</t>
  </si>
  <si>
    <t xml:space="preserve">Material</t>
  </si>
  <si>
    <t xml:space="preserve">l</t>
  </si>
  <si>
    <t xml:space="preserve">pintura exterior pliolite</t>
  </si>
  <si>
    <t xml:space="preserve">ijpre</t>
  </si>
  <si>
    <t xml:space="preserve">Material</t>
  </si>
  <si>
    <t xml:space="preserve">l</t>
  </si>
  <si>
    <t xml:space="preserve">Imprimacion acrilica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</si>
  <si>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</si>
  <si>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</si>
  <si>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</si>
  <si>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</si>
  <si>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</si>
  <si>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</si>
  <si>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</si>
  <si>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</si>
  <si>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</si>
  <si>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</si>
  <si>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</si>
  <si>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</si>
  <si>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</si>
  <si>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</si>
  <si>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</si>
  <si>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</si>
  <si>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</si>
  <si>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REVPINT02</t>
  </si>
  <si>
    <t xml:space="preserve">REVPINT-PLIOLITE-V-MS-01</t>
  </si>
  <si>
    <t xml:space="preserve">Partida</t>
  </si>
  <si>
    <t xml:space="preserve">m2</t>
  </si>
  <si>
    <t xml:space="preserve">XXXXXX PINTURA ACRÍLICA A BASE DE RESINAS PLIOLITE EN PARAMENTOS HORIZONTALES EXTERIORES Y MEDIANTE EL USO DE MEDIO SUSPENDIDO/COLGADO (FCH)</t>
  </si>
  <si>
    <t xml:space="preserve">vvvvvvvvvvv</t>
  </si>
  <si>
    <t xml:space="preserve">ma-servicolor-700108-G</t>
  </si>
  <si>
    <t xml:space="preserve">Material</t>
  </si>
  <si>
    <t xml:space="preserve">envase</t>
  </si>
  <si>
    <t xml:space="preserve">Imprimante acrílico en solución fijador al disolvente FIXACRIL de ISAVAL (4 litros/envase).   Ref. servicolor-700108-G</t>
  </si>
  <si>
    <t xml:space="preserve">ma-pp-s/c-04-G</t>
  </si>
  <si>
    <t xml:space="preserve">Material</t>
  </si>
  <si>
    <t xml:space="preserve">envase</t>
  </si>
  <si>
    <t xml:space="preserve">Revestimiento acrílico a base de resinas Pliolite al disolvente PLIOVAL de ISAVAL; color blanco (4 litros/envase).   Ref.. pp-s/c-04-G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</si>
  <si>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</si>
  <si>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</si>
  <si>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</si>
  <si>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</si>
  <si>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</si>
  <si>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</si>
  <si>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</si>
  <si>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</si>
  <si>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</si>
  <si>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</si>
  <si>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</si>
  <si>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</si>
  <si>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</si>
  <si>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</si>
  <si>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</si>
  <si>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</si>
  <si>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</si>
  <si>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</si>
  <si>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</si>
  <si>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</si>
  <si>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REVPINT-PLIOLITE-V-MS-01</t>
  </si>
  <si>
    <t xml:space="preserve">REVPINT-PLIOLITE-H--AT-01</t>
  </si>
  <si>
    <t xml:space="preserve">Partida</t>
  </si>
  <si>
    <t xml:space="preserve">m2</t>
  </si>
  <si>
    <t xml:space="preserve">XXXXXX PINTURA ACRÍLICA A BASE DE RESINAS PLIOLITE EN PARAMENTOS HORIZONTALES EXTERIORES Y MEDIANTE EL USO DE ADAMIO TUBULAR (FCH)</t>
  </si>
  <si>
    <t xml:space="preserve">PINTURA ACRÍLICA A BASE DE RESINAS PLIOLITE EN PARAMENTOS HORIZONTALES EXTERIORES Y MEDIANTE EL USO DE ADAMIO TUBULAR (FCH)</t>
  </si>
  <si>
    <t xml:space="preserve">ma-servicolor-700108-G</t>
  </si>
  <si>
    <t xml:space="preserve">Material</t>
  </si>
  <si>
    <t xml:space="preserve">envase</t>
  </si>
  <si>
    <t xml:space="preserve">Imprimante acrílico en solución fijador al disolvente FIXACRIL de ISAVAL (4 litros/envase).   Ref. servicolor-700108-G</t>
  </si>
  <si>
    <t xml:space="preserve">ma-pp-s/c-04-G</t>
  </si>
  <si>
    <t xml:space="preserve">Material</t>
  </si>
  <si>
    <t xml:space="preserve">envase</t>
  </si>
  <si>
    <t xml:space="preserve">Revestimiento acrílico a base de resinas Pliolite al disolvente PLIOVAL de ISAVAL; color blanco (4 litros/envase).   Ref.. pp-s/c-04-G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</si>
  <si>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</si>
  <si>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</si>
  <si>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</si>
  <si>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</si>
  <si>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</si>
  <si>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</si>
  <si>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</si>
  <si>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</si>
  <si>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</si>
  <si>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</si>
  <si>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</si>
  <si>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</si>
  <si>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</si>
  <si>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</si>
  <si>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</si>
  <si>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</si>
  <si>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</si>
  <si>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</si>
  <si>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</si>
  <si>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</si>
  <si>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REVPINT-PLIOLITE-H--AT-01</t>
  </si>
  <si>
    <t xml:space="preserve">REVPINT-PLIOLITE-H-MS-01</t>
  </si>
  <si>
    <t xml:space="preserve">Partida</t>
  </si>
  <si>
    <t xml:space="preserve">m2</t>
  </si>
  <si>
    <t xml:space="preserve">XXXXXX PINTURA ACRÍLICA A BASE DE RESINAS PLIOLITE EN PARAMENTOS HORIZONTALES EXTERIORES Y MEDIANTE EL USO DE MEDIO SUSPENDIDO/COLGADO (FCH)</t>
  </si>
  <si>
    <t xml:space="preserve">PINTURA ACRÍLICA A BASE DE RESINAS PLIOLITE EN PARAMENTOS HORIZONTALES EXTERIORES Y MEDIANTE EL USO DE MEDIO SUSPENDIDO/COLGADO (FCH)</t>
  </si>
  <si>
    <t xml:space="preserve">ma-servicolor-700108-G</t>
  </si>
  <si>
    <t xml:space="preserve">Material</t>
  </si>
  <si>
    <t xml:space="preserve">envase</t>
  </si>
  <si>
    <t xml:space="preserve">Imprimante acrílico en solución fijador al disolvente FIXACRIL de ISAVAL (4 litros/envase).   Ref. servicolor-700108-G</t>
  </si>
  <si>
    <t xml:space="preserve">ma-pp-s/c-04-G</t>
  </si>
  <si>
    <t xml:space="preserve">Material</t>
  </si>
  <si>
    <t xml:space="preserve">envase</t>
  </si>
  <si>
    <t xml:space="preserve">Revestimiento acrílico a base de resinas Pliolite al disolvente PLIOVAL de ISAVAL; color blanco (4 litros/envase).   Ref.. pp-s/c-04-G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</si>
  <si>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</si>
  <si>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</si>
  <si>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</si>
  <si>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</si>
  <si>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</si>
  <si>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</si>
  <si>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</si>
  <si>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</si>
  <si>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</si>
  <si>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</si>
  <si>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</si>
  <si>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</si>
  <si>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</si>
  <si>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</si>
  <si>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</si>
  <si>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</si>
  <si>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</si>
  <si>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</si>
  <si>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</si>
  <si>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</si>
  <si>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REVPINT-PLIOLITE-H-MS-01</t>
  </si>
  <si>
    <t xml:space="preserve">REVPINT-01-MNR</t>
  </si>
  <si>
    <t xml:space="preserve">Partida</t>
  </si>
  <si>
    <t xml:space="preserve">m2</t>
  </si>
  <si>
    <t xml:space="preserve">XXXXXX PINTURA PLÁSTICA EN PARAMENTO DE FACHADA (FCH)</t>
  </si>
  <si>
    <t xml:space="preserve">PINTURA PLÁSTICA EN PARAMENTO DE FACHADA (FCH)</t>
  </si>
  <si>
    <t xml:space="preserve">ma-pp-0135001400SJ-G</t>
  </si>
  <si>
    <t xml:space="preserve">Material</t>
  </si>
  <si>
    <t xml:space="preserve">envase</t>
  </si>
  <si>
    <t xml:space="preserve">Imprimante Isacrílico emulsión selladora penetrante de ISAVAL (4 litros/envase).   Ref. pp-0135001400SJ-G</t>
  </si>
  <si>
    <t xml:space="preserve">ma-pp-0120100600ML-G</t>
  </si>
  <si>
    <t xml:space="preserve">Material</t>
  </si>
  <si>
    <t xml:space="preserve">envase</t>
  </si>
  <si>
    <t xml:space="preserve">Pintura plástica PALAS INTER FACHADAS; color blanco mate (5 litros/envase).   Ref. pp-s/c-01</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</si>
  <si>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</si>
  <si>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</si>
  <si>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</si>
  <si>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</si>
  <si>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</si>
  <si>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</si>
  <si>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</si>
  <si>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</si>
  <si>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</si>
  <si>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</si>
  <si>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</si>
  <si>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</si>
  <si>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</si>
  <si>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</si>
  <si>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</si>
  <si>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</si>
  <si>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</si>
  <si>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</si>
  <si>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</si>
  <si>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</si>
  <si>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REVPINT-01-MNR</t>
  </si>
  <si>
    <t xml:space="preserve">REVPINT03</t>
  </si>
  <si>
    <t xml:space="preserve">Partida</t>
  </si>
  <si>
    <t xml:space="preserve">M2</t>
  </si>
  <si>
    <t xml:space="preserve">XXXXXX PINTURA SILOXANICA</t>
  </si>
  <si>
    <t xml:space="preserve">Aplicación manual de dos manos de pintura de resina de silicona, color blanco, acabado mate, textura lisa; previa aplicación de una mano de imprimación reguladora de la absorción a base de copolímeros acrílicos y siloxanos en emulsión acuosa, sobre paramento exterior de mortero. El precio incluye la protección de los elementos del entorno que puedan verse afectados durante los trabajos y la resolución de puntos singulares.</t>
  </si>
  <si>
    <t xml:space="preserve">pntsilox</t>
  </si>
  <si>
    <t xml:space="preserve">Material</t>
  </si>
  <si>
    <t xml:space="preserve">l</t>
  </si>
  <si>
    <t xml:space="preserve">Pintura para exterior, a base de resinas de silicona y disolventes orgánicos</t>
  </si>
  <si>
    <t xml:space="preserve">impr2</t>
  </si>
  <si>
    <t xml:space="preserve">Material</t>
  </si>
  <si>
    <t xml:space="preserve">l</t>
  </si>
  <si>
    <t xml:space="preserve">Imprimación reguladora de la absorción a base de copolímeros acrílicos y</t>
  </si>
  <si>
    <t xml:space="preserve">m.o.1</t>
  </si>
  <si>
    <t xml:space="preserve">Mano de obra</t>
  </si>
  <si>
    <t xml:space="preserve">h</t>
  </si>
  <si>
    <t xml:space="preserve">Mano de Obra: 1 Oficial de 1ª, 1 Ayudante y 1/2 Ayudante</t>
  </si>
  <si>
    <t xml:space="preserve">REVPINT03</t>
  </si>
  <si>
    <t xml:space="preserve">REVPINT-ACRIL.POLISILOX-H-AT</t>
  </si>
  <si>
    <t xml:space="preserve">Partida</t>
  </si>
  <si>
    <t xml:space="preserve">m2</t>
  </si>
  <si>
    <t xml:space="preserve">XXXXXX PINTURA ACRÍLICA POLISILOXÁNICA EN PARAMENTOS HORIZONTALES DE FACHADAS CON PRODUCTO "RALPE"; MEDIANTE USO DE ANDAMIO TUBULAR</t>
  </si>
  <si>
    <t xml:space="preserve">PINTURA ACRÍLICA POLISILOXÁNICA EN PARAMENTOS HORIZONTALES DE FACHADAS CON PRODUCTO "RALPE"; MEDIANTE USO DE ANDAMIO TUBULAR</t>
  </si>
  <si>
    <t xml:space="preserve">ma-ralpe-SKU1065</t>
  </si>
  <si>
    <t xml:space="preserve">Material</t>
  </si>
  <si>
    <t xml:space="preserve">envase</t>
  </si>
  <si>
    <t xml:space="preserve">Imprimante incoloro a base de copolímeros acrílicos (4 litros/envase).   Ref. ralpe-SKU1065</t>
  </si>
  <si>
    <t xml:space="preserve">ma-ralpe-SKU1005</t>
  </si>
  <si>
    <t xml:space="preserve">Material</t>
  </si>
  <si>
    <t xml:space="preserve">envase</t>
  </si>
  <si>
    <t xml:space="preserve">Pintura acrílica exterior con polímeros de polisiloxano modificados HIDROCALPE de RALPE (4 litros/envase).   Ref. ralpe-SKU1005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</si>
  <si>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</si>
  <si>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</si>
  <si>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</si>
  <si>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</si>
  <si>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</si>
  <si>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</si>
  <si>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</si>
  <si>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</si>
  <si>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</si>
  <si>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</si>
  <si>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</si>
  <si>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</si>
  <si>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</si>
  <si>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</si>
  <si>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</si>
  <si>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</si>
  <si>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</si>
  <si>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</si>
  <si>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</si>
  <si>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</si>
  <si>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REVPINT-ACRIL.POLISILOX-H-AT</t>
  </si>
  <si>
    <t xml:space="preserve">REVPINT-ACRIL.POLISILOX-H-MS</t>
  </si>
  <si>
    <t xml:space="preserve">Partida</t>
  </si>
  <si>
    <t xml:space="preserve">m2</t>
  </si>
  <si>
    <t xml:space="preserve">XXXXXX PINTURA ACRÍLICA POLISILOXÁNICA EN PARAMENTOS HORIZONTALES DE FACHADAS CON PRODUCTO "RALPE"; MEDIANTE USO DE MEDIO SUSPENDIDO/COLGADO</t>
  </si>
  <si>
    <t xml:space="preserve">PINTURA ACRÍLICA POLISILOXÁNICA EN PARAMENTOS HORIZONTALES DE FACHADAS CON PRODUCTO "RALPE"; MEDIANTE USO DE MEDIO SUSPENDIDO/COLGADO</t>
  </si>
  <si>
    <t xml:space="preserve">ma-ralpe-SKU1065</t>
  </si>
  <si>
    <t xml:space="preserve">Material</t>
  </si>
  <si>
    <t xml:space="preserve">envase</t>
  </si>
  <si>
    <t xml:space="preserve">Imprimante incoloro a base de copolímeros acrílicos (4 litros/envase).   Ref. ralpe-SKU1065</t>
  </si>
  <si>
    <t xml:space="preserve">ma-ralpe-SKU1005</t>
  </si>
  <si>
    <t xml:space="preserve">Material</t>
  </si>
  <si>
    <t xml:space="preserve">envase</t>
  </si>
  <si>
    <t xml:space="preserve">Pintura acrílica exterior con polímeros de polisiloxano modificados HIDROCALPE de RALPE (4 litros/envase).   Ref. ralpe-SKU1005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</si>
  <si>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</si>
  <si>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</si>
  <si>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</si>
  <si>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</si>
  <si>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</si>
  <si>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</si>
  <si>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</si>
  <si>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</si>
  <si>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</si>
  <si>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</si>
  <si>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</si>
  <si>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</si>
  <si>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</si>
  <si>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</si>
  <si>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</si>
  <si>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</si>
  <si>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</si>
  <si>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</si>
  <si>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</si>
  <si>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</si>
  <si>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REVPINT-ACRIL.POLISILOX-H-MS</t>
  </si>
  <si>
    <t xml:space="preserve">REVPINT-ACRIL.POLISILOX-V-MS</t>
  </si>
  <si>
    <t xml:space="preserve">Partida</t>
  </si>
  <si>
    <t xml:space="preserve">m2</t>
  </si>
  <si>
    <t xml:space="preserve">XXXXXX PINTURA ACRÍLICA POLISILOXÁNICA EN PARAMENTOS VERTICALES DE FACHADAS CON PRODUCTO "RALPE"; MEDIANTE USO DE MEDIO SUSPENDIDO/COLGADO</t>
  </si>
  <si>
    <t xml:space="preserve">PINTURA ACRÍLICA POLISILOXÁNICA EN PARAMENTOS VERTICALES DE FACHADAS CON PRODUCTO "RALPE"; MEDIANTE USO DE MEDIO SUSPENDIDO/COLGADO</t>
  </si>
  <si>
    <t xml:space="preserve">ma-ralpe-SKU1065</t>
  </si>
  <si>
    <t xml:space="preserve">Material</t>
  </si>
  <si>
    <t xml:space="preserve">envase</t>
  </si>
  <si>
    <t xml:space="preserve">Imprimante incoloro a base de copolímeros acrílicos (4 litros/envase).   Ref. ralpe-SKU1065</t>
  </si>
  <si>
    <t xml:space="preserve">ma-ralpe-SKU1005</t>
  </si>
  <si>
    <t xml:space="preserve">Material</t>
  </si>
  <si>
    <t xml:space="preserve">envase</t>
  </si>
  <si>
    <t xml:space="preserve">Pintura acrílica exterior con polímeros de polisiloxano modificados HIDROCALPE de RALPE (4 litros/envase).   Ref. ralpe-SKU1005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</si>
  <si>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</si>
  <si>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</si>
  <si>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</si>
  <si>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</si>
  <si>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</si>
  <si>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</si>
  <si>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</si>
  <si>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</si>
  <si>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</si>
  <si>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</si>
  <si>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</si>
  <si>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</si>
  <si>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</si>
  <si>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</si>
  <si>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</si>
  <si>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</si>
  <si>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</si>
  <si>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</si>
  <si>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</si>
  <si>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</si>
  <si>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REVPINT-ACRIL.POLISILOX-V-MS</t>
  </si>
  <si>
    <t xml:space="preserve">PINT018XXX</t>
  </si>
  <si>
    <t xml:space="preserve">Partida</t>
  </si>
  <si>
    <t xml:space="preserve">m2</t>
  </si>
  <si>
    <t xml:space="preserve">XXXXXX PINTURA RUGOSA IMPERMEABLE 100% ACRILICA REVETON</t>
  </si>
  <si>
    <t xml:space="preserve">PINTURA RUGOSA IMPERMEABLE 100% ACRÍLICA EN PARAMENTO VERTICAL CON PRODUCTO "REVETÓN", MEDIANTE EL USO DE ANDAMIO TUBULAR</t>
  </si>
  <si>
    <t xml:space="preserve">ma-amodeco-reveton.imprim.acril</t>
  </si>
  <si>
    <t xml:space="preserve">Material</t>
  </si>
  <si>
    <t xml:space="preserve">bidón</t>
  </si>
  <si>
    <t xml:space="preserve">Imprimación acuosa fijadora acrílica COTEFILM de REVETÓN (15 litros/bidón).   Ref. amodeco-reveton.imprim.acril</t>
  </si>
  <si>
    <t xml:space="preserve">ma-amodeco-reveton.acrilico</t>
  </si>
  <si>
    <t xml:space="preserve">Material</t>
  </si>
  <si>
    <t xml:space="preserve">bidón</t>
  </si>
  <si>
    <t xml:space="preserve">Revestimiento rugoso impermeable 100% acrílico para fachadas exteriores de REVETÓN (15 litros/bidón).   Ref. amodeco-reveton.acrilico</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</si>
  <si>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</si>
  <si>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</si>
  <si>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</si>
  <si>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</si>
  <si>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</si>
  <si>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</si>
  <si>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</si>
  <si>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</si>
  <si>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</si>
  <si>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</si>
  <si>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</si>
  <si>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</si>
  <si>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</si>
  <si>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</si>
  <si>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</si>
  <si>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</si>
  <si>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</si>
  <si>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</si>
  <si>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</si>
  <si>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</si>
  <si>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PINT018XXX</t>
  </si>
  <si>
    <t xml:space="preserve">REVPINT-ACRIL.RUGOSO-H-MS-01</t>
  </si>
  <si>
    <t xml:space="preserve">Partida</t>
  </si>
  <si>
    <t xml:space="preserve">m2</t>
  </si>
  <si>
    <t xml:space="preserve">XXXXXX PINTURA RUGOSA IMPERMEABLE 100% ACRÍLICA REVETON</t>
  </si>
  <si>
    <t xml:space="preserve">PINTURA RUGOSA IMPERMEABLE 100% ACRÍLICA EN PARAMENTO HORIZONTAL CON PRODUCTO "REVETÓN", MEDIANTE EL USO DE MEDIO SUSPENDIDO/COLGADO</t>
  </si>
  <si>
    <t xml:space="preserve">ma-amodeco-reveton.imprim.acril</t>
  </si>
  <si>
    <t xml:space="preserve">Material</t>
  </si>
  <si>
    <t xml:space="preserve">bidón</t>
  </si>
  <si>
    <t xml:space="preserve">Imprimación acuosa fijadora acrílica COTEFILM de REVETÓN (15 litros/bidón).   Ref. amodeco-reveton.imprim.acril</t>
  </si>
  <si>
    <t xml:space="preserve">ma-amodeco-reveton.acrilico</t>
  </si>
  <si>
    <t xml:space="preserve">Material</t>
  </si>
  <si>
    <t xml:space="preserve">bidón</t>
  </si>
  <si>
    <t xml:space="preserve">Revestimiento rugoso impermeable 100% acrílico para fachadas exteriores de REVETÓN (15 litros/bidón).   Ref. amodeco-reveton.acrilico</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</si>
  <si>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</si>
  <si>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</si>
  <si>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</si>
  <si>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</si>
  <si>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</si>
  <si>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</si>
  <si>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</si>
  <si>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</si>
  <si>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</si>
  <si>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</si>
  <si>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</si>
  <si>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</si>
  <si>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</si>
  <si>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</si>
  <si>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</si>
  <si>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</si>
  <si>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</si>
  <si>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</si>
  <si>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</si>
  <si>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</si>
  <si>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REVPINT-ACRIL.RUGOSO-H-MS-01</t>
  </si>
  <si>
    <t xml:space="preserve">REVPINT-ACRIL.RUGOSO-H-AT-01</t>
  </si>
  <si>
    <t xml:space="preserve">Partida</t>
  </si>
  <si>
    <t xml:space="preserve">m2</t>
  </si>
  <si>
    <t xml:space="preserve">XXXXXX PINTURA RUGOSA IMPERMEABLE 100% ACRÍLICA REVETON</t>
  </si>
  <si>
    <t xml:space="preserve">PINTURA RUGOSA IMPERMEABLE 100% ACRÍLICA EN PARAMENTO HORIZONTAL CON PRODUCTO "REVETÓN", MEDIANTE EL USO DE ANDAMIO TUBULAR</t>
  </si>
  <si>
    <t xml:space="preserve">ma-amodeco-reveton.imprim.acril</t>
  </si>
  <si>
    <t xml:space="preserve">Material</t>
  </si>
  <si>
    <t xml:space="preserve">bidón</t>
  </si>
  <si>
    <t xml:space="preserve">Imprimación acuosa fijadora acrílica COTEFILM de REVETÓN (15 litros/bidón).   Ref. amodeco-reveton.imprim.acril</t>
  </si>
  <si>
    <t xml:space="preserve">ma-amodeco-reveton.acrilico</t>
  </si>
  <si>
    <t xml:space="preserve">Material</t>
  </si>
  <si>
    <t xml:space="preserve">bidón</t>
  </si>
  <si>
    <t xml:space="preserve">Revestimiento rugoso impermeable 100% acrílico para fachadas exteriores de REVETÓN (15 litros/bidón).   Ref. amodeco-reveton.acrilico</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</si>
  <si>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</si>
  <si>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</si>
  <si>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</si>
  <si>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</si>
  <si>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</si>
  <si>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</si>
  <si>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</si>
  <si>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</si>
  <si>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</si>
  <si>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</si>
  <si>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</si>
  <si>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</si>
  <si>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</si>
  <si>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</si>
  <si>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</si>
  <si>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</si>
  <si>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</si>
  <si>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</si>
  <si>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</si>
  <si>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</si>
  <si>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REVPINT-ACRIL.RUGOSO-H-AT-01</t>
  </si>
  <si>
    <t xml:space="preserve">REVPINT07</t>
  </si>
  <si>
    <t xml:space="preserve">Partida</t>
  </si>
  <si>
    <t xml:space="preserve">M2</t>
  </si>
  <si>
    <t xml:space="preserve">XXXXXX PINTURA ANTICARBONATACION SIKAGARD 670 W</t>
  </si>
  <si>
    <t xml:space="preserve">PINTURA ANTICARBONATACION SIKAGARD 670 W</t>
  </si>
  <si>
    <t xml:space="preserve">SIKAGARD670</t>
  </si>
  <si>
    <t xml:space="preserve">Material</t>
  </si>
  <si>
    <t xml:space="preserve">kg</t>
  </si>
  <si>
    <t xml:space="preserve">Sikagard-670 W Elastocolor</t>
  </si>
  <si>
    <t xml:space="preserve">m.o.1</t>
  </si>
  <si>
    <t xml:space="preserve">Mano de obra</t>
  </si>
  <si>
    <t xml:space="preserve">h</t>
  </si>
  <si>
    <t xml:space="preserve">Mano de Obra: 1 Oficial de 1ª, 1 Ayudante y 1/2 Ayudante</t>
  </si>
  <si>
    <t xml:space="preserve">REVPINT07</t>
  </si>
  <si>
    <t xml:space="preserve">REV00101</t>
  </si>
  <si>
    <t xml:space="preserve">Partida</t>
  </si>
  <si>
    <t xml:space="preserve">M2</t>
  </si>
  <si>
    <t xml:space="preserve">XXXXXX HIDROFUGANTE SILOXÁNICO, MEDIANTE EL USO DE ANDAMIO TUBULAR</t>
  </si>
  <si>
    <t xml:space="preserve">TRATAMIENTO A MANO DE PARAMENTOS VERTICALES CON HIDROFUGANTE SILOXÁNICO, MEDIANTE EL USO DE ANDAMIO TUBULAR</t>
  </si>
  <si>
    <t xml:space="preserve">ma-acnorte-SKU.ACNHX05</t>
  </si>
  <si>
    <t xml:space="preserve">Material</t>
  </si>
  <si>
    <t xml:space="preserve">envase</t>
  </si>
  <si>
    <t xml:space="preserve">Hidrofugante PREMIUM a base de Polialquilsiloxano HX-05 de DITOSA (5 litros/envase).   Ref. acnorte-SKU.ACNHX05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</si>
  <si>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</si>
  <si>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</si>
  <si>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</si>
  <si>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</si>
  <si>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</si>
  <si>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</si>
  <si>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</si>
  <si>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</si>
  <si>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</si>
  <si>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</si>
  <si>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</si>
  <si>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</si>
  <si>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</si>
  <si>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</si>
  <si>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</si>
  <si>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</si>
  <si>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</si>
  <si>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</si>
  <si>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</si>
  <si>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</si>
  <si>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REV00101</t>
  </si>
  <si>
    <t xml:space="preserve">PINT037777</t>
  </si>
  <si>
    <t xml:space="preserve">Partida</t>
  </si>
  <si>
    <t xml:space="preserve">m</t>
  </si>
  <si>
    <t xml:space="preserve">XXXXXX PINTURA AL ESMALTE EN BARANDILLA STD (TITÁN OXICRON FORJA); INCLUYE IMPRIMACIÓN (FCH)</t>
  </si>
  <si>
    <t xml:space="preserve">PINTURA AL ESMALTE EN BARANDILLA STANDARD (TITÁN OXICRON FORJA); INCLUYE IMPRIMACIÓN (FCH)</t>
  </si>
  <si>
    <t xml:space="preserve">ma-lp-00007314</t>
  </si>
  <si>
    <t xml:space="preserve">Material</t>
  </si>
  <si>
    <t xml:space="preserve">envase</t>
  </si>
  <si>
    <t xml:space="preserve">Imprimador antioxidante BARPIMO (4 litros/envase)   Ref. lp-00007314</t>
  </si>
  <si>
    <t xml:space="preserve">ma-lp-00383509</t>
  </si>
  <si>
    <t xml:space="preserve">Material</t>
  </si>
  <si>
    <t xml:space="preserve">envase</t>
  </si>
  <si>
    <t xml:space="preserve">Esmalte antioxidante metálico de altos sólidos OXIRÓN FORJA de TITANLUX; color negro (4 litros/envase).   Ref. lp-00383509</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</si>
  <si>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</si>
  <si>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</si>
  <si>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</si>
  <si>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</si>
  <si>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</si>
  <si>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</si>
  <si>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</si>
  <si>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</si>
  <si>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</si>
  <si>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</si>
  <si>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</si>
  <si>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</si>
  <si>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</si>
  <si>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</si>
  <si>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</si>
  <si>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</si>
  <si>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</si>
  <si>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</si>
  <si>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</si>
  <si>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</si>
  <si>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</si>
  <si>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</si>
  <si>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</si>
  <si>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</si>
  <si>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PINT037777</t>
  </si>
  <si>
    <t xml:space="preserve">REVPINT-ACRIL.ANTIFISURAS-H-AT</t>
  </si>
  <si>
    <t xml:space="preserve">Partida</t>
  </si>
  <si>
    <t xml:space="preserve">m2</t>
  </si>
  <si>
    <t xml:space="preserve">XXXXXX PINTURA ACRÍLICA ANTIFISURAS EN PARAMENTO HORIZONTAL CON PRODUCTO "MONTÓ"; MEDIANTE EL USO DE ANDAMIO TUBULAR</t>
  </si>
  <si>
    <t xml:space="preserve">PINTURA ACRÍLICA ANTIFISURAS EN PARAMENTO HORIZONTAL CON PRODUCTO "MONTÓ"; MEDIANTE EL USO DE ANDAMIO TUBULAR</t>
  </si>
  <si>
    <t xml:space="preserve">ma-malagasol-5023609004</t>
  </si>
  <si>
    <t xml:space="preserve">Material</t>
  </si>
  <si>
    <t xml:space="preserve">envase</t>
  </si>
  <si>
    <t xml:space="preserve">Imprimante fijador multiuso FIJAMONT de MONTÓ (4 litros/envase).   Ref. malagasol-5023609004</t>
  </si>
  <si>
    <t xml:space="preserve">ma-cuidadodelhogar-502983.103.12</t>
  </si>
  <si>
    <t xml:space="preserve">Material</t>
  </si>
  <si>
    <t xml:space="preserve">bidón</t>
  </si>
  <si>
    <t xml:space="preserve">Pintura acrílica OVALDINE FACHADAS ANTIFISURAS de MONTÓ; color blanco (12 litros/bidón).   Ref. cuidadodelhogar-502983.103.12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</si>
  <si>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</si>
  <si>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</si>
  <si>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</si>
  <si>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</si>
  <si>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</si>
  <si>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</si>
  <si>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</si>
  <si>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</si>
  <si>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</si>
  <si>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</si>
  <si>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</si>
  <si>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</si>
  <si>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</si>
  <si>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</si>
  <si>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</si>
  <si>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</si>
  <si>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</si>
  <si>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</si>
  <si>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</si>
  <si>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</si>
  <si>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REVPINT-ACRIL.ANTIFISURAS-H-AT</t>
  </si>
  <si>
    <t xml:space="preserve">REVPINT-ACRIL.ANTIFISURAS-H-MS</t>
  </si>
  <si>
    <t xml:space="preserve">Partida</t>
  </si>
  <si>
    <t xml:space="preserve">m2</t>
  </si>
  <si>
    <t xml:space="preserve">XXXXXX PINTURA ACRÍLICA ANTIFISURAS EN PARAMENTO HORIZONTAL CON PRODUCTO "MONTÓ"; MEDIANTE EL USO DE MEDIO SUSPENDIDO/COLGADO</t>
  </si>
  <si>
    <t xml:space="preserve">PINTURA ACRÍLICA ANTIFISURAS EN PARAMENTO HORIZONTAL CON PRODUCTO "MONTÓ"; MEDIANTE EL USO DE MEDIO SUSPENDIDO/COLGADO</t>
  </si>
  <si>
    <t xml:space="preserve">ma-malagasol-5023609004</t>
  </si>
  <si>
    <t xml:space="preserve">Material</t>
  </si>
  <si>
    <t xml:space="preserve">envase</t>
  </si>
  <si>
    <t xml:space="preserve">Imprimante fijador multiuso FIJAMONT de MONTÓ (4 litros/envase).   Ref. malagasol-5023609004</t>
  </si>
  <si>
    <t xml:space="preserve">ma-cuidadodelhogar-502983.103.12</t>
  </si>
  <si>
    <t xml:space="preserve">Material</t>
  </si>
  <si>
    <t xml:space="preserve">bidón</t>
  </si>
  <si>
    <t xml:space="preserve">Pintura acrílica OVALDINE FACHADAS ANTIFISURAS de MONTÓ; color blanco (12 litros/bidón).   Ref. cuidadodelhogar-502983.103.12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</si>
  <si>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</si>
  <si>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</si>
  <si>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</si>
  <si>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</si>
  <si>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</si>
  <si>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</si>
  <si>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</si>
  <si>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</si>
  <si>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</si>
  <si>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</si>
  <si>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</si>
  <si>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</si>
  <si>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</si>
  <si>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</si>
  <si>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</si>
  <si>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</si>
  <si>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</si>
  <si>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</si>
  <si>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</si>
  <si>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</si>
  <si>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REVPINT-ACRIL.ANTIFISURAS-H-MS</t>
  </si>
  <si>
    <t xml:space="preserve">REVPINT-ACRIL.ANTIFISURAS-V-MS</t>
  </si>
  <si>
    <t xml:space="preserve">Partida</t>
  </si>
  <si>
    <t xml:space="preserve">m2</t>
  </si>
  <si>
    <t xml:space="preserve">XXXXXX PINTURA ACRÍLICA ANTIFISURAS EN PARAMENTO VERTICAL CON PRODUCTO "MONTÓ"; MEDIANTE EL USO DE MEDIO SUSPENDIDO/COLGADO</t>
  </si>
  <si>
    <t xml:space="preserve">PINTURA ACRÍLICA ANTIFISURAS EN PARAMENTO VERTICAL CON PRODUCTO "MONTÓ"; MEDIANTE EL USO DE MEDIO SUSPENDIDO/COLGADO</t>
  </si>
  <si>
    <t xml:space="preserve">ma-malagasol-5023609004</t>
  </si>
  <si>
    <t xml:space="preserve">Material</t>
  </si>
  <si>
    <t xml:space="preserve">envase</t>
  </si>
  <si>
    <t xml:space="preserve">Imprimante fijador multiuso FIJAMONT de MONTÓ (4 litros/envase).   Ref. malagasol-5023609004</t>
  </si>
  <si>
    <t xml:space="preserve">ma-cuidadodelhogar-502983.103.12</t>
  </si>
  <si>
    <t xml:space="preserve">Material</t>
  </si>
  <si>
    <t xml:space="preserve">bidón</t>
  </si>
  <si>
    <t xml:space="preserve">Pintura acrílica OVALDINE FACHADAS ANTIFISURAS de MONTÓ; color blanco (12 litros/bidón).   Ref. cuidadodelhogar-502983.103.12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</si>
  <si>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</si>
  <si>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</si>
  <si>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</si>
  <si>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</si>
  <si>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</si>
  <si>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</si>
  <si>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</si>
  <si>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</si>
  <si>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</si>
  <si>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</si>
  <si>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</si>
  <si>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</si>
  <si>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</si>
  <si>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</si>
  <si>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</si>
  <si>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</si>
  <si>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</si>
  <si>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</si>
  <si>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</si>
  <si>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</si>
  <si>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REVPINT-ACRIL.ANTIFISURAS-V-MS</t>
  </si>
  <si>
    <t xml:space="preserve">REVPINT-ACRIL.RUGOSO-V-MS-01</t>
  </si>
  <si>
    <t xml:space="preserve">Partida</t>
  </si>
  <si>
    <t xml:space="preserve">m2</t>
  </si>
  <si>
    <t xml:space="preserve">XXXXXX PINTURA RUGOSA IMPERMEABLE 100% ACRÍLICA EN PARAMENTO VERTICAL CON PRODUCTO "REVETÓN", MEDIANTE EL USO DE MEDIO SUSPENDIDO/COLGADO</t>
  </si>
  <si>
    <t xml:space="preserve">PINTURA RUGOSA IMPERMEABLE 100% ACRÍLICA EN PARAMENTO VERTICAL CON PRODUCTO "REVETÓN", MEDIANTE EL USO DE MEDIO SUSPENDIDO/COLGADO</t>
  </si>
  <si>
    <t xml:space="preserve">ma-amodeco-reveton.imprim.acril</t>
  </si>
  <si>
    <t xml:space="preserve">Material</t>
  </si>
  <si>
    <t xml:space="preserve">bidón</t>
  </si>
  <si>
    <t xml:space="preserve">Imprimación acuosa fijadora acrílica COTEFILM de REVETÓN (15 litros/bidón).   Ref. amodeco-reveton.imprim.acril</t>
  </si>
  <si>
    <t xml:space="preserve">ma-amodeco-reveton.acrilico</t>
  </si>
  <si>
    <t xml:space="preserve">Material</t>
  </si>
  <si>
    <t xml:space="preserve">bidón</t>
  </si>
  <si>
    <t xml:space="preserve">Revestimiento rugoso impermeable 100% acrílico para fachadas exteriores de REVETÓN (15 litros/bidón).   Ref. amodeco-reveton.acrilico</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</si>
  <si>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</si>
  <si>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</si>
  <si>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</si>
  <si>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</si>
  <si>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</si>
  <si>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</si>
  <si>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</si>
  <si>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</si>
  <si>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</si>
  <si>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</si>
  <si>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</si>
  <si>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</si>
  <si>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</si>
  <si>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</si>
  <si>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</si>
  <si>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</si>
  <si>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</si>
  <si>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</si>
  <si>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</si>
  <si>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</si>
  <si>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REVPINT-ACRIL.RUGOSO-V-MS-01</t>
  </si>
  <si>
    <t xml:space="preserve">REVPINT04-MNR-H</t>
  </si>
  <si>
    <t xml:space="preserve">Partida</t>
  </si>
  <si>
    <t xml:space="preserve">m2</t>
  </si>
  <si>
    <t xml:space="preserve">XXXXXX PINTURA INTUMESCENTE EN PARAMENTOS HORIZONTALES (90 minutos); INCLUYE IMPRIMANTE ALQUÍDICO</t>
  </si>
  <si>
    <t xml:space="preserve">Pintura intumescente en paramentos horizontales (90 minutos); incluye imprimante alquídico</t>
  </si>
  <si>
    <t xml:space="preserve">ma-pinturaslagun-X13</t>
  </si>
  <si>
    <t xml:space="preserve">Material</t>
  </si>
  <si>
    <t xml:space="preserve">envase</t>
  </si>
  <si>
    <t xml:space="preserve">Imprimante alquídico SX-130 de TITANTECH; color gris 7042 (4 litros/envase).   Ref. pinturaslagun-X13</t>
  </si>
  <si>
    <t xml:space="preserve">ma-leroym-89565281</t>
  </si>
  <si>
    <t xml:space="preserve">Material</t>
  </si>
  <si>
    <t xml:space="preserve">bidón</t>
  </si>
  <si>
    <t xml:space="preserve">Pintura intumescente al agua PROMAPAINT SC4 de PROMAT / 90 min metal y 120 hormigón (25 kg/bidón).   Ref. lm-89565281</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</si>
  <si>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</si>
  <si>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</si>
  <si>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</si>
  <si>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</si>
  <si>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</si>
  <si>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</si>
  <si>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</si>
  <si>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</si>
  <si>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</si>
  <si>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</si>
  <si>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</si>
  <si>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</si>
  <si>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</si>
  <si>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</si>
  <si>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</si>
  <si>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</si>
  <si>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</si>
  <si>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</si>
  <si>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</si>
  <si>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</si>
  <si>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REVPINT04-MNR-H</t>
  </si>
  <si>
    <t xml:space="preserve">REVPINT08-MNR-M2-01</t>
  </si>
  <si>
    <t xml:space="preserve">Partida</t>
  </si>
  <si>
    <t xml:space="preserve">m2</t>
  </si>
  <si>
    <t xml:space="preserve">PINTURA AL BARNIZ POR M2 CON POLIURETANO</t>
  </si>
  <si>
    <t xml:space="preserve">PINTURA AL BARNIZ CON POLIURETANO</t>
  </si>
  <si>
    <t xml:space="preserve">ma-servicolor-690510-MG</t>
  </si>
  <si>
    <t xml:space="preserve">Material</t>
  </si>
  <si>
    <t xml:space="preserve">envase</t>
  </si>
  <si>
    <t xml:space="preserve">Fondo poliuretánico monocomponente en base acuosa XANOL TAPAPOROS de ISAVAL; acabado satinado (2,5 litros/envase).   Ref. servicolor-690510-MG</t>
  </si>
  <si>
    <t xml:space="preserve">ma-pp-s/c-06-G</t>
  </si>
  <si>
    <t xml:space="preserve">Material</t>
  </si>
  <si>
    <t xml:space="preserve">envase</t>
  </si>
  <si>
    <t xml:space="preserve">Barniz exterior sintético POLIURETANO TITÁN YATE; acabado brillante (4 litrosl/envase).   Ref. pp-s/c-06-G</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</si>
  <si>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</si>
  <si>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</si>
  <si>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</si>
  <si>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</si>
  <si>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</si>
  <si>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</si>
  <si>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</si>
  <si>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</si>
  <si>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</si>
  <si>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</si>
  <si>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</si>
  <si>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</si>
  <si>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</si>
  <si>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</si>
  <si>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</si>
  <si>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</si>
  <si>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</si>
  <si>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</si>
  <si>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</si>
  <si>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</si>
  <si>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</si>
  <si>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</si>
  <si>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</si>
  <si>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</si>
  <si>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REVPINT08-MNR-M2-01</t>
  </si>
  <si>
    <t xml:space="preserve">REVPINT08-MNR-ML-01</t>
  </si>
  <si>
    <t xml:space="preserve">Partida</t>
  </si>
  <si>
    <t xml:space="preserve">m</t>
  </si>
  <si>
    <t xml:space="preserve">PINTURA AL BARNIZ POR ML CON POLIURETANO</t>
  </si>
  <si>
    <t xml:space="preserve">PINTURA AL BARNIZ POR ML CON POLIURETANO</t>
  </si>
  <si>
    <t xml:space="preserve">ma-servicolor-690510-MG</t>
  </si>
  <si>
    <t xml:space="preserve">Material</t>
  </si>
  <si>
    <t xml:space="preserve">envase</t>
  </si>
  <si>
    <t xml:space="preserve">Fondo poliuretánico monocomponente en base acuosa XANOL TAPAPOROS de ISAVAL; acabado satinado (2,5 litros/envase).   Ref. servicolor-690510-MG</t>
  </si>
  <si>
    <t xml:space="preserve">ma-pp-s/c-06-G</t>
  </si>
  <si>
    <t xml:space="preserve">Material</t>
  </si>
  <si>
    <t xml:space="preserve">envase</t>
  </si>
  <si>
    <t xml:space="preserve">Barniz exterior sintético POLIURETANO TITÁN YATE; acabado brillante (4 litrosl/envase).   Ref. pp-s/c-06-G</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</si>
  <si>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</si>
  <si>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</si>
  <si>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</si>
  <si>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</si>
  <si>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</si>
  <si>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</si>
  <si>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</si>
  <si>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</si>
  <si>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</si>
  <si>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</si>
  <si>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</si>
  <si>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</si>
  <si>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</si>
  <si>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</si>
  <si>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</si>
  <si>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</si>
  <si>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</si>
  <si>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</si>
  <si>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</si>
  <si>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</si>
  <si>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</si>
  <si>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</si>
  <si>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</si>
  <si>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</si>
  <si>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REVPINT08-MNR-ML-01</t>
  </si>
  <si>
    <t xml:space="preserve">REVPINT09-MNR-IPN10-MS</t>
  </si>
  <si>
    <t xml:space="preserve">Partida</t>
  </si>
  <si>
    <t xml:space="preserve">m</t>
  </si>
  <si>
    <t xml:space="preserve">XXXXXX PINTURA AL ESMALTE EN PERFIL METÁLICO IPN10; MEDIANTE USO DE MEDIO SUSPENDIDO/COLGADO</t>
  </si>
  <si>
    <t xml:space="preserve">Pintura al esmalte en perfil metálico IPN10; mediante uso de medio suspendido/colgado</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</si>
  <si>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</si>
  <si>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</si>
  <si>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</si>
  <si>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</si>
  <si>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</si>
  <si>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</si>
  <si>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</si>
  <si>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</si>
  <si>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</si>
  <si>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</si>
  <si>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</si>
  <si>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</si>
  <si>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</si>
  <si>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</si>
  <si>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</si>
  <si>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</si>
  <si>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</si>
  <si>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</si>
  <si>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</si>
  <si>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</si>
  <si>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</si>
  <si>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</si>
  <si>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</si>
  <si>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</si>
  <si>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</si>
  <si>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</si>
  <si>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</si>
  <si>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</si>
  <si>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REVPINT09-MNR-IPN10-MS</t>
  </si>
  <si>
    <t xml:space="preserve">REVPINT09-MNR-IPN12-AT</t>
  </si>
  <si>
    <t xml:space="preserve">Partida</t>
  </si>
  <si>
    <t xml:space="preserve">m</t>
  </si>
  <si>
    <t xml:space="preserve">XXXXXX PINTURA AL ESMALTE EN PERFIL METÁLICO IPN12; MEDIANTE USO DE ANDAMIO TUBULAR</t>
  </si>
  <si>
    <t xml:space="preserve">Pintura al esmalte en perfil metálico IPN12; mediante uso de andamio tubular</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</si>
  <si>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</si>
  <si>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</si>
  <si>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</si>
  <si>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</si>
  <si>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</si>
  <si>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</si>
  <si>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</si>
  <si>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</si>
  <si>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</si>
  <si>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</si>
  <si>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</si>
  <si>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</si>
  <si>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</si>
  <si>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</si>
  <si>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</si>
  <si>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</si>
  <si>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</si>
  <si>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</si>
  <si>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</si>
  <si>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</si>
  <si>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</si>
  <si>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</si>
  <si>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</si>
  <si>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</si>
  <si>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</si>
  <si>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</si>
  <si>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</si>
  <si>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</si>
  <si>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REVPINT09-MNR-IPN12-AT</t>
  </si>
  <si>
    <t xml:space="preserve">REVPINT09-MNR-IPN12-MS</t>
  </si>
  <si>
    <t xml:space="preserve">Partida</t>
  </si>
  <si>
    <t xml:space="preserve">m</t>
  </si>
  <si>
    <t xml:space="preserve">XXXXXX PINTURA AL ESMALTE EN PERFIL METÁLICO IPN12; MEDIANTE USO DE MEDIO SUSPENDIDO/COLGADO</t>
  </si>
  <si>
    <t xml:space="preserve">Pintura al esmalte en perfil metálico IPN12; mediante uso de medio suspendido/colgado</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</si>
  <si>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</si>
  <si>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</si>
  <si>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</si>
  <si>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</si>
  <si>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</si>
  <si>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</si>
  <si>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</si>
  <si>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</si>
  <si>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</si>
  <si>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</si>
  <si>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</si>
  <si>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</si>
  <si>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</si>
  <si>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</si>
  <si>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</si>
  <si>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</si>
  <si>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</si>
  <si>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</si>
  <si>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</si>
  <si>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</si>
  <si>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</si>
  <si>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</si>
  <si>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</si>
  <si>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</si>
  <si>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</si>
  <si>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</si>
  <si>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</si>
  <si>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</si>
  <si>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REVPINT09-MNR-IPN12-MS</t>
  </si>
  <si>
    <t xml:space="preserve">REVPINT09-MNR-IPN14-MS</t>
  </si>
  <si>
    <t xml:space="preserve">Partida</t>
  </si>
  <si>
    <t xml:space="preserve">m</t>
  </si>
  <si>
    <t xml:space="preserve">XXXXXX PINTURA AL ESMALTE EN PERFIL METÁLICO IPN14; MEDIANTE USO DE MEDIO SUSPENDIDO/COLGADO</t>
  </si>
  <si>
    <t xml:space="preserve">Pintura al esmalte en perfil metálico IPN14; mediante uso de medio suspendido/colgado</t>
  </si>
  <si>
    <t xml:space="preserve">ma-lp-00007331</t>
  </si>
  <si>
    <t xml:space="preserve">Material</t>
  </si>
  <si>
    <t xml:space="preserve">bote</t>
  </si>
  <si>
    <t xml:space="preserve">Imprimante TODO TERRENO de BEISSIER como puente de adherencia multisuperficie; color gris (2,5 litros/envase).   Ref. lp-00007331</t>
  </si>
  <si>
    <t xml:space="preserve">ma-lp-00383509</t>
  </si>
  <si>
    <t xml:space="preserve">Material</t>
  </si>
  <si>
    <t xml:space="preserve">envase</t>
  </si>
  <si>
    <t xml:space="preserve">Esmalte antioxidante metálico de altos sólidos OXIRÓN FORJA de TITANLUX; color negro (4 litros/envase).   Ref. lp-00383509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</si>
  <si>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</si>
  <si>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</si>
  <si>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</si>
  <si>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</si>
  <si>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</si>
  <si>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</si>
  <si>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</si>
  <si>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</si>
  <si>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</si>
  <si>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</si>
  <si>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</si>
  <si>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</si>
  <si>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</si>
  <si>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</si>
  <si>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</si>
  <si>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</si>
  <si>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</si>
  <si>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</si>
  <si>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</si>
  <si>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</si>
  <si>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REVPINT09-MNR-IPN14-MS</t>
  </si>
  <si>
    <t xml:space="preserve">REVPINT-B.STD-TITAN.Y.EPOXI</t>
  </si>
  <si>
    <t xml:space="preserve">Partida</t>
  </si>
  <si>
    <t xml:space="preserve">m2</t>
  </si>
  <si>
    <t xml:space="preserve">XXXXXX PINTURA AL ESMALTE EN BARANDILLA STD (TITÁN OXICRON FORJA); INCLUYE IMPRIMACIÓN EPÓXICA (FCH)</t>
  </si>
  <si>
    <t xml:space="preserve">PINTURA AL ESMALTE EN BARANDILLA STD (TITÁN OXICRON FORJA); INCLUYE IMPRIMACIÓN EPÓXICA (FCH)</t>
  </si>
  <si>
    <t xml:space="preserve">ma-villares-titantech-sxb-200</t>
  </si>
  <si>
    <t xml:space="preserve">Material</t>
  </si>
  <si>
    <t xml:space="preserve">envase</t>
  </si>
  <si>
    <t xml:space="preserve">Imprimación epoxi bicomponente multiadherente anticorrosiva SXB-200 de TITANTECH (4 litro/pack).   Ref. villares-titantech-sxb-200</t>
  </si>
  <si>
    <t xml:space="preserve">ma-lp-00383509</t>
  </si>
  <si>
    <t xml:space="preserve">Material</t>
  </si>
  <si>
    <t xml:space="preserve">envase</t>
  </si>
  <si>
    <t xml:space="preserve">Esmalte antioxidante metálico de altos sólidos OXIRÓN FORJA de TITANLUX; color negro (4 litros/envase).   Ref. lp-00383509</t>
  </si>
  <si>
    <t xml:space="preserve">ma-anidia-8414800430509</t>
  </si>
  <si>
    <t xml:space="preserve">Material</t>
  </si>
  <si>
    <t xml:space="preserve">envase</t>
  </si>
  <si>
    <t xml:space="preserve">Disolvente Epoxi DX-810 de TITANTECH (5 litros/envase).   Ref. anidia-8414800430509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</si>
  <si>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</si>
  <si>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</si>
  <si>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</si>
  <si>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</si>
  <si>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</si>
  <si>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</si>
  <si>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</si>
  <si>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</si>
  <si>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</si>
  <si>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</si>
  <si>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</si>
  <si>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</si>
  <si>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</si>
  <si>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</si>
  <si>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</si>
  <si>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</si>
  <si>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</si>
  <si>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</si>
  <si>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</si>
  <si>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</si>
  <si>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REVPINT-B.STD-TITAN.Y.EPOXI</t>
  </si>
  <si>
    <t xml:space="preserve">REVPINT-PERFIL.20-TITAN.Y.EPOXI</t>
  </si>
  <si>
    <t xml:space="preserve">Partida</t>
  </si>
  <si>
    <t xml:space="preserve">m</t>
  </si>
  <si>
    <t xml:space="preserve">XXXXXX PINTURA AL ESMALTE EN PERFIL METÁLICO CON ANCHO &lt;= 20 cm (TITÁN OXICRON FORJA); INCLUYE IMPRIMACIÓN EPÓXICA</t>
  </si>
  <si>
    <t xml:space="preserve">PINTURA AL ESMALTE EN PERFIL METÁLICO CON ANCHO &lt;= 20 cm (TITÁN OXICRON FORJA); INCLUYE IMPRIMACIÓN EPÓXICA</t>
  </si>
  <si>
    <t xml:space="preserve">ma-villares-titantech-sxb-200</t>
  </si>
  <si>
    <t xml:space="preserve">Material</t>
  </si>
  <si>
    <t xml:space="preserve">envase</t>
  </si>
  <si>
    <t xml:space="preserve">Imprimación epoxi bicomponente multiadherente anticorrosiva SXB-200 de TITANTECH (4 litro/pack).   Ref. villares-titantech-sxb-200</t>
  </si>
  <si>
    <t xml:space="preserve">ma-lp-00383509</t>
  </si>
  <si>
    <t xml:space="preserve">Material</t>
  </si>
  <si>
    <t xml:space="preserve">envase</t>
  </si>
  <si>
    <t xml:space="preserve">Esmalte antioxidante metálico de altos sólidos OXIRÓN FORJA de TITANLUX; color negro (4 litros/envase).   Ref. lp-00383509</t>
  </si>
  <si>
    <t xml:space="preserve">ma-anidia-8414800430509</t>
  </si>
  <si>
    <t xml:space="preserve">Material</t>
  </si>
  <si>
    <t xml:space="preserve">envase</t>
  </si>
  <si>
    <t xml:space="preserve">Disolvente Epoxi DX-810 de TITANTECH (5 litros/envase).   Ref. anidia-8414800430509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</si>
  <si>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</si>
  <si>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</si>
  <si>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</si>
  <si>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</si>
  <si>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</si>
  <si>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</si>
  <si>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</si>
  <si>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</si>
  <si>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</si>
  <si>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</si>
  <si>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</si>
  <si>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</si>
  <si>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</si>
  <si>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</si>
  <si>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</si>
  <si>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</si>
  <si>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</si>
  <si>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</si>
  <si>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</si>
  <si>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</si>
  <si>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REVPINT-PERFIL.20-TITAN.Y.EPOXI</t>
  </si>
  <si>
    <t xml:space="preserve">REVPINT-B.STD-VALENTINE-MS</t>
  </si>
  <si>
    <t xml:space="preserve">Partida</t>
  </si>
  <si>
    <t xml:space="preserve">m</t>
  </si>
  <si>
    <t xml:space="preserve">XXXXXX PINTURA AL ESMALTE EN BARANDILLA STD (DIRECTO AL METAL LISO SATINADO VALENTINE); MEDIANTE EL USO DE MEDIO SUSPENDIDO/COLGADO</t>
  </si>
  <si>
    <t xml:space="preserve">PINTURA AL ESMALTE EN BARANDILLA STD (DIRECTO AL METAL LISO SATINADO VALENTINE); MEDIANTE EL USO DE MEDIO SUSPENDIDO/COLGADO</t>
  </si>
  <si>
    <t xml:space="preserve">ma-reyplast-D0601-0047.007</t>
  </si>
  <si>
    <t xml:space="preserve">Material</t>
  </si>
  <si>
    <t xml:space="preserve">envase</t>
  </si>
  <si>
    <t xml:space="preserve">Esmalte sintético alquídico DIRECTO AL METAL LISO SATINADO de VALENTINE D0601 (4 litros/envase).   Ref. reyplast-D0601-0047.007</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</si>
  <si>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</si>
  <si>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</si>
  <si>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</si>
  <si>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</si>
  <si>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</si>
  <si>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</si>
  <si>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</si>
  <si>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</si>
  <si>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</si>
  <si>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</si>
  <si>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</si>
  <si>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</si>
  <si>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</si>
  <si>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</si>
  <si>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</si>
  <si>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</si>
  <si>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</si>
  <si>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</si>
  <si>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</si>
  <si>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</si>
  <si>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</si>
  <si>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</si>
  <si>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</si>
  <si>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</si>
  <si>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REVPINT-B.STD-VALENTINE-MS</t>
  </si>
  <si>
    <t xml:space="preserve">REVPINT-B.STD-ANTIOX.Y.DEC-MS</t>
  </si>
  <si>
    <t xml:space="preserve">Partida</t>
  </si>
  <si>
    <t xml:space="preserve">m2</t>
  </si>
  <si>
    <t xml:space="preserve">XXXXXX PINTURA AL ESMALTE EN BARANDILLA STD (PROCOFER FORJA ANTIOXIDANTE Y DECORATIVO); MEDIANTE USO DE MEDIO SUSPENDIDO/COLGADO</t>
  </si>
  <si>
    <t xml:space="preserve">PINTURA AL ESMALTE EN BARANDILLA STD (PROCOFER FORJA ANTIOXIDANTE Y DECORATIVO); MEDIANTE USO DE MEDIO SUSPENDIDO/COLGADO</t>
  </si>
  <si>
    <t xml:space="preserve">ma-pinturasalejo-procofer.forja</t>
  </si>
  <si>
    <t xml:space="preserve">Material</t>
  </si>
  <si>
    <t xml:space="preserve">envase</t>
  </si>
  <si>
    <t xml:space="preserve">Esmalte antioxidante y decorativo PROCOFER EXPERT FORJA de PROCOLOR (2,5 litros/envase; gris y negro).   Ref. pinturasalejo-procofer.forja</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</si>
  <si>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</si>
  <si>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</si>
  <si>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</si>
  <si>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</si>
  <si>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</si>
  <si>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</si>
  <si>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</si>
  <si>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</si>
  <si>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</si>
  <si>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</si>
  <si>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</si>
  <si>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</si>
  <si>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</si>
  <si>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</si>
  <si>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</si>
  <si>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</si>
  <si>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</si>
  <si>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</si>
  <si>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</si>
  <si>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</si>
  <si>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REVPINT-B.STD-ANTIOX.Y.DEC-MS</t>
  </si>
  <si>
    <t xml:space="preserve">REVPINT-B.STD-SINTETICO.AS-MS</t>
  </si>
  <si>
    <t xml:space="preserve">Partida</t>
  </si>
  <si>
    <t xml:space="preserve">m2</t>
  </si>
  <si>
    <t xml:space="preserve">XXXXXX PINTURA AL ESMALTE EN BARANDILLA STD (KILATE PROCOLOR SATINADO); MEDIANTE USO DE MEDIO SUSPENDIDO/COLGADO</t>
  </si>
  <si>
    <t xml:space="preserve">PINTURA AL ESMALTE EN BARANDILLA STD (KILATE PROCOLOR SATINADO); MEDIANTE USO DE MEDIO SUSPENDIDO/COLGADO</t>
  </si>
  <si>
    <t xml:space="preserve">ma-colorsan-minio.titan-g</t>
  </si>
  <si>
    <t xml:space="preserve">Material</t>
  </si>
  <si>
    <t xml:space="preserve">envase</t>
  </si>
  <si>
    <t xml:space="preserve">Imprimante sintético graso para hierro y madera TITÁN de TITANLUX (4 litros/envase).   Ref. colorsan-minio.titan-g</t>
  </si>
  <si>
    <t xml:space="preserve">ma-pinturasalejo-kilate.satin.g</t>
  </si>
  <si>
    <t xml:space="preserve">Material</t>
  </si>
  <si>
    <t xml:space="preserve">envase</t>
  </si>
  <si>
    <t xml:space="preserve">Esmalte sintético de altos sólidos con acabado satinado KILATE de PROCOLOR (4 litros/envase).   Ref. pinturasalejo-kilate.satin.g</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</si>
  <si>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</si>
  <si>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</si>
  <si>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</si>
  <si>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</si>
  <si>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</si>
  <si>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</si>
  <si>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</si>
  <si>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</si>
  <si>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</si>
  <si>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</si>
  <si>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</si>
  <si>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</si>
  <si>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</si>
  <si>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</si>
  <si>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</si>
  <si>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</si>
  <si>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</si>
  <si>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</si>
  <si>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</si>
  <si>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</si>
  <si>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REVPINT-B.STD-SINTETICO.AS-MS</t>
  </si>
  <si>
    <t xml:space="preserve">REVPINT11-MNR-03</t>
  </si>
  <si>
    <t xml:space="preserve">Partida</t>
  </si>
  <si>
    <t xml:space="preserve">m2</t>
  </si>
  <si>
    <t xml:space="preserve">XXXXXX PINTURA AL ESMALTE EN SUPERFICIE METÁLICA "TITÁN OXIRON FORJA"; INCLUYE IMPRIMACIÓN</t>
  </si>
  <si>
    <t xml:space="preserve">PINTURA AL ESMALTE EN SUPERFICIE METÁLICA "TITÁN OXIRON FORJA"; INCLUYE IMPRIMACIÓN</t>
  </si>
  <si>
    <t xml:space="preserve">ma-multipinturas-06A</t>
  </si>
  <si>
    <t xml:space="preserve">Material</t>
  </si>
  <si>
    <t xml:space="preserve">envase</t>
  </si>
  <si>
    <t xml:space="preserve">Imprimante anticorrosivo de secado rápido PREPARACIÓN MULTIUSO de TITÁN; colores blanco, gris, verde, negro (4 litros/envase).   Ref. multipinturas-06A</t>
  </si>
  <si>
    <t xml:space="preserve">ma-lp-00383509</t>
  </si>
  <si>
    <t xml:space="preserve">Material</t>
  </si>
  <si>
    <t xml:space="preserve">envase</t>
  </si>
  <si>
    <t xml:space="preserve">Esmalte antioxidante metálico de altos sólidos OXIRÓN FORJA de TITANLUX; color negro (4 litros/envase).   Ref. lp-00383509</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</si>
  <si>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</si>
  <si>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</si>
  <si>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</si>
  <si>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</si>
  <si>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</si>
  <si>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</si>
  <si>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</si>
  <si>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</si>
  <si>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</si>
  <si>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</si>
  <si>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</si>
  <si>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</si>
  <si>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</si>
  <si>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</si>
  <si>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</si>
  <si>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</si>
  <si>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</si>
  <si>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</si>
  <si>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</si>
  <si>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</si>
  <si>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</si>
  <si>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</si>
  <si>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</si>
  <si>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</si>
  <si>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REVPINT11-MNR-03</t>
  </si>
  <si>
    <t xml:space="preserve">REVPINT19</t>
  </si>
  <si>
    <t xml:space="preserve">Partida</t>
  </si>
  <si>
    <t xml:space="preserve">M2</t>
  </si>
  <si>
    <t xml:space="preserve">XXXXXX PINTURA PLASTICA MUROS</t>
  </si>
  <si>
    <t xml:space="preserve">Aplicación manual de dos manos de pintura plastica en interior, color a elegir, acabado mate, textura lisa, a dos manos previa aplicación de una mano de imprimación. El precio incluye la protección de los elementos del entorno que puedan verse afectados durante los trabajos.</t>
  </si>
  <si>
    <t xml:space="preserve">0120100600</t>
  </si>
  <si>
    <t xml:space="preserve">Material</t>
  </si>
  <si>
    <t xml:space="preserve">U</t>
  </si>
  <si>
    <t xml:space="preserve">FT-PALAS INTER FACHADAS BLANCO 14L       PINTURAS PALACIOS</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</si>
  <si>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</si>
  <si>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</si>
  <si>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</si>
  <si>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</si>
  <si>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</si>
  <si>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</si>
  <si>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</si>
  <si>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</si>
  <si>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</si>
  <si>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</si>
  <si>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</si>
  <si>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</si>
  <si>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</si>
  <si>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</si>
  <si>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</si>
  <si>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</si>
  <si>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</si>
  <si>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</si>
  <si>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</si>
  <si>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</si>
  <si>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m.o.1</t>
  </si>
  <si>
    <t xml:space="preserve">Mano de obra</t>
  </si>
  <si>
    <t xml:space="preserve">h</t>
  </si>
  <si>
    <t xml:space="preserve">Mano de Obra: 1 Oficial de 1ª, 1 Ayudante y 1/2 Ayudante</t>
  </si>
  <si>
    <t xml:space="preserve">REVPINT19</t>
  </si>
  <si>
    <t xml:space="preserve">REVPINT20</t>
  </si>
  <si>
    <t xml:space="preserve">Partida</t>
  </si>
  <si>
    <t xml:space="preserve">M2</t>
  </si>
  <si>
    <t xml:space="preserve">XXXXXX PINTURA PLASTICA TECHOS</t>
  </si>
  <si>
    <t xml:space="preserve">PINTURA PLASTICA TECHOS</t>
  </si>
  <si>
    <t xml:space="preserve">0120100600</t>
  </si>
  <si>
    <t xml:space="preserve">Material</t>
  </si>
  <si>
    <t xml:space="preserve">U</t>
  </si>
  <si>
    <t xml:space="preserve">FT-PALAS INTER FACHADAS BLANCO 14L       PINTURAS PALACIOS</t>
  </si>
  <si>
    <t xml:space="preserve">ma-palacios-0135001400SL</t>
  </si>
  <si>
    <t xml:space="preserve">Material</t>
  </si>
  <si>
    <t xml:space="preserve">U</t>
  </si>
  <si>
    <t xml:space="preserve">FIJADOR ISACRILICO 15L             PINTURAS PALACIOS</t>
  </si>
  <si>
    <t xml:space="preserve">ma-palacios-019506100017</t>
  </si>
  <si>
    <t xml:space="preserve">Material</t>
  </si>
  <si>
    <t xml:space="preserve">u</t>
  </si>
  <si>
    <t xml:space="preserve">CUBETA PL. NEGRA+REJ.PLAST. *PINTOR* 16L   PINTURAS PALACIOS</t>
  </si>
  <si>
    <t xml:space="preserve">ma-palacios-019501240022</t>
  </si>
  <si>
    <t xml:space="preserve">Material</t>
  </si>
  <si>
    <t xml:space="preserve">u</t>
  </si>
  <si>
    <t xml:space="preserve">ROD.NYLON BICOLOR D60 22cm PTR   PINTURAS PALACIOS</t>
  </si>
  <si>
    <t xml:space="preserve">ma-palacios-020500000024</t>
  </si>
  <si>
    <t xml:space="preserve">Material</t>
  </si>
  <si>
    <t xml:space="preserve">u</t>
  </si>
  <si>
    <t xml:space="preserve">CINTA KREPP M 24mm X 45MI     PINTURAS PALACIOS</t>
  </si>
  <si>
    <t xml:space="preserve">ma-palacios-019002001312</t>
  </si>
  <si>
    <t xml:space="preserve">Material</t>
  </si>
  <si>
    <t xml:space="preserve">u</t>
  </si>
  <si>
    <t xml:space="preserve">BRO.PRENSADA EXTRA AZUL 12   PINTURAS PALACIOS</t>
  </si>
  <si>
    <t xml:space="preserve">m.o.1</t>
  </si>
  <si>
    <t xml:space="preserve">Mano de obra</t>
  </si>
  <si>
    <t xml:space="preserve">h</t>
  </si>
  <si>
    <t xml:space="preserve">Mano de Obra: 1 Oficial de 1ª, 1 Ayudante y 1/2 Ayudante</t>
  </si>
  <si>
    <t xml:space="preserve">REVPINT20</t>
  </si>
  <si>
    <t xml:space="preserve">REVPINT-PLASTICA-H-AT-01</t>
  </si>
  <si>
    <t xml:space="preserve">Partida</t>
  </si>
  <si>
    <t xml:space="preserve">m2</t>
  </si>
  <si>
    <t xml:space="preserve">XXXXXX PINTURA PLÁSTICA EN PARAMENTOS HORIZONTALES INCLUYENDO IMPRIMACIÓN (FCH)</t>
  </si>
  <si>
    <t xml:space="preserve">PINTURA PLÁSTICA EN PARAMENTOS HORIZONTALES INCLUYENDO IMPRIMACIÓN (FCH)</t>
  </si>
  <si>
    <t xml:space="preserve">ma-pp-0135001400SJ-B</t>
  </si>
  <si>
    <t xml:space="preserve">Material</t>
  </si>
  <si>
    <t xml:space="preserve">bidón</t>
  </si>
  <si>
    <t xml:space="preserve">Imprimante Isacrílico emulsión selladora penetrante de ISAVAL (15 litros/bidón)   Ref. pp-0135001400SJ-B</t>
  </si>
  <si>
    <t xml:space="preserve">ma-pp-0120100600ML</t>
  </si>
  <si>
    <t xml:space="preserve">Material</t>
  </si>
  <si>
    <t xml:space="preserve">bidón</t>
  </si>
  <si>
    <t xml:space="preserve">Pintura plástica PALAS INTER FACHADAS; color blanco mate (14 litros/bidón).   Ref. pp-s/c-01</t>
  </si>
  <si>
    <t xml:space="preserve">ma-lp-00534912</t>
  </si>
  <si>
    <t xml:space="preserve">Material</t>
  </si>
  <si>
    <t xml:space="preserve">rollo</t>
  </si>
  <si>
    <t xml:space="preserve">Cinta pintor KREPP 48 mm (45 m/rollo).   Ref. lp-00534912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</si>
  <si>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</si>
  <si>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</si>
  <si>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</si>
  <si>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</si>
  <si>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</si>
  <si>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</si>
  <si>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</si>
  <si>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</si>
  <si>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</si>
  <si>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</si>
  <si>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</si>
  <si>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</si>
  <si>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</si>
  <si>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</si>
  <si>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</si>
  <si>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</si>
  <si>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</si>
  <si>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</si>
  <si>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</si>
  <si>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</si>
  <si>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REVPINT-PLASTICA-H-AT-01</t>
  </si>
  <si>
    <t xml:space="preserve">REVPINT-PLASTICA-H-MS-01</t>
  </si>
  <si>
    <t xml:space="preserve">Partida</t>
  </si>
  <si>
    <t xml:space="preserve">m2</t>
  </si>
  <si>
    <t xml:space="preserve">XXXXXX PINTURA PLÁSTICA EN PARAMENTOS HORIZONTALES MEDIANTE EL USO DE MEDIO SUSPENDIDO/COLGADO; INCLUYENDO IMPRIMACIÓN (FCH)</t>
  </si>
  <si>
    <t xml:space="preserve">PINTURA PLÁSTICA EN PARAMENTOS HORIZONTALES MEDIANTE EL USO DE MEDIO SUSPENDIDO/COLGADO; INCLUYENDO IMPRIMACIÓN (FCH)</t>
  </si>
  <si>
    <t xml:space="preserve">ma-pp-0135001400SJ-B</t>
  </si>
  <si>
    <t xml:space="preserve">Material</t>
  </si>
  <si>
    <t xml:space="preserve">bidón</t>
  </si>
  <si>
    <t xml:space="preserve">Imprimante Isacrílico emulsión selladora penetrante de ISAVAL (15 litros/bidón)   Ref. pp-0135001400SJ-B</t>
  </si>
  <si>
    <t xml:space="preserve">ma-pp-0120100600ML</t>
  </si>
  <si>
    <t xml:space="preserve">Material</t>
  </si>
  <si>
    <t xml:space="preserve">bidón</t>
  </si>
  <si>
    <t xml:space="preserve">Pintura plástica PALAS INTER FACHADAS; color blanco mate (14 litros/bidón).   Ref. pp-s/c-01</t>
  </si>
  <si>
    <t xml:space="preserve">ma-lp-00534912</t>
  </si>
  <si>
    <t xml:space="preserve">Material</t>
  </si>
  <si>
    <t xml:space="preserve">rollo</t>
  </si>
  <si>
    <t xml:space="preserve">Cinta pintor KREPP 48 mm (45 m/rollo).   Ref. lp-00534912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</si>
  <si>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</si>
  <si>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</si>
  <si>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</si>
  <si>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</si>
  <si>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</si>
  <si>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</si>
  <si>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</si>
  <si>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</si>
  <si>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</si>
  <si>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</si>
  <si>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</si>
  <si>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</si>
  <si>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</si>
  <si>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</si>
  <si>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</si>
  <si>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</si>
  <si>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</si>
  <si>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</si>
  <si>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</si>
  <si>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</si>
  <si>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ma%</t>
  </si>
  <si>
    <t xml:space="preserve">%</t>
  </si>
  <si>
    <t xml:space="preserve">Materiales Misceláneos</t>
  </si>
  <si>
    <t xml:space="preserve">REVPINT-PLASTICA-H-MS-01</t>
  </si>
  <si>
    <t xml:space="preserve">REVPINT-PLASTICA-V-AT-01</t>
  </si>
  <si>
    <t xml:space="preserve">Partida</t>
  </si>
  <si>
    <t xml:space="preserve">m2</t>
  </si>
  <si>
    <t xml:space="preserve">XXXXXX PINTURA PLÁSTICA EN PARAMENTOS VERTICALES MEDIANTE EL USO DE ANDAMIO TUBULAR; INCLUYENDO IMPRIMACIÓN (FCH)</t>
  </si>
  <si>
    <t xml:space="preserve">PINTURA PLÁSTICA EN PARAMENTOS VERTICALES MEDIANTE EL USO DE ANDAMIO TUBULAR; INCLUYENDO IMPRIMACIÓN (FCH)</t>
  </si>
  <si>
    <t xml:space="preserve">ma-pp-0135001400SJ-B</t>
  </si>
  <si>
    <t xml:space="preserve">Material</t>
  </si>
  <si>
    <t xml:space="preserve">bidón</t>
  </si>
  <si>
    <t xml:space="preserve">Imprimante Isacrílico emulsión selladora penetrante de ISAVAL (15 litros/bidón)   Ref. pp-0135001400SJ-B</t>
  </si>
  <si>
    <t xml:space="preserve">ma-pp-0120100600ML</t>
  </si>
  <si>
    <t xml:space="preserve">Material</t>
  </si>
  <si>
    <t xml:space="preserve">bidón</t>
  </si>
  <si>
    <t xml:space="preserve">Pintura plástica PALAS INTER FACHADAS; color blanco mate (14 litros/bidón).   Ref. pp-s/c-01</t>
  </si>
  <si>
    <t xml:space="preserve">ma-lp-00534912</t>
  </si>
  <si>
    <t xml:space="preserve">Material</t>
  </si>
  <si>
    <t xml:space="preserve">rollo</t>
  </si>
  <si>
    <t xml:space="preserve">Cinta pintor KREPP 48 mm (45 m/rollo).   Ref. lp-00534912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</si>
  <si>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</si>
  <si>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</si>
  <si>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</si>
  <si>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</si>
  <si>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</si>
  <si>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</si>
  <si>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</si>
  <si>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</si>
  <si>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</si>
  <si>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</si>
  <si>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</si>
  <si>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</si>
  <si>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</si>
  <si>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</si>
  <si>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</si>
  <si>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</si>
  <si>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</si>
  <si>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</si>
  <si>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</si>
  <si>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</si>
  <si>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ma%</t>
  </si>
  <si>
    <t xml:space="preserve">%</t>
  </si>
  <si>
    <t xml:space="preserve">Materiales Misceláneos</t>
  </si>
  <si>
    <t xml:space="preserve">REVPINT-PLASTICA-V-AT-01</t>
  </si>
  <si>
    <t xml:space="preserve">REVPINT-PLASTICA-V-MS-01</t>
  </si>
  <si>
    <t xml:space="preserve">Partida</t>
  </si>
  <si>
    <t xml:space="preserve">m2</t>
  </si>
  <si>
    <t xml:space="preserve">XXXXXX PINTURA PLÁSTICA EN PARAMENTOS VERTICALES MEDIANTE EL USO DE MEDIO SUSPENDIDO/COLGADO; INCLUYENDO IMPRIMACIÓN (FCH)</t>
  </si>
  <si>
    <t xml:space="preserve">PINTURA PLÁSTICA EN PARAMENTOS VERTICALES MEDIANTE EL USO DE MEDIO SUSPENDIDO/COLGADO; INCLUYENDO IMPRIMACIÓN (FCH)</t>
  </si>
  <si>
    <t xml:space="preserve">ma-pp-0135001400SJ-B</t>
  </si>
  <si>
    <t xml:space="preserve">Material</t>
  </si>
  <si>
    <t xml:space="preserve">bidón</t>
  </si>
  <si>
    <t xml:space="preserve">Imprimante Isacrílico emulsión selladora penetrante de ISAVAL (15 litros/bidón)   Ref. pp-0135001400SJ-B</t>
  </si>
  <si>
    <t xml:space="preserve">ma-pp-0120100600ML</t>
  </si>
  <si>
    <t xml:space="preserve">Material</t>
  </si>
  <si>
    <t xml:space="preserve">bidón</t>
  </si>
  <si>
    <t xml:space="preserve">Pintura plástica PALAS INTER FACHADAS; color blanco mate (14 litros/bidón).   Ref. pp-s/c-01</t>
  </si>
  <si>
    <t xml:space="preserve">ma-lp-00534912</t>
  </si>
  <si>
    <t xml:space="preserve">Material</t>
  </si>
  <si>
    <t xml:space="preserve">rollo</t>
  </si>
  <si>
    <t xml:space="preserve">Cinta pintor KREPP 48 mm (45 m/rollo).   Ref. lp-00534912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</si>
  <si>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</si>
  <si>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</si>
  <si>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</si>
  <si>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</si>
  <si>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</si>
  <si>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</si>
  <si>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</si>
  <si>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</si>
  <si>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</si>
  <si>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</si>
  <si>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</si>
  <si>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</si>
  <si>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</si>
  <si>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</si>
  <si>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</si>
  <si>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</si>
  <si>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</si>
  <si>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</si>
  <si>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</si>
  <si>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</si>
  <si>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REVPINT-PLASTICA-V-MS-01</t>
  </si>
  <si>
    <t xml:space="preserve">REVPINT-PLASTICA-H-AT-02</t>
  </si>
  <si>
    <t xml:space="preserve">Partida</t>
  </si>
  <si>
    <t xml:space="preserve">m2</t>
  </si>
  <si>
    <t xml:space="preserve">XXXXXX PINTURA PLÁSTICA ACRÍLICA MATE "REVETÓN NOVEX" EN PARAMENTOS HORIZONTALES, MEDIANTE EL USO DE ANDAMIO TUBULAR</t>
  </si>
  <si>
    <t xml:space="preserve">PINTURA PLÁSTICA ACRÍLICA MATE "REVETÓN NOVEX" EN PARAMENTOS HORIZONTALES, MEDIANTE EL USO DE ANDAMIO TUBULAR</t>
  </si>
  <si>
    <t xml:space="preserve">ma-multipinturas-1358</t>
  </si>
  <si>
    <t xml:space="preserve">Material</t>
  </si>
  <si>
    <t xml:space="preserve">bidón</t>
  </si>
  <si>
    <t xml:space="preserve">Imprimante COTEFILM IMPRIMACIÓN ACUOSA de REVETÓN (15 litros/bidón).   Ref. multipinturas-1358</t>
  </si>
  <si>
    <t xml:space="preserve">ma-lp-00538880</t>
  </si>
  <si>
    <t xml:space="preserve">Material</t>
  </si>
  <si>
    <t xml:space="preserve">bidón</t>
  </si>
  <si>
    <t xml:space="preserve">Pintura plástica acrílica mate interior/exterior de REVETÓN NOVEX; color blanco (15 litros/bidón).   Ref. lp-00538880</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</si>
  <si>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</si>
  <si>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</si>
  <si>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</si>
  <si>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</si>
  <si>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</si>
  <si>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</si>
  <si>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</si>
  <si>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</si>
  <si>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</si>
  <si>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</si>
  <si>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</si>
  <si>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</si>
  <si>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</si>
  <si>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</si>
  <si>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</si>
  <si>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</si>
  <si>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</si>
  <si>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</si>
  <si>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</si>
  <si>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</si>
  <si>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REVPINT-PLASTICA-H-AT-02</t>
  </si>
  <si>
    <t xml:space="preserve">REVPINT-PLASTICA-H-MS-02</t>
  </si>
  <si>
    <t xml:space="preserve">Partida</t>
  </si>
  <si>
    <t xml:space="preserve">m2</t>
  </si>
  <si>
    <t xml:space="preserve">XXXXXX PINTURA PLÁSTICA ACRÍLICA MATE "REVETÓN NOVEX" EN PARAMENTOS HORIZONTALES, MEDIANTE EL USO DE MEDIO SUSPENDIDO/COLGADO</t>
  </si>
  <si>
    <t xml:space="preserve">PINTURA PLÁSTICA ACRÍLICA MATE "REVETÓN NOVEX" EN PARAMENTOS HORIZONTALES, MEDIANTE EL USO DE MEDIO SUSPENDIDO/COLGADO</t>
  </si>
  <si>
    <t xml:space="preserve">ma-multipinturas-1358</t>
  </si>
  <si>
    <t xml:space="preserve">Material</t>
  </si>
  <si>
    <t xml:space="preserve">bidón</t>
  </si>
  <si>
    <t xml:space="preserve">Imprimante COTEFILM IMPRIMACIÓN ACUOSA de REVETÓN (15 litros/bidón).   Ref. multipinturas-1358</t>
  </si>
  <si>
    <t xml:space="preserve">ma-lp-00538880</t>
  </si>
  <si>
    <t xml:space="preserve">Material</t>
  </si>
  <si>
    <t xml:space="preserve">bidón</t>
  </si>
  <si>
    <t xml:space="preserve">Pintura plástica acrílica mate interior/exterior de REVETÓN NOVEX; color blanco (15 litros/bidón).   Ref. lp-00538880</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</si>
  <si>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</si>
  <si>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</si>
  <si>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</si>
  <si>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</si>
  <si>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</si>
  <si>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</si>
  <si>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</si>
  <si>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</si>
  <si>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</si>
  <si>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</si>
  <si>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</si>
  <si>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</si>
  <si>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</si>
  <si>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</si>
  <si>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</si>
  <si>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</si>
  <si>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</si>
  <si>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</si>
  <si>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</si>
  <si>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</si>
  <si>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REVPINT-PLASTICA-H-MS-02</t>
  </si>
  <si>
    <t xml:space="preserve">REVPINT-PLASTICA-V-MS-02</t>
  </si>
  <si>
    <t xml:space="preserve">Partida</t>
  </si>
  <si>
    <t xml:space="preserve">m2</t>
  </si>
  <si>
    <t xml:space="preserve">XXXXXX PINTURA PLÁSTICA ACRÍLICA MATE "REVETÓN NOVEX" EN PARAMENTOS VERTICALES, MEDIANTE EL USO DE MEDIO SUSPENDIDO/COLGADO</t>
  </si>
  <si>
    <t xml:space="preserve">PINTURA PLÁSTICA ACRÍLICA MATE "REVETÓN NOVEX" EN PARAMENTOS VERTICALES, MEDIANTE EL USO DE MEDIO SUSPENDIDO/COLGADO</t>
  </si>
  <si>
    <t xml:space="preserve">ma-multipinturas-1358</t>
  </si>
  <si>
    <t xml:space="preserve">Material</t>
  </si>
  <si>
    <t xml:space="preserve">bidón</t>
  </si>
  <si>
    <t xml:space="preserve">Imprimante COTEFILM IMPRIMACIÓN ACUOSA de REVETÓN (15 litros/bidón).   Ref. multipinturas-1358</t>
  </si>
  <si>
    <t xml:space="preserve">ma-lp-00538880</t>
  </si>
  <si>
    <t xml:space="preserve">Material</t>
  </si>
  <si>
    <t xml:space="preserve">bidón</t>
  </si>
  <si>
    <t xml:space="preserve">Pintura plástica acrílica mate interior/exterior de REVETÓN NOVEX; color blanco (15 litros/bidón).   Ref. lp-00538880</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</si>
  <si>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</si>
  <si>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</si>
  <si>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</si>
  <si>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</si>
  <si>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</si>
  <si>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</si>
  <si>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</si>
  <si>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</si>
  <si>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</si>
  <si>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</si>
  <si>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</si>
  <si>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</si>
  <si>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</si>
  <si>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</si>
  <si>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</si>
  <si>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</si>
  <si>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</si>
  <si>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</si>
  <si>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</si>
  <si>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</si>
  <si>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REVPINT-PLASTICA-V-MS-02</t>
  </si>
  <si>
    <t xml:space="preserve">REVPINT-CLORO.CAUCHO-H-MS-01</t>
  </si>
  <si>
    <t xml:space="preserve">Partida</t>
  </si>
  <si>
    <t xml:space="preserve">m2</t>
  </si>
  <si>
    <t xml:space="preserve">XXXXXX PINTURA CLORO-CAUCHO EN PARAMENTOS HORIZONTALES MEDIANTE EL USO DE MEDIO SUSPENDIDO/COLGADO (FCH)</t>
  </si>
  <si>
    <t xml:space="preserve">PINTURA CLORO-CAUCHO EN PARAMENTOS HORIZONTALES MEDIANTE EL USO DE MEDIO SUSPENDIDO/COLGADO (FCH)</t>
  </si>
  <si>
    <t xml:space="preserve">ma-lp-00007525</t>
  </si>
  <si>
    <t xml:space="preserve">Material</t>
  </si>
  <si>
    <t xml:space="preserve">bidón</t>
  </si>
  <si>
    <t xml:space="preserve">Pintura CLOROCAUCHO SUELOS de BARPIMO, color rojo inglés (15 litros/bidón).   Ref. lp-00007525</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</si>
  <si>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</si>
  <si>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</si>
  <si>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</si>
  <si>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</si>
  <si>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</si>
  <si>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</si>
  <si>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</si>
  <si>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</si>
  <si>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</si>
  <si>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</si>
  <si>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</si>
  <si>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</si>
  <si>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</si>
  <si>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</si>
  <si>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</si>
  <si>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</si>
  <si>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</si>
  <si>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</si>
  <si>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</si>
  <si>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</si>
  <si>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</si>
  <si>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</si>
  <si>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</si>
  <si>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</si>
  <si>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REVPINT-CLORO.CAUCHO-H-MS-01</t>
  </si>
  <si>
    <t xml:space="preserve">REVPINT-CLORO.CAUCHO-V-AT-01</t>
  </si>
  <si>
    <t xml:space="preserve">Partida</t>
  </si>
  <si>
    <t xml:space="preserve">m2</t>
  </si>
  <si>
    <t xml:space="preserve">XXXXXX PINTURA CLORO-CAUCHO EN PARAMENTOS VERTICALES MEDIANTE EL USO DE ANDAMIO TUBULAR (FCH)</t>
  </si>
  <si>
    <t xml:space="preserve">PINTURA CLORO-CAUCHO EN PARAMENTOS VERTICALES MEDIANTE EL USO DE ANDAMIO TUBULAR (FCH)</t>
  </si>
  <si>
    <t xml:space="preserve">ma-lp-00007525</t>
  </si>
  <si>
    <t xml:space="preserve">Material</t>
  </si>
  <si>
    <t xml:space="preserve">bidón</t>
  </si>
  <si>
    <t xml:space="preserve">Pintura CLOROCAUCHO SUELOS de BARPIMO, color rojo inglés (15 litros/bidón).   Ref. lp-00007525</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</si>
  <si>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</si>
  <si>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</si>
  <si>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</si>
  <si>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</si>
  <si>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</si>
  <si>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</si>
  <si>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</si>
  <si>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</si>
  <si>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</si>
  <si>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</si>
  <si>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</si>
  <si>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</si>
  <si>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</si>
  <si>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</si>
  <si>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</si>
  <si>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</si>
  <si>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</si>
  <si>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</si>
  <si>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</si>
  <si>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</si>
  <si>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</si>
  <si>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</si>
  <si>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</si>
  <si>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</si>
  <si>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REVPINT-CLORO.CAUCHO-V-AT-01</t>
  </si>
  <si>
    <t xml:space="preserve">REVPINT-CLORO.CAUCHO-V-MS-01</t>
  </si>
  <si>
    <t xml:space="preserve">Partida</t>
  </si>
  <si>
    <t xml:space="preserve">m2</t>
  </si>
  <si>
    <t xml:space="preserve">XXXXXX PINTURA CLORO-CAUCHO EN PARAMENTOS VERTICALES MEDIANTE EL USO DE MEDIO SUSPENDIDO/COLGADO (FCH)</t>
  </si>
  <si>
    <t xml:space="preserve">PINTURA CLORO-CAUCHO EN PARAMENTOS VERTICALES MEDIANTE EL USO DE MEDIO SUSPENDIDO/COLGADO (FCH)</t>
  </si>
  <si>
    <t xml:space="preserve">ma-lp-00007525</t>
  </si>
  <si>
    <t xml:space="preserve">Material</t>
  </si>
  <si>
    <t xml:space="preserve">bidón</t>
  </si>
  <si>
    <t xml:space="preserve">Pintura CLOROCAUCHO SUELOS de BARPIMO, color rojo inglés (15 litros/bidón).   Ref. lp-00007525</t>
  </si>
  <si>
    <t xml:space="preserve">ma-lp-00539029</t>
  </si>
  <si>
    <t xml:space="preserve">Material</t>
  </si>
  <si>
    <t xml:space="preserve">envase</t>
  </si>
  <si>
    <t xml:space="preserve">Disolvente-Diluente Nitro BIGMAT (1 litro/envase)   Ref. lp-00539029</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</si>
  <si>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</si>
  <si>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</si>
  <si>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</si>
  <si>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</si>
  <si>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</si>
  <si>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</si>
  <si>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</si>
  <si>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</si>
  <si>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</si>
  <si>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</si>
  <si>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</si>
  <si>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</si>
  <si>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</si>
  <si>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</si>
  <si>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</si>
  <si>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</si>
  <si>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</si>
  <si>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</si>
  <si>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</si>
  <si>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</si>
  <si>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REVPINT-CLORO.CAUCHO-V-MS-01</t>
  </si>
  <si>
    <t xml:space="preserve">REVPINT23-MNR-01-V</t>
  </si>
  <si>
    <t xml:space="preserve">Partida</t>
  </si>
  <si>
    <t xml:space="preserve">m2</t>
  </si>
  <si>
    <t xml:space="preserve">XXXXXX PINTURA AL ESMALTE ALIFÁTICO EN PARAMENTOS VERTICALES</t>
  </si>
  <si>
    <t xml:space="preserve">PINTURA AL ESMALTE ALIFÁTICO EN PARAMENTOS VERTICALES</t>
  </si>
  <si>
    <t xml:space="preserve">ma-pp-s/c-01</t>
  </si>
  <si>
    <t xml:space="preserve">Material</t>
  </si>
  <si>
    <t xml:space="preserve">kit</t>
  </si>
  <si>
    <t xml:space="preserve">Imprimante epoxídico poliamida bicomponente IMPREX de ISAVAL (4 litros/envase + endurecedor 0,66 litros).   Ref.   pp-s/c-01</t>
  </si>
  <si>
    <t xml:space="preserve">ma-pp-s/c-08</t>
  </si>
  <si>
    <t xml:space="preserve">Material</t>
  </si>
  <si>
    <t xml:space="preserve">kit</t>
  </si>
  <si>
    <t xml:space="preserve">Esmalte alifático 2kR + catalizador de ISAVAL (4 litros/envase + catalizador 0,80 litros).   Ref. pp-s/c-08</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</si>
  <si>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</si>
  <si>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</si>
  <si>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</si>
  <si>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</si>
  <si>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</si>
  <si>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</si>
  <si>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</si>
  <si>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</si>
  <si>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</si>
  <si>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</si>
  <si>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</si>
  <si>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</si>
  <si>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</si>
  <si>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</si>
  <si>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</si>
  <si>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</si>
  <si>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</si>
  <si>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</si>
  <si>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</si>
  <si>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</si>
  <si>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REVPINT23-MNR-01-V</t>
  </si>
  <si>
    <t xml:space="preserve">REVPINT-ELAST.SILOXANO-H-AT-1</t>
  </si>
  <si>
    <t xml:space="preserve">Partida</t>
  </si>
  <si>
    <t xml:space="preserve">m2</t>
  </si>
  <si>
    <t xml:space="preserve">XXXXXX PINTURA ELÁSTICA AL SILOXANO "BEISSIER" EN PARAMENTOS HORIZONTALES Y MEDIANTE EL USO DE ANDAMIO TUBULAR</t>
  </si>
  <si>
    <t xml:space="preserve">PINTURA ELÁSTICA AL SILOXANO "BEISSIER" EN PARAMENTOS HORIZONTALES Y MEDIANTE EL USO DE ANDAMIO TUBULAR</t>
  </si>
  <si>
    <t xml:space="preserve">ma-pp-0135002200SJ-B</t>
  </si>
  <si>
    <t xml:space="preserve">Material</t>
  </si>
  <si>
    <t xml:space="preserve">bidón</t>
  </si>
  <si>
    <t xml:space="preserve">Imprimante sellador para fondos pulverulentos DELTAFIX de BEISSIER (25 litros/bidón).   Ref. pp-0135002200SJ-B</t>
  </si>
  <si>
    <t xml:space="preserve">ma-pp-0137006000SL</t>
  </si>
  <si>
    <t xml:space="preserve">Material</t>
  </si>
  <si>
    <t xml:space="preserve">envase</t>
  </si>
  <si>
    <t xml:space="preserve">Pintura elástica al siloxano BETAELASTIC de BEISSIER (15 litros/envase).   Ref. pp-0137006000SL</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</si>
  <si>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</si>
  <si>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</si>
  <si>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</si>
  <si>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</si>
  <si>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</si>
  <si>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</si>
  <si>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</si>
  <si>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</si>
  <si>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</si>
  <si>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</si>
  <si>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</si>
  <si>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</si>
  <si>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</si>
  <si>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</si>
  <si>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</si>
  <si>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</si>
  <si>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</si>
  <si>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</si>
  <si>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</si>
  <si>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</si>
  <si>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REVPINT-ELAST.SILOXANO-H-AT-1</t>
  </si>
  <si>
    <t xml:space="preserve">REVPINT-ELAST.SILOXANO-V-MS-1</t>
  </si>
  <si>
    <t xml:space="preserve">Partida</t>
  </si>
  <si>
    <t xml:space="preserve">m2</t>
  </si>
  <si>
    <t xml:space="preserve">XXXXXX PINTURA ELÁSTICA AL SILOXANO "BEISSIER" EN PARAMENTOS VERTICALES Y MEDIANTE EL USO DE MEDIO SUSPENDIDO/COLGADO</t>
  </si>
  <si>
    <t xml:space="preserve">PINTURA ELÁSTICA AL SILOXANO "BEISSIER" EN PARAMENTOS VERTICALES Y MEDIANTE EL USO DE MEDIO SUSPENDIDO/COLGADO</t>
  </si>
  <si>
    <t xml:space="preserve">ma-pp-0135002200SJ-B</t>
  </si>
  <si>
    <t xml:space="preserve">Material</t>
  </si>
  <si>
    <t xml:space="preserve">bidón</t>
  </si>
  <si>
    <t xml:space="preserve">Imprimante sellador para fondos pulverulentos DELTAFIX de BEISSIER (25 litros/bidón).   Ref. pp-0135002200SJ-B</t>
  </si>
  <si>
    <t xml:space="preserve">ma-pp-0137006000SL</t>
  </si>
  <si>
    <t xml:space="preserve">Material</t>
  </si>
  <si>
    <t xml:space="preserve">envase</t>
  </si>
  <si>
    <t xml:space="preserve">Pintura elástica al siloxano BETAELASTIC de BEISSIER (15 litros/envase).   Ref. pp-0137006000SL</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</si>
  <si>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</si>
  <si>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</si>
  <si>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</si>
  <si>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</si>
  <si>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</si>
  <si>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</si>
  <si>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</si>
  <si>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</si>
  <si>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</si>
  <si>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</si>
  <si>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</si>
  <si>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</si>
  <si>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</si>
  <si>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</si>
  <si>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</si>
  <si>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</si>
  <si>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</si>
  <si>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</si>
  <si>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</si>
  <si>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</si>
  <si>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REVPINT-ELAST.SILOXANO-V-MS-1</t>
  </si>
  <si>
    <t xml:space="preserve">REVPINT-ELAST.SILOXANO-H-MS-1</t>
  </si>
  <si>
    <t xml:space="preserve">Partida</t>
  </si>
  <si>
    <t xml:space="preserve">m2</t>
  </si>
  <si>
    <t xml:space="preserve">XXXXXX PINTURA ELÁSTICA AL SILOXANO "BEISSIER" EN PARAMENTOS HORIZONTALES Y MEDIANTE EL USO DE MEDIO SUSPENDIDO/COLGADO</t>
  </si>
  <si>
    <t xml:space="preserve">PINTURA ELÁSTICA AL SILOXANO "BEISSIER" EN PARAMENTOS HORIZONTALES Y MEDIANTE EL USO DE MEDIO SUSPENDIDO/COLGADO</t>
  </si>
  <si>
    <t xml:space="preserve">ma-pp-0135002200SJ-B</t>
  </si>
  <si>
    <t xml:space="preserve">Material</t>
  </si>
  <si>
    <t xml:space="preserve">bidón</t>
  </si>
  <si>
    <t xml:space="preserve">Imprimante sellador para fondos pulverulentos DELTAFIX de BEISSIER (25 litros/bidón).   Ref. pp-0135002200SJ-B</t>
  </si>
  <si>
    <t xml:space="preserve">ma-pp-0137006000SL</t>
  </si>
  <si>
    <t xml:space="preserve">Material</t>
  </si>
  <si>
    <t xml:space="preserve">envase</t>
  </si>
  <si>
    <t xml:space="preserve">Pintura elástica al siloxano BETAELASTIC de BEISSIER (15 litros/envase).   Ref. pp-0137006000SL</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</si>
  <si>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</si>
  <si>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</si>
  <si>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</si>
  <si>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</si>
  <si>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</si>
  <si>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</si>
  <si>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</si>
  <si>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</si>
  <si>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</si>
  <si>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</si>
  <si>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</si>
  <si>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</si>
  <si>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</si>
  <si>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</si>
  <si>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</si>
  <si>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</si>
  <si>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</si>
  <si>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</si>
  <si>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</si>
  <si>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</si>
  <si>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REVPINT-ELAST.SILOXANO-H-MS-1</t>
  </si>
  <si>
    <t xml:space="preserve">REVPINT-ACRILSILOXANO-H-AT</t>
  </si>
  <si>
    <t xml:space="preserve">Partida</t>
  </si>
  <si>
    <t xml:space="preserve">m2</t>
  </si>
  <si>
    <t xml:space="preserve">XXXXXX PINTURA ACRILSILOXÁNICA EN PARAMENTOS HORIZONTALES DE FACHADAS CON PRODUCTO "REVETÓN ABSYDE"; MEDIANTE USO DE ANDAMIO TUBULAR</t>
  </si>
  <si>
    <t xml:space="preserve">Pintura acrilsiloxánica en paramentos horizontales de fachadas con producto "REVETÓN ABSYDE"; mediante uso de andamio tubular.</t>
  </si>
  <si>
    <t xml:space="preserve">ma-bricosyl-01</t>
  </si>
  <si>
    <t xml:space="preserve">Material</t>
  </si>
  <si>
    <t xml:space="preserve">bidón</t>
  </si>
  <si>
    <t xml:space="preserve">Pintura acrilsiloxánica para fachadas REVETÓN ABSYDE; color blanco y acabado mate. (15 litros/bidón).   Ref. bricosyl-01</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</si>
  <si>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</si>
  <si>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</si>
  <si>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</si>
  <si>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</si>
  <si>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</si>
  <si>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</si>
  <si>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</si>
  <si>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</si>
  <si>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</si>
  <si>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</si>
  <si>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</si>
  <si>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</si>
  <si>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</si>
  <si>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</si>
  <si>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</si>
  <si>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</si>
  <si>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</si>
  <si>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</si>
  <si>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</si>
  <si>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</si>
  <si>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REVPINT-ACRILSILOXANO-H-AT</t>
  </si>
  <si>
    <t xml:space="preserve">REVPINT-ACRILSILOXANO-H-MS</t>
  </si>
  <si>
    <t xml:space="preserve">Partida</t>
  </si>
  <si>
    <t xml:space="preserve">m2</t>
  </si>
  <si>
    <t xml:space="preserve">XXXXXX PINTURA ACRILSILOXÁNICA EN PARAMENTOS VERTICALES DE FACHADAS CON PRODUCTO "REVETÓN ABSYDE"; MEDIANTE USO DE MEDIO SUSPENDIDO/COLGADO</t>
  </si>
  <si>
    <t xml:space="preserve">Pintura acrilsiloxánica en paramentos horizontales de fachadas con producto "REVETÓN ABSYDE"; mediante uso de medio suspendido/colgado.</t>
  </si>
  <si>
    <t xml:space="preserve">ma-bricosyl-01</t>
  </si>
  <si>
    <t xml:space="preserve">Material</t>
  </si>
  <si>
    <t xml:space="preserve">bidón</t>
  </si>
  <si>
    <t xml:space="preserve">Pintura acrilsiloxánica para fachadas REVETÓN ABSYDE; color blanco y acabado mate. (15 litros/bidón).   Ref. bricosyl-01</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</si>
  <si>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</si>
  <si>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</si>
  <si>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</si>
  <si>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</si>
  <si>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</si>
  <si>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</si>
  <si>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</si>
  <si>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</si>
  <si>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</si>
  <si>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</si>
  <si>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</si>
  <si>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</si>
  <si>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</si>
  <si>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</si>
  <si>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</si>
  <si>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</si>
  <si>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</si>
  <si>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</si>
  <si>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</si>
  <si>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</si>
  <si>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REVPINT-ACRILSILOXANO-H-MS</t>
  </si>
  <si>
    <t xml:space="preserve">REVPINT-ACRILSILOXANO-V-MS</t>
  </si>
  <si>
    <t xml:space="preserve">Partida</t>
  </si>
  <si>
    <t xml:space="preserve">m2</t>
  </si>
  <si>
    <t xml:space="preserve">XXXXXX PINTURA ACRILSILOXÁNICA EN PARAMENTOS VERTICALES DE FACHADAS CON PRODUCTO "REVETÓN ABSYDE"; MEDIANTE USO DE MEDIO SUSPENDIDO/COLGADO</t>
  </si>
  <si>
    <t xml:space="preserve">Pintura acrilsiloxánica en paramentos verticales de fachadas con producto "REVETÓN ABSYDE"; mediante uso de medio suspendido/colgado.</t>
  </si>
  <si>
    <t xml:space="preserve">ma-bricosyl-01</t>
  </si>
  <si>
    <t xml:space="preserve">Material</t>
  </si>
  <si>
    <t xml:space="preserve">bidón</t>
  </si>
  <si>
    <t xml:space="preserve">Pintura acrilsiloxánica para fachadas REVETÓN ABSYDE; color blanco y acabado mate. (15 litros/bidón).   Ref. bricosyl-01</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</si>
  <si>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</si>
  <si>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</si>
  <si>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</si>
  <si>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</si>
  <si>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</si>
  <si>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</si>
  <si>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</si>
  <si>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</si>
  <si>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</si>
  <si>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</si>
  <si>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</si>
  <si>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</si>
  <si>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</si>
  <si>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</si>
  <si>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</si>
  <si>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</si>
  <si>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</si>
  <si>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</si>
  <si>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</si>
  <si>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</si>
  <si>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REVPINT-ACRILSILOXANO-V-MS</t>
  </si>
  <si>
    <t xml:space="preserve">REVPINT-ANTI-CARBONATO-H-MS-1</t>
  </si>
  <si>
    <t xml:space="preserve">Partida</t>
  </si>
  <si>
    <t xml:space="preserve">m2</t>
  </si>
  <si>
    <t xml:space="preserve">XXXXXX PINTURA DE PROTECCIÓN ANTI-CARBONATACIÓN DE SIKA EN MORTERO/HORMIGÓN, EN PARAMENTOS HORIZONTALES Y MEDIANTE EL USO DE MEDIO SUSPENDIDO/COLGADO</t>
  </si>
  <si>
    <t xml:space="preserve">PINTURA DE PROTECCIÓN ANTI-CARBONATACIÓN DE SIKA EN MORTERO/HORMIGÓN, EN PARAMENTOS HORIZONTALES Y MEDIANTE EL USO DE MEDIO SUSPENDIDO/COLGADO</t>
  </si>
  <si>
    <t xml:space="preserve">ma-s.lucia-sikagard.670.w.elast</t>
  </si>
  <si>
    <t xml:space="preserve">Material</t>
  </si>
  <si>
    <t xml:space="preserve">bidón</t>
  </si>
  <si>
    <t xml:space="preserve">Revestimiento de protección para hormigón frente a agentes agresivos (carbonatación, humedad o cloruros) SIKAGARD-670 W ELASTOCOLOR (20 litros/bidón).   Ref. s.lucia-sikagard.670.w.elast</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</si>
  <si>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</si>
  <si>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</si>
  <si>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</si>
  <si>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</si>
  <si>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</si>
  <si>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</si>
  <si>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</si>
  <si>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</si>
  <si>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</si>
  <si>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</si>
  <si>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</si>
  <si>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</si>
  <si>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</si>
  <si>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</si>
  <si>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</si>
  <si>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</si>
  <si>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</si>
  <si>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</si>
  <si>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</si>
  <si>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</si>
  <si>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REVPINT-ANTI-CARBONATO-H-MS-1</t>
  </si>
  <si>
    <t xml:space="preserve">REVPINT-ANTI-CARBONATO-H-MS-2</t>
  </si>
  <si>
    <t xml:space="preserve">Partida</t>
  </si>
  <si>
    <t xml:space="preserve">m2</t>
  </si>
  <si>
    <t xml:space="preserve">XXXXXX PINTURA DE PROTECCIÓN ANTI-CARBONATACIÓN DE REVETÓN EN MORTERO/HORMIGÓN, EN PARAMENTOS HORIZONTALES Y MEDIANTE EL USO DE MEDIO SUSPENDIDO/COLGADO</t>
  </si>
  <si>
    <t xml:space="preserve">PINTURA DE PROTECCIÓN ANTI-CARBONATACIÓN DE REVETÓN EN MORTERO/HORMIGÓN, EN PARAMENTOS HORIZONTALES Y MEDIANTE EL USO DE MEDIO SUSPENDIDO/COLGADO</t>
  </si>
  <si>
    <t xml:space="preserve">ma-dispival-rev.anticarbonato-15</t>
  </si>
  <si>
    <t xml:space="preserve">Material</t>
  </si>
  <si>
    <t xml:space="preserve">bidón</t>
  </si>
  <si>
    <t xml:space="preserve">Revestimiento acrílico anticarbonatación liso de REVETON; color blanco (15 lts/bidón).   Ref. dispival-rev.anticarbonato-15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</si>
  <si>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</si>
  <si>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</si>
  <si>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</si>
  <si>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</si>
  <si>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</si>
  <si>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</si>
  <si>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</si>
  <si>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</si>
  <si>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</si>
  <si>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</si>
  <si>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</si>
  <si>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</si>
  <si>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</si>
  <si>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</si>
  <si>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</si>
  <si>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</si>
  <si>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</si>
  <si>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</si>
  <si>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</si>
  <si>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</si>
  <si>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REVPINT-ANTI-CARBONATO-H-MS-2</t>
  </si>
  <si>
    <t xml:space="preserve">REVPINT-ANTI-CARBONATO-V-AT-1</t>
  </si>
  <si>
    <t xml:space="preserve">Partida</t>
  </si>
  <si>
    <t xml:space="preserve">m2</t>
  </si>
  <si>
    <t xml:space="preserve">XXXXXX PINTURA DE PROTECCIÓN ANTI-CARBONATACIÓN DE SIKA EN MORTERO/HORMIGÓN, EN PARAMENTOS VERTICALES Y MEDIANTE EL USO DE ANDAMIO TUBULAR</t>
  </si>
  <si>
    <t xml:space="preserve">PINTURA DE PROTECCIÓN ANTI-CARBONATACIÓN DE SIKA EN MORTERO/HORMIGÓN, EN PARAMENTOS VERTICALES Y MEDIANTE EL USO DE ANDAMIO TUBULAR</t>
  </si>
  <si>
    <t xml:space="preserve">ma-s.lucia-sikagard.670.w.elast</t>
  </si>
  <si>
    <t xml:space="preserve">Material</t>
  </si>
  <si>
    <t xml:space="preserve">bidón</t>
  </si>
  <si>
    <t xml:space="preserve">Revestimiento de protección para hormigón frente a agentes agresivos (carbonatación, humedad o cloruros) SIKAGARD-670 W ELASTOCOLOR (20 litros/bidón).   Ref. s.lucia-sikagard.670.w.elast</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</si>
  <si>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</si>
  <si>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</si>
  <si>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</si>
  <si>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</si>
  <si>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</si>
  <si>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</si>
  <si>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</si>
  <si>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</si>
  <si>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</si>
  <si>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</si>
  <si>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</si>
  <si>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</si>
  <si>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</si>
  <si>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</si>
  <si>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</si>
  <si>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</si>
  <si>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</si>
  <si>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</si>
  <si>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</si>
  <si>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</si>
  <si>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REVPINT-ANTI-CARBONATO-V-AT-1</t>
  </si>
  <si>
    <t xml:space="preserve">REVPINT-ANTI-CARBONATO-V-AT-2</t>
  </si>
  <si>
    <t xml:space="preserve">Partida</t>
  </si>
  <si>
    <t xml:space="preserve">m2</t>
  </si>
  <si>
    <t xml:space="preserve">XXXXXX PINTURA DE PROTECCIÓN ANTI-CARBONATACIÓN DE REVETÓN EN MORTERO/HORMIGÓN, EN PARAMENTOS VERTICALES Y MEDIANTE EL USO DE ANDAMIO TUBULAR</t>
  </si>
  <si>
    <t xml:space="preserve">PINTURA DE PROTECCIÓN ANTI-CARBONATACIÓN DE REVETÓN EN MORTERO/HORMIGÓN, EN PARAMENTOS VERTICALES Y MEDIANTE EL USO DE ANDAMIO TUBULAR</t>
  </si>
  <si>
    <t xml:space="preserve">ma-dispival-rev.anticarbonato-15</t>
  </si>
  <si>
    <t xml:space="preserve">Material</t>
  </si>
  <si>
    <t xml:space="preserve">bidón</t>
  </si>
  <si>
    <t xml:space="preserve">Revestimiento acrílico anticarbonatación liso de REVETON; color blanco (15 lts/bidón).   Ref. dispival-rev.anticarbonato-15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</si>
  <si>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</si>
  <si>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</si>
  <si>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</si>
  <si>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</si>
  <si>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</si>
  <si>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</si>
  <si>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</si>
  <si>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</si>
  <si>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</si>
  <si>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</si>
  <si>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</si>
  <si>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</si>
  <si>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</si>
  <si>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</si>
  <si>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</si>
  <si>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</si>
  <si>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</si>
  <si>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</si>
  <si>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</si>
  <si>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</si>
  <si>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REVPINT-ANTI-CARBONATO-V-AT-2</t>
  </si>
  <si>
    <t xml:space="preserve">REVPINT-ANTI-CARBONATO-V-MS-1</t>
  </si>
  <si>
    <t xml:space="preserve">Partida</t>
  </si>
  <si>
    <t xml:space="preserve">m2</t>
  </si>
  <si>
    <t xml:space="preserve">XXXXXX PINTURA DE PROTECCIÓN ANTI-CARBONATACIÓN DE SIKA EN MORTERO/HORMIGÓN, EN PARAMENTOS VERTICALES Y MEDIANTE EL USO DE MEDIO SUSPENDIDO/COLGADO</t>
  </si>
  <si>
    <t xml:space="preserve">PINTURA DE PROTECCIÓN ANTI-CARBONATACIÓN DE SIKA EN MORTERO/HORMIGÓN, EN PARAMENTOS VERTICALES Y MEDIANTE EL USO DE MEDIO SUSPENDIDO/COLGADO</t>
  </si>
  <si>
    <t xml:space="preserve">ma-s.lucia-sikagard.670.w.elast</t>
  </si>
  <si>
    <t xml:space="preserve">Material</t>
  </si>
  <si>
    <t xml:space="preserve">bidón</t>
  </si>
  <si>
    <t xml:space="preserve">Revestimiento de protección para hormigón frente a agentes agresivos (carbonatación, humedad o cloruros) SIKAGARD-670 W ELASTOCOLOR (20 litros/bidón).   Ref. s.lucia-sikagard.670.w.elast</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</si>
  <si>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</si>
  <si>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</si>
  <si>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</si>
  <si>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</si>
  <si>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</si>
  <si>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</si>
  <si>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</si>
  <si>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</si>
  <si>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</si>
  <si>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</si>
  <si>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</si>
  <si>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</si>
  <si>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</si>
  <si>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</si>
  <si>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</si>
  <si>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</si>
  <si>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</si>
  <si>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</si>
  <si>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</si>
  <si>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</si>
  <si>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REVPINT-ANTI-CARBONATO-V-MS-1</t>
  </si>
  <si>
    <t xml:space="preserve">REVPINT-ANTI-CARBONATO-V-MS-2</t>
  </si>
  <si>
    <t xml:space="preserve">Partida</t>
  </si>
  <si>
    <t xml:space="preserve">m2</t>
  </si>
  <si>
    <t xml:space="preserve">XXXXXX PINTURA DE PROTECCIÓN ANTI-CARBONATACIÓN DE REVETÓN EN MORTERO/HORMIGÓN, EN PARAMENTOS VERTICALES Y MEDIANTE EL USO DE MEDIO SUSPENDIDO/COLGADO</t>
  </si>
  <si>
    <t xml:space="preserve">PINTURA DE PROTECCIÓN ANTI-CARBONATACIÓN DE REVETÓN EN MORTERO/HORMIGÓN, EN PARAMENTOS VERTICALES Y MEDIANTE EL USO DE MEDIO SUSPENDIDO/COLGADO</t>
  </si>
  <si>
    <t xml:space="preserve">ma-dispival-rev.anticarbonato-15</t>
  </si>
  <si>
    <t xml:space="preserve">Material</t>
  </si>
  <si>
    <t xml:space="preserve">bidón</t>
  </si>
  <si>
    <t xml:space="preserve">Revestimiento acrílico anticarbonatación liso de REVETON; color blanco (15 lts/bidón).   Ref. dispival-rev.anticarbonato-15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</si>
  <si>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</si>
  <si>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</si>
  <si>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</si>
  <si>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</si>
  <si>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</si>
  <si>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</si>
  <si>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</si>
  <si>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</si>
  <si>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</si>
  <si>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</si>
  <si>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</si>
  <si>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</si>
  <si>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</si>
  <si>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</si>
  <si>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</si>
  <si>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</si>
  <si>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</si>
  <si>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</si>
  <si>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</si>
  <si>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</si>
  <si>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REVPINT-ANTI-CARBONATO-V-MS-2</t>
  </si>
  <si>
    <t xml:space="preserve">REVPINT-ESMALTE.PU.AGUA-V-MS-01</t>
  </si>
  <si>
    <t xml:space="preserve">Partida</t>
  </si>
  <si>
    <t xml:space="preserve">m2</t>
  </si>
  <si>
    <t xml:space="preserve">XXXXXX PINTURA ESMALTE AL AGUA CON POLIURETANO EN BARANDILLA STD (RUBBOL BL DE SIKKENS)); MEDIANTE EL USO DE MEDIO SUSPENDIDO/COLGADO</t>
  </si>
  <si>
    <t xml:space="preserve">PINTURA ESMALTE AL AGUA CON POLIURETANO EN BARANDILLA STD (RUBBOL BL DE SIKKENS)); MEDIANTE EL USO DE MEDIO SUSPENDIDO/COLGADO</t>
  </si>
  <si>
    <t xml:space="preserve">ma-pinturasalejo-rubbol.blprimer</t>
  </si>
  <si>
    <t xml:space="preserve">Material</t>
  </si>
  <si>
    <t xml:space="preserve">envase</t>
  </si>
  <si>
    <t xml:space="preserve">Imprimante multisuperficie al agua RUBBOL BL PRIMER de SIKKENS (2,5 litros/envase).   Ref. pinturasalejo-rubbol.blprimer</t>
  </si>
  <si>
    <t xml:space="preserve">ma-imcasa-rubbol.bl-satura</t>
  </si>
  <si>
    <t xml:space="preserve">Material</t>
  </si>
  <si>
    <t xml:space="preserve">envase</t>
  </si>
  <si>
    <t xml:space="preserve">Esmalte en base agua con resina de poliuretano RUBBOL BL SATURA de SIKKENS (2,5 litros/envase).   Ref. imcasa-rubbol.bl-satura</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</si>
  <si>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</si>
  <si>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</si>
  <si>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</si>
  <si>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</si>
  <si>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</si>
  <si>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</si>
  <si>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</si>
  <si>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</si>
  <si>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</si>
  <si>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</si>
  <si>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</si>
  <si>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</si>
  <si>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</si>
  <si>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</si>
  <si>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</si>
  <si>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</si>
  <si>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</si>
  <si>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</si>
  <si>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</si>
  <si>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</si>
  <si>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REVPINT-ESMALTE.PU.AGUA-V-MS-01</t>
  </si>
  <si>
    <t xml:space="preserve">REVPINT33-MNR-M2-MS</t>
  </si>
  <si>
    <t xml:space="preserve">Partida</t>
  </si>
  <si>
    <t xml:space="preserve">m2</t>
  </si>
  <si>
    <t xml:space="preserve">XXXXXX PINTURA MULTISUPERFICIE EN MADERA, METAL Y PVC; MEDIANTE USO DE ANDAMIO TUBULAR</t>
  </si>
  <si>
    <t xml:space="preserve">Pintura multisuperficie en madera, metal y pvc; mediante uso de andamio tubular</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</si>
  <si>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</si>
  <si>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</si>
  <si>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</si>
  <si>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</si>
  <si>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</si>
  <si>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</si>
  <si>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</si>
  <si>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</si>
  <si>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</si>
  <si>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</si>
  <si>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</si>
  <si>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</si>
  <si>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</si>
  <si>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</si>
  <si>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</si>
  <si>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</si>
  <si>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</si>
  <si>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</si>
  <si>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</si>
  <si>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</si>
  <si>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</si>
  <si>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</si>
  <si>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</si>
  <si>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</si>
  <si>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REVPINT33-MNR-M2-MS</t>
  </si>
  <si>
    <t xml:space="preserve">REVPINT33-MNR-ML20a30-MS</t>
  </si>
  <si>
    <t xml:space="preserve">Partida</t>
  </si>
  <si>
    <t xml:space="preserve">m</t>
  </si>
  <si>
    <t xml:space="preserve">XXXXXX PINTURA MULTISUPERFICIE EN MADERA, METAL Y PVC (20 cm2 &lt; área/m &lt;= 30 cm2); MEDIANTE USO DE MEDIO SUSPENDIDO/COLGADO</t>
  </si>
  <si>
    <t xml:space="preserve">Pintura multisuperficie en madera, metal y pvc (20 cm2 &lt; área/m &lt;= 30 cm2); mediante uso de medio suspendido/colgado</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</si>
  <si>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</si>
  <si>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</si>
  <si>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</si>
  <si>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</si>
  <si>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</si>
  <si>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</si>
  <si>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</si>
  <si>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</si>
  <si>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</si>
  <si>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</si>
  <si>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</si>
  <si>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</si>
  <si>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</si>
  <si>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</si>
  <si>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</si>
  <si>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</si>
  <si>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</si>
  <si>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</si>
  <si>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</si>
  <si>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</si>
  <si>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</si>
  <si>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</si>
  <si>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</si>
  <si>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</si>
  <si>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REVPINT33-MNR-ML20a30-MS</t>
  </si>
  <si>
    <t xml:space="preserve">REVPINT33-MNR-ML30a40-AT</t>
  </si>
  <si>
    <t xml:space="preserve">Partida</t>
  </si>
  <si>
    <t xml:space="preserve">m</t>
  </si>
  <si>
    <t xml:space="preserve">XXXXXX PINTURA MULTISUPERFICIE EN MADERA, METAL Y PVC (30 cm2 &lt; área/m &lt;= 40 cm2); MEDIANTE USO DE ANDAMIO TUBULAR</t>
  </si>
  <si>
    <t xml:space="preserve">Pintura multisuperficie en madera, metal y pvc (30 cm2 &lt; área/m &lt;= 40 cm2); mediante uso de andamio tubular</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</si>
  <si>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</si>
  <si>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</si>
  <si>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</si>
  <si>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</si>
  <si>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</si>
  <si>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</si>
  <si>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</si>
  <si>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</si>
  <si>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</si>
  <si>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</si>
  <si>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</si>
  <si>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</si>
  <si>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</si>
  <si>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</si>
  <si>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</si>
  <si>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</si>
  <si>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</si>
  <si>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</si>
  <si>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</si>
  <si>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</si>
  <si>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</si>
  <si>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</si>
  <si>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</si>
  <si>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</si>
  <si>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REVPINT33-MNR-ML30a40-AT</t>
  </si>
  <si>
    <t xml:space="preserve">REVPINT33-MNR-ML30a40-MS</t>
  </si>
  <si>
    <t xml:space="preserve">Partida</t>
  </si>
  <si>
    <t xml:space="preserve">m</t>
  </si>
  <si>
    <t xml:space="preserve">XXXXXX PINTURA MULTISUPERFICIE EN MADERA, METAL Y PVC (30 cm2 &lt; área/m &lt;= 40 cm2); MEDIANTE USO DE MEDIO SUSPENDIDO/COLGADO</t>
  </si>
  <si>
    <t xml:space="preserve">Pintura multisuperficie en madera, metal y pvc (30 cm2 &lt; área/m &lt;= 40 cm2); mediante uso de medio suspendido/colgado</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</si>
  <si>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</si>
  <si>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</si>
  <si>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</si>
  <si>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</si>
  <si>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</si>
  <si>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</si>
  <si>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</si>
  <si>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</si>
  <si>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</si>
  <si>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</si>
  <si>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</si>
  <si>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</si>
  <si>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</si>
  <si>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</si>
  <si>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</si>
  <si>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</si>
  <si>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</si>
  <si>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</si>
  <si>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</si>
  <si>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</si>
  <si>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</si>
  <si>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</si>
  <si>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</si>
  <si>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</si>
  <si>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REVPINT33-MNR-ML30a40-MS</t>
  </si>
  <si>
    <t xml:space="preserve">REVPINT-MINERAL-H-MS</t>
  </si>
  <si>
    <t xml:space="preserve">Partida</t>
  </si>
  <si>
    <t xml:space="preserve">m2</t>
  </si>
  <si>
    <t xml:space="preserve">XXXXXX PINTURA MINERAL "LIME PAINT de FLEUR" EN PARAMENTOS HORIZONTALES, MEDIANTE EL USO DE MEDIO SUSPENDIDO/COLGADO (FCH)</t>
  </si>
  <si>
    <t xml:space="preserve">Pintura mineral "LIME PAINT DE FLEUR" en paramentos horizontales, mediante el uso de medio suspendido/colgado (FCH)</t>
  </si>
  <si>
    <t xml:space="preserve">ma-bh-30285813</t>
  </si>
  <si>
    <t xml:space="preserve">Material</t>
  </si>
  <si>
    <t xml:space="preserve">envase</t>
  </si>
  <si>
    <t xml:space="preserve">Imprimante FONDO LIME PAINT de FLEUR para pintura mineral (2,5 litros/envase).   Ref. bh-30285813</t>
  </si>
  <si>
    <t xml:space="preserve">ma-bh-30227277</t>
  </si>
  <si>
    <t xml:space="preserve">Material</t>
  </si>
  <si>
    <t xml:space="preserve">envase</t>
  </si>
  <si>
    <t xml:space="preserve">Pintura mineral LIME PAINT de FLEUR para efectos decorativos; color Cream Love (2,5 litros/envase).   Ref. bh-30227277</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</si>
  <si>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</si>
  <si>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</si>
  <si>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</si>
  <si>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</si>
  <si>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</si>
  <si>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</si>
  <si>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</si>
  <si>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</si>
  <si>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</si>
  <si>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</si>
  <si>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</si>
  <si>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</si>
  <si>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</si>
  <si>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</si>
  <si>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</si>
  <si>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</si>
  <si>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</si>
  <si>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</si>
  <si>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</si>
  <si>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</si>
  <si>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REVPINT-MINERAL-H-MS</t>
  </si>
  <si>
    <t xml:space="preserve">REVPINT-MINERAL-V-AT</t>
  </si>
  <si>
    <t xml:space="preserve">Partida</t>
  </si>
  <si>
    <t xml:space="preserve">m2</t>
  </si>
  <si>
    <t xml:space="preserve">XXXXXX PINTURA MINERAL "LIME PAINT de FLEUR" EN PARAMENTOS VERTICALES, MEDIANTE EL USO DE ANDAMIO TUBULAR (FCH)</t>
  </si>
  <si>
    <t xml:space="preserve">Pintura mineral "LIME PAINT DE FLEUR" en paramentos verticales, mediante el uso de andamio tubular (FCH)</t>
  </si>
  <si>
    <t xml:space="preserve">ma-bh-30285813</t>
  </si>
  <si>
    <t xml:space="preserve">Material</t>
  </si>
  <si>
    <t xml:space="preserve">envase</t>
  </si>
  <si>
    <t xml:space="preserve">Imprimante FONDO LIME PAINT de FLEUR para pintura mineral (2,5 litros/envase).   Ref. bh-30285813</t>
  </si>
  <si>
    <t xml:space="preserve">ma-bh-30227277</t>
  </si>
  <si>
    <t xml:space="preserve">Material</t>
  </si>
  <si>
    <t xml:space="preserve">envase</t>
  </si>
  <si>
    <t xml:space="preserve">Pintura mineral LIME PAINT de FLEUR para efectos decorativos; color Cream Love (2,5 litros/envase).   Ref. bh-30227277</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</si>
  <si>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</si>
  <si>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</si>
  <si>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</si>
  <si>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</si>
  <si>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</si>
  <si>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</si>
  <si>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</si>
  <si>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</si>
  <si>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</si>
  <si>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</si>
  <si>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</si>
  <si>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</si>
  <si>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</si>
  <si>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</si>
  <si>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</si>
  <si>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</si>
  <si>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</si>
  <si>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</si>
  <si>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</si>
  <si>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</si>
  <si>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REVPINT-MINERAL-V-AT</t>
  </si>
  <si>
    <t xml:space="preserve">REVPINT-MINERAL-V-MS</t>
  </si>
  <si>
    <t xml:space="preserve">Partida</t>
  </si>
  <si>
    <t xml:space="preserve">m2</t>
  </si>
  <si>
    <t xml:space="preserve">XXXXXX PINTURA MINERAL "LIME PAINT de FLEUR" EN PARAMENTOS VERTICALES, MEDIANTE EL USO DE MEDIO SUSPENDIDO/COLGADO (FCH)</t>
  </si>
  <si>
    <t xml:space="preserve">Pintura mineral "LIME PAINT DE FLEUR" en paramentos verticales, mediante el uso de medio suspendido/colgado (FCH)</t>
  </si>
  <si>
    <t xml:space="preserve">ma-bh-30285813</t>
  </si>
  <si>
    <t xml:space="preserve">Material</t>
  </si>
  <si>
    <t xml:space="preserve">envase</t>
  </si>
  <si>
    <t xml:space="preserve">Imprimante FONDO LIME PAINT de FLEUR para pintura mineral (2,5 litros/envase).   Ref. bh-30285813</t>
  </si>
  <si>
    <t xml:space="preserve">ma-bh-30227277</t>
  </si>
  <si>
    <t xml:space="preserve">Material</t>
  </si>
  <si>
    <t xml:space="preserve">envase</t>
  </si>
  <si>
    <t xml:space="preserve">Pintura mineral LIME PAINT de FLEUR para efectos decorativos; color Cream Love (2,5 litros/envase).   Ref. bh-30227277</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</si>
  <si>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</si>
  <si>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</si>
  <si>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</si>
  <si>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</si>
  <si>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</si>
  <si>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</si>
  <si>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</si>
  <si>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</si>
  <si>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</si>
  <si>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</si>
  <si>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</si>
  <si>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</si>
  <si>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</si>
  <si>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</si>
  <si>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</si>
  <si>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</si>
  <si>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</si>
  <si>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</si>
  <si>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</si>
  <si>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</si>
  <si>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REVPINT-MINERAL-V-MS</t>
  </si>
  <si>
    <t xml:space="preserve">REVPINT</t>
  </si>
  <si>
    <t xml:space="preserve">REVPREP</t>
  </si>
  <si>
    <t xml:space="preserve">Capítulo</t>
  </si>
  <si>
    <t xml:space="preserve">XXXXXX PREPARACIONES</t>
  </si>
  <si>
    <t xml:space="preserve">REVPREP01-OK</t>
  </si>
  <si>
    <t xml:space="preserve">Partida</t>
  </si>
  <si>
    <t xml:space="preserve">M2</t>
  </si>
  <si>
    <t xml:space="preserve">XXXXXX DECAPADO DE PINTURA EXISTENTE</t>
  </si>
  <si>
    <t xml:space="preserve">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</si>
  <si>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</si>
  <si>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</si>
  <si>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</si>
  <si>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</si>
  <si>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</si>
  <si>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</si>
  <si>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</si>
  <si>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</si>
  <si>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</si>
  <si>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</si>
  <si>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</si>
  <si>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</si>
  <si>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</si>
  <si>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</si>
  <si>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</si>
  <si>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</si>
  <si>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</si>
  <si>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</si>
  <si>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</si>
  <si>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</si>
  <si>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</si>
  <si>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</si>
  <si>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</si>
  <si>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</si>
  <si>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</si>
  <si>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REVPREP01-OK</t>
  </si>
  <si>
    <t xml:space="preserve">REVPREP</t>
  </si>
  <si>
    <t xml:space="preserve">ENFOSC</t>
  </si>
  <si>
    <t xml:space="preserve">Capítulo</t>
  </si>
  <si>
    <t xml:space="preserve">o ENFOSCADO</t>
  </si>
  <si>
    <t xml:space="preserve">ENF001</t>
  </si>
  <si>
    <t xml:space="preserve">Partida</t>
  </si>
  <si>
    <t xml:space="preserve">M2</t>
  </si>
  <si>
    <t xml:space="preserve">o ENFOSCADODE MORTERO M-7,5 DE 15mm</t>
  </si>
  <si>
    <t xml:space="preserve">Enfoscado de cemento, a buena vista, aplicado sobre un paramento vertical interior, hasta 3 m de altura, acabado superficial rugoso, con mortero de cemento, armado y reforzado con malla antialcalis.</t>
  </si>
  <si>
    <t xml:space="preserve">ma-lp-00539164</t>
  </si>
  <si>
    <t xml:space="preserve">Material</t>
  </si>
  <si>
    <t xml:space="preserve">saco</t>
  </si>
  <si>
    <t xml:space="preserve">Mortero seco para aplicaciones en albañilería M-7,5 SAGRASEC; color blanco (25 kg/saco)   Ref. lp-00539164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</si>
  <si>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</si>
  <si>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</si>
  <si>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</si>
  <si>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</si>
  <si>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</si>
  <si>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</si>
  <si>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</si>
  <si>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</si>
  <si>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</si>
  <si>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</si>
  <si>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</si>
  <si>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</si>
  <si>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</si>
  <si>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</si>
  <si>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</si>
  <si>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</si>
  <si>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</si>
  <si>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</si>
  <si>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</si>
  <si>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</si>
  <si>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</si>
  <si>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</si>
  <si>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</si>
  <si>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</si>
  <si>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</si>
  <si>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</si>
  <si>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</si>
  <si>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</si>
  <si>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</si>
  <si>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</si>
  <si>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</si>
  <si>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</si>
  <si>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ENF001</t>
  </si>
  <si>
    <t xml:space="preserve">MOR012</t>
  </si>
  <si>
    <t xml:space="preserve">Partida</t>
  </si>
  <si>
    <t xml:space="preserve">m2</t>
  </si>
  <si>
    <t xml:space="preserve">XXXXXX ENFOSCADO 12 mm EN PARAMENTO HORIZONTAL CON MORTERO BASTARDO "M-7,5/SAGRASEC", MEDIANTE USO DE ANDAMIO TUBULAR</t>
  </si>
  <si>
    <t xml:space="preserve">ENFOSCADO 12 mm EN PARAMENTO HORIZONTAL CON MORTERO BASTARDO "M-7,5/SAGRASEC", MEDIANTE USO DE ANDAMIO TUBULAR</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</si>
  <si>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</si>
  <si>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</si>
  <si>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</si>
  <si>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</si>
  <si>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</si>
  <si>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</si>
  <si>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</si>
  <si>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</si>
  <si>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</si>
  <si>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</si>
  <si>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</si>
  <si>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</si>
  <si>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</si>
  <si>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</si>
  <si>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</si>
  <si>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</si>
  <si>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</si>
  <si>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</si>
  <si>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</si>
  <si>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</si>
  <si>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</si>
  <si>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</si>
  <si>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</si>
  <si>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</si>
  <si>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</si>
  <si>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</si>
  <si>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</si>
  <si>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</si>
  <si>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</si>
  <si>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</si>
  <si>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</si>
  <si>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</si>
  <si>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MOR012</t>
  </si>
  <si>
    <t xml:space="preserve">MOR012TV</t>
  </si>
  <si>
    <t xml:space="preserve">Partida</t>
  </si>
  <si>
    <t xml:space="preserve">m2</t>
  </si>
  <si>
    <t xml:space="preserve">XXXXXX ENFOSCADO 12 mm EN PARAMENTO HORIZONTAL CON MORTERO BASTARDO "M-7,5/SAGRASEC", MEDIANTE USO DE MEDIO SUSPENDIDO/COLGADO</t>
  </si>
  <si>
    <t xml:space="preserve">ENFOSCADO 12 mm EN PARAMENTO HORIZONTAL CON MORTERO BASTARDO "M-7,5/SAGRASEC", MEDIANTE USO DE MEDIO SUSPENDIDO/COLGADO</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</si>
  <si>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</si>
  <si>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</si>
  <si>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</si>
  <si>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</si>
  <si>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</si>
  <si>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</si>
  <si>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</si>
  <si>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</si>
  <si>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</si>
  <si>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</si>
  <si>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</si>
  <si>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</si>
  <si>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</si>
  <si>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</si>
  <si>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</si>
  <si>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</si>
  <si>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</si>
  <si>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</si>
  <si>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</si>
  <si>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</si>
  <si>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</si>
  <si>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</si>
  <si>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</si>
  <si>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</si>
  <si>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</si>
  <si>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</si>
  <si>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</si>
  <si>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</si>
  <si>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</si>
  <si>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</si>
  <si>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</si>
  <si>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</si>
  <si>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MOR012TV</t>
  </si>
  <si>
    <t xml:space="preserve">REV-ENFOSCADO-M7.5-12mm-V-AT</t>
  </si>
  <si>
    <t xml:space="preserve">Partida</t>
  </si>
  <si>
    <t xml:space="preserve">m2</t>
  </si>
  <si>
    <t xml:space="preserve">XXXXXX ENFOSCADO 12 mm EN PARAMENTO VERTICAL CON MORTERO BASTARDO "M-7,5/SAGRASEC", MEDIANTE USO DE ANDAMIO TUBULAR</t>
  </si>
  <si>
    <t xml:space="preserve">ENFOSCADO 12 mm EN PARAMENTO VERTICAL CON MORTERO BASTARDO "M-7,5/SAGRASEC", MEDIANTE USO DE ANDAMIO TUBULAR</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</si>
  <si>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</si>
  <si>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</si>
  <si>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</si>
  <si>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</si>
  <si>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</si>
  <si>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</si>
  <si>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</si>
  <si>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</si>
  <si>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</si>
  <si>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</si>
  <si>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</si>
  <si>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</si>
  <si>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</si>
  <si>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</si>
  <si>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</si>
  <si>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</si>
  <si>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</si>
  <si>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</si>
  <si>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</si>
  <si>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</si>
  <si>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</si>
  <si>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</si>
  <si>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</si>
  <si>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</si>
  <si>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</si>
  <si>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</si>
  <si>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</si>
  <si>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</si>
  <si>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</si>
  <si>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</si>
  <si>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</si>
  <si>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</si>
  <si>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REV-ENFOSCADO-M7.5-12mm-V-AT</t>
  </si>
  <si>
    <t xml:space="preserve">REV-ENFOSCADO-M7.5-12mm-V-MS</t>
  </si>
  <si>
    <t xml:space="preserve">Partida</t>
  </si>
  <si>
    <t xml:space="preserve">m2</t>
  </si>
  <si>
    <t xml:space="preserve">XXXXXX ENFOSCADO 12 mm EN PARAMENTO VERTICAL CON MORTERO BASTARDO "M-7,5/SAGRASEC", MEDIANTE USO DE MEDIO SUSPENDIDO/COLGADO</t>
  </si>
  <si>
    <t xml:space="preserve">ENFOSCADO 12 mm EN PARAMENTO VERTICAL CON MORTERO BASTARDO "M-7,5/SAGRASEC", MEDIANTE USO DE MEDIO SUSPENDIDO/COLGADO</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</si>
  <si>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</si>
  <si>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</si>
  <si>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</si>
  <si>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</si>
  <si>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</si>
  <si>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</si>
  <si>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</si>
  <si>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</si>
  <si>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</si>
  <si>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</si>
  <si>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</si>
  <si>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</si>
  <si>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</si>
  <si>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</si>
  <si>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</si>
  <si>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</si>
  <si>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</si>
  <si>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</si>
  <si>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</si>
  <si>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</si>
  <si>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</si>
  <si>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</si>
  <si>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</si>
  <si>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</si>
  <si>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</si>
  <si>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</si>
  <si>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</si>
  <si>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</si>
  <si>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</si>
  <si>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</si>
  <si>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</si>
  <si>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</si>
  <si>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REV-ENFOSCADO-M7.5-12mm-V-MS</t>
  </si>
  <si>
    <t xml:space="preserve">REV-ENFOSCADO-M7.5-15mm-H-AT</t>
  </si>
  <si>
    <t xml:space="preserve">Partida</t>
  </si>
  <si>
    <t xml:space="preserve">m2</t>
  </si>
  <si>
    <t xml:space="preserve">XXXXXX ENFOSCADO 15 mm EN PARAMENTO HORIZONTAL CON MORTERO BASTARDO "M-7,5/SAGRASEC", MEDIANTE USO DE ANDAMIO TUBULAR</t>
  </si>
  <si>
    <t xml:space="preserve">ENFOSCADO 15 mm EN PARAMENTO HORIZONTAL CON MORTERO BASTARDO "M-7,5/SAGRASEC", MEDIANTE USO DE ANDAMIO TUBULAR</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</si>
  <si>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</si>
  <si>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</si>
  <si>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</si>
  <si>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</si>
  <si>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</si>
  <si>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</si>
  <si>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</si>
  <si>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</si>
  <si>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</si>
  <si>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</si>
  <si>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</si>
  <si>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</si>
  <si>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</si>
  <si>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</si>
  <si>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</si>
  <si>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</si>
  <si>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</si>
  <si>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</si>
  <si>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</si>
  <si>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</si>
  <si>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</si>
  <si>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</si>
  <si>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</si>
  <si>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</si>
  <si>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</si>
  <si>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</si>
  <si>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</si>
  <si>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</si>
  <si>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</si>
  <si>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</si>
  <si>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</si>
  <si>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</si>
  <si>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REV-ENFOSCADO-M7.5-15mm-H-AT</t>
  </si>
  <si>
    <t xml:space="preserve">REV-ENFOSCADO-M7.5-15mm-H-MS</t>
  </si>
  <si>
    <t xml:space="preserve">Partida</t>
  </si>
  <si>
    <t xml:space="preserve">m2</t>
  </si>
  <si>
    <t xml:space="preserve">XXXXXX ENFOSCADO 15 mm EN PARAMENTO HORIZONTAL CON MORTERO BASTARDO "M-7,5/SAGRASEC", MEDIANTE USO DE MEDIO SUSPENDIDO/COLGADO</t>
  </si>
  <si>
    <t xml:space="preserve">ENFOSCADO 15 mm EN PARAMENTO HORIZONTAL CON MORTERO BASTARDO "M-7,5/SAGRASEC", MEDIANTE USO DE MEDIO SUSPENDIDO/COLGADO</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</si>
  <si>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</si>
  <si>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</si>
  <si>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</si>
  <si>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</si>
  <si>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</si>
  <si>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</si>
  <si>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</si>
  <si>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</si>
  <si>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</si>
  <si>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</si>
  <si>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</si>
  <si>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</si>
  <si>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</si>
  <si>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</si>
  <si>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</si>
  <si>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</si>
  <si>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</si>
  <si>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</si>
  <si>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</si>
  <si>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</si>
  <si>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</si>
  <si>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</si>
  <si>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</si>
  <si>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</si>
  <si>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</si>
  <si>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</si>
  <si>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</si>
  <si>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</si>
  <si>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</si>
  <si>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</si>
  <si>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</si>
  <si>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</si>
  <si>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REV-ENFOSCADO-M7.5-15mm-H-MS</t>
  </si>
  <si>
    <t xml:space="preserve">REV-ENFOSCADO-M7.5-15mm-V-AT</t>
  </si>
  <si>
    <t xml:space="preserve">Partida</t>
  </si>
  <si>
    <t xml:space="preserve">m2</t>
  </si>
  <si>
    <t xml:space="preserve">XXXXXX ENFOSCADO 15 mm EN PARAMENTO VERTICAL CON MORTERO BASTARDO "M-7,5/SAGRASEC", MEDIANTE USO DE ANDAMIO TUBULAR</t>
  </si>
  <si>
    <t xml:space="preserve">ENFOSCADO 15 mm EN PARAMENTO VERTICAL CON MORTERO BASTARDO "M-7,5/SAGRASEC", MEDIANTE USO DE ANDAMIO TUBULAR</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</si>
  <si>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</si>
  <si>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</si>
  <si>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</si>
  <si>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</si>
  <si>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</si>
  <si>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</si>
  <si>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</si>
  <si>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</si>
  <si>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</si>
  <si>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</si>
  <si>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</si>
  <si>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</si>
  <si>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</si>
  <si>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</si>
  <si>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</si>
  <si>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</si>
  <si>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</si>
  <si>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</si>
  <si>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</si>
  <si>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</si>
  <si>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</si>
  <si>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</si>
  <si>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</si>
  <si>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</si>
  <si>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</si>
  <si>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</si>
  <si>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</si>
  <si>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</si>
  <si>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</si>
  <si>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</si>
  <si>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</si>
  <si>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</si>
  <si>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REV-ENFOSCADO-M7.5-15mm-V-AT</t>
  </si>
  <si>
    <t xml:space="preserve">REV-ENFOSCADO-M7.5-15mm-V-MS</t>
  </si>
  <si>
    <t xml:space="preserve">Partida</t>
  </si>
  <si>
    <t xml:space="preserve">m2</t>
  </si>
  <si>
    <t xml:space="preserve">XXXXXX ENFOSCADO 15 mm EN PARAMENTO VERTICAL CON MORTERO BASTARDO "M-7,5/SAGRASEC", MEDIANTE USO DE MEDIO SUSPENDIDO/COLGADO</t>
  </si>
  <si>
    <t xml:space="preserve">ENFOSCADO 15 mm EN PARAMENTO VERTICAL CON MORTERO BASTARDO "M-7,5/SAGRASEC", MEDIANTE USO DE MEDIO SUSPENDIDO/COLGADO</t>
  </si>
  <si>
    <t xml:space="preserve">ma-lp-00539164</t>
  </si>
  <si>
    <t xml:space="preserve">Material</t>
  </si>
  <si>
    <t xml:space="preserve">saco</t>
  </si>
  <si>
    <t xml:space="preserve">Mortero seco para aplicaciones en albañilería M-7,5 SAGRASEC; color blanco (25 kg/saco)   Ref. lp-00539164</t>
  </si>
  <si>
    <t xml:space="preserve">ma-lp-00001498</t>
  </si>
  <si>
    <t xml:space="preserve">Material</t>
  </si>
  <si>
    <t xml:space="preserve">und</t>
  </si>
  <si>
    <t xml:space="preserve">Junquillo monocapa PVC (2 m/und).   Ref. lp-00001498</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</si>
  <si>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</si>
  <si>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</si>
  <si>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</si>
  <si>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</si>
  <si>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</si>
  <si>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</si>
  <si>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</si>
  <si>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</si>
  <si>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</si>
  <si>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</si>
  <si>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</si>
  <si>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</si>
  <si>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</si>
  <si>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</si>
  <si>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</si>
  <si>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</si>
  <si>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</si>
  <si>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</si>
  <si>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</si>
  <si>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</si>
  <si>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</si>
  <si>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</si>
  <si>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</si>
  <si>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</si>
  <si>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REV-ENFOSCADO-M7.5-15mm-V-MS</t>
  </si>
  <si>
    <t xml:space="preserve">ENFOSC</t>
  </si>
  <si>
    <t xml:space="preserve">MORACR</t>
  </si>
  <si>
    <t xml:space="preserve">Capítulo</t>
  </si>
  <si>
    <t xml:space="preserve">o MORTEROS ACRILICOS</t>
  </si>
  <si>
    <t xml:space="preserve">MORACR001</t>
  </si>
  <si>
    <t xml:space="preserve">Partida</t>
  </si>
  <si>
    <t xml:space="preserve">M2</t>
  </si>
  <si>
    <t xml:space="preserve">o MORTERO ACRÍLICO REVAT PLAS DE PROPAMSA</t>
  </si>
  <si>
    <t xml:space="preserve">Revestimiento decorativo en fachadas, con mortero acrilico REVAT PLAS DE PROPAMSA a base de resina de copolímeros acrílico-estirénicos, cargas, pigmentos minerales y aditivos que proporcionan un acabado de protección y decoración del edificio, de 2 a 3 mm de espesor, color Blanco.</t>
  </si>
  <si>
    <t xml:space="preserve">ma-lp-00540839</t>
  </si>
  <si>
    <t xml:space="preserve">Material</t>
  </si>
  <si>
    <t xml:space="preserve">bote</t>
  </si>
  <si>
    <t xml:space="preserve">Imprimante promotor de adherencia PROPAM GRIP+ (5 kg/envase).   Ref. lp-00540839</t>
  </si>
  <si>
    <t xml:space="preserve">ma-lp-00001705</t>
  </si>
  <si>
    <t xml:space="preserve">Material</t>
  </si>
  <si>
    <t xml:space="preserve">rollo</t>
  </si>
  <si>
    <t xml:space="preserve">Malla de fibra de vidrio azul para refuerzo de morteros y revocos (rollo 50x1 m)   Ref. lp-00001705</t>
  </si>
  <si>
    <t xml:space="preserve">ma-lp-00560609</t>
  </si>
  <si>
    <t xml:space="preserve">Material</t>
  </si>
  <si>
    <t xml:space="preserve">bidón</t>
  </si>
  <si>
    <t xml:space="preserve">Mortero acrílico REVAT PLAS de PROPAMSA; color Blanco (20 kg/bidón).   Ref. lp-00560609</t>
  </si>
  <si>
    <t xml:space="preserve">ma-lp-00560610</t>
  </si>
  <si>
    <t xml:space="preserve">Material</t>
  </si>
  <si>
    <t xml:space="preserve">bidón</t>
  </si>
  <si>
    <t xml:space="preserve">Mortero acrílico REVAT FILM de PROPAMSA; color blanco (20 kg/bidón).   Ref. lp-00560609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</si>
  <si>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</si>
  <si>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</si>
  <si>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</si>
  <si>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</si>
  <si>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</si>
  <si>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</si>
  <si>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</si>
  <si>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</si>
  <si>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</si>
  <si>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</si>
  <si>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</si>
  <si>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</si>
  <si>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</si>
  <si>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</si>
  <si>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</si>
  <si>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</si>
  <si>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</si>
  <si>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</si>
  <si>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</si>
  <si>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</si>
  <si>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MORACR001</t>
  </si>
  <si>
    <t xml:space="preserve">MORACR001TV</t>
  </si>
  <si>
    <t xml:space="preserve">Partida</t>
  </si>
  <si>
    <t xml:space="preserve">M2</t>
  </si>
  <si>
    <t xml:space="preserve">o MORTERO ACRÍLICO REVAT PLAS DE PROPAMSA C/TRABAJOS VERTICALES</t>
  </si>
  <si>
    <t xml:space="preserve">Revestimiento decorativo en fachadas CON TRABAJOS VERTICALES, con mortero acrilico REVAT PLAS DE PROPAMSA a base de resina de copolímeros acrílico-estirénicos, cargas, pigmentos minerales y aditivos que proporcionan un acabado de protección y decoración del edificio, de 2 a 3 mm de espesor, color Blanco.</t>
  </si>
  <si>
    <t xml:space="preserve">ma-lp-00540839</t>
  </si>
  <si>
    <t xml:space="preserve">Material</t>
  </si>
  <si>
    <t xml:space="preserve">bote</t>
  </si>
  <si>
    <t xml:space="preserve">Imprimante promotor de adherencia PROPAM GRIP+ (5 kg/envase).   Ref. lp-00540839</t>
  </si>
  <si>
    <t xml:space="preserve">ma-lp-00001705</t>
  </si>
  <si>
    <t xml:space="preserve">Material</t>
  </si>
  <si>
    <t xml:space="preserve">rollo</t>
  </si>
  <si>
    <t xml:space="preserve">Malla de fibra de vidrio azul para refuerzo de morteros y revocos (rollo 50x1 m)   Ref. lp-00001705</t>
  </si>
  <si>
    <t xml:space="preserve">ma-lp-00560609</t>
  </si>
  <si>
    <t xml:space="preserve">Material</t>
  </si>
  <si>
    <t xml:space="preserve">bidón</t>
  </si>
  <si>
    <t xml:space="preserve">Mortero acrílico REVAT PLAS de PROPAMSA; color Blanco (20 kg/bidón).   Ref. lp-00560609</t>
  </si>
  <si>
    <t xml:space="preserve">ma-lp-00560610</t>
  </si>
  <si>
    <t xml:space="preserve">Material</t>
  </si>
  <si>
    <t xml:space="preserve">bidón</t>
  </si>
  <si>
    <t xml:space="preserve">Mortero acrílico REVAT FILM de PROPAMSA; color blanco (20 kg/bidón).   Ref. lp-00560609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</si>
  <si>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</si>
  <si>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</si>
  <si>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</si>
  <si>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</si>
  <si>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</si>
  <si>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</si>
  <si>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</si>
  <si>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</si>
  <si>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</si>
  <si>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</si>
  <si>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</si>
  <si>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</si>
  <si>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</si>
  <si>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</si>
  <si>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</si>
  <si>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</si>
  <si>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</si>
  <si>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</si>
  <si>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</si>
  <si>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</si>
  <si>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MORACR001TV</t>
  </si>
  <si>
    <t xml:space="preserve">MORACR002</t>
  </si>
  <si>
    <t xml:space="preserve">Partida</t>
  </si>
  <si>
    <t xml:space="preserve">M2</t>
  </si>
  <si>
    <t xml:space="preserve">o MORTERO ACRÍLICO WEBERTENE CLASSIC L</t>
  </si>
  <si>
    <t xml:space="preserve">Revestimiento decorativo en fachadas, con mortero acrilico WEBERTENE CLASSIC L a base de resina de copolímeros acrílico-estirénicos, cargas, pigmentos minerales y aditivos que proporcionan un acabado de protección y decoración del edificio, de 2 a 3 mm de espesor, color a elegir.</t>
  </si>
  <si>
    <t xml:space="preserve">ma-dp-76948730</t>
  </si>
  <si>
    <t xml:space="preserve">Material</t>
  </si>
  <si>
    <t xml:space="preserve">bidón</t>
  </si>
  <si>
    <t xml:space="preserve">Imprimante de fondeo universal WEBERTENE PRIMER para sistemas SATE (14 litros/bidón = 19 kg/bidón).   Ref. dp-76948730</t>
  </si>
  <si>
    <t xml:space="preserve">ma-prolisur-weberteneclassicl</t>
  </si>
  <si>
    <t xml:space="preserve">Material</t>
  </si>
  <si>
    <t xml:space="preserve">cubeta</t>
  </si>
  <si>
    <t xml:space="preserve">WEBERTENE CLASSIC L - 25kg - Mortero Acrílico Coloreado Listo al Uso (1,5 mm)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</si>
  <si>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</si>
  <si>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</si>
  <si>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</si>
  <si>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</si>
  <si>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</si>
  <si>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</si>
  <si>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</si>
  <si>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</si>
  <si>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</si>
  <si>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</si>
  <si>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</si>
  <si>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</si>
  <si>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</si>
  <si>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</si>
  <si>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</si>
  <si>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</si>
  <si>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</si>
  <si>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</si>
  <si>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</si>
  <si>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</si>
  <si>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MORACR002</t>
  </si>
  <si>
    <t xml:space="preserve">MORACR003</t>
  </si>
  <si>
    <t xml:space="preserve">Partida</t>
  </si>
  <si>
    <t xml:space="preserve">M2</t>
  </si>
  <si>
    <t xml:space="preserve">o MORTERO ACRÍLICO WEBERTENE CLASSIC XL</t>
  </si>
  <si>
    <t xml:space="preserve">TT</t>
  </si>
  <si>
    <t xml:space="preserve">ma-dp-76948730</t>
  </si>
  <si>
    <t xml:space="preserve">Material</t>
  </si>
  <si>
    <t xml:space="preserve">bidón</t>
  </si>
  <si>
    <t xml:space="preserve">Imprimante de fondeo universal WEBERTENE PRIMER para sistemas SATE (14 litros/bidón = 19 kg/bidón).   Ref. dp-76948730</t>
  </si>
  <si>
    <t xml:space="preserve">ma-dp-77387846</t>
  </si>
  <si>
    <t xml:space="preserve">Material</t>
  </si>
  <si>
    <t xml:space="preserve">bidón</t>
  </si>
  <si>
    <t xml:space="preserve">Revestimiento acrílico WEBERTENE CLASSIC XL acabado fratasado, rústico y rayado para sistemas WEBERTHERM y WEBERENOVA (25 kg/bidón).   Ref. dp-77387846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</si>
  <si>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</si>
  <si>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</si>
  <si>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</si>
  <si>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</si>
  <si>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</si>
  <si>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</si>
  <si>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</si>
  <si>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</si>
  <si>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</si>
  <si>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</si>
  <si>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</si>
  <si>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</si>
  <si>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</si>
  <si>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</si>
  <si>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</si>
  <si>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</si>
  <si>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</si>
  <si>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</si>
  <si>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</si>
  <si>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</si>
  <si>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MORACR003</t>
  </si>
  <si>
    <t xml:space="preserve">MORACR004</t>
  </si>
  <si>
    <t xml:space="preserve">Partida</t>
  </si>
  <si>
    <t xml:space="preserve">M2</t>
  </si>
  <si>
    <t xml:space="preserve">o MORTERO ACRILICO WEBERTENE ADVANCE M</t>
  </si>
  <si>
    <t xml:space="preserve">REVESTIMIENTO DE CAPA FINA CON MORTERO SILOXANO "WEBERTENE ADVANCE M" (FCH)</t>
  </si>
  <si>
    <t xml:space="preserve">ma-dp-76948730</t>
  </si>
  <si>
    <t xml:space="preserve">Material</t>
  </si>
  <si>
    <t xml:space="preserve">bidón</t>
  </si>
  <si>
    <t xml:space="preserve">Imprimante de fondeo universal WEBERTENE PRIMER para sistemas SATE (14 litros/bidón = 19 kg/bidón).   Ref. dp-76948730</t>
  </si>
  <si>
    <t xml:space="preserve">ma-dp-SKU.1057310</t>
  </si>
  <si>
    <t xml:space="preserve">Material</t>
  </si>
  <si>
    <t xml:space="preserve">bidón</t>
  </si>
  <si>
    <t xml:space="preserve">Mortero siloxano WEBERTENE ADVANCE M coloreado para revestimiento de capa fina listo al uso para sistema SATE (25 kg/bidón).   Ref. dp-SKU.1057310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</si>
  <si>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</si>
  <si>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</si>
  <si>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</si>
  <si>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</si>
  <si>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</si>
  <si>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</si>
  <si>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</si>
  <si>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</si>
  <si>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</si>
  <si>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</si>
  <si>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</si>
  <si>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</si>
  <si>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</si>
  <si>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</si>
  <si>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</si>
  <si>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</si>
  <si>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</si>
  <si>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</si>
  <si>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</si>
  <si>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</si>
  <si>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MORACR004</t>
  </si>
  <si>
    <t xml:space="preserve">MORACR005</t>
  </si>
  <si>
    <t xml:space="preserve">Partida</t>
  </si>
  <si>
    <t xml:space="preserve">M2</t>
  </si>
  <si>
    <t xml:space="preserve">o MORTERO ACRILICO PIEDRA PROJECTADA WEBERTHERM MARMOL BLANCO 15mm</t>
  </si>
  <si>
    <t xml:space="preserve">Revestimiento decorativo en fachadas WEBERTHERM, con mortero soporte, color blanco, acabado granulado imitación piedra natural, con un rendimiento de 3 kg/m² y árido de mármol, procedente de machaqueo, de granulometría comprendida entre 3 y 4 mm, para la realización de la capa de acabado en revestimientos continuos.</t>
  </si>
  <si>
    <t xml:space="preserve">ma-om-10876985</t>
  </si>
  <si>
    <t xml:space="preserve">Material</t>
  </si>
  <si>
    <t xml:space="preserve">saco</t>
  </si>
  <si>
    <t xml:space="preserve">Mortero adhesivo y regularizador WEBERTHERM BASE (25 kg/saco).   Ref. om-10876985</t>
  </si>
  <si>
    <t xml:space="preserve">ma-dp-76948730</t>
  </si>
  <si>
    <t xml:space="preserve">Material</t>
  </si>
  <si>
    <t xml:space="preserve">bidón</t>
  </si>
  <si>
    <t xml:space="preserve">Imprimante de fondeo universal WEBERTENE PRIMER para sistemas SATE (14 litros/bidón = 19 kg/bidón).   Ref. dp-76948730</t>
  </si>
  <si>
    <t xml:space="preserve">ma-lp-00410104</t>
  </si>
  <si>
    <t xml:space="preserve">Material</t>
  </si>
  <si>
    <t xml:space="preserve">saco</t>
  </si>
  <si>
    <t xml:space="preserve">Árido de mármol para monocapa blanco (30 kg/saco).   Ref. lp-00410104</t>
  </si>
  <si>
    <t xml:space="preserve">ma-dp-00955597</t>
  </si>
  <si>
    <t xml:space="preserve">Material</t>
  </si>
  <si>
    <t xml:space="preserve">rollo</t>
  </si>
  <si>
    <t xml:space="preserve">Malla de refuerzo 160 de WEBERTHERM para sistema SATE (50x1,1 m/rollo).   Ref. dp-00955597</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</si>
  <si>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</si>
  <si>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</si>
  <si>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</si>
  <si>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</si>
  <si>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</si>
  <si>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</si>
  <si>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</si>
  <si>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</si>
  <si>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</si>
  <si>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</si>
  <si>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</si>
  <si>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</si>
  <si>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</si>
  <si>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</si>
  <si>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</si>
  <si>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</si>
  <si>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</si>
  <si>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</si>
  <si>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</si>
  <si>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</si>
  <si>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</si>
  <si>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</si>
  <si>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</si>
  <si>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</si>
  <si>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</si>
  <si>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</si>
  <si>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</si>
  <si>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</si>
  <si>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MORACR005</t>
  </si>
  <si>
    <t xml:space="preserve">MORACR006</t>
  </si>
  <si>
    <t xml:space="preserve">Partida</t>
  </si>
  <si>
    <t xml:space="preserve">M2</t>
  </si>
  <si>
    <t xml:space="preserve">o SISTEMA WEBERENOVA ANTIFISURAS EN CAPA LISA</t>
  </si>
  <si>
    <t xml:space="preserve">Reparación de fisuras de hasta 1 mm de anchura en revestimiento exterior, con el sistema WEBERENOVA ANTIFISURAS, acabado mineral  en CAPA LISA, compuesto por: imprimación, WEBERPRIM FX15, a base de resinas acrílicas en dispersión acuosa,  cargas minerales y aditivos, dos capas del mismo espesor de mortero polimérico de altas prestaciones reforzado con fibras,  WEBERTHERM BASEGEL, color gris, de 4 mm de espesor total; capa de acabado de mortero de cemento WEBERMUR LISO, compuesto por ligantes hidráulicos, resinas poliméricas, áridos calizos y silíceos y aditivos orgánicos e inorgánicos, color  blanco.</t>
  </si>
  <si>
    <t xml:space="preserve">ma-manau-33352001</t>
  </si>
  <si>
    <t xml:space="preserve">Material</t>
  </si>
  <si>
    <t xml:space="preserve">bidón</t>
  </si>
  <si>
    <t xml:space="preserve">WEBERPRIM FX15 BIDON 20KG Imprimante promotor de adherencia para soportes no porosos</t>
  </si>
  <si>
    <t xml:space="preserve">ma-dp-79687708</t>
  </si>
  <si>
    <t xml:space="preserve">Material</t>
  </si>
  <si>
    <t xml:space="preserve">saco</t>
  </si>
  <si>
    <t xml:space="preserve">Mortero adhesivo regularizador de WEBERTHERM BASEGEL para sistemas SATE  (25 kg/saco).   Ref. dp-79687708</t>
  </si>
  <si>
    <t xml:space="preserve">ma-dp-00955597</t>
  </si>
  <si>
    <t xml:space="preserve">Material</t>
  </si>
  <si>
    <t xml:space="preserve">rollo</t>
  </si>
  <si>
    <t xml:space="preserve">Malla de refuerzo 160 de WEBERTHERM para sistema SATE (50x1,1 m/rollo).   Ref. dp-00955597</t>
  </si>
  <si>
    <t xml:space="preserve">mt28mic060e</t>
  </si>
  <si>
    <t xml:space="preserve">Material</t>
  </si>
  <si>
    <t xml:space="preserve">kg</t>
  </si>
  <si>
    <t xml:space="preserve">Mortero de cemento Webermur Liso "WEBER", compuesto por ligantes hidráulicos, resinas poliméricas, áridos calizos y silíceos y aditivos orgánicos e inorgánicos, color blanco, para regularización de superficies.</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</si>
  <si>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</si>
  <si>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</si>
  <si>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</si>
  <si>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</si>
  <si>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</si>
  <si>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</si>
  <si>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</si>
  <si>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</si>
  <si>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ma-dp-79291497</t>
  </si>
  <si>
    <t xml:space="preserve">Material</t>
  </si>
  <si>
    <t xml:space="preserve">perfil</t>
  </si>
  <si>
    <t xml:space="preserve">Perfil goterón WEBERTHERM CF de PVC con malla de fibra de vidrio (2,5 m/perfil).   Ref. dp-79291497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</si>
  <si>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</si>
  <si>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</si>
  <si>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</si>
  <si>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</si>
  <si>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</si>
  <si>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</si>
  <si>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</si>
  <si>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</si>
  <si>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</si>
  <si>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</si>
  <si>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</si>
  <si>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</si>
  <si>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</si>
  <si>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</si>
  <si>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</si>
  <si>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</si>
  <si>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</si>
  <si>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</si>
  <si>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</si>
  <si>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</si>
  <si>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MORACR006</t>
  </si>
  <si>
    <t xml:space="preserve">MORACR006TV</t>
  </si>
  <si>
    <t xml:space="preserve">Partida</t>
  </si>
  <si>
    <t xml:space="preserve">M2</t>
  </si>
  <si>
    <t xml:space="preserve">o SISTEMA WEBERENOVA ANTIFISURAS EN CAPA LISA C/TRABAJOS VERTICALES</t>
  </si>
  <si>
    <t xml:space="preserve">Reparación de fisuras CON TRABAJOS VERTICALES, de hasta 1 mm de anchura en revestimiento exterior, con el sistema WEBERENOVA ANTIFISURAS, acabado mineral  en CAPA LISA, compuesto por: imprimación, WEBERPRIM FX15, a base de resinas acrílicas en dispersión acuosa,  cargas minerales y aditivos, dos capas del mismo espesor de mortero polimérico de altas prestaciones reforzado con fibras,  WEBERTHERM BASEGEL, color gris, de 4 mm de espesor total; capa de acabado de mortero de cemento WEBERMUR LISO, compuesto por ligantes hidráulicos, resinas poliméricas, áridos calizos y silíceos y aditivos orgánicos e inorgánicos, color  blanco.</t>
  </si>
  <si>
    <t xml:space="preserve">ma-manau-33352001</t>
  </si>
  <si>
    <t xml:space="preserve">Material</t>
  </si>
  <si>
    <t xml:space="preserve">bidón</t>
  </si>
  <si>
    <t xml:space="preserve">WEBERPRIM FX15 BIDON 20KG Imprimante promotor de adherencia para soportes no porosos</t>
  </si>
  <si>
    <t xml:space="preserve">ma-dp-79687708</t>
  </si>
  <si>
    <t xml:space="preserve">Material</t>
  </si>
  <si>
    <t xml:space="preserve">saco</t>
  </si>
  <si>
    <t xml:space="preserve">Mortero adhesivo regularizador de WEBERTHERM BASEGEL para sistemas SATE  (25 kg/saco).   Ref. dp-79687708</t>
  </si>
  <si>
    <t xml:space="preserve">ma-dp-00955597</t>
  </si>
  <si>
    <t xml:space="preserve">Material</t>
  </si>
  <si>
    <t xml:space="preserve">rollo</t>
  </si>
  <si>
    <t xml:space="preserve">Malla de refuerzo 160 de WEBERTHERM para sistema SATE (50x1,1 m/rollo).   Ref. dp-00955597</t>
  </si>
  <si>
    <t xml:space="preserve">mt28mic060e</t>
  </si>
  <si>
    <t xml:space="preserve">Material</t>
  </si>
  <si>
    <t xml:space="preserve">kg</t>
  </si>
  <si>
    <t xml:space="preserve">Mortero de cemento Webermur Liso "WEBER", compuesto por ligantes hidráulicos, resinas poliméricas, áridos calizos y silíceos y aditivos orgánicos e inorgánicos, color blanco, para regularización de superficies.</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</si>
  <si>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</si>
  <si>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</si>
  <si>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</si>
  <si>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</si>
  <si>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</si>
  <si>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</si>
  <si>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</si>
  <si>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</si>
  <si>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ma-dp-79291497</t>
  </si>
  <si>
    <t xml:space="preserve">Material</t>
  </si>
  <si>
    <t xml:space="preserve">perfil</t>
  </si>
  <si>
    <t xml:space="preserve">Perfil goterón WEBERTHERM CF de PVC con malla de fibra de vidrio (2,5 m/perfil).   Ref. dp-79291497</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</si>
  <si>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</si>
  <si>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</si>
  <si>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</si>
  <si>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</si>
  <si>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</si>
  <si>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</si>
  <si>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</si>
  <si>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</si>
  <si>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</si>
  <si>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</si>
  <si>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</si>
  <si>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</si>
  <si>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</si>
  <si>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</si>
  <si>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</si>
  <si>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</si>
  <si>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</si>
  <si>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</si>
  <si>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</si>
  <si>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</si>
  <si>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MORACR006TV</t>
  </si>
  <si>
    <t xml:space="preserve">MORACR007</t>
  </si>
  <si>
    <t xml:space="preserve">Partida</t>
  </si>
  <si>
    <t xml:space="preserve">M2</t>
  </si>
  <si>
    <t xml:space="preserve">o SISTEMA WEBERENOVA ANTIFISURAS ACABADO ORGANICO</t>
  </si>
  <si>
    <t xml:space="preserve">Reparación de fisuras de hasta 1 mm de anchura en revestimiento exterior, con el sistema WEBERENOVA ANTIFISURAS, ACABADO ORGANICO, compuesto por: imprimación, WEBERPRIM FX15, a base de resinas acrílicas en dispersión acuosa, cargas  minerales y aditivos, dos capas del mismo espesor de mortero polimérico de altas prestaciones reforzado con fibras, WEBERTHERM BASEGEL, color gri, de 4 mm de espesor total; capa de acabado de mortero al silicato WEBERTENE PREMIUM M,  color a elegir, gama Estándar, acabado gota, sobre imprimación WEBERPRIM SILICATO.</t>
  </si>
  <si>
    <t xml:space="preserve">ma-manau-33352001</t>
  </si>
  <si>
    <t xml:space="preserve">Material</t>
  </si>
  <si>
    <t xml:space="preserve">bidón</t>
  </si>
  <si>
    <t xml:space="preserve">WEBERPRIM FX15 BIDON 20KG Imprimante promotor de adherencia para soportes no porosos</t>
  </si>
  <si>
    <t xml:space="preserve">ma-dp-79687708</t>
  </si>
  <si>
    <t xml:space="preserve">Material</t>
  </si>
  <si>
    <t xml:space="preserve">saco</t>
  </si>
  <si>
    <t xml:space="preserve">Mortero adhesivo regularizador de WEBERTHERM BASEGEL para sistemas SATE  (25 kg/saco).   Ref. dp-79687708</t>
  </si>
  <si>
    <t xml:space="preserve">ma-dp-00955597</t>
  </si>
  <si>
    <t xml:space="preserve">Material</t>
  </si>
  <si>
    <t xml:space="preserve">rollo</t>
  </si>
  <si>
    <t xml:space="preserve">Malla de refuerzo 160 de WEBERTHERM para sistema SATE (50x1,1 m/rollo).   Ref. dp-00955597</t>
  </si>
  <si>
    <t xml:space="preserve">mt28pcc020a</t>
  </si>
  <si>
    <t xml:space="preserve">Material</t>
  </si>
  <si>
    <t xml:space="preserve">l</t>
  </si>
  <si>
    <t xml:space="preserve">Imprimación Weberprim Silicato "WEBER", incolora, a base de silicato potásico y aditivos especiales, impermeable al agua de lluvia y permeable al vapor de agua.</t>
  </si>
  <si>
    <t xml:space="preserve">ma-dp-SKU.1057310</t>
  </si>
  <si>
    <t xml:space="preserve">Material</t>
  </si>
  <si>
    <t xml:space="preserve">bidón</t>
  </si>
  <si>
    <t xml:space="preserve">Mortero siloxano WEBERTENE ADVANCE M coloreado para revestimiento de capa fina listo al uso para sistema SATE (25 kg/bidón).   Ref. dp-SKU.1057310</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</si>
  <si>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</si>
  <si>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</si>
  <si>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</si>
  <si>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</si>
  <si>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</si>
  <si>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</si>
  <si>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</si>
  <si>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</si>
  <si>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ma-dp-79291497</t>
  </si>
  <si>
    <t xml:space="preserve">Material</t>
  </si>
  <si>
    <t xml:space="preserve">perfil</t>
  </si>
  <si>
    <t xml:space="preserve">Perfil goterón WEBERTHERM CF de PVC con malla de fibra de vidrio (2,5 m/perfil).   Ref. dp-79291497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</si>
  <si>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</si>
  <si>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</si>
  <si>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</si>
  <si>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</si>
  <si>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</si>
  <si>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</si>
  <si>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</si>
  <si>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</si>
  <si>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</si>
  <si>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</si>
  <si>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</si>
  <si>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</si>
  <si>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</si>
  <si>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</si>
  <si>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</si>
  <si>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</si>
  <si>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</si>
  <si>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</si>
  <si>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</si>
  <si>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</si>
  <si>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MORACR007</t>
  </si>
  <si>
    <t xml:space="preserve">MORACR008</t>
  </si>
  <si>
    <t xml:space="preserve">Partida</t>
  </si>
  <si>
    <t xml:space="preserve">M2</t>
  </si>
  <si>
    <t xml:space="preserve">o SISTEMA WEBERENOVA ANTIFISURAS EN CAPA FINA</t>
  </si>
  <si>
    <t xml:space="preserve">Reparación de fisuras de hasta 1 mm de anchura en revestimiento exterior, con el sistema WEBERENOVA ANTIFISURAS, acabado mineral  en CAPA FINA, compuesto por: imprimación, WEBERPRIM FX15, a base de resinas acrílicas en dispersión acuosa,  cargas minerales y aditivos, dos capas del mismo espesor de mortero polimérico de altas prestaciones reforzado con fibras,  WEBERTHERM BASEGEL, color gris, de 4 mm de espesor total; capa de acabado de estuco de mortero de cal, tipo CR CSI W0,  según UNE-EN 998-1, WEBERCAL ESTUCO, acabado liso, color a elegir, armado con malla de fibra de vidrio antiálcalis,  Webertherm Malla 65 "WEBER", de 1x1,5 mm de luz de malla, 65 g/m² de masa superficial y 0,18 mm de espesor, y posterior  aplicación de una mano de impregnación hidrófuga incolora en base acuosa, WEBERNETO S-400.</t>
  </si>
  <si>
    <t xml:space="preserve">ma-manau-33352001</t>
  </si>
  <si>
    <t xml:space="preserve">Material</t>
  </si>
  <si>
    <t xml:space="preserve">bidón</t>
  </si>
  <si>
    <t xml:space="preserve">WEBERPRIM FX15 BIDON 20KG Imprimante promotor de adherencia para soportes no porosos</t>
  </si>
  <si>
    <t xml:space="preserve">ma-dp-79687708</t>
  </si>
  <si>
    <t xml:space="preserve">Material</t>
  </si>
  <si>
    <t xml:space="preserve">saco</t>
  </si>
  <si>
    <t xml:space="preserve">Mortero adhesivo regularizador de WEBERTHERM BASEGEL para sistemas SATE  (25 kg/saco).   Ref. dp-79687708</t>
  </si>
  <si>
    <t xml:space="preserve">ma-dp-00955597</t>
  </si>
  <si>
    <t xml:space="preserve">Material</t>
  </si>
  <si>
    <t xml:space="preserve">rollo</t>
  </si>
  <si>
    <t xml:space="preserve">Malla de refuerzo 160 de WEBERTHERM para sistema SATE (50x1,1 m/rollo).   Ref. dp-00955597</t>
  </si>
  <si>
    <t xml:space="preserve">ma-prolisur-04</t>
  </si>
  <si>
    <t xml:space="preserve">Material</t>
  </si>
  <si>
    <t xml:space="preserve">saco</t>
  </si>
  <si>
    <t xml:space="preserve">Mortero WEBERCAL FLEXIBLE de WEBERTHERM estuco fino flexible de cal coloreado (12 kg/envase).   Ref. prolisur-04</t>
  </si>
  <si>
    <t xml:space="preserve">ma-prolisur-03</t>
  </si>
  <si>
    <t xml:space="preserve">Material</t>
  </si>
  <si>
    <t xml:space="preserve">rollo</t>
  </si>
  <si>
    <t xml:space="preserve">Malla de refuerzo de fibra de vidrio WEBERTHERM MALLA 65 para sistema SATE (50 m/rollo).   Ref. prolisur-03</t>
  </si>
  <si>
    <t xml:space="preserve">ma-aislamientofach-weberneto</t>
  </si>
  <si>
    <t xml:space="preserve">Material</t>
  </si>
  <si>
    <t xml:space="preserve">u</t>
  </si>
  <si>
    <t xml:space="preserve">Impregnación hidrófuga incolora en base acuosa, Weberneto S-400 de 4L, anticarbonatación.</t>
  </si>
  <si>
    <t xml:space="preserve">ma-dp-79291497</t>
  </si>
  <si>
    <t xml:space="preserve">Material</t>
  </si>
  <si>
    <t xml:space="preserve">perfil</t>
  </si>
  <si>
    <t xml:space="preserve">Perfil goterón WEBERTHERM CF de PVC con malla de fibra de vidrio (2,5 m/perfil).   Ref. dp-79291497</t>
  </si>
  <si>
    <t xml:space="preserve">ma-dp-02145587</t>
  </si>
  <si>
    <t xml:space="preserve">Material</t>
  </si>
  <si>
    <t xml:space="preserve">perfil</t>
  </si>
  <si>
    <t xml:space="preserve">Perfil cantonera WEBERTHERM de PVC con malla de fibra de vidrio (2,5 m/perfil).   Ref. dp-02145587</t>
  </si>
  <si>
    <t xml:space="preserve">ma-prolisur-perfil.rem.ventana</t>
  </si>
  <si>
    <t xml:space="preserve">Material</t>
  </si>
  <si>
    <t xml:space="preserve">perfil</t>
  </si>
  <si>
    <t xml:space="preserve">Perfil remate de ventanas WEBERTHERM para sistema SATE  (2,60 m/perfil).   Ref. prolisur-perfil-rem.ventana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</si>
  <si>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</si>
  <si>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</si>
  <si>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</si>
  <si>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</si>
  <si>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</si>
  <si>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</si>
  <si>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</si>
  <si>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</si>
  <si>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</si>
  <si>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</si>
  <si>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</si>
  <si>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</si>
  <si>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</si>
  <si>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</si>
  <si>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</si>
  <si>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</si>
  <si>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</si>
  <si>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</si>
  <si>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</si>
  <si>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</si>
  <si>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MORACR008</t>
  </si>
  <si>
    <t xml:space="preserve">REV-REVOCO.ACRILICO-H-MS--01</t>
  </si>
  <si>
    <t xml:space="preserve">Partida</t>
  </si>
  <si>
    <t xml:space="preserve">m2</t>
  </si>
  <si>
    <t xml:space="preserve">XXXXXX  REVOCO ACRÍLICO APLICADO SOBRE ENFOSCADO DE PARAMENTO HORIZONTAL, MEDIANTE EL USO DE MEDIO SUSPENDIDO/COLGADO</t>
  </si>
  <si>
    <t xml:space="preserve">REVOCO ACRÍLICO APLICADO SOBRE ENFOSCADO DE PARAMENTO HORIZONTAL, MEDIANTE EL USO DE MEDIO SUSPENDIDO/COLGADO</t>
  </si>
  <si>
    <t xml:space="preserve">ma-lp-00560609</t>
  </si>
  <si>
    <t xml:space="preserve">Material</t>
  </si>
  <si>
    <t xml:space="preserve">bidón</t>
  </si>
  <si>
    <t xml:space="preserve">Mortero acrílico REVAT PLAS de PROPAMSA; color Blanco (20 kg/bidón).   Ref. lp-00560609</t>
  </si>
  <si>
    <t xml:space="preserve">ma-lp-00560610</t>
  </si>
  <si>
    <t xml:space="preserve">Material</t>
  </si>
  <si>
    <t xml:space="preserve">bidón</t>
  </si>
  <si>
    <t xml:space="preserve">Mortero acrílico REVAT FILM de PROPAMSA; color blanco (20 kg/bidón).   Ref. lp-00560609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</si>
  <si>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</si>
  <si>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</si>
  <si>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</si>
  <si>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</si>
  <si>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</si>
  <si>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</si>
  <si>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</si>
  <si>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</si>
  <si>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</si>
  <si>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</si>
  <si>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</si>
  <si>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</si>
  <si>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</si>
  <si>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</si>
  <si>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</si>
  <si>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</si>
  <si>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</si>
  <si>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</si>
  <si>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</si>
  <si>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</si>
  <si>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REV-REVOCO.ACRILICO-H-MS--01</t>
  </si>
  <si>
    <t xml:space="preserve">REV-REVOCO.ACRILICO-V-AT--01</t>
  </si>
  <si>
    <t xml:space="preserve">Partida</t>
  </si>
  <si>
    <t xml:space="preserve">m2</t>
  </si>
  <si>
    <t xml:space="preserve">XXXXXX  REVOCO ACRÍLICO APLICADO SOBRE ENFOSCADO DE PARAMENTO VERTICAL, MEDIANTE EL USO DE ANDAMIO TUBULAR</t>
  </si>
  <si>
    <t xml:space="preserve">REVOCO ACRÍLICO APLICADO SOBRE ENFOSCADO DE PARAMENTO VERTICAL, MEDIANTE EL USO DE ANDAMIO TUBULAR</t>
  </si>
  <si>
    <t xml:space="preserve">ma-lp-00560609</t>
  </si>
  <si>
    <t xml:space="preserve">Material</t>
  </si>
  <si>
    <t xml:space="preserve">bidón</t>
  </si>
  <si>
    <t xml:space="preserve">Mortero acrílico REVAT PLAS de PROPAMSA; color Blanco (20 kg/bidón).   Ref. lp-00560609</t>
  </si>
  <si>
    <t xml:space="preserve">ma-lp-00560610</t>
  </si>
  <si>
    <t xml:space="preserve">Material</t>
  </si>
  <si>
    <t xml:space="preserve">bidón</t>
  </si>
  <si>
    <t xml:space="preserve">Mortero acrílico REVAT FILM de PROPAMSA; color blanco (20 kg/bidón).   Ref. lp-00560609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</si>
  <si>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</si>
  <si>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</si>
  <si>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</si>
  <si>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</si>
  <si>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</si>
  <si>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</si>
  <si>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</si>
  <si>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</si>
  <si>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</si>
  <si>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</si>
  <si>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</si>
  <si>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</si>
  <si>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</si>
  <si>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</si>
  <si>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</si>
  <si>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</si>
  <si>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</si>
  <si>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</si>
  <si>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</si>
  <si>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</si>
  <si>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REV-REVOCO.ACRILICO-V-AT--01</t>
  </si>
  <si>
    <t xml:space="preserve">REV-REVOCO.ACRILICO-V-MS--01</t>
  </si>
  <si>
    <t xml:space="preserve">Partida</t>
  </si>
  <si>
    <t xml:space="preserve">m2</t>
  </si>
  <si>
    <t xml:space="preserve">XXXXXX  REVOCO ACRÍLICO APLICADO SOBRE ENFOSCADO DE PARAMENTO VERTICAL, MEDIANTE EL USO DE MEDIO SUSPENDIDO/COLGADO</t>
  </si>
  <si>
    <t xml:space="preserve">REVOCO ACRÍLICO APLICADO SOBRE ENFOSCADO DE PARAMENTO VERTICAL, MEDIANTE EL USO DE MEDIO SUSPENDIDO/COLGADO</t>
  </si>
  <si>
    <t xml:space="preserve">ma-lp-00560609</t>
  </si>
  <si>
    <t xml:space="preserve">Material</t>
  </si>
  <si>
    <t xml:space="preserve">bidón</t>
  </si>
  <si>
    <t xml:space="preserve">Mortero acrílico REVAT PLAS de PROPAMSA; color Blanco (20 kg/bidón).   Ref. lp-00560609</t>
  </si>
  <si>
    <t xml:space="preserve">ma-lp-00560610</t>
  </si>
  <si>
    <t xml:space="preserve">Material</t>
  </si>
  <si>
    <t xml:space="preserve">bidón</t>
  </si>
  <si>
    <t xml:space="preserve">Mortero acrílico REVAT FILM de PROPAMSA; color blanco (20 kg/bidón).   Ref. lp-00560609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</si>
  <si>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</si>
  <si>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</si>
  <si>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</si>
  <si>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</si>
  <si>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</si>
  <si>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</si>
  <si>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</si>
  <si>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</si>
  <si>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</si>
  <si>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</si>
  <si>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</si>
  <si>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</si>
  <si>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</si>
  <si>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</si>
  <si>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</si>
  <si>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</si>
  <si>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</si>
  <si>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</si>
  <si>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</si>
  <si>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</si>
  <si>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REV-REVOCO.ACRILICO-V-MS--01</t>
  </si>
  <si>
    <t xml:space="preserve">MORACR</t>
  </si>
  <si>
    <t xml:space="preserve">MORHID</t>
  </si>
  <si>
    <t xml:space="preserve">Capítulo</t>
  </si>
  <si>
    <t xml:space="preserve">o MORTEROS HIDROFUGOS</t>
  </si>
  <si>
    <t xml:space="preserve">MORHID001</t>
  </si>
  <si>
    <t xml:space="preserve">Partida</t>
  </si>
  <si>
    <t xml:space="preserve">M2</t>
  </si>
  <si>
    <t xml:space="preserve">o MORTERO HIDROFUGO PROPAM REVOC 15mm</t>
  </si>
  <si>
    <t xml:space="preserve">Revestimiento de paramentos exteriores con mortero hidrofugo, color gris, gama Estándar, espesor 15 mm, aplicado manualmente, armado y reforzado con malla de fibra de vidrio antiálcalis, incluso en los cambios de material.</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</si>
  <si>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</si>
  <si>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</si>
  <si>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</si>
  <si>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</si>
  <si>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</si>
  <si>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</si>
  <si>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</si>
  <si>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</si>
  <si>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</si>
  <si>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</si>
  <si>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</si>
  <si>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</si>
  <si>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</si>
  <si>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</si>
  <si>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</si>
  <si>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</si>
  <si>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</si>
  <si>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</si>
  <si>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</si>
  <si>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</si>
  <si>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</si>
  <si>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</si>
  <si>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</si>
  <si>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</si>
  <si>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</si>
  <si>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</si>
  <si>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</si>
  <si>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</si>
  <si>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</si>
  <si>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</si>
  <si>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</si>
  <si>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</si>
  <si>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</si>
  <si>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</si>
  <si>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</si>
  <si>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</si>
  <si>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MORHID001</t>
  </si>
  <si>
    <t xml:space="preserve">MORHID001TV</t>
  </si>
  <si>
    <t xml:space="preserve">Partida</t>
  </si>
  <si>
    <t xml:space="preserve">M2</t>
  </si>
  <si>
    <t xml:space="preserve">o MORTERO HIDROFUGO PROPAM REVOC 15mm C/TRABAJOS VERTICALES</t>
  </si>
  <si>
    <t xml:space="preserve">REVOCO DE MORTERO HIDROFUGO 15 mm (GP-CSIV-W2 / PROPAM REVOC) EN PARAMENTO VERTICAL Y MEDIANTE EL USO DE MEDIO SUSPENDIDO/COLGADO</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</si>
  <si>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</si>
  <si>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</si>
  <si>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</si>
  <si>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</si>
  <si>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</si>
  <si>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</si>
  <si>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</si>
  <si>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</si>
  <si>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</si>
  <si>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</si>
  <si>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</si>
  <si>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</si>
  <si>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</si>
  <si>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</si>
  <si>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</si>
  <si>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</si>
  <si>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</si>
  <si>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</si>
  <si>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</si>
  <si>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</si>
  <si>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</si>
  <si>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</si>
  <si>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</si>
  <si>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</si>
  <si>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</si>
  <si>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</si>
  <si>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</si>
  <si>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</si>
  <si>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</si>
  <si>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</si>
  <si>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</si>
  <si>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</si>
  <si>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</si>
  <si>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</si>
  <si>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</si>
  <si>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</si>
  <si>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MORHID001TV</t>
  </si>
  <si>
    <t xml:space="preserve">MORHID002</t>
  </si>
  <si>
    <t xml:space="preserve">Partida</t>
  </si>
  <si>
    <t xml:space="preserve">M2</t>
  </si>
  <si>
    <t xml:space="preserve">o MORTERO HIDROFUGO PROPAM REVOC 5mm</t>
  </si>
  <si>
    <t xml:space="preserve">Revestimiento de paramentos exteriores con mortero hidrofugo, color gris, gama Estándar, espesor 5 mm, aplicado manualmente, armado y reforzado con malla de fibra de vidrio antiálcalis, incluso en los cambios de material.</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</si>
  <si>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</si>
  <si>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</si>
  <si>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</si>
  <si>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</si>
  <si>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</si>
  <si>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</si>
  <si>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</si>
  <si>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</si>
  <si>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</si>
  <si>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</si>
  <si>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</si>
  <si>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</si>
  <si>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</si>
  <si>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</si>
  <si>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</si>
  <si>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</si>
  <si>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</si>
  <si>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</si>
  <si>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</si>
  <si>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</si>
  <si>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</si>
  <si>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</si>
  <si>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</si>
  <si>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</si>
  <si>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</si>
  <si>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</si>
  <si>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</si>
  <si>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</si>
  <si>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</si>
  <si>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</si>
  <si>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</si>
  <si>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</si>
  <si>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</si>
  <si>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</si>
  <si>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</si>
  <si>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</si>
  <si>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MORHID002</t>
  </si>
  <si>
    <t xml:space="preserve">MORHID002TV</t>
  </si>
  <si>
    <t xml:space="preserve">Partida</t>
  </si>
  <si>
    <t xml:space="preserve">M2</t>
  </si>
  <si>
    <t xml:space="preserve">o MORTERO HIDROFUGO PROPAM REVOC 5mm  C/TRABAJOS VERTICALES</t>
  </si>
  <si>
    <t xml:space="preserve">REVOCO DE MORTERO HIDROFUGO 5 mm (GP-CSIV-W2 / PROPAM REVOC) EN PARAMENTO VERTICAL Y MEDIANTE EL USO DE MEDIO SUSPENDIDO/COLGADO</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</si>
  <si>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</si>
  <si>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</si>
  <si>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</si>
  <si>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</si>
  <si>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</si>
  <si>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</si>
  <si>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</si>
  <si>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</si>
  <si>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</si>
  <si>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</si>
  <si>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</si>
  <si>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</si>
  <si>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</si>
  <si>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</si>
  <si>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</si>
  <si>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</si>
  <si>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</si>
  <si>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</si>
  <si>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</si>
  <si>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</si>
  <si>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</si>
  <si>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</si>
  <si>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</si>
  <si>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</si>
  <si>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</si>
  <si>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</si>
  <si>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</si>
  <si>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</si>
  <si>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</si>
  <si>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</si>
  <si>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</si>
  <si>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</si>
  <si>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</si>
  <si>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</si>
  <si>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</si>
  <si>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</si>
  <si>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MORHID002TV</t>
  </si>
  <si>
    <t xml:space="preserve">MORHID</t>
  </si>
  <si>
    <t xml:space="preserve">MORCAL</t>
  </si>
  <si>
    <t xml:space="preserve">Capítulo</t>
  </si>
  <si>
    <t xml:space="preserve">o MORTEROS DE CAL</t>
  </si>
  <si>
    <t xml:space="preserve">MORCAL001</t>
  </si>
  <si>
    <t xml:space="preserve">Partida</t>
  </si>
  <si>
    <t xml:space="preserve">M2</t>
  </si>
  <si>
    <t xml:space="preserve">o CAPA BASE DE MORTERO DE CAL PROPAM REVAT 15 mm</t>
  </si>
  <si>
    <t xml:space="preserve">Capa base de mortero de cal, PROPAM REVAT, de 15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</si>
  <si>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</si>
  <si>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</si>
  <si>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</si>
  <si>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</si>
  <si>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</si>
  <si>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</si>
  <si>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</si>
  <si>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</si>
  <si>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</si>
  <si>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</si>
  <si>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</si>
  <si>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</si>
  <si>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</si>
  <si>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</si>
  <si>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</si>
  <si>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</si>
  <si>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</si>
  <si>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</si>
  <si>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</si>
  <si>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</si>
  <si>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</si>
  <si>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</si>
  <si>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</si>
  <si>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</si>
  <si>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</si>
  <si>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</si>
  <si>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</si>
  <si>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</si>
  <si>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</si>
  <si>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</si>
  <si>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</si>
  <si>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</si>
  <si>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</si>
  <si>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</si>
  <si>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</si>
  <si>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</si>
  <si>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MORCAL001</t>
  </si>
  <si>
    <t xml:space="preserve">MORCAL001TV</t>
  </si>
  <si>
    <t xml:space="preserve">Partida</t>
  </si>
  <si>
    <t xml:space="preserve">M2</t>
  </si>
  <si>
    <t xml:space="preserve">o CAPA BASE DE MORTERO DE CAL PROPAM REVAT 15 mm C/TRABAJOS VERTICALES</t>
  </si>
  <si>
    <t xml:space="preserve">Capa base de mortero de cal, PROPAM REVAT, de 15 mm de espesor, CON TRABAJOS VERTICALES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</si>
  <si>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</si>
  <si>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</si>
  <si>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</si>
  <si>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</si>
  <si>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</si>
  <si>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</si>
  <si>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</si>
  <si>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</si>
  <si>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</si>
  <si>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</si>
  <si>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</si>
  <si>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</si>
  <si>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</si>
  <si>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</si>
  <si>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</si>
  <si>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</si>
  <si>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</si>
  <si>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</si>
  <si>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</si>
  <si>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</si>
  <si>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</si>
  <si>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</si>
  <si>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</si>
  <si>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</si>
  <si>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</si>
  <si>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</si>
  <si>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</si>
  <si>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</si>
  <si>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</si>
  <si>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</si>
  <si>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</si>
  <si>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</si>
  <si>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</si>
  <si>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</si>
  <si>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</si>
  <si>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</si>
  <si>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MORCAL001TV</t>
  </si>
  <si>
    <t xml:space="preserve">MORCAL002</t>
  </si>
  <si>
    <t xml:space="preserve">Partida</t>
  </si>
  <si>
    <t xml:space="preserve">M2</t>
  </si>
  <si>
    <t xml:space="preserve">o CAPA BASE DE MORTERO DE CAL WEBERCAL BASIC 15 mm</t>
  </si>
  <si>
    <t xml:space="preserve">Capa base de mortero de cal, WEBERCAL BASIC, color blanco, de 15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</si>
  <si>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ma-manau-32952500</t>
  </si>
  <si>
    <t xml:space="preserve">Material</t>
  </si>
  <si>
    <t xml:space="preserve">saco</t>
  </si>
  <si>
    <t xml:space="preserve">Mortero para enfoscado de cal en capa gruesa WEBERCAL BASIC de WEBER; color gris (25 kg/saco).   Ref. prolisur-07</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</si>
  <si>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</si>
  <si>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</si>
  <si>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</si>
  <si>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</si>
  <si>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</si>
  <si>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</si>
  <si>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</si>
  <si>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</si>
  <si>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ma-dp-02145587</t>
  </si>
  <si>
    <t xml:space="preserve">Material</t>
  </si>
  <si>
    <t xml:space="preserve">perfil</t>
  </si>
  <si>
    <t xml:space="preserve">Perfil cantonera WEBERTHERM de PVC con malla de fibra de vidrio (2,5 m/perfil).   Ref. dp-02145587</t>
  </si>
  <si>
    <t xml:space="preserve">ma-dp-79291497</t>
  </si>
  <si>
    <t xml:space="preserve">Material</t>
  </si>
  <si>
    <t xml:space="preserve">perfil</t>
  </si>
  <si>
    <t xml:space="preserve">Perfil goterón WEBERTHERM CF de PVC con malla de fibra de vidrio (2,5 m/perfil).   Ref. dp-79291497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</si>
  <si>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</si>
  <si>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</si>
  <si>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</si>
  <si>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</si>
  <si>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</si>
  <si>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</si>
  <si>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</si>
  <si>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</si>
  <si>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</si>
  <si>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</si>
  <si>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</si>
  <si>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</si>
  <si>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</si>
  <si>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</si>
  <si>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</si>
  <si>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</si>
  <si>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</si>
  <si>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</si>
  <si>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</si>
  <si>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</si>
  <si>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MORCAL002</t>
  </si>
  <si>
    <t xml:space="preserve">MORCAL002TV</t>
  </si>
  <si>
    <t xml:space="preserve">Partida</t>
  </si>
  <si>
    <t xml:space="preserve">M2</t>
  </si>
  <si>
    <t xml:space="preserve">o CAPA BASE DE MORTERO DE CAL WEBERCAL BASIC 15 mm C/TRABAJOS VERTICALES</t>
  </si>
  <si>
    <t xml:space="preserve">Capa base de mortero de cal, WEBERCAL BASIC, de 15 mm de espesor, CON TRABAJOS VERTICALES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</si>
  <si>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ma-manau-32952500</t>
  </si>
  <si>
    <t xml:space="preserve">Material</t>
  </si>
  <si>
    <t xml:space="preserve">saco</t>
  </si>
  <si>
    <t xml:space="preserve">Mortero para enfoscado de cal en capa gruesa WEBERCAL BASIC de WEBER; color gris (25 kg/saco).   Ref. prolisur-07</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</si>
  <si>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</si>
  <si>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</si>
  <si>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</si>
  <si>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</si>
  <si>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</si>
  <si>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</si>
  <si>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</si>
  <si>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</si>
  <si>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ma-dp-02145587</t>
  </si>
  <si>
    <t xml:space="preserve">Material</t>
  </si>
  <si>
    <t xml:space="preserve">perfil</t>
  </si>
  <si>
    <t xml:space="preserve">Perfil cantonera WEBERTHERM de PVC con malla de fibra de vidrio (2,5 m/perfil).   Ref. dp-02145587</t>
  </si>
  <si>
    <t xml:space="preserve">ma-dp-79291497</t>
  </si>
  <si>
    <t xml:space="preserve">Material</t>
  </si>
  <si>
    <t xml:space="preserve">perfil</t>
  </si>
  <si>
    <t xml:space="preserve">Perfil goterón WEBERTHERM CF de PVC con malla de fibra de vidrio (2,5 m/perfil).   Ref. dp-79291497</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</si>
  <si>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</si>
  <si>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</si>
  <si>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</si>
  <si>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</si>
  <si>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</si>
  <si>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</si>
  <si>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</si>
  <si>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</si>
  <si>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</si>
  <si>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</si>
  <si>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</si>
  <si>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</si>
  <si>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</si>
  <si>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</si>
  <si>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</si>
  <si>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</si>
  <si>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</si>
  <si>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</si>
  <si>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</si>
  <si>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</si>
  <si>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MORCAL002TV</t>
  </si>
  <si>
    <t xml:space="preserve">MORCAL003</t>
  </si>
  <si>
    <t xml:space="preserve">Partida</t>
  </si>
  <si>
    <t xml:space="preserve">M2</t>
  </si>
  <si>
    <t xml:space="preserve">o CAPA DE TERMINACION DE MORTERO DE CAL WEBERCAL LISO 5 mm</t>
  </si>
  <si>
    <t xml:space="preserve">Capa de terminacion de mortero de cal, WEBERCAL LISO, de 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</si>
  <si>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ma-prolisur-05</t>
  </si>
  <si>
    <t xml:space="preserve">Material</t>
  </si>
  <si>
    <t xml:space="preserve">saco</t>
  </si>
  <si>
    <t xml:space="preserve">Mortero de revoco WEBERCAL LISO de WEBER a base de cal en capa fina para sistemas bicapa (25 kg/saco).   Ref. prolisur-05</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</si>
  <si>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</si>
  <si>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</si>
  <si>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</si>
  <si>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</si>
  <si>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</si>
  <si>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</si>
  <si>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</si>
  <si>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</si>
  <si>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ma-dp-02145587</t>
  </si>
  <si>
    <t xml:space="preserve">Material</t>
  </si>
  <si>
    <t xml:space="preserve">perfil</t>
  </si>
  <si>
    <t xml:space="preserve">Perfil cantonera WEBERTHERM de PVC con malla de fibra de vidrio (2,5 m/perfil).   Ref. dp-02145587</t>
  </si>
  <si>
    <t xml:space="preserve">ma-dp-79291497</t>
  </si>
  <si>
    <t xml:space="preserve">Material</t>
  </si>
  <si>
    <t xml:space="preserve">perfil</t>
  </si>
  <si>
    <t xml:space="preserve">Perfil goterón WEBERTHERM CF de PVC con malla de fibra de vidrio (2,5 m/perfil).   Ref. dp-79291497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</si>
  <si>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</si>
  <si>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</si>
  <si>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</si>
  <si>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</si>
  <si>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</si>
  <si>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</si>
  <si>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</si>
  <si>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</si>
  <si>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</si>
  <si>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</si>
  <si>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</si>
  <si>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</si>
  <si>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</si>
  <si>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</si>
  <si>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</si>
  <si>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</si>
  <si>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</si>
  <si>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</si>
  <si>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</si>
  <si>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</si>
  <si>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MORCAL003</t>
  </si>
  <si>
    <t xml:space="preserve">MORCAL004</t>
  </si>
  <si>
    <t xml:space="preserve">Partida</t>
  </si>
  <si>
    <t xml:space="preserve">M2</t>
  </si>
  <si>
    <t xml:space="preserve">o CAPA DE TERMINACION DE MORTERO DE CAL PROPAM FINO 5 mm</t>
  </si>
  <si>
    <t xml:space="preserve">Capa de terminacion de mortero de cal, PROPAM FINO, de 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</si>
  <si>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ma-lp-00540810</t>
  </si>
  <si>
    <t xml:space="preserve">Material</t>
  </si>
  <si>
    <t xml:space="preserve">saco</t>
  </si>
  <si>
    <t xml:space="preserve">Mortero hidrófugo para revoco PROPAM FINO; color blanco (25 kg/saco)   Ref. lp-00540810</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</si>
  <si>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</si>
  <si>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</si>
  <si>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</si>
  <si>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</si>
  <si>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</si>
  <si>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</si>
  <si>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</si>
  <si>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</si>
  <si>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</si>
  <si>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</si>
  <si>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</si>
  <si>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</si>
  <si>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</si>
  <si>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</si>
  <si>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</si>
  <si>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</si>
  <si>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</si>
  <si>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</si>
  <si>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</si>
  <si>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</si>
  <si>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</si>
  <si>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</si>
  <si>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</si>
  <si>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</si>
  <si>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</si>
  <si>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</si>
  <si>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</si>
  <si>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</si>
  <si>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</si>
  <si>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</si>
  <si>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</si>
  <si>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</si>
  <si>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MORCAL004</t>
  </si>
  <si>
    <t xml:space="preserve">MORCAL004TV</t>
  </si>
  <si>
    <t xml:space="preserve">Partida</t>
  </si>
  <si>
    <t xml:space="preserve">M2</t>
  </si>
  <si>
    <t xml:space="preserve">o CAPA DE TERMINACION DE MORTERO DE CAL PROPAM FINO 5 mm C/TRABAJOS VERTICALES</t>
  </si>
  <si>
    <t xml:space="preserve">Capa de terminacion de mortero de cal, PROPAM FINO, de 5 mm de espesor, CON TRABAJOS VERTICALES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</si>
  <si>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ma-lp-00540810</t>
  </si>
  <si>
    <t xml:space="preserve">Material</t>
  </si>
  <si>
    <t xml:space="preserve">saco</t>
  </si>
  <si>
    <t xml:space="preserve">Mortero hidrófugo para revoco PROPAM FINO; color blanco (25 kg/saco)   Ref. lp-00540810</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</si>
  <si>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</si>
  <si>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</si>
  <si>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</si>
  <si>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</si>
  <si>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</si>
  <si>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</si>
  <si>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</si>
  <si>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</si>
  <si>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ma-lp-00511369</t>
  </si>
  <si>
    <t xml:space="preserve">Material</t>
  </si>
  <si>
    <t xml:space="preserve">und</t>
  </si>
  <si>
    <t xml:space="preserve">Perfil goterón VLT de PVC con malla de fibra de vidrio (long.: 2,5 m; ancho: 100x100 mm; espesor 9 mm)   Ref. lp-00511369</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</si>
  <si>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</si>
  <si>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</si>
  <si>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</si>
  <si>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</si>
  <si>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</si>
  <si>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</si>
  <si>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</si>
  <si>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</si>
  <si>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</si>
  <si>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</si>
  <si>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</si>
  <si>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</si>
  <si>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</si>
  <si>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</si>
  <si>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</si>
  <si>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</si>
  <si>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</si>
  <si>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</si>
  <si>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</si>
  <si>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</si>
  <si>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MORCAL004TV</t>
  </si>
  <si>
    <t xml:space="preserve">MORCAL005</t>
  </si>
  <si>
    <t xml:space="preserve">Partida</t>
  </si>
  <si>
    <t xml:space="preserve">M2</t>
  </si>
  <si>
    <t xml:space="preserve">o MORTERO DE CAL SISTEMA WEBERCAL BASIC + LISO</t>
  </si>
  <si>
    <t xml:space="preserve">Revestimiento con mortero de cal, sistema WEBERCAL BASIC+LISO.  PREPARACIÓN DEL SOPORTE: picado de enfoscado de cemento, para eliminar las partes sueltas presentes en el 20% de la  superficie soporte, con medios manuales. CAPA BASE: aplicación manual de mortero de cal, tipo CR CSII W0, según UNE-EN 998-1, WEBERCAL BASIC, color a  elegir, de 10 mm de espesor, en una capa, maestreado, con acabado fratasado. CAPA DE ACABADO: aplicación manual de mortero de cal, tipo CR CSI W2, según UNE-EN 998-1, WEBERCAL LISO, color a elegir, de 5 mm de espesor.</t>
  </si>
  <si>
    <t xml:space="preserve">ma-prolisur-06</t>
  </si>
  <si>
    <t xml:space="preserve">Material</t>
  </si>
  <si>
    <t xml:space="preserve">saco</t>
  </si>
  <si>
    <t xml:space="preserve">Mortero para enfoscado de cal en capa gruesa WEBERCAL BASIC de WEBER; color blanco (25 kg/saco).   Ref. prolisur-06</t>
  </si>
  <si>
    <t xml:space="preserve">ma-prolisur-05</t>
  </si>
  <si>
    <t xml:space="preserve">Material</t>
  </si>
  <si>
    <t xml:space="preserve">saco</t>
  </si>
  <si>
    <t xml:space="preserve">Mortero de revoco WEBERCAL LISO de WEBER a base de cal en capa fina para sistemas bicapa (25 kg/saco).   Ref. prolisur-05</t>
  </si>
  <si>
    <t xml:space="preserve">ma-lp-00001705</t>
  </si>
  <si>
    <t xml:space="preserve">Material</t>
  </si>
  <si>
    <t xml:space="preserve">rollo</t>
  </si>
  <si>
    <t xml:space="preserve">Malla de fibra de vidrio azul para refuerzo de morteros y revocos (rollo 50x1 m)   Ref. lp-00001705</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</si>
  <si>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</si>
  <si>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</si>
  <si>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</si>
  <si>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</si>
  <si>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</si>
  <si>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</si>
  <si>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</si>
  <si>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</si>
  <si>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ma-prolisur-perfil.rem.ventana</t>
  </si>
  <si>
    <t xml:space="preserve">Material</t>
  </si>
  <si>
    <t xml:space="preserve">perfil</t>
  </si>
  <si>
    <t xml:space="preserve">Perfil remate de ventanas WEBERTHERM para sistema SATE  (2,60 m/perfil).   Ref. prolisur-perfil-rem.ventana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</si>
  <si>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</si>
  <si>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</si>
  <si>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</si>
  <si>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</si>
  <si>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</si>
  <si>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</si>
  <si>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</si>
  <si>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</si>
  <si>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</si>
  <si>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</si>
  <si>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</si>
  <si>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</si>
  <si>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</si>
  <si>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</si>
  <si>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</si>
  <si>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</si>
  <si>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</si>
  <si>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</si>
  <si>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</si>
  <si>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</si>
  <si>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MORCAL005</t>
  </si>
  <si>
    <t xml:space="preserve">MORCAL006</t>
  </si>
  <si>
    <t xml:space="preserve">Partida</t>
  </si>
  <si>
    <t xml:space="preserve">M2</t>
  </si>
  <si>
    <t xml:space="preserve">o REVESTIMIENTO DE CAL HIDRÁULICA 20 mm</t>
  </si>
  <si>
    <t xml:space="preserve">REVESTIMIENTO A BASE DE CAL HIDRÁULICA 20 mm EN PARAMENTO HORIZONTAL Y MEDIANTE EL USO DE ANDAMIO TUBULAR</t>
  </si>
  <si>
    <t xml:space="preserve">ma-lp-00179979</t>
  </si>
  <si>
    <t xml:space="preserve">Material</t>
  </si>
  <si>
    <t xml:space="preserve">saco</t>
  </si>
  <si>
    <t xml:space="preserve">Cal hidráulica natural CALIX NHL – 3,5 de FYM; color blanco (25 kg/saco).   Ref. lp-00179979</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</si>
  <si>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</si>
  <si>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</si>
  <si>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</si>
  <si>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</si>
  <si>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</si>
  <si>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</si>
  <si>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</si>
  <si>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</si>
  <si>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</si>
  <si>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</si>
  <si>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</si>
  <si>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</si>
  <si>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</si>
  <si>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</si>
  <si>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</si>
  <si>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</si>
  <si>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</si>
  <si>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</si>
  <si>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</si>
  <si>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</si>
  <si>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</si>
  <si>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</si>
  <si>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</si>
  <si>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</si>
  <si>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</si>
  <si>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</si>
  <si>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</si>
  <si>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</si>
  <si>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MORCAL006</t>
  </si>
  <si>
    <t xml:space="preserve">MORCAL007</t>
  </si>
  <si>
    <t xml:space="preserve">Partida</t>
  </si>
  <si>
    <t xml:space="preserve">M2</t>
  </si>
  <si>
    <t xml:space="preserve">o REVESTIMIENTO DE ESTUCO DE CAL COM-CAL</t>
  </si>
  <si>
    <t xml:space="preserve">Aplicación de un mínimo de tres capas de estuco de cal, ajustándose y reproduciendo las texturas, molduras y geometrías existentes según modelo original.
Se preparará la superficie con una primera capa (adhesión) de regularización y soporte compuesta por mortero de cal, COM-CAL Adherecal "COM-CAL", tipo GP CSIII W2, según UNE-EN 998-1, color beige, armado y reforzado con malla de fibra de vidrio antialcalis, de 15 mm hormigón y/o fábrica cerámica.
La segunda capa (base) para recrecidos y obtención de espesores necesarios, mediante la aplicación de mortero natural de cal sin aditivos, COM-CAL Restaura "COM-CAL", tipo GP CSII W0, según UNE-EN 998-1, color blanco, de hasta 20 mm de espesor, aplicado con dos capas de agua fábrica cerámica, horizontal. Incluso ribetes de PVC, para formación de juntas.
La tercera capa (acabado), estará compuesta por una capa de mortero natural de cal sin aditivos, COM-CAL TRADICIONAL "COM-CAL", con árido de mármol, de granulometría comprendida entre 0,35 y 0,7 mm, COM-CAL Tradicional "COM-CAL", tipo CR CSII W0, según UNE-EN enlucido.</t>
  </si>
  <si>
    <t xml:space="preserve">MC01</t>
  </si>
  <si>
    <t xml:space="preserve">Material</t>
  </si>
  <si>
    <t xml:space="preserve">Saco</t>
  </si>
  <si>
    <t xml:space="preserve">MORTERO COM-CAL ADHERECAL NHL-5 (SATE) 21 KG</t>
  </si>
  <si>
    <t xml:space="preserve">ma-lp-00001705</t>
  </si>
  <si>
    <t xml:space="preserve">Material</t>
  </si>
  <si>
    <t xml:space="preserve">rollo</t>
  </si>
  <si>
    <t xml:space="preserve">Malla de fibra de vidrio azul para refuerzo de morteros y revocos (rollo 50x1 m)   Ref. lp-00001705</t>
  </si>
  <si>
    <t xml:space="preserve">COMREST</t>
  </si>
  <si>
    <t xml:space="preserve">Material</t>
  </si>
  <si>
    <t xml:space="preserve">Saco</t>
  </si>
  <si>
    <t xml:space="preserve">MORTERO NHL-3,5 COM-CAL RESTAURA 23 KG</t>
  </si>
  <si>
    <t xml:space="preserve">ma-lp-00225432</t>
  </si>
  <si>
    <t xml:space="preserve">Material</t>
  </si>
  <si>
    <t xml:space="preserve">und</t>
  </si>
  <si>
    <t xml:space="preserve">Perfil cantonera de PVC con malla de fibra de vidrio (medida de la malla: 8x12 cm.; longitud: 2,5 m)   Ref. lp-00225432</t>
  </si>
  <si>
    <t xml:space="preserve">COMAC</t>
  </si>
  <si>
    <t xml:space="preserve">Material</t>
  </si>
  <si>
    <t xml:space="preserve">Saco</t>
  </si>
  <si>
    <t xml:space="preserve">MORTERO CAL AEREA COLOR A DEFINIR + AM0,35-0,7 BOTE 24 KG</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</si>
  <si>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</si>
  <si>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</si>
  <si>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</si>
  <si>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</si>
  <si>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</si>
  <si>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</si>
  <si>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</si>
  <si>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</si>
  <si>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</si>
  <si>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</si>
  <si>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</si>
  <si>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</si>
  <si>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</si>
  <si>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</si>
  <si>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</si>
  <si>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</si>
  <si>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</si>
  <si>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</si>
  <si>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</si>
  <si>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</si>
  <si>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MORCAL007</t>
  </si>
  <si>
    <t xml:space="preserve">MORCAL008</t>
  </si>
  <si>
    <t xml:space="preserve">Partida</t>
  </si>
  <si>
    <t xml:space="preserve">M2</t>
  </si>
  <si>
    <t xml:space="preserve">o REVOCO DE CAL TRADICIONAL 20 mm</t>
  </si>
  <si>
    <t xml:space="preserve">REVOCO A BASE DE CAL TRADICIONAL 20 mm APLICADO SOBRE ENFOSCADO DE PARAMENTO HORIZONTAL, MEDIANTE EL USO DE ANDAMIO TUBULAR</t>
  </si>
  <si>
    <t xml:space="preserve">ma-lp-00561384</t>
  </si>
  <si>
    <t xml:space="preserve">Material</t>
  </si>
  <si>
    <t xml:space="preserve">saco</t>
  </si>
  <si>
    <t xml:space="preserve">Mortero para revoco PROPAM REVAT CAL TRADICIONAL (25 kg/saco).   Ref. lp-00561384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</si>
  <si>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</si>
  <si>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</si>
  <si>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</si>
  <si>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</si>
  <si>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</si>
  <si>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</si>
  <si>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</si>
  <si>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</si>
  <si>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</si>
  <si>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</si>
  <si>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</si>
  <si>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</si>
  <si>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</si>
  <si>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</si>
  <si>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</si>
  <si>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</si>
  <si>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</si>
  <si>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</si>
  <si>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</si>
  <si>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</si>
  <si>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</si>
  <si>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</si>
  <si>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</si>
  <si>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</si>
  <si>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MORCAL008</t>
  </si>
  <si>
    <t xml:space="preserve">MORCAL009</t>
  </si>
  <si>
    <t xml:space="preserve">Partida</t>
  </si>
  <si>
    <t xml:space="preserve">M</t>
  </si>
  <si>
    <t xml:space="preserve">o REPARACIÓN DE FISURAS MENORES EN PARAMENTOS CON USO DE CAL HIDRÁULICA CALIX NHL-3,5 DE FYM</t>
  </si>
  <si>
    <t xml:space="preserve">REPARACIÓN DE FISURAS MENORES EN PARAMENTOS CON USO DE CAL HIDRÁULICA CALIX NHL-3,5 DE FYM</t>
  </si>
  <si>
    <t xml:space="preserve">ma-pp-0135002200SJ-G</t>
  </si>
  <si>
    <t xml:space="preserve">Material</t>
  </si>
  <si>
    <t xml:space="preserve">envase</t>
  </si>
  <si>
    <t xml:space="preserve">Imprimante sellador para fondos pulverulentos DELTAFIX de BEISSIER (5 litros/envase).   Ref. pp-0135002200SJ-G</t>
  </si>
  <si>
    <t xml:space="preserve">ma-lp-00179979</t>
  </si>
  <si>
    <t xml:space="preserve">Material</t>
  </si>
  <si>
    <t xml:space="preserve">saco</t>
  </si>
  <si>
    <t xml:space="preserve">Cal hidráulica natural CALIX NHL – 3,5 de FYM; color blanco (25 kg/saco).   Ref. lp-00179979</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</si>
  <si>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</si>
  <si>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</si>
  <si>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</si>
  <si>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</si>
  <si>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</si>
  <si>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</si>
  <si>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</si>
  <si>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</si>
  <si>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</si>
  <si>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</si>
  <si>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</si>
  <si>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</si>
  <si>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</si>
  <si>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</si>
  <si>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</si>
  <si>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</si>
  <si>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</si>
  <si>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</si>
  <si>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</si>
  <si>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</si>
  <si>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</si>
  <si>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</si>
  <si>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</si>
  <si>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</si>
  <si>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MORCAL009</t>
  </si>
  <si>
    <t xml:space="preserve">REV-CAL.HID</t>
  </si>
  <si>
    <t xml:space="preserve">Partida</t>
  </si>
  <si>
    <t xml:space="preserve">m2</t>
  </si>
  <si>
    <t xml:space="preserve">XXXXXX REVESTIMIENTO CON MORTERO TRADICIONAL DE CAL "WEBERCAL LISO"; EN PARAMENTOS VERTICALES Y MEDIANTE USO DE EN ANDAMIO TUBULAR ( FCH)</t>
  </si>
  <si>
    <t xml:space="preserve">Revestimiento con mortero tradicional de cal "WEBERCAL LISO"; en paramentos verticales y mediante uso de en andamio tubular (FCH)</t>
  </si>
  <si>
    <t xml:space="preserve">ma-prolisur-06</t>
  </si>
  <si>
    <t xml:space="preserve">Material</t>
  </si>
  <si>
    <t xml:space="preserve">saco</t>
  </si>
  <si>
    <t xml:space="preserve">Mortero para enfoscado de cal en capa gruesa WEBERCAL BASIC de WEBER; color blanco (25 kg/saco).   Ref. prolisur-06</t>
  </si>
  <si>
    <t xml:space="preserve">ma-prolisur-05</t>
  </si>
  <si>
    <t xml:space="preserve">Material</t>
  </si>
  <si>
    <t xml:space="preserve">saco</t>
  </si>
  <si>
    <t xml:space="preserve">Mortero de revoco WEBERCAL LISO de WEBER a base de cal en capa fina para sistemas bicapa (25 kg/saco).   Ref. prolisur-05</t>
  </si>
  <si>
    <t xml:space="preserve">ma-lp-00001705</t>
  </si>
  <si>
    <t xml:space="preserve">Material</t>
  </si>
  <si>
    <t xml:space="preserve">rollo</t>
  </si>
  <si>
    <t xml:space="preserve">Malla de fibra de vidrio azul para refuerzo de morteros y revocos (rollo 50x1 m)   Ref. lp-00001705</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</si>
  <si>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</si>
  <si>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</si>
  <si>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</si>
  <si>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</si>
  <si>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</si>
  <si>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</si>
  <si>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</si>
  <si>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</si>
  <si>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ma-prolisur-perfil.rem.ventana</t>
  </si>
  <si>
    <t xml:space="preserve">Material</t>
  </si>
  <si>
    <t xml:space="preserve">perfil</t>
  </si>
  <si>
    <t xml:space="preserve">Perfil remate de ventanas WEBERTHERM para sistema SATE  (2,60 m/perfil).   Ref. prolisur-perfil-rem.ventana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</si>
  <si>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</si>
  <si>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</si>
  <si>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</si>
  <si>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</si>
  <si>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</si>
  <si>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</si>
  <si>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</si>
  <si>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</si>
  <si>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</si>
  <si>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</si>
  <si>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</si>
  <si>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</si>
  <si>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</si>
  <si>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</si>
  <si>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</si>
  <si>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</si>
  <si>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</si>
  <si>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</si>
  <si>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</si>
  <si>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</si>
  <si>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REV-CAL.HID</t>
  </si>
  <si>
    <t xml:space="preserve">FACHYP-ENFOSCADO-WEBERCAL.BASIC</t>
  </si>
  <si>
    <t xml:space="preserve">Partida</t>
  </si>
  <si>
    <t xml:space="preserve">m2</t>
  </si>
  <si>
    <t xml:space="preserve">XXXXXX ENFOSCADO DE CAL EN CAPA GRUESA WEBERCAL BASIC</t>
  </si>
  <si>
    <t xml:space="preserve">ENFOSCADO DE CAL EN CAPA GRUESA WEBERCAL BASIC</t>
  </si>
  <si>
    <t xml:space="preserve">ma-manau-33352001</t>
  </si>
  <si>
    <t xml:space="preserve">Material</t>
  </si>
  <si>
    <t xml:space="preserve">bidón</t>
  </si>
  <si>
    <t xml:space="preserve">WEBERPRIM FX15 BIDON 20KG Imprimante promotor de adherencia para soportes no porosos</t>
  </si>
  <si>
    <t xml:space="preserve">ma-manau-32952500</t>
  </si>
  <si>
    <t xml:space="preserve">Material</t>
  </si>
  <si>
    <t xml:space="preserve">saco</t>
  </si>
  <si>
    <t xml:space="preserve">Mortero para enfoscado de cal en capa gruesa WEBERCAL BASIC de WEBER; color gris (25 kg/saco).   Ref. prolisur-07</t>
  </si>
  <si>
    <t xml:space="preserve">ma-prolisur-00955597</t>
  </si>
  <si>
    <t xml:space="preserve">Material</t>
  </si>
  <si>
    <t xml:space="preserve">rollo</t>
  </si>
  <si>
    <t xml:space="preserve">Malla de refuerzo 200 de WEBERTHERM para Sistema SATE (50x1,1 m/rollo).   Ref. prolisur-00955597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</si>
  <si>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</si>
  <si>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</si>
  <si>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</si>
  <si>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</si>
  <si>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</si>
  <si>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</si>
  <si>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</si>
  <si>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</si>
  <si>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</si>
  <si>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</si>
  <si>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</si>
  <si>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</si>
  <si>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</si>
  <si>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</si>
  <si>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</si>
  <si>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</si>
  <si>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</si>
  <si>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</si>
  <si>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</si>
  <si>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</si>
  <si>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FACHYP-ENFOSCADO-WEBERCAL.BASIC</t>
  </si>
  <si>
    <t xml:space="preserve">REV-CAL.HID</t>
  </si>
  <si>
    <t xml:space="preserve">Partida</t>
  </si>
  <si>
    <t xml:space="preserve">m2</t>
  </si>
  <si>
    <t xml:space="preserve">XXXXXX REVESTIMIENTO CON MORTERO TRADICIONAL DE CAL "WEBERCAL LISO"; EN PARAMENTOS VERTICALES Y MEDIANTE USO DE EN ANDAMIO TUBULAR ( FCH)</t>
  </si>
  <si>
    <t xml:space="preserve">Revestimiento con mortero tradicional de cal "WEBERCAL LISO"; en paramentos verticales y mediante uso de en andamio tubular (FCH)</t>
  </si>
  <si>
    <t xml:space="preserve">ma-prolisur-06</t>
  </si>
  <si>
    <t xml:space="preserve">Material</t>
  </si>
  <si>
    <t xml:space="preserve">saco</t>
  </si>
  <si>
    <t xml:space="preserve">Mortero para enfoscado de cal en capa gruesa WEBERCAL BASIC de WEBER; color blanco (25 kg/saco).   Ref. prolisur-06</t>
  </si>
  <si>
    <t xml:space="preserve">ma-prolisur-05</t>
  </si>
  <si>
    <t xml:space="preserve">Material</t>
  </si>
  <si>
    <t xml:space="preserve">saco</t>
  </si>
  <si>
    <t xml:space="preserve">Mortero de revoco WEBERCAL LISO de WEBER a base de cal en capa fina para sistemas bicapa (25 kg/saco).   Ref. prolisur-05</t>
  </si>
  <si>
    <t xml:space="preserve">ma-lp-00001705</t>
  </si>
  <si>
    <t xml:space="preserve">Material</t>
  </si>
  <si>
    <t xml:space="preserve">rollo</t>
  </si>
  <si>
    <t xml:space="preserve">Malla de fibra de vidrio azul para refuerzo de morteros y revocos (rollo 50x1 m)   Ref. lp-00001705</t>
  </si>
  <si>
    <t xml:space="preserve">ma-lp-00511369</t>
  </si>
  <si>
    <t xml:space="preserve">Material</t>
  </si>
  <si>
    <t xml:space="preserve">und</t>
  </si>
  <si>
    <t xml:space="preserve">Perfil goterón VLT de PVC con malla de fibra de vidrio (long.: 2,5 m; ancho: 100x100 mm; espesor 9 mm)   Ref. lp-00511369</t>
  </si>
  <si>
    <t xml:space="preserve">ma-lp-00225432</t>
  </si>
  <si>
    <t xml:space="preserve">Material</t>
  </si>
  <si>
    <t xml:space="preserve">und</t>
  </si>
  <si>
    <t xml:space="preserve">Perfil cantonera de PVC con malla de fibra de vidrio (medida de la malla: 8x12 cm.; longitud: 2,5 m)   Ref. lp-00225432</t>
  </si>
  <si>
    <t xml:space="preserve">ma-prolisur-perfil.rem.ventana</t>
  </si>
  <si>
    <t xml:space="preserve">Material</t>
  </si>
  <si>
    <t xml:space="preserve">perfil</t>
  </si>
  <si>
    <t xml:space="preserve">Perfil remate de ventanas WEBERTHERM para sistema SATE  (2,60 m/perfil).   Ref. prolisur-perfil-rem.ventana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</si>
  <si>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</si>
  <si>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</si>
  <si>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</si>
  <si>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</si>
  <si>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</si>
  <si>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</si>
  <si>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</si>
  <si>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</si>
  <si>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</si>
  <si>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</si>
  <si>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</si>
  <si>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</si>
  <si>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</si>
  <si>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</si>
  <si>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</si>
  <si>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</si>
  <si>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</si>
  <si>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</si>
  <si>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</si>
  <si>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</si>
  <si>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REV-CAL.HID</t>
  </si>
  <si>
    <t xml:space="preserve">MORCAL021111</t>
  </si>
  <si>
    <t xml:space="preserve">Partida</t>
  </si>
  <si>
    <t xml:space="preserve">m2</t>
  </si>
  <si>
    <t xml:space="preserve">XXXXXX CAPA DE TERMINACIÓN DE MORTERO DE CAL 10 mm C/TRABAJOS VERTICALES( FC )</t>
  </si>
  <si>
    <t xml:space="preserve">Capa de terminación de mortero de cal 10 mm (revoco tradicional) preparado y aplicado CON TRABAJOS VERTICALES con acabado fratasado sobre paramento horizontal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</si>
  <si>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</si>
  <si>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</si>
  <si>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</si>
  <si>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</si>
  <si>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</si>
  <si>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</si>
  <si>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</si>
  <si>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</si>
  <si>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</si>
  <si>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</si>
  <si>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</si>
  <si>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</si>
  <si>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</si>
  <si>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</si>
  <si>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</si>
  <si>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</si>
  <si>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</si>
  <si>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</si>
  <si>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</si>
  <si>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</si>
  <si>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</si>
  <si>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</si>
  <si>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</si>
  <si>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</si>
  <si>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</si>
  <si>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</si>
  <si>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</si>
  <si>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</si>
  <si>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MORCAL021111</t>
  </si>
  <si>
    <t xml:space="preserve">MORCAL031111</t>
  </si>
  <si>
    <t xml:space="preserve">Partida</t>
  </si>
  <si>
    <t xml:space="preserve">m2</t>
  </si>
  <si>
    <t xml:space="preserve">XXXXXX CAPA DE TERMINACIÓN DE MORTERO DE CAL 10 mm (REVOCO TRADICIONAL) PREPARADO Y APLICADO A MÁQUINA CON ACABADO FRATASADO SOBRE PARAMENTO HORIZONTAL EXTERIOR (FCH)</t>
  </si>
  <si>
    <t xml:space="preserve">Capa de terminación de mortero de cal 10 mm (revoco tradicional) preparado y aplicado mecánicamente con acabado fratasado sobre paramento horizontal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</si>
  <si>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</si>
  <si>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</si>
  <si>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</si>
  <si>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</si>
  <si>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</si>
  <si>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</si>
  <si>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</si>
  <si>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</si>
  <si>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</si>
  <si>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</si>
  <si>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</si>
  <si>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</si>
  <si>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</si>
  <si>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</si>
  <si>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</si>
  <si>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</si>
  <si>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</si>
  <si>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</si>
  <si>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</si>
  <si>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</si>
  <si>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</si>
  <si>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</si>
  <si>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</si>
  <si>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</si>
  <si>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</si>
  <si>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</si>
  <si>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</si>
  <si>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</si>
  <si>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</si>
  <si>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</si>
  <si>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</si>
  <si>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</si>
  <si>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MORCAL031111</t>
  </si>
  <si>
    <t xml:space="preserve">REV-CAL.HIDRAULICA-20mm-H-MS</t>
  </si>
  <si>
    <t xml:space="preserve">Partida</t>
  </si>
  <si>
    <t xml:space="preserve">m2</t>
  </si>
  <si>
    <t xml:space="preserve">XXXXXX REVESTIMIENTO A BASE DE CAL HIDRÁULICA 20 mm EN PARAMENTO HORIZONTAL Y MEDIANTE EL USO DE MEDIO SUSPENDIDO/COLGADO</t>
  </si>
  <si>
    <t xml:space="preserve">REVESTIMIENTO A BASE DE CAL HIDRÁULICA 20 mm EN PARAMENTO HORIZONTAL Y MEDIANTE EL USO DE MEDIO SUSPENDIDO/COLGADO</t>
  </si>
  <si>
    <t xml:space="preserve">ma-lp-00179979</t>
  </si>
  <si>
    <t xml:space="preserve">Material</t>
  </si>
  <si>
    <t xml:space="preserve">saco</t>
  </si>
  <si>
    <t xml:space="preserve">Cal hidráulica natural CALIX NHL – 3,5 de FYM; color blanco (25 kg/saco).   Ref. lp-00179979</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</si>
  <si>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</si>
  <si>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</si>
  <si>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</si>
  <si>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</si>
  <si>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</si>
  <si>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</si>
  <si>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</si>
  <si>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</si>
  <si>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</si>
  <si>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</si>
  <si>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</si>
  <si>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</si>
  <si>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</si>
  <si>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</si>
  <si>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</si>
  <si>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</si>
  <si>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</si>
  <si>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</si>
  <si>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</si>
  <si>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</si>
  <si>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</si>
  <si>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</si>
  <si>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</si>
  <si>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</si>
  <si>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</si>
  <si>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</si>
  <si>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</si>
  <si>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</si>
  <si>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REV-CAL.HIDRAULICA-20mm-H-MS</t>
  </si>
  <si>
    <t xml:space="preserve">REV-CAL.HIDRAULICA-20mm-V-AT</t>
  </si>
  <si>
    <t xml:space="preserve">Partida</t>
  </si>
  <si>
    <t xml:space="preserve">m2</t>
  </si>
  <si>
    <t xml:space="preserve">XXXXXX REVESTIMIENTO A BASE DE CAL HIDRÁULICA 20 mm EN PARAMENTO VERTICAL Y MEDIANTE EL USO DE ANDAMIO TUBULAR</t>
  </si>
  <si>
    <t xml:space="preserve">REVESTIMIENTO A BASE DE CAL HIDRÁULICA 20 mm EN PARAMENTO VERTICAL Y MEDIANTE EL USO DE ANDAMIO TUBULAR</t>
  </si>
  <si>
    <t xml:space="preserve">ma-lp-00179979</t>
  </si>
  <si>
    <t xml:space="preserve">Material</t>
  </si>
  <si>
    <t xml:space="preserve">saco</t>
  </si>
  <si>
    <t xml:space="preserve">Cal hidráulica natural CALIX NHL – 3,5 de FYM; color blanco (25 kg/saco).   Ref. lp-00179979</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</si>
  <si>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</si>
  <si>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</si>
  <si>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</si>
  <si>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</si>
  <si>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</si>
  <si>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</si>
  <si>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</si>
  <si>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</si>
  <si>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</si>
  <si>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</si>
  <si>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</si>
  <si>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</si>
  <si>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</si>
  <si>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</si>
  <si>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</si>
  <si>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</si>
  <si>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</si>
  <si>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</si>
  <si>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</si>
  <si>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</si>
  <si>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</si>
  <si>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</si>
  <si>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</si>
  <si>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</si>
  <si>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</si>
  <si>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</si>
  <si>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</si>
  <si>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</si>
  <si>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REV-CAL.HIDRAULICA-20mm-V-AT</t>
  </si>
  <si>
    <t xml:space="preserve">REV-CAL.HIDRAULICA-20mm-V-MS</t>
  </si>
  <si>
    <t xml:space="preserve">Partida</t>
  </si>
  <si>
    <t xml:space="preserve">m2</t>
  </si>
  <si>
    <t xml:space="preserve">XXXXXX REVESTIMIENTO A BASE DE CAL HIDRÁULICA 20 mm EN PARAMENTO VERTICAL Y MEDIANTE EL USO DE MEDIO SUSPENDIDO/COLGADO</t>
  </si>
  <si>
    <t xml:space="preserve">REVESTIMIENTO A BASE DE CAL HIDRÁULICA 20 mm EN PARAMENTO VERTICAL Y MEDIANTE EL USO DE MEDIO SUSPENDIDO/COLGADO</t>
  </si>
  <si>
    <t xml:space="preserve">ma-lp-00179979</t>
  </si>
  <si>
    <t xml:space="preserve">Material</t>
  </si>
  <si>
    <t xml:space="preserve">saco</t>
  </si>
  <si>
    <t xml:space="preserve">Cal hidráulica natural CALIX NHL – 3,5 de FYM; color blanco (25 kg/saco).   Ref. lp-00179979</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</si>
  <si>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</si>
  <si>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</si>
  <si>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</si>
  <si>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</si>
  <si>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</si>
  <si>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</si>
  <si>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</si>
  <si>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</si>
  <si>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</si>
  <si>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</si>
  <si>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</si>
  <si>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</si>
  <si>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</si>
  <si>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</si>
  <si>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</si>
  <si>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</si>
  <si>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</si>
  <si>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</si>
  <si>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</si>
  <si>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</si>
  <si>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</si>
  <si>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</si>
  <si>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</si>
  <si>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</si>
  <si>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</si>
  <si>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</si>
  <si>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</si>
  <si>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</si>
  <si>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REV-CAL.HIDRAULICA-20mm-V-MS</t>
  </si>
  <si>
    <t xml:space="preserve">REV-REVOCO-CAL.TRADIC-20mm-H-MS</t>
  </si>
  <si>
    <t xml:space="preserve">Partida</t>
  </si>
  <si>
    <t xml:space="preserve">m2</t>
  </si>
  <si>
    <t xml:space="preserve">XXXXXX REVOCO A BASE DE CAL TRADICIONAL 20 mm APLICADO SOBRE ENFOSCADO DE PARAMENTO HORIZONTAL, MEDIANTE EL USO DE MEDIO SUSPENDIDO/COLGADO</t>
  </si>
  <si>
    <t xml:space="preserve">REVOCO A BASE DE CAL TRADICIONAL 20 mm APLICADO SOBRE ENFOSCADO DE PARAMENTO HORIZONTAL, MEDIANTE EL USO DE MEDIO SUSPENDIDO/COLGADO</t>
  </si>
  <si>
    <t xml:space="preserve">ma-lp-00561384</t>
  </si>
  <si>
    <t xml:space="preserve">Material</t>
  </si>
  <si>
    <t xml:space="preserve">saco</t>
  </si>
  <si>
    <t xml:space="preserve">Mortero para revoco PROPAM REVAT CAL TRADICIONAL (25 kg/saco).   Ref. lp-00561384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</si>
  <si>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</si>
  <si>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</si>
  <si>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</si>
  <si>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</si>
  <si>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</si>
  <si>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</si>
  <si>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</si>
  <si>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</si>
  <si>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</si>
  <si>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</si>
  <si>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</si>
  <si>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</si>
  <si>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</si>
  <si>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</si>
  <si>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</si>
  <si>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</si>
  <si>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</si>
  <si>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</si>
  <si>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</si>
  <si>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</si>
  <si>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</si>
  <si>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</si>
  <si>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</si>
  <si>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</si>
  <si>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REV-REVOCO-CAL.TRADIC-20mm-H-MS</t>
  </si>
  <si>
    <t xml:space="preserve">REV-REVOCO-CAL.TRADIC-20mm-V-AT</t>
  </si>
  <si>
    <t xml:space="preserve">Partida</t>
  </si>
  <si>
    <t xml:space="preserve">m2</t>
  </si>
  <si>
    <t xml:space="preserve">XXXXXX REVOCO A BASE DE CAL TRADICIONAL 20 mm APLICADO SOBRE ENFOSCADO DE PARAMENTO VERTICAL, MEDIANTE EL USO DE ANDAMIO TUBULAR</t>
  </si>
  <si>
    <t xml:space="preserve">REVOCO A BASE DE CAL TRADICIONAL 20 mm APLICADO SOBRE ENFOSCADO DE PARAMENTO VERTICAL, MEDIANTE EL USO DE ANDAMIO TUBULAR</t>
  </si>
  <si>
    <t xml:space="preserve">ma-lp-00561384</t>
  </si>
  <si>
    <t xml:space="preserve">Material</t>
  </si>
  <si>
    <t xml:space="preserve">saco</t>
  </si>
  <si>
    <t xml:space="preserve">Mortero para revoco PROPAM REVAT CAL TRADICIONAL (25 kg/saco).   Ref. lp-00561384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</si>
  <si>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</si>
  <si>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</si>
  <si>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</si>
  <si>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</si>
  <si>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</si>
  <si>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</si>
  <si>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</si>
  <si>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</si>
  <si>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</si>
  <si>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</si>
  <si>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</si>
  <si>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</si>
  <si>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</si>
  <si>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</si>
  <si>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</si>
  <si>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</si>
  <si>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</si>
  <si>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</si>
  <si>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</si>
  <si>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</si>
  <si>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</si>
  <si>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</si>
  <si>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</si>
  <si>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</si>
  <si>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REV-REVOCO-CAL.TRADIC-20mm-V-AT</t>
  </si>
  <si>
    <t xml:space="preserve">REV-REVOCO-CAL.TRADIC-20mm-V-MS</t>
  </si>
  <si>
    <t xml:space="preserve">Partida</t>
  </si>
  <si>
    <t xml:space="preserve">m2</t>
  </si>
  <si>
    <t xml:space="preserve">XXXXXX REVOCO A BASE DE CAL TRADICIONAL 20 mm APLICADO SOBRE ENFOSCADO DE PARAMENTO VERTICAL, MEDIANTE EL USO DE MEDIO SUSPENDIDO/COLGADO</t>
  </si>
  <si>
    <t xml:space="preserve">REVOCO A BASE DE CAL TRADICIONAL 20 mm APLICADO SOBRE ENFOSCADO DE PARAMENTO VERTICAL, MEDIANTE EL USO DE MEDIO SUSPENDIDO/COLGADO</t>
  </si>
  <si>
    <t xml:space="preserve">ma-lp-00561384</t>
  </si>
  <si>
    <t xml:space="preserve">Material</t>
  </si>
  <si>
    <t xml:space="preserve">saco</t>
  </si>
  <si>
    <t xml:space="preserve">Mortero para revoco PROPAM REVAT CAL TRADICIONAL (25 kg/saco).   Ref. lp-00561384</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</si>
  <si>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</si>
  <si>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</si>
  <si>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</si>
  <si>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</si>
  <si>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</si>
  <si>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</si>
  <si>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</si>
  <si>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</si>
  <si>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</si>
  <si>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</si>
  <si>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</si>
  <si>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</si>
  <si>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</si>
  <si>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</si>
  <si>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</si>
  <si>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</si>
  <si>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</si>
  <si>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</si>
  <si>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</si>
  <si>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</si>
  <si>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</si>
  <si>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</si>
  <si>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</si>
  <si>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</si>
  <si>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REV-REVOCO-CAL.TRADIC-20mm-V-MS</t>
  </si>
  <si>
    <t xml:space="preserve">REV30-MNR-003-H-AT</t>
  </si>
  <si>
    <t xml:space="preserve">Partida</t>
  </si>
  <si>
    <t xml:space="preserve">m2</t>
  </si>
  <si>
    <t xml:space="preserve">XXXXX CAPA BASE DE MORTERO DE CAL 15 mm PREPARADO Y APLICADO A MANO MEDIANTE EL USO DE ANDAMIO TUBULAR, CON ACABADO RUGOSO SOBRE PARAMENTO VERTICAL EXTERIOR</t>
  </si>
  <si>
    <t xml:space="preserve">CAPA BASE DE MORTERO DE CAL 15 mm PREPARADO Y APLICADO A MANO MEDIANTE EL USO DE ANDAMIO TUBULAR, CON ACABADO RUGOSO SOBRE PARAMENTO VERTICAL EXTERIOR</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</si>
  <si>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</si>
  <si>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</si>
  <si>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</si>
  <si>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</si>
  <si>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</si>
  <si>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</si>
  <si>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</si>
  <si>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</si>
  <si>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</si>
  <si>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</si>
  <si>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</si>
  <si>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</si>
  <si>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</si>
  <si>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</si>
  <si>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</si>
  <si>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</si>
  <si>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</si>
  <si>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</si>
  <si>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</si>
  <si>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</si>
  <si>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</si>
  <si>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</si>
  <si>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</si>
  <si>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</si>
  <si>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</si>
  <si>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</si>
  <si>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</si>
  <si>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</si>
  <si>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</si>
  <si>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</si>
  <si>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</si>
  <si>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</si>
  <si>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REV30-MNR-003-H-AT</t>
  </si>
  <si>
    <t xml:space="preserve">REV30-MNR-003-H-MS</t>
  </si>
  <si>
    <t xml:space="preserve">Partida</t>
  </si>
  <si>
    <t xml:space="preserve">m2</t>
  </si>
  <si>
    <t xml:space="preserve">XXXXX CAPA BASE DE MORTERO DE CAL 15 mm PREPARADO Y APLICADO A MANO MEDIANTE EL USO DE MEDIO SUSPENDIDO/COLGADO, CON ACABADO RUGOSO SOBRE PARAMENTO HORIZONTAL EXTERIOR</t>
  </si>
  <si>
    <t xml:space="preserve">CAPA BASE DE MORTERO DE CAL 15 mm PREPARADO Y APLICADO A MANO MEDIANTE EL USO DE MEDIO SUSPENDIDO/COLGADO, CON ACABADO RUGOSO SOBRE PARAMENTO HORIZONTAL EXTERIOR</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</si>
  <si>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</si>
  <si>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</si>
  <si>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</si>
  <si>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</si>
  <si>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</si>
  <si>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</si>
  <si>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</si>
  <si>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</si>
  <si>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</si>
  <si>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</si>
  <si>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</si>
  <si>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</si>
  <si>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</si>
  <si>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</si>
  <si>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</si>
  <si>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</si>
  <si>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</si>
  <si>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</si>
  <si>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</si>
  <si>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</si>
  <si>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</si>
  <si>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</si>
  <si>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</si>
  <si>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</si>
  <si>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</si>
  <si>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</si>
  <si>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</si>
  <si>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</si>
  <si>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</si>
  <si>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</si>
  <si>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</si>
  <si>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</si>
  <si>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REV30-MNR-003-H-MS</t>
  </si>
  <si>
    <t xml:space="preserve">REV30-MNR-002</t>
  </si>
  <si>
    <t xml:space="preserve">Partida</t>
  </si>
  <si>
    <t xml:space="preserve">m2</t>
  </si>
  <si>
    <t xml:space="preserve">XXXXX CAPA BASE DE MORTERO DE CAL 15 mm PREPARADO Y APLICADO A MANO CON ACABADO RUGOSO SOBRE PARAMENTO HORIZONTAL EXTERIOR (FCH)</t>
  </si>
  <si>
    <t xml:space="preserve">Capa base de mortero de cal 15 mm maestreado con acabado rugoso, preparado y aplicado manualmente sobre paramento exterior horizontal de fábrica de ladrillo o bloque de hormigón, reforzado con malla de fibra de vidrio antiálcalis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</si>
  <si>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</si>
  <si>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</si>
  <si>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</si>
  <si>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</si>
  <si>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</si>
  <si>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</si>
  <si>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</si>
  <si>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</si>
  <si>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</si>
  <si>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</si>
  <si>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</si>
  <si>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</si>
  <si>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</si>
  <si>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</si>
  <si>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</si>
  <si>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</si>
  <si>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</si>
  <si>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</si>
  <si>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</si>
  <si>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</si>
  <si>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</si>
  <si>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</si>
  <si>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</si>
  <si>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</si>
  <si>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</si>
  <si>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</si>
  <si>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</si>
  <si>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</si>
  <si>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</si>
  <si>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</si>
  <si>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</si>
  <si>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</si>
  <si>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REV30-MNR-002</t>
  </si>
  <si>
    <t xml:space="preserve">REV30-MNR-003-V-AT</t>
  </si>
  <si>
    <t xml:space="preserve">Partida</t>
  </si>
  <si>
    <t xml:space="preserve">m2</t>
  </si>
  <si>
    <t xml:space="preserve">XXXXX CAPA BASE DE MORTERO DE CAL 15 mm PREPARADO Y APLICADO A MANO MEDIANTE EL USO DE ANDAMIO TUBULAR, CON ACABADO FRATASADO SOBRE PARAMENTO VERTICAL EXTERIOR</t>
  </si>
  <si>
    <t xml:space="preserve">Capa base de mortero de cal 15 mm maestreado con acabado fratasado, preparado y aplicado manualmente sobre paramento exterior vertical de fábrica de ladrillo o bloque de hormigón, mediante el uso de andamio tubular,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</si>
  <si>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</si>
  <si>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</si>
  <si>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</si>
  <si>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</si>
  <si>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</si>
  <si>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</si>
  <si>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</si>
  <si>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</si>
  <si>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</si>
  <si>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</si>
  <si>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</si>
  <si>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</si>
  <si>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</si>
  <si>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</si>
  <si>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</si>
  <si>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</si>
  <si>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</si>
  <si>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</si>
  <si>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</si>
  <si>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</si>
  <si>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</si>
  <si>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</si>
  <si>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</si>
  <si>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</si>
  <si>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</si>
  <si>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</si>
  <si>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</si>
  <si>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</si>
  <si>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</si>
  <si>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</si>
  <si>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</si>
  <si>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</si>
  <si>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REV30-MNR-003-V-AT</t>
  </si>
  <si>
    <t xml:space="preserve">REV30-MNR-003-V-MS</t>
  </si>
  <si>
    <t xml:space="preserve">Partida</t>
  </si>
  <si>
    <t xml:space="preserve">m2</t>
  </si>
  <si>
    <t xml:space="preserve">XXXXX CAPA BASE DE MORTERO DE CAL 15 mm PREPARADO Y APLICADO A MANO MEDIANTE EL USO DE MEDIO SUSPENDIDO/COLGADO, CON ACABADO FRATASADO SOBRE PARAMENTO VERTICAL EXTERIOR (FCH)</t>
  </si>
  <si>
    <t xml:space="preserve">Capa base de mortero de cal 15 mm maestreado con acabado fratasado, preparado y aplicado manualmente sobre paramento exterior vertical de fábrica de ladrillo o bloque de hormigón, mediante el uso de medio suspendido/colgado,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</si>
  <si>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</si>
  <si>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</si>
  <si>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</si>
  <si>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</si>
  <si>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</si>
  <si>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</si>
  <si>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</si>
  <si>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</si>
  <si>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</si>
  <si>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</si>
  <si>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</si>
  <si>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</si>
  <si>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</si>
  <si>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</si>
  <si>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</si>
  <si>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</si>
  <si>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</si>
  <si>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</si>
  <si>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</si>
  <si>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</si>
  <si>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</si>
  <si>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</si>
  <si>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</si>
  <si>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</si>
  <si>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</si>
  <si>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</si>
  <si>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</si>
  <si>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</si>
  <si>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</si>
  <si>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</si>
  <si>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</si>
  <si>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</si>
  <si>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REV30-MNR-003-V-MS</t>
  </si>
  <si>
    <t xml:space="preserve">REV30-MNR-004</t>
  </si>
  <si>
    <t xml:space="preserve">Partida</t>
  </si>
  <si>
    <t xml:space="preserve">m2</t>
  </si>
  <si>
    <t xml:space="preserve">XXXXX CAPA BASE DE MORTERO DE CAL 15 mm PREPARADO Y APLICADO A MANO CON ACABADO FRATASADO SOBRE PARAMENTO HORIZONTAL EXTERIOR (FCH)</t>
  </si>
  <si>
    <t xml:space="preserve">Capa base de mortero de cal 15 mm maestreado con acabado fratasado, preparado y aplicado manualmente sobre paramento exterior horizontal de fábrica de ladrillo o bloque de hormigón, reforzado con malla de fibra de vidrio antiálcalis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</si>
  <si>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</si>
  <si>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</si>
  <si>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</si>
  <si>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</si>
  <si>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</si>
  <si>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</si>
  <si>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</si>
  <si>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</si>
  <si>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</si>
  <si>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</si>
  <si>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</si>
  <si>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</si>
  <si>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</si>
  <si>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</si>
  <si>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</si>
  <si>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</si>
  <si>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</si>
  <si>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</si>
  <si>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</si>
  <si>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</si>
  <si>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</si>
  <si>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</si>
  <si>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</si>
  <si>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</si>
  <si>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</si>
  <si>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</si>
  <si>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</si>
  <si>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</si>
  <si>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</si>
  <si>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</si>
  <si>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</si>
  <si>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</si>
  <si>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REV30-MNR-004</t>
  </si>
  <si>
    <t xml:space="preserve">REV30-MNR-005</t>
  </si>
  <si>
    <t xml:space="preserve">Partida</t>
  </si>
  <si>
    <t xml:space="preserve">m2</t>
  </si>
  <si>
    <t xml:space="preserve">XXXXX CAPA BASE DE MORTERO DE CAL 15 mm PREPARADO Y APLICADO A MÁQUINA CON ACABADO RUGOSO SOBRE PARAMENTO VERTICAL EXTERIOR (FCH)</t>
  </si>
  <si>
    <t xml:space="preserve">Capa base de mortero de cal 15 mm maestreado con acabado rugoso, preparado y aplicado mecánicamente sobre paramento exterior vertical de fábrica de ladrillo o bloque de hormigón, reforzado con malla de fibra de vidrio antiálcalis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</si>
  <si>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</si>
  <si>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</si>
  <si>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</si>
  <si>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</si>
  <si>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</si>
  <si>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</si>
  <si>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</si>
  <si>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</si>
  <si>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</si>
  <si>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</si>
  <si>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</si>
  <si>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</si>
  <si>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</si>
  <si>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</si>
  <si>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</si>
  <si>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</si>
  <si>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</si>
  <si>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</si>
  <si>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</si>
  <si>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</si>
  <si>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</si>
  <si>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</si>
  <si>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</si>
  <si>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</si>
  <si>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</si>
  <si>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</si>
  <si>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</si>
  <si>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</si>
  <si>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</si>
  <si>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</si>
  <si>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</si>
  <si>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</si>
  <si>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</si>
  <si>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</si>
  <si>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</si>
  <si>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</si>
  <si>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REV30-MNR-005</t>
  </si>
  <si>
    <t xml:space="preserve">REV30-MNR-006</t>
  </si>
  <si>
    <t xml:space="preserve">Partida</t>
  </si>
  <si>
    <t xml:space="preserve">m2</t>
  </si>
  <si>
    <t xml:space="preserve">XXXXX CAPA BASE DE MORTERO DE CAL 15 mm PREPARADO Y APLICADO A MÁQUINA CON ACABADO RUGOSO SOBRE PARAMENTO HORIZONTAL EXTERIOR (FCH)</t>
  </si>
  <si>
    <t xml:space="preserve">Capa base de mortero de cal 15 mm maestreado con acabado rugoso, preparado y aplicado mecánicamente sobre paramento exterior horizontal de fábrica de ladrillo o bloque de hormigón, reforzado con malla de fibra de vidrio antiálcalis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</si>
  <si>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</si>
  <si>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</si>
  <si>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</si>
  <si>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</si>
  <si>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</si>
  <si>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</si>
  <si>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</si>
  <si>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</si>
  <si>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</si>
  <si>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</si>
  <si>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</si>
  <si>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</si>
  <si>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</si>
  <si>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</si>
  <si>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</si>
  <si>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</si>
  <si>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</si>
  <si>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</si>
  <si>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</si>
  <si>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</si>
  <si>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</si>
  <si>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</si>
  <si>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</si>
  <si>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</si>
  <si>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</si>
  <si>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</si>
  <si>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</si>
  <si>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</si>
  <si>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</si>
  <si>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</si>
  <si>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</si>
  <si>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</si>
  <si>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</si>
  <si>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</si>
  <si>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</si>
  <si>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</si>
  <si>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REV30-MNR-006</t>
  </si>
  <si>
    <t xml:space="preserve">REV30-MNR-007</t>
  </si>
  <si>
    <t xml:space="preserve">Partida</t>
  </si>
  <si>
    <t xml:space="preserve">m2</t>
  </si>
  <si>
    <t xml:space="preserve">XXXXX CAPA BASE DE MORTERO DE CAL 15 mm PREPARADO Y APLICADO A MÁQUINA CON ACABADO FRATASADO SOBRE PARAMENTO VERTICAL EXTERIOR (FCH)</t>
  </si>
  <si>
    <t xml:space="preserve">Capa base de mortero de cal 15 mm maestreado con acabado fratasado, preparado y aplicado mecánicamente sobre paramento exterior vertical de fábrica de ladrillo o bloque de hormigón, reforzado con malla de fibra de vidrio antiálcalis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</si>
  <si>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</si>
  <si>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</si>
  <si>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</si>
  <si>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</si>
  <si>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</si>
  <si>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</si>
  <si>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</si>
  <si>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</si>
  <si>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</si>
  <si>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</si>
  <si>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</si>
  <si>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</si>
  <si>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</si>
  <si>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</si>
  <si>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</si>
  <si>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</si>
  <si>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</si>
  <si>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</si>
  <si>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</si>
  <si>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</si>
  <si>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</si>
  <si>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</si>
  <si>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</si>
  <si>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</si>
  <si>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</si>
  <si>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</si>
  <si>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</si>
  <si>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</si>
  <si>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</si>
  <si>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</si>
  <si>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</si>
  <si>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</si>
  <si>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</si>
  <si>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</si>
  <si>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</si>
  <si>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</si>
  <si>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REV30-MNR-007</t>
  </si>
  <si>
    <t xml:space="preserve">REV30-MNR-008</t>
  </si>
  <si>
    <t xml:space="preserve">Partida</t>
  </si>
  <si>
    <t xml:space="preserve">m2</t>
  </si>
  <si>
    <t xml:space="preserve">XXXXX CAPA BASE DE MORTERO DE CAL 15 mm PREPARADO Y APLICADO A MÁQUINA CON ACABADO FRATASADO SOBRE PARAMENTO HORIZONTAL EXTERIOR (FCH)</t>
  </si>
  <si>
    <t xml:space="preserve">Capa base de mortero de cal 15 mm maestreado con acabado fratasado, preparado y aplicado mecánicamente sobre paramento exterior horizontal de fábrica de ladrillo o bloque de hormigón, reforzado con malla de fibra de vidrio antiálcalis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</si>
  <si>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</si>
  <si>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</si>
  <si>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</si>
  <si>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</si>
  <si>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</si>
  <si>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</si>
  <si>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</si>
  <si>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</si>
  <si>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</si>
  <si>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</si>
  <si>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</si>
  <si>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</si>
  <si>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</si>
  <si>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</si>
  <si>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</si>
  <si>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</si>
  <si>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</si>
  <si>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</si>
  <si>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</si>
  <si>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</si>
  <si>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</si>
  <si>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</si>
  <si>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</si>
  <si>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</si>
  <si>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</si>
  <si>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</si>
  <si>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</si>
  <si>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</si>
  <si>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</si>
  <si>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</si>
  <si>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</si>
  <si>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</si>
  <si>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</si>
  <si>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</si>
  <si>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</si>
  <si>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</si>
  <si>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REV30-MNR-008</t>
  </si>
  <si>
    <t xml:space="preserve">REV30-MNR-V-MS-15</t>
  </si>
  <si>
    <t xml:space="preserve">Partida</t>
  </si>
  <si>
    <t xml:space="preserve">m2</t>
  </si>
  <si>
    <t xml:space="preserve">XXXXX CAPA BASE DE MORTERO DE CAL 15 mm PREPARADO Y APLICADO A MANO CON ACABADO FRATASADO SOBRE PARAMENTO VERTICAL EXTERIOR Y MEDIANTE EL USO DE MEDIO SUSPENDIDO/COLGADO (FCH)</t>
  </si>
  <si>
    <t xml:space="preserve">CAPA BASE DE MORTERO DE CAL 15 mm PREPARADO Y APLICADO A MANO CON ACABADO FRATASADO SOBRE PARAMENTO VERTICAL EXTERIOR Y MEDIANTE EL USO DE MEDIO SUSPENDIDO/COLGADO (FCH)</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</si>
  <si>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</si>
  <si>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</si>
  <si>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</si>
  <si>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</si>
  <si>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</si>
  <si>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</si>
  <si>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</si>
  <si>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</si>
  <si>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</si>
  <si>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</si>
  <si>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</si>
  <si>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</si>
  <si>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</si>
  <si>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</si>
  <si>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</si>
  <si>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</si>
  <si>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</si>
  <si>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</si>
  <si>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</si>
  <si>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</si>
  <si>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</si>
  <si>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</si>
  <si>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</si>
  <si>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</si>
  <si>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</si>
  <si>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</si>
  <si>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</si>
  <si>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</si>
  <si>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</si>
  <si>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</si>
  <si>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</si>
  <si>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</si>
  <si>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REV30-MNR-V-MS-15</t>
  </si>
  <si>
    <t xml:space="preserve">REV31-MNR-001</t>
  </si>
  <si>
    <t xml:space="preserve">Partida</t>
  </si>
  <si>
    <t xml:space="preserve">m2</t>
  </si>
  <si>
    <t xml:space="preserve">XXXXX CAPA BASE DE MORTERO DE CAL 15 mm PREPARADO Y APLICADO A MANO CON ACABADO RUGOSO SOBRE PARAMENTO VERTICAL INTERIOR</t>
  </si>
  <si>
    <t xml:space="preserve">Capa base de mortero de cal 15 mm maestreado con acabado rugoso, preparado y aplicado manualmente sobre paramento interior vertical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</si>
  <si>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</si>
  <si>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</si>
  <si>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</si>
  <si>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</si>
  <si>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</si>
  <si>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</si>
  <si>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</si>
  <si>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</si>
  <si>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</si>
  <si>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</si>
  <si>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</si>
  <si>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</si>
  <si>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</si>
  <si>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</si>
  <si>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</si>
  <si>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</si>
  <si>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</si>
  <si>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</si>
  <si>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</si>
  <si>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</si>
  <si>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</si>
  <si>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</si>
  <si>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</si>
  <si>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</si>
  <si>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</si>
  <si>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</si>
  <si>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</si>
  <si>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</si>
  <si>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</si>
  <si>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</si>
  <si>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</si>
  <si>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</si>
  <si>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REV31-MNR-001</t>
  </si>
  <si>
    <t xml:space="preserve">REV31-MNR-002</t>
  </si>
  <si>
    <t xml:space="preserve">Partida</t>
  </si>
  <si>
    <t xml:space="preserve">m2</t>
  </si>
  <si>
    <t xml:space="preserve">XXXXX CAPA BASE DE MORTERO DE CAL 15 mm PREPARADO Y APLICADO A MANO CON ACABADO RUGOSO SOBRE PARAMENTO HORIZONTAL INTERIOR</t>
  </si>
  <si>
    <t xml:space="preserve">Capa base de mortero de cal 15 mm maestreado con acabado rugoso, preparado y aplicado manualmente sobre paramento interior horizontal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</si>
  <si>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</si>
  <si>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</si>
  <si>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</si>
  <si>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</si>
  <si>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</si>
  <si>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</si>
  <si>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</si>
  <si>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</si>
  <si>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</si>
  <si>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</si>
  <si>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</si>
  <si>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</si>
  <si>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</si>
  <si>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</si>
  <si>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</si>
  <si>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</si>
  <si>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</si>
  <si>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</si>
  <si>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</si>
  <si>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</si>
  <si>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</si>
  <si>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</si>
  <si>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</si>
  <si>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</si>
  <si>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</si>
  <si>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</si>
  <si>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</si>
  <si>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</si>
  <si>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</si>
  <si>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</si>
  <si>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</si>
  <si>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</si>
  <si>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REV31-MNR-002</t>
  </si>
  <si>
    <t xml:space="preserve">REV31-MNR-003</t>
  </si>
  <si>
    <t xml:space="preserve">Partida</t>
  </si>
  <si>
    <t xml:space="preserve">m2</t>
  </si>
  <si>
    <t xml:space="preserve">XXXXX CAPA BASE DE MORTERO DE CAL 15 mm PREPARADO Y APLICADO A MANO CON ACABADO FRATASADO SOBRE PARAMENTO VERTICAL INTERIOR</t>
  </si>
  <si>
    <t xml:space="preserve">Capa base de mortero de cal 15 mm maestreado con acabado fratasado, preparado y aplicado manualmente sobre paramento interior vertical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</si>
  <si>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</si>
  <si>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</si>
  <si>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</si>
  <si>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</si>
  <si>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</si>
  <si>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</si>
  <si>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</si>
  <si>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</si>
  <si>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</si>
  <si>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</si>
  <si>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</si>
  <si>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</si>
  <si>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</si>
  <si>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</si>
  <si>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</si>
  <si>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</si>
  <si>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</si>
  <si>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</si>
  <si>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</si>
  <si>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</si>
  <si>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</si>
  <si>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</si>
  <si>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</si>
  <si>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</si>
  <si>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</si>
  <si>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</si>
  <si>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</si>
  <si>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</si>
  <si>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</si>
  <si>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</si>
  <si>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</si>
  <si>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</si>
  <si>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REV31-MNR-003</t>
  </si>
  <si>
    <t xml:space="preserve">REV31-MNR-004</t>
  </si>
  <si>
    <t xml:space="preserve">Partida</t>
  </si>
  <si>
    <t xml:space="preserve">m2</t>
  </si>
  <si>
    <t xml:space="preserve">XXXXX CAPA BASE DE MORTERO DE CAL 15 mm PREPARADO Y APLICADO A MANO CON ACABADO FRATASADO SOBRE PARAMENTO HORIZONTAL INTERIOR</t>
  </si>
  <si>
    <t xml:space="preserve">Capa base de mortero de cal 15 mm maestreado con acabado fratasado, preparado y aplicado manualmente sobre paramento interior horizontal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</si>
  <si>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</si>
  <si>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</si>
  <si>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</si>
  <si>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</si>
  <si>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</si>
  <si>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</si>
  <si>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</si>
  <si>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</si>
  <si>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</si>
  <si>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</si>
  <si>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</si>
  <si>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</si>
  <si>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</si>
  <si>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</si>
  <si>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</si>
  <si>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</si>
  <si>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</si>
  <si>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</si>
  <si>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</si>
  <si>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</si>
  <si>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</si>
  <si>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</si>
  <si>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</si>
  <si>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</si>
  <si>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</si>
  <si>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</si>
  <si>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</si>
  <si>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</si>
  <si>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</si>
  <si>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</si>
  <si>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</si>
  <si>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</si>
  <si>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REV31-MNR-004</t>
  </si>
  <si>
    <t xml:space="preserve">REV31-MNR-005</t>
  </si>
  <si>
    <t xml:space="preserve">Partida</t>
  </si>
  <si>
    <t xml:space="preserve">m2</t>
  </si>
  <si>
    <t xml:space="preserve">XXXXX CAPA BASE DE MORTERO DE CAL 15 mm PREPARADO Y APLICADO A MÁQUINA CON ACABADO RUGOSO SOBRE PARAMENTO VERTICAL INTERIOR</t>
  </si>
  <si>
    <t xml:space="preserve">Capa base de mortero de cal 15 mm maestreado con acabado rugoso, preparado y aplicado mecánicamente sobre paramento interior vertical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</si>
  <si>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</si>
  <si>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</si>
  <si>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</si>
  <si>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</si>
  <si>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</si>
  <si>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</si>
  <si>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</si>
  <si>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</si>
  <si>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</si>
  <si>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</si>
  <si>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</si>
  <si>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</si>
  <si>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</si>
  <si>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</si>
  <si>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</si>
  <si>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</si>
  <si>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</si>
  <si>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</si>
  <si>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</si>
  <si>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</si>
  <si>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</si>
  <si>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</si>
  <si>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</si>
  <si>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</si>
  <si>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</si>
  <si>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</si>
  <si>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</si>
  <si>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</si>
  <si>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</si>
  <si>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</si>
  <si>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</si>
  <si>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</si>
  <si>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</si>
  <si>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</si>
  <si>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</si>
  <si>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</si>
  <si>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REV31-MNR-005</t>
  </si>
  <si>
    <t xml:space="preserve">REV31-MNR-006</t>
  </si>
  <si>
    <t xml:space="preserve">Partida</t>
  </si>
  <si>
    <t xml:space="preserve">m2</t>
  </si>
  <si>
    <t xml:space="preserve">XXXXX CAPA BASE DE MORTERO DE CAL 15 mm PREPARADO Y APLICADO A MÁQUINA CON ACABADO RUGOSO SOBRE PARAMENTO HORIZONTAL INTERIOR</t>
  </si>
  <si>
    <t xml:space="preserve">Capa base de mortero de cal 15 mm maestreado con acabado rugoso, preparado y aplicado mecánicamente sobre paramento interior horizontal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</si>
  <si>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</si>
  <si>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</si>
  <si>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</si>
  <si>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</si>
  <si>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</si>
  <si>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</si>
  <si>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</si>
  <si>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</si>
  <si>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</si>
  <si>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</si>
  <si>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</si>
  <si>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</si>
  <si>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</si>
  <si>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</si>
  <si>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</si>
  <si>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</si>
  <si>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</si>
  <si>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</si>
  <si>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</si>
  <si>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</si>
  <si>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</si>
  <si>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</si>
  <si>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</si>
  <si>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</si>
  <si>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</si>
  <si>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</si>
  <si>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</si>
  <si>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</si>
  <si>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</si>
  <si>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</si>
  <si>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</si>
  <si>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</si>
  <si>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</si>
  <si>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</si>
  <si>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</si>
  <si>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</si>
  <si>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REV31-MNR-006</t>
  </si>
  <si>
    <t xml:space="preserve">REV31-MNR-007</t>
  </si>
  <si>
    <t xml:space="preserve">Partida</t>
  </si>
  <si>
    <t xml:space="preserve">m2</t>
  </si>
  <si>
    <t xml:space="preserve">XXXXX CAPA BASE DE MORTERO DE CAL 15 mm PREPARADO Y APLICADO A MÁQUINA CON ACABADO FRATASADO SOBRE PARAMENTO VERTICAL INTERIOR</t>
  </si>
  <si>
    <t xml:space="preserve">Capa base de mortero de cal 15 mm maestreado con acabado fratasado, preparado y aplicado mecánicamente sobre paramento interior vertical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</si>
  <si>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</si>
  <si>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</si>
  <si>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</si>
  <si>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</si>
  <si>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</si>
  <si>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</si>
  <si>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</si>
  <si>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</si>
  <si>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</si>
  <si>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</si>
  <si>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</si>
  <si>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</si>
  <si>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</si>
  <si>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</si>
  <si>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</si>
  <si>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</si>
  <si>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</si>
  <si>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</si>
  <si>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</si>
  <si>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</si>
  <si>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</si>
  <si>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</si>
  <si>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</si>
  <si>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</si>
  <si>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</si>
  <si>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</si>
  <si>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</si>
  <si>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</si>
  <si>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</si>
  <si>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</si>
  <si>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</si>
  <si>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</si>
  <si>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</si>
  <si>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</si>
  <si>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</si>
  <si>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</si>
  <si>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REV31-MNR-007</t>
  </si>
  <si>
    <t xml:space="preserve">REV31-MNR-008</t>
  </si>
  <si>
    <t xml:space="preserve">Partida</t>
  </si>
  <si>
    <t xml:space="preserve">m2</t>
  </si>
  <si>
    <t xml:space="preserve">XXXXX CAPA BASE DE MORTERO DE CAL 15 mm PREPARADO Y APLICADO A MÁQUINA CON ACABADO FRATASADO SOBRE PARAMENTO HORIZONTAL INTERIOR</t>
  </si>
  <si>
    <t xml:space="preserve">Capa base de mortero de cal 15 mm maestreado con acabado fratasado, preparado y aplicado mecánicamente sobre paramento interior horizontal de fábrica de ladrillo o bloque de hormigón, reforzado con malla de fibra de vidrio antiálcalis.</t>
  </si>
  <si>
    <t xml:space="preserve">ma-lp-00540811</t>
  </si>
  <si>
    <t xml:space="preserve">Material</t>
  </si>
  <si>
    <t xml:space="preserve">saco</t>
  </si>
  <si>
    <t xml:space="preserve">Mortero para revoco PROPAM REVAT CAL BASE; color gris (25 kg/saco)   Ref. lp-00540811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</si>
  <si>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</si>
  <si>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</si>
  <si>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</si>
  <si>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</si>
  <si>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</si>
  <si>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</si>
  <si>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</si>
  <si>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</si>
  <si>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</si>
  <si>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</si>
  <si>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</si>
  <si>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</si>
  <si>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</si>
  <si>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</si>
  <si>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</si>
  <si>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</si>
  <si>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</si>
  <si>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</si>
  <si>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</si>
  <si>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</si>
  <si>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</si>
  <si>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</si>
  <si>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</si>
  <si>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</si>
  <si>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</si>
  <si>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</si>
  <si>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</si>
  <si>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</si>
  <si>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</si>
  <si>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</si>
  <si>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</si>
  <si>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</si>
  <si>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REV31-MNR-008</t>
  </si>
  <si>
    <t xml:space="preserve">REV32-MNR-001-H-AT</t>
  </si>
  <si>
    <t xml:space="preserve">Partida</t>
  </si>
  <si>
    <t xml:space="preserve">m2</t>
  </si>
  <si>
    <t xml:space="preserve">XXXXX CAPA DE TERMINACIÓN DE MORTERO DE CAL 10 mm (REVOCO TRADICIONAL) PREPARADO Y APLICADO A MANO MEDIANTE EL USO DE ANDAMIO TUBULAR, CON ACABADO LISO LAVADO SOBRE PARAMENTO HORIZONTAL EXTERIOR</t>
  </si>
  <si>
    <t xml:space="preserve">CAPA DE TERMINACIÓN DE MORTERO DE CAL 10 mm (REVOCO TRADICIONAL) PREPARADO Y APLICADO A MANO MEDIANTE EL USO DE ANDAMIO TUBULAR, CON ACABADO LISO LAVADO SOBRE PARAMENTO HORIZONTAL EXTERIOR</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</si>
  <si>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</si>
  <si>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</si>
  <si>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</si>
  <si>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</si>
  <si>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</si>
  <si>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</si>
  <si>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</si>
  <si>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</si>
  <si>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</si>
  <si>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</si>
  <si>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</si>
  <si>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</si>
  <si>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</si>
  <si>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</si>
  <si>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</si>
  <si>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</si>
  <si>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</si>
  <si>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</si>
  <si>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</si>
  <si>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</si>
  <si>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</si>
  <si>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</si>
  <si>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</si>
  <si>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</si>
  <si>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</si>
  <si>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</si>
  <si>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</si>
  <si>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</si>
  <si>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REV32-MNR-001-H-AT</t>
  </si>
  <si>
    <t xml:space="preserve">REV32-MNR-001-V-AT</t>
  </si>
  <si>
    <t xml:space="preserve">Partida</t>
  </si>
  <si>
    <t xml:space="preserve">m2</t>
  </si>
  <si>
    <t xml:space="preserve">XXXXX CAPA DE TERMINACIÓN DE MORTERO DE CAL 10 mm (REVOCO TRADICIONAL) PREPARADO Y APLICADO A MANO MEDIANTE EL USO DE ANDAMIO TUBULAR, CON ACABADO LISO LAVADO SOBRE PARAMENTO VERTICAL EXTERIOR</t>
  </si>
  <si>
    <t xml:space="preserve">CAPA DE TERMINACIÓN DE MORTERO DE CAL 10 mm (REVOCO TRADICIONAL) PREPARADO Y APLICADO A MANO MEDIANTE EL USO DE ANDAMIO TUBULAR, CON ACABADO LISO LAVADO SOBRE PARAMENTO VERTICAL EXTERIOR</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</si>
  <si>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</si>
  <si>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</si>
  <si>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</si>
  <si>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</si>
  <si>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</si>
  <si>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</si>
  <si>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</si>
  <si>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</si>
  <si>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</si>
  <si>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</si>
  <si>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</si>
  <si>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</si>
  <si>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</si>
  <si>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</si>
  <si>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</si>
  <si>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</si>
  <si>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</si>
  <si>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</si>
  <si>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</si>
  <si>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</si>
  <si>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</si>
  <si>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</si>
  <si>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</si>
  <si>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</si>
  <si>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</si>
  <si>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</si>
  <si>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</si>
  <si>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</si>
  <si>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REV32-MNR-001-V-AT</t>
  </si>
  <si>
    <t xml:space="preserve">REV32-MNR-002</t>
  </si>
  <si>
    <t xml:space="preserve">Partida</t>
  </si>
  <si>
    <t xml:space="preserve">m2</t>
  </si>
  <si>
    <t xml:space="preserve">XXXXX CAPA DE TERMINACIÓN DE MORTERO DE CAL 10 mm (REVOCO TRADICIONAL) PREPARADO Y APLICADO A MANO CON ACABADO LISO LAVADO SOBRE PARAMENTO HORIZONTAL EXTERIOR (FCH)</t>
  </si>
  <si>
    <t xml:space="preserve">Capa de terminación de mortero de cal 10 mm (revoco tradicional) preparado y aplicado manualmente con acabado liso lavado sobre paramento horizontal exterior de fábrica de ladrillo o bloque de hormigón (FCH)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</si>
  <si>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</si>
  <si>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</si>
  <si>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</si>
  <si>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</si>
  <si>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</si>
  <si>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</si>
  <si>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</si>
  <si>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</si>
  <si>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</si>
  <si>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</si>
  <si>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</si>
  <si>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</si>
  <si>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</si>
  <si>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</si>
  <si>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</si>
  <si>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</si>
  <si>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</si>
  <si>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</si>
  <si>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</si>
  <si>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</si>
  <si>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</si>
  <si>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</si>
  <si>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</si>
  <si>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</si>
  <si>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</si>
  <si>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</si>
  <si>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</si>
  <si>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</si>
  <si>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REV32-MNR-002</t>
  </si>
  <si>
    <t xml:space="preserve">REV32-MNR-003</t>
  </si>
  <si>
    <t xml:space="preserve">Partida</t>
  </si>
  <si>
    <t xml:space="preserve">m2</t>
  </si>
  <si>
    <t xml:space="preserve">XXXXX CAPA DE TERMINACIÓN DE MORTERO DE CAL 10 mm (REVOCO TRADICIONAL) PREPARADO Y APLICADO A MANO CON ACABADO FRATASADO SOBRE PARAMENTO VERTICAL EXTERIOR (FCH)</t>
  </si>
  <si>
    <t xml:space="preserve">Capa de terminación de mortero de cal 10 mm (revoco tradicional) preparado y aplicado manualmente con acabado fratasado sobre paramento vertical exterior de fábrica de ladrillo o bloque de hormigón (FCH)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</si>
  <si>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</si>
  <si>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</si>
  <si>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</si>
  <si>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</si>
  <si>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</si>
  <si>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</si>
  <si>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</si>
  <si>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</si>
  <si>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</si>
  <si>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</si>
  <si>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</si>
  <si>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</si>
  <si>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</si>
  <si>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</si>
  <si>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</si>
  <si>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</si>
  <si>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</si>
  <si>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</si>
  <si>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</si>
  <si>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</si>
  <si>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</si>
  <si>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</si>
  <si>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</si>
  <si>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</si>
  <si>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</si>
  <si>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</si>
  <si>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</si>
  <si>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</si>
  <si>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REV32-MNR-003</t>
  </si>
  <si>
    <t xml:space="preserve">REV32-MNR-004</t>
  </si>
  <si>
    <t xml:space="preserve">Partida</t>
  </si>
  <si>
    <t xml:space="preserve">m2</t>
  </si>
  <si>
    <t xml:space="preserve">XXXXX CAPA DE TERMINACIÓN DE MORTERO DE CAL 10 mm (REVOCO TRADICIONAL) PREPARADO Y APLICADO A MANO CON ACABADO FRATASADO SOBRE PARAMENTO HORIZONTAL EXTERIOR (FCH)</t>
  </si>
  <si>
    <t xml:space="preserve">Capa de terminación de mortero de cal 10 mm (revoco tradicional) preparado y aplicado manualmente con acabado fratasado sobre paramento horizontal exterior de fábrica de ladrillo o bloque de hormigón (FCH)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</si>
  <si>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</si>
  <si>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</si>
  <si>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</si>
  <si>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</si>
  <si>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</si>
  <si>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</si>
  <si>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</si>
  <si>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</si>
  <si>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</si>
  <si>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</si>
  <si>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</si>
  <si>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</si>
  <si>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</si>
  <si>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</si>
  <si>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</si>
  <si>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</si>
  <si>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</si>
  <si>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</si>
  <si>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</si>
  <si>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</si>
  <si>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</si>
  <si>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</si>
  <si>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</si>
  <si>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</si>
  <si>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</si>
  <si>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</si>
  <si>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</si>
  <si>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</si>
  <si>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REV32-MNR-004</t>
  </si>
  <si>
    <t xml:space="preserve">REV32-MNR-005</t>
  </si>
  <si>
    <t xml:space="preserve">Partida</t>
  </si>
  <si>
    <t xml:space="preserve">m2</t>
  </si>
  <si>
    <t xml:space="preserve">XXXXX CAPA DE TERMINACIÓN DE MORTERO DE CAL 10 mm (REVOCO TRADICIONAL) PREPARADO Y APLICADO A MÁQUINA CON ACABADO LISO LAVADO SOBRE PARAMENTO VERTICAL EXTERIOR (FCH)</t>
  </si>
  <si>
    <t xml:space="preserve">Capa de terminación de mortero de cal 10 mm (revoco tradicional) preparado y aplicado mecánicamente con acabado liso lavado sobre paramento vertical exterior de fábrica de ladrillo o bloque de hormigón (FCH)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</si>
  <si>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</si>
  <si>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</si>
  <si>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</si>
  <si>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</si>
  <si>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</si>
  <si>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</si>
  <si>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</si>
  <si>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</si>
  <si>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</si>
  <si>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</si>
  <si>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</si>
  <si>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</si>
  <si>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</si>
  <si>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</si>
  <si>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</si>
  <si>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</si>
  <si>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</si>
  <si>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</si>
  <si>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</si>
  <si>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</si>
  <si>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</si>
  <si>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</si>
  <si>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</si>
  <si>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</si>
  <si>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</si>
  <si>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</si>
  <si>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</si>
  <si>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</si>
  <si>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</si>
  <si>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</si>
  <si>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</si>
  <si>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</si>
  <si>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REV32-MNR-005</t>
  </si>
  <si>
    <t xml:space="preserve">REV32-MNR-006</t>
  </si>
  <si>
    <t xml:space="preserve">Partida</t>
  </si>
  <si>
    <t xml:space="preserve">m2</t>
  </si>
  <si>
    <t xml:space="preserve">XXXXX CAPA DE TERMINACIÓN DE MORTERO DE CAL 10 mm (REVOCO TRADICIONAL) PREPARADO Y APLICADO A MÁQUINA CON ACABADO LISO LAVADO SOBRE PARAMENTO HORIZONTAL EXTERIOR (FCH)</t>
  </si>
  <si>
    <t xml:space="preserve">Capa de terminación de mortero de cal 10 mm (revoco tradicional) preparado y aplicado mecánicamente con acabado liso lavado sobre paramento horizontal exterior de fábrica de ladrillo o bloque de hormigón (FCH)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</si>
  <si>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</si>
  <si>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</si>
  <si>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</si>
  <si>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</si>
  <si>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</si>
  <si>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</si>
  <si>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</si>
  <si>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</si>
  <si>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</si>
  <si>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</si>
  <si>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</si>
  <si>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</si>
  <si>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</si>
  <si>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</si>
  <si>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</si>
  <si>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</si>
  <si>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</si>
  <si>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</si>
  <si>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</si>
  <si>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</si>
  <si>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</si>
  <si>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</si>
  <si>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</si>
  <si>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</si>
  <si>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</si>
  <si>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</si>
  <si>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</si>
  <si>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</si>
  <si>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</si>
  <si>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</si>
  <si>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</si>
  <si>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</si>
  <si>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REV32-MNR-006</t>
  </si>
  <si>
    <t xml:space="preserve">REV32-MNR-007</t>
  </si>
  <si>
    <t xml:space="preserve">Partida</t>
  </si>
  <si>
    <t xml:space="preserve">m2</t>
  </si>
  <si>
    <t xml:space="preserve">XXXXX CAPA DE TERMINACIÓN DE MORTERO DE CAL 10 mm (REVOCO TRADICIONAL) PREPARADO Y APLICADO A MÁQUINA CON ACABADO FRATASADO SOBRE PARAMENTO VERTICAL EXTERIOR (FCH)</t>
  </si>
  <si>
    <t xml:space="preserve">Capa de terminación de mortero de cal 10 mm (revoco tradicional) preparado y aplicado mecánicamente con acabado fratasado sobre paramento vertical exterior de fábrica de ladrillo o bloque de hormigón (FCH)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</si>
  <si>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</si>
  <si>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</si>
  <si>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</si>
  <si>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</si>
  <si>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</si>
  <si>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</si>
  <si>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</si>
  <si>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</si>
  <si>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</si>
  <si>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</si>
  <si>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</si>
  <si>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</si>
  <si>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</si>
  <si>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</si>
  <si>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</si>
  <si>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</si>
  <si>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</si>
  <si>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</si>
  <si>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</si>
  <si>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</si>
  <si>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</si>
  <si>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</si>
  <si>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</si>
  <si>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</si>
  <si>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</si>
  <si>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</si>
  <si>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</si>
  <si>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</si>
  <si>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</si>
  <si>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</si>
  <si>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</si>
  <si>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</si>
  <si>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REV32-MNR-007</t>
  </si>
  <si>
    <t xml:space="preserve">REV32-MNR-V-MS-10</t>
  </si>
  <si>
    <t xml:space="preserve">Partida</t>
  </si>
  <si>
    <t xml:space="preserve">m2</t>
  </si>
  <si>
    <t xml:space="preserve">XXXXX CAPA DE TERMINACIÓN DE MORTERO DE CAL 10 mm (REVOCO TRADICIONAL) PREPARADO Y APLICADO A MANO CON ACABADO LISO LAVADO SOBRE PARAMENTO VERTICAL EXTERIOR Y MEDIANTE EL USO DE MEDIO SUSPENDIDO/COLGADO(FCH)</t>
  </si>
  <si>
    <t xml:space="preserve">CAPA DE TERMINACIÓN DE MORTERO DE CAL 10 mm (REVOCO TRADICIONAL) PREPARADO Y APLICADO A MANO CON ACABADO LISO LAVADO SOBRE PARAMENTO VERTICAL EXTERIOR Y MEDIANTE EL USO DE MEDIO SUSPENDIDO/COLGADO(FCH)</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</si>
  <si>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</si>
  <si>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</si>
  <si>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</si>
  <si>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</si>
  <si>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</si>
  <si>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</si>
  <si>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</si>
  <si>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</si>
  <si>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</si>
  <si>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</si>
  <si>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</si>
  <si>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</si>
  <si>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</si>
  <si>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</si>
  <si>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</si>
  <si>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</si>
  <si>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</si>
  <si>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</si>
  <si>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</si>
  <si>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</si>
  <si>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</si>
  <si>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</si>
  <si>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</si>
  <si>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</si>
  <si>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</si>
  <si>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</si>
  <si>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</si>
  <si>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</si>
  <si>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REV32-MNR-V-MS-10</t>
  </si>
  <si>
    <t xml:space="preserve">REV33-MNR-001</t>
  </si>
  <si>
    <t xml:space="preserve">Partida</t>
  </si>
  <si>
    <t xml:space="preserve">m2</t>
  </si>
  <si>
    <t xml:space="preserve">XXXXX CAPA DE TERMINACIÓN DE MORTERO DE CAL 10 mm (REVOCO TRADICIONAL) PREPARADO Y APLICADO A MANO CON ACABADO LISO LAVADO SOBRE PARAMENTO VERTICAL INTERIOR</t>
  </si>
  <si>
    <t xml:space="preserve">Capa de terminación de mortero de cal 10 mm (revoco tradicional) preparado y aplicado manualmente con acabado liso lavado sobre paramento vertical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</si>
  <si>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</si>
  <si>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</si>
  <si>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</si>
  <si>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</si>
  <si>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</si>
  <si>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</si>
  <si>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</si>
  <si>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</si>
  <si>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</si>
  <si>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</si>
  <si>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</si>
  <si>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</si>
  <si>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</si>
  <si>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</si>
  <si>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</si>
  <si>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</si>
  <si>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</si>
  <si>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</si>
  <si>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</si>
  <si>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</si>
  <si>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</si>
  <si>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</si>
  <si>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</si>
  <si>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</si>
  <si>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</si>
  <si>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</si>
  <si>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</si>
  <si>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</si>
  <si>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REV33-MNR-001</t>
  </si>
  <si>
    <t xml:space="preserve">REV33-MNR-002</t>
  </si>
  <si>
    <t xml:space="preserve">Partida</t>
  </si>
  <si>
    <t xml:space="preserve">m2</t>
  </si>
  <si>
    <t xml:space="preserve">XXXXX CAPA DE TERMINACIÓN DE MORTERO DE CAL 10 mm (REVOCO TRADICIONAL) PREPARADO Y APLICADO A MANO CON ACABADO LISO LAVADO SOBRE PARAMENTO HORIZONTAL INTERIOR</t>
  </si>
  <si>
    <t xml:space="preserve">Capa de terminación de mortero de cal 10 mm (revoco tradicional) preparado y aplicado manualmente con acabado liso lavado sobre paramento horizontal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</si>
  <si>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</si>
  <si>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</si>
  <si>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</si>
  <si>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</si>
  <si>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</si>
  <si>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</si>
  <si>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</si>
  <si>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</si>
  <si>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</si>
  <si>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</si>
  <si>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</si>
  <si>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</si>
  <si>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</si>
  <si>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</si>
  <si>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</si>
  <si>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</si>
  <si>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</si>
  <si>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</si>
  <si>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</si>
  <si>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</si>
  <si>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</si>
  <si>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</si>
  <si>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</si>
  <si>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</si>
  <si>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</si>
  <si>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</si>
  <si>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</si>
  <si>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</si>
  <si>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REV33-MNR-002</t>
  </si>
  <si>
    <t xml:space="preserve">REV33-MNR-003</t>
  </si>
  <si>
    <t xml:space="preserve">Partida</t>
  </si>
  <si>
    <t xml:space="preserve">m2</t>
  </si>
  <si>
    <t xml:space="preserve">XXXXX CAPA DE TERMINACIÓN DE MORTERO DE CAL 10 mm (REVOCO TRADICIONAL) PREPARADO Y APLICADO A MANO CON ACABADO FRATASADO SOBRE PARAMENTO VERTICAL INTERIOR</t>
  </si>
  <si>
    <t xml:space="preserve">Capa de terminación de mortero de cal 10 mm (revoco tradicional) preparado y aplicado mecánicamente con acabado fratasado sobre paramento vertical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</si>
  <si>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</si>
  <si>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</si>
  <si>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</si>
  <si>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</si>
  <si>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</si>
  <si>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</si>
  <si>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</si>
  <si>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</si>
  <si>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</si>
  <si>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</si>
  <si>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</si>
  <si>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</si>
  <si>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</si>
  <si>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</si>
  <si>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</si>
  <si>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</si>
  <si>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</si>
  <si>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</si>
  <si>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</si>
  <si>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</si>
  <si>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</si>
  <si>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</si>
  <si>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</si>
  <si>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</si>
  <si>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</si>
  <si>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</si>
  <si>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</si>
  <si>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</si>
  <si>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REV33-MNR-003</t>
  </si>
  <si>
    <t xml:space="preserve">REV33-MNR-004</t>
  </si>
  <si>
    <t xml:space="preserve">Partida</t>
  </si>
  <si>
    <t xml:space="preserve">m2</t>
  </si>
  <si>
    <t xml:space="preserve">XXXXX CAPA DE TERMINACIÓN DE MORTERO DE CAL 10 mm (REVOCO TRADICIONAL) PREPARADO Y APLICADO A MANO CON ACABADO FRATASADO SOBRE PARAMENTO HORIZONTAL INTERIOR</t>
  </si>
  <si>
    <t xml:space="preserve">Capa de terminación de mortero de cal 10 mm (revoco tradicional) preparado y aplicado manualmente con acabado fratasado sobre paramento horizontal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</si>
  <si>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</si>
  <si>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</si>
  <si>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</si>
  <si>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</si>
  <si>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</si>
  <si>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</si>
  <si>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</si>
  <si>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</si>
  <si>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</si>
  <si>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</si>
  <si>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</si>
  <si>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</si>
  <si>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</si>
  <si>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</si>
  <si>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</si>
  <si>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</si>
  <si>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</si>
  <si>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</si>
  <si>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</si>
  <si>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</si>
  <si>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</si>
  <si>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</si>
  <si>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</si>
  <si>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</si>
  <si>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</si>
  <si>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</si>
  <si>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</si>
  <si>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</si>
  <si>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REV33-MNR-004</t>
  </si>
  <si>
    <t xml:space="preserve">REV33-MNR-005</t>
  </si>
  <si>
    <t xml:space="preserve">Partida</t>
  </si>
  <si>
    <t xml:space="preserve">m2</t>
  </si>
  <si>
    <t xml:space="preserve">XXXXX CAPA DE TERMINACIÓN DE MORTERO DE CAL 10 mm (REVOCO TRADICIONAL) PREPARADO Y APLICADO A MÁQUINA CON ACABADO LISO LAVADO SOBRE PARAMENTO VERTICAL INTERIOR</t>
  </si>
  <si>
    <t xml:space="preserve">Capa de terminación de mortero de cal 10 mm (revoco tradicional) preparado y aplicado mecánicamente con acabado liso lavado sobre paramento vertical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</si>
  <si>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</si>
  <si>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</si>
  <si>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</si>
  <si>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</si>
  <si>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</si>
  <si>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</si>
  <si>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</si>
  <si>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</si>
  <si>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</si>
  <si>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</si>
  <si>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</si>
  <si>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</si>
  <si>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</si>
  <si>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</si>
  <si>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</si>
  <si>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</si>
  <si>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</si>
  <si>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</si>
  <si>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</si>
  <si>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</si>
  <si>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</si>
  <si>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</si>
  <si>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</si>
  <si>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</si>
  <si>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</si>
  <si>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</si>
  <si>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</si>
  <si>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</si>
  <si>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</si>
  <si>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</si>
  <si>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</si>
  <si>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</si>
  <si>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REV33-MNR-005</t>
  </si>
  <si>
    <t xml:space="preserve">REV33-MNR-006</t>
  </si>
  <si>
    <t xml:space="preserve">Partida</t>
  </si>
  <si>
    <t xml:space="preserve">m2</t>
  </si>
  <si>
    <t xml:space="preserve">XXXXX CAPA DE TERMINACIÓN DE MORTERO DE CAL 10 mm (REVOCO TRADICIONAL) PREPARADO Y APLICADO A MÁQUINA CON ACABADO LISO LAVADO SOBRE PARAMENTO HORIZONTAL INTERIOR</t>
  </si>
  <si>
    <t xml:space="preserve">Capa de terminación de mortero de cal 10 mm (revoco tradicional) preparado y aplicado mecánicamente con acabado liso lavado sobre paramento horizontal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</si>
  <si>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</si>
  <si>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</si>
  <si>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</si>
  <si>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</si>
  <si>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</si>
  <si>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</si>
  <si>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</si>
  <si>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</si>
  <si>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</si>
  <si>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</si>
  <si>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</si>
  <si>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</si>
  <si>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</si>
  <si>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</si>
  <si>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</si>
  <si>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</si>
  <si>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</si>
  <si>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</si>
  <si>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</si>
  <si>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</si>
  <si>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</si>
  <si>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</si>
  <si>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</si>
  <si>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</si>
  <si>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</si>
  <si>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</si>
  <si>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</si>
  <si>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</si>
  <si>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</si>
  <si>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</si>
  <si>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</si>
  <si>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</si>
  <si>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REV33-MNR-006</t>
  </si>
  <si>
    <t xml:space="preserve">REV33-MNR-007</t>
  </si>
  <si>
    <t xml:space="preserve">Partida</t>
  </si>
  <si>
    <t xml:space="preserve">m2</t>
  </si>
  <si>
    <t xml:space="preserve">XXXXX CAPA DE TERMINACIÓN DE MORTERO DE CAL 10 mm (REVOCO TRADICIONAL) PREPARADO Y APLICADO A MÁQUINA CON ACABADO FRATASADO SOBRE PARAMENTO VERTICAL INTERIOR</t>
  </si>
  <si>
    <t xml:space="preserve">Capa de terminación de mortero de cal 10 mm (revoco tradicional) preparado y aplicado mecánicamente con acabado fratasado sobre paramento vertical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</si>
  <si>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</si>
  <si>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</si>
  <si>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</si>
  <si>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</si>
  <si>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</si>
  <si>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</si>
  <si>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</si>
  <si>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</si>
  <si>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</si>
  <si>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</si>
  <si>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</si>
  <si>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</si>
  <si>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</si>
  <si>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</si>
  <si>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</si>
  <si>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</si>
  <si>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</si>
  <si>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</si>
  <si>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</si>
  <si>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</si>
  <si>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</si>
  <si>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</si>
  <si>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</si>
  <si>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</si>
  <si>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</si>
  <si>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</si>
  <si>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</si>
  <si>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</si>
  <si>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</si>
  <si>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</si>
  <si>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</si>
  <si>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</si>
  <si>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REV33-MNR-007</t>
  </si>
  <si>
    <t xml:space="preserve">REV33-MNR-008</t>
  </si>
  <si>
    <t xml:space="preserve">Partida</t>
  </si>
  <si>
    <t xml:space="preserve">m2</t>
  </si>
  <si>
    <t xml:space="preserve">XXXXX CAPA DE TERMINACIÓN DE MORTERO DE CAL 10 mm (REVOCO TRADICIONAL) PREPARADO Y APLICADO A MÁQUINA CON ACABADO FRATASADO SOBRE PARAMENTO HORIZONTAL INTERIOR</t>
  </si>
  <si>
    <t xml:space="preserve">Capa de terminación de mortero de cal 10 mm (revoco tradicional) preparado y aplicado mecánicamente con acabado fratasado sobre paramento horizontal interior de fábrica de ladrillo o bloque de hormigón</t>
  </si>
  <si>
    <t xml:space="preserve">ma-lp-00568965</t>
  </si>
  <si>
    <t xml:space="preserve">Material</t>
  </si>
  <si>
    <t xml:space="preserve">saco</t>
  </si>
  <si>
    <t xml:space="preserve">Mortero para enlucido fino con cal MORCEM ESTUCO (25 kg/saco)   Ref. lp-00568965</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</si>
  <si>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</si>
  <si>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</si>
  <si>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</si>
  <si>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</si>
  <si>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</si>
  <si>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</si>
  <si>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</si>
  <si>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</si>
  <si>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</si>
  <si>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</si>
  <si>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</si>
  <si>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</si>
  <si>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</si>
  <si>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</si>
  <si>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</si>
  <si>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</si>
  <si>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</si>
  <si>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</si>
  <si>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</si>
  <si>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</si>
  <si>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</si>
  <si>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</si>
  <si>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</si>
  <si>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</si>
  <si>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</si>
  <si>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</si>
  <si>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</si>
  <si>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</si>
  <si>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REV33-MNR-008</t>
  </si>
  <si>
    <t xml:space="preserve">MORCAL</t>
  </si>
  <si>
    <t xml:space="preserve">MORMON</t>
  </si>
  <si>
    <t xml:space="preserve">Capítulo</t>
  </si>
  <si>
    <t xml:space="preserve">o MORTEROS MONOCAPA</t>
  </si>
  <si>
    <t xml:space="preserve">MORMON001</t>
  </si>
  <si>
    <t xml:space="preserve">Partida</t>
  </si>
  <si>
    <t xml:space="preserve">M2</t>
  </si>
  <si>
    <t xml:space="preserve">o MORTERO MONOCAPA RASPADO REVAT DE PROPAMSA 10mm</t>
  </si>
  <si>
    <t xml:space="preserve">Revestimiento de paramentos exteriores con mortero monocapa REVAT raspado "PROPAMSA", color a elegir, gama Estándar, espesor 10 mm, aplicado manualmente, armado y reforzado con malla de fibra de vidrio antiálcalis, incluso en los cambios de material.</t>
  </si>
  <si>
    <t xml:space="preserve">ma-lp-00540818</t>
  </si>
  <si>
    <t xml:space="preserve">Material</t>
  </si>
  <si>
    <t xml:space="preserve">saco</t>
  </si>
  <si>
    <t xml:space="preserve">Mortero monocapa raspado Revat. Envase de 25 kg. Color marfil.</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</si>
  <si>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</si>
  <si>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</si>
  <si>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</si>
  <si>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</si>
  <si>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</si>
  <si>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</si>
  <si>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</si>
  <si>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</si>
  <si>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</si>
  <si>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</si>
  <si>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</si>
  <si>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</si>
  <si>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</si>
  <si>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</si>
  <si>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</si>
  <si>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</si>
  <si>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</si>
  <si>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</si>
  <si>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</si>
  <si>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</si>
  <si>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</si>
  <si>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</si>
  <si>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</si>
  <si>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</si>
  <si>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</si>
  <si>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</si>
  <si>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</si>
  <si>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</si>
  <si>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</si>
  <si>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</si>
  <si>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</si>
  <si>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</si>
  <si>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MORMON001</t>
  </si>
  <si>
    <t xml:space="preserve">MORMON001TV</t>
  </si>
  <si>
    <t xml:space="preserve">Partida</t>
  </si>
  <si>
    <t xml:space="preserve">M2</t>
  </si>
  <si>
    <t xml:space="preserve">o MORTERO MONOCAPA RASPADO REVAT DE PROPAMSA 10mm C/TRABAJOS VERTICALES</t>
  </si>
  <si>
    <t xml:space="preserve">Revestimiento CON TRABAJOS VERTICALES de paramentos exteriores con mortero monocapa REVAT raspado "PROPAMSA", color a elegir, gama Estándar, espesor 10 mm, aplicado manualmente, armado y reforzado con malla de fibra de vidrio antiálcalis, incluso en los cambios de material.</t>
  </si>
  <si>
    <t xml:space="preserve">ma-lp-00540818</t>
  </si>
  <si>
    <t xml:space="preserve">Material</t>
  </si>
  <si>
    <t xml:space="preserve">saco</t>
  </si>
  <si>
    <t xml:space="preserve">Mortero monocapa raspado Revat. Envase de 25 kg. Color marfil.</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</si>
  <si>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</si>
  <si>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</si>
  <si>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</si>
  <si>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</si>
  <si>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</si>
  <si>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</si>
  <si>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</si>
  <si>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</si>
  <si>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</si>
  <si>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</si>
  <si>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</si>
  <si>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</si>
  <si>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</si>
  <si>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</si>
  <si>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</si>
  <si>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</si>
  <si>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</si>
  <si>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</si>
  <si>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</si>
  <si>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</si>
  <si>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</si>
  <si>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</si>
  <si>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</si>
  <si>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</si>
  <si>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</si>
  <si>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</si>
  <si>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</si>
  <si>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</si>
  <si>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</si>
  <si>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</si>
  <si>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</si>
  <si>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</si>
  <si>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MORMON001TV</t>
  </si>
  <si>
    <t xml:space="preserve">MORMON002</t>
  </si>
  <si>
    <t xml:space="preserve">Partida</t>
  </si>
  <si>
    <t xml:space="preserve">M2</t>
  </si>
  <si>
    <t xml:space="preserve">o MORTERO MONOCAPA RASPADO REVAT DE PROPAMSA 20mm</t>
  </si>
  <si>
    <t xml:space="preserve">Revestimiento de paramentos exteriores con mortero monocapa REVAT raspado "PROPAMSA", color a elegir, gama Estándar, espesor 20 mm, aplicado manualmente, armado y reforzado con malla de fibra de vidrio antiálcalis, incluso en los cambios de material.</t>
  </si>
  <si>
    <t xml:space="preserve">ma-lp-00540818</t>
  </si>
  <si>
    <t xml:space="preserve">Material</t>
  </si>
  <si>
    <t xml:space="preserve">saco</t>
  </si>
  <si>
    <t xml:space="preserve">Mortero monocapa raspado Revat. Envase de 25 kg. Color marfil.</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</si>
  <si>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</si>
  <si>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</si>
  <si>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</si>
  <si>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</si>
  <si>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</si>
  <si>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</si>
  <si>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</si>
  <si>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</si>
  <si>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</si>
  <si>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</si>
  <si>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</si>
  <si>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</si>
  <si>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</si>
  <si>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</si>
  <si>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</si>
  <si>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</si>
  <si>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</si>
  <si>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</si>
  <si>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</si>
  <si>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</si>
  <si>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</si>
  <si>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</si>
  <si>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</si>
  <si>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</si>
  <si>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</si>
  <si>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</si>
  <si>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</si>
  <si>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</si>
  <si>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</si>
  <si>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</si>
  <si>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</si>
  <si>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</si>
  <si>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MORMON002</t>
  </si>
  <si>
    <t xml:space="preserve">MORMON003</t>
  </si>
  <si>
    <t xml:space="preserve">Partida</t>
  </si>
  <si>
    <t xml:space="preserve">M2</t>
  </si>
  <si>
    <t xml:space="preserve">o MORTERO MONOCAPA RASPADO WEBERPRAL PRISMA 15 mm</t>
  </si>
  <si>
    <t xml:space="preserve">Revestimiento de paramentos exteriores con mortero monocapa Weberpral Prisma "WEBER", color a elegir, gama Estándar, espesor 15 mm, aplicado manualmente, armado y reforzado con malla de fibra de vidrio antiálcalis, incluso en los cambios de material.</t>
  </si>
  <si>
    <t xml:space="preserve">ma-obramat-10484964</t>
  </si>
  <si>
    <t xml:space="preserve">Material</t>
  </si>
  <si>
    <t xml:space="preserve">saco</t>
  </si>
  <si>
    <t xml:space="preserve">Mortero mineral monocapa coloreado, impermeable y transpirable WEBERPRAL PRISMA de WEBER (25 kg/saco).   Ref. om-10484964</t>
  </si>
  <si>
    <t xml:space="preserve">ma-dp-00955597</t>
  </si>
  <si>
    <t xml:space="preserve">Material</t>
  </si>
  <si>
    <t xml:space="preserve">rollo</t>
  </si>
  <si>
    <t xml:space="preserve">Malla de refuerzo 160 de WEBERTHERM para sistema SATE (50x1,1 m/rollo).   Ref. dp-00955597</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</si>
  <si>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</si>
  <si>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</si>
  <si>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</si>
  <si>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</si>
  <si>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</si>
  <si>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</si>
  <si>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</si>
  <si>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</si>
  <si>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</si>
  <si>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</si>
  <si>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</si>
  <si>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</si>
  <si>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</si>
  <si>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</si>
  <si>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</si>
  <si>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</si>
  <si>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</si>
  <si>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</si>
  <si>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</si>
  <si>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</si>
  <si>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</si>
  <si>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</si>
  <si>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</si>
  <si>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</si>
  <si>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</si>
  <si>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</si>
  <si>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</si>
  <si>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</si>
  <si>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MORMON003</t>
  </si>
  <si>
    <t xml:space="preserve">MORMON004</t>
  </si>
  <si>
    <t xml:space="preserve">Partida</t>
  </si>
  <si>
    <t xml:space="preserve">M2</t>
  </si>
  <si>
    <t xml:space="preserve">o MORTERO MONOCAPA PIEDRA PROJECTADA REVAT ROJO ALICANTE 15mm</t>
  </si>
  <si>
    <t xml:space="preserve">Revestimiento de paramentos exteriores con mortero monocapa REVAT PIEDRA DE PROPAMSA, acabado con piedra proyectada ROJO ALICANTE, gama Estándar, tipo OC CSIII W1 según UNE-EN 998-1, espesor 15 mm, aplicado manualmente, armado y reforzado con malla  de fibra de vidrio antiálcalis, incluso en los cambios de material.</t>
  </si>
  <si>
    <t xml:space="preserve">ma-lp-00540839</t>
  </si>
  <si>
    <t xml:space="preserve">Material</t>
  </si>
  <si>
    <t xml:space="preserve">bote</t>
  </si>
  <si>
    <t xml:space="preserve">Imprimante promotor de adherencia PROPAM GRIP+ (5 kg/envase).   Ref. lp-00540839</t>
  </si>
  <si>
    <t xml:space="preserve">ma-lp-00540821</t>
  </si>
  <si>
    <t xml:space="preserve">Material</t>
  </si>
  <si>
    <t xml:space="preserve">saco</t>
  </si>
  <si>
    <t xml:space="preserve">Mortero monocapa PROPAM REVAT PIEDRA; color marrón (25 kg/saco).   Ref. lp-00540821</t>
  </si>
  <si>
    <t xml:space="preserve">ma-lp-00554549</t>
  </si>
  <si>
    <t xml:space="preserve">Material</t>
  </si>
  <si>
    <t xml:space="preserve">ud</t>
  </si>
  <si>
    <t xml:space="preserve">Arido proyectar rojo alicante Nº3 de 30KG</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</si>
  <si>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</si>
  <si>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</si>
  <si>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</si>
  <si>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</si>
  <si>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</si>
  <si>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</si>
  <si>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</si>
  <si>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</si>
  <si>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</si>
  <si>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</si>
  <si>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</si>
  <si>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</si>
  <si>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</si>
  <si>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</si>
  <si>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</si>
  <si>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</si>
  <si>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</si>
  <si>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</si>
  <si>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</si>
  <si>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</si>
  <si>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</si>
  <si>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</si>
  <si>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</si>
  <si>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</si>
  <si>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</si>
  <si>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</si>
  <si>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</si>
  <si>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</si>
  <si>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</si>
  <si>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</si>
  <si>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</si>
  <si>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</si>
  <si>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MORMON004</t>
  </si>
  <si>
    <t xml:space="preserve">MORMON004TV</t>
  </si>
  <si>
    <t xml:space="preserve">Partida</t>
  </si>
  <si>
    <t xml:space="preserve">M2</t>
  </si>
  <si>
    <t xml:space="preserve">o MORTERO MONOCAPA PIEDRA PROJECTADA REVAT  ROJO ALICANTE 15mm C/TRABAJOS VERTICALES</t>
  </si>
  <si>
    <t xml:space="preserve">Revestimiento CON TRABAJOS VERTICALES de paramentos exteriores con mortero monocapa REVAT PIEDRA DE PROPAMSA, acabado con piedra proyectada ROJO ALICANTE, gama Estándar, tipo OC CSIII W1 según UNE-EN 998-1, espesor 15 mm, aplicado manualmente, armado y reforzado con malla  de fibra de vidrio antiálcalis, incluso en los cambios de material.</t>
  </si>
  <si>
    <t xml:space="preserve">ma-lp-00540839</t>
  </si>
  <si>
    <t xml:space="preserve">Material</t>
  </si>
  <si>
    <t xml:space="preserve">bote</t>
  </si>
  <si>
    <t xml:space="preserve">Imprimante promotor de adherencia PROPAM GRIP+ (5 kg/envase).   Ref. lp-00540839</t>
  </si>
  <si>
    <t xml:space="preserve">ma-lp-00540821</t>
  </si>
  <si>
    <t xml:space="preserve">Material</t>
  </si>
  <si>
    <t xml:space="preserve">saco</t>
  </si>
  <si>
    <t xml:space="preserve">Mortero monocapa PROPAM REVAT PIEDRA; color marrón (25 kg/saco).   Ref. lp-00540821</t>
  </si>
  <si>
    <t xml:space="preserve">ma-lp-00554549</t>
  </si>
  <si>
    <t xml:space="preserve">Material</t>
  </si>
  <si>
    <t xml:space="preserve">ud</t>
  </si>
  <si>
    <t xml:space="preserve">Arido proyectar rojo alicante Nº3 de 30KG</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</si>
  <si>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</si>
  <si>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</si>
  <si>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</si>
  <si>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</si>
  <si>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</si>
  <si>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</si>
  <si>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</si>
  <si>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</si>
  <si>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</si>
  <si>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</si>
  <si>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</si>
  <si>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</si>
  <si>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</si>
  <si>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</si>
  <si>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</si>
  <si>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</si>
  <si>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</si>
  <si>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</si>
  <si>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</si>
  <si>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</si>
  <si>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</si>
  <si>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</si>
  <si>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</si>
  <si>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</si>
  <si>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</si>
  <si>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</si>
  <si>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</si>
  <si>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</si>
  <si>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</si>
  <si>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</si>
  <si>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</si>
  <si>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</si>
  <si>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MORMON004TV</t>
  </si>
  <si>
    <t xml:space="preserve">MORMON005</t>
  </si>
  <si>
    <t xml:space="preserve">Partida</t>
  </si>
  <si>
    <t xml:space="preserve">M2</t>
  </si>
  <si>
    <t xml:space="preserve">o MORTERO MONOCAPA PIEDRA PROJECTADA REVAT MARMOL BLANCO 15mm</t>
  </si>
  <si>
    <t xml:space="preserve">Revestimiento de paramentos exteriores con mortero monocapa REVAT PIEDRA DE PROPAMSA, acabado con piedra proyectada MARMOL BLANCO, gama Estándar, tipo OC CSIII W1 según UNE-EN 998-1, espesor 15 mm, aplicado manualmente, armado y reforzado con malla  de fibra de vidrio antiálcalis, incluso en los cambios de material.</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</si>
  <si>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</si>
  <si>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</si>
  <si>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</si>
  <si>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</si>
  <si>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</si>
  <si>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</si>
  <si>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</si>
  <si>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</si>
  <si>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</si>
  <si>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</si>
  <si>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</si>
  <si>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</si>
  <si>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</si>
  <si>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</si>
  <si>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</si>
  <si>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</si>
  <si>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</si>
  <si>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</si>
  <si>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</si>
  <si>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</si>
  <si>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</si>
  <si>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</si>
  <si>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</si>
  <si>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</si>
  <si>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</si>
  <si>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</si>
  <si>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</si>
  <si>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</si>
  <si>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</si>
  <si>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</si>
  <si>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</si>
  <si>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</si>
  <si>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</si>
  <si>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</si>
  <si>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</si>
  <si>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</si>
  <si>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</si>
  <si>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</si>
  <si>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</si>
  <si>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</si>
  <si>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</si>
  <si>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</si>
  <si>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</si>
  <si>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</si>
  <si>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MORMON005</t>
  </si>
  <si>
    <t xml:space="preserve">MORMON005TV</t>
  </si>
  <si>
    <t xml:space="preserve">Partida</t>
  </si>
  <si>
    <t xml:space="preserve">M2</t>
  </si>
  <si>
    <t xml:space="preserve">o MORTERO MONOCAPA PIEDRA PROJECTADA REVAT MARMOL BLANCO 15mm C/TRABAJOS VERTICALES</t>
  </si>
  <si>
    <t xml:space="preserve">Revestimiento CON TRABAJOS VERTICALES de paramentos exteriores con mortero monocapa REVAT PIEDRA DE PROPAMSA, acabado con piedra proyectada MARMOL BLANCO, gama Estándar, tipo OC CSIII W1 según UNE-EN 998-1, espesor 15 mm, aplicado manualmente, armado y reforzado con malla  de fibra de vidrio antiálcalis, incluso en los cambios de material.</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</si>
  <si>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</si>
  <si>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</si>
  <si>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</si>
  <si>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</si>
  <si>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</si>
  <si>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</si>
  <si>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</si>
  <si>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</si>
  <si>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</si>
  <si>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</si>
  <si>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</si>
  <si>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</si>
  <si>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</si>
  <si>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</si>
  <si>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</si>
  <si>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</si>
  <si>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</si>
  <si>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</si>
  <si>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</si>
  <si>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</si>
  <si>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</si>
  <si>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</si>
  <si>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</si>
  <si>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</si>
  <si>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</si>
  <si>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</si>
  <si>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</si>
  <si>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</si>
  <si>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</si>
  <si>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</si>
  <si>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</si>
  <si>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</si>
  <si>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</si>
  <si>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</si>
  <si>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</si>
  <si>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</si>
  <si>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</si>
  <si>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</si>
  <si>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</si>
  <si>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</si>
  <si>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</si>
  <si>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</si>
  <si>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</si>
  <si>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</si>
  <si>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MORMON005TV</t>
  </si>
  <si>
    <t xml:space="preserve">MORMON006</t>
  </si>
  <si>
    <t xml:space="preserve">Partida</t>
  </si>
  <si>
    <t xml:space="preserve">M2</t>
  </si>
  <si>
    <t xml:space="preserve">o MORTERO MONOCAPA PIEDRA PROYECTADA WEBERPRAL ARID 15mm</t>
  </si>
  <si>
    <t xml:space="preserve">Revestimiento de paramentos exteriores con mortero monocapa WEBERPRAL ARID DE WEBER, acabado con piedra proyectada, color a  elegir, gama Estándar, tipo OC CSIII W1 según UNE-EN 998-1, espesor 15 mm, aplicado manualmente, armado y reforzado con malla  de fibra de vidrio antiálcalis, incluso en los cambios de material.</t>
  </si>
  <si>
    <t xml:space="preserve">ma-manau-33352001</t>
  </si>
  <si>
    <t xml:space="preserve">Material</t>
  </si>
  <si>
    <t xml:space="preserve">bidón</t>
  </si>
  <si>
    <t xml:space="preserve">WEBERPRIM FX15 BIDON 20KG Imprimante promotor de adherencia para soportes no porosos</t>
  </si>
  <si>
    <t xml:space="preserve">ma-distripla-1044880</t>
  </si>
  <si>
    <t xml:space="preserve">Material</t>
  </si>
  <si>
    <t xml:space="preserve">saco</t>
  </si>
  <si>
    <t xml:space="preserve">Weberpral Arid de Weber, acabado de piedra proyectada 25kg</t>
  </si>
  <si>
    <t xml:space="preserve">ma-lp-00554549</t>
  </si>
  <si>
    <t xml:space="preserve">Material</t>
  </si>
  <si>
    <t xml:space="preserve">ud</t>
  </si>
  <si>
    <t xml:space="preserve">Arido proyectar rojo alicante Nº3 de 30KG</t>
  </si>
  <si>
    <t xml:space="preserve">mt28maw050j</t>
  </si>
  <si>
    <t xml:space="preserve">Material</t>
  </si>
  <si>
    <t xml:space="preserve">m²</t>
  </si>
  <si>
    <t xml:space="preserve">Malla de fibra de vidrio antiálcalis, Webertherm Malla 200 "WEBER", de 7x6,5 mm de luz de malla, 195 g/m² de masa superficial, 0,65 mm de espesor y de 0,11x50 m, para armar morteros.</t>
  </si>
  <si>
    <t xml:space="preserve">ma-lp-00001498</t>
  </si>
  <si>
    <t xml:space="preserve">Material</t>
  </si>
  <si>
    <t xml:space="preserve">und</t>
  </si>
  <si>
    <t xml:space="preserve">Junquillo monocapa PVC (2 m/und).   Ref. lp-00001498</t>
  </si>
  <si>
    <t xml:space="preserve">ma-lp-000018143</t>
  </si>
  <si>
    <t xml:space="preserve">Material</t>
  </si>
  <si>
    <t xml:space="preserve">u</t>
  </si>
  <si>
    <t xml:space="preserve">Esquinero grande monocapa de medida 2,50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</si>
  <si>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</si>
  <si>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</si>
  <si>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</si>
  <si>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</si>
  <si>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</si>
  <si>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</si>
  <si>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</si>
  <si>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</si>
  <si>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</si>
  <si>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</si>
  <si>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</si>
  <si>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</si>
  <si>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</si>
  <si>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</si>
  <si>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</si>
  <si>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</si>
  <si>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</si>
  <si>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</si>
  <si>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</si>
  <si>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</si>
  <si>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MORMON006</t>
  </si>
  <si>
    <t xml:space="preserve">REV-REVOCO-R3-10mm-H-AT</t>
  </si>
  <si>
    <t xml:space="preserve">Partida</t>
  </si>
  <si>
    <t xml:space="preserve">m2</t>
  </si>
  <si>
    <t xml:space="preserve">XXXXXX REVOCO CON MORTERO DE REPARACIÓN R3 MONOCAPA EN PARAMENTO HORIZONTAL MEDIANTE EL USO DE ANDAMIO TUBULAR</t>
  </si>
  <si>
    <t xml:space="preserve">REVOCO CON MORTERO DE REPARACIÓN R3 MONOCAPA EN PARAMENTO HORIZONTAL MEDIANTE EL USO DE ANDAMIO TUBULAR</t>
  </si>
  <si>
    <t xml:space="preserve">ma-lp-00540839</t>
  </si>
  <si>
    <t xml:space="preserve">Material</t>
  </si>
  <si>
    <t xml:space="preserve">bote</t>
  </si>
  <si>
    <t xml:space="preserve">Imprimante promotor de adherencia PROPAM GRIP+ (5 kg/envase).   Ref. lp-00540839</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</si>
  <si>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</si>
  <si>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</si>
  <si>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</si>
  <si>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</si>
  <si>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</si>
  <si>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</si>
  <si>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</si>
  <si>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</si>
  <si>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</si>
  <si>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</si>
  <si>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</si>
  <si>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</si>
  <si>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</si>
  <si>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</si>
  <si>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</si>
  <si>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</si>
  <si>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</si>
  <si>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</si>
  <si>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</si>
  <si>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</si>
  <si>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</si>
  <si>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</si>
  <si>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</si>
  <si>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</si>
  <si>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</si>
  <si>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</si>
  <si>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</si>
  <si>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</si>
  <si>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</si>
  <si>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</si>
  <si>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</si>
  <si>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</si>
  <si>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</si>
  <si>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</si>
  <si>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</si>
  <si>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</si>
  <si>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REV-REVOCO-R3-10mm-H-AT</t>
  </si>
  <si>
    <t xml:space="preserve">REV-REVOCO-R3-10mm-V-MS</t>
  </si>
  <si>
    <t xml:space="preserve">Partida</t>
  </si>
  <si>
    <t xml:space="preserve">m2</t>
  </si>
  <si>
    <t xml:space="preserve">XXXXXX REVOCO CON MORTERO DE REPARACIÓN R3 MONOCAPA EN PARAMENTO VERTICAL MEDIANTE EL USO DE MEDIO SUSPENDIDO/COLGADO</t>
  </si>
  <si>
    <t xml:space="preserve">REVOCO CON MORTERO DE REPARACIÓN R3 MONOCAPA EN PARAMENTO VERTICAL MEDIANTE EL USO DE MEDIO SUSPENDIDO/COLGADO</t>
  </si>
  <si>
    <t xml:space="preserve">ma-lp-00540839</t>
  </si>
  <si>
    <t xml:space="preserve">Material</t>
  </si>
  <si>
    <t xml:space="preserve">bote</t>
  </si>
  <si>
    <t xml:space="preserve">Imprimante promotor de adherencia PROPAM GRIP+ (5 kg/envase).   Ref. lp-00540839</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</si>
  <si>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</si>
  <si>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</si>
  <si>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</si>
  <si>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</si>
  <si>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</si>
  <si>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</si>
  <si>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</si>
  <si>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</si>
  <si>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</si>
  <si>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</si>
  <si>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</si>
  <si>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</si>
  <si>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</si>
  <si>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</si>
  <si>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</si>
  <si>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</si>
  <si>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</si>
  <si>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</si>
  <si>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</si>
  <si>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</si>
  <si>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</si>
  <si>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</si>
  <si>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</si>
  <si>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</si>
  <si>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</si>
  <si>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</si>
  <si>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</si>
  <si>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</si>
  <si>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</si>
  <si>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</si>
  <si>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</si>
  <si>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</si>
  <si>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</si>
  <si>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</si>
  <si>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</si>
  <si>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</si>
  <si>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ma-lp-00107760</t>
  </si>
  <si>
    <t xml:space="preserve">Material</t>
  </si>
  <si>
    <t xml:space="preserve">envase</t>
  </si>
  <si>
    <t xml:space="preserve">Decapante o quitapinturas en gel BARPIMO (4 litros/envase)   Ref. lp-00107760.</t>
  </si>
  <si>
    <t xml:space="preserve">REV-REVOCO-R3-10mm-V-MS</t>
  </si>
  <si>
    <t xml:space="preserve">REV-REVOCO-R3-10mm-V-AT</t>
  </si>
  <si>
    <t xml:space="preserve">Partida</t>
  </si>
  <si>
    <t xml:space="preserve">m2</t>
  </si>
  <si>
    <t xml:space="preserve">XXXXXX REVOCO CON MORTERO DE REPARACIÓN R3 MONOCAPA EN PARAMENTO VERTICAL MEDIANTE EL USO DE ANDAMIO TUBULAR</t>
  </si>
  <si>
    <t xml:space="preserve">REVOCO CON MORTERO DE REPARACIÓN R3 MONOCAPA EN PARAMENTO VERTICAL MEDIANTE EL USO DE ANDAMIO TUBULAR</t>
  </si>
  <si>
    <t xml:space="preserve">ma-lp-00540839</t>
  </si>
  <si>
    <t xml:space="preserve">Material</t>
  </si>
  <si>
    <t xml:space="preserve">bote</t>
  </si>
  <si>
    <t xml:space="preserve">Imprimante promotor de adherencia PROPAM GRIP+ (5 kg/envase).   Ref. lp-00540839</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</si>
  <si>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</si>
  <si>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</si>
  <si>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</si>
  <si>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</si>
  <si>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</si>
  <si>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</si>
  <si>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</si>
  <si>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</si>
  <si>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</si>
  <si>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</si>
  <si>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</si>
  <si>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</si>
  <si>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</si>
  <si>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</si>
  <si>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</si>
  <si>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</si>
  <si>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</si>
  <si>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</si>
  <si>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</si>
  <si>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</si>
  <si>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</si>
  <si>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</si>
  <si>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</si>
  <si>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</si>
  <si>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</si>
  <si>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</si>
  <si>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</si>
  <si>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</si>
  <si>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</si>
  <si>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</si>
  <si>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</si>
  <si>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</si>
  <si>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</si>
  <si>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</si>
  <si>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</si>
  <si>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</si>
  <si>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REV-REVOCO-R3-10mm-V-AT</t>
  </si>
  <si>
    <t xml:space="preserve">REV-REVOCO-R3-10mm-H-MS</t>
  </si>
  <si>
    <t xml:space="preserve">Partida</t>
  </si>
  <si>
    <t xml:space="preserve">m2</t>
  </si>
  <si>
    <t xml:space="preserve">XXXXXX REVOCO CON MORTERO DE REPARACIÓN R3 MONOCAPA EN PARAMENTO HORIZONTAL MEDIANTE EL USO DE MEDIO SUSPENDIDO/COLGADO</t>
  </si>
  <si>
    <t xml:space="preserve">REVOCO CON MORTERO DE REPARACIÓN R3 MONOCAPA EN PARAMENTO HORIZONTAL MEDIANTE EL USO DE MEDIO SUSPENDIDO/COLGADO</t>
  </si>
  <si>
    <t xml:space="preserve">ma-lp-00540839</t>
  </si>
  <si>
    <t xml:space="preserve">Material</t>
  </si>
  <si>
    <t xml:space="preserve">bote</t>
  </si>
  <si>
    <t xml:space="preserve">Imprimante promotor de adherencia PROPAM GRIP+ (5 kg/envase).   Ref. lp-00540839</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</si>
  <si>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</si>
  <si>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</si>
  <si>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</si>
  <si>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</si>
  <si>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</si>
  <si>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</si>
  <si>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</si>
  <si>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</si>
  <si>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</si>
  <si>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</si>
  <si>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</si>
  <si>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</si>
  <si>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</si>
  <si>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</si>
  <si>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</si>
  <si>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</si>
  <si>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</si>
  <si>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</si>
  <si>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</si>
  <si>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</si>
  <si>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</si>
  <si>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</si>
  <si>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</si>
  <si>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</si>
  <si>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</si>
  <si>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</si>
  <si>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</si>
  <si>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</si>
  <si>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</si>
  <si>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</si>
  <si>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</si>
  <si>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</si>
  <si>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</si>
  <si>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</si>
  <si>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</si>
  <si>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</si>
  <si>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REV-REVOCO-R3-10mm-H-MS</t>
  </si>
  <si>
    <t xml:space="preserve">REV-MAN-GP.CSIV.W2-V-AT</t>
  </si>
  <si>
    <t xml:space="preserve">Partida</t>
  </si>
  <si>
    <t xml:space="preserve">m2</t>
  </si>
  <si>
    <t xml:space="preserve">XXXXXX MORTERO MONOCAPA TIPO GP CSIV W2 según UNE-EN 998-1 EN PARAMENTO VERTICAL</t>
  </si>
  <si>
    <t xml:space="preserve">S/C MORTERO MONOCAPA TIPO GP CSIV W2 según UNE-EN 998-1 EN PARAMENTO VERTICAL</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</si>
  <si>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</si>
  <si>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</si>
  <si>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</si>
  <si>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</si>
  <si>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</si>
  <si>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</si>
  <si>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</si>
  <si>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</si>
  <si>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</si>
  <si>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</si>
  <si>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</si>
  <si>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</si>
  <si>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</si>
  <si>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</si>
  <si>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</si>
  <si>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</si>
  <si>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</si>
  <si>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</si>
  <si>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</si>
  <si>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</si>
  <si>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</si>
  <si>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</si>
  <si>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</si>
  <si>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</si>
  <si>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</si>
  <si>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</si>
  <si>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</si>
  <si>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</si>
  <si>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</si>
  <si>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</si>
  <si>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</si>
  <si>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</si>
  <si>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</si>
  <si>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</si>
  <si>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</si>
  <si>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</si>
  <si>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REV-MAN-GP.CSIV.W2-V-AT</t>
  </si>
  <si>
    <t xml:space="preserve">REV-MAN-GRANITO.PROY.BLANCO-H-AT</t>
  </si>
  <si>
    <t xml:space="preserve">Partida</t>
  </si>
  <si>
    <t xml:space="preserve">m2</t>
  </si>
  <si>
    <t xml:space="preserve">XXXXXX MORTERO MONOCAPA 15 mm PREPARADO Y APLICADO A MANO CON ACABADO EN PIEDRA PROYECTADA DE GRANITO BLANCO SOBRE PARAMENTO HORIZONTAL EXTERIOR DE MAMPOSTERÍA (FCH)</t>
  </si>
  <si>
    <t xml:space="preserve">Revestimiento con mortero monocapa 15 mm preparado y aplicado manualmente en paramentos horizontales exteriores sobre ladrillo cerámico, ladrillo o bloque de hormigón, o bloque cerámico aligerado; acabado en piedra proyectada con árido de granito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</si>
  <si>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</si>
  <si>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</si>
  <si>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</si>
  <si>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</si>
  <si>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</si>
  <si>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</si>
  <si>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</si>
  <si>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</si>
  <si>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</si>
  <si>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</si>
  <si>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</si>
  <si>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</si>
  <si>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</si>
  <si>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</si>
  <si>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</si>
  <si>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</si>
  <si>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</si>
  <si>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</si>
  <si>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</si>
  <si>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</si>
  <si>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</si>
  <si>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</si>
  <si>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</si>
  <si>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</si>
  <si>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</si>
  <si>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</si>
  <si>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</si>
  <si>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</si>
  <si>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</si>
  <si>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</si>
  <si>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</si>
  <si>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</si>
  <si>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</si>
  <si>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</si>
  <si>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</si>
  <si>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</si>
  <si>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</si>
  <si>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</si>
  <si>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</si>
  <si>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</si>
  <si>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</si>
  <si>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</si>
  <si>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</si>
  <si>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</si>
  <si>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REV-MAN-GRANITO.PROY.BLANCO-H-AT</t>
  </si>
  <si>
    <t xml:space="preserve">REV-MAN-GRANITO-PROY.BLANCO-V-AT</t>
  </si>
  <si>
    <t xml:space="preserve">Partida</t>
  </si>
  <si>
    <t xml:space="preserve">m2</t>
  </si>
  <si>
    <t xml:space="preserve">XXXXXX MORTERO MONOCAPA 15 mm PREPARADO Y APLICADO A MANO CON ACABADO EN PIEDRA PROYECTADA DE GRANITO BLANCO SOBRE PARAMENTO VERTICAL EXTERIOR DE MAMPOSTERÍA (FCH)</t>
  </si>
  <si>
    <t xml:space="preserve">Revestimiento con mortero monocapa 15 mm preparado y aplicado manualmente en paramentos verticales exteriores sobre ladrillo cerámico, ladrillo o bloque de hormigón, o bloque cerámico aligerado; acabado en piedra proyectada con árido de granito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</si>
  <si>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</si>
  <si>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</si>
  <si>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</si>
  <si>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</si>
  <si>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</si>
  <si>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</si>
  <si>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</si>
  <si>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</si>
  <si>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</si>
  <si>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</si>
  <si>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</si>
  <si>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</si>
  <si>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</si>
  <si>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</si>
  <si>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</si>
  <si>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</si>
  <si>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</si>
  <si>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</si>
  <si>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</si>
  <si>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</si>
  <si>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</si>
  <si>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</si>
  <si>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</si>
  <si>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</si>
  <si>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</si>
  <si>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</si>
  <si>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</si>
  <si>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</si>
  <si>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</si>
  <si>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</si>
  <si>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</si>
  <si>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</si>
  <si>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</si>
  <si>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</si>
  <si>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</si>
  <si>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</si>
  <si>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</si>
  <si>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</si>
  <si>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</si>
  <si>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</si>
  <si>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</si>
  <si>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</si>
  <si>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</si>
  <si>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</si>
  <si>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REV-MAN-GRANITO-PROY.BLANCO-V-AT</t>
  </si>
  <si>
    <t xml:space="preserve">REV-MAN-GRANITO-PROY.GRIS-H-AT</t>
  </si>
  <si>
    <t xml:space="preserve">Partida</t>
  </si>
  <si>
    <t xml:space="preserve">m2</t>
  </si>
  <si>
    <t xml:space="preserve">XXXXXX MORTERO MONOCAPA 15 mm PREPARADO Y APLICADO A MANO CON ACABADO EN PIEDRA PROYECTADA DE GRANITO GRIS SOBRE PARAMENTO HORIZONTAL EXTERIOR DE MAMPOSTERÍA (FCH)</t>
  </si>
  <si>
    <t xml:space="preserve">Revestimiento con mortero monocapa 15 mm preparado y aplicado manualmente en paramentos horizontales exteriores sobre ladrillo cerámico, ladrillo o bloque de hormigón, o bloque cerámico aligerado; acabado en piedra proyectada con árido de granito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</si>
  <si>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</si>
  <si>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</si>
  <si>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</si>
  <si>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</si>
  <si>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</si>
  <si>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</si>
  <si>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</si>
  <si>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</si>
  <si>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</si>
  <si>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</si>
  <si>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</si>
  <si>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</si>
  <si>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</si>
  <si>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</si>
  <si>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</si>
  <si>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</si>
  <si>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</si>
  <si>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</si>
  <si>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</si>
  <si>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</si>
  <si>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</si>
  <si>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</si>
  <si>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</si>
  <si>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</si>
  <si>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</si>
  <si>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</si>
  <si>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</si>
  <si>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</si>
  <si>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</si>
  <si>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</si>
  <si>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</si>
  <si>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</si>
  <si>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</si>
  <si>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</si>
  <si>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</si>
  <si>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</si>
  <si>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</si>
  <si>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</si>
  <si>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</si>
  <si>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</si>
  <si>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</si>
  <si>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</si>
  <si>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</si>
  <si>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</si>
  <si>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REV-MAN-GRANITO-PROY.GRIS-H-AT</t>
  </si>
  <si>
    <t xml:space="preserve">REV-MAN-GRANITO-PROY.GRIS-V-AT</t>
  </si>
  <si>
    <t xml:space="preserve">Partida</t>
  </si>
  <si>
    <t xml:space="preserve">m2</t>
  </si>
  <si>
    <t xml:space="preserve">XXXXXX MORTERO MONOCAPA 15 mm PREPARADO Y APLICADO A MANO CON ACABADO EN PIEDRA PROYECTADA DE GRANITO GRIS SOBRE PARAMENTO VERTICAL EXTERIOR DE MAMPOSTERÍA (FCH)</t>
  </si>
  <si>
    <t xml:space="preserve">Revestimiento con mortero monocapa 15 mm preparado y aplicado manualmente en paramentos verticales exteriores sobre ladrillo cerámico, ladrillo o bloque de hormigón, o bloque cerámico aligerado; acabado en piedra proyectada con árido de granito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</si>
  <si>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</si>
  <si>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</si>
  <si>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</si>
  <si>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</si>
  <si>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</si>
  <si>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</si>
  <si>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</si>
  <si>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</si>
  <si>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</si>
  <si>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</si>
  <si>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</si>
  <si>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</si>
  <si>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</si>
  <si>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</si>
  <si>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</si>
  <si>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</si>
  <si>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</si>
  <si>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</si>
  <si>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</si>
  <si>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</si>
  <si>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</si>
  <si>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</si>
  <si>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</si>
  <si>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</si>
  <si>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</si>
  <si>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</si>
  <si>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</si>
  <si>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</si>
  <si>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</si>
  <si>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</si>
  <si>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</si>
  <si>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</si>
  <si>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</si>
  <si>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</si>
  <si>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</si>
  <si>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</si>
  <si>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</si>
  <si>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</si>
  <si>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</si>
  <si>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</si>
  <si>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</si>
  <si>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</si>
  <si>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</si>
  <si>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</si>
  <si>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REV-MAN-GRANITO-PROY.GRIS-V-AT</t>
  </si>
  <si>
    <t xml:space="preserve">REV-MAN-GP.CSIV.W2-H-AT</t>
  </si>
  <si>
    <t xml:space="preserve">Partida</t>
  </si>
  <si>
    <t xml:space="preserve">m2</t>
  </si>
  <si>
    <t xml:space="preserve">XXXXXX S/C MORTERO MONOCAPA TIPO GP CSIV W2 según UNE-EN 998-1 EN PARAMENTO HORIZONTAL</t>
  </si>
  <si>
    <t xml:space="preserve">S/C MORTERO MONOCAPA TIPO GP CSIV W2 según UNE-EN 998-1 EN PARAMENTO HORIZONTAL</t>
  </si>
  <si>
    <t xml:space="preserve">ma-lp-00540808</t>
  </si>
  <si>
    <t xml:space="preserve">Material</t>
  </si>
  <si>
    <t xml:space="preserve">saco</t>
  </si>
  <si>
    <t xml:space="preserve">Mortero para revoco PROPAM REVOC color gris (25 kg/saco)   Ref. lp-00540808</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</si>
  <si>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</si>
  <si>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</si>
  <si>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</si>
  <si>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</si>
  <si>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</si>
  <si>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</si>
  <si>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</si>
  <si>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</si>
  <si>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</si>
  <si>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</si>
  <si>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</si>
  <si>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</si>
  <si>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</si>
  <si>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</si>
  <si>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</si>
  <si>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</si>
  <si>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</si>
  <si>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</si>
  <si>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</si>
  <si>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</si>
  <si>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</si>
  <si>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</si>
  <si>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</si>
  <si>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</si>
  <si>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</si>
  <si>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</si>
  <si>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</si>
  <si>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</si>
  <si>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</si>
  <si>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</si>
  <si>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</si>
  <si>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</si>
  <si>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REV-MAN-GP.CSIV.W2-H-AT</t>
  </si>
  <si>
    <t xml:space="preserve">REV-MAN-OC.CSIII.W2-H-AT</t>
  </si>
  <si>
    <t xml:space="preserve">Partida</t>
  </si>
  <si>
    <t xml:space="preserve">m2</t>
  </si>
  <si>
    <t xml:space="preserve">XXXXXX S/C MORTERO MONOCAPA TIPO OC CSIII W2 según UNE-EN 998-1 EN PARAMENTO HORIZONTAL</t>
  </si>
  <si>
    <t xml:space="preserve">S/C MORTERO MONOCAPA TIPO OC CSIII W2 según UNE-EN 998-1 EN PARAMENTO HORIZONTAL</t>
  </si>
  <si>
    <t xml:space="preserve">ma-lp-00540839</t>
  </si>
  <si>
    <t xml:space="preserve">Material</t>
  </si>
  <si>
    <t xml:space="preserve">bote</t>
  </si>
  <si>
    <t xml:space="preserve">Imprimante promotor de adherencia PROPAM GRIP+ (5 kg/envase).   Ref. lp-00540839</t>
  </si>
  <si>
    <t xml:space="preserve">ma-lp-00540821</t>
  </si>
  <si>
    <t xml:space="preserve">Material</t>
  </si>
  <si>
    <t xml:space="preserve">saco</t>
  </si>
  <si>
    <t xml:space="preserve">Mortero monocapa PROPAM REVAT PIEDRA; color marrón (25 kg/saco).   Ref. lp-00540821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</si>
  <si>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</si>
  <si>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</si>
  <si>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</si>
  <si>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</si>
  <si>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</si>
  <si>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</si>
  <si>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</si>
  <si>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</si>
  <si>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</si>
  <si>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</si>
  <si>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</si>
  <si>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</si>
  <si>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</si>
  <si>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</si>
  <si>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</si>
  <si>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</si>
  <si>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</si>
  <si>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</si>
  <si>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</si>
  <si>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</si>
  <si>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</si>
  <si>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</si>
  <si>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</si>
  <si>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</si>
  <si>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</si>
  <si>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</si>
  <si>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</si>
  <si>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</si>
  <si>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</si>
  <si>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</si>
  <si>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</si>
  <si>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</si>
  <si>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REV-MAN-OC.CSIII.W2-H-AT</t>
  </si>
  <si>
    <t xml:space="preserve">REV-MAN-OC.CSIII.W2-V-AT</t>
  </si>
  <si>
    <t xml:space="preserve">Partida</t>
  </si>
  <si>
    <t xml:space="preserve">m2</t>
  </si>
  <si>
    <t xml:space="preserve">XXXXXX S/C MORTERO MONOCAPA TIPO OC CSIII W2 según UNE-EN 998-1 EN PARAMENTO VERTICAL</t>
  </si>
  <si>
    <t xml:space="preserve">S/C MORTERO MONOCAPA TIPO OC CSIII W2 según UNE-EN 998-1 EN PARAMENTO VERTICAL</t>
  </si>
  <si>
    <t xml:space="preserve">ma-lp-00540839</t>
  </si>
  <si>
    <t xml:space="preserve">Material</t>
  </si>
  <si>
    <t xml:space="preserve">bote</t>
  </si>
  <si>
    <t xml:space="preserve">Imprimante promotor de adherencia PROPAM GRIP+ (5 kg/envase).   Ref. lp-00540839</t>
  </si>
  <si>
    <t xml:space="preserve">ma-lp-00540821</t>
  </si>
  <si>
    <t xml:space="preserve">Material</t>
  </si>
  <si>
    <t xml:space="preserve">saco</t>
  </si>
  <si>
    <t xml:space="preserve">Mortero monocapa PROPAM REVAT PIEDRA; color marrón (25 kg/saco).   Ref. lp-00540821</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</si>
  <si>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</si>
  <si>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</si>
  <si>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</si>
  <si>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</si>
  <si>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</si>
  <si>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</si>
  <si>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</si>
  <si>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</si>
  <si>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</si>
  <si>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</si>
  <si>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</si>
  <si>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</si>
  <si>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</si>
  <si>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</si>
  <si>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</si>
  <si>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</si>
  <si>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</si>
  <si>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</si>
  <si>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</si>
  <si>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</si>
  <si>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</si>
  <si>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</si>
  <si>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</si>
  <si>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</si>
  <si>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</si>
  <si>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</si>
  <si>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</si>
  <si>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</si>
  <si>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</si>
  <si>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</si>
  <si>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</si>
  <si>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</si>
  <si>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REV-MAN-OC.CSIII.W2-V-AT</t>
  </si>
  <si>
    <t xml:space="preserve">REV.MAN-MARMOL.BLANCO-H-AT</t>
  </si>
  <si>
    <t xml:space="preserve">Partida</t>
  </si>
  <si>
    <t xml:space="preserve">m2</t>
  </si>
  <si>
    <t xml:space="preserve">XXXXXX MORTERO MONOCAPA 15 mm PREPARADO Y APLICADO A MANO CON ACABADO EN PIEDRA PROYECTADA DE MÁRMOL BLANCO SOBRE PARAMENTO HORIZONTAL EXTERIOR DE MAMPOSTERÍA (FCH)</t>
  </si>
  <si>
    <t xml:space="preserve">Revestimiento con mortero monocapa 15 mm preparado y aplicado manualmente en paramentos horizontales exteriores sobre ladrillo cerámico, ladrillo o bloque de hormigón, o bloque cerámico aligerado; acabado en piedra proyectada con árido de mármol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</si>
  <si>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</si>
  <si>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</si>
  <si>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</si>
  <si>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</si>
  <si>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</si>
  <si>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</si>
  <si>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</si>
  <si>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</si>
  <si>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</si>
  <si>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</si>
  <si>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</si>
  <si>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</si>
  <si>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</si>
  <si>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</si>
  <si>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</si>
  <si>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</si>
  <si>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</si>
  <si>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</si>
  <si>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</si>
  <si>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</si>
  <si>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</si>
  <si>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</si>
  <si>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</si>
  <si>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</si>
  <si>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</si>
  <si>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</si>
  <si>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</si>
  <si>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</si>
  <si>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</si>
  <si>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</si>
  <si>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</si>
  <si>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</si>
  <si>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</si>
  <si>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</si>
  <si>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</si>
  <si>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</si>
  <si>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</si>
  <si>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</si>
  <si>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</si>
  <si>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</si>
  <si>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</si>
  <si>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</si>
  <si>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</si>
  <si>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</si>
  <si>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REV.MAN-MARMOL.BLANCO-H-AT</t>
  </si>
  <si>
    <t xml:space="preserve">REV.MAN-MARMOL.BLANCO-V-AT</t>
  </si>
  <si>
    <t xml:space="preserve">Partida</t>
  </si>
  <si>
    <t xml:space="preserve">m2</t>
  </si>
  <si>
    <t xml:space="preserve">XXXXXX MORTERO MONOCAPA 15 mm PREPARADO Y APLICADO A MANO CON ACABADO EN PIEDRA PROYECTADA DE MÁRMOL BLANCO SOBRE PARAMENTO VERTICAL EXTERIOR DE MAMPOSTERÍA, MEDIANTE EL USO DE ANDAMIO TUBULAR (FCH)</t>
  </si>
  <si>
    <t xml:space="preserve">Revestimiento con mortero monocapa 15 mm preparado y aplicado manualmente en paramentos verticales exteriores sobre ladrillo cerámico, ladrillo o bloque de hormigón, o bloque cerámico aligerado; acabado en piedra proyectada con árido de mármol blanco para monocapa, reforzado con malla antiálcalis, mediante el uso de andamio tubular (FCH)</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</si>
  <si>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</si>
  <si>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</si>
  <si>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</si>
  <si>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</si>
  <si>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</si>
  <si>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</si>
  <si>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</si>
  <si>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</si>
  <si>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</si>
  <si>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</si>
  <si>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</si>
  <si>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</si>
  <si>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</si>
  <si>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</si>
  <si>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</si>
  <si>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</si>
  <si>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</si>
  <si>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</si>
  <si>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</si>
  <si>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</si>
  <si>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</si>
  <si>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</si>
  <si>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</si>
  <si>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</si>
  <si>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</si>
  <si>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</si>
  <si>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</si>
  <si>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</si>
  <si>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</si>
  <si>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</si>
  <si>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</si>
  <si>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</si>
  <si>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</si>
  <si>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</si>
  <si>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</si>
  <si>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</si>
  <si>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</si>
  <si>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</si>
  <si>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</si>
  <si>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</si>
  <si>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</si>
  <si>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</si>
  <si>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</si>
  <si>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</si>
  <si>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REV.MAN-MARMOL.BLANCO-V-AT</t>
  </si>
  <si>
    <t xml:space="preserve">REV.MAN-MARMOL.BLANCO-V-MS</t>
  </si>
  <si>
    <t xml:space="preserve">Partida</t>
  </si>
  <si>
    <t xml:space="preserve">m2</t>
  </si>
  <si>
    <t xml:space="preserve">XXXXXX MORTERO MONOCAPA 15 mm PREPARADO Y APLICADO A MANO CON ACABADO EN PIEDRA PROYECTADA DE MÁRMOL BLANCO SOBRE PARAMENTO VERTICAL EXTERIOR DE MAMPOSTERÍA, MEDIANTE EL USO DE MEDIO SUSPENDIDO/COLGADO (FCH)</t>
  </si>
  <si>
    <t xml:space="preserve">Revestimiento con mortero monocapa 15 mm preparado y aplicado manualmente en paramentos verticales exteriores sobre ladrillo cerámico, ladrillo o bloque de hormigón, o bloque cerámico aligerado; acabado en piedra proyectada con árido de mármol blanco para monocapa, reforzado con malla antiálcalis, mediante el uso de medio suspendido/colgado (FCH)</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</si>
  <si>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</si>
  <si>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</si>
  <si>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</si>
  <si>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</si>
  <si>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</si>
  <si>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</si>
  <si>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</si>
  <si>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</si>
  <si>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</si>
  <si>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</si>
  <si>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</si>
  <si>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</si>
  <si>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</si>
  <si>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</si>
  <si>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</si>
  <si>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</si>
  <si>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</si>
  <si>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</si>
  <si>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</si>
  <si>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</si>
  <si>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</si>
  <si>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</si>
  <si>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</si>
  <si>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</si>
  <si>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</si>
  <si>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</si>
  <si>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</si>
  <si>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</si>
  <si>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</si>
  <si>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</si>
  <si>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</si>
  <si>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</si>
  <si>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</si>
  <si>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</si>
  <si>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</si>
  <si>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</si>
  <si>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</si>
  <si>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</si>
  <si>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</si>
  <si>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</si>
  <si>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</si>
  <si>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</si>
  <si>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</si>
  <si>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</si>
  <si>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REV.MAN-MARMOL.BLANCO-V-MS</t>
  </si>
  <si>
    <t xml:space="preserve">REV.MAN-MARMOL.GRIS-H-AT</t>
  </si>
  <si>
    <t xml:space="preserve">Partida</t>
  </si>
  <si>
    <t xml:space="preserve">m2</t>
  </si>
  <si>
    <t xml:space="preserve">XXXXXX MORTERO MONOCAPA 15 mm PREPARADO Y APLICADO A MANO CON ACABADO EN PIEDRA PROYECTADA DE MÁRMOL GRIS SOBRE PARAMENTO HORIZONTAL EXTERIOR DE MAMPOSTERÍA (FCH)</t>
  </si>
  <si>
    <t xml:space="preserve">Revestimiento con mortero monocapa 15 mm preparado y aplicado manualmente en paramentos horizontales exteriores sobre ladrillo cerámico, ladrillo o bloque de hormigón, o bloque cerámico aligerado; acabado en piedra proyectada con árido de mármol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</si>
  <si>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</si>
  <si>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</si>
  <si>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</si>
  <si>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</si>
  <si>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</si>
  <si>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</si>
  <si>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</si>
  <si>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</si>
  <si>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</si>
  <si>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</si>
  <si>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</si>
  <si>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</si>
  <si>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</si>
  <si>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</si>
  <si>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</si>
  <si>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</si>
  <si>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</si>
  <si>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</si>
  <si>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</si>
  <si>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</si>
  <si>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</si>
  <si>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</si>
  <si>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</si>
  <si>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</si>
  <si>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</si>
  <si>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</si>
  <si>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</si>
  <si>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</si>
  <si>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</si>
  <si>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</si>
  <si>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</si>
  <si>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</si>
  <si>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</si>
  <si>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</si>
  <si>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</si>
  <si>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</si>
  <si>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</si>
  <si>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</si>
  <si>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</si>
  <si>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</si>
  <si>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</si>
  <si>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</si>
  <si>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</si>
  <si>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</si>
  <si>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REV.MAN-MARMOL.GRIS-H-AT</t>
  </si>
  <si>
    <t xml:space="preserve">REV.MAN-MARMOL.GRIS-V-AT</t>
  </si>
  <si>
    <t xml:space="preserve">Partida</t>
  </si>
  <si>
    <t xml:space="preserve">m2</t>
  </si>
  <si>
    <t xml:space="preserve">XXXXXX MORTERO MONOCAPA 15 mm PREPARADO Y APLICADO A MANO CON ACABADO EN PIEDRA PROYECTADA DE MÁRMOL GRIS SOBRE PARAMENTO HORIZONTAL EXTERIOR DE MAMPOSTERÍA (FCH)</t>
  </si>
  <si>
    <t xml:space="preserve">Revestimiento con mortero monocapa 15 mm preparado y aplicado manualmente en paramentos verticales exteriores sobre ladrillo cerámico, ladrillo o bloque de hormigón, o bloque cerámico aligerado; acabado en piedra proyectada con árido de mármol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</si>
  <si>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</si>
  <si>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</si>
  <si>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</si>
  <si>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</si>
  <si>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</si>
  <si>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</si>
  <si>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</si>
  <si>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</si>
  <si>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</si>
  <si>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</si>
  <si>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</si>
  <si>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</si>
  <si>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</si>
  <si>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</si>
  <si>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</si>
  <si>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</si>
  <si>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</si>
  <si>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</si>
  <si>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</si>
  <si>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</si>
  <si>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</si>
  <si>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</si>
  <si>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</si>
  <si>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</si>
  <si>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</si>
  <si>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</si>
  <si>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</si>
  <si>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</si>
  <si>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</si>
  <si>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</si>
  <si>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</si>
  <si>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</si>
  <si>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</si>
  <si>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</si>
  <si>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</si>
  <si>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</si>
  <si>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</si>
  <si>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</si>
  <si>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</si>
  <si>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</si>
  <si>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</si>
  <si>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</si>
  <si>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</si>
  <si>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</si>
  <si>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REV.MAN-MARMOL.GRIS-V-AT</t>
  </si>
  <si>
    <t xml:space="preserve">REV40-MNR-009</t>
  </si>
  <si>
    <t xml:space="preserve">Partida</t>
  </si>
  <si>
    <t xml:space="preserve">m2</t>
  </si>
  <si>
    <t xml:space="preserve">XXXXXX MORTERO MONOCAPA 15 mm PREPARADO Y APLICADO A MANO CON ACABADO RÚSTICO O RASPADO (COLOR BLANCO) SOBRE PARAMENTO HORIZONTAL EXTERIOR DE MAMPOSTERÍA (FCH)</t>
  </si>
  <si>
    <t xml:space="preserve">Revestimiento con mortero monocapa 15 mm preparado y aplicado manualmente en paramentos horizontales exteriores sobre ladrillo cerámico, ladrillo o bloque de hormigón, o bloque cerámico aligerado; acabado rústico o raspado (color blanco), imprimado y reforzado con malla antiálcalis (FCH)</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</si>
  <si>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</si>
  <si>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</si>
  <si>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</si>
  <si>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</si>
  <si>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</si>
  <si>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</si>
  <si>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</si>
  <si>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</si>
  <si>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</si>
  <si>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</si>
  <si>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</si>
  <si>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</si>
  <si>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</si>
  <si>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</si>
  <si>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</si>
  <si>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</si>
  <si>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</si>
  <si>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</si>
  <si>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</si>
  <si>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</si>
  <si>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</si>
  <si>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</si>
  <si>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</si>
  <si>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</si>
  <si>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</si>
  <si>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</si>
  <si>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</si>
  <si>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</si>
  <si>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</si>
  <si>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</si>
  <si>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</si>
  <si>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</si>
  <si>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</si>
  <si>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</si>
  <si>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</si>
  <si>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</si>
  <si>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</si>
  <si>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</si>
  <si>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</si>
  <si>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</si>
  <si>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REV40-MNR-009</t>
  </si>
  <si>
    <t xml:space="preserve">REV40-MNR-010</t>
  </si>
  <si>
    <t xml:space="preserve">Partida</t>
  </si>
  <si>
    <t xml:space="preserve">m2</t>
  </si>
  <si>
    <t xml:space="preserve">XXXXXX MORTERO MONOCAPA 15 mm PREPARADO Y APLICADO A MANO CON ACABADO RÚSTICO O RASPADO (COLOR BLANCO) SOBRE PARAMENTO VERTICAL EXTERIOR DE MAMPOSTERÍA (FCH)</t>
  </si>
  <si>
    <t xml:space="preserve">Revestimiento con mortero monocapa 15 mm preparado y aplicado manualmente en paramentos verticales exteriores sobre ladrillo cerámico, ladrillo o bloque de hormigón, o bloque cerámico aligerado; acabado rústico o raspado (color blanco), imprimado y reforzado con malla antiálcalis (FCH)</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</si>
  <si>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</si>
  <si>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</si>
  <si>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</si>
  <si>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</si>
  <si>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</si>
  <si>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</si>
  <si>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</si>
  <si>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</si>
  <si>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</si>
  <si>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</si>
  <si>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</si>
  <si>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</si>
  <si>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</si>
  <si>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</si>
  <si>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</si>
  <si>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</si>
  <si>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</si>
  <si>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</si>
  <si>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</si>
  <si>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</si>
  <si>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</si>
  <si>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</si>
  <si>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</si>
  <si>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</si>
  <si>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</si>
  <si>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</si>
  <si>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</si>
  <si>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</si>
  <si>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</si>
  <si>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</si>
  <si>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</si>
  <si>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</si>
  <si>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</si>
  <si>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</si>
  <si>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</si>
  <si>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</si>
  <si>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</si>
  <si>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</si>
  <si>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</si>
  <si>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</si>
  <si>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REV40-MNR-010</t>
  </si>
  <si>
    <t xml:space="preserve">REV-MAQ-GRANITO.PROY.BLANCO-H-AT</t>
  </si>
  <si>
    <t xml:space="preserve">Partida</t>
  </si>
  <si>
    <t xml:space="preserve">m2</t>
  </si>
  <si>
    <t xml:space="preserve">XXXXXX MORTERO MONOCAPA 15 mm PREPARADO Y APLICADO A MÁQUINA CON ACABADO EN PIEDRA PROYECTADA DE GRANITO BLANCO SOBRE PARAMENTO HORIZONTAL EXTERIOR DE MAMPOSTERÍA (FCH)</t>
  </si>
  <si>
    <t xml:space="preserve">Revestimiento con mortero monocapa 15 mm preparado y aplicado mecánicamente en paramentos horizontales exteriores sobre ladrillo cerámico, ladrillo o bloque de hormigón, o bloque cerámico aligerado; acabado en piedra proyectada con árido de granito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</si>
  <si>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</si>
  <si>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</si>
  <si>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</si>
  <si>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</si>
  <si>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</si>
  <si>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</si>
  <si>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</si>
  <si>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</si>
  <si>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</si>
  <si>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</si>
  <si>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</si>
  <si>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</si>
  <si>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</si>
  <si>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</si>
  <si>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</si>
  <si>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</si>
  <si>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</si>
  <si>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</si>
  <si>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</si>
  <si>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</si>
  <si>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</si>
  <si>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</si>
  <si>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</si>
  <si>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</si>
  <si>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</si>
  <si>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</si>
  <si>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</si>
  <si>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</si>
  <si>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</si>
  <si>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</si>
  <si>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</si>
  <si>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</si>
  <si>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</si>
  <si>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</si>
  <si>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</si>
  <si>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</si>
  <si>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</si>
  <si>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</si>
  <si>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</si>
  <si>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</si>
  <si>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</si>
  <si>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</si>
  <si>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</si>
  <si>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</si>
  <si>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</si>
  <si>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</si>
  <si>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</si>
  <si>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</si>
  <si>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REV-MAQ-GRANITO.PROY.BLANCO-H-AT</t>
  </si>
  <si>
    <t xml:space="preserve">REV-MAQ-GRANITO-PROY.BLANCO-V-AT</t>
  </si>
  <si>
    <t xml:space="preserve">Partida</t>
  </si>
  <si>
    <t xml:space="preserve">m2</t>
  </si>
  <si>
    <t xml:space="preserve">XXXXXX MORTERO MONOCAPA 15 mm PREPARADO Y APLICADO A MÁQUINA CON ACABADO EN PIEDRA PROYECTADA DE GRANITO BLANCO SOBRE PARAMENTO VERTICAL EXTERIOR DE MAMPOSTERÍA (FCH)</t>
  </si>
  <si>
    <t xml:space="preserve">Revestimiento con mortero monocapa 15 mm preparado y aplicado mecánicamente en paramentos verticales exteriores sobre ladrillo cerámico, ladrillo o bloque de hormigón, o bloque cerámico aligerado; acabado en piedra proyectada con árido de granito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</si>
  <si>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</si>
  <si>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</si>
  <si>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</si>
  <si>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</si>
  <si>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</si>
  <si>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</si>
  <si>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</si>
  <si>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</si>
  <si>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</si>
  <si>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</si>
  <si>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</si>
  <si>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</si>
  <si>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</si>
  <si>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</si>
  <si>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</si>
  <si>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</si>
  <si>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</si>
  <si>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</si>
  <si>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</si>
  <si>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</si>
  <si>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</si>
  <si>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</si>
  <si>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</si>
  <si>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</si>
  <si>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</si>
  <si>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</si>
  <si>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</si>
  <si>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</si>
  <si>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</si>
  <si>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</si>
  <si>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</si>
  <si>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</si>
  <si>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</si>
  <si>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</si>
  <si>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</si>
  <si>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</si>
  <si>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</si>
  <si>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</si>
  <si>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</si>
  <si>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</si>
  <si>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</si>
  <si>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</si>
  <si>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</si>
  <si>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</si>
  <si>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</si>
  <si>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</si>
  <si>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</si>
  <si>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</si>
  <si>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REV-MAQ-GRANITO-PROY.BLANCO-V-AT</t>
  </si>
  <si>
    <t xml:space="preserve">REV-MAQ-GRANITO-PROY.GRIS-H-AT</t>
  </si>
  <si>
    <t xml:space="preserve">Partida</t>
  </si>
  <si>
    <t xml:space="preserve">m2</t>
  </si>
  <si>
    <t xml:space="preserve">XXXXXX MORTERO MONOCAPA 15 mm PREPARADO Y APLICADO A MÁQUINA CON ACABADO EN PIEDRA PROYECTADA DE GRANITO GRIS SOBRE PARAMENTO HORIZONTAL EXTERIOR DE MAMPOSTERÍA (FCH)</t>
  </si>
  <si>
    <t xml:space="preserve">Revestimiento con mortero monocapa 15 mm preparado y aplicado mecánicamente en paramentos horizontales exteriores sobre ladrillo cerámico, ladrillo o bloque de hormigón, o bloque cerámico aligerado; acabado en piedra proyectada con árido de granito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</si>
  <si>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</si>
  <si>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</si>
  <si>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</si>
  <si>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</si>
  <si>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</si>
  <si>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</si>
  <si>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</si>
  <si>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</si>
  <si>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</si>
  <si>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</si>
  <si>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</si>
  <si>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</si>
  <si>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</si>
  <si>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</si>
  <si>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</si>
  <si>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</si>
  <si>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</si>
  <si>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</si>
  <si>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</si>
  <si>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</si>
  <si>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</si>
  <si>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</si>
  <si>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</si>
  <si>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</si>
  <si>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</si>
  <si>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</si>
  <si>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</si>
  <si>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</si>
  <si>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</si>
  <si>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</si>
  <si>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</si>
  <si>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</si>
  <si>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</si>
  <si>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</si>
  <si>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</si>
  <si>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</si>
  <si>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</si>
  <si>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</si>
  <si>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</si>
  <si>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</si>
  <si>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</si>
  <si>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</si>
  <si>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</si>
  <si>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</si>
  <si>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</si>
  <si>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</si>
  <si>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</si>
  <si>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</si>
  <si>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REV-MAQ-GRANITO-PROY.GRIS-H-AT</t>
  </si>
  <si>
    <t xml:space="preserve">REV-MAQ-GRANITO-PROY.GRIS-V-AT</t>
  </si>
  <si>
    <t xml:space="preserve">Partida</t>
  </si>
  <si>
    <t xml:space="preserve">m2</t>
  </si>
  <si>
    <t xml:space="preserve">XXXXXX MORTERO MONOCAPA 15 mm PREPARADO Y APLICADO A MÁQUINA CON ACABADO EN PIEDRA PROYECTADA DE GRANITO GRIS SOBRE PARAMENTO VERTICAL EXTERIOR DE MAMPOSTERÍA (FCH)</t>
  </si>
  <si>
    <t xml:space="preserve">Revestimiento con mortero monocapa 15 mm preparado y aplicado mecánicamente en paramentos verticales exteriores sobre ladrillo cerámico, ladrillo o bloque de hormigón, o bloque cerámico aligerado; acabado en piedra proyectada con árido de granito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</si>
  <si>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</si>
  <si>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</si>
  <si>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</si>
  <si>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</si>
  <si>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</si>
  <si>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</si>
  <si>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</si>
  <si>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</si>
  <si>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</si>
  <si>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</si>
  <si>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</si>
  <si>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</si>
  <si>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</si>
  <si>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</si>
  <si>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</si>
  <si>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</si>
  <si>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</si>
  <si>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</si>
  <si>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</si>
  <si>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</si>
  <si>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</si>
  <si>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</si>
  <si>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</si>
  <si>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</si>
  <si>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</si>
  <si>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</si>
  <si>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</si>
  <si>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</si>
  <si>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</si>
  <si>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</si>
  <si>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</si>
  <si>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</si>
  <si>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</si>
  <si>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</si>
  <si>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</si>
  <si>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</si>
  <si>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</si>
  <si>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</si>
  <si>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</si>
  <si>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</si>
  <si>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</si>
  <si>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</si>
  <si>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</si>
  <si>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</si>
  <si>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</si>
  <si>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</si>
  <si>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</si>
  <si>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</si>
  <si>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REV-MAQ-GRANITO-PROY.GRIS-V-AT</t>
  </si>
  <si>
    <t xml:space="preserve">REV.MAQ-MARMOL.BLANCO-H-AT</t>
  </si>
  <si>
    <t xml:space="preserve">Partida</t>
  </si>
  <si>
    <t xml:space="preserve">m2</t>
  </si>
  <si>
    <t xml:space="preserve">XXXXXX MORTERO MONOCAPA 15 mm PREPARADO Y APLICADO A MÁQUINA CON ACABADO EN PIEDRA PROYECTADA DE MÁRMOL BLANCO SOBRE PARAMENTO HORIZONTAL EXTERIOR DE MAMPOSTERÍA (FCH)</t>
  </si>
  <si>
    <t xml:space="preserve">Revestimiento con mortero monocapa 15 mm preparado y aplicado mecánicamente en paramentos horizontales exteriores sobre ladrillo cerámico, ladrillo o bloque de hormigón, o bloque cerámico aligerado; acabado en piedra proyectada con árido de mármol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</si>
  <si>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</si>
  <si>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</si>
  <si>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</si>
  <si>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</si>
  <si>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</si>
  <si>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</si>
  <si>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</si>
  <si>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</si>
  <si>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</si>
  <si>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</si>
  <si>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</si>
  <si>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</si>
  <si>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</si>
  <si>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</si>
  <si>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</si>
  <si>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</si>
  <si>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</si>
  <si>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</si>
  <si>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</si>
  <si>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</si>
  <si>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</si>
  <si>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</si>
  <si>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</si>
  <si>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</si>
  <si>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</si>
  <si>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</si>
  <si>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</si>
  <si>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</si>
  <si>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</si>
  <si>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</si>
  <si>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</si>
  <si>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</si>
  <si>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</si>
  <si>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</si>
  <si>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</si>
  <si>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</si>
  <si>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</si>
  <si>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</si>
  <si>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</si>
  <si>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</si>
  <si>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</si>
  <si>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</si>
  <si>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</si>
  <si>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</si>
  <si>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</si>
  <si>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</si>
  <si>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</si>
  <si>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</si>
  <si>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REV.MAQ-MARMOL.BLANCO-H-AT</t>
  </si>
  <si>
    <t xml:space="preserve">REV.MAQ-MARMOL.BLANCO-V-AT</t>
  </si>
  <si>
    <t xml:space="preserve">Partida</t>
  </si>
  <si>
    <t xml:space="preserve">m2</t>
  </si>
  <si>
    <t xml:space="preserve">XXXXXX MORTERO MONOCAPA 15 mm PREPARADO Y APLICADO A MÁQUINA CON ACABADO EN PIEDRA PROYECTADA DE MÁRMOL BLANCO SOBRE PARAMENTO VERTICAL EXTERIOR DE MAMPOSTERÍA (FCH)</t>
  </si>
  <si>
    <t xml:space="preserve">Revestimiento con mortero monocapa 15 mm preparado y aplicado mecánicamente en paramentos verticales exteriores sobre ladrillo cerámico, ladrillo o bloque de hormigón, o bloque cerámico aligerado; acabado en piedra proyectada con árido de mármol blanco para monocapa, reforzado con malla antiálcalis (FCH)</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</si>
  <si>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</si>
  <si>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</si>
  <si>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</si>
  <si>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</si>
  <si>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</si>
  <si>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</si>
  <si>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</si>
  <si>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</si>
  <si>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</si>
  <si>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</si>
  <si>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</si>
  <si>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</si>
  <si>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</si>
  <si>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</si>
  <si>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</si>
  <si>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</si>
  <si>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</si>
  <si>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</si>
  <si>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</si>
  <si>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</si>
  <si>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</si>
  <si>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</si>
  <si>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</si>
  <si>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</si>
  <si>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</si>
  <si>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</si>
  <si>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</si>
  <si>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</si>
  <si>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</si>
  <si>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</si>
  <si>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</si>
  <si>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</si>
  <si>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</si>
  <si>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</si>
  <si>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</si>
  <si>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</si>
  <si>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</si>
  <si>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</si>
  <si>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</si>
  <si>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</si>
  <si>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</si>
  <si>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</si>
  <si>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</si>
  <si>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</si>
  <si>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</si>
  <si>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</si>
  <si>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</si>
  <si>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</si>
  <si>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REV.MAQ-MARMOL.BLANCO-V-AT</t>
  </si>
  <si>
    <t xml:space="preserve">REV.MAQ-MARMOL.GRIS-H-AT</t>
  </si>
  <si>
    <t xml:space="preserve">Partida</t>
  </si>
  <si>
    <t xml:space="preserve">m2</t>
  </si>
  <si>
    <t xml:space="preserve">XXXXXX MORTERO MONOCAPA 15 mm PREPARADO Y APLICADO A MÁQUINA CON ACABADO EN PIEDRA PROYECTADA DE MÁRMOL GRIS SOBRE PARAMENTO HORIZONTAL EXTERIOR DE MAMPOSTERÍA (FCH)</t>
  </si>
  <si>
    <t xml:space="preserve">MORTERO MONOCAPA 15 mm PREPARADO Y APLICADO A MÁQUINA CON ACABADO EN PIEDRA PROYECTADA DE MÁRMOL GRIS SOBRE PARAMENTO HORIZONTAL EXTERIOR DE MAMPOSTERÍA (FCH)</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</si>
  <si>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</si>
  <si>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</si>
  <si>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</si>
  <si>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</si>
  <si>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</si>
  <si>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</si>
  <si>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</si>
  <si>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</si>
  <si>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</si>
  <si>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</si>
  <si>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</si>
  <si>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</si>
  <si>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</si>
  <si>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</si>
  <si>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</si>
  <si>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</si>
  <si>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</si>
  <si>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</si>
  <si>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</si>
  <si>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</si>
  <si>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</si>
  <si>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</si>
  <si>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</si>
  <si>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</si>
  <si>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</si>
  <si>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</si>
  <si>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</si>
  <si>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</si>
  <si>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</si>
  <si>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</si>
  <si>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</si>
  <si>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</si>
  <si>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</si>
  <si>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</si>
  <si>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</si>
  <si>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</si>
  <si>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</si>
  <si>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</si>
  <si>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</si>
  <si>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</si>
  <si>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</si>
  <si>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</si>
  <si>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</si>
  <si>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</si>
  <si>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</si>
  <si>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</si>
  <si>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</si>
  <si>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</si>
  <si>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REV.MAQ-MARMOL.GRIS-H-AT</t>
  </si>
  <si>
    <t xml:space="preserve">REV.MAQ-MARMOL.GRIS-V-AT</t>
  </si>
  <si>
    <t xml:space="preserve">Partida</t>
  </si>
  <si>
    <t xml:space="preserve">m2</t>
  </si>
  <si>
    <t xml:space="preserve">XXXXXX MORTERO MONOCAPA 15 mm PREPARADO Y APLICADO A MÁQUINA CON ACABADO EN PIEDRA PROYECTADA DE MÁRMOL GRIS SOBRE PARAMENTO VERTICAL EXTERIOR DE MAMPOSTERÍA (FCH)</t>
  </si>
  <si>
    <t xml:space="preserve">Revestimiento con mortero monocapa 15 mm preparado y aplicado mecánicamente en paramentos verticales exteriores sobre ladrillo cerámico, ladrillo o bloque de hormigón, o bloque cerámico aligerado; acabado en piedra proyectada con árido de mármol gris para monocapa, reforzado con malla antiálcalis (FCH)</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</si>
  <si>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</si>
  <si>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</si>
  <si>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</si>
  <si>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</si>
  <si>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</si>
  <si>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</si>
  <si>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</si>
  <si>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</si>
  <si>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</si>
  <si>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</si>
  <si>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</si>
  <si>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</si>
  <si>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</si>
  <si>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</si>
  <si>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</si>
  <si>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</si>
  <si>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</si>
  <si>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</si>
  <si>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</si>
  <si>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</si>
  <si>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</si>
  <si>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</si>
  <si>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</si>
  <si>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</si>
  <si>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</si>
  <si>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</si>
  <si>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</si>
  <si>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</si>
  <si>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</si>
  <si>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</si>
  <si>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</si>
  <si>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</si>
  <si>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</si>
  <si>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</si>
  <si>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</si>
  <si>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</si>
  <si>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</si>
  <si>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</si>
  <si>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</si>
  <si>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</si>
  <si>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</si>
  <si>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</si>
  <si>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</si>
  <si>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</si>
  <si>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</si>
  <si>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</si>
  <si>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</si>
  <si>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</si>
  <si>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REV.MAQ-MARMOL.GRIS-V-AT</t>
  </si>
  <si>
    <t xml:space="preserve">REV41-MNR-009</t>
  </si>
  <si>
    <t xml:space="preserve">Partida</t>
  </si>
  <si>
    <t xml:space="preserve">m2</t>
  </si>
  <si>
    <t xml:space="preserve">XXXXXX MORTERO MONOCAPA 15 mm PREPARADO Y APLICADO A MÁQUINA CON ACABADO RÚSTICO O RASPADO (COLOR BLANCO) SOBRE PARAMENTO HORIZONTAL EXTERIOR DE MAMPOSTERÍA (FCH)</t>
  </si>
  <si>
    <t xml:space="preserve">Revestimiento con mortero monocapa 15 mm preparado y aplicado mecánicamente en paramentos horizontales exteriores sobre ladrillo cerámico, ladrillo o bloque de hormigón, o bloque cerámico aligerado; acabado rústico o raspado (color blanco), imprimado y reforzado con malla antiálcalis (FCH)</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</si>
  <si>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</si>
  <si>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</si>
  <si>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</si>
  <si>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</si>
  <si>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</si>
  <si>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</si>
  <si>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</si>
  <si>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</si>
  <si>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</si>
  <si>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</si>
  <si>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</si>
  <si>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</si>
  <si>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</si>
  <si>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</si>
  <si>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</si>
  <si>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</si>
  <si>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</si>
  <si>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</si>
  <si>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</si>
  <si>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</si>
  <si>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</si>
  <si>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</si>
  <si>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</si>
  <si>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</si>
  <si>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</si>
  <si>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</si>
  <si>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</si>
  <si>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</si>
  <si>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</si>
  <si>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</si>
  <si>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</si>
  <si>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</si>
  <si>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</si>
  <si>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</si>
  <si>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</si>
  <si>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</si>
  <si>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</si>
  <si>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</si>
  <si>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</si>
  <si>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</si>
  <si>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</si>
  <si>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</si>
  <si>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</si>
  <si>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</si>
  <si>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REV41-MNR-009</t>
  </si>
  <si>
    <t xml:space="preserve">REV41-MNR-010</t>
  </si>
  <si>
    <t xml:space="preserve">Partida</t>
  </si>
  <si>
    <t xml:space="preserve">m2</t>
  </si>
  <si>
    <t xml:space="preserve">XXXXXX MORTERO MONOCAPA 15 mm PREPARADO Y APLICADO A MÁQUINA CON ACABADO RÚSTICO O RASPADO (COLOR BLANCO) SOBRE PARAMENTO VERTICAL EXTERIOR DE MAMPOSTERÍA (FCH)</t>
  </si>
  <si>
    <t xml:space="preserve">Revestimiento con mortero monocapa 15 mm preparado y aplicado mecánicamente en paramentos verticales exteriores sobre ladrillo cerámico, ladrillo o bloque de hormigón, o bloque cerámico aligerado; acabado rústico o raspado (color blanco), imprimado y reforzado con malla antiálcalis (FCH)</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</si>
  <si>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</si>
  <si>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</si>
  <si>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</si>
  <si>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</si>
  <si>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</si>
  <si>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</si>
  <si>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</si>
  <si>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</si>
  <si>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</si>
  <si>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</si>
  <si>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</si>
  <si>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</si>
  <si>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</si>
  <si>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</si>
  <si>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</si>
  <si>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</si>
  <si>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</si>
  <si>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</si>
  <si>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</si>
  <si>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</si>
  <si>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</si>
  <si>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</si>
  <si>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</si>
  <si>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</si>
  <si>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</si>
  <si>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</si>
  <si>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</si>
  <si>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</si>
  <si>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</si>
  <si>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</si>
  <si>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</si>
  <si>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</si>
  <si>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</si>
  <si>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</si>
  <si>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</si>
  <si>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</si>
  <si>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</si>
  <si>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</si>
  <si>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</si>
  <si>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</si>
  <si>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</si>
  <si>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</si>
  <si>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</si>
  <si>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</si>
  <si>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REV41-MNR-010</t>
  </si>
  <si>
    <t xml:space="preserve">REV42-MNR-001</t>
  </si>
  <si>
    <t xml:space="preserve">Partida</t>
  </si>
  <si>
    <t xml:space="preserve">m2</t>
  </si>
  <si>
    <t xml:space="preserve">XXXXXX MORTERO MONOCAPA 15 mm PREPARADO Y APLICADO A MANO CON ACABADO EN PIEDRA PROYECTADA DE GRANITO BLANCO SOBRE PARAMENTO HORIZONTAL EXTERIOR DE HORMIGÓN (FCH)</t>
  </si>
  <si>
    <t xml:space="preserve">Revestimiento con mortero monocapa 15 mm preparado y aplicado manualmente en paramentos horizontales exteriores sobre hormigón; acabado en piedra proyectada con árido de granito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</si>
  <si>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</si>
  <si>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</si>
  <si>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</si>
  <si>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</si>
  <si>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</si>
  <si>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</si>
  <si>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</si>
  <si>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</si>
  <si>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</si>
  <si>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</si>
  <si>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</si>
  <si>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</si>
  <si>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</si>
  <si>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</si>
  <si>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</si>
  <si>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</si>
  <si>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</si>
  <si>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</si>
  <si>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</si>
  <si>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</si>
  <si>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</si>
  <si>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</si>
  <si>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</si>
  <si>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</si>
  <si>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</si>
  <si>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</si>
  <si>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</si>
  <si>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</si>
  <si>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</si>
  <si>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</si>
  <si>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</si>
  <si>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</si>
  <si>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</si>
  <si>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</si>
  <si>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</si>
  <si>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</si>
  <si>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</si>
  <si>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</si>
  <si>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</si>
  <si>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</si>
  <si>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</si>
  <si>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</si>
  <si>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</si>
  <si>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</si>
  <si>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</si>
  <si>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</si>
  <si>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</si>
  <si>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</si>
  <si>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REV42-MNR-001</t>
  </si>
  <si>
    <t xml:space="preserve">REV42-MNR-002</t>
  </si>
  <si>
    <t xml:space="preserve">Partida</t>
  </si>
  <si>
    <t xml:space="preserve">m2</t>
  </si>
  <si>
    <t xml:space="preserve">XXXXXX MORTERO MONOCAPA 15 mm PREPARADO Y APLICADO A MANO CON ACABADO EN PIEDRA PROYECTADA DE GRANITO BLANCO SOBRE PARAMENTO VERTICAL EXTERIOR DE HORMIGÓN (FCH)</t>
  </si>
  <si>
    <t xml:space="preserve">Revestimiento con mortero monocapa 15 mm preparado y aplicado manualmente en paramentos verticales exteriores de hormigón; acabado en piedra proyectada con árido de granito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</si>
  <si>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</si>
  <si>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</si>
  <si>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</si>
  <si>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</si>
  <si>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</si>
  <si>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</si>
  <si>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</si>
  <si>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</si>
  <si>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</si>
  <si>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</si>
  <si>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</si>
  <si>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</si>
  <si>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</si>
  <si>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</si>
  <si>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</si>
  <si>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</si>
  <si>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</si>
  <si>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</si>
  <si>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</si>
  <si>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</si>
  <si>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</si>
  <si>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</si>
  <si>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</si>
  <si>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</si>
  <si>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</si>
  <si>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</si>
  <si>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</si>
  <si>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</si>
  <si>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</si>
  <si>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</si>
  <si>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</si>
  <si>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</si>
  <si>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</si>
  <si>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</si>
  <si>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</si>
  <si>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</si>
  <si>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</si>
  <si>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</si>
  <si>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</si>
  <si>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</si>
  <si>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</si>
  <si>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</si>
  <si>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</si>
  <si>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</si>
  <si>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</si>
  <si>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</si>
  <si>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</si>
  <si>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</si>
  <si>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REV42-MNR-002</t>
  </si>
  <si>
    <t xml:space="preserve">REV42-MNR-003</t>
  </si>
  <si>
    <t xml:space="preserve">Partida</t>
  </si>
  <si>
    <t xml:space="preserve">m2</t>
  </si>
  <si>
    <t xml:space="preserve">XXXXXX MORTERO MONOCAPA 15 mm PREPARADO Y APLICADO A MANO CON ACABADO EN PIEDRA PROYECTADA DE GRANITO GRIS SOBRE PARAMENTO HORIZONTAL EXTERIOR DE HORMIGÓN (FCH)</t>
  </si>
  <si>
    <t xml:space="preserve">Revestimiento con mortero monocapa 15 mm preparado y aplicado manualmente en paramentos horizontales exteriores de hormigón; acabado en piedra proyectada con árido de granito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</si>
  <si>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</si>
  <si>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</si>
  <si>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</si>
  <si>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</si>
  <si>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</si>
  <si>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</si>
  <si>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</si>
  <si>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</si>
  <si>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</si>
  <si>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</si>
  <si>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</si>
  <si>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</si>
  <si>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</si>
  <si>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</si>
  <si>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</si>
  <si>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</si>
  <si>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</si>
  <si>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</si>
  <si>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</si>
  <si>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</si>
  <si>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</si>
  <si>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</si>
  <si>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</si>
  <si>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</si>
  <si>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</si>
  <si>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</si>
  <si>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</si>
  <si>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</si>
  <si>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</si>
  <si>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</si>
  <si>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</si>
  <si>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</si>
  <si>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</si>
  <si>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</si>
  <si>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</si>
  <si>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</si>
  <si>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</si>
  <si>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</si>
  <si>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</si>
  <si>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</si>
  <si>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</si>
  <si>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</si>
  <si>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</si>
  <si>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</si>
  <si>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</si>
  <si>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</si>
  <si>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</si>
  <si>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</si>
  <si>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REV42-MNR-003</t>
  </si>
  <si>
    <t xml:space="preserve">REV42-MNR-004</t>
  </si>
  <si>
    <t xml:space="preserve">Partida</t>
  </si>
  <si>
    <t xml:space="preserve">m2</t>
  </si>
  <si>
    <t xml:space="preserve">XXXXXX MORTERO MONOCAPA 15 mm PREPARADO Y APLICADO A MANO CON ACABADO EN PIEDRA PROYECTADA DE GRANITO GRIS SOBRE PARAMENTO VERTICAL EXTERIOR DE HORMIGÓN (FCH)</t>
  </si>
  <si>
    <t xml:space="preserve">Revestimiento con mortero monocapa 15 mm preparado y aplicado manualmente en paramentos verticales exteriores de hormigón; acabado en piedra proyectada con árido de granito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</si>
  <si>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</si>
  <si>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</si>
  <si>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</si>
  <si>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</si>
  <si>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</si>
  <si>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</si>
  <si>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</si>
  <si>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</si>
  <si>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</si>
  <si>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</si>
  <si>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</si>
  <si>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</si>
  <si>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</si>
  <si>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</si>
  <si>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</si>
  <si>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</si>
  <si>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</si>
  <si>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</si>
  <si>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</si>
  <si>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</si>
  <si>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</si>
  <si>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</si>
  <si>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</si>
  <si>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</si>
  <si>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</si>
  <si>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</si>
  <si>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</si>
  <si>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</si>
  <si>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</si>
  <si>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</si>
  <si>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</si>
  <si>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</si>
  <si>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</si>
  <si>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</si>
  <si>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</si>
  <si>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</si>
  <si>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</si>
  <si>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</si>
  <si>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</si>
  <si>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</si>
  <si>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</si>
  <si>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</si>
  <si>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</si>
  <si>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</si>
  <si>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</si>
  <si>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</si>
  <si>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</si>
  <si>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</si>
  <si>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REV42-MNR-004</t>
  </si>
  <si>
    <t xml:space="preserve">REV42-MNR-005</t>
  </si>
  <si>
    <t xml:space="preserve">Partida</t>
  </si>
  <si>
    <t xml:space="preserve">m2</t>
  </si>
  <si>
    <t xml:space="preserve">XXXXXX MORTERO MONOCAPA 15 mm PREPARADO Y APLICADO A MANO CON ACABADO EN PIEDRA PROYECTADA DE MÁRMOL BLANCO SOBRE PARAMENTO HORIZONTAL EXTERIOR DE HORMIGÓN (FCH)</t>
  </si>
  <si>
    <t xml:space="preserve">Revestimiento con mortero monocapa 15 mm preparado y aplicado manualmente en paramentos horizontales exteriores de hormigón; acabado en piedra proyectada con árido de mármol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</si>
  <si>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</si>
  <si>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</si>
  <si>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</si>
  <si>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</si>
  <si>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</si>
  <si>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</si>
  <si>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</si>
  <si>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</si>
  <si>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</si>
  <si>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</si>
  <si>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</si>
  <si>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</si>
  <si>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</si>
  <si>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</si>
  <si>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</si>
  <si>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</si>
  <si>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</si>
  <si>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</si>
  <si>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</si>
  <si>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</si>
  <si>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</si>
  <si>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</si>
  <si>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</si>
  <si>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</si>
  <si>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</si>
  <si>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</si>
  <si>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</si>
  <si>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</si>
  <si>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</si>
  <si>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</si>
  <si>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</si>
  <si>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</si>
  <si>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</si>
  <si>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</si>
  <si>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</si>
  <si>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</si>
  <si>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</si>
  <si>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</si>
  <si>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</si>
  <si>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</si>
  <si>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</si>
  <si>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</si>
  <si>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</si>
  <si>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</si>
  <si>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</si>
  <si>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</si>
  <si>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</si>
  <si>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</si>
  <si>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REV42-MNR-005</t>
  </si>
  <si>
    <t xml:space="preserve">REV42-MNR-006</t>
  </si>
  <si>
    <t xml:space="preserve">Partida</t>
  </si>
  <si>
    <t xml:space="preserve">m2</t>
  </si>
  <si>
    <t xml:space="preserve">XXXXXX MORTERO MONOCAPA 15 mm PREPARADO Y APLICADO A MANO CON ACABADO EN PIEDRA PROYECTADA DE MÁRMOL BLANCO SOBRE PARAMENTO VERTICAL EXTERIOR DE HORMIGÓN (FCH)</t>
  </si>
  <si>
    <t xml:space="preserve">Revestimiento con mortero monocapa 15 mm preparado y aplicado manualmente en paramentos verticales exteriores de hormigón; acabado en piedra proyectada con árido de mármol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</si>
  <si>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</si>
  <si>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</si>
  <si>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</si>
  <si>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</si>
  <si>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</si>
  <si>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</si>
  <si>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</si>
  <si>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</si>
  <si>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</si>
  <si>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</si>
  <si>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</si>
  <si>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</si>
  <si>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</si>
  <si>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</si>
  <si>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</si>
  <si>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</si>
  <si>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</si>
  <si>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</si>
  <si>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</si>
  <si>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</si>
  <si>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</si>
  <si>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</si>
  <si>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</si>
  <si>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</si>
  <si>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</si>
  <si>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</si>
  <si>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</si>
  <si>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</si>
  <si>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</si>
  <si>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</si>
  <si>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</si>
  <si>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</si>
  <si>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</si>
  <si>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</si>
  <si>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</si>
  <si>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</si>
  <si>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</si>
  <si>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</si>
  <si>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</si>
  <si>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</si>
  <si>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</si>
  <si>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</si>
  <si>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</si>
  <si>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</si>
  <si>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</si>
  <si>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</si>
  <si>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</si>
  <si>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</si>
  <si>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REV42-MNR-006</t>
  </si>
  <si>
    <t xml:space="preserve">REV42-MNR-007</t>
  </si>
  <si>
    <t xml:space="preserve">Partida</t>
  </si>
  <si>
    <t xml:space="preserve">m2</t>
  </si>
  <si>
    <t xml:space="preserve">XXXXXX MORTERO MONOCAPA 15 mm PREPARADO Y APLICADO A MANO CON ACABADO EN PIEDRA PROYECTADA DE MÁRMOL GRIS SOBRE PARAMENTO HORIZONTAL EXTERIOR DE HORMIGÓN (FCH)</t>
  </si>
  <si>
    <t xml:space="preserve">Revestimiento con mortero monocapa 15 mm preparado y aplicado manualmente en paramentos horizontales exteriores de hormigón; acabado en piedra proyectada con árido de mármol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</si>
  <si>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</si>
  <si>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</si>
  <si>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</si>
  <si>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</si>
  <si>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</si>
  <si>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</si>
  <si>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</si>
  <si>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</si>
  <si>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</si>
  <si>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</si>
  <si>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</si>
  <si>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</si>
  <si>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</si>
  <si>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</si>
  <si>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</si>
  <si>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</si>
  <si>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</si>
  <si>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</si>
  <si>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</si>
  <si>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</si>
  <si>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</si>
  <si>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</si>
  <si>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</si>
  <si>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</si>
  <si>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</si>
  <si>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</si>
  <si>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</si>
  <si>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</si>
  <si>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</si>
  <si>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</si>
  <si>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</si>
  <si>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</si>
  <si>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</si>
  <si>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</si>
  <si>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</si>
  <si>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</si>
  <si>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</si>
  <si>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</si>
  <si>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</si>
  <si>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</si>
  <si>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</si>
  <si>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</si>
  <si>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</si>
  <si>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</si>
  <si>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</si>
  <si>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</si>
  <si>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</si>
  <si>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</si>
  <si>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REV42-MNR-007</t>
  </si>
  <si>
    <t xml:space="preserve">REV42-MNR-008</t>
  </si>
  <si>
    <t xml:space="preserve">Partida</t>
  </si>
  <si>
    <t xml:space="preserve">m2</t>
  </si>
  <si>
    <t xml:space="preserve">XXXXXX MORTERO MONOCAPA 15 mm PREPARADO Y APLICADO A MANO CON ACABADO EN PIEDRA PROYECTADA DE MÁRMOL GRIS SOBRE PARAMENTO VERTICAL EXTERIOR DE HORMIGÓN (FCH)</t>
  </si>
  <si>
    <t xml:space="preserve">Revestimiento con mortero monocapa 15 mm preparado y aplicado manualmente en paramentos verticales exteriores de hormigón; acabado en piedra proyectada con árido de mármol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</si>
  <si>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</si>
  <si>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</si>
  <si>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</si>
  <si>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</si>
  <si>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</si>
  <si>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</si>
  <si>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</si>
  <si>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</si>
  <si>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</si>
  <si>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</si>
  <si>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</si>
  <si>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</si>
  <si>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</si>
  <si>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</si>
  <si>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</si>
  <si>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</si>
  <si>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</si>
  <si>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</si>
  <si>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</si>
  <si>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</si>
  <si>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</si>
  <si>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</si>
  <si>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</si>
  <si>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</si>
  <si>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</si>
  <si>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</si>
  <si>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</si>
  <si>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</si>
  <si>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</si>
  <si>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</si>
  <si>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</si>
  <si>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</si>
  <si>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</si>
  <si>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</si>
  <si>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</si>
  <si>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</si>
  <si>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</si>
  <si>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</si>
  <si>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</si>
  <si>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</si>
  <si>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</si>
  <si>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</si>
  <si>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</si>
  <si>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</si>
  <si>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</si>
  <si>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</si>
  <si>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</si>
  <si>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</si>
  <si>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REV42-MNR-008</t>
  </si>
  <si>
    <t xml:space="preserve">REV42-MNR-009</t>
  </si>
  <si>
    <t xml:space="preserve">Partida</t>
  </si>
  <si>
    <t xml:space="preserve">m2</t>
  </si>
  <si>
    <t xml:space="preserve">XXXXXX MORTERO MONOCAPA 15 mm PREPARADO Y APLICADO A MANO CON ACABADO RÚSTICO O RASPADO (COLOR BLANCO) SOBRE PARAMENTO HORIZONTAL EXTERIOR DE HORMIGÓN (FCH)</t>
  </si>
  <si>
    <t xml:space="preserve">Revestimiento con mortero monocapa 15 mm preparado y aplicado manualmente en paramentos horizontales exteriores de hormigón; acabado rústico o raspado (color blanco), imprimado y reforzado con malla antiálcalis (FCH)</t>
  </si>
  <si>
    <t xml:space="preserve">ma-lp-00540839</t>
  </si>
  <si>
    <t xml:space="preserve">Material</t>
  </si>
  <si>
    <t xml:space="preserve">bote</t>
  </si>
  <si>
    <t xml:space="preserve">Imprimante promotor de adherencia PROPAM GRIP+ (5 kg/envase).   Ref. lp-00540839</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</si>
  <si>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</si>
  <si>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</si>
  <si>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</si>
  <si>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</si>
  <si>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</si>
  <si>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</si>
  <si>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</si>
  <si>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</si>
  <si>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</si>
  <si>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</si>
  <si>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</si>
  <si>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</si>
  <si>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</si>
  <si>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</si>
  <si>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</si>
  <si>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</si>
  <si>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</si>
  <si>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</si>
  <si>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</si>
  <si>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</si>
  <si>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</si>
  <si>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</si>
  <si>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</si>
  <si>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</si>
  <si>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</si>
  <si>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</si>
  <si>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</si>
  <si>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</si>
  <si>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</si>
  <si>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</si>
  <si>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</si>
  <si>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</si>
  <si>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</si>
  <si>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</si>
  <si>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</si>
  <si>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</si>
  <si>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</si>
  <si>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</si>
  <si>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</si>
  <si>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</si>
  <si>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REV42-MNR-009</t>
  </si>
  <si>
    <t xml:space="preserve">REV42-MNR-010</t>
  </si>
  <si>
    <t xml:space="preserve">Partida</t>
  </si>
  <si>
    <t xml:space="preserve">m2</t>
  </si>
  <si>
    <t xml:space="preserve">XXXXXX MORTERO MONOCAPA 15 mm PREPARADO Y APLICADO A MANO CON ACABADO RÚSTICO O RASPADO (COLOR BLANCO) SOBRE PARAMENTO VERTICAL EXTERIOR DE HORMIGÓN (FCH)</t>
  </si>
  <si>
    <t xml:space="preserve">Revestimiento con mortero monocapa 15 mm preparado y aplicado manualmente en paramentos verticales exteriores de hormigón; acabado rústico o raspado (color blanco), imprimado y reforzado con malla antiálcalis (FCH)</t>
  </si>
  <si>
    <t xml:space="preserve">ma-lp-00540839</t>
  </si>
  <si>
    <t xml:space="preserve">Material</t>
  </si>
  <si>
    <t xml:space="preserve">bote</t>
  </si>
  <si>
    <t xml:space="preserve">Imprimante promotor de adherencia PROPAM GRIP+ (5 kg/envase).   Ref. lp-00540839</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</si>
  <si>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</si>
  <si>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</si>
  <si>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</si>
  <si>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</si>
  <si>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</si>
  <si>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</si>
  <si>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</si>
  <si>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</si>
  <si>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</si>
  <si>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</si>
  <si>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</si>
  <si>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</si>
  <si>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</si>
  <si>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</si>
  <si>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</si>
  <si>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</si>
  <si>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</si>
  <si>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</si>
  <si>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</si>
  <si>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</si>
  <si>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</si>
  <si>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</si>
  <si>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</si>
  <si>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</si>
  <si>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</si>
  <si>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</si>
  <si>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</si>
  <si>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</si>
  <si>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</si>
  <si>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</si>
  <si>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</si>
  <si>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</si>
  <si>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</si>
  <si>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</si>
  <si>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</si>
  <si>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</si>
  <si>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</si>
  <si>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</si>
  <si>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</si>
  <si>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</si>
  <si>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REV42-MNR-010</t>
  </si>
  <si>
    <t xml:space="preserve">REV43-MNR-001</t>
  </si>
  <si>
    <t xml:space="preserve">Partida</t>
  </si>
  <si>
    <t xml:space="preserve">m2</t>
  </si>
  <si>
    <t xml:space="preserve">XXXXXX MORTERO MONOCAPA 15 mm PREPARADO Y APLICADO A MÁQUINA CON ACABADO EN PIEDRA PROYECTADA DE GRANITO BLANCO SOBRE PARAMENTO HORIZONTAL EXTERIOR DE HORMIGÓN (FCH)</t>
  </si>
  <si>
    <t xml:space="preserve">Revestimiento con mortero monocapa 15 mm preparado y aplicado mecánicamente en paramentos horizontales exteriores de hormigón; acabado en piedra proyectada con árido de granito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</si>
  <si>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</si>
  <si>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</si>
  <si>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</si>
  <si>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</si>
  <si>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</si>
  <si>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</si>
  <si>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</si>
  <si>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</si>
  <si>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</si>
  <si>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</si>
  <si>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</si>
  <si>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</si>
  <si>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</si>
  <si>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</si>
  <si>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</si>
  <si>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</si>
  <si>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</si>
  <si>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</si>
  <si>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</si>
  <si>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</si>
  <si>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</si>
  <si>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</si>
  <si>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</si>
  <si>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</si>
  <si>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</si>
  <si>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</si>
  <si>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</si>
  <si>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</si>
  <si>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</si>
  <si>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</si>
  <si>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</si>
  <si>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</si>
  <si>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</si>
  <si>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</si>
  <si>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</si>
  <si>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</si>
  <si>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</si>
  <si>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</si>
  <si>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</si>
  <si>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</si>
  <si>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</si>
  <si>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</si>
  <si>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</si>
  <si>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</si>
  <si>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</si>
  <si>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</si>
  <si>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</si>
  <si>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</si>
  <si>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</si>
  <si>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</si>
  <si>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</si>
  <si>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</si>
  <si>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REV43-MNR-001</t>
  </si>
  <si>
    <t xml:space="preserve">REV43-MNR-002</t>
  </si>
  <si>
    <t xml:space="preserve">Partida</t>
  </si>
  <si>
    <t xml:space="preserve">m2</t>
  </si>
  <si>
    <t xml:space="preserve">XXXXXX MORTERO MONOCAPA 15 mm PREPARADO Y APLICADO A MÁQUINA CON ACABADO EN PIEDRA PROYECTADA DE GRANITO BLANCO SOBRE PARAMENTO VERTICAL EXTERIOR DE HORMIGÓN (FCH)</t>
  </si>
  <si>
    <t xml:space="preserve">Revestimiento con mortero monocapa 15 mm preparado y aplicado mecánicamente en paramentos verticales exteriores de hormigón; acabado en piedra proyectada con árido de granito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</si>
  <si>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</si>
  <si>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</si>
  <si>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</si>
  <si>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</si>
  <si>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</si>
  <si>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</si>
  <si>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</si>
  <si>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</si>
  <si>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ma-lp-00540822</t>
  </si>
  <si>
    <t xml:space="preserve">Material</t>
  </si>
  <si>
    <t xml:space="preserve">saco</t>
  </si>
  <si>
    <t xml:space="preserve">Árido de granito para monocapa blanco (30 kg/saco).   Ref. lp-00540822</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</si>
  <si>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</si>
  <si>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</si>
  <si>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</si>
  <si>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</si>
  <si>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</si>
  <si>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</si>
  <si>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</si>
  <si>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</si>
  <si>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</si>
  <si>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</si>
  <si>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</si>
  <si>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</si>
  <si>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</si>
  <si>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</si>
  <si>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</si>
  <si>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</si>
  <si>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</si>
  <si>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</si>
  <si>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</si>
  <si>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</si>
  <si>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</si>
  <si>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</si>
  <si>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</si>
  <si>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</si>
  <si>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</si>
  <si>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</si>
  <si>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</si>
  <si>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</si>
  <si>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</si>
  <si>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</si>
  <si>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</si>
  <si>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</si>
  <si>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</si>
  <si>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</si>
  <si>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</si>
  <si>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</si>
  <si>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</si>
  <si>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</si>
  <si>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</si>
  <si>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</si>
  <si>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REV43-MNR-002</t>
  </si>
  <si>
    <t xml:space="preserve">REV43-MNR-003</t>
  </si>
  <si>
    <t xml:space="preserve">Partida</t>
  </si>
  <si>
    <t xml:space="preserve">m2</t>
  </si>
  <si>
    <t xml:space="preserve">XXXXXX MORTERO MONOCAPA 15 mm PREPARADO Y APLICADO A MÁQUINA CON ACABADO EN PIEDRA PROYECTADA DE GRANITO GRIS SOBRE PARAMENTO HORIZONTAL EXTERIOR DE HORMIGÓN (FCH)</t>
  </si>
  <si>
    <t xml:space="preserve">Revestimiento con mortero monocapa 15 mm preparado y aplicado mecánicamente en paramentos horizontales exteriores de hormigón; acabado en piedra proyectada con árido de granito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</si>
  <si>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</si>
  <si>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</si>
  <si>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</si>
  <si>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</si>
  <si>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</si>
  <si>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</si>
  <si>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</si>
  <si>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</si>
  <si>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</si>
  <si>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</si>
  <si>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</si>
  <si>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</si>
  <si>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</si>
  <si>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</si>
  <si>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</si>
  <si>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</si>
  <si>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</si>
  <si>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</si>
  <si>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</si>
  <si>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</si>
  <si>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</si>
  <si>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</si>
  <si>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</si>
  <si>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</si>
  <si>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</si>
  <si>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</si>
  <si>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</si>
  <si>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</si>
  <si>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</si>
  <si>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</si>
  <si>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</si>
  <si>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</si>
  <si>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</si>
  <si>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</si>
  <si>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</si>
  <si>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</si>
  <si>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</si>
  <si>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</si>
  <si>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</si>
  <si>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</si>
  <si>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</si>
  <si>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</si>
  <si>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</si>
  <si>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</si>
  <si>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</si>
  <si>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</si>
  <si>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</si>
  <si>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</si>
  <si>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</si>
  <si>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</si>
  <si>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</si>
  <si>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</si>
  <si>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REV43-MNR-003</t>
  </si>
  <si>
    <t xml:space="preserve">REV43-MNR-004</t>
  </si>
  <si>
    <t xml:space="preserve">Partida</t>
  </si>
  <si>
    <t xml:space="preserve">m2</t>
  </si>
  <si>
    <t xml:space="preserve">XXXXXX MORTERO MONOCAPA 15 mm PREPARADO Y APLICADO A MÁQUINA CON ACABADO EN PIEDRA PROYECTADA DE GRANITO GRIS SOBRE PARAMENTO VERTICAL EXTERIOR DE HORMIGÓN (FCH)</t>
  </si>
  <si>
    <t xml:space="preserve">Revestimiento con mortero monocapa 15 mm preparado y aplicado mecánicamente en paramentos verticales exteriores de hormigón; acabado en piedra proyectada con árido de granito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</si>
  <si>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</si>
  <si>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</si>
  <si>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</si>
  <si>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</si>
  <si>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</si>
  <si>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</si>
  <si>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</si>
  <si>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</si>
  <si>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ma-lp-00540823</t>
  </si>
  <si>
    <t xml:space="preserve">Material</t>
  </si>
  <si>
    <t xml:space="preserve">saco</t>
  </si>
  <si>
    <t xml:space="preserve">Árido de granito para monocapa gris (30 kg/saco).   Ref. lp-00540823</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</si>
  <si>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</si>
  <si>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</si>
  <si>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</si>
  <si>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</si>
  <si>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</si>
  <si>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</si>
  <si>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</si>
  <si>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</si>
  <si>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</si>
  <si>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</si>
  <si>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</si>
  <si>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</si>
  <si>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</si>
  <si>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</si>
  <si>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</si>
  <si>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</si>
  <si>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</si>
  <si>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</si>
  <si>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</si>
  <si>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</si>
  <si>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</si>
  <si>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</si>
  <si>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</si>
  <si>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</si>
  <si>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</si>
  <si>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</si>
  <si>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</si>
  <si>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</si>
  <si>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</si>
  <si>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</si>
  <si>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</si>
  <si>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</si>
  <si>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</si>
  <si>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</si>
  <si>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</si>
  <si>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</si>
  <si>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</si>
  <si>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</si>
  <si>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</si>
  <si>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</si>
  <si>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REV43-MNR-004</t>
  </si>
  <si>
    <t xml:space="preserve">REV43-MNR-005</t>
  </si>
  <si>
    <t xml:space="preserve">Partida</t>
  </si>
  <si>
    <t xml:space="preserve">m2</t>
  </si>
  <si>
    <t xml:space="preserve">XXXXXX MORTERO MONOCAPA 15 mm PREPARADO Y APLICADO A MÁQUINA CON ACABADO EN PIEDRA PROYECTADA DE MÁRMOL BLANCO SOBRE PARAMENTO HORIZONTAL EXTERIOR DE HORMIGÓN (FCH)</t>
  </si>
  <si>
    <t xml:space="preserve">Revestimiento con mortero monocapa 15 mm preparado y aplicado mecánicamente en paramentos horizontales exteriores de hormigón; acabado en piedra proyectada con árido de mármol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</si>
  <si>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</si>
  <si>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</si>
  <si>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</si>
  <si>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</si>
  <si>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</si>
  <si>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</si>
  <si>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</si>
  <si>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</si>
  <si>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</si>
  <si>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</si>
  <si>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</si>
  <si>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</si>
  <si>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</si>
  <si>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</si>
  <si>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</si>
  <si>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</si>
  <si>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</si>
  <si>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</si>
  <si>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</si>
  <si>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</si>
  <si>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</si>
  <si>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</si>
  <si>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</si>
  <si>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</si>
  <si>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</si>
  <si>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</si>
  <si>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</si>
  <si>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</si>
  <si>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</si>
  <si>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</si>
  <si>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</si>
  <si>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</si>
  <si>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</si>
  <si>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</si>
  <si>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</si>
  <si>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</si>
  <si>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</si>
  <si>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</si>
  <si>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</si>
  <si>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</si>
  <si>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</si>
  <si>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</si>
  <si>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</si>
  <si>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</si>
  <si>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</si>
  <si>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</si>
  <si>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</si>
  <si>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</si>
  <si>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</si>
  <si>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</si>
  <si>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</si>
  <si>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</si>
  <si>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REV43-MNR-005</t>
  </si>
  <si>
    <t xml:space="preserve">REV43-MNR-006</t>
  </si>
  <si>
    <t xml:space="preserve">Partida</t>
  </si>
  <si>
    <t xml:space="preserve">m2</t>
  </si>
  <si>
    <t xml:space="preserve">XXXXXX MORTERO MONOCAPA 15 mm PREPARADO Y APLICADO A MÁQUINA CON ACABADO EN PIEDRA PROYECTADA DE MÁRMOL BLANCO SOBRE PARAMENTO VERTICAL EXTERIOR DE HORMIGÓN (FCH)</t>
  </si>
  <si>
    <t xml:space="preserve">Revestimiento con mortero monocapa 15 mm preparado y aplicado mecánicamente en paramentos verticales exteriores de hormigón; acabado en piedra proyectada con árido de mármol blanco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</si>
  <si>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</si>
  <si>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</si>
  <si>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</si>
  <si>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</si>
  <si>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ma-lp-00540819</t>
  </si>
  <si>
    <t xml:space="preserve">Material</t>
  </si>
  <si>
    <t xml:space="preserve">saco</t>
  </si>
  <si>
    <t xml:space="preserve">Mortero monocapa PROPAM REVAT PIEDRA; color blanco (25 kg/saco).   Ref. lp-00540819</t>
  </si>
  <si>
    <t xml:space="preserve">ma-lp-00410104</t>
  </si>
  <si>
    <t xml:space="preserve">Material</t>
  </si>
  <si>
    <t xml:space="preserve">saco</t>
  </si>
  <si>
    <t xml:space="preserve">Árido de mármol para monocapa blanco (30 kg/saco).   Ref. lp-00410104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</si>
  <si>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</si>
  <si>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</si>
  <si>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</si>
  <si>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</si>
  <si>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</si>
  <si>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</si>
  <si>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</si>
  <si>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</si>
  <si>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</si>
  <si>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</si>
  <si>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</si>
  <si>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</si>
  <si>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</si>
  <si>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</si>
  <si>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</si>
  <si>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</si>
  <si>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</si>
  <si>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</si>
  <si>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</si>
  <si>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</si>
  <si>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</si>
  <si>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</si>
  <si>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</si>
  <si>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</si>
  <si>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</si>
  <si>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</si>
  <si>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</si>
  <si>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</si>
  <si>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</si>
  <si>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</si>
  <si>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</si>
  <si>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</si>
  <si>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</si>
  <si>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</si>
  <si>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</si>
  <si>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</si>
  <si>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</si>
  <si>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</si>
  <si>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</si>
  <si>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</si>
  <si>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REV43-MNR-006</t>
  </si>
  <si>
    <t xml:space="preserve">REV43-MNR-007</t>
  </si>
  <si>
    <t xml:space="preserve">Partida</t>
  </si>
  <si>
    <t xml:space="preserve">m2</t>
  </si>
  <si>
    <t xml:space="preserve">XXXXXX MORTERO MONOCAPA 15 mm PREPARADO Y APLICADO A MÁQUINA CON ACABADO EN PIEDRA PROYECTADA DE MÁRMOL GRIS SOBRE PARAMENTO HORIZONTAL EXTERIOR DE HORMIGÓN (FCH)</t>
  </si>
  <si>
    <t xml:space="preserve">Revestimiento con mortero monocapa 15 mm preparado y aplicado mecánicamente en paramentos horizontales exteriores de hormigón; acabado en piedra proyectada con árido de mármol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</si>
  <si>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</si>
  <si>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</si>
  <si>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</si>
  <si>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</si>
  <si>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</si>
  <si>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</si>
  <si>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</si>
  <si>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</si>
  <si>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</si>
  <si>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</si>
  <si>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</si>
  <si>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</si>
  <si>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</si>
  <si>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</si>
  <si>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</si>
  <si>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</si>
  <si>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</si>
  <si>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</si>
  <si>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</si>
  <si>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</si>
  <si>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</si>
  <si>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</si>
  <si>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</si>
  <si>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</si>
  <si>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</si>
  <si>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</si>
  <si>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</si>
  <si>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</si>
  <si>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</si>
  <si>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</si>
  <si>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</si>
  <si>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</si>
  <si>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</si>
  <si>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</si>
  <si>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</si>
  <si>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</si>
  <si>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</si>
  <si>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</si>
  <si>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</si>
  <si>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</si>
  <si>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</si>
  <si>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</si>
  <si>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</si>
  <si>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</si>
  <si>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</si>
  <si>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</si>
  <si>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</si>
  <si>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</si>
  <si>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</si>
  <si>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</si>
  <si>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</si>
  <si>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</si>
  <si>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REV43-MNR-007</t>
  </si>
  <si>
    <t xml:space="preserve">REV43-MNR-008</t>
  </si>
  <si>
    <t xml:space="preserve">Partida</t>
  </si>
  <si>
    <t xml:space="preserve">m2</t>
  </si>
  <si>
    <t xml:space="preserve">XXXXXX MORTERO MONOCAPA 15 mm PREPARADO Y APLICADO A MÁQUINA CON ACABADO EN PIEDRA PROYECTADA DE MÁRMOL GRIS SOBRE PARAMENTO VERTICAL EXTERIOR DE HORMIGÓN (FCH)</t>
  </si>
  <si>
    <t xml:space="preserve">Revestimiento con mortero monocapa 15 mm preparado y aplicado mecánicamente en paramentos verticales exteriores de hormigón; acabado en piedra proyectada con árido de mármol gris para monocapa, reforzado con malla antiálcalis (FCH)</t>
  </si>
  <si>
    <t xml:space="preserve">ma-lp-00540839</t>
  </si>
  <si>
    <t xml:space="preserve">Material</t>
  </si>
  <si>
    <t xml:space="preserve">bote</t>
  </si>
  <si>
    <t xml:space="preserve">Imprimante promotor de adherencia PROPAM GRIP+ (5 kg/envase).   Ref. lp-00540839</t>
  </si>
  <si>
    <t xml:space="preserve">ma-lp-00540820</t>
  </si>
  <si>
    <t xml:space="preserve">Material</t>
  </si>
  <si>
    <t xml:space="preserve">saco</t>
  </si>
  <si>
    <t xml:space="preserve">Mortero monocapa PROPAM REVAT PIEDRA; color gris (25 kg/saco).   Ref. lp-00540820</t>
  </si>
  <si>
    <t xml:space="preserve">ma-lp-00388344</t>
  </si>
  <si>
    <t xml:space="preserve">Material</t>
  </si>
  <si>
    <t xml:space="preserve">saco</t>
  </si>
  <si>
    <t xml:space="preserve">Árido de mármol para monocapa gris (30 kg/saco).   Ref. lp-00388344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</si>
  <si>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</si>
  <si>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</si>
  <si>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</si>
  <si>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</si>
  <si>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</si>
  <si>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</si>
  <si>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</si>
  <si>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</si>
  <si>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</si>
  <si>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</si>
  <si>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</si>
  <si>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</si>
  <si>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</si>
  <si>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</si>
  <si>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</si>
  <si>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</si>
  <si>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</si>
  <si>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</si>
  <si>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</si>
  <si>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</si>
  <si>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</si>
  <si>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</si>
  <si>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</si>
  <si>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</si>
  <si>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</si>
  <si>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</si>
  <si>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</si>
  <si>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</si>
  <si>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</si>
  <si>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</si>
  <si>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</si>
  <si>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</si>
  <si>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</si>
  <si>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</si>
  <si>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</si>
  <si>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</si>
  <si>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</si>
  <si>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</si>
  <si>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</si>
  <si>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</si>
  <si>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REV43-MNR-008</t>
  </si>
  <si>
    <t xml:space="preserve">REV43-MNR-009</t>
  </si>
  <si>
    <t xml:space="preserve">Partida</t>
  </si>
  <si>
    <t xml:space="preserve">m2</t>
  </si>
  <si>
    <t xml:space="preserve">XXXXXX MORTERO MONOCAPA 15 mm PREPARADO Y APLICADO A MÁQUINA CON ACABADO RÚSTICO O RASPADO (COLOR BLANCO) SOBRE PARAMENTO HORIZONTAL EXTERIOR DE HORMIGÓN (FCH)</t>
  </si>
  <si>
    <t xml:space="preserve">Revestimiento con mortero monocapa 15 mm preparado y aplicado mecánicamente en paramentos horizontales exteriores de hormigón; acabado rústico o raspado (color blanco), imprimado y reforzado con malla antiálcalis (FCH)</t>
  </si>
  <si>
    <t xml:space="preserve">ma-lp-00540839</t>
  </si>
  <si>
    <t xml:space="preserve">Material</t>
  </si>
  <si>
    <t xml:space="preserve">bote</t>
  </si>
  <si>
    <t xml:space="preserve">Imprimante promotor de adherencia PROPAM GRIP+ (5 kg/envase).   Ref. lp-00540839</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</si>
  <si>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</si>
  <si>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</si>
  <si>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</si>
  <si>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</si>
  <si>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</si>
  <si>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</si>
  <si>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</si>
  <si>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</si>
  <si>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</si>
  <si>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</si>
  <si>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</si>
  <si>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</si>
  <si>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</si>
  <si>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</si>
  <si>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</si>
  <si>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</si>
  <si>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</si>
  <si>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</si>
  <si>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</si>
  <si>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</si>
  <si>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</si>
  <si>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</si>
  <si>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</si>
  <si>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</si>
  <si>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</si>
  <si>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</si>
  <si>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</si>
  <si>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</si>
  <si>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</si>
  <si>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</si>
  <si>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</si>
  <si>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</si>
  <si>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</si>
  <si>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</si>
  <si>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</si>
  <si>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</si>
  <si>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</si>
  <si>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</si>
  <si>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</si>
  <si>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</si>
  <si>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</si>
  <si>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</si>
  <si>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</si>
  <si>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</si>
  <si>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REV43-MNR-009</t>
  </si>
  <si>
    <t xml:space="preserve">REV43-MNR-010</t>
  </si>
  <si>
    <t xml:space="preserve">Partida</t>
  </si>
  <si>
    <t xml:space="preserve">m2</t>
  </si>
  <si>
    <t xml:space="preserve">XXXXXX MORTERO MONOCAPA 15 mm PREPARADO Y APLICADO A MÁQUINA CON ACABADO RÚSTICO O RASPADO (COLOR BLANCO) SOBRE PARAMENTO VERTICAL EXTERIOR DE HORMIGÓN (FCH)</t>
  </si>
  <si>
    <t xml:space="preserve">Revestimiento con mortero monocapa 15 mm preparado y aplicado mecánicamente en paramentos verticales exteriores de hormigón; acabado rústico o raspado (color blanco), imprimado y reforzado con malla antiálcalis (FCH)</t>
  </si>
  <si>
    <t xml:space="preserve">ma-lp-00540839</t>
  </si>
  <si>
    <t xml:space="preserve">Material</t>
  </si>
  <si>
    <t xml:space="preserve">bote</t>
  </si>
  <si>
    <t xml:space="preserve">Imprimante promotor de adherencia PROPAM GRIP+ (5 kg/envase).   Ref. lp-00540839</t>
  </si>
  <si>
    <t xml:space="preserve">ma-lp-00540814</t>
  </si>
  <si>
    <t xml:space="preserve">Material</t>
  </si>
  <si>
    <t xml:space="preserve">saco</t>
  </si>
  <si>
    <t xml:space="preserve">Mortero monocapa PROPAM REVAT RASPADO; color blanco (25 kg/saco).   Ref. lp-00540814</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</si>
  <si>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</si>
  <si>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</si>
  <si>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</si>
  <si>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</si>
  <si>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</si>
  <si>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</si>
  <si>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</si>
  <si>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</si>
  <si>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ma-lp-00018143</t>
  </si>
  <si>
    <t xml:space="preserve">Material</t>
  </si>
  <si>
    <t xml:space="preserve">pza</t>
  </si>
  <si>
    <t xml:space="preserve">Esquinero grande monocapa para carga de 10 mm (2,5 m/pza).   Ref. lp-00018143</t>
  </si>
  <si>
    <t xml:space="preserve">ma-lp-00534910</t>
  </si>
  <si>
    <t xml:space="preserve">Material</t>
  </si>
  <si>
    <t xml:space="preserve">rollo</t>
  </si>
  <si>
    <t xml:space="preserve">Cinta pintor KREPP 29 mm (45 m/rollo).   Ref. lp-00534910</t>
  </si>
  <si>
    <t xml:space="preserve">alq-mezcladora1-s/c</t>
  </si>
  <si>
    <t xml:space="preserve">Maquinaria</t>
  </si>
  <si>
    <t xml:space="preserve">h</t>
  </si>
  <si>
    <t xml:space="preserve">Alquiler de Mezcladora Bombeadora para morteros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</si>
  <si>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</si>
  <si>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</si>
  <si>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</si>
  <si>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</si>
  <si>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</si>
  <si>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</si>
  <si>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</si>
  <si>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</si>
  <si>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</si>
  <si>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</si>
  <si>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</si>
  <si>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</si>
  <si>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</si>
  <si>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</si>
  <si>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</si>
  <si>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</si>
  <si>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</si>
  <si>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</si>
  <si>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</si>
  <si>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</si>
  <si>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REV43-MNR-010</t>
  </si>
  <si>
    <t xml:space="preserve">MORMON</t>
  </si>
  <si>
    <t xml:space="preserve">REV</t>
  </si>
  <si>
    <t xml:space="preserve">SEN</t>
  </si>
  <si>
    <t xml:space="preserve">Capítulo</t>
  </si>
  <si>
    <t xml:space="preserve">Señalización y equipamiento</t>
  </si>
  <si>
    <t xml:space="preserve">SEN-INCENDIO</t>
  </si>
  <si>
    <t xml:space="preserve">Capítulo</t>
  </si>
  <si>
    <t xml:space="preserve">SEÑALIZACIÓN Y EQUIPAMIENTO EN INSTALACIONES ANTI-INCENDIOS</t>
  </si>
  <si>
    <t xml:space="preserve">SEN-INCENDIO-EXTINTORES</t>
  </si>
  <si>
    <t xml:space="preserve">Capítulo</t>
  </si>
  <si>
    <t xml:space="preserve">EXTINTORES DE INCENDIO</t>
  </si>
  <si>
    <t xml:space="preserve">SEN-EXTINTORES-01</t>
  </si>
  <si>
    <t xml:space="preserve">Partida</t>
  </si>
  <si>
    <t xml:space="preserve">und</t>
  </si>
  <si>
    <t xml:space="preserve">S/I EXTINTOR PORTÁTIL 6 KG PQS ABC</t>
  </si>
  <si>
    <t xml:space="preserve">S/I Extintor portátil 6 kg PQS ABC</t>
  </si>
  <si>
    <t xml:space="preserve">ma-lm-90730659</t>
  </si>
  <si>
    <t xml:space="preserve">Material</t>
  </si>
  <si>
    <t xml:space="preserve">und</t>
  </si>
  <si>
    <t xml:space="preserve">Extintor portátil 6 kg PQS ABC alta eficacia 34A 233B C de VALLE-UNIÓN.   Ref. lm-90730659</t>
  </si>
  <si>
    <t xml:space="preserve">ma-bm-25052209</t>
  </si>
  <si>
    <t xml:space="preserve">Material</t>
  </si>
  <si>
    <t xml:space="preserve">pza</t>
  </si>
  <si>
    <t xml:space="preserve">Placa colgador en acero cincado para extintor de pared PQS ABC de 3 a 12 kg.   Ref. bm-25052209</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</si>
  <si>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</si>
  <si>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</si>
  <si>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</si>
  <si>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</si>
  <si>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</si>
  <si>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</si>
  <si>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</si>
  <si>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</si>
  <si>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</si>
  <si>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</si>
  <si>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</si>
  <si>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</si>
  <si>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</si>
  <si>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</si>
  <si>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</si>
  <si>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</si>
  <si>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</si>
  <si>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</si>
  <si>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</si>
  <si>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</si>
  <si>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</si>
  <si>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</si>
  <si>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</si>
  <si>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</si>
  <si>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</si>
  <si>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</si>
  <si>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</si>
  <si>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</si>
  <si>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</si>
  <si>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</si>
  <si>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</si>
  <si>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</si>
  <si>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SEN-EXTINTORES-01</t>
  </si>
  <si>
    <t xml:space="preserve">SEN-INCENDIO-EXTINTORES</t>
  </si>
  <si>
    <t xml:space="preserve">SEN-INCENDIO</t>
  </si>
  <si>
    <t xml:space="preserve">SENSAN</t>
  </si>
  <si>
    <t xml:space="preserve">Partida</t>
  </si>
  <si>
    <t xml:space="preserve">PAR</t>
  </si>
  <si>
    <t xml:space="preserve">APARATOS SANITARIOS</t>
  </si>
  <si>
    <t xml:space="preserve">APARATOS SANITARIOS</t>
  </si>
  <si>
    <t xml:space="preserve">SENSAN01</t>
  </si>
  <si>
    <t xml:space="preserve">Partida</t>
  </si>
  <si>
    <t xml:space="preserve">U</t>
  </si>
  <si>
    <t xml:space="preserve">Taza de inodoro de tanque bajo</t>
  </si>
  <si>
    <t xml:space="preserve">00010169</t>
  </si>
  <si>
    <t xml:space="preserve">Material</t>
  </si>
  <si>
    <t xml:space="preserve">u</t>
  </si>
  <si>
    <t xml:space="preserve">INODORO ROCA MERIDIAN COMPACTO ADOSADO Ref.: 00010169</t>
  </si>
  <si>
    <t xml:space="preserve">00010137</t>
  </si>
  <si>
    <t xml:space="preserve">Material</t>
  </si>
  <si>
    <t xml:space="preserve">u</t>
  </si>
  <si>
    <t xml:space="preserve">TANQUE CISTERNA ROCA MERIDIAN DOBLE DESCARGA PARA INODORO COMPACTO Ref.: 00010137</t>
  </si>
  <si>
    <t xml:space="preserve">00487834</t>
  </si>
  <si>
    <t xml:space="preserve">Material</t>
  </si>
  <si>
    <t xml:space="preserve">u</t>
  </si>
  <si>
    <t xml:space="preserve">TAPA Y ASIENTO SUPRALITÂ® PARA INODORO ROCA MERIDIAN CAÍDA AMORTIGUADA BLANCO Ref.: 00487834</t>
  </si>
  <si>
    <t xml:space="preserve">CODEV</t>
  </si>
  <si>
    <t xml:space="preserve">Material</t>
  </si>
  <si>
    <t xml:space="preserve">u</t>
  </si>
  <si>
    <t xml:space="preserve">Codo para evacuacion vertical</t>
  </si>
  <si>
    <t xml:space="preserve">LLV1</t>
  </si>
  <si>
    <t xml:space="preserve">Material</t>
  </si>
  <si>
    <t xml:space="preserve">u</t>
  </si>
  <si>
    <t xml:space="preserve">Llave de regulacion de 1/2"</t>
  </si>
  <si>
    <t xml:space="preserve">ma-lp-00407540</t>
  </si>
  <si>
    <t xml:space="preserve">Material</t>
  </si>
  <si>
    <t xml:space="preserve">u</t>
  </si>
  <si>
    <t xml:space="preserve">Tubo Flexi-gas extensible para el calentador de 30 cm de longitud y tipo de racorería M-H 1/2" Ref.: 00407540</t>
  </si>
  <si>
    <t xml:space="preserve">m.o.1</t>
  </si>
  <si>
    <t xml:space="preserve">Mano de obra</t>
  </si>
  <si>
    <t xml:space="preserve">h</t>
  </si>
  <si>
    <t xml:space="preserve">Mano de Obra: 1 Oficial de 1ª, 1 Ayudante y 1/2 Ayudante</t>
  </si>
  <si>
    <t xml:space="preserve">SENSAN01</t>
  </si>
  <si>
    <t xml:space="preserve">SENSAN02</t>
  </si>
  <si>
    <t xml:space="preserve">Partida</t>
  </si>
  <si>
    <t xml:space="preserve">U</t>
  </si>
  <si>
    <t xml:space="preserve">MUEBLE BASE PARA LAVABO DE 60CM</t>
  </si>
  <si>
    <t xml:space="preserve">MU60CM</t>
  </si>
  <si>
    <t xml:space="preserve">Material</t>
  </si>
  <si>
    <t xml:space="preserve">u</t>
  </si>
  <si>
    <t xml:space="preserve">Mueble MONTERREY 600 1 cajón metálico BLANCO BRILLO 598 x 270 x 450 mm</t>
  </si>
  <si>
    <t xml:space="preserve">m.o.1</t>
  </si>
  <si>
    <t xml:space="preserve">Mano de obra</t>
  </si>
  <si>
    <t xml:space="preserve">h</t>
  </si>
  <si>
    <t xml:space="preserve">Mano de Obra: 1 Oficial de 1ª, 1 Ayudante y 1/2 Ayudante</t>
  </si>
  <si>
    <t xml:space="preserve">SENSAN02</t>
  </si>
  <si>
    <t xml:space="preserve">SENSAN03</t>
  </si>
  <si>
    <t xml:space="preserve">Partida</t>
  </si>
  <si>
    <t xml:space="preserve">PAR</t>
  </si>
  <si>
    <t xml:space="preserve">CONJUNTO DE MUEBLE DE BAÑO DE 80CM</t>
  </si>
  <si>
    <t xml:space="preserve">NOJA800</t>
  </si>
  <si>
    <t xml:space="preserve">Material</t>
  </si>
  <si>
    <t xml:space="preserve">u</t>
  </si>
  <si>
    <t xml:space="preserve">Conjunto mueble de baño NOJA 800 BLANCO BRILLO+ Lavabo + Espejo + Aplique</t>
  </si>
  <si>
    <t xml:space="preserve">m.o.1</t>
  </si>
  <si>
    <t xml:space="preserve">Mano de obra</t>
  </si>
  <si>
    <t xml:space="preserve">h</t>
  </si>
  <si>
    <t xml:space="preserve">Mano de Obra: 1 Oficial de 1ª, 1 Ayudante y 1/2 Ayudante</t>
  </si>
  <si>
    <t xml:space="preserve">SENSAN03</t>
  </si>
  <si>
    <t xml:space="preserve">SENSAN04</t>
  </si>
  <si>
    <t xml:space="preserve">Partida</t>
  </si>
  <si>
    <t xml:space="preserve">PAR</t>
  </si>
  <si>
    <t xml:space="preserve">PLATO DE DUCHA</t>
  </si>
  <si>
    <t xml:space="preserve">PLADUCH</t>
  </si>
  <si>
    <t xml:space="preserve">Material</t>
  </si>
  <si>
    <t xml:space="preserve">u</t>
  </si>
  <si>
    <t xml:space="preserve">Plato de ducha 0.70x1.70m</t>
  </si>
  <si>
    <t xml:space="preserve">m.o.1</t>
  </si>
  <si>
    <t xml:space="preserve">Mano de obra</t>
  </si>
  <si>
    <t xml:space="preserve">h</t>
  </si>
  <si>
    <t xml:space="preserve">Mano de Obra: 1 Oficial de 1ª, 1 Ayudante y 1/2 Ayudante</t>
  </si>
  <si>
    <t xml:space="preserve">SENSAN04</t>
  </si>
  <si>
    <t xml:space="preserve">SENSAN05</t>
  </si>
  <si>
    <t xml:space="preserve">Partida</t>
  </si>
  <si>
    <t xml:space="preserve">PAR</t>
  </si>
  <si>
    <t xml:space="preserve">GRIFERIA LAVAMANOS</t>
  </si>
  <si>
    <t xml:space="preserve">00151157</t>
  </si>
  <si>
    <t xml:space="preserve">Material</t>
  </si>
  <si>
    <t xml:space="preserve">u</t>
  </si>
  <si>
    <t xml:space="preserve">GRIFO MONOMANDO LAVABO ROCA L20 Ref.: 00151157</t>
  </si>
  <si>
    <t xml:space="preserve">m.o.1</t>
  </si>
  <si>
    <t xml:space="preserve">Mano de obra</t>
  </si>
  <si>
    <t xml:space="preserve">h</t>
  </si>
  <si>
    <t xml:space="preserve">Mano de Obra: 1 Oficial de 1ª, 1 Ayudante y 1/2 Ayudante</t>
  </si>
  <si>
    <t xml:space="preserve">SENSAN05</t>
  </si>
  <si>
    <t xml:space="preserve">SENSAN06</t>
  </si>
  <si>
    <t xml:space="preserve">Partida</t>
  </si>
  <si>
    <t xml:space="preserve">PAR</t>
  </si>
  <si>
    <t xml:space="preserve">GRIFERIA DUCHA</t>
  </si>
  <si>
    <t xml:space="preserve">LEX-TRES</t>
  </si>
  <si>
    <t xml:space="preserve">Material</t>
  </si>
  <si>
    <t xml:space="preserve">u</t>
  </si>
  <si>
    <t xml:space="preserve">CONJUNTO DUCHA MONOMANDO LEX-TRES</t>
  </si>
  <si>
    <t xml:space="preserve">m.o.1</t>
  </si>
  <si>
    <t xml:space="preserve">Mano de obra</t>
  </si>
  <si>
    <t xml:space="preserve">h</t>
  </si>
  <si>
    <t xml:space="preserve">Mano de Obra: 1 Oficial de 1ª, 1 Ayudante y 1/2 Ayudante</t>
  </si>
  <si>
    <t xml:space="preserve">SENSAN06</t>
  </si>
  <si>
    <t xml:space="preserve">SENSAN07</t>
  </si>
  <si>
    <t xml:space="preserve">Partida</t>
  </si>
  <si>
    <t xml:space="preserve">PAR</t>
  </si>
  <si>
    <t xml:space="preserve">MAMPARA FIJA</t>
  </si>
  <si>
    <t xml:space="preserve">MAMP01</t>
  </si>
  <si>
    <t xml:space="preserve">Material</t>
  </si>
  <si>
    <t xml:space="preserve">u</t>
  </si>
  <si>
    <t xml:space="preserve">mampara fija 1.00m</t>
  </si>
  <si>
    <t xml:space="preserve">m.o.1</t>
  </si>
  <si>
    <t xml:space="preserve">Mano de obra</t>
  </si>
  <si>
    <t xml:space="preserve">h</t>
  </si>
  <si>
    <t xml:space="preserve">Mano de Obra: 1 Oficial de 1ª, 1 Ayudante y 1/2 Ayudante</t>
  </si>
  <si>
    <t xml:space="preserve">SENSAN07</t>
  </si>
  <si>
    <t xml:space="preserve">SENSAN08</t>
  </si>
  <si>
    <t xml:space="preserve">Partida</t>
  </si>
  <si>
    <t xml:space="preserve">PAR</t>
  </si>
  <si>
    <t xml:space="preserve">ACCESORIOS DE BAÑO</t>
  </si>
  <si>
    <t xml:space="preserve">00001159</t>
  </si>
  <si>
    <t xml:space="preserve">Material</t>
  </si>
  <si>
    <t xml:space="preserve">u</t>
  </si>
  <si>
    <t xml:space="preserve">HORMIGÓN SECO H-25, 25 KG, PLATAFORMA Ref.: 00001159</t>
  </si>
  <si>
    <t xml:space="preserve">SENSAN08</t>
  </si>
  <si>
    <t xml:space="preserve">SENSAN</t>
  </si>
  <si>
    <t xml:space="preserve">SENCOC</t>
  </si>
  <si>
    <t xml:space="preserve">Partida</t>
  </si>
  <si>
    <t xml:space="preserve">PAR</t>
  </si>
  <si>
    <t xml:space="preserve">COCINAS</t>
  </si>
  <si>
    <t xml:space="preserve">COCINAS</t>
  </si>
  <si>
    <t xml:space="preserve">SENCON01</t>
  </si>
  <si>
    <t xml:space="preserve">Partida</t>
  </si>
  <si>
    <t xml:space="preserve">U</t>
  </si>
  <si>
    <t xml:space="preserve">Suministro y colocacion de Campana extraíble - Teka 40474260 TL 6420, 3 Velocidades</t>
  </si>
  <si>
    <t xml:space="preserve">TEKATL6420</t>
  </si>
  <si>
    <t xml:space="preserve">Material</t>
  </si>
  <si>
    <t xml:space="preserve">u</t>
  </si>
  <si>
    <t xml:space="preserve">Campana TEKA TL6420 60cm Inox 40474260</t>
  </si>
  <si>
    <t xml:space="preserve">m.o.1</t>
  </si>
  <si>
    <t xml:space="preserve">Mano de obra</t>
  </si>
  <si>
    <t xml:space="preserve">h</t>
  </si>
  <si>
    <t xml:space="preserve">Mano de Obra: 1 Oficial de 1ª, 1 Ayudante y 1/2 Ayudante</t>
  </si>
  <si>
    <t xml:space="preserve">SENCON01</t>
  </si>
  <si>
    <t xml:space="preserve">SENCOC</t>
  </si>
  <si>
    <t xml:space="preserve">SEN</t>
  </si>
  <si>
    <t xml:space="preserve">GES</t>
  </si>
  <si>
    <t xml:space="preserve">Capítulo</t>
  </si>
  <si>
    <t xml:space="preserve">Gestión de residuos</t>
  </si>
  <si>
    <t xml:space="preserve">GES001</t>
  </si>
  <si>
    <t xml:space="preserve">Partida</t>
  </si>
  <si>
    <t xml:space="preserve">M3</t>
  </si>
  <si>
    <t xml:space="preserve">GESTION DE RESIDUOS</t>
  </si>
  <si>
    <t xml:space="preserve">Transporte de residuos inertes, producidos en obras de construcción y/o demolición, con contenedor de 1 m³, a vertedero específico, instalación de tratamiento de residuos de construcción y demolición externa a la obra o centro de valorización o eliminación de residuos. Incluso servicio de entrega, alquiler y recogida en obra del contenedor.</t>
  </si>
  <si>
    <t xml:space="preserve">BIGBAG01</t>
  </si>
  <si>
    <t xml:space="preserve">Material</t>
  </si>
  <si>
    <t xml:space="preserve">saco</t>
  </si>
  <si>
    <t xml:space="preserve">Big Bag runa 1m3</t>
  </si>
  <si>
    <t xml:space="preserve">ma-lp-00019688</t>
  </si>
  <si>
    <t xml:space="preserve">Material</t>
  </si>
  <si>
    <t xml:space="preserve">und</t>
  </si>
  <si>
    <t xml:space="preserve">Saco de rafia para materiales y escombros; 50x90 cm    Ref. lp-00019688</t>
  </si>
  <si>
    <t xml:space="preserve">ADM01</t>
  </si>
  <si>
    <t xml:space="preserve">Material</t>
  </si>
  <si>
    <t xml:space="preserve">PAR</t>
  </si>
  <si>
    <t xml:space="preserve">Gestion del certificado de residuos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</si>
  <si>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</si>
  <si>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</si>
  <si>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</si>
  <si>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</si>
  <si>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</si>
  <si>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</si>
  <si>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</si>
  <si>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</si>
  <si>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</si>
  <si>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</si>
  <si>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</si>
  <si>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</si>
  <si>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</si>
  <si>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</si>
  <si>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</si>
  <si>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</si>
  <si>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</si>
  <si>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GES001</t>
  </si>
  <si>
    <t xml:space="preserve">GES002</t>
  </si>
  <si>
    <t xml:space="preserve">Partida</t>
  </si>
  <si>
    <t xml:space="preserve">U</t>
  </si>
  <si>
    <t xml:space="preserve">TRANSPORTE CON CONTENEDOR DE 7M3</t>
  </si>
  <si>
    <t xml:space="preserve">TRANSPORTE CON CONTENEDOR DE 7M3</t>
  </si>
  <si>
    <t xml:space="preserve">BIGBAG02</t>
  </si>
  <si>
    <t xml:space="preserve">Material</t>
  </si>
  <si>
    <t xml:space="preserve">u</t>
  </si>
  <si>
    <t xml:space="preserve">CONTENEDOR RESIDUOS 7M3</t>
  </si>
  <si>
    <t xml:space="preserve">CANON</t>
  </si>
  <si>
    <t xml:space="preserve">Material</t>
  </si>
  <si>
    <t xml:space="preserve">U</t>
  </si>
  <si>
    <t xml:space="preserve">CANON DEPOSICION CONTROLADA</t>
  </si>
  <si>
    <t xml:space="preserve">gest11</t>
  </si>
  <si>
    <t xml:space="preserve">Material</t>
  </si>
  <si>
    <t xml:space="preserve">par</t>
  </si>
  <si>
    <t xml:space="preserve">Gestión del Certificado de Residuos</t>
  </si>
  <si>
    <t xml:space="preserve">GES002</t>
  </si>
  <si>
    <t xml:space="preserve">GES003</t>
  </si>
  <si>
    <t xml:space="preserve">Partida</t>
  </si>
  <si>
    <t xml:space="preserve">PAR</t>
  </si>
  <si>
    <t xml:space="preserve">TRANSPORTE DE RESIDUOS PELIGROSOS</t>
  </si>
  <si>
    <t xml:space="preserve">Transporte de residuos peligrosos producidos en obras de construcción y/o demolición, con contenedor, a vertedero específico, instalación de tratamiento de residuos de construcción y demolición externa a la obra o centro de valorización o eliminación de residuos. Incluso servicio de entrega, alquiler y recogida en obra del contenedor. Teniendo encuenta las medidas para la eliminacion de estos segun la legislacion vigente. El transporte es autorizado por la ARC (Agencia de Residuos de Catalunya). El precio incluye el canon de vertido por entrega de residuos, la manipulacion, protecciones.</t>
  </si>
  <si>
    <t xml:space="preserve">EMB01</t>
  </si>
  <si>
    <t xml:space="preserve">Material</t>
  </si>
  <si>
    <t xml:space="preserve">u</t>
  </si>
  <si>
    <t xml:space="preserve">TROZOS: BIG BAG Dimens: Base 90 x 90 cm x 110 cm de alto</t>
  </si>
  <si>
    <t xml:space="preserve">EMB02</t>
  </si>
  <si>
    <t xml:space="preserve">Material</t>
  </si>
  <si>
    <t xml:space="preserve">u</t>
  </si>
  <si>
    <t xml:space="preserve">PLANCHAS: BIG BAG -Dim: Base 3,25 m x120 cm x35 cm alto</t>
  </si>
  <si>
    <t xml:space="preserve">EMB03</t>
  </si>
  <si>
    <t xml:space="preserve">Material</t>
  </si>
  <si>
    <t xml:space="preserve">u</t>
  </si>
  <si>
    <t xml:space="preserve">TUBOS: BIG BAG -Dim: Base 4.50 m x 60 cm x 60 cm alto</t>
  </si>
  <si>
    <t xml:space="preserve">EMB04</t>
  </si>
  <si>
    <t xml:space="preserve">Material</t>
  </si>
  <si>
    <t xml:space="preserve">u</t>
  </si>
  <si>
    <t xml:space="preserve">DEPOSIT: BIG BAG -Dim: Base1.20m x 1.20 m x 2.00 m alto</t>
  </si>
  <si>
    <t xml:space="preserve">FS</t>
  </si>
  <si>
    <t xml:space="preserve">Material</t>
  </si>
  <si>
    <t xml:space="preserve">u</t>
  </si>
  <si>
    <t xml:space="preserve">GESTION DE RESIDUO - HOJA FS</t>
  </si>
  <si>
    <t xml:space="preserve">TRNS3</t>
  </si>
  <si>
    <t xml:space="preserve">Maquinaria</t>
  </si>
  <si>
    <t xml:space="preserve">u</t>
  </si>
  <si>
    <t xml:space="preserve">TRANSPORTE DE RESIDUOS VERTEDERO AUTORIZADO MALADETA, 19</t>
  </si>
  <si>
    <t xml:space="preserve">RECU</t>
  </si>
  <si>
    <t xml:space="preserve">Material</t>
  </si>
  <si>
    <t xml:space="preserve">U</t>
  </si>
  <si>
    <t xml:space="preserve">RECUPERACION FONDO ECONOMICO</t>
  </si>
  <si>
    <t xml:space="preserve">TAS1</t>
  </si>
  <si>
    <t xml:space="preserve">Material</t>
  </si>
  <si>
    <t xml:space="preserve">U</t>
  </si>
  <si>
    <t xml:space="preserve">TASAS ESTATALES</t>
  </si>
  <si>
    <t xml:space="preserve">RES</t>
  </si>
  <si>
    <t xml:space="preserve">Maquinaria</t>
  </si>
  <si>
    <t xml:space="preserve">u</t>
  </si>
  <si>
    <t xml:space="preserve">(170605) RESIDUO FIBROCEMENTO DE 200 A 999 KG.</t>
  </si>
  <si>
    <t xml:space="preserve">GES003</t>
  </si>
  <si>
    <t xml:space="preserve">GES</t>
  </si>
  <si>
    <t xml:space="preserve">ALB</t>
  </si>
  <si>
    <t xml:space="preserve">Capítulo</t>
  </si>
  <si>
    <t xml:space="preserve">o ALBAÑILERIA</t>
  </si>
  <si>
    <t xml:space="preserve">ALB001</t>
  </si>
  <si>
    <t xml:space="preserve">Partida</t>
  </si>
  <si>
    <t xml:space="preserve">M2</t>
  </si>
  <si>
    <t xml:space="preserve">o BASE PARA PAVIMENTO DE 4CM</t>
  </si>
  <si>
    <t xml:space="preserve">Base para pavimento, de 4 cm de espesor, de mortero de cemento, armado con malla electrosoldada de 20x20 de Ø5. Incluso banda de panel rígido de poliestireno expandido para la preparación de las juntas perimetrales de dilatación.</t>
  </si>
  <si>
    <t xml:space="preserve">ma-lp-00134360</t>
  </si>
  <si>
    <t xml:space="preserve">Material</t>
  </si>
  <si>
    <t xml:space="preserve">m</t>
  </si>
  <si>
    <t xml:space="preserve">Polietireno expandido EPS, de Knauff, para aislamiento térmico. Tira 1000x100 mm. Espesor: 10 mm</t>
  </si>
  <si>
    <t xml:space="preserve">ma-lp-00001603A</t>
  </si>
  <si>
    <t xml:space="preserve">Material</t>
  </si>
  <si>
    <t xml:space="preserve">saco</t>
  </si>
  <si>
    <t xml:space="preserve">Mortero seco para aplicaciones en albañilería M-7,5 VALSEC; color gris (25 kg/saco)   Ref. lp-00001603</t>
  </si>
  <si>
    <t xml:space="preserve">ma-lp-00001179</t>
  </si>
  <si>
    <t xml:space="preserve">Material</t>
  </si>
  <si>
    <t xml:space="preserve">pza</t>
  </si>
  <si>
    <t xml:space="preserve">Mallazo de acero corrugado electrosoldado; cuadrícula de 20x20 cm, diámetro 5 mm (3x2,5 m/pza).   Ref. lp-00001179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</si>
  <si>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</si>
  <si>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</si>
  <si>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</si>
  <si>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</si>
  <si>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</si>
  <si>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</si>
  <si>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</si>
  <si>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</si>
  <si>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</si>
  <si>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</si>
  <si>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</si>
  <si>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</si>
  <si>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</si>
  <si>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</si>
  <si>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</si>
  <si>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</si>
  <si>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</si>
  <si>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</si>
  <si>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</si>
  <si>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</si>
  <si>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ALB001</t>
  </si>
  <si>
    <t xml:space="preserve">ALB03</t>
  </si>
  <si>
    <t xml:space="preserve">Partida</t>
  </si>
  <si>
    <t xml:space="preserve">PAR</t>
  </si>
  <si>
    <t xml:space="preserve">AYUDAS DE ALBAÑILERIA PARA FONTANERIA</t>
  </si>
  <si>
    <t xml:space="preserve">Ayudas de albañilería, necesarias para la correcta ejecución de la instalación de fontanería formada por: tubo de alimentación, montantes, instalación interior, cualquier otro elemento componente de la instalación, accesorios y piezas especiales, con un grado de complejidad medio, en edificio plurifamiliar, incluida p/p de elementos comunes. Incluso material auxiliar para la correcta ejecución de los trabajos.</t>
  </si>
  <si>
    <t xml:space="preserve">m.o.1</t>
  </si>
  <si>
    <t xml:space="preserve">Mano de obra</t>
  </si>
  <si>
    <t xml:space="preserve">h</t>
  </si>
  <si>
    <t xml:space="preserve">Mano de Obra: 1 Oficial de 1ª, 1 Ayudante y 1/2 Ayudante</t>
  </si>
  <si>
    <t xml:space="preserve">ALB03</t>
  </si>
  <si>
    <t xml:space="preserve">ALB03-MNR-01</t>
  </si>
  <si>
    <t xml:space="preserve">Partida</t>
  </si>
  <si>
    <t xml:space="preserve">und</t>
  </si>
  <si>
    <t xml:space="preserve">TRABAJOS COMPLEMENTARIOS DE ALBAÑILERÍA MENOR EN CUARTO DE BATERÍA DE CONTADORES DE AGUA</t>
  </si>
  <si>
    <t xml:space="preserve">Trabajos complementarios de albañilería menor en cuarto de batería de contadores de agua; incluyendo limpieza de cuarteto, reparación de humedades y agujeros con mortero y pintado final (+/- 23 m2).</t>
  </si>
  <si>
    <t xml:space="preserve">ma-lp-00001603A</t>
  </si>
  <si>
    <t xml:space="preserve">Material</t>
  </si>
  <si>
    <t xml:space="preserve">saco</t>
  </si>
  <si>
    <t xml:space="preserve">Mortero seco para aplicaciones en albañilería M-7,5 VALSEC; color gris (25 kg/saco)   Ref. lp-00001603</t>
  </si>
  <si>
    <t xml:space="preserve">ma-lp-00222965</t>
  </si>
  <si>
    <t xml:space="preserve">Material</t>
  </si>
  <si>
    <t xml:space="preserve">und</t>
  </si>
  <si>
    <t xml:space="preserve">Tablero de encofrar tricapa de madera de abeto 1970x500x27 mm   Ref. lp-00222965</t>
  </si>
  <si>
    <t xml:space="preserve">ma-pp-0135001400SJ-G</t>
  </si>
  <si>
    <t xml:space="preserve">Material</t>
  </si>
  <si>
    <t xml:space="preserve">envase</t>
  </si>
  <si>
    <t xml:space="preserve">Imprimante Isacrílico emulsión selladora penetrante de ISAVAL (4 litros/envase).   Ref. pp-0135001400SJ-G</t>
  </si>
  <si>
    <t xml:space="preserve">ma-pp-8436563360107-G</t>
  </si>
  <si>
    <t xml:space="preserve">Material</t>
  </si>
  <si>
    <t xml:space="preserve">envase</t>
  </si>
  <si>
    <t xml:space="preserve">Pintura int&amp;ext PALAS P-500 CUBREX; color blanco (5 litros/envase).   Ref. pp-8436563360107-G</t>
  </si>
  <si>
    <t xml:space="preserve">alq-demoledor-mf-0088381693349</t>
  </si>
  <si>
    <t xml:space="preserve">Partida</t>
  </si>
  <si>
    <t xml:space="preserve">h</t>
  </si>
  <si>
    <t xml:space="preserve">Alquiler de Martillo Demoledor Eléctrico MAKITA HM1812 2000W (32 kg)   Ref. 0088381693349</t>
  </si>
  <si>
    <t xml:space="preserve">mq-mf-0088381693349</t>
  </si>
  <si>
    <t xml:space="preserve">Maquinaria</t>
  </si>
  <si>
    <t xml:space="preserve">und</t>
  </si>
  <si>
    <t xml:space="preserve">Martillo Demoledor Eléctrico MAKITA HM1812 2000W (32 kg)   Ref. 0088381693349</t>
  </si>
  <si>
    <t xml:space="preserve">alq-demoledor-mf-0088381693349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</si>
  <si>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</si>
  <si>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</si>
  <si>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</si>
  <si>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</si>
  <si>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</si>
  <si>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</si>
  <si>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</si>
  <si>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</si>
  <si>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</si>
  <si>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</si>
  <si>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</si>
  <si>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</si>
  <si>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</si>
  <si>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</si>
  <si>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</si>
  <si>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</si>
  <si>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</si>
  <si>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</si>
  <si>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</si>
  <si>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</si>
  <si>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</si>
  <si>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</si>
  <si>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</si>
  <si>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</si>
  <si>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</si>
  <si>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</si>
  <si>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</si>
  <si>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</si>
  <si>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</si>
  <si>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</si>
  <si>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</si>
  <si>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</si>
  <si>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</si>
  <si>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</si>
  <si>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</si>
  <si>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</si>
  <si>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</si>
  <si>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GES02-RAFIA.3.USOS</t>
  </si>
  <si>
    <t xml:space="preserve">Partida</t>
  </si>
  <si>
    <t xml:space="preserve">m3</t>
  </si>
  <si>
    <t xml:space="preserve">GESTIÓN DE RESIDUOS BIG BAG 1 m3 (3 Usos/Saco de Rafia)</t>
  </si>
  <si>
    <t xml:space="preserve">BIGBAG01</t>
  </si>
  <si>
    <t xml:space="preserve">Material</t>
  </si>
  <si>
    <t xml:space="preserve">saco</t>
  </si>
  <si>
    <t xml:space="preserve">Big Bag runa 1m3</t>
  </si>
  <si>
    <t xml:space="preserve">ma-lp-00019688</t>
  </si>
  <si>
    <t xml:space="preserve">Material</t>
  </si>
  <si>
    <t xml:space="preserve">und</t>
  </si>
  <si>
    <t xml:space="preserve">Saco de rafia para materiales y escombros; 50x90 cm    Ref. lp-00019688</t>
  </si>
  <si>
    <t xml:space="preserve">moc-std1-generico</t>
  </si>
  <si>
    <t xml:space="preserve">Partida</t>
  </si>
  <si>
    <t xml:space="preserve">h</t>
  </si>
  <si>
    <t xml:space="preserve">Cuadrilla Std1 - 1 Oficial de 1ª, 1 Ayudante y 1/5 Ayudante</t>
  </si>
  <si>
    <t xml:space="preserve">B%</t>
  </si>
  <si>
    <t xml:space="preserve">%</t>
  </si>
  <si>
    <t xml:space="preserve">Gestión del Certificado de Residuos</t>
  </si>
  <si>
    <t xml:space="preserve">GES02-RAFIA.3.USOS</t>
  </si>
  <si>
    <t xml:space="preserve">ALB03-MNR-01</t>
  </si>
  <si>
    <t xml:space="preserve">ALB04</t>
  </si>
  <si>
    <t xml:space="preserve">Partida</t>
  </si>
  <si>
    <t xml:space="preserve">PAR</t>
  </si>
  <si>
    <t xml:space="preserve">AYUDAS DE ALBAÑILERIA PARA RECIBIR PRECERCO DE PUERTA</t>
  </si>
  <si>
    <t xml:space="preserve">Recibido de precerco a tabique de fábrica, con patillas de anclaje, con mortero de cemento, industrial, después de la ejecución del tabique y con el pavimento colocado, para fijar posteriormente, sobre él, el marco de la carpintería exterior de más de 4 m² de superficie.</t>
  </si>
  <si>
    <t xml:space="preserve">m.o.1</t>
  </si>
  <si>
    <t xml:space="preserve">Mano de obra</t>
  </si>
  <si>
    <t xml:space="preserve">h</t>
  </si>
  <si>
    <t xml:space="preserve">Mano de Obra: 1 Oficial de 1ª, 1 Ayudante y 1/2 Ayudante</t>
  </si>
  <si>
    <t xml:space="preserve">ALB04</t>
  </si>
  <si>
    <t xml:space="preserve">ALB05</t>
  </si>
  <si>
    <t xml:space="preserve">Partida</t>
  </si>
  <si>
    <t xml:space="preserve">PAR</t>
  </si>
  <si>
    <t xml:space="preserve">DINTEL DE VIGUETA DE HORMIGON</t>
  </si>
  <si>
    <t xml:space="preserve">Dintel realizado con una vigueta de hormigón doble T, capa de mortero de cemento, de 2 cm de espesor, con revestimiento; para la formación de dintel en hueco de muro de fábrica para puerta.</t>
  </si>
  <si>
    <t xml:space="preserve">00285537</t>
  </si>
  <si>
    <t xml:space="preserve">Material</t>
  </si>
  <si>
    <t xml:space="preserve">u</t>
  </si>
  <si>
    <t xml:space="preserve">VIGA DE HORMIGÓN DOBLE T 2 M Ref.: 00285537</t>
  </si>
  <si>
    <t xml:space="preserve">00540808</t>
  </si>
  <si>
    <t xml:space="preserve">Material</t>
  </si>
  <si>
    <t xml:space="preserve">kg</t>
  </si>
  <si>
    <t xml:space="preserve">MORTERO REVOCO PROPAM REVOC GRIS 25 KG Ref.: 00540808</t>
  </si>
  <si>
    <t xml:space="preserve">m.o.1</t>
  </si>
  <si>
    <t xml:space="preserve">Mano de obra</t>
  </si>
  <si>
    <t xml:space="preserve">h</t>
  </si>
  <si>
    <t xml:space="preserve">Mano de Obra: 1 Oficial de 1ª, 1 Ayudante y 1/2 Ayudante</t>
  </si>
  <si>
    <t xml:space="preserve">ALB05</t>
  </si>
  <si>
    <t xml:space="preserve">ALB30-MNR</t>
  </si>
  <si>
    <t xml:space="preserve">Partida</t>
  </si>
  <si>
    <t xml:space="preserve">m2</t>
  </si>
  <si>
    <t xml:space="preserve">PREPARACIÓN DE MORTERO BASE PARA VIERTEAGUAS (SEGÚN PERFIL Nº 1 ADJUNTO (JPG))</t>
  </si>
  <si>
    <t xml:space="preserve">PREPARACIÓN DE MORTERO BASE PARA VIERTEAGUAS (SEGÚN PERFIL Nº 1 ADJUNTO (JPG))</t>
  </si>
  <si>
    <t xml:space="preserve">ma-lp-00539164</t>
  </si>
  <si>
    <t xml:space="preserve">Material</t>
  </si>
  <si>
    <t xml:space="preserve">saco</t>
  </si>
  <si>
    <t xml:space="preserve">Mortero seco para aplicaciones en albañilería M-7,5 SAGRASEC; color blanco (25 kg/saco)   Ref. lp-00539164</t>
  </si>
  <si>
    <t xml:space="preserve">ma-lp-00540829</t>
  </si>
  <si>
    <t xml:space="preserve">Material</t>
  </si>
  <si>
    <t xml:space="preserve">saco</t>
  </si>
  <si>
    <t xml:space="preserve">Mortero impermeabilización IMPE FLEX BIGMAT; color gris (15 kg/saco).   Ref. lp-00540829</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</si>
  <si>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</si>
  <si>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</si>
  <si>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</si>
  <si>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</si>
  <si>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</si>
  <si>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</si>
  <si>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</si>
  <si>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</si>
  <si>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</si>
  <si>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</si>
  <si>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</si>
  <si>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</si>
  <si>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</si>
  <si>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</si>
  <si>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</si>
  <si>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</si>
  <si>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</si>
  <si>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</si>
  <si>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</si>
  <si>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</si>
  <si>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</si>
  <si>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</si>
  <si>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</si>
  <si>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</si>
  <si>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ALB30-MNR</t>
  </si>
  <si>
    <t xml:space="preserve">ALB50-MNR-01-10</t>
  </si>
  <si>
    <t xml:space="preserve">Partida</t>
  </si>
  <si>
    <t xml:space="preserve">m2</t>
  </si>
  <si>
    <t xml:space="preserve">CONSTRUCCIÓN DE MURO DE FÁBRICA NO ESTRUCTURAL CON LADRILLO CERÁMICO HUECO</t>
  </si>
  <si>
    <t xml:space="preserve">CONSTRUCCIÓN DE MURO DE FÁBRICA NO ESTRUCTURAL CON LADRILLO CERÁMICO HUECO</t>
  </si>
  <si>
    <t xml:space="preserve">ma-lp-00237643</t>
  </si>
  <si>
    <t xml:space="preserve">Material</t>
  </si>
  <si>
    <t xml:space="preserve">pza</t>
  </si>
  <si>
    <t xml:space="preserve">Ladrillo cerámico hueco supermahón (50x20x7 cm/pza)   Ref. lp-00237643</t>
  </si>
  <si>
    <t xml:space="preserve">ma-lp-00539164</t>
  </si>
  <si>
    <t xml:space="preserve">Material</t>
  </si>
  <si>
    <t xml:space="preserve">saco</t>
  </si>
  <si>
    <t xml:space="preserve">Mortero seco para aplicaciones en albañilería M-7,5 SAGRASEC; color blanco (25 kg/saco)   Ref. lp-00539164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</si>
  <si>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</si>
  <si>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</si>
  <si>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</si>
  <si>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</si>
  <si>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</si>
  <si>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</si>
  <si>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</si>
  <si>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</si>
  <si>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</si>
  <si>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</si>
  <si>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</si>
  <si>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</si>
  <si>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</si>
  <si>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</si>
  <si>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</si>
  <si>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</si>
  <si>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</si>
  <si>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</si>
  <si>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</si>
  <si>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</si>
  <si>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ALB50-MNR-01-10</t>
  </si>
  <si>
    <t xml:space="preserve">ALB50-MNR-02</t>
  </si>
  <si>
    <t xml:space="preserve">Partida</t>
  </si>
  <si>
    <t xml:space="preserve">m2</t>
  </si>
  <si>
    <t xml:space="preserve">CONSTRUCCIÓN DE MURO DE FÁBRICA NO ESTRUCTURAL CON LADRILLO CERÁMICO MACIZO</t>
  </si>
  <si>
    <t xml:space="preserve">CONSTRUCCIÓN DE MURO DE FÁBRICA NO ESTRUCTURAL CON LADRILLO CERÁMICO MACIZO</t>
  </si>
  <si>
    <t xml:space="preserve">PARTIDA.TRANSITORIA</t>
  </si>
  <si>
    <t xml:space="preserve">Partida</t>
  </si>
  <si>
    <t xml:space="preserve">par</t>
  </si>
  <si>
    <t xml:space="preserve">PARTIDA CON CARÁCTER TRANSITORIO</t>
  </si>
  <si>
    <t xml:space="preserve">PARTIDA CON CARÁCTER TRANSITORIO</t>
  </si>
  <si>
    <t xml:space="preserve">alq-martillo-mym-16kg</t>
  </si>
  <si>
    <t xml:space="preserve">Maquinaria</t>
  </si>
  <si>
    <t xml:space="preserve">h</t>
  </si>
  <si>
    <t xml:space="preserve">Alquiler de Martillo Eléctrico Picador-Demoledor 16 kg.   Ref. MÁQUINAS Y MÁQUINAS</t>
  </si>
  <si>
    <t xml:space="preserve">alq-amolador-mym-01</t>
  </si>
  <si>
    <t xml:space="preserve">Maquinaria</t>
  </si>
  <si>
    <t xml:space="preserve">h</t>
  </si>
  <si>
    <t xml:space="preserve">Alquiler de Amolador Radial Eléctrico Portátil Diámetro 115 mm 750 W / 230 V.   Ref. MÁQUINAS Y MÁQUINAS</t>
  </si>
  <si>
    <t xml:space="preserve">ma-lp-00539160</t>
  </si>
  <si>
    <t xml:space="preserve">Material</t>
  </si>
  <si>
    <t xml:space="preserve">disco</t>
  </si>
  <si>
    <t xml:space="preserve">Disco diamante contínuo DHTI de MILWAUKEE 115 mm.   Ref. lp-00539160</t>
  </si>
  <si>
    <t xml:space="preserve">ma-ia-04</t>
  </si>
  <si>
    <t xml:space="preserve">Material</t>
  </si>
  <si>
    <t xml:space="preserve">pza</t>
  </si>
  <si>
    <t xml:space="preserve">Peldaño FIORENTINO T2 INTERAZULEJOS natural extruido antideslizante; espesor 1,6 cm (32,5x33x5 cm/pza).   Ref. ia-04</t>
  </si>
  <si>
    <t xml:space="preserve">ma-lp-00540845</t>
  </si>
  <si>
    <t xml:space="preserve">Material</t>
  </si>
  <si>
    <t xml:space="preserve">saco</t>
  </si>
  <si>
    <t xml:space="preserve">Mortero cola PORCELÁNICO FLEX de BIGMAT; color gris (25 kg/saco).   Ref. lp-00540845</t>
  </si>
  <si>
    <t xml:space="preserve">ma-lp-00540944</t>
  </si>
  <si>
    <t xml:space="preserve">Material</t>
  </si>
  <si>
    <t xml:space="preserve">saco</t>
  </si>
  <si>
    <t xml:space="preserve">Mortero juntas ULTRACOLOR PLUS BIGMAT 2 a 20 mm; color blanco (5 kg/saco).   Ref. lp-00540944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</si>
  <si>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</si>
  <si>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</si>
  <si>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</si>
  <si>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</si>
  <si>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</si>
  <si>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</si>
  <si>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</si>
  <si>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</si>
  <si>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</si>
  <si>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</si>
  <si>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</si>
  <si>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</si>
  <si>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</si>
  <si>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</si>
  <si>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</si>
  <si>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</si>
  <si>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</si>
  <si>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</si>
  <si>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</si>
  <si>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</si>
  <si>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PARTIDA.TRANSITORIA</t>
  </si>
  <si>
    <t xml:space="preserve">REVPAV06</t>
  </si>
  <si>
    <t xml:space="preserve">Partida</t>
  </si>
  <si>
    <t xml:space="preserve">M2</t>
  </si>
  <si>
    <t xml:space="preserve">MORTERO AUTONIVELANTE DE 7CM</t>
  </si>
  <si>
    <t xml:space="preserve">Base para pavimento interior, de 70 mm de espesor, de mortero ligero autonivelante capa gruesa, sobre lámina de aislamiento para formación de suelo flotante. Incluso banda de panel rígido de poliestireno expandido para la preparación de las juntas perimetrales de dilatación.</t>
  </si>
  <si>
    <t xml:space="preserve">ma-lp-00001613</t>
  </si>
  <si>
    <t xml:space="preserve">Material</t>
  </si>
  <si>
    <t xml:space="preserve">u</t>
  </si>
  <si>
    <t xml:space="preserve">Placa poliestireno expandido de 2000x1000 mm.  Ref.: 00001613</t>
  </si>
  <si>
    <t xml:space="preserve">ma-lp-00176176</t>
  </si>
  <si>
    <t xml:space="preserve">Material</t>
  </si>
  <si>
    <t xml:space="preserve">u</t>
  </si>
  <si>
    <t xml:space="preserve">Mortero autonivelante 5 de Valsec de 25kg</t>
  </si>
  <si>
    <t xml:space="preserve">00176176</t>
  </si>
  <si>
    <t xml:space="preserve">Material</t>
  </si>
  <si>
    <t xml:space="preserve">kg</t>
  </si>
  <si>
    <t xml:space="preserve">MORTERO AUTONIVELANTE AUTONIVEL 5 25 KG</t>
  </si>
  <si>
    <t xml:space="preserve">m.o.1</t>
  </si>
  <si>
    <t xml:space="preserve">Mano de obra</t>
  </si>
  <si>
    <t xml:space="preserve">h</t>
  </si>
  <si>
    <t xml:space="preserve">Mano de Obra: 1 Oficial de 1ª, 1 Ayudante y 1/2 Ayudante</t>
  </si>
  <si>
    <t xml:space="preserve">REVPAV06</t>
  </si>
  <si>
    <t xml:space="preserve">REVPREP01-OK</t>
  </si>
  <si>
    <t xml:space="preserve">Partida</t>
  </si>
  <si>
    <t xml:space="preserve">M2</t>
  </si>
  <si>
    <t xml:space="preserve">XXXXXX DECAPADO DE PINTURA EXISTENTE</t>
  </si>
  <si>
    <t xml:space="preserve">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</si>
  <si>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 xml:space="preserve">ma-bc-s/c</t>
  </si>
  <si>
    <t xml:space="preserve">Material</t>
  </si>
  <si>
    <t xml:space="preserve">envase</t>
  </si>
  <si>
    <t xml:space="preserve">Decapante biodegradable KEIM-DISPERSIONSENTFERNER (5 kg/envase)   Ref. S/C</t>
  </si>
  <si>
    <t xml:space="preserve">ma-lp-00539029</t>
  </si>
  <si>
    <t xml:space="preserve">Material</t>
  </si>
  <si>
    <t xml:space="preserve">envase</t>
  </si>
  <si>
    <t xml:space="preserve">Disolvente-Diluente Nitro BIGMAT (1 litro/envase)   Ref. lp-00539029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</si>
  <si>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</si>
  <si>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</si>
  <si>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</si>
  <si>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</si>
  <si>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</si>
  <si>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</si>
  <si>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</si>
  <si>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</si>
  <si>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</si>
  <si>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</si>
  <si>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</si>
  <si>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</si>
  <si>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</si>
  <si>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</si>
  <si>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</si>
  <si>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</si>
  <si>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</si>
  <si>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REVPREP01-OK</t>
  </si>
  <si>
    <t xml:space="preserve">ALB</t>
  </si>
  <si>
    <t xml:space="preserve">ALQUILERES</t>
  </si>
  <si>
    <t xml:space="preserve">Capítulo</t>
  </si>
  <si>
    <t xml:space="preserve">ALQUILERES DE MAQUINARIAS Y EQUIPOS</t>
  </si>
  <si>
    <t xml:space="preserve">alquiler-airless-tq-01</t>
  </si>
  <si>
    <t xml:space="preserve">Maquinaria</t>
  </si>
  <si>
    <t xml:space="preserve">h</t>
  </si>
  <si>
    <t xml:space="preserve">Alquiler de Equipo Airless para Pintura.   Ref. TOOLQUICK</t>
  </si>
  <si>
    <t xml:space="preserve">Alquiler de Equipo Airless para Pintura TOOLQUICK</t>
  </si>
  <si>
    <t xml:space="preserve">Transporte-Mezcladora</t>
  </si>
  <si>
    <t xml:space="preserve">Maquinaria</t>
  </si>
  <si>
    <t xml:space="preserve">par</t>
  </si>
  <si>
    <t xml:space="preserve">Dezplazamiento a obra de máquina mezcladora</t>
  </si>
  <si>
    <t xml:space="preserve">Dezplazamiento a obra de maquina mezcladora</t>
  </si>
  <si>
    <t xml:space="preserve">alq-amolador-mym-01</t>
  </si>
  <si>
    <t xml:space="preserve">Maquinaria</t>
  </si>
  <si>
    <t xml:space="preserve">h</t>
  </si>
  <si>
    <t xml:space="preserve">Alquiler de Amolador Radial Eléctrico Portátil Diámetro 115 mm 750 W / 230 V.   Ref. MÁQUINAS Y MÁQUINAS</t>
  </si>
  <si>
    <t xml:space="preserve">La amoladora eléctrica es una herramienta esencial en diferentes sectores pero podemos destacar el de la construcción, industria y metal. Con una amoladora puedes realizar gran cantidad de trabajos como cortar cerámica, mármol, hierro y aluminio. También se pueden realizar diversos trabajos de pulido y desgaste de material. La principal característica de las amoladoras son su potencia y versatilidad para realizar cortes. Su liviano peso y protecciones hacen que la realización del trabajo sea segura, eficiente y rápida. Existen dos tipos de amoladoras: amoladoras grandes con más potencia y tamaño, dedicadas a trabajos más intensos y mini amoladoras con las que se suele trabajar en espacios reducidos o en altura. Para elegir la amoladora adecuada hemos de valorar ciertos aspectos com el tipo de trabajo y el material. Esto nos determinará el tipo de potencia que necesitamos y el disco de corte que utilizaremos para el trabajo a desarrollar. Al ser herramientas de corte muy potentes es sumamente importante respetar la normativa de seguridad de estas herramientas, como no quitar las protecciones de disco y utilizar guantes y gafas protectoras, entre otras. En Máquinas y Máquinas disponemos de varios modelos de amoladoras con diferentes potencias y toma de aspiración para polvo.</t>
  </si>
  <si>
    <t xml:space="preserve">alq-andamio-0.75x4.20-tq-dia</t>
  </si>
  <si>
    <t xml:space="preserve">Maquinaria</t>
  </si>
  <si>
    <t xml:space="preserve">dia</t>
  </si>
  <si>
    <t xml:space="preserve">Alquiler diario de Torre 4,20 m de Andamio Tubular de Aluminio (Largo x Ancho x Altura de Trabajo: 1,80x0,75 m).   Ref. TOOLQUICK</t>
  </si>
  <si>
    <t xml:space="preserve">Alquiler diario de Torre 4,20 m de Andamio Tubular de Aluminio (Largo x Ancho x Altura de Trabajo: 1,80x0,75 m).   Ref. TOOLQUICK</t>
  </si>
  <si>
    <t xml:space="preserve">alq-andamio-0.75x4.20-tq-hora</t>
  </si>
  <si>
    <t xml:space="preserve">Maquinaria</t>
  </si>
  <si>
    <t xml:space="preserve">h</t>
  </si>
  <si>
    <t xml:space="preserve">Alquiler por hora de Torre 4,20 m de Andamio Tubular de Aluminio (Largo x Ancho x Altura de Trabajo: 1,80x0,75 m).   Ref. TOOLQUICK</t>
  </si>
  <si>
    <t xml:space="preserve">Alquiler por hora de Torre 4,20 m de Andamio Tubular de Aluminio (Largo x Ancho x Altura de Trabajo: 1,80x0,75 m).   Ref. TOOLQUICK</t>
  </si>
  <si>
    <t xml:space="preserve">alq-andamio-1.50x4.20-tq-dia</t>
  </si>
  <si>
    <t xml:space="preserve">Maquinaria</t>
  </si>
  <si>
    <t xml:space="preserve">día</t>
  </si>
  <si>
    <t xml:space="preserve">Alquiler diario de Torre 4,20 m de Andamio Tubular de Aluminio (Largo x Ancho x Altura de Trabajo: 1,80x1,50 m).   Ref. TOOLQUICK</t>
  </si>
  <si>
    <t xml:space="preserve">Alquiler diario de Torre 4,20 m de Andamio Tubular de Aluminio (Largo x Ancho x Altura de Trabajo: 1,80x1,50 m).   Ref. TOOLQUICK</t>
  </si>
  <si>
    <t xml:space="preserve">alq-andamio-1.50x4.20-tq-hora</t>
  </si>
  <si>
    <t xml:space="preserve">Maquinaria</t>
  </si>
  <si>
    <t xml:space="preserve">h</t>
  </si>
  <si>
    <t xml:space="preserve">Alquiler por hora de Torre 4,20 m de Andamio Tubular de Aluminio (Largo x Ancho x Altura de Trabajo: 1,80x1,50 m).   Ref. TOOLQUICK</t>
  </si>
  <si>
    <t xml:space="preserve">Alquiler por hora de Torre 4,20 m de Andamio Tubular de Aluminio (Largo x Ancho x Altura de Trabajo: 1,80x1,50 m).   Ref. TOOLQUICK</t>
  </si>
  <si>
    <t xml:space="preserve">alq-mezcladora1-s/c</t>
  </si>
  <si>
    <t xml:space="preserve">Maquinaria</t>
  </si>
  <si>
    <t xml:space="preserve">h</t>
  </si>
  <si>
    <t xml:space="preserve">Alquiler de Mezcladora Bombeadora para morteros</t>
  </si>
  <si>
    <t xml:space="preserve">TARIFA DE ALQUILER     90€ + ((115+174)/141.19) = 92€ por dia /8horas = 11.5€/hora
PRECIO DIA (Mínimo 2 días ) ……………………………………………………………………………………… 90 €
PRECIO SEMANAL ……………………...………………………………………………………………………..... 400 €
PRECIO MENSUAL ………………………..……………………………..………………….…………………….1.300 €
PRECIO HORA TECNICO (APOYO TECNICO)……… ………………………………………….………….. 36 €
CAMISA Y ROTOR D5-2,5 ECO……………………………………………………………………………… 101,66 €
DESPLAZAMIENTO A OBRA (dentro zona 30km. de Ubip) …………………………..……………….…….. 100 €
Desplazamiento fuera de las zonas anteriores:
PRECIO TECNICO PARA DESPLAZAMIENTO Y PUESTA EN MARCHA ……………………………… 36.00 €/Hora
PRECIO KM. DESPLAZAMIENTO ……………………………………………………………..…………… 0,60€/km.
GASTOS DE PEAJES, DIETAS, ETC. ……………………………………………………………………… No incluidos.</t>
  </si>
  <si>
    <t xml:space="preserve">alq-andamio/m2-fijo</t>
  </si>
  <si>
    <t xml:space="preserve">Maquinaria</t>
  </si>
  <si>
    <t xml:space="preserve">m2</t>
  </si>
  <si>
    <t xml:space="preserve">Alquiler de Sistema de Andamios Tubulares Metálicos Fijos con Bases Regulables; incluye Montaje, Desmontaje y Transportes Asociados.</t>
  </si>
  <si>
    <t xml:space="preserve">Alquiler de Andamios Tubulares Metálicos Fijos formados por Premarcos de 70 cm y altura &lt;= 200 cm, con Bases Regulables, Tubos Travesaños, Tubos de Trabamiento, Plataformas de Trabajo con ancho mínimo de 60 cm, Escaleras de Acceso, Barandillas Laterales, Zócalos; incluye Montaje, Desmontaje y Transportes asociados.</t>
  </si>
  <si>
    <t xml:space="preserve">alq-atornillador.bateria-mym-01</t>
  </si>
  <si>
    <t xml:space="preserve">Maquinaria</t>
  </si>
  <si>
    <t xml:space="preserve">h</t>
  </si>
  <si>
    <t xml:space="preserve">Alquiler de Atornillador a Batería 18 V MAKITA.   Ref. MÁQUINAS Y MÁQUINAS</t>
  </si>
  <si>
    <t xml:space="preserve">Alquiler de Atornillador a Batería 18 V MAKITA</t>
  </si>
  <si>
    <t xml:space="preserve">alq-chorreadora-mym-01</t>
  </si>
  <si>
    <t xml:space="preserve">Maquinaria</t>
  </si>
  <si>
    <t xml:space="preserve">h</t>
  </si>
  <si>
    <t xml:space="preserve">Alquiler de Equipo Arenador Chorro de Arena.   Ref. MÁQUINAS Y MÁQUINAS</t>
  </si>
  <si>
    <t xml:space="preserve">Presión Máxima de Trabajo 12 bar (174 PSI). Capacidad Depósito de Abrasivo 115 litros (diámetro 90 cm; altura 130 cm).
El sistema profesional de arenado de chorro de arena está hoy en día recomendado como el mejor sistema para preparar las superficies para los sucesivos tratamientos de protección.
Utilizando el abrasivo apropiado sobre la superficie a tratar se elimina todo residuo de óxido, pintura e incrustaciones consiguiendo de esta forma restaurar la superficie a su estado original, asegurando en los sucesivos tratamientos una mayor duración.
Consumos: Arena de Sílice: 300 kg/h; Granalla Metálica: 700 kg/h; Corindón: 355 kg/h).
Equipamiento incluido: Casco de protección con mandril tipo M0-6; Kit de respiración; Manguera respiración atóxica 10 m; Manguera para abrasivo; Boquilla UG1 con diámetro 6 mm.
Equipo no incluido: Compresor de aire; Mando a distancia.
Incluye filtro secador de agua para aire comprimido.</t>
  </si>
  <si>
    <t xml:space="preserve">alq-compresor-ra-01</t>
  </si>
  <si>
    <t xml:space="preserve">Maquinaria</t>
  </si>
  <si>
    <t xml:space="preserve">h</t>
  </si>
  <si>
    <t xml:space="preserve">Alquiler de Compresor Móvil 4litros/8kg presión, Caudal 4.000 LPM, Peso 1.025 kg.   Ref. RENTAIRE</t>
  </si>
  <si>
    <t xml:space="preserve">Alquiler de Compresor Móvil 4litros/8kg presión, Caudal 4.000 LPM, Peso 1.025 kg</t>
  </si>
  <si>
    <t xml:space="preserve">alq-cortadora.azulejos-tq-130</t>
  </si>
  <si>
    <t xml:space="preserve">Maquinaria</t>
  </si>
  <si>
    <t xml:space="preserve">h</t>
  </si>
  <si>
    <t xml:space="preserve">Alquiler de Cortadora Manual de Azulejos (ancho 130 cm).   Ref. TOOLQUICK</t>
  </si>
  <si>
    <t xml:space="preserve">Alquiler de Cortadora Manual de Azulejos (ancho 130 cm).   Ref. TOOLQUICK</t>
  </si>
  <si>
    <t xml:space="preserve">alq-cortadora.azulejos-tq-70</t>
  </si>
  <si>
    <t xml:space="preserve">Maquinaria</t>
  </si>
  <si>
    <t xml:space="preserve">h</t>
  </si>
  <si>
    <t xml:space="preserve">Alquiler de Cortadora Manual de Azulejos (ancho 71 cm).   Ref. TOOLQUICK</t>
  </si>
  <si>
    <t xml:space="preserve">Alquiler de Cortadora Manual de Azulejos (ancho 71 cm).   Ref. TOOLQUICK</t>
  </si>
  <si>
    <t xml:space="preserve">alq-decapadora-tq-01</t>
  </si>
  <si>
    <t xml:space="preserve">Maquinaria</t>
  </si>
  <si>
    <t xml:space="preserve">h</t>
  </si>
  <si>
    <t xml:space="preserve">Alquiler de Decapadora de Pintura 1.600 W.   Ref. TOOLQUICK</t>
  </si>
  <si>
    <t xml:space="preserve">Decapadora de Pintura con Potencia 1.600 W; Temperatura Máxima:500 ºC; Volumen de Aire: 350 a 500 litros/minuto.  Ref. TOOLQUICK</t>
  </si>
  <si>
    <t xml:space="preserve">alq-demoledor-lp-00254673</t>
  </si>
  <si>
    <t xml:space="preserve">Partida</t>
  </si>
  <si>
    <t xml:space="preserve">h</t>
  </si>
  <si>
    <t xml:space="preserve">Alquiler de Martillo Demoledor BOSCH GSH 16-30 1750 W (16,9 kg)   Ref. 00254673</t>
  </si>
  <si>
    <t xml:space="preserve">Alquiler de Martillo Demoledor BOSCH GSH 16-30 1750 W (16,9 kg)   Ref. 00254673</t>
  </si>
  <si>
    <t xml:space="preserve">mq-lp-00254673</t>
  </si>
  <si>
    <t xml:space="preserve">Maquinaria</t>
  </si>
  <si>
    <t xml:space="preserve">und</t>
  </si>
  <si>
    <t xml:space="preserve">Martillo Demoledor Eléctrico BOSCH GSH 16-30 1750 W (16,9 kg)   Ref. 00254673</t>
  </si>
  <si>
    <t xml:space="preserve">alq-demoledor-lp-00254673</t>
  </si>
  <si>
    <t xml:space="preserve">alq-demoledor-mf-0088381693349</t>
  </si>
  <si>
    <t xml:space="preserve">Partida</t>
  </si>
  <si>
    <t xml:space="preserve">h</t>
  </si>
  <si>
    <t xml:space="preserve">Alquiler de Martillo Demoledor Eléctrico MAKITA HM1812 2000W (32 kg)   Ref. 0088381693349</t>
  </si>
  <si>
    <t xml:space="preserve">Martillo Demoledor para utilizar en pavimentos, cimientos y demolición de hormigón. Cuenta con motor potente de 2.000 W y gran potencia de impacto único de 72,8 J. Su peso sin cable es de 32 kg; y sus medidas son: 21 cm de ancho x 60,8 cm de alto x 84,3 cm de fondo. Cuenta con carro de transporte D-54972 y cincel punta autoafilable de 400mm.   Ref. 0088381693349</t>
  </si>
  <si>
    <t xml:space="preserve">mq-mf-0088381693349</t>
  </si>
  <si>
    <t xml:space="preserve">Maquinaria</t>
  </si>
  <si>
    <t xml:space="preserve">und</t>
  </si>
  <si>
    <t xml:space="preserve">Martillo Demoledor Eléctrico MAKITA HM1812 2000W (32 kg)   Ref. 0088381693349</t>
  </si>
  <si>
    <t xml:space="preserve">alq-demoledor-mf-0088381693349</t>
  </si>
  <si>
    <t xml:space="preserve">alq-dobladora.ferralla-gm-01</t>
  </si>
  <si>
    <t xml:space="preserve">Maquinaria</t>
  </si>
  <si>
    <t xml:space="preserve">h</t>
  </si>
  <si>
    <t xml:space="preserve">Alquiler de Dobladora Ferralla Portátil 500 W / 220 V / 17 kg.</t>
  </si>
  <si>
    <t xml:space="preserve">Alquiler de Dobladora Ferralla Portátil  500 W / 220 V / 17 kg. Diseñada para cortar y doblar varillas hasta 16 mm a pié de obra; incluye control electrónico selector de ángulos (45º; 90º; 135º y 180º).</t>
  </si>
  <si>
    <t xml:space="preserve">alq-grua.autopropulsada-60ton</t>
  </si>
  <si>
    <t xml:space="preserve">Maquinaria</t>
  </si>
  <si>
    <t xml:space="preserve">h</t>
  </si>
  <si>
    <t xml:space="preserve">Grúa Autopropulsada de Brazo Telescópico con Capacidad de Elevación de 60 ton y 58 m de altura máxima de trabajo (Referencia: Generador de Precios)</t>
  </si>
  <si>
    <t xml:space="preserve">Grúa Autopropulsada de Brazo Telescópico con Capacidad de Elevación de 60 ton y 58 m de altura máxima de trabajo (Referencia: Generador de Precios)</t>
  </si>
  <si>
    <t xml:space="preserve">alq-hidrolimpiadora-ra-01</t>
  </si>
  <si>
    <t xml:space="preserve">Maquinaria</t>
  </si>
  <si>
    <t xml:space="preserve">h</t>
  </si>
  <si>
    <t xml:space="preserve">Alquiler de HidroLimpiadora Eléctrica 200 bares.   Ref. RENTAIRE</t>
  </si>
  <si>
    <t xml:space="preserve">Alquiler de HidroLimpiadora Eléctrica 200 bares. Diseñada para trabajos exigentes. Cuenta con manguera de alta presión de 10 metros.</t>
  </si>
  <si>
    <t xml:space="preserve">alq-inyector.mortero.manual-01</t>
  </si>
  <si>
    <t xml:space="preserve">Maquinaria</t>
  </si>
  <si>
    <t xml:space="preserve">m3</t>
  </si>
  <si>
    <t xml:space="preserve">Alquiler de Equipo de Inyección Manual de Morteros Fluidos y Resinas</t>
  </si>
  <si>
    <t xml:space="preserve">Alquiler de Equipo de Inyección Manual de Morteros Fluidos y Resinas (incluye boquilla de inyección)
Referencia Generador de Precios de Arquímedes: (aprox. 15 Euros/m3)</t>
  </si>
  <si>
    <t xml:space="preserve">alq-lijadora-tq-pared-01</t>
  </si>
  <si>
    <t xml:space="preserve">Maquinaria</t>
  </si>
  <si>
    <t xml:space="preserve">h</t>
  </si>
  <si>
    <t xml:space="preserve">Alquiler de Lijadora Eléctrica de Pared a Disco de Cuello Corto.   Ref. TOOLQUICK</t>
  </si>
  <si>
    <t xml:space="preserve">Alquiler de Lijadora Eléctrica de Pared a Disco de Cuello Corte (1.200 W; Disco 225 mm; Velocaidad en Vacío 650 a 1.300/min; Peso 3,1 kg)</t>
  </si>
  <si>
    <t xml:space="preserve">alq-lijadora.banda-mym-01</t>
  </si>
  <si>
    <t xml:space="preserve">Maquinaria</t>
  </si>
  <si>
    <t xml:space="preserve">h</t>
  </si>
  <si>
    <t xml:space="preserve">Alquiler de Lijadora Eléctrica de Banda 100x610 mm 1.200 W</t>
  </si>
  <si>
    <t xml:space="preserve">Alquiler de Lijadora Eléctrica de Banda 100x610 mm 1.200 W.   Ref. MÁQUINAS Y MÁQUINAS</t>
  </si>
  <si>
    <t xml:space="preserve">alq-martillo-mym-16kg</t>
  </si>
  <si>
    <t xml:space="preserve">Maquinaria</t>
  </si>
  <si>
    <t xml:space="preserve">h</t>
  </si>
  <si>
    <t xml:space="preserve">Alquiler de Martillo Eléctrico Picador-Demoledor 16 kg.   Ref. MÁQUINAS Y MÁQUINAS</t>
  </si>
  <si>
    <t xml:space="preserve">Alquiler Martillo Eléctrico Picador-Demoledor 16 kg - 230 V.
HITACHI 1.240 W / MAKITA 1.600 W</t>
  </si>
  <si>
    <t xml:space="preserve">alq-martillo-mym-32kg</t>
  </si>
  <si>
    <t xml:space="preserve">Maquinaria</t>
  </si>
  <si>
    <t xml:space="preserve">h</t>
  </si>
  <si>
    <t xml:space="preserve">Alquiler de Martillo Eléctrico Picador-Demoledor 32 kg.   Ref. MÁQUINAS Y MÁQUINAS</t>
  </si>
  <si>
    <t xml:space="preserve">Alquiler Martillo Eléctrico Picador-Demoledor 32 kg - 230 V.
HITACHI 1.400 W / MAKITA 2.000 W</t>
  </si>
  <si>
    <t xml:space="preserve">alq-martillo.neum.picador-ra-01</t>
  </si>
  <si>
    <t xml:space="preserve">Maquinaria</t>
  </si>
  <si>
    <t xml:space="preserve">h</t>
  </si>
  <si>
    <t xml:space="preserve">Alquiler de Martillo Neumático Picador 10 kg (Longitud 490 mm; Consumo de Aire: 0,95 m3).   Ref. RENTAIRE</t>
  </si>
  <si>
    <t xml:space="preserve">Alquiler de Martillo Neumático Picador 10 kg (Longitud 490 mm; Consumo de Aire: 0,95 m3)</t>
  </si>
  <si>
    <t xml:space="preserve">alq-martillo.neum.rompedor-ra-01</t>
  </si>
  <si>
    <t xml:space="preserve">Maquinaria</t>
  </si>
  <si>
    <t xml:space="preserve">h</t>
  </si>
  <si>
    <t xml:space="preserve">Alquiler de Martillo Neumático Rompedor 24 kg (Longitud 686 mm; Consumo de Aire: 1,25 m3).   Ref. RENTAIRE</t>
  </si>
  <si>
    <t xml:space="preserve">Alquiler de Martillo Neumático Rompedor 24 kg (Longitud 686 mm; Consumo de Aire: 1,25 m3)</t>
  </si>
  <si>
    <t xml:space="preserve">alq-martillo.perforador-mym-40mm</t>
  </si>
  <si>
    <t xml:space="preserve">Maquinaria</t>
  </si>
  <si>
    <t xml:space="preserve">h</t>
  </si>
  <si>
    <t xml:space="preserve">Alquiler de Martillo Perforador 40 mm.   Ref. MÁQUINAS Y MÁQUINAS</t>
  </si>
  <si>
    <t xml:space="preserve">Alquiler de Martillo Perforador 40 mm.   Ref. MÁQUINAS Y MÁQUINAS
Equipo: Marca MAKITA; 1.100 W; 230 V. Precios Asumido por Semana (incluyendo Transporte).</t>
  </si>
  <si>
    <t xml:space="preserve">alq-pison.compactador-mym-68kg</t>
  </si>
  <si>
    <t xml:space="preserve">Maquinaria</t>
  </si>
  <si>
    <t xml:space="preserve">h</t>
  </si>
  <si>
    <t xml:space="preserve">Alquiler de Pisón-Compactador - Motor 3HO 68 kg.   Ref. MÁQUINAS Y MÁQUINAS</t>
  </si>
  <si>
    <t xml:space="preserve">Alquiler de Pisón-Compactador - Motor 3HO 68 kg.   Ref. MÁQUINAS Y MÁQUINAS</t>
  </si>
  <si>
    <t xml:space="preserve">alq-polipasto.500x30-mym-01</t>
  </si>
  <si>
    <t xml:space="preserve">Maquinaria</t>
  </si>
  <si>
    <t xml:space="preserve">h</t>
  </si>
  <si>
    <t xml:space="preserve">Alquiler de Elevador Polipasto Eléctrico 500 kg 30 m 400 V.   Ref. MÁQUINAS Y MÁQUINAS</t>
  </si>
  <si>
    <t xml:space="preserve">Alquiler de Elevador Polipasto Eléctrico 500 kg 30 m 400 V.   Ref. MÁQUINAS Y MÁQUINAS</t>
  </si>
  <si>
    <t xml:space="preserve">alq-rozadora-tq-01</t>
  </si>
  <si>
    <t xml:space="preserve">Maquinaria</t>
  </si>
  <si>
    <t xml:space="preserve">h</t>
  </si>
  <si>
    <t xml:space="preserve">Alquiler de Rozadora de Disco 150 mm.   Ref. TOOLQUICK</t>
  </si>
  <si>
    <t xml:space="preserve">Máquina especialmente útil en la formación de regatas o rozas para la instalación de tuberías en paredes y/o suelos. El alquiler incluye 2 unidades de disco.</t>
  </si>
  <si>
    <t xml:space="preserve">alq-sierra.circular-tq-01</t>
  </si>
  <si>
    <t xml:space="preserve">Maquinaria</t>
  </si>
  <si>
    <t xml:space="preserve">h</t>
  </si>
  <si>
    <t xml:space="preserve">Alquiler de Sierra Circular Eléctrica Portátil.   Ref. TOOLQUICK</t>
  </si>
  <si>
    <t xml:space="preserve">Alquiler de Sierra Circular Eléctrica Portátil.   Ref. TOOLQUICK</t>
  </si>
  <si>
    <t xml:space="preserve">alq-soldadora-lp-00559161</t>
  </si>
  <si>
    <t xml:space="preserve">Partida</t>
  </si>
  <si>
    <t xml:space="preserve">h</t>
  </si>
  <si>
    <t xml:space="preserve">Alquiler de Soldadora Eléctrica CEVIK PRO CE-TITANIUM201 (200 A)   Ref. 00559161</t>
  </si>
  <si>
    <t xml:space="preserve">Alquiler de Soldadora Eléctrica CEVIK PRO CE-TITANIUM201 (200 A)   Ref. 00559161</t>
  </si>
  <si>
    <t xml:space="preserve">mq-lp-00559161</t>
  </si>
  <si>
    <t xml:space="preserve">Maquinaria</t>
  </si>
  <si>
    <t xml:space="preserve">und</t>
  </si>
  <si>
    <t xml:space="preserve">Soldadora Eléctrica CEVIK PRO CE-TITANIUM201 (200 A)   Ref. 00559161</t>
  </si>
  <si>
    <t xml:space="preserve">alq-soldadora-lp-00559161</t>
  </si>
  <si>
    <t xml:space="preserve">alq-soldadora-ox.ac-mym-01</t>
  </si>
  <si>
    <t xml:space="preserve">Maquinaria</t>
  </si>
  <si>
    <t xml:space="preserve">h</t>
  </si>
  <si>
    <t xml:space="preserve">Alquiler de Equipo Portátil Soldadura Oxígeno-Acetileno.   Ref. MÁQUINAS Y MÁQUINAS</t>
  </si>
  <si>
    <t xml:space="preserve">Alquiler Equipo Portátil Soldadura Oxígeno-Acetileno</t>
  </si>
  <si>
    <t xml:space="preserve">alq-soldadora.inox-mym-01</t>
  </si>
  <si>
    <t xml:space="preserve">Maquinaria</t>
  </si>
  <si>
    <t xml:space="preserve">h</t>
  </si>
  <si>
    <t xml:space="preserve">Alquiler de Soldadora Inox. TIG 160 A / 230 V.   Ref. MÁQUINAS Y MÁQUINAS</t>
  </si>
  <si>
    <t xml:space="preserve">Alquiler de Soldadora Inox. TIG 160 A / 230 V</t>
  </si>
  <si>
    <t xml:space="preserve">alq-soplador-fm-01</t>
  </si>
  <si>
    <t xml:space="preserve">Maquinaria</t>
  </si>
  <si>
    <t xml:space="preserve">h</t>
  </si>
  <si>
    <t xml:space="preserve">Alquiler de Soplador Eléctrico Portátil de Aire STIHL BR 600 MAGNUM</t>
  </si>
  <si>
    <t xml:space="preserve">Soplador Eléctrico Portátil de Aire STIHL BR 600 MAGNUM. Peso 10,2 kg; Caudal de Aire: 1.720 m3/hora; Velocidad: 1.150 m/seg.</t>
  </si>
  <si>
    <t xml:space="preserve">alq-soplete-mym-01</t>
  </si>
  <si>
    <t xml:space="preserve">Maquinaria</t>
  </si>
  <si>
    <t xml:space="preserve">h</t>
  </si>
  <si>
    <t xml:space="preserve">Alquiler de Equipo de Oxi-Corte.   Ref. MÁQUINAS Y MÁQUINAS</t>
  </si>
  <si>
    <t xml:space="preserve">Alquiler de Soplete de Corte Oxígeno-Acetileno.   Ref. MÁQUINAS Y MÁQUINAS</t>
  </si>
  <si>
    <t xml:space="preserve">alq-taladro-lp-00459501</t>
  </si>
  <si>
    <t xml:space="preserve">Partida</t>
  </si>
  <si>
    <t xml:space="preserve">h</t>
  </si>
  <si>
    <t xml:space="preserve">Alquiler de Taladro Percutor BOSCH Modelo GSB-20-2 850 W   Ref. 00469501</t>
  </si>
  <si>
    <t xml:space="preserve">Alquiler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</si>
  <si>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</si>
  <si>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</si>
  <si>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</si>
  <si>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</si>
  <si>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</si>
  <si>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alq-taladro-tq-01</t>
  </si>
  <si>
    <t xml:space="preserve">Maquinaria</t>
  </si>
  <si>
    <t xml:space="preserve">h</t>
  </si>
  <si>
    <t xml:space="preserve">Alquiler de Taladro Percutor (Cable-Batería).   Ref. TOOLQUICK</t>
  </si>
  <si>
    <t xml:space="preserve">Alquiler de Taladro Percutor (Cable-Batería) TOOLQUICK</t>
  </si>
  <si>
    <t xml:space="preserve">alq-tijera.electrica-ra-6m</t>
  </si>
  <si>
    <t xml:space="preserve">Maquinaria</t>
  </si>
  <si>
    <t xml:space="preserve">día</t>
  </si>
  <si>
    <t xml:space="preserve">Alquiler de Plataforma Tijera Eléctrica 6 m.   Ref. RENTAIRE</t>
  </si>
  <si>
    <t xml:space="preserve">lquiler de Plataforma Tijera Eléctrica 6 m.   Ref. RENTAIRE
Características técnicas: Marca: LGMG, Modelo: SS0407ER:
• Peso (kg): 885
• Alto de la plataforma: 2 m
• Altura máxima de trabajo: 5,6 m
• Ancho de la máquina: 760 mm
• Carga máxima: 240 kg
• Longitud: 1530 mm
• Alto de la plataforma sin barandillas: 860 mm
Plataforma tijera eléctrica 6 m, equipada con una batería avanzada para una mayor productividad. Gracias a su accionamiento eléctrico, sin emisiones y silencioso, este elevador de tijera es respetuoso con el medio ambiente. Se trata de la solución ideal para los lugares de trabajo con acceso de bajo nivel y aplicaciones de espacio reducido. Gracias a sus compactas dimensiones y su peso ligero, es capaz de entrar por puertas y en la mayoría de ascensores. Perfecta, por ejemplo, para trabajos de mantenimiento en interior de edificios. El diseño excepcional del sistema de transmisión impermeable, proporciona un rendimiento excelente en condiciones de humedad. Las características son las reflejadas en la ficha técnica del modelo, las medidas exactas varían de una unidad a otra. En caso de no disponer de este modelo concreto se suministrará uno de similares características. Consultar las características específicas de las máquinas disponibles.</t>
  </si>
  <si>
    <t xml:space="preserve">alq-vaporeta-mh-01</t>
  </si>
  <si>
    <t xml:space="preserve">Maquinaria</t>
  </si>
  <si>
    <t xml:space="preserve">h</t>
  </si>
  <si>
    <t xml:space="preserve">Alquiler de Equipo Eléctrico Limpiador a Vapor (Vaporeta).   Ref. MIL HERRAMIENTAS</t>
  </si>
  <si>
    <t xml:space="preserve">Alquiler de Equipo Eléctrico Limpiador a Vapor (Vaporeta); 2300 W; 3,5 Bares.   Ref. MIL HERRAMIENTAS</t>
  </si>
  <si>
    <t xml:space="preserve">alq.soldadora-mym-01</t>
  </si>
  <si>
    <t xml:space="preserve">Maquinaria</t>
  </si>
  <si>
    <t xml:space="preserve">h</t>
  </si>
  <si>
    <t xml:space="preserve">Alquiler de Soldadora Eléctrica Inverter Electrodo 3,25 mm 160A/60% 230 V.   Ref. MÁQUINAS Y MÁQUINAS</t>
  </si>
  <si>
    <t xml:space="preserve">Alquiler de Soldadora Eléctrica Inverter Electrodo 3,25 mm 160A/60% 230 V.   Ref. MÁQUINAS Y MÁQUINAS</t>
  </si>
  <si>
    <t xml:space="preserve">ALQUILERES</t>
  </si>
  <si>
    <t xml:space="preserve">ESTRUCTURAS</t>
  </si>
  <si>
    <t xml:space="preserve">Capítulo</t>
  </si>
  <si>
    <t xml:space="preserve">ESTRUCTURAS</t>
  </si>
  <si>
    <t xml:space="preserve">ACERO</t>
  </si>
  <si>
    <t xml:space="preserve">Capítulo</t>
  </si>
  <si>
    <t xml:space="preserve">ACERO EN ESTRUCTURAS</t>
  </si>
  <si>
    <t xml:space="preserve">ACERO-01</t>
  </si>
  <si>
    <t xml:space="preserve">Partida</t>
  </si>
  <si>
    <t xml:space="preserve">m</t>
  </si>
  <si>
    <t xml:space="preserve">REFUERZO LONGITUDINAL COMPLEMENTARIO CON PERFIL UPN 10 EN FONDOS A LA VISTA DE NERVIOS METÁLICOS DE LOSAS O FORJADOS (Tipologia: STR-FCH).</t>
  </si>
  <si>
    <t xml:space="preserve">Refuerzo longitudinal complementario de perfiles metálicos a la vista en losas nervadas o tipo bovedilla; incluyendo suministro y colocación de perfil UPN 10 (previamente tratado con dos manos de imprimación antioxidante) disponiéndolo por debajo del ala inferior del homólogo existente, y el posterior recatado con mortero estructural fluido de alta resistencia sin retracción (garantizando la correcta adhesión y contacto entre miembros) (STR-FCH).</t>
  </si>
  <si>
    <t xml:space="preserve">STR.ENC-ENCOFRADOS-01</t>
  </si>
  <si>
    <t xml:space="preserve">Partida</t>
  </si>
  <si>
    <t xml:space="preserve">m</t>
  </si>
  <si>
    <t xml:space="preserve">ENCOFRADO Y APEO DE FONDO DE VIGAS</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</si>
  <si>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</si>
  <si>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</si>
  <si>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</si>
  <si>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</si>
  <si>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</si>
  <si>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</si>
  <si>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</si>
  <si>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</si>
  <si>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moc-std1-encofrado</t>
  </si>
  <si>
    <t xml:space="preserve">Partida</t>
  </si>
  <si>
    <t xml:space="preserve">h</t>
  </si>
  <si>
    <t xml:space="preserve">Cuadrilla Std1 Encofrador - 1 Oficial Encofrador de 1ª y 1 Ayudante de Encofrador</t>
  </si>
  <si>
    <t xml:space="preserve">mo%</t>
  </si>
  <si>
    <t xml:space="preserve">%</t>
  </si>
  <si>
    <t xml:space="preserve">Herramientas Menores</t>
  </si>
  <si>
    <t xml:space="preserve">STR.ENC-ENCOFRADOS-01</t>
  </si>
  <si>
    <t xml:space="preserve">ma-lp-00253726</t>
  </si>
  <si>
    <t xml:space="preserve">Material</t>
  </si>
  <si>
    <t xml:space="preserve">und</t>
  </si>
  <si>
    <t xml:space="preserve">Perfil de acero estructural tipo UPN 100 mm x 3 m   Ref. lp-00253726</t>
  </si>
  <si>
    <t xml:space="preserve">ma-lp-00007314</t>
  </si>
  <si>
    <t xml:space="preserve">Material</t>
  </si>
  <si>
    <t xml:space="preserve">envase</t>
  </si>
  <si>
    <t xml:space="preserve">Imprimador antioxidante BARPIMO (4 litros/envase)   Ref. lp-00007314</t>
  </si>
  <si>
    <t xml:space="preserve">mo-salarial-ayudante</t>
  </si>
  <si>
    <t xml:space="preserve">Mano de obra</t>
  </si>
  <si>
    <t xml:space="preserve">h</t>
  </si>
  <si>
    <t xml:space="preserve">Ayudante</t>
  </si>
  <si>
    <t xml:space="preserve">ma-lp-00540841</t>
  </si>
  <si>
    <t xml:space="preserve">Material</t>
  </si>
  <si>
    <t xml:space="preserve">saco</t>
  </si>
  <si>
    <t xml:space="preserve">Mortero de reparación PROPAM GROUT Mortero Fluido sin Retracción (25 kg/saco)   Ref. lp-00540841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</si>
  <si>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</si>
  <si>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</si>
  <si>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</si>
  <si>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</si>
  <si>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</si>
  <si>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</si>
  <si>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</si>
  <si>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</si>
  <si>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</si>
  <si>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</si>
  <si>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</si>
  <si>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</si>
  <si>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</si>
  <si>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</si>
  <si>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</si>
  <si>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</si>
  <si>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</si>
  <si>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</si>
  <si>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</si>
  <si>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</si>
  <si>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ACERO-01</t>
  </si>
  <si>
    <t xml:space="preserve">ACERO-02</t>
  </si>
  <si>
    <t xml:space="preserve">Partida</t>
  </si>
  <si>
    <t xml:space="preserve">m</t>
  </si>
  <si>
    <t xml:space="preserve">REFUERZO LONGITUDINAL COMPLEMENTARIO CON PERFIL UPN 12 EN FONDOS A LA VISTA DE NERVIOS METÁLICOS DE LOSAS O FORJADOS (STR-FCH).</t>
  </si>
  <si>
    <t xml:space="preserve">Refuerzo longitudinal complementario de perfiles metálicos a la vista en losas nervadas o tipo bovedilla; incluyendo suministro y colocación de perfil UPN 12 (previamente tratado con dos manos de imprimación antioxidante) disponiéndolo por debajo del ala inferior del homólogo existente, y el posterior recatado con mortero estructural fluido de alta resistencia sin retracción (garantizando la correcta adhesión y contacto entre miembros) (STR-FCH).</t>
  </si>
  <si>
    <t xml:space="preserve">STR.ENC-ENCOFRADOS-01</t>
  </si>
  <si>
    <t xml:space="preserve">Partida</t>
  </si>
  <si>
    <t xml:space="preserve">m</t>
  </si>
  <si>
    <t xml:space="preserve">ENCOFRADO Y APEO DE FONDO DE VIGAS</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</si>
  <si>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</si>
  <si>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</si>
  <si>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</si>
  <si>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</si>
  <si>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</si>
  <si>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</si>
  <si>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</si>
  <si>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</si>
  <si>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moc-std1-encofrado</t>
  </si>
  <si>
    <t xml:space="preserve">Partida</t>
  </si>
  <si>
    <t xml:space="preserve">h</t>
  </si>
  <si>
    <t xml:space="preserve">Cuadrilla Std1 Encofrador - 1 Oficial Encofrador de 1ª y 1 Ayudante de Encofrador</t>
  </si>
  <si>
    <t xml:space="preserve">mo%</t>
  </si>
  <si>
    <t xml:space="preserve">%</t>
  </si>
  <si>
    <t xml:space="preserve">Herramientas Menores</t>
  </si>
  <si>
    <t xml:space="preserve">STR.ENC-ENCOFRADOS-01</t>
  </si>
  <si>
    <t xml:space="preserve">ma-bm-10841901</t>
  </si>
  <si>
    <t xml:space="preserve">Material</t>
  </si>
  <si>
    <t xml:space="preserve">und</t>
  </si>
  <si>
    <t xml:space="preserve">Perfil de acero estructural tipo UPN 120 mm x 3 m   Ref. bm-10841901</t>
  </si>
  <si>
    <t xml:space="preserve">ma-lp-00007314</t>
  </si>
  <si>
    <t xml:space="preserve">Material</t>
  </si>
  <si>
    <t xml:space="preserve">envase</t>
  </si>
  <si>
    <t xml:space="preserve">Imprimador antioxidante BARPIMO (4 litros/envase)   Ref. lp-00007314</t>
  </si>
  <si>
    <t xml:space="preserve">mo-salarial-ayudante</t>
  </si>
  <si>
    <t xml:space="preserve">Mano de obra</t>
  </si>
  <si>
    <t xml:space="preserve">h</t>
  </si>
  <si>
    <t xml:space="preserve">Ayudante</t>
  </si>
  <si>
    <t xml:space="preserve">ma-lp-00540841</t>
  </si>
  <si>
    <t xml:space="preserve">Material</t>
  </si>
  <si>
    <t xml:space="preserve">saco</t>
  </si>
  <si>
    <t xml:space="preserve">Mortero de reparación PROPAM GROUT Mortero Fluido sin Retracción (25 kg/saco)   Ref. lp-00540841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</si>
  <si>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</si>
  <si>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</si>
  <si>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</si>
  <si>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</si>
  <si>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</si>
  <si>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</si>
  <si>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</si>
  <si>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</si>
  <si>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</si>
  <si>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</si>
  <si>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</si>
  <si>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</si>
  <si>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</si>
  <si>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</si>
  <si>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</si>
  <si>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</si>
  <si>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</si>
  <si>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</si>
  <si>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</si>
  <si>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</si>
  <si>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ACERO-02</t>
  </si>
  <si>
    <t xml:space="preserve">STR.AC-PLACA-20x20-MAMP-01</t>
  </si>
  <si>
    <t xml:space="preserve">Partida</t>
  </si>
  <si>
    <t xml:space="preserve">und</t>
  </si>
  <si>
    <t xml:space="preserve">SUMINISTRO E INSTALACIÓN DE PLACA DE ACERO DE 200x200x10 mm FIJADA A PARAMENTO DE MAMPOSTERÍA CON 4 ANCLAJES QUÍMICOS PARA 15 cm DE PROFUNDIDAD Y SENDOS ESPÁRRAGOS O BARRAS ROSCADAS Ø 12 mm DE ACERO INOXIDABLE (TODO ELLO, PREVIAMENTE TRATADO CON DOS MANOS DE IMPRIMACIÓN ANTIOXIDANTE); INCLUYE LA SOLDADURA DE FIJACIÓN DEL PERFIL METÁLICO A EMPALMAR (STR-FCH).</t>
  </si>
  <si>
    <t xml:space="preserve">Suministro e instalación de placa de acero de 200x200x10 mm embebida y fijada a la base del paramento de mampostería mediante 4 anclajes químicos para 15 cm de profundidad, y sendos espárragos o barras roscadas Ø 12 mm de acero inoxidable (todo ello, previamente tratado con dos manos de imprimación antioxidante); incluye la soldadura de fijación del perfil metálico IPN10-IPN12 (o similar) a empalmar. Las placas se empotrarán en el paramento existente para quedar caladas dentro del grosor del revestimiento de acabado de fachada (STR-FCH).</t>
  </si>
  <si>
    <t xml:space="preserve">mo-salarial-peon1</t>
  </si>
  <si>
    <t xml:space="preserve">Mano de obra</t>
  </si>
  <si>
    <t xml:space="preserve">h</t>
  </si>
  <si>
    <t xml:space="preserve">Peón Especializado</t>
  </si>
  <si>
    <t xml:space="preserve">ma-lp-00253732</t>
  </si>
  <si>
    <t xml:space="preserve">Material</t>
  </si>
  <si>
    <t xml:space="preserve">und</t>
  </si>
  <si>
    <t xml:space="preserve">Placa de acero para anclaje de estructura metálica (250x250x8 mm/pza).   Ref. lp-00253732</t>
  </si>
  <si>
    <t xml:space="preserve">ma-lp-00007314</t>
  </si>
  <si>
    <t xml:space="preserve">Material</t>
  </si>
  <si>
    <t xml:space="preserve">envase</t>
  </si>
  <si>
    <t xml:space="preserve">Imprimador antioxidante BARPIMO (4 litros/envase)   Ref. lp-00007314</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</si>
  <si>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</si>
  <si>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</si>
  <si>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</si>
  <si>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</si>
  <si>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</si>
  <si>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</si>
  <si>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</si>
  <si>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</si>
  <si>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</si>
  <si>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</si>
  <si>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</si>
  <si>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</si>
  <si>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ma-lp-00351172</t>
  </si>
  <si>
    <t xml:space="preserve">Material</t>
  </si>
  <si>
    <t xml:space="preserve">caja</t>
  </si>
  <si>
    <t xml:space="preserve">Electrodo Rutilo 6013  2,5x350 mm (5kg o 55 varillas/caja)   Ref. lp-00351172</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</si>
  <si>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</si>
  <si>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</si>
  <si>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</si>
  <si>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</si>
  <si>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</si>
  <si>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</si>
  <si>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</si>
  <si>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</si>
  <si>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ma-bm-10003607</t>
  </si>
  <si>
    <t xml:space="preserve">Material</t>
  </si>
  <si>
    <t xml:space="preserve">und</t>
  </si>
  <si>
    <t xml:space="preserve">Broca para hormigón SDS Plus-3 BOSCH CYL-3; 14x260 mm   Ref. bm-10003607</t>
  </si>
  <si>
    <t xml:space="preserve">alq.soldadora-mym-01</t>
  </si>
  <si>
    <t xml:space="preserve">Maquinaria</t>
  </si>
  <si>
    <t xml:space="preserve">h</t>
  </si>
  <si>
    <t xml:space="preserve">Alquiler de Soldadora Eléctrica Inverter Electrodo 3,25 mm 160A/60% 230 V.   Ref. MÁQUINAS Y MÁQUINAS</t>
  </si>
  <si>
    <t xml:space="preserve">moc-std1-ferralista</t>
  </si>
  <si>
    <t xml:space="preserve">Partida</t>
  </si>
  <si>
    <t xml:space="preserve">h</t>
  </si>
  <si>
    <t xml:space="preserve">Cuadrilla Std1 Ferralista - 1 Oficial Ferralista de 1ª + 1 Ayudante de Ferralista</t>
  </si>
  <si>
    <t xml:space="preserve">mo-ferrallista-oficial1</t>
  </si>
  <si>
    <t xml:space="preserve">Mano de obra</t>
  </si>
  <si>
    <t xml:space="preserve">h</t>
  </si>
  <si>
    <t xml:space="preserve">Oficial Ferrallista de 1ª</t>
  </si>
  <si>
    <t xml:space="preserve">mo-ferrallista-ayudante</t>
  </si>
  <si>
    <t xml:space="preserve">Mano de obra</t>
  </si>
  <si>
    <t xml:space="preserve">h</t>
  </si>
  <si>
    <t xml:space="preserve">Ayudante de Ferrallista</t>
  </si>
  <si>
    <t xml:space="preserve">moc-std1-ferralista</t>
  </si>
  <si>
    <t xml:space="preserve">mo%</t>
  </si>
  <si>
    <t xml:space="preserve">%</t>
  </si>
  <si>
    <t xml:space="preserve">Herramientas Menores</t>
  </si>
  <si>
    <t xml:space="preserve">STR.AC-PLACA-20x20-MAMP-01</t>
  </si>
  <si>
    <t xml:space="preserve">STR.AC-PLACA-20x20-HORM-01</t>
  </si>
  <si>
    <t xml:space="preserve">Partida</t>
  </si>
  <si>
    <t xml:space="preserve">und</t>
  </si>
  <si>
    <t xml:space="preserve">SUMINISTRO E INSTALACIÓN DE PLACA DE ACERO DE 200x200x10 mm FIJADA A PARAMENTO DE HORMIGÓN CON 4 ANCLAJES QUÍMICOS PARA 15 cm DE PROFUNDIDAD Y SENDOS ESPÁRRAGOS O BARRAS ROSCADAS Ø 12 mm DE ACERO INOXIDABLE (TODO ELLO, PREVIAMENTE TRATADO CON DOS MANOS DE IMPRIMACIÓN ANTIOXIDANTE); INCLUYE LA SOLDADURA DE FIJACIÓN DEL PERFIL METÁLICO A EMPALMAR (STR-FCH).</t>
  </si>
  <si>
    <t xml:space="preserve">Suministro e instalación de placa de acero de 200x200x10 mm embebida y fijada a la base del paramento de hormigón mediante 4 anclajes químicos para 15 cm de profundidad, y sendos espárragos o barras roscadas Ø 12 mm de acero inoxidable (todo ello, previamente tratado con dos manos de imprimación antioxidante); incluye la soldadura de fijación del perfil metálico IPN10-IPN12 (o similar) a empalmar. Las placas se empotrarán en el paramento existente para quedar caladas dentro del grosor del revestimiento de acabado de fachada (STR-FCH).</t>
  </si>
  <si>
    <t xml:space="preserve">mo-salarial-peon1</t>
  </si>
  <si>
    <t xml:space="preserve">Mano de obra</t>
  </si>
  <si>
    <t xml:space="preserve">h</t>
  </si>
  <si>
    <t xml:space="preserve">Peón Especializado</t>
  </si>
  <si>
    <t xml:space="preserve">ma-lp-00253732</t>
  </si>
  <si>
    <t xml:space="preserve">Material</t>
  </si>
  <si>
    <t xml:space="preserve">und</t>
  </si>
  <si>
    <t xml:space="preserve">Placa de acero para anclaje de estructura metálica (250x250x8 mm/pza).   Ref. lp-00253732</t>
  </si>
  <si>
    <t xml:space="preserve">ma-lp-00007314</t>
  </si>
  <si>
    <t xml:space="preserve">Material</t>
  </si>
  <si>
    <t xml:space="preserve">envase</t>
  </si>
  <si>
    <t xml:space="preserve">Imprimador antioxidante BARPIMO (4 litros/envase)   Ref. lp-00007314</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</si>
  <si>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</si>
  <si>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</si>
  <si>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</si>
  <si>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</si>
  <si>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</si>
  <si>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</si>
  <si>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</si>
  <si>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</si>
  <si>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ma-lp-00351172</t>
  </si>
  <si>
    <t xml:space="preserve">Material</t>
  </si>
  <si>
    <t xml:space="preserve">caja</t>
  </si>
  <si>
    <t xml:space="preserve">Electrodo Rutilo 6013  2,5x350 mm (5kg o 55 varillas/caja)   Ref. lp-00351172</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</si>
  <si>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</si>
  <si>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</si>
  <si>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</si>
  <si>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</si>
  <si>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</si>
  <si>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</si>
  <si>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</si>
  <si>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</si>
  <si>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ma-bm-10003607</t>
  </si>
  <si>
    <t xml:space="preserve">Material</t>
  </si>
  <si>
    <t xml:space="preserve">und</t>
  </si>
  <si>
    <t xml:space="preserve">Broca para hormigón SDS Plus-3 BOSCH CYL-3; 14x260 mm   Ref. bm-10003607</t>
  </si>
  <si>
    <t xml:space="preserve">alq.soldadora-mym-01</t>
  </si>
  <si>
    <t xml:space="preserve">Maquinaria</t>
  </si>
  <si>
    <t xml:space="preserve">h</t>
  </si>
  <si>
    <t xml:space="preserve">Alquiler de Soldadora Eléctrica Inverter Electrodo 3,25 mm 160A/60% 230 V.   Ref. MÁQUINAS Y MÁQUINAS</t>
  </si>
  <si>
    <t xml:space="preserve">moc-std1-ferralista</t>
  </si>
  <si>
    <t xml:space="preserve">Partida</t>
  </si>
  <si>
    <t xml:space="preserve">h</t>
  </si>
  <si>
    <t xml:space="preserve">Cuadrilla Std1 Ferralista - 1 Oficial Ferralista de 1ª + 1 Ayudante de Ferralista</t>
  </si>
  <si>
    <t xml:space="preserve">mo-ferrallista-oficial1</t>
  </si>
  <si>
    <t xml:space="preserve">Mano de obra</t>
  </si>
  <si>
    <t xml:space="preserve">h</t>
  </si>
  <si>
    <t xml:space="preserve">Oficial Ferrallista de 1ª</t>
  </si>
  <si>
    <t xml:space="preserve">mo-ferrallista-ayudante</t>
  </si>
  <si>
    <t xml:space="preserve">Mano de obra</t>
  </si>
  <si>
    <t xml:space="preserve">h</t>
  </si>
  <si>
    <t xml:space="preserve">Ayudante de Ferrallista</t>
  </si>
  <si>
    <t xml:space="preserve">moc-std1-ferralista</t>
  </si>
  <si>
    <t xml:space="preserve">mo%</t>
  </si>
  <si>
    <t xml:space="preserve">%</t>
  </si>
  <si>
    <t xml:space="preserve">Herramientas Menores</t>
  </si>
  <si>
    <t xml:space="preserve">STR.AC-PLACA-20x20-HORM-01</t>
  </si>
  <si>
    <t xml:space="preserve">STR.AC-PLACA-30x20-MAMP-01</t>
  </si>
  <si>
    <t xml:space="preserve">Partida</t>
  </si>
  <si>
    <t xml:space="preserve">und</t>
  </si>
  <si>
    <t xml:space="preserve">SUMINISTRO E INSTALACIÓN DE PLACA DE ACERO DE 300x200x10 mm FIJADA A PARAMENTO DE MAMPOSTERÍA CON 6 ANCLAJES QUÍMICOS PARA 20 cm DE PROFUNDIDAD Y SENDOS ESPÁRRAGOS O BARRAS ROSCADAS Ø 12 mm DE ACERO INOXIDABLE (TODO ELLO, PREVIAMENTE TRATADO CON DOS MANOS DE IMPRIMACIÓN ANTIOXIDANTE); INCLUYE LA SOLDADURA DE FIJACIÓN DEL PERFIL METÁLICO A EMPALMAR (STR-FCH).</t>
  </si>
  <si>
    <t xml:space="preserve">Suministro e instalación de placa de acero de 300x200x10 mm embebida y fijada a la base del paramento de mampostería mediante 6 anclajes químicos para 20 cm de profundidad, y sendos espárragos o barras roscadas Ø 12 mm de acero inoxidable (todo ello, previamente tratado con dos manos de imprimación antioxidante); incluye la soldadura de fijación del perfil metálico IPN14-IPN16 (o similar) a empalmar. Las placas se empotrarán en el paramento existente para quedar caladas dentro del grosor del revestimiento de acabado de fachada (STR-FCH).</t>
  </si>
  <si>
    <t xml:space="preserve">mo-salarial-peon1</t>
  </si>
  <si>
    <t xml:space="preserve">Mano de obra</t>
  </si>
  <si>
    <t xml:space="preserve">h</t>
  </si>
  <si>
    <t xml:space="preserve">Peón Especializado</t>
  </si>
  <si>
    <t xml:space="preserve">ma-hierromiguel-placa.300x200x10</t>
  </si>
  <si>
    <t xml:space="preserve">Material</t>
  </si>
  <si>
    <t xml:space="preserve">und</t>
  </si>
  <si>
    <t xml:space="preserve">Placa de acero para anclaje de estructura metálica 300x200x10 mm   Ref. hierromiguel-placa.300x200x10</t>
  </si>
  <si>
    <t xml:space="preserve">ma-lp-00007314</t>
  </si>
  <si>
    <t xml:space="preserve">Material</t>
  </si>
  <si>
    <t xml:space="preserve">envase</t>
  </si>
  <si>
    <t xml:space="preserve">Imprimador antioxidante BARPIMO (4 litros/envase)   Ref. lp-00007314</t>
  </si>
  <si>
    <t xml:space="preserve">ma-bm-10943415</t>
  </si>
  <si>
    <t xml:space="preserve">Material</t>
  </si>
  <si>
    <t xml:space="preserve">bolsa</t>
  </si>
  <si>
    <t xml:space="preserve">Tamiz de nylon para taco/anclaje químico; 16x130 mm FISCHER (20 pzas./bolsa)   Ref. bm-10943415</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</si>
  <si>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</si>
  <si>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</si>
  <si>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</si>
  <si>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</si>
  <si>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</si>
  <si>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</si>
  <si>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</si>
  <si>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</si>
  <si>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ma-lp-00351172</t>
  </si>
  <si>
    <t xml:space="preserve">Material</t>
  </si>
  <si>
    <t xml:space="preserve">caja</t>
  </si>
  <si>
    <t xml:space="preserve">Electrodo Rutilo 6013  2,5x350 mm (5kg o 55 varillas/caja)   Ref. lp-00351172</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</si>
  <si>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</si>
  <si>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</si>
  <si>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</si>
  <si>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</si>
  <si>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</si>
  <si>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</si>
  <si>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</si>
  <si>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</si>
  <si>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ma-bm-10003607</t>
  </si>
  <si>
    <t xml:space="preserve">Material</t>
  </si>
  <si>
    <t xml:space="preserve">und</t>
  </si>
  <si>
    <t xml:space="preserve">Broca para hormigón SDS Plus-3 BOSCH CYL-3; 14x260 mm   Ref. bm-10003607</t>
  </si>
  <si>
    <t xml:space="preserve">alq.soldadora-mym-01</t>
  </si>
  <si>
    <t xml:space="preserve">Maquinaria</t>
  </si>
  <si>
    <t xml:space="preserve">h</t>
  </si>
  <si>
    <t xml:space="preserve">Alquiler de Soldadora Eléctrica Inverter Electrodo 3,25 mm 160A/60% 230 V.   Ref. MÁQUINAS Y MÁQUINAS</t>
  </si>
  <si>
    <t xml:space="preserve">moc-std1-ferralista</t>
  </si>
  <si>
    <t xml:space="preserve">Partida</t>
  </si>
  <si>
    <t xml:space="preserve">h</t>
  </si>
  <si>
    <t xml:space="preserve">Cuadrilla Std1 Ferralista - 1 Oficial Ferralista de 1ª + 1 Ayudante de Ferralista</t>
  </si>
  <si>
    <t xml:space="preserve">mo-ferrallista-oficial1</t>
  </si>
  <si>
    <t xml:space="preserve">Mano de obra</t>
  </si>
  <si>
    <t xml:space="preserve">h</t>
  </si>
  <si>
    <t xml:space="preserve">Oficial Ferrallista de 1ª</t>
  </si>
  <si>
    <t xml:space="preserve">mo-ferrallista-ayudante</t>
  </si>
  <si>
    <t xml:space="preserve">Mano de obra</t>
  </si>
  <si>
    <t xml:space="preserve">h</t>
  </si>
  <si>
    <t xml:space="preserve">Ayudante de Ferrallista</t>
  </si>
  <si>
    <t xml:space="preserve">moc-std1-ferralista</t>
  </si>
  <si>
    <t xml:space="preserve">mo%</t>
  </si>
  <si>
    <t xml:space="preserve">%</t>
  </si>
  <si>
    <t xml:space="preserve">Herramientas Menores</t>
  </si>
  <si>
    <t xml:space="preserve">STR.AC-PLACA-30x20-MAMP-01</t>
  </si>
  <si>
    <t xml:space="preserve">STR.AC-PLACA-30x20-HORM-01</t>
  </si>
  <si>
    <t xml:space="preserve">Partida</t>
  </si>
  <si>
    <t xml:space="preserve">und</t>
  </si>
  <si>
    <t xml:space="preserve">SUMINISTRO E INSTALACIÓN DE PLACA DE ACERO DE 300x200x10 mm FIJADA A PARAMENTO DE HORMIGÓN CON 6 ANCLAJES QUÍMICOS PARA 25 cm DE PROFUNDIDAD Y SENDOS ESPÁRRAGOS O BARRAS ROSCADAS Ø 12 mm DE ACERO INOXIDABLE (TODO ELLO, PREVIAMENTE TRATADO CON DOS MANOS DE IMPRIMACIÓN ANTIOXIDANTE); INCLUYE LA SOLDADURA DE FIJACIÓN DEL PERFIL METÁLICO A EMPALMAR (STR-FCH).</t>
  </si>
  <si>
    <t xml:space="preserve">Suministro e instalación de placa de acero de 300x200x10 mm embebida y fijada a la base del paramento de hormigón mediante 6 anclajes químicos para 25 cm de profundidad, y sendos espárragos o barras roscadas Ø 12 mm de acero inoxidable (todo ello, previamente tratado con dos manos de imprimación antioxidante); incluye la soldadura de fijación del perfil metálico IPN14-IPN16 (o aimilar) a empalmar. Las placas se empotrarán en el paramento existente para quedar caladas dentro del grosor del revestimiento de acabado de fachada (STR-FCH).</t>
  </si>
  <si>
    <t xml:space="preserve">mo-salarial-peon1</t>
  </si>
  <si>
    <t xml:space="preserve">Mano de obra</t>
  </si>
  <si>
    <t xml:space="preserve">h</t>
  </si>
  <si>
    <t xml:space="preserve">Peón Especializado</t>
  </si>
  <si>
    <t xml:space="preserve">ma-hierromiguel-placa.300x200x10</t>
  </si>
  <si>
    <t xml:space="preserve">Material</t>
  </si>
  <si>
    <t xml:space="preserve">und</t>
  </si>
  <si>
    <t xml:space="preserve">Placa de acero para anclaje de estructura metálica 300x200x10 mm   Ref. hierromiguel-placa.300x200x10</t>
  </si>
  <si>
    <t xml:space="preserve">ma-lp-00007314</t>
  </si>
  <si>
    <t xml:space="preserve">Material</t>
  </si>
  <si>
    <t xml:space="preserve">envase</t>
  </si>
  <si>
    <t xml:space="preserve">Imprimador antioxidante BARPIMO (4 litros/envase)   Ref. lp-00007314</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</si>
  <si>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</si>
  <si>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</si>
  <si>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</si>
  <si>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</si>
  <si>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</si>
  <si>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</si>
  <si>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</si>
  <si>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</si>
  <si>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ma-lp-00351172</t>
  </si>
  <si>
    <t xml:space="preserve">Material</t>
  </si>
  <si>
    <t xml:space="preserve">caja</t>
  </si>
  <si>
    <t xml:space="preserve">Electrodo Rutilo 6013  2,5x350 mm (5kg o 55 varillas/caja)   Ref. lp-00351172</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</si>
  <si>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</si>
  <si>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</si>
  <si>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</si>
  <si>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</si>
  <si>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</si>
  <si>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</si>
  <si>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</si>
  <si>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</si>
  <si>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ma-bm-10003607</t>
  </si>
  <si>
    <t xml:space="preserve">Material</t>
  </si>
  <si>
    <t xml:space="preserve">und</t>
  </si>
  <si>
    <t xml:space="preserve">Broca para hormigón SDS Plus-3 BOSCH CYL-3; 14x260 mm   Ref. bm-10003607</t>
  </si>
  <si>
    <t xml:space="preserve">alq.soldadora-mym-01</t>
  </si>
  <si>
    <t xml:space="preserve">Maquinaria</t>
  </si>
  <si>
    <t xml:space="preserve">h</t>
  </si>
  <si>
    <t xml:space="preserve">Alquiler de Soldadora Eléctrica Inverter Electrodo 3,25 mm 160A/60% 230 V.   Ref. MÁQUINAS Y MÁQUINAS</t>
  </si>
  <si>
    <t xml:space="preserve">moc-std1-ferralista</t>
  </si>
  <si>
    <t xml:space="preserve">Partida</t>
  </si>
  <si>
    <t xml:space="preserve">h</t>
  </si>
  <si>
    <t xml:space="preserve">Cuadrilla Std1 Ferralista - 1 Oficial Ferralista de 1ª + 1 Ayudante de Ferralista</t>
  </si>
  <si>
    <t xml:space="preserve">mo-ferrallista-oficial1</t>
  </si>
  <si>
    <t xml:space="preserve">Mano de obra</t>
  </si>
  <si>
    <t xml:space="preserve">h</t>
  </si>
  <si>
    <t xml:space="preserve">Oficial Ferrallista de 1ª</t>
  </si>
  <si>
    <t xml:space="preserve">mo-ferrallista-ayudante</t>
  </si>
  <si>
    <t xml:space="preserve">Mano de obra</t>
  </si>
  <si>
    <t xml:space="preserve">h</t>
  </si>
  <si>
    <t xml:space="preserve">Ayudante de Ferrallista</t>
  </si>
  <si>
    <t xml:space="preserve">moc-std1-ferralista</t>
  </si>
  <si>
    <t xml:space="preserve">mo%</t>
  </si>
  <si>
    <t xml:space="preserve">%</t>
  </si>
  <si>
    <t xml:space="preserve">Herramientas Menores</t>
  </si>
  <si>
    <t xml:space="preserve">STR.AC-PLACA-30x20-HORM-01</t>
  </si>
  <si>
    <t xml:space="preserve">STR.AC-SANEADO-PERFIL.20-GAM</t>
  </si>
  <si>
    <t xml:space="preserve">Partida</t>
  </si>
  <si>
    <t xml:space="preserve">m</t>
  </si>
  <si>
    <t xml:space="preserve">SANEADO DE VIGAS METÁLICAS h &lt;=20 cm MEDIANTE LIJADO MANUAL DE ZONAS AFECTADAS 30% POR CORROSIÓN Y APLICADOR DE CONVERTIDOR DE ÓXIDO DE RESINAS</t>
  </si>
  <si>
    <t xml:space="preserve">Saneado de vigas metálicas h &lt;= 20 cm mediante lijado manual de zonas afectadas 30% por corrosión y aplicador de convertidor de óxido de resinas; incluye eventual suplementación de material.</t>
  </si>
  <si>
    <t xml:space="preserve">ma-lp-00136728</t>
  </si>
  <si>
    <t xml:space="preserve">Material</t>
  </si>
  <si>
    <t xml:space="preserve">envase</t>
  </si>
  <si>
    <t xml:space="preserve">Convertidor de óxido CONVERTÓXIDO de BARPIMO (1 litro/envase).   Ref. lp-00136728</t>
  </si>
  <si>
    <t xml:space="preserve">ma-lp-00001663</t>
  </si>
  <si>
    <t xml:space="preserve">Material</t>
  </si>
  <si>
    <t xml:space="preserve">pza</t>
  </si>
  <si>
    <t xml:space="preserve">Perfil de acero tipo pletina maciza; 60x5 mm (3 m/pza).   Ref. lp-00001663</t>
  </si>
  <si>
    <t xml:space="preserve">ma-lp-00351244</t>
  </si>
  <si>
    <t xml:space="preserve">Material</t>
  </si>
  <si>
    <t xml:space="preserve">caja</t>
  </si>
  <si>
    <t xml:space="preserve">Electrodo básico EUTECTRODE ECB 3218 CASTOLIN EUTECTIC; 3,2x350 mm (5 kg o 150 varillas/caja).   Ref. lp-00351244</t>
  </si>
  <si>
    <t xml:space="preserve">alq-soldadora-lp-00559161</t>
  </si>
  <si>
    <t xml:space="preserve">Partida</t>
  </si>
  <si>
    <t xml:space="preserve">h</t>
  </si>
  <si>
    <t xml:space="preserve">Alquiler de Soldadora Eléctrica CEVIK PRO CE-TITANIUM201 (200 A)   Ref. 00559161</t>
  </si>
  <si>
    <t xml:space="preserve">mq-lp-00559161</t>
  </si>
  <si>
    <t xml:space="preserve">Maquinaria</t>
  </si>
  <si>
    <t xml:space="preserve">und</t>
  </si>
  <si>
    <t xml:space="preserve">Soldadora Eléctrica CEVIK PRO CE-TITANIUM201 (200 A)   Ref. 00559161</t>
  </si>
  <si>
    <t xml:space="preserve">alq-soldadora-lp-00559161</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</si>
  <si>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</si>
  <si>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</si>
  <si>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</si>
  <si>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</si>
  <si>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</si>
  <si>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</si>
  <si>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</si>
  <si>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</si>
  <si>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STR.AC-SANEADO-PERFIL.20-GAM</t>
  </si>
  <si>
    <t xml:space="preserve">STR.AC-SANEADO-PERFIL.20-GAA</t>
  </si>
  <si>
    <t xml:space="preserve">Partida</t>
  </si>
  <si>
    <t xml:space="preserve">m</t>
  </si>
  <si>
    <t xml:space="preserve">SANEADO DE VIGAS METÁLICAS h &lt;= 20 cm MEDIANTE LIJADO MANUAL DE ZONAS AFECTADAS 50% POR CORROSIÓN Y APLICADOR DE CONVERTIDOR DE ÓXIDO DE RESINAS</t>
  </si>
  <si>
    <t xml:space="preserve">Saneado de vigas metálicas h &lt;= 20 cm mediante lijado manual de zonas afectadas 50% por corrosión y aplicador de convertidor de óxido de resinas; incluye eventual suplementación de material.</t>
  </si>
  <si>
    <t xml:space="preserve">ma-lp-00136728</t>
  </si>
  <si>
    <t xml:space="preserve">Material</t>
  </si>
  <si>
    <t xml:space="preserve">envase</t>
  </si>
  <si>
    <t xml:space="preserve">Convertidor de óxido CONVERTÓXIDO de BARPIMO (1 litro/envase).   Ref. lp-00136728</t>
  </si>
  <si>
    <t xml:space="preserve">ma-lp-00001663</t>
  </si>
  <si>
    <t xml:space="preserve">Material</t>
  </si>
  <si>
    <t xml:space="preserve">pza</t>
  </si>
  <si>
    <t xml:space="preserve">Perfil de acero tipo pletina maciza; 60x5 mm (3 m/pza).   Ref. lp-00001663</t>
  </si>
  <si>
    <t xml:space="preserve">ma-lp-00351244</t>
  </si>
  <si>
    <t xml:space="preserve">Material</t>
  </si>
  <si>
    <t xml:space="preserve">caja</t>
  </si>
  <si>
    <t xml:space="preserve">Electrodo básico EUTECTRODE ECB 3218 CASTOLIN EUTECTIC; 3,2x350 mm (5 kg o 150 varillas/caja).   Ref. lp-00351244</t>
  </si>
  <si>
    <t xml:space="preserve">alq-soldadora-lp-00559161</t>
  </si>
  <si>
    <t xml:space="preserve">Partida</t>
  </si>
  <si>
    <t xml:space="preserve">h</t>
  </si>
  <si>
    <t xml:space="preserve">Alquiler de Soldadora Eléctrica CEVIK PRO CE-TITANIUM201 (200 A)   Ref. 00559161</t>
  </si>
  <si>
    <t xml:space="preserve">mq-lp-00559161</t>
  </si>
  <si>
    <t xml:space="preserve">Maquinaria</t>
  </si>
  <si>
    <t xml:space="preserve">und</t>
  </si>
  <si>
    <t xml:space="preserve">Soldadora Eléctrica CEVIK PRO CE-TITANIUM201 (200 A)   Ref. 00559161</t>
  </si>
  <si>
    <t xml:space="preserve">alq-soldadora-lp-00559161</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</si>
  <si>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</si>
  <si>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</si>
  <si>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</si>
  <si>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</si>
  <si>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</si>
  <si>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</si>
  <si>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</si>
  <si>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</si>
  <si>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STR.AC-SANEADO-PERFIL.20-GAA</t>
  </si>
  <si>
    <t xml:space="preserve">STR.AC-FAB.GRAPAS-10mm</t>
  </si>
  <si>
    <t xml:space="preserve">Partida</t>
  </si>
  <si>
    <t xml:space="preserve">pza</t>
  </si>
  <si>
    <t xml:space="preserve">FABRICACIÓN DE GRAPAS DE ACERO CORRUGADO 10 mm PARA REPARAR GRIETAS EN FACHADAS (15x40x15 cm/pza)</t>
  </si>
  <si>
    <t xml:space="preserve">FABRICACIÓN DE GRAPAS DE ACERO CORRUGADO 10 mm PARA REPARAR GRIETAS EN FACHADAS (15x50x15 cm/pza)</t>
  </si>
  <si>
    <t xml:space="preserve">ma-lp-00001672</t>
  </si>
  <si>
    <t xml:space="preserve">Material</t>
  </si>
  <si>
    <t xml:space="preserve">pza</t>
  </si>
  <si>
    <t xml:space="preserve">Redondo acero corrugado diámetro 10 mm (3 m/pza).   Ref. lp-00001672</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</si>
  <si>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</si>
  <si>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</si>
  <si>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</si>
  <si>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</si>
  <si>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</si>
  <si>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</si>
  <si>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</si>
  <si>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</si>
  <si>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</si>
  <si>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</si>
  <si>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</si>
  <si>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STR.AC-FAB.GRAPAS-10mm</t>
  </si>
  <si>
    <t xml:space="preserve">STR.AC-FAB.GRAPAS-12mm</t>
  </si>
  <si>
    <t xml:space="preserve">Partida</t>
  </si>
  <si>
    <t xml:space="preserve">pza</t>
  </si>
  <si>
    <t xml:space="preserve">FABRICACIÓN DE GRAPAS DE ACERO CORRUGADO 12 mm PARA REPARAR GRIETAS EN FACHADAS (15x40x15 cm/pza)</t>
  </si>
  <si>
    <t xml:space="preserve">FABRICACIÓN DE GRAPAS DE ACERO CORRUGADO 12 mm PARA REPARAR GRIETAS EN FACHADAS (15x40x15 cm/pza)</t>
  </si>
  <si>
    <t xml:space="preserve">ma-lp-00001673</t>
  </si>
  <si>
    <t xml:space="preserve">Material</t>
  </si>
  <si>
    <t xml:space="preserve">pza</t>
  </si>
  <si>
    <t xml:space="preserve">Redondo acero corrugado diámetro 12 mm (3 m/pza).   Ref. lp-00001673</t>
  </si>
  <si>
    <t xml:space="preserve">alq-dobladora.ferralla-gm-01</t>
  </si>
  <si>
    <t xml:space="preserve">Maquinaria</t>
  </si>
  <si>
    <t xml:space="preserve">h</t>
  </si>
  <si>
    <t xml:space="preserve">Alquiler de Dobladora Ferralla Portátil 500 W / 220 V / 17 kg.</t>
  </si>
  <si>
    <t xml:space="preserve">mo-salarial-ayudante</t>
  </si>
  <si>
    <t xml:space="preserve">Mano de obra</t>
  </si>
  <si>
    <t xml:space="preserve">h</t>
  </si>
  <si>
    <t xml:space="preserve">Ayudante</t>
  </si>
  <si>
    <t xml:space="preserve">mo%</t>
  </si>
  <si>
    <t xml:space="preserve">%</t>
  </si>
  <si>
    <t xml:space="preserve">Herramientas Menores</t>
  </si>
  <si>
    <t xml:space="preserve">STR.AC-FAB.GRAPAS-12mm</t>
  </si>
  <si>
    <t xml:space="preserve">STR.AC-PRESILLAS-80x6-L10a12cm</t>
  </si>
  <si>
    <t xml:space="preserve">Partida</t>
  </si>
  <si>
    <t xml:space="preserve">und</t>
  </si>
  <si>
    <t xml:space="preserve">S/C PRESILLAS DE ATADO (largo &lt;= 12 cm) EN PERFILES METÁLICOS CON PLETINA DE ACERO ACABADO LAMINADO EN CALIENTE (ancho 80 mm; espesor 6 mm)</t>
  </si>
  <si>
    <t xml:space="preserve">S/C PRESILLAS DE ATADO (largo &lt;= 12 cm) EN PERFILES METÁLICOS CON PLETINA DE ACERO ACABADO LAMINADO EN CALIENTE (ancho 80 mm; espesor 6 mm)</t>
  </si>
  <si>
    <t xml:space="preserve">ma-hierromiguel-01</t>
  </si>
  <si>
    <t xml:space="preserve">Material</t>
  </si>
  <si>
    <t xml:space="preserve">m</t>
  </si>
  <si>
    <t xml:space="preserve">Pletina de acero acabado laminado en caliente (ancho 80 mm; espesor 6 mm).   Ref. hierromiguel-01</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</si>
  <si>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</si>
  <si>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</si>
  <si>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</si>
  <si>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</si>
  <si>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</si>
  <si>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</si>
  <si>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</si>
  <si>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</si>
  <si>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</si>
  <si>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</si>
  <si>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</si>
  <si>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</si>
  <si>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</si>
  <si>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</si>
  <si>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</si>
  <si>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</si>
  <si>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STR.AC-PRESILLAS-80x6-L10a12cm</t>
  </si>
  <si>
    <t xml:space="preserve">ACERO</t>
  </si>
  <si>
    <t xml:space="preserve">ENCOFRADOS</t>
  </si>
  <si>
    <t xml:space="preserve">Capítulo</t>
  </si>
  <si>
    <t xml:space="preserve">ENCOFRADOS EN ESTRUCTURAS</t>
  </si>
  <si>
    <t xml:space="preserve">STR.ENC-ENCOFRADOS-01</t>
  </si>
  <si>
    <t xml:space="preserve">Partida</t>
  </si>
  <si>
    <t xml:space="preserve">m</t>
  </si>
  <si>
    <t xml:space="preserve">ENCOFRADO Y APEO DE FONDO DE VIGAS</t>
  </si>
  <si>
    <t xml:space="preserve">ENCOFRADO
 Y APEO DE FONDO DE VIGAS</t>
  </si>
  <si>
    <t xml:space="preserve">ma-lp-00222965</t>
  </si>
  <si>
    <t xml:space="preserve">Material</t>
  </si>
  <si>
    <t xml:space="preserve">und</t>
  </si>
  <si>
    <t xml:space="preserve">Tablero de encofrar tricapa de madera de abeto 1970x500x27 mm   Ref. lp-00222965</t>
  </si>
  <si>
    <t xml:space="preserve">ma-lp-00019465</t>
  </si>
  <si>
    <t xml:space="preserve">Material</t>
  </si>
  <si>
    <t xml:space="preserve">und</t>
  </si>
  <si>
    <t xml:space="preserve">Puntal metálico telescópico P3N; 3 m Ø 48x1,6 / Ø 40x1,6   Ref. lp-00019465</t>
  </si>
  <si>
    <t xml:space="preserve">moc-std1-encofrado</t>
  </si>
  <si>
    <t xml:space="preserve">Partida</t>
  </si>
  <si>
    <t xml:space="preserve">h</t>
  </si>
  <si>
    <t xml:space="preserve">Cuadrilla Std1 Encofrador - 1 Oficial Encofrador de 1ª y 1 Ayudante de Encofrador</t>
  </si>
  <si>
    <t xml:space="preserve">mo-encofrador-oficial1</t>
  </si>
  <si>
    <t xml:space="preserve">Mano de obra</t>
  </si>
  <si>
    <t xml:space="preserve">h</t>
  </si>
  <si>
    <t xml:space="preserve">Oficial Encofrador de 1ª</t>
  </si>
  <si>
    <t xml:space="preserve">mo-encofrador-ayudante</t>
  </si>
  <si>
    <t xml:space="preserve">Mano de obra</t>
  </si>
  <si>
    <t xml:space="preserve">h</t>
  </si>
  <si>
    <t xml:space="preserve">Ayudante de Encofrador</t>
  </si>
  <si>
    <t xml:space="preserve">moc-std1-encofrado</t>
  </si>
  <si>
    <t xml:space="preserve">mo%</t>
  </si>
  <si>
    <t xml:space="preserve">%</t>
  </si>
  <si>
    <t xml:space="preserve">Herramientas Menores</t>
  </si>
  <si>
    <t xml:space="preserve">STR.ENC-ENCOFRADOS-01</t>
  </si>
  <si>
    <t xml:space="preserve">ENCOFRADOS</t>
  </si>
  <si>
    <t xml:space="preserve">ESTRUCTURAS</t>
  </si>
  <si>
    <t xml:space="preserve">HONORARIOS</t>
  </si>
  <si>
    <t xml:space="preserve">Capítulo</t>
  </si>
  <si>
    <t xml:space="preserve">HONORARIOS PROFESIONALES</t>
  </si>
  <si>
    <t xml:space="preserve">HONORARIOS</t>
  </si>
  <si>
    <t xml:space="preserve">MAQUINARIAS</t>
  </si>
  <si>
    <t xml:space="preserve">Capítulo</t>
  </si>
  <si>
    <t xml:space="preserve">MAQUINARIAS Y EQUIPOS</t>
  </si>
  <si>
    <t xml:space="preserve">mq-lp-00254673</t>
  </si>
  <si>
    <t xml:space="preserve">Maquinaria</t>
  </si>
  <si>
    <t xml:space="preserve">und</t>
  </si>
  <si>
    <t xml:space="preserve">Martillo Demoledor Eléctrico BOSCH GSH 16-30 1750 W (16,9 kg)   Ref. 00254673</t>
  </si>
  <si>
    <t xml:space="preserve">Martillo demoledor GSH 16-30. Ventajas: - Máximo rendimiento en el arranque de material gracias a una energía de impacto de 45 J y un motor de 1.750 W de potencia - Sistema Vibration Control para reducir las vibraciones y aumentar así el tiempo de trabajo y la comodidad de uso - Excelente manejabilidad gracias a su gran empuñadura - El interruptor ON/OFF está situado en un lugar óptimo, de modo que se evita una desconexión involuntaria de la herramienta - Máxima vida útil gracias a su robusta construcción y al uso de materiales de alta calidad - Se suministra con cincel, empuñadura adicional y trolley. Peso aprox. 16,9 kg.   Ref. 00254673</t>
  </si>
  <si>
    <t xml:space="preserve">mq-lp-00469501</t>
  </si>
  <si>
    <t xml:space="preserve">Maquinaria</t>
  </si>
  <si>
    <t xml:space="preserve">und</t>
  </si>
  <si>
    <t xml:space="preserve">Taladro Percutor BOSCH Modelo GSB-20-2 850 W   Ref. 00469501</t>
  </si>
  <si>
    <t xml:space="preserve">Taladro percutor Bosch GSB 20-2 multiusos con cable de dos velocidades y robusta carcasa metálica del engranaje para alargar su vida útil. Función inteligente KickBack Control para aumentar la protección del usuario. Potente motor para un rápido avance del trabajo. Indicado para taladrar hormigón, piedra y mampostería. Es compatible con el aspirador de polvo GDE 16 Cyl Professional. Incluye funciones como Autolock, control de giro y selección de velocidad. Se suministra con portabrocas de sujección rápida de 13 mm, empuñadura adicional, tope de profundidad de 210 mm y estuche L-BOXX.   Ref. 00469501</t>
  </si>
  <si>
    <t xml:space="preserve">mq-lp-00559161</t>
  </si>
  <si>
    <t xml:space="preserve">Maquinaria</t>
  </si>
  <si>
    <t xml:space="preserve">und</t>
  </si>
  <si>
    <t xml:space="preserve">Soldadora Eléctrica CEVIK PRO CE-TITANIUM201 (200 A)   Ref. 00559161</t>
  </si>
  <si>
    <t xml:space="preserve">Equipo de soldadura MMA inverter, DC 200 Amp. con rendimiento del 60%. (230v) Para uso profesional. Cuenta con transistores IGBT y diodos de recuperación rápida, lo cual asegura una regulación uniforme de la corriente de soldar y garantiza un arco eléctrico adecuado. con protección dinámica avanzada que posibilita un proceso de soldadura fiable y seguro Para electrodos de rutilo, básico, inoxidables y de fundición hasta un diámetro de 4mm. Conexión DINSE 50.   Ref. 00559161</t>
  </si>
  <si>
    <t xml:space="preserve">mq-mf-0088381693349</t>
  </si>
  <si>
    <t xml:space="preserve">Maquinaria</t>
  </si>
  <si>
    <t xml:space="preserve">und</t>
  </si>
  <si>
    <t xml:space="preserve">Martillo Demoledor Eléctrico MAKITA HM1812 2000W (32 kg)   Ref. 0088381693349</t>
  </si>
  <si>
    <t xml:space="preserve">Martillo Demoledor para utilizar en pavimentos, cimientos y demolición de hormigón. Cuenta con motor potente de 2.000 W y gran potencia de impacto único de 72,8 J. Su peso sin cable es de 32 kg; y sus medidas son: 21 cm de ancho x 60,8 cm de alto x 84,3 cm de fondo. Cuenta con carro de transporte D-54972 y cincel punta autoafilable de 400mm.   Ref. 0088381693349</t>
  </si>
  <si>
    <t xml:space="preserve">MAQUINARIAS</t>
  </si>
  <si>
    <t xml:space="preserve">MATERIALES</t>
  </si>
  <si>
    <t xml:space="preserve">Capítulo</t>
  </si>
  <si>
    <t xml:space="preserve">MATERIALES</t>
  </si>
  <si>
    <t xml:space="preserve">ACC.EQPS.y.HERRAMIENTAS</t>
  </si>
  <si>
    <t xml:space="preserve">Capítulo</t>
  </si>
  <si>
    <t xml:space="preserve">ACCESORIOS DE EQUIPOS Y HERRAMIENTAS</t>
  </si>
  <si>
    <t xml:space="preserve">ma-bd-8435065001471</t>
  </si>
  <si>
    <t xml:space="preserve">Material</t>
  </si>
  <si>
    <t xml:space="preserve">carrete</t>
  </si>
  <si>
    <t xml:space="preserve">Hilo de estaño 8%plata 2 mm ROTHENBERGER (250 gr/carrete).   Ref. bd-8435065001471</t>
  </si>
  <si>
    <t xml:space="preserve">Hilo de estaño/plata 8%, diámetro de 2 mm de ROTHENBERGER, para soldaduras de cobre y latón (250 gr/carrete).   Ref. bd-8435065001471</t>
  </si>
  <si>
    <t xml:space="preserve">ma-bd-EAN.5059340418391</t>
  </si>
  <si>
    <t xml:space="preserve">Material</t>
  </si>
  <si>
    <t xml:space="preserve">pza</t>
  </si>
  <si>
    <t xml:space="preserve">Disco de corte ERBAUER inox/metal 125x1 mm.   Ref. bd-EAN.5059340418391</t>
  </si>
  <si>
    <t xml:space="preserve">Disco de corte ERBAUER para acero inoxidable y otros metales. Formato: blíster 1 unidad. Uso recomendado: con amoladora angular. Medidas: Ø 125 X 22.2 X 1 mm. Revoluciones (máx): 12.250 rpm.   Ref. bd-EAN.5059340418391.</t>
  </si>
  <si>
    <t xml:space="preserve">ma-bm-10003607</t>
  </si>
  <si>
    <t xml:space="preserve">Material</t>
  </si>
  <si>
    <t xml:space="preserve">und</t>
  </si>
  <si>
    <t xml:space="preserve">Broca para hormigón SDS Plus-3 BOSCH CYL-3; 14x260 mm   Ref. bm-10003607</t>
  </si>
  <si>
    <t xml:space="preserve">Broca para hormigón SDS Plus-3 BOSCH CYL-3; 14x260 mm   Ref. bm-10003607</t>
  </si>
  <si>
    <t xml:space="preserve">ma-lm-10541755</t>
  </si>
  <si>
    <t xml:space="preserve">Material</t>
  </si>
  <si>
    <t xml:space="preserve">envase</t>
  </si>
  <si>
    <t xml:space="preserve">Decapante universal para soldadura blanda GRIFFON S-39 (80 ml/envase).   Ref. lm-10541755</t>
  </si>
  <si>
    <t xml:space="preserve">Decapante de soldadura universal sin ácido, para la soldadura blanda de todos los metales (a excepción del aluminio y sus aleaciones) en prácticamente todos los campos de aplicación.   Ref. ma-lm-10541755
Adecuado para todo tipo de soldadura de estaño sólido. No apto para tuberías de agua potable. Esto requiere el uso de un fundente aprobado por KIWA en combinación con una aleación sin plomo.</t>
  </si>
  <si>
    <t xml:space="preserve">ma-lm-86218534</t>
  </si>
  <si>
    <t xml:space="preserve">Material</t>
  </si>
  <si>
    <t xml:space="preserve">envase</t>
  </si>
  <si>
    <t xml:space="preserve">Decapante líquido con pincel para soldar UNECOL (100 ml/envase).   Ref. lm-86218534</t>
  </si>
  <si>
    <t xml:space="preserve">Decapante líquido con pincel para soldar. Líquido decapante autolimpiador en base acuosa libre de ácido. Como no se requiere una limpieza previa, directamente se aplica Decapante Líquido sobre las dos superficies a soldar, con el pincel que lleva incorporado. Seguidamente se debe calentar con el soplete hasta conseguir la temperatura adecuada, aportando a continuación la soldadura.   Ref. lm-86218534</t>
  </si>
  <si>
    <t xml:space="preserve">ma-lp-00016788</t>
  </si>
  <si>
    <t xml:space="preserve">Material</t>
  </si>
  <si>
    <t xml:space="preserve">paquete</t>
  </si>
  <si>
    <t xml:space="preserve">Bandas de lija en tela de óxido de aluminio de RESINFLEX 100x610 mm grano P150 (10 lijas/paquete).   Ref. lp-00016788</t>
  </si>
  <si>
    <t xml:space="preserve">Bandas portátiles abrasivas RESINFLEX FR3 de tela de óxido de aluminio con buen rendimiento a velocidades bajas. Con abrasivo de óxido de aluminio y soporte de algodón pesado. Ideal para muebles y parquets. Grano Nº 150. Medidas: 100x610 mm.   Ref. lp-00016788.</t>
  </si>
  <si>
    <t xml:space="preserve">ma-lp-00017168</t>
  </si>
  <si>
    <t xml:space="preserve">Material</t>
  </si>
  <si>
    <t xml:space="preserve">und</t>
  </si>
  <si>
    <t xml:space="preserve">Broca para metal BOSCH HSS-G; 12x134x205 mm   Ref. lp-00017168</t>
  </si>
  <si>
    <t xml:space="preserve">Características:- Broca helicoidal de acero ultrarrápido según DIN 340.- Broca helicoidal de corte a la derecha tipo N, punta de broca 135°, afilado en cruz según DIN 1412 C, tolerancia de diámetro h 8.- Brocas helicoidales totalmente rectificadas con capa de óxido para una evacuación óptima de las virutas.- El extremo de inserción se corresponde con el diámetro de perforación. Color de broca: brillante.- 2 aristas de corte, cilíndricas, de 2 espirales.- Medidas: 12x134x205 mm.   Ref. lp-00017168</t>
  </si>
  <si>
    <t xml:space="preserve">ma-lp-00017597</t>
  </si>
  <si>
    <t xml:space="preserve">Material</t>
  </si>
  <si>
    <t xml:space="preserve">pza</t>
  </si>
  <si>
    <t xml:space="preserve">Cepillo Taza Acero 120 mm 50813-120 de BELLOTA.   Ref. lp-00017597</t>
  </si>
  <si>
    <t xml:space="preserve">El cepillo taza de acero 50813-120 de BELLOTA está indicado para trabajar grandes superficies metálicas en amoladoras angulares y en miniamoladoras para zonas de difícil acceso. Longitud de 120 mm.   Ref. lp-00017597.</t>
  </si>
  <si>
    <t xml:space="preserve">ma-lp-00017603</t>
  </si>
  <si>
    <t xml:space="preserve">Material</t>
  </si>
  <si>
    <t xml:space="preserve">pza</t>
  </si>
  <si>
    <t xml:space="preserve">Cepillo Taza acero latonado 125 mm 50812-125 de BELLOTA.   Ref. lp-00017603</t>
  </si>
  <si>
    <t xml:space="preserve">El cepillo taza de acero 50812-125 de BELLOTA está indicado para trabajar grandes superficies metálicas en amoladoras angulares y en miniamoladoras para zonas de difícil acceso. Longitud de 125 mm.   Ref. 00017603.</t>
  </si>
  <si>
    <t xml:space="preserve">ma-lp-00017895</t>
  </si>
  <si>
    <t xml:space="preserve">Material</t>
  </si>
  <si>
    <t xml:space="preserve">pza</t>
  </si>
  <si>
    <t xml:space="preserve">Cutter FATMAX 18mm de STANLEY.   Ref. lp-00017895</t>
  </si>
  <si>
    <t xml:space="preserve">Cútter FATMAX con cuerpo de acero inoxidable. Mango bimateria. Cambio rápido de la hoja.   Ref. lp-00017895.
Gracias a su diseño de almacenaje una vez eliminada la hoja antigua, automáticamente aparecerá la nueva. Mecanismo de limpieza de la hoja. Botón de bloqueo. Este mecanismo evita la oscilación de la hoja y permite realizar cortes más precisos. Rompe hojas extraíble. Almacenamiento de 6 hojas. Ancho de la cinta de 18 mm. Longitud de 180 mm.</t>
  </si>
  <si>
    <t xml:space="preserve">ma-lp-00018838</t>
  </si>
  <si>
    <t xml:space="preserve">Material</t>
  </si>
  <si>
    <t xml:space="preserve">pza</t>
  </si>
  <si>
    <t xml:space="preserve">Navaja cutter plegable de URKO.   Ref. lp-00018838</t>
  </si>
  <si>
    <t xml:space="preserve">Navaja suiza con hoja trapezoidal escamoteable y sistema de seguridad. Cuchilla fácilmente recargable. Plegable: apretar el resorte hacia abajo y plegar.   Ref. lp-00018838.</t>
  </si>
  <si>
    <t xml:space="preserve">ma-lp-00018993</t>
  </si>
  <si>
    <t xml:space="preserve">Material</t>
  </si>
  <si>
    <t xml:space="preserve">und</t>
  </si>
  <si>
    <t xml:space="preserve">Pack soplete ROFIRE PIEZO de ROTHENBERGER con 3 botellas o cartuchos Multigas 300.   Ref. lp-00018993</t>
  </si>
  <si>
    <t xml:space="preserve">Soplete Soldador ROFIRE PIEZO de ROTHENBERGER con encendido piezoeléctrico y 3 botellas o cartuchos Multigas 300. Regulador de la llama. Ajuste preciso de la llama. Boquillas del soplete intercambiables en caso de requerir reparación. Conexión: 7/16" EU. Soldadura fuerte: hasta diámetro de 15 mm. Soldadura blanda: hasta diámetro de 22 mm.   Ref. lp-00018993</t>
  </si>
  <si>
    <t xml:space="preserve">ma-lp-00019523</t>
  </si>
  <si>
    <t xml:space="preserve">Material</t>
  </si>
  <si>
    <t xml:space="preserve">pack</t>
  </si>
  <si>
    <t xml:space="preserve">Cuchilla navaja para cutter 0,6 mm de URKO (10 pzas/pack).   Ref. lp-00019523</t>
  </si>
  <si>
    <t xml:space="preserve">Pack de 10 cuchillas de recambio de longitud 60 mm y 0,6 mm de espesor para la navaja-cútter plegable modelo 113.   Ref. lp-00019523.</t>
  </si>
  <si>
    <t xml:space="preserve">ma-lp-00112817</t>
  </si>
  <si>
    <t xml:space="preserve">Material</t>
  </si>
  <si>
    <t xml:space="preserve">envase</t>
  </si>
  <si>
    <t xml:space="preserve">Decapante en gel para soldar UNECOL (100 gr/envase). Ref. lp-00112817</t>
  </si>
  <si>
    <t xml:space="preserve">Decapante en gel para soldar. Autolimpiador en base acuosa libre de ácido. Como no se requiere una limpieza previa, directamente se aplica Decapante sobre las dos superficies a soldar, Seguidamente se debe calentar con el soplete hasta conseguir la temperatura adecuada, aportando a continuación la soldadura. Disponible en líquido, gel y pasta.   Ref. lp-00112817</t>
  </si>
  <si>
    <t xml:space="preserve">ma-lp-00112821</t>
  </si>
  <si>
    <t xml:space="preserve">Material</t>
  </si>
  <si>
    <t xml:space="preserve">envase</t>
  </si>
  <si>
    <t xml:space="preserve">Decapante líquido con pincel para soldar UNECOL (100 ml/envase).   Ref. lp-00112821</t>
  </si>
  <si>
    <t xml:space="preserve">Decapante líquido con pincel para soldar. Líquido decapante autolimpiador en base acuosa libre de ácido. Como no se requiere una limpieza previa, directamente se aplica Decapante Líquido sobre las dos superficies a soldar, con el pincel que lleva incorporado. Seguidamente se debe calentar con el soplete hasta conseguir la temperatura adecuada, aportando a continuación la soldadura. Disponible en líquido, gel y pasta.   Ref. lp-00112821</t>
  </si>
  <si>
    <t xml:space="preserve">ma-lp-00288080</t>
  </si>
  <si>
    <t xml:space="preserve">Material</t>
  </si>
  <si>
    <t xml:space="preserve">lata</t>
  </si>
  <si>
    <t xml:space="preserve">Disco abrasivo DEWALT FAST CUT; 115x1x22,23 mm para el corte de acero inoxidable (10 discos/lata)   Ref. lp-00288080</t>
  </si>
  <si>
    <t xml:space="preserve">Disco abrasivo para uso con amoladora de 115 mm. Especialmente indicado para el corte de acero inoxidable ya que proporciona un corte fino. Medidas: 115x1x22,23 mm.   Ref. lp-00288080</t>
  </si>
  <si>
    <t xml:space="preserve">ma-lp-00367910</t>
  </si>
  <si>
    <t xml:space="preserve">Material</t>
  </si>
  <si>
    <t xml:space="preserve">caja</t>
  </si>
  <si>
    <t xml:space="preserve">Juego de brocas metal HSS-CO-DIN 338 (19 brocas/caja).   Ref. lp-00367910</t>
  </si>
  <si>
    <t xml:space="preserve">Juego de 19 Brocas rectificadas HSS-Co, fabricadas con 5% de cobalto y con una aleación de acero altamente resistente al calor conforme DIN 338 Adecuadas para taladrar aceros y metales con una resistencia a la tracción superior a 1000N/mm², como aceros resistentes al calor, al ácido y acero inoxidable.   Ref. lp-00367910</t>
  </si>
  <si>
    <t xml:space="preserve">ma-lp-00532404</t>
  </si>
  <si>
    <t xml:space="preserve">Material</t>
  </si>
  <si>
    <t xml:space="preserve">bolsa</t>
  </si>
  <si>
    <t xml:space="preserve">Bridas BIGMAT 1,5 mm para nivelación de pavimentos y revestimientos cerámicos (300 pzas/bolsa).   Ref. lp-00532404</t>
  </si>
  <si>
    <t xml:space="preserve">Bridas de polipropileno para la nivelación de pavimentos y revestimientos cerámicos. Permiten una línea de lechada de 1,5 mm.   Ref. lp-00532404</t>
  </si>
  <si>
    <t xml:space="preserve">ma-lp-00532407</t>
  </si>
  <si>
    <t xml:space="preserve">Material</t>
  </si>
  <si>
    <t xml:space="preserve">bolsa</t>
  </si>
  <si>
    <t xml:space="preserve">Cuñas BIGMAT para la nivelación de pavimentos y revestimientos cerámicos (300 pzas/bolsa).   Ref lp-00532407</t>
  </si>
  <si>
    <t xml:space="preserve">Cuñas de polipropileno y poliamida para la nivelación de pavimentos y revestimientos cerámicos.   Ref lp-00532407.</t>
  </si>
  <si>
    <t xml:space="preserve">ma-lp-00532409</t>
  </si>
  <si>
    <t xml:space="preserve">Material</t>
  </si>
  <si>
    <t xml:space="preserve">und</t>
  </si>
  <si>
    <t xml:space="preserve">Tenaza de nivelación BIGMAT para trabajos con cuñas y bridas en nivelación de pavimentos y revestimientos cerámicos.   Ref. lp-00532409</t>
  </si>
  <si>
    <t xml:space="preserve">Tenaza metálica fabricada en poliamida con fibra de vidrio y refuerzo metálico interior, para trabajos con cuñas y bridas en la nivelación de pavimentos y revestimientos cerámicos. Permite ajustar la cuña sobre la base en el sistema de nivelación de cerámica.   Ref. lp-00532409.</t>
  </si>
  <si>
    <t xml:space="preserve">ma-lp-00533056</t>
  </si>
  <si>
    <t xml:space="preserve">Material</t>
  </si>
  <si>
    <t xml:space="preserve">pack</t>
  </si>
  <si>
    <t xml:space="preserve">Cuchilla para cutter 18 mm (10 pzas/pack).   Ref. lp-00533056</t>
  </si>
  <si>
    <t xml:space="preserve">Cuchilla para cutter 18 mm.   Ref. lp-00533056.</t>
  </si>
  <si>
    <t xml:space="preserve">ma-lp-00538683</t>
  </si>
  <si>
    <t xml:space="preserve">Material</t>
  </si>
  <si>
    <t xml:space="preserve">pza</t>
  </si>
  <si>
    <t xml:space="preserve">Broca diamantada porcelánico 6 mm de VACUUM BRAZING.   Ref. lp-00538683</t>
  </si>
  <si>
    <t xml:space="preserve">Brocas diamantadas para corte en seco, no es necesaria la lubricación con agua. Para perforar materiales cerámicos, gres, gres porcelánico (porcelanato), mármol, granito.   Ref. lp-00538683.
Tecnología VACUUM BRAZING (soldadura en vacío) que mejora la retención de los granos de diamante, consiguiendo incrementar considerablemente la vida útil de la broca, aumentando la resistencia al calentamiento y al desgaste por fricción.</t>
  </si>
  <si>
    <t xml:space="preserve">ma-lp-00538684</t>
  </si>
  <si>
    <t xml:space="preserve">Material</t>
  </si>
  <si>
    <t xml:space="preserve">pza</t>
  </si>
  <si>
    <t xml:space="preserve">Broca diamantada porcelánico 8 mm de VACUUM BRAZING.   Ref. lp-00538684</t>
  </si>
  <si>
    <t xml:space="preserve">Brocas diamantadas para corte en seco, no es necesaria la lubricación con agua. Para perforar materiales cerámicos, gres, gres porcelánico (porcelanato), mármol, granito.   Ref. lp-00538684.
Tecnología VACUUM BRAZING (soldadura en vacío) que mejora la retención de los granos de diamante, consiguiendo incrementar considerablemente la vida útil de la broca, aumentando la resistencia al calentamiento y al desgaste por fricción.</t>
  </si>
  <si>
    <t xml:space="preserve">ma-lp-00538685</t>
  </si>
  <si>
    <t xml:space="preserve">Material</t>
  </si>
  <si>
    <t xml:space="preserve">pza</t>
  </si>
  <si>
    <t xml:space="preserve">Broca diamantada porcelánico 10 mm de VACUUM BRAZING.   Ref. lp-00538685</t>
  </si>
  <si>
    <t xml:space="preserve">Brocas diamantadas para corte en seco, no es necesaria la lubricación con agua. Para perforar materiales cerámicos, gres, gres porcelánico (porcelanato), mármol, granito.   Ref. lp-00538685.
Tecnología VACUUM BRAZING (soldadura en vacío) que mejora la retención de los granos de diamante, consiguiendo incrementar considerablemente la vida útil de la broca, aumentando la resistencia al calentamiento y al desgaste por fricción.</t>
  </si>
  <si>
    <t xml:space="preserve">ma-lp-00539160</t>
  </si>
  <si>
    <t xml:space="preserve">Material</t>
  </si>
  <si>
    <t xml:space="preserve">disco</t>
  </si>
  <si>
    <t xml:space="preserve">Disco diamante contínuo DHTI de MILWAUKEE 115 mm.   Ref. lp-00539160</t>
  </si>
  <si>
    <t xml:space="preserve">Disco Diamante Turbo DHTI de MILWAUKEE diseñado para cortar sin descantillar en baldosa y piedra natural fina. Altura de segmento: Ancho de corte 2 mm.   Ref. lp-00539160</t>
  </si>
  <si>
    <t xml:space="preserve">ma-lp-00539955</t>
  </si>
  <si>
    <t xml:space="preserve">Material</t>
  </si>
  <si>
    <t xml:space="preserve">bolsa</t>
  </si>
  <si>
    <t xml:space="preserve">Cruceta plástica BIGMAT de 1 mm para instalación de baldosas de cerámica. (500 pzas/bolsa)    Ref.: 00539955</t>
  </si>
  <si>
    <t xml:space="preserve">Cruceta plástica BIGMAT de 1 mm para instalación de baldosas de cerámica. (500 pzas/bolsa)</t>
  </si>
  <si>
    <t xml:space="preserve">ma-lp-00539956</t>
  </si>
  <si>
    <t xml:space="preserve">Material</t>
  </si>
  <si>
    <t xml:space="preserve">bolsa</t>
  </si>
  <si>
    <t xml:space="preserve">Cruceta plástica BIGMAT de 1,5 mm para instalación de baldosas de cerámica. (500 pzas/bolsa)   Ref.: 00539956</t>
  </si>
  <si>
    <t xml:space="preserve">Cruceta plástica BIGMAT de 1,5 mm para instalación de baldosas de cerámica. (500 pzas/bolsa)</t>
  </si>
  <si>
    <t xml:space="preserve">ma-lp-00539957</t>
  </si>
  <si>
    <t xml:space="preserve">Material</t>
  </si>
  <si>
    <t xml:space="preserve">bolas</t>
  </si>
  <si>
    <t xml:space="preserve">Cruceta plástica BIGMAT de 2 mm para instalación de baldosas de cerámica. (500 pzas/bolsa)   Ref.: 00539957</t>
  </si>
  <si>
    <t xml:space="preserve">Cruceta plástica BIGMAT de 2 mm para instalación de baldosas de cerámica. (500 pzas/bolsa)</t>
  </si>
  <si>
    <t xml:space="preserve">ma-lp-00552545</t>
  </si>
  <si>
    <t xml:space="preserve">Material</t>
  </si>
  <si>
    <t xml:space="preserve">disco</t>
  </si>
  <si>
    <t xml:space="preserve">Disco diamante porcelánico BIG-SPRINT de BIGMAT turbo 115 mm.   Ref. lp-00552545</t>
  </si>
  <si>
    <t xml:space="preserve">Disco diamante porcelánico BIG-SPRINT de BIGMAT turbo 115 mm. Disco de alta concentración diamantada para cortar con rapidez y perfecto acabado todo tipo de materiales duros, especialmente el Gres Porcelánico.   Ref. lp-00552545</t>
  </si>
  <si>
    <t xml:space="preserve">ma-lp-00556676</t>
  </si>
  <si>
    <t xml:space="preserve">Material</t>
  </si>
  <si>
    <t xml:space="preserve">disco</t>
  </si>
  <si>
    <t xml:space="preserve">Disco de corte BIGMAT estándar para acero inoxidable 115x1 retractilado.   Ref. lp-00556676</t>
  </si>
  <si>
    <t xml:space="preserve">Disco de corte BIGMAT estándar para acero inoxidable 115x1 retractilado. Disco de corte fino para acero inoxidable. Sin hierro, azufre ni cloro. Mínima formación de rebaba. Buen rendimiento de corte con una presión de contacto reducida.   Ref. lp-00556676</t>
  </si>
  <si>
    <t xml:space="preserve">ma-lp-00556677</t>
  </si>
  <si>
    <t xml:space="preserve">Material</t>
  </si>
  <si>
    <t xml:space="preserve">disco</t>
  </si>
  <si>
    <t xml:space="preserve">Disco de corte BIGMAT estándar para acero inoxidable 230x1,9 retractilado.   Ref.: lp-00556677</t>
  </si>
  <si>
    <t xml:space="preserve">Disco de corte BIGMAT estándar para acero inoxidable 230x1,9 retractilado. Disco de corte fino para acero inoxidable. Sin hierro, azufre ni cloro. Mínima formación de rebaba. Buen rendimiento de corte con una presión de contacto reducida.   Ref.: lp-00556677</t>
  </si>
  <si>
    <t xml:space="preserve">ma-lp-00556678</t>
  </si>
  <si>
    <t xml:space="preserve">Material</t>
  </si>
  <si>
    <t xml:space="preserve">disco</t>
  </si>
  <si>
    <t xml:space="preserve">Disco de corte BIGMAT estándar para metal 115x2,5.   Ref. lp-00556678</t>
  </si>
  <si>
    <t xml:space="preserve">Disco de corte BIGMAT estándar para metal 115x2,5.   Ref. lp-00556678</t>
  </si>
  <si>
    <t xml:space="preserve">ma-lp-00556679</t>
  </si>
  <si>
    <t xml:space="preserve">Material</t>
  </si>
  <si>
    <t xml:space="preserve">disco</t>
  </si>
  <si>
    <t xml:space="preserve">Disco de corte BIGMAT estándar para metal 230x3.   Ref. lp-00556679</t>
  </si>
  <si>
    <t xml:space="preserve">Disco de corte BIGMAT estándar para metal 115x2,5.   Ref. lp-00556679</t>
  </si>
  <si>
    <t xml:space="preserve">ma-lp-00557410</t>
  </si>
  <si>
    <t xml:space="preserve">Material</t>
  </si>
  <si>
    <t xml:space="preserve">und</t>
  </si>
  <si>
    <t xml:space="preserve">Broca para metal MILWAUKEE THUNDERWEB HSS; 12.0X151 mm   Ref. lp-00557410</t>
  </si>
  <si>
    <t xml:space="preserve">El diseño THUNDERWEB esta basado en una alma cónica, la cual es más estrecha en la punta de la broca y más gruesa al final de la espiral. Las brocas estándar tienen un grosor constante a lo largo de su alma. Aún así, la zona más estrecha de nuestra broca, es más gruesa comparada con la competencia.
- Sección de la espiral: Alma de la broca reforzada gracias a su espesor
- Diseño de la espiral - La espiral THUNDERWEB elimina las virutas rápidamente, disipa mejor el calor aumentando la durabilidad
- Punta de 4 cortes afilada a 135° - Comienzos de precisión, la broca no patina en la superficie
- El acabado pulido reduce la fricción y aumenta la durabilidad de la broca
- Estuche en ABS y esquinas engomadas, resistente a los golpes
- Menos roturas al resistir mayor torsión y presión</t>
  </si>
  <si>
    <t xml:space="preserve">ma-lp-00557439</t>
  </si>
  <si>
    <t xml:space="preserve">Material</t>
  </si>
  <si>
    <t xml:space="preserve">und</t>
  </si>
  <si>
    <t xml:space="preserve">Broca para hormigón SDS-Plus M2 MILWAUKEE; 14x160 mm   Ref. lp-00557439</t>
  </si>
  <si>
    <t xml:space="preserve">Broca para hormigón SDS-Plus M2 MILWAUKEE; 14x160 mm   Ref. lp-00557439</t>
  </si>
  <si>
    <t xml:space="preserve">ma-lp-00564134</t>
  </si>
  <si>
    <t xml:space="preserve">Material</t>
  </si>
  <si>
    <t xml:space="preserve">caja</t>
  </si>
  <si>
    <t xml:space="preserve">Bandas de lija KL de KLINSPOR 100x610 mm grano P100 (3 lijas/caja).   Ref. lp-00564134</t>
  </si>
  <si>
    <t xml:space="preserve">Bandas de lija KL de KLINSPOR 100x610 mm grano P100 (3 lijas/caja).   Ref. lp-00564134</t>
  </si>
  <si>
    <t xml:space="preserve">ma-lp-00564171</t>
  </si>
  <si>
    <t xml:space="preserve">Material</t>
  </si>
  <si>
    <t xml:space="preserve">disco</t>
  </si>
  <si>
    <t xml:space="preserve">Disco de corte BIGMAT inox/metal 125x2,5 mm retractilado.   Ref. lp-00564171</t>
  </si>
  <si>
    <t xml:space="preserve">Disco de corte BIGMAT para acero inoxidable y otros metales. Formato: blíster 1 unidad. Uso recomendado: con amoladora angular. Medidas: Ø 125 X 22.2 X 2.5 mm. Revoluciones (máx): 12.250 rpm.   Ref. lp-00564171.</t>
  </si>
  <si>
    <t xml:space="preserve">ma-lp-00564172</t>
  </si>
  <si>
    <t xml:space="preserve">Material</t>
  </si>
  <si>
    <t xml:space="preserve">pza</t>
  </si>
  <si>
    <t xml:space="preserve">Disco de corte BIGMAT inox/metal 125x1 mm retractilado.   Ref. lp-00564172</t>
  </si>
  <si>
    <t xml:space="preserve">Disco de corte BIGMAT para acero inoxidable y otros metales. Formato: blíster 1 unidad. Uso recomendado: con amoladora angular. Medidas: Ø 125 X 22.2 X 1 mm. Revoluciones (máx): 12.250 rpm.   Ref. lp-00564172.</t>
  </si>
  <si>
    <t xml:space="preserve">ma-lp-00564750</t>
  </si>
  <si>
    <t xml:space="preserve">Material</t>
  </si>
  <si>
    <t xml:space="preserve">lata</t>
  </si>
  <si>
    <t xml:space="preserve">Lata de 10 discos BIGMAT A660R para acero inoxidable 125X1X22,23   Ref.: 00564750</t>
  </si>
  <si>
    <t xml:space="preserve">Lata de 10 discos BIGMAT A660R para acero inoxidable 125X1X22,23   Ref.: 00564750</t>
  </si>
  <si>
    <t xml:space="preserve">ma-lp-00564751</t>
  </si>
  <si>
    <t xml:space="preserve">Material</t>
  </si>
  <si>
    <t xml:space="preserve">lata</t>
  </si>
  <si>
    <t xml:space="preserve">Lata de 10 discos de corte BIGMAT estándar para acero inoxidable 115X1X22,23 retractilado.   Ref. lp-00564751</t>
  </si>
  <si>
    <t xml:space="preserve">Lata de 10 discos de corte BIGMAT estándar para acero inoxidable 115x1 retractilado. Disco de corte fino para acero inoxidable. Sin hierro, azufre ni cloro. Mínima formación de rebaba. Buen rendimiento de corte con una presión de contacto reducida.   Ref. lp-00564751</t>
  </si>
  <si>
    <t xml:space="preserve">ACC.EQPS.y.HERRAMIENTAS</t>
  </si>
  <si>
    <t xml:space="preserve">ACERO.INOXIDABLE</t>
  </si>
  <si>
    <t xml:space="preserve">Capítulo</t>
  </si>
  <si>
    <t xml:space="preserve">ACERO INOXIDABLE</t>
  </si>
  <si>
    <t xml:space="preserve">ma-Schluter.Systems-KD.SPE.45/25</t>
  </si>
  <si>
    <t xml:space="preserve">Material</t>
  </si>
  <si>
    <t xml:space="preserve">pza</t>
  </si>
  <si>
    <t xml:space="preserve">Gárgola de acero inoxidable AISI 304 Schlüter-KERDI-DRAIN-SP-E 250 mm (diámetro: 45 mm).   Ref. Schluter.Systems-KD.SPE.45/25</t>
  </si>
  <si>
    <t xml:space="preserve">Gárgola de acero inoxidable AISI 304, formada por placa en L de 100x100 mm, y tubo de salida de 45 mm de diámetro y 250 mm de longitud.   Ref. Schluter.Systems-KD.SPE.45/25
Schlüter-KERDI-DRAIN-SP es un imbornal (gárgola) de acero inoxidable que permite el desagüe de superficies en balcones y terrazas delimitadas por un muro. El manguito Schlüter-KERDI se pega sobre la pletina como entrega impermeable que garantiza una unión sencilla y segura a la impermeabilización. Si existen muros perimetrales que impiden la evacuación del agua por los lados, deberán instalarse dos desagües independientes según la norma DIN EN 12056, como p. ej. un desagüe por el suelo y un imbornal, o dos imbornales. De conformidad con la reglamentación, el segundo imbornal servirá como rebosadero de seguridad.</t>
  </si>
  <si>
    <t xml:space="preserve">ma-aliexpress-placa.ai-100x100mm</t>
  </si>
  <si>
    <t xml:space="preserve">Material</t>
  </si>
  <si>
    <t xml:space="preserve">placa</t>
  </si>
  <si>
    <t xml:space="preserve">Placa cuadrada pulida de acero inoxidable 316, espesor 2 mm (150x150 mm/pza).   Ref. aliexpress-placa.ai-100x100mm</t>
  </si>
  <si>
    <t xml:space="preserve">Placa cuadrada pulida de acero inoxidable 316, espesor 2 mm (150x150 mm/pza).   Ref. aliexpress-placa.ai-100x100mm</t>
  </si>
  <si>
    <t xml:space="preserve">ma-aliexpress-placa.ai-150x150mm</t>
  </si>
  <si>
    <t xml:space="preserve">Material</t>
  </si>
  <si>
    <t xml:space="preserve">placa</t>
  </si>
  <si>
    <t xml:space="preserve">Placa cuadrada pulida de acero inoxidable 316, espesor 2 mm (150x150 mm/pza).   Ref. aliexpress-placa.ai-150x150mm</t>
  </si>
  <si>
    <t xml:space="preserve">Placa cuadrada pulida de acero inoxidable 316, espesor 2 mm (150x150 mm/pza).   Ref. aliexpress-placa.ai-150x150mm</t>
  </si>
  <si>
    <t xml:space="preserve">ma-aliexpress-placa.ai-50x50mm</t>
  </si>
  <si>
    <t xml:space="preserve">Material</t>
  </si>
  <si>
    <t xml:space="preserve">placa</t>
  </si>
  <si>
    <t xml:space="preserve">Placa cuadrada pulida de acero inoxidable 316, espesor 2 mm (150x150 mm/pza).   Ref. aliexpress-placa.ai-50x50mm</t>
  </si>
  <si>
    <t xml:space="preserve">Placa cuadrada pulida de acero inoxidable 316, espesor 2 mm (150x150 mm/pza).   Ref. aliexpress-placa.ai-50x50mm</t>
  </si>
  <si>
    <t xml:space="preserve">ma-cype-mt26dbe330a</t>
  </si>
  <si>
    <t xml:space="preserve">Material</t>
  </si>
  <si>
    <t xml:space="preserve">m</t>
  </si>
  <si>
    <t xml:space="preserve">Barandilla de acero inoxidable AISI 304 acabado brillante de 100 cm de altura.   Ref. cype-mt26dbe330a</t>
  </si>
  <si>
    <t xml:space="preserve">Barandilla de acero inoxidable AISI 304 acabado brillante de 100 cm de altura, compuesta de pasamanos de 42 mm de diámetro, sujeto a montantes verticales provistos de remate superior inclinado hacia el interior, respecto al plano vertical de la barandilla, para dificultar su escalada de 40x10 mm dispuestos cada 120 cm y entrepaño de 3 barrotes horizontales de 16 mm de diámetro soldados a los montantes.   Ref. cype-mt26dbe330a.</t>
  </si>
  <si>
    <t xml:space="preserve">ma-bi-s/c-001</t>
  </si>
  <si>
    <t xml:space="preserve">Material</t>
  </si>
  <si>
    <t xml:space="preserve">pza</t>
  </si>
  <si>
    <t xml:space="preserve">Tubo sección circular de acero inoxidable AISI-304 BA acabado exterior pulido brillo; 43x1,5x2000 mm (2 m/pza).   Ref. bi-S/C-001</t>
  </si>
  <si>
    <t xml:space="preserve">Tubo sección circular de acero inoxidable AISI-304 BA acabado exterior pulido brillo; 43x1,5x2000 mm (2 m/pza).   Ref. bi-S/C-001</t>
  </si>
  <si>
    <t xml:space="preserve">ma-bi-s/c-002</t>
  </si>
  <si>
    <t xml:space="preserve">Material</t>
  </si>
  <si>
    <t xml:space="preserve">pza</t>
  </si>
  <si>
    <t xml:space="preserve">Pletina o barra maciza de acero inoxidable AISI-304 BA acabado exterior pulido industrial; 50x10x1000 mm (1 m/pza).   Ref. BRICOINOX-S/C-002</t>
  </si>
  <si>
    <t xml:space="preserve">Pletina o barra maciza de acero inoxidable AISI-304 BA acabado exterior pulido industrial; 50x10x1000 mm (1 m/pza).   Ref. BRICOINOX-S/C-002</t>
  </si>
  <si>
    <t xml:space="preserve">ma-bi-s/c-003</t>
  </si>
  <si>
    <t xml:space="preserve">Material</t>
  </si>
  <si>
    <t xml:space="preserve">pza</t>
  </si>
  <si>
    <t xml:space="preserve">Tubo sección cuadrada de acero inoxidable AISI-304 BA acabado exterior pulido brillo; 40x1,5x2000 mm (2 m/pza).   Ref. bi-S/C-003</t>
  </si>
  <si>
    <t xml:space="preserve">Tubo sección cuadrada de acero inoxidable AISI-304 BA acabado exterior pulido brillo; 40x1,5x2000 mm (2 m/pza).   Ref. bi-S/C-003</t>
  </si>
  <si>
    <t xml:space="preserve">ma-centralbiomasa-2500042</t>
  </si>
  <si>
    <t xml:space="preserve">Material</t>
  </si>
  <si>
    <t xml:space="preserve">pza</t>
  </si>
  <si>
    <t xml:space="preserve">Abrazadera mural para tubo modular doble pared acero inoxidable 200 mm para conductos AISI 304 de SCHÜTZ o ROS TUBOS.   Ref. centralbiomasa-2500042</t>
  </si>
  <si>
    <t xml:space="preserve">Abrazadera mural para tubo modular doble pared acero inoxidable 200 mm para conductos AISI 304 de SCHÜTZ o ROS TUBOS.   Ref. centralbiomasa-2500042</t>
  </si>
  <si>
    <t xml:space="preserve">ma-centralbiomasa-2500043</t>
  </si>
  <si>
    <t xml:space="preserve">Material</t>
  </si>
  <si>
    <t xml:space="preserve">pza</t>
  </si>
  <si>
    <t xml:space="preserve">Abrazadera mural para tubo modular doble pared acero inoxidable 250 mm para conductos AISI 304 de SCHÜTZ o ROS TUBOS.   Ref. centralbiomasa-2500043</t>
  </si>
  <si>
    <t xml:space="preserve">Abrazadera mural para tubo modular doble pared acero inoxidable 250 mm para conductos AISI 304 de SCHÜTZ o ROS TUBOS.   Ref. centralbiomasa-2500043</t>
  </si>
  <si>
    <t xml:space="preserve">ma-centralbiomasa-4600706</t>
  </si>
  <si>
    <t xml:space="preserve">Material</t>
  </si>
  <si>
    <t xml:space="preserve">pza</t>
  </si>
  <si>
    <t xml:space="preserve">Abrazadera pared regulable doble pared acero inoxidable 200 mm para conductos AISI 304 de SCHÜTZ o ROS TUBOS.   Ref. centralbiomasa-4600706</t>
  </si>
  <si>
    <t xml:space="preserve">Abrazadera pared regulable doble pared acero inoxidable 200 mm para conductos AISI 304 de SCHÜTZ o ROS TUBOS.   Ref. centralbiomasa-4600706</t>
  </si>
  <si>
    <t xml:space="preserve">ma-centralbiomasa-4600709</t>
  </si>
  <si>
    <t xml:space="preserve">Material</t>
  </si>
  <si>
    <t xml:space="preserve">pza</t>
  </si>
  <si>
    <t xml:space="preserve">Abrazadera pared regulable doble pared acero inoxidable 250 mm para conductos AISI 304 de SCHÜTZ o ROS TUBOS.   Ref. centralbiomasa-4600709</t>
  </si>
  <si>
    <t xml:space="preserve">Abrazadera pared regulable doble pared acero inoxidable 250 mm para conductos AISI 304 de SCHÜTZ o ROS TUBOS.   Ref. centralbiomasa-4600709</t>
  </si>
  <si>
    <t xml:space="preserve">ma-ggb-placa.ai-150x150mm</t>
  </si>
  <si>
    <t xml:space="preserve">Material</t>
  </si>
  <si>
    <t xml:space="preserve">placa</t>
  </si>
  <si>
    <t xml:space="preserve">Placa cuadrada pulida de acero inoxidable 304 2B, espesor 3 mm (150x150 mm/pza).   Ref. ggb-placa.ai-150x150mm</t>
  </si>
  <si>
    <t xml:space="preserve">Placa cuadrada pulida de acero inoxidable 304 2B, espesor 3 mm (150x150 mm/pza).   Ref. ggb-placa.ai-150x150mm</t>
  </si>
  <si>
    <t xml:space="preserve">ma-guma-RCI304006</t>
  </si>
  <si>
    <t xml:space="preserve">Material</t>
  </si>
  <si>
    <t xml:space="preserve">pza</t>
  </si>
  <si>
    <t xml:space="preserve">Redondo corrugado de acero inoxidable (6 mm x 6m/pza).    Ref. guma-RCI304006</t>
  </si>
  <si>
    <t xml:space="preserve">Redondo corrugado de acero inoxidable (6 mm x 6m/pza).    Ref. guma-RCI304006</t>
  </si>
  <si>
    <t xml:space="preserve">ma-lm-18608583</t>
  </si>
  <si>
    <t xml:space="preserve">Material</t>
  </si>
  <si>
    <t xml:space="preserve">pza</t>
  </si>
  <si>
    <t xml:space="preserve">Tensor de acero inoxidable 5 mm de STANDERS.   Ref. lm-18608583</t>
  </si>
  <si>
    <t xml:space="preserve">Tensor STANDERS de 5 mm de diámetro fabricado en acero inoxidable con acabado de color gris plata. Soporta un peso de 50 kg/daN.   Ref. lm-18608583.</t>
  </si>
  <si>
    <t xml:space="preserve">ma-lp-00149678</t>
  </si>
  <si>
    <t xml:space="preserve">Material</t>
  </si>
  <si>
    <t xml:space="preserve">pza</t>
  </si>
  <si>
    <t xml:space="preserve">Tubo pasamanos en acero inoxidable acabado satinado AISI 304; 42,4x2,0 mm (3 m/pza; 6,06 kg/pza)   Ref. lp-00149678</t>
  </si>
  <si>
    <t xml:space="preserve">Tubo pasamanos en acero inoxidable acabado satinado AISI 304; 42,4x2,0 mm (3 m/pza; 6,06 kg/pza)   Ref. lp-00149678</t>
  </si>
  <si>
    <t xml:space="preserve">ma-lp-00149701</t>
  </si>
  <si>
    <t xml:space="preserve">Material</t>
  </si>
  <si>
    <t xml:space="preserve">paquete</t>
  </si>
  <si>
    <t xml:space="preserve">Pinza maciza redonda con base plana en acero inoxidable satinado AISI 316 (4 unds (50x40x28 mm)/paquete).   Ref. lp-00149701</t>
  </si>
  <si>
    <t xml:space="preserve">Pinza maciza redonda en acero inoxidable AISI 316 acabado satinado para vidrio en chapa con base plana. Medidas: 50x40x28 mm. Peso: 0,18 kg.   Ref. lp-00149701.</t>
  </si>
  <si>
    <t xml:space="preserve">ma-lp-00149728</t>
  </si>
  <si>
    <t xml:space="preserve">Material</t>
  </si>
  <si>
    <t xml:space="preserve">paquete</t>
  </si>
  <si>
    <t xml:space="preserve">Pinza maciza redonda con base curva en acero inoxidable satinado AISI 316 (4 unds (50x40x28 mm)/paquete).   Ref. lp-00149728</t>
  </si>
  <si>
    <t xml:space="preserve">Pinza maciza redonda en acero inoxidable AISI 316 acabado satinado para vidrio en chapa con base curva. Medidas: 50x40x28 mm. Peso: 0,18 kg.   Ref. lp-00149728.</t>
  </si>
  <si>
    <t xml:space="preserve">ma-lp-00149737</t>
  </si>
  <si>
    <t xml:space="preserve">Material</t>
  </si>
  <si>
    <t xml:space="preserve">paquete</t>
  </si>
  <si>
    <t xml:space="preserve">Pinza maciza redonda con base curva en acero inoxidable satinado AISI 316 (4 unds (63x45x30 mm)/paquete).   Ref. lp-00149737</t>
  </si>
  <si>
    <t xml:space="preserve">Pinza maciza redonda en acero inoxidable AISI 316 acabado satinado para vidrio en chapa con base plana. Medidas: 63x45x30 mm. Peso: 0,19 kg.   Ref. lp-00149737.</t>
  </si>
  <si>
    <t xml:space="preserve">ma-lp-00278894</t>
  </si>
  <si>
    <t xml:space="preserve">Material</t>
  </si>
  <si>
    <t xml:space="preserve">pza</t>
  </si>
  <si>
    <t xml:space="preserve">Grapa de acero inoxidable para reparar grietas en fachadas (200x95x10 mm).   Ref. lp-00278894</t>
  </si>
  <si>
    <t xml:space="preserve">Grapa de acero inoxidable 200x95x10 mm indicada para la reparación de grietas y fisuras en fachadas.   Ref. lp- 00278894</t>
  </si>
  <si>
    <t xml:space="preserve">ma-lp-00278895</t>
  </si>
  <si>
    <t xml:space="preserve">Material</t>
  </si>
  <si>
    <t xml:space="preserve">pza</t>
  </si>
  <si>
    <t xml:space="preserve">Grapa de acero inoxidable para reparar grietas en fachadas (125x95x10 mm).   Ref. lp-00278895</t>
  </si>
  <si>
    <t xml:space="preserve">Grapa de acero inoxidable 125x95x10 mm indicada para la reparación de grietas y fisuras en fachadas.   Ref. lp- 00278895</t>
  </si>
  <si>
    <t xml:space="preserve">ma-lp-00351248</t>
  </si>
  <si>
    <t xml:space="preserve">Material</t>
  </si>
  <si>
    <t xml:space="preserve">caja</t>
  </si>
  <si>
    <t xml:space="preserve">Electrodo rutilo para acero inoxidable EUTECTRODE E 316L-17 CASTOLÍN EUTECTIC; 2.5x300mm (10 varillas/caja).   Ref. lp-00351248</t>
  </si>
  <si>
    <t xml:space="preserve">Electrodo revestido de rutilo con 110% de rendimiento depósito de soldadura austenítico, con resistencia contra la corrosión intercristalina hasta 400 ºC.   Ref. lp-00351248</t>
  </si>
  <si>
    <t xml:space="preserve">ma-lp-00351616</t>
  </si>
  <si>
    <t xml:space="preserve">Material</t>
  </si>
  <si>
    <t xml:space="preserve">caja</t>
  </si>
  <si>
    <t xml:space="preserve">Electrodo rutilo para acero inoxidable EUTECTRODE E 316L-17 CASTOLÍN EUTECTIC; 3,25x350mm (5 varillas/caja).   Ref. lp-00351616</t>
  </si>
  <si>
    <t xml:space="preserve">Electrodo revestido de rutilo con 110% de rendimiento depósito de soldadura austenítico, con resistencia contra la corrosión intercristalina hasta 400 ºC.   Ref. lp-00351616</t>
  </si>
  <si>
    <t xml:space="preserve">ma-lp-00564478</t>
  </si>
  <si>
    <t xml:space="preserve">Material</t>
  </si>
  <si>
    <t xml:space="preserve">pza</t>
  </si>
  <si>
    <t xml:space="preserve">Varilla antipaloma con base y pinchos en acero inoxidable X140 (50 cm/pza con 32 púas).   Ref. lp-00564478</t>
  </si>
  <si>
    <t xml:space="preserve">Varilla antiposamiento de palomas, gaviotas y aves pequeñas, con púas y base 100 % acero inoxidable.   Ref. lp-00564478.
La base está garantizada por una duración de más de 25 años. Cada pieza mide 50 cm de largo y dispone de 32 púas (grosor: 1,3 mm; altura: 11,5 cm; ancho: 16 cm) que protegen hasta 19 cm. Se puede pegar o atornillar, si se elige esta segunda opción puede llegar a durar casi eternamente si se instala correctamente.</t>
  </si>
  <si>
    <t xml:space="preserve">ma-manomano-ME2856043</t>
  </si>
  <si>
    <t xml:space="preserve">Material</t>
  </si>
  <si>
    <t xml:space="preserve">pza</t>
  </si>
  <si>
    <t xml:space="preserve">Tubo sección circular de acero inoxidable AISI-304L acabado exterior pulido brillo; 30x1,5x3000 mm (3 m/pza).   Ref. manomano-ME2856043</t>
  </si>
  <si>
    <t xml:space="preserve">Tubo redondo acero inoxidable 304L soldado HF para decoración diámetro exterior 30 mm espesor 1,5 mm.   Ref. manomano-ME2856043.</t>
  </si>
  <si>
    <t xml:space="preserve">ma-sie-GP07</t>
  </si>
  <si>
    <t xml:space="preserve">Material</t>
  </si>
  <si>
    <t xml:space="preserve">paquete</t>
  </si>
  <si>
    <t xml:space="preserve">Grapas de contención de grietas en acero inoxidable 95x125x6 mm (4 pzas/paquete).   Ref. sie-GP07</t>
  </si>
  <si>
    <t xml:space="preserve">Grapa para grietas Norma MFB16 Material: Corrugado Acabado: Crudo/Acero Inox AISI 304 Descripción: Varilla en forma de "U".   Ref. sie-GP07 (sie=SUBMINISTRAMENTS INDUSTRIALES ESQUERDA).
Aplicación: Impedirá la expansión de la grieta de su pared, suelo o techo independientemente del material del que sea la superficie a reparar (pladur, piedra, asfalto, hormigón, ladrillo, etc.), “cosiendo" la grieta a intervalos, asegurando así la estructura vista (fabricadas en una sola pieza, el corrugado ferroso se suministra crudo para usar como testigo).</t>
  </si>
  <si>
    <t xml:space="preserve">ACERO.INOXIDABLE</t>
  </si>
  <si>
    <t xml:space="preserve">ALBANILERIA.Y.CONEXOS</t>
  </si>
  <si>
    <t xml:space="preserve">Capítulo</t>
  </si>
  <si>
    <t xml:space="preserve">MATERIALES DE ALBAÑILERÍA Y CONEXOS</t>
  </si>
  <si>
    <t xml:space="preserve">ma-bauhaus-24093134</t>
  </si>
  <si>
    <t xml:space="preserve">Material</t>
  </si>
  <si>
    <t xml:space="preserve">pza</t>
  </si>
  <si>
    <t xml:space="preserve">Ladrillo picholín refractario R-40/H-9 (22x3 cm/pza).   Ref. bauhaus-24093134</t>
  </si>
  <si>
    <t xml:space="preserve">El ladrillo refractario de arcilla cocida es un elemento de construcción desarrollado para ser colocado en zonas que requieran propiedades refractarias. Este ladrillo desempeña una función estructural pero también decorativa.   Ref. bauhaus-24093134.</t>
  </si>
  <si>
    <t xml:space="preserve">ma-bm-25030333</t>
  </si>
  <si>
    <t xml:space="preserve">Material</t>
  </si>
  <si>
    <t xml:space="preserve">pza</t>
  </si>
  <si>
    <t xml:space="preserve">Bovedilla cerámica (640x220x130 mm/pza).   Ref. bm-25030333</t>
  </si>
  <si>
    <t xml:space="preserve">Bovedilla cerámica para la elaboración de forjados unidireccionales entre vigas. Medida 65x13x22 cm.   Ref. bm-25030333.</t>
  </si>
  <si>
    <t xml:space="preserve">ma-fl-12110220</t>
  </si>
  <si>
    <t xml:space="preserve">Material</t>
  </si>
  <si>
    <t xml:space="preserve">pza</t>
  </si>
  <si>
    <t xml:space="preserve">Plaqueta/Pichulín PL02 LLISA ; color champagne (28x5x1,4 cm/pza).   Ref. fl-12110220</t>
  </si>
  <si>
    <t xml:space="preserve">Plaqueta/Pichulín PL02 LLISA ; color champagne (28x5x1,4 cm/pza).   Ref. fl-12110220
1 caja contiene 1 m2 con 56 piezas</t>
  </si>
  <si>
    <t xml:space="preserve">ma-fl-12110223</t>
  </si>
  <si>
    <t xml:space="preserve">Material</t>
  </si>
  <si>
    <t xml:space="preserve">pza</t>
  </si>
  <si>
    <t xml:space="preserve">Plaqueta/Pichulín PL01 LLISA ; color beige (28x5x1,4 cm/pza).   Ref. fl-12110223</t>
  </si>
  <si>
    <t xml:space="preserve">Plaqueta/Pichulín PL01 LLISA ; color beige (28x5x1,4 cm/pza).   Ref. fl-12110223
1 caja contiene 1 m2 con 56 piezas</t>
  </si>
  <si>
    <t xml:space="preserve">ma-fl-12110226</t>
  </si>
  <si>
    <t xml:space="preserve">Material</t>
  </si>
  <si>
    <t xml:space="preserve">pza</t>
  </si>
  <si>
    <t xml:space="preserve">Plaqueta/Pichulín PL02 LLISA ; color ton pierre (28x5x1,4 cm/pza).   Ref. fl-12110226</t>
  </si>
  <si>
    <t xml:space="preserve">Plaqueta/Pichulín PL02 LLISA ; color ton pierre (28x5x1,4 cm/pza).   Ref. fl-12110226
1 caja contiene 1 m2 con 56 piezas</t>
  </si>
  <si>
    <t xml:space="preserve">ma-lm-14613921</t>
  </si>
  <si>
    <t xml:space="preserve">Material</t>
  </si>
  <si>
    <t xml:space="preserve">pza</t>
  </si>
  <si>
    <t xml:space="preserve">Balaustre torneado de hormigón prefabricado GÉNOVA 80 de VERNIPRENS (12x12x75 cm/pza).   Ref. lm-14613921</t>
  </si>
  <si>
    <t xml:space="preserve">Balaustre de hormigón GÉNOVA 12x12x75cm de VERNIPRENS, clásico e hidrofugado. Se fabrican en usa sola pieza, careciendo así de la antiestética junta. Solución ideal que aporta elegancia con sus formas y un acabado fino. Entrega en 24/48 horas.   Ref. lm-14613921.</t>
  </si>
  <si>
    <t xml:space="preserve">ma-lm-14792484</t>
  </si>
  <si>
    <t xml:space="preserve">Material</t>
  </si>
  <si>
    <t xml:space="preserve">pza</t>
  </si>
  <si>
    <t xml:space="preserve">Gárgola de hormigón MIÑO; color blanco (30x10x6 cm/pza).   Ref. lm-14792484</t>
  </si>
  <si>
    <t xml:space="preserve">Gárgola de hormigón en color blanco, con dimensiones de 31x12 cm, es una solución diseñada para la evacuación del agua de lluvia en terrazas y balcones, proyectándola lejos de la fachada.   Ref. lm-14792484.
Este elemento no solo cumple con un propósito práctico, evitando la acumulación de agua y la posible filtración en la estructura del edificio, sino que también añade un toque decorativo al exterior. El blanco puro de la gárgola facilita su integración en cualquier diseño arquitectónico, manteniendo la coherencia estética con el estilo del edificio. Fabricada con hormigón de alta calidad, garantiza durabilidad y resistencia al desgaste natural por la intemperie, lo que resulta en una solución de drenaje de bajo mantenimiento y larga vida útil. La instalación de esta gárgola de hormigón es sencilla, ofreciendo una funcionalidad imprescindible sin comprometer la belleza del diseño exterior.</t>
  </si>
  <si>
    <t xml:space="preserve">ma-lp-00000363</t>
  </si>
  <si>
    <t xml:space="preserve">Material</t>
  </si>
  <si>
    <t xml:space="preserve">pza</t>
  </si>
  <si>
    <t xml:space="preserve">Ladrillo cerámico NATURAL HIDROFUGADO ALCÁNTARA de LA PALOMA CERÁMICAS (24x11,5x5 cm/pza).   Ref. lp-00000363</t>
  </si>
  <si>
    <t xml:space="preserve">El ladrillo cara vista cerámico natural hidrofugado Alcántara, es una variante con origen rojizo y tendente a una cromática salmón, con resultados muy homogéneos y estéticamente agradables en fachada. 4 caras vistas. Color rojizo. Medidas: 24x11,5x5 cm.   Ref. lp-00000363.</t>
  </si>
  <si>
    <t xml:space="preserve">ma-lp-00000364</t>
  </si>
  <si>
    <t xml:space="preserve">Material</t>
  </si>
  <si>
    <t xml:space="preserve">pza</t>
  </si>
  <si>
    <t xml:space="preserve">Ladrillo cerámico NATURAL HIDROFUGADO MARRÓN de LA PALOMA CERÁMICAS (24x11,5x5 cm/pza).   Ref. lp-00000364</t>
  </si>
  <si>
    <t xml:space="preserve">Ladrillo cara vista cerámico natural hidrofugado Marrón. Un modelo que ofrece grandes posibilidades, tanto en colocación única como en combinación con ladrillos de tonalidad más clara. 4 caras vistas. Color marrón. Medidas: 24x11,5x5 cm.   Ref. lp-00000364.</t>
  </si>
  <si>
    <t xml:space="preserve">ma-lp-00001117</t>
  </si>
  <si>
    <t xml:space="preserve">Material</t>
  </si>
  <si>
    <t xml:space="preserve">pza</t>
  </si>
  <si>
    <t xml:space="preserve">Bloque de hormigón común de SUBEROLITA (40x20x15 cm/pza).   Ref. lp-00001117</t>
  </si>
  <si>
    <t xml:space="preserve">El bloque común de hormigón de SUBEROLITA se utiliza para construir tabiques y muros de habilitación exterior.   Ref. lp-00001117.</t>
  </si>
  <si>
    <t xml:space="preserve">ma-lp-00001118</t>
  </si>
  <si>
    <t xml:space="preserve">Material</t>
  </si>
  <si>
    <t xml:space="preserve">pza</t>
  </si>
  <si>
    <t xml:space="preserve">Bloque de hormigón común de SUBEROLITA (40x20x20 cm/pza).   Ref. lp-00001118</t>
  </si>
  <si>
    <t xml:space="preserve">El bloque común de hormigón de SUBEROLITA se utiliza para construir tabiques y muros de habilitación exterior.   Ref. lp-00001118.</t>
  </si>
  <si>
    <t xml:space="preserve">ma-lp-00001119</t>
  </si>
  <si>
    <t xml:space="preserve">Material</t>
  </si>
  <si>
    <t xml:space="preserve">pza</t>
  </si>
  <si>
    <t xml:space="preserve">Bloque de hormigón común de SUBEROLITA (40x20x10 cm/pza).   Ref. lp-00001119</t>
  </si>
  <si>
    <t xml:space="preserve">El bloque común de hormigón de SUBEROLITA se utiliza para construir tabiques y muros de habilitación exterior.   Ref. lp-00001119.</t>
  </si>
  <si>
    <t xml:space="preserve">ma-lp-00001123</t>
  </si>
  <si>
    <t xml:space="preserve">Material</t>
  </si>
  <si>
    <t xml:space="preserve">pza</t>
  </si>
  <si>
    <t xml:space="preserve">Bovedilla de arcilla cocida para sistemas de forjado de viguetas y bovedillas (60x25x17 cm/pza).   Ref. lp-00001123</t>
  </si>
  <si>
    <t xml:space="preserve">La bovedilla cerámica está fabricada con arcilla cocida. Se utiliza para sistemas de forjado de viguetas y bovedillas. Medidas: 60x25x17 cm.   Ref. lp-00001123.</t>
  </si>
  <si>
    <t xml:space="preserve">ma-lp-00001155.</t>
  </si>
  <si>
    <t xml:space="preserve">Material</t>
  </si>
  <si>
    <t xml:space="preserve">pza</t>
  </si>
  <si>
    <t xml:space="preserve">Gero 10 acústico o ladrillo de arcilla perforado de LA COMA, no visto, con relieve a 2 caras (28x14x9 cm/pza).   Ref. lp-00001155.</t>
  </si>
  <si>
    <t xml:space="preserve">El Gero fonoabsorbente es un ladrillo de arcilla perforado, no visto, con relieve a 2 caras. Para muros resistentes con exigencias acústicas, térmicas y frente al fuego. Medidas: 28x14x9 cm. Categoría I, tipo HD.   Ref. lp-00001155.</t>
  </si>
  <si>
    <t xml:space="preserve">ma-lp-00001156</t>
  </si>
  <si>
    <t xml:space="preserve">Material</t>
  </si>
  <si>
    <t xml:space="preserve">pza</t>
  </si>
  <si>
    <t xml:space="preserve">Gero 6 rústico o ladrillo macizo cara vista rojo (28,5x13,7x4,6 cm/pza).   Ref. lp-00001156</t>
  </si>
  <si>
    <t xml:space="preserve">Gero 6 rústico o ladrillo macizo cara vista rojo (28,5x13,7x4,6 cm/pza), es una pieza de arcilla cocida HD para uso en fábrica de albañilería.   Ref. lp-00001156.</t>
  </si>
  <si>
    <t xml:space="preserve">ma-lp-00001178</t>
  </si>
  <si>
    <t xml:space="preserve">Material</t>
  </si>
  <si>
    <t xml:space="preserve">pza</t>
  </si>
  <si>
    <t xml:space="preserve">Ladrillo cerámico hueco mahón (4x14x28 cm/pza).   Ref. lp-00001178</t>
  </si>
  <si>
    <t xml:space="preserve">El ladrillo mahón es de arcilla cocida, tiene 4 agujeros y se utiliza para fábrica de albañilería interior que será revestida. Medidas: 4x14x28 cm.   Ref. lp-00001178.</t>
  </si>
  <si>
    <t xml:space="preserve">ma-lp-00001196</t>
  </si>
  <si>
    <t xml:space="preserve">Material</t>
  </si>
  <si>
    <t xml:space="preserve">pza</t>
  </si>
  <si>
    <t xml:space="preserve">Ladrillo picholín refractario cortado (22x5,5x3 cm/pza).   Ref. lp-00001196</t>
  </si>
  <si>
    <t xml:space="preserve">Ladrillo picholín refractario, denso de ligado cerámico. Base arcilla refractaria de bajo contenido en alúmina calcinada. Se usa para revestir calderas, hornos y elementos que son expuestos a altas temperaturas. Grupo LF 10. Medidas: 22x5,5x5 cm.   Ref. lp-00001196.</t>
  </si>
  <si>
    <t xml:space="preserve">ma-lp-00001229</t>
  </si>
  <si>
    <t xml:space="preserve">Material</t>
  </si>
  <si>
    <t xml:space="preserve">pza</t>
  </si>
  <si>
    <t xml:space="preserve">Ladrillo cerámico hueco supermahón; 50x20x7 cm   Ref. lp 00001229</t>
  </si>
  <si>
    <t xml:space="preserve">Ladrillo cerámico hueco supermahón. Se utiliza para realización de tabiques dobles para revestir. Color rojo. Medidas: 50x20x7 cm. Peso 4,5 kg/pza.   Ref. lp-00001229</t>
  </si>
  <si>
    <t xml:space="preserve">ma-lp-00001568</t>
  </si>
  <si>
    <t xml:space="preserve">Material</t>
  </si>
  <si>
    <t xml:space="preserve">pza</t>
  </si>
  <si>
    <t xml:space="preserve">Ladrillo cerámico CARAVISTA NATURAL ROJO LISO de LA PALOMA CERÁMICAS (24x11x5 cm/pza).   Ref. lp-00001568</t>
  </si>
  <si>
    <t xml:space="preserve">Ladrillo cara vista cerámico natural hidrofugado liso, modelo tradicional y muy estético. Color rojo natural. Medidas: 24x11,5x5 cm.   Ref. lp-00001568.</t>
  </si>
  <si>
    <t xml:space="preserve">ma-lp-00001586</t>
  </si>
  <si>
    <t xml:space="preserve">Material</t>
  </si>
  <si>
    <t xml:space="preserve">pza</t>
  </si>
  <si>
    <t xml:space="preserve">Ladrillo cerámico hueco para revestir (24x11x8 cm/pza).   Ref. lp-00001586</t>
  </si>
  <si>
    <t xml:space="preserve">Ladrillo hueco es una pieza de arcilla cocida LD R-5 de categoría II, Tipo LD, para uso en muros interiores sin exigencias estructurales, ni térmicas ni acústicas. UNE-EN 771-1:2003. Color rojo. Medidas: 240x115x80 mm.   Ref. lp-00001586.</t>
  </si>
  <si>
    <t xml:space="preserve">ma-lp-00001596</t>
  </si>
  <si>
    <t xml:space="preserve">Material</t>
  </si>
  <si>
    <t xml:space="preserve">pza</t>
  </si>
  <si>
    <t xml:space="preserve">Ladrillo cerámico MACIZO TOSCO de LA PALOMA CERÁMICAS (24x11x7 cm/pza).   Ref. lp-00001596</t>
  </si>
  <si>
    <t xml:space="preserve">Ladrillo tosco es una pieza de arcilla cocida aligerada LD R-10 Categoría I UNE EN 771-1. Color rojo. Medidas: 237x105x68 mm.   Ref. lp-00001596.</t>
  </si>
  <si>
    <t xml:space="preserve">ma-lp-00096120</t>
  </si>
  <si>
    <t xml:space="preserve">Material</t>
  </si>
  <si>
    <t xml:space="preserve">pza</t>
  </si>
  <si>
    <t xml:space="preserve">Ladrillo cerámico CARAVISTA NATURAL MEZQUITA de LA PALOMA CERÁMICAS (24x11,5x5 cm/pza).   Ref. lp-00096120</t>
  </si>
  <si>
    <t xml:space="preserve">El ladrillo cara vista cerámico natural hidrofugado Mezquita, es una variante con tonalidad anaranjada muy clara que resiste muy bien el tiempo por ser una coloración cien por cien en masa. Medidas: 24x11,5x5 cm.   Ref. lp-00096120.</t>
  </si>
  <si>
    <t xml:space="preserve">ma-lp-00110913</t>
  </si>
  <si>
    <t xml:space="preserve">Material</t>
  </si>
  <si>
    <t xml:space="preserve">pza</t>
  </si>
  <si>
    <t xml:space="preserve">Teja cerámica curva T4 Roja de LA ESCANDELLA (40x18,3x13 cm/pza).   Ref. lp-00110913</t>
  </si>
  <si>
    <t xml:space="preserve">La teja cerámica curva T4 está fabricada con arcilla y es una de las más utilizadas. Cumplen las normativas de calidad más estrictas a nivel nacional e internacional (como AENOR, AFNOR, ICC-ES, DIN EN-1304, NOA…) resisten heladas y tienen garantía de 35 años. Color rojo. Medidas: 40x18,3x13 cm.   Ref. lp-00110913.</t>
  </si>
  <si>
    <t xml:space="preserve">ma-lp-00110914</t>
  </si>
  <si>
    <t xml:space="preserve">Material</t>
  </si>
  <si>
    <t xml:space="preserve">pza</t>
  </si>
  <si>
    <t xml:space="preserve">Teja cerámica curva T2 Roja de LA ESCANDELLA (20x10x7,5 cm/pza).   Ref. lp-00110914</t>
  </si>
  <si>
    <t xml:space="preserve">La teja cerámica curva T2 está fabricada con arcilla y es una de las más utilizadas. Cumplen las normativas de calidad más estrictas a nivel nacional e internacional (como AENOR, AFNOR, ICC-ES, DIN EN-1304, NOA…) resisten heladas y tienen garantía de 35 años. Medidas: 20x10x7,5 cm. Color rojo.   Ref. lp-00110914.</t>
  </si>
  <si>
    <t xml:space="preserve">ma-lp-00110915</t>
  </si>
  <si>
    <t xml:space="preserve">Material</t>
  </si>
  <si>
    <t xml:space="preserve">pza</t>
  </si>
  <si>
    <t xml:space="preserve">Teja cerámica curva T5 Roja de LA ESCANDELLA (50x21x16cm/pza).   Ref. lp-00110915</t>
  </si>
  <si>
    <t xml:space="preserve">La teja cerámica curva T5 está fabricada con arcilla y es una de las más utilizadas. Cumplen las normativas de calidad más estrictas a nivel nacional e internacional (como AENOR, AFNOR, ICC-ES, DIN EN-1304, NOA…) resisten heladas y tienen garantía de 35 años. Color rojo. Medidas: 50x21x16 cm.   Ref. lp-00110915.</t>
  </si>
  <si>
    <t xml:space="preserve">ma-lp-00119520</t>
  </si>
  <si>
    <t xml:space="preserve">Material</t>
  </si>
  <si>
    <t xml:space="preserve">pza</t>
  </si>
  <si>
    <t xml:space="preserve">Gero Eco liso o ladrillo de arcilla cocida aligerada LD Cat I R-15 de LA COMA (27,5x12,5x9,3 cm/pza).   Ref. lp-00119520</t>
  </si>
  <si>
    <t xml:space="preserve">Elemento de exteriores/interiores con exigencias acústicas, térmicas y de fuego, para fábricas estructurales sustentantes. No destinado a ser expuesto. Medidas: 27,5x12,5x9,3 cm.   Ref. lp-00119520.</t>
  </si>
  <si>
    <t xml:space="preserve">ma-lp-00237635</t>
  </si>
  <si>
    <t xml:space="preserve">Material</t>
  </si>
  <si>
    <t xml:space="preserve">pza</t>
  </si>
  <si>
    <t xml:space="preserve">Ladrillo cerámico hueco supermahón (50x20x4 cm/pza).   Ref. lp-00237635</t>
  </si>
  <si>
    <t xml:space="preserve">Ladrillo cerámico hueco supermahón. Se utiliza para realización de tabiques sencillos para revestir. Color rojo. Medidas: 50x20x4 cm. Pieza P de arcilla cocida hueca (G4) Cumple con las exigencias acústicas, térmicas y contra el fuego necesarias.   Ref. lp-00237635.</t>
  </si>
  <si>
    <t xml:space="preserve">ma-lp-00237643</t>
  </si>
  <si>
    <t xml:space="preserve">Material</t>
  </si>
  <si>
    <t xml:space="preserve">pza</t>
  </si>
  <si>
    <t xml:space="preserve">Ladrillo cerámico hueco supermahón (50x20x7 cm/pza)   Ref. lp-00237643</t>
  </si>
  <si>
    <t xml:space="preserve">Ladrillo cerámico hueco supermahón. Se utiliza para realización de tabiques dobles para revestir. Cumple con las exigencias acústicas, térmicas y contra el fuego necesarias. Color rojo. Medidas: 50x20x7 cm. Peso 4,5 kg/pza.   Ref. lp-00237643</t>
  </si>
  <si>
    <t xml:space="preserve">ALBANILERIA.Y.CONEXOS</t>
  </si>
  <si>
    <t xml:space="preserve">ARIDOS.Y.AGREGADOS</t>
  </si>
  <si>
    <t xml:space="preserve">Capítulo</t>
  </si>
  <si>
    <t xml:space="preserve">ÁRIDOS Y AGREGADOS</t>
  </si>
  <si>
    <t xml:space="preserve">ma-jomafa-9997</t>
  </si>
  <si>
    <t xml:space="preserve">Material</t>
  </si>
  <si>
    <t xml:space="preserve">saco</t>
  </si>
  <si>
    <t xml:space="preserve">Silicato de Aluminio RUGOS 2000; grano 50/80 y medida 0,10-0,50 (25 kg/saco).   Ref. jomafa-9997</t>
  </si>
  <si>
    <t xml:space="preserve">Producto utilizado en la industria naval, en mantenimientos, eliminación de óxidos en piezas férricas, tratamiento y limpieza de fachadas, etc.   Ref. jomafa-9997.
Este abrasivo está homologado en toda la Comunidad Europea. No contiene sílice libre, ni partículas ferrosas, materiales corrosivos o solubles en agua; por lo tanto, no hay riesgo de provocar Silicosis. Se recomienda almacenar sobre pallets, en lugar seco y protegido de la lluvia y la humedad.</t>
  </si>
  <si>
    <t xml:space="preserve">ma-lm-88895688</t>
  </si>
  <si>
    <t xml:space="preserve">Material</t>
  </si>
  <si>
    <t xml:space="preserve">saco</t>
  </si>
  <si>
    <t xml:space="preserve">Sepiolita 15/30 (20 kg/saco).   Ref. lm-88895688</t>
  </si>
  <si>
    <t xml:space="preserve">Producto que proporciona una solución instantánea y muy eficiente a todos los problemas de absorción de líquidos o semi-líquidos. Garantiza la seguridad de las superficies tratadas preservando el medio ambiente. Los sacos de 20 kg de Sepiolita son perfectos para su uso en talleres mecánicos, para limpieza y absorción de vertidos y fugas en interior y exterior.   Ref. lm-88895688.
La Sepiolita es un absorbente natural de origen mineral reciclable. Las principales aplicaciones de la Sepiolita son: absorción industrial, tratamiento de residuos, carga de productos químicos, control de la humedad, usos domésticos, aditivo tecnológico en alimentación animal (E-562), fertilizantes, polímeros y elastómeros, paneles de techos, aditivos para la construcción, betunes, aditivos reológicos para sistemas acuosos, aditivos reológicos de los sistemas orgánicos. Con un saco de 20 kg de Sepiolita podrás garantizar la absorción de aguas y aceites. No combustible. No hay peligro de descomposición térmica. No se precisa ninguna protección específica de lucha contra incendios.
RECOMENDACIONES PARA LA MANIPULACIÓN SEGURA DE LA SEPIOLITA:
Garantiza la seguridad e higiene en tus proyectos. Evita la generación de polvo en el aire. Evita barrer en seco y usar agua rociada o sistemas de limpieza por aspiración. Usa equipo de protección individual de acuerdo con la legislación nacional. Se debe disponer de un sistema de aspiración apropiado en los lugares donde se genera polvo en el aire. En caso de ventilación insuficiente, usar equipo de protección respiratoria. Manejar con cuidado los productos envasados para prevenir la rotura accidental del envase. Durante la descarga, minimiza la generación de polvo en el aire y evitar la dispersión por el viento. Mantén los recipientes cerrados y almacenar los productos envasados con el fin de prevenir su rotura accidental.</t>
  </si>
  <si>
    <t xml:space="preserve">ma-lp-00001104</t>
  </si>
  <si>
    <t xml:space="preserve">Material</t>
  </si>
  <si>
    <t xml:space="preserve">saco</t>
  </si>
  <si>
    <t xml:space="preserve">Arena fina LA PLATAFORMA de ÀRIDS CATALUNYA (14 kg/saco).   Ref. lp-00001104</t>
  </si>
  <si>
    <t xml:space="preserve">La arena fina de LA PLATAFORMA de la Construcción se mezcla con cemento para hacer mortero de enfoscado o revoco en general. Saco de 25 kg.   Ref. lp-00001104.</t>
  </si>
  <si>
    <t xml:space="preserve">ma-lp-00001107</t>
  </si>
  <si>
    <t xml:space="preserve">Material</t>
  </si>
  <si>
    <t xml:space="preserve">saco</t>
  </si>
  <si>
    <t xml:space="preserve">Arenilla de Mármol Blanco GRANOMAR de AYMAR (25 kg/saco).   Ref. lp-00001107</t>
  </si>
  <si>
    <t xml:space="preserve">El Triturado de mármol GRANOMAR 1.2 que suministra AYMAR S.A. es un árido fino triturado de mármol dolomítico, idóneo para aplicaciones industriales, desde árido en los morteros y hormigón en construcción hasta la industria química básica, pasando por la fabricación de cerámica, vidrio, pinturas, para su utilización como arena para chorreo, como cargas blancas, en refractarios, como fundente siderúrgico, como corrector de acidez de suelos agrícolas y para piensos animales.   Ref. lp-00001107.</t>
  </si>
  <si>
    <t xml:space="preserve">ma-lp-00001542</t>
  </si>
  <si>
    <t xml:space="preserve">Material</t>
  </si>
  <si>
    <t xml:space="preserve">saco</t>
  </si>
  <si>
    <t xml:space="preserve">Arcilla expandida ARLITA LECA LIGHT PLUS de WEBER; granulometría 10-20 mm (50 litro/saco o 13,75 kg/saco).   Ref. lp-00001542</t>
  </si>
  <si>
    <t xml:space="preserve">Arcilla expandida súper ligera ARLITA LECA LIGHT PLUS de WEBER es una arcilla expandida de tamaño 10 a 20 mm de granulometría con densidad 275 kg/m3. Se utiliza en recrecidos ligeros de altas prestaciones, aligeramiento en estructuras de hormigón, drenajes, jardinería, nivelaciones, cubiertas verdes. Alta ligereza, aislante térmico y acústico, estable en el tiempo, respetuoso con el medio ambiente.   Ref. lp-00001542</t>
  </si>
  <si>
    <t xml:space="preserve">ma-lp-00001543</t>
  </si>
  <si>
    <t xml:space="preserve">Material</t>
  </si>
  <si>
    <t xml:space="preserve">saco</t>
  </si>
  <si>
    <t xml:space="preserve">Arcilla expandida ARLITA LECA DUR de WEBER; granulometría 2-10 mm (50 litro/saco o 17,50 kg/saco).   Ref. lp-00001543</t>
  </si>
  <si>
    <t xml:space="preserve">Arcilla expandida súper ligera ARLITA LECA LIGHT PLUS de WEBER es una arcilla expandida de tamaño 2 a 10 mm de granulometría con densidad 350 kg/m3. Se utiliza en recrecidos ligeros de altas prestaciones, aligeramiento en estructuras de hormigón, drenajes, jardinería, nivelaciones, cubiertas verdes. Alta ligereza, aislante térmico y acústico, estable en el tiempo, respetuoso con el medio ambiente.   Ref. lp-00001543</t>
  </si>
  <si>
    <t xml:space="preserve">ma-lp-00001630</t>
  </si>
  <si>
    <t xml:space="preserve">Material</t>
  </si>
  <si>
    <t xml:space="preserve">saco</t>
  </si>
  <si>
    <t xml:space="preserve">Grava gravilla fina (6/20) LA PLATAFORMA (15 kg/saco).   Ref. lp-00001630</t>
  </si>
  <si>
    <t xml:space="preserve">La grava en saco de LA PLATAFORMA DE LA CONSTRUCCIÓN se utiliza aportar resistencia al hormigón a la hora de realizar cimentaciones y soleras. La grava se mezcla con arena y cemento para fabricar hormigón. Saco de 15 kg aprox.   Ref. lp-00001630.</t>
  </si>
  <si>
    <t xml:space="preserve">ma-lp-00388344</t>
  </si>
  <si>
    <t xml:space="preserve">Material</t>
  </si>
  <si>
    <t xml:space="preserve">saco</t>
  </si>
  <si>
    <t xml:space="preserve">Árido de mármol para monocapa gris (30 kg/saco).   Ref. lp-00388344</t>
  </si>
  <si>
    <t xml:space="preserve">Árido de mármol para proyección sobre monocapa, se obtiene por machaqueo del mineral de mármol. Se utiliza para proyectar sobre morteros monocapa, principalmente en fachadas. Color gris. Saco de 30 kg.   Ref. lp-00388344</t>
  </si>
  <si>
    <t xml:space="preserve">ma-lp-00410104</t>
  </si>
  <si>
    <t xml:space="preserve">Material</t>
  </si>
  <si>
    <t xml:space="preserve">saco</t>
  </si>
  <si>
    <t xml:space="preserve">Árido de mármol para monocapa blanco (30 kg/saco).   Ref. lp-00410104</t>
  </si>
  <si>
    <t xml:space="preserve">Árido de mármol para proyección sobre monocapa, se obtiene por machaqueo del mineral de mármol. Se utiliza para proyectar sobre morteros monocapa, principalmente en fachadas. Color gris. Saco de 30 kg.   Ref. lp-00410104</t>
  </si>
  <si>
    <t xml:space="preserve">ma-lp-00536079</t>
  </si>
  <si>
    <t xml:space="preserve">Material</t>
  </si>
  <si>
    <t xml:space="preserve">saco</t>
  </si>
  <si>
    <t xml:space="preserve">Arcilla expandida para recrecidos BIGMAT 3-8 mm (50 litros/saco).   Ref. lp-00536079</t>
  </si>
  <si>
    <t xml:space="preserve">Arcilla expandida de tamaño medio 3-8 mm, para recrecidos de forjados, aligeramientos, aislamientos, formación de pendientes en cubiertas y hormigones ligeros.   Ref. lp-00536079</t>
  </si>
  <si>
    <t xml:space="preserve">ma-lp-00540822</t>
  </si>
  <si>
    <t xml:space="preserve">Material</t>
  </si>
  <si>
    <t xml:space="preserve">saco</t>
  </si>
  <si>
    <t xml:space="preserve">Árido de granito para monocapa blanco (30 kg/saco).   Ref. lp-00540822</t>
  </si>
  <si>
    <t xml:space="preserve">Árido de granito para proyección sobre monocapa, se obtiene por machaqueo del mineral de granito. Se utiliza para proyectar sobre morteros monocapa, principalmente en fachadas. Color blanco. Saco de 30 kg.   Ref. -lp-00540822</t>
  </si>
  <si>
    <t xml:space="preserve">ma-lp-00540823</t>
  </si>
  <si>
    <t xml:space="preserve">Material</t>
  </si>
  <si>
    <t xml:space="preserve">saco</t>
  </si>
  <si>
    <t xml:space="preserve">Árido de granito para monocapa gris (30 kg/saco).   Ref. lp-00540823</t>
  </si>
  <si>
    <t xml:space="preserve">Árido de granito para monocapa marrón se obtiene por machaqueo. Se utiliza para proyectar sobre morteros monocapa, principalmente en fachadas. Color gris. Saco de 30 kg.   Ref. lp-00540823</t>
  </si>
  <si>
    <t xml:space="preserve">ma-mausa-sikadur.arena.510</t>
  </si>
  <si>
    <t xml:space="preserve">Material</t>
  </si>
  <si>
    <t xml:space="preserve">saco</t>
  </si>
  <si>
    <t xml:space="preserve">Arena fina de cuarzo pigmentadas SIKADUR ARENA 510 (26 kg/saco).   Ref. mausa-sikadur.arena.510</t>
  </si>
  <si>
    <t xml:space="preserve">Arena de cuarzo fina con color, gradada con granulometría definida para la utilización en sistemas epóxicos traslúcidos, donde se requiere un acabado con color y que ofrezca altas resistencias mecánicas.   Ref. mausa-sikadur.arena.510.</t>
  </si>
  <si>
    <t xml:space="preserve">ARIDOS.Y.AGREGADOS</t>
  </si>
  <si>
    <t xml:space="preserve">AUDIO-VIDEO</t>
  </si>
  <si>
    <t xml:space="preserve">Capítulo</t>
  </si>
  <si>
    <t xml:space="preserve">MATERIALES Y ACCESORIOS RELACIONADOS CON SEÑALES (AUDIO/VIDEO)</t>
  </si>
  <si>
    <t xml:space="preserve">ma-bd-3327967021600</t>
  </si>
  <si>
    <t xml:space="preserve">Material</t>
  </si>
  <si>
    <t xml:space="preserve">und</t>
  </si>
  <si>
    <t xml:space="preserve">Antena parabólica de acero galvanizado tipo OFFSET 60 cm + LNB universal TELEVES.   Ref. bd-3327967021600</t>
  </si>
  <si>
    <t xml:space="preserve">Con la antena de 60 cm de diámetro de TELEVES se pueden recibir los satélites europeos ASTRA 19E, HOTBIRD, ATLANTIC en toda la península y en general todos aquellos cuya huella de cobertura tenga un PIRE superior a 48 dBW (siendo el PIRE la potencia con la que irradia el satélite hacia a tierra).   Ref. bd-3327967021600.</t>
  </si>
  <si>
    <t xml:space="preserve">ma-lp-00013185</t>
  </si>
  <si>
    <t xml:space="preserve">Material</t>
  </si>
  <si>
    <t xml:space="preserve">pza</t>
  </si>
  <si>
    <t xml:space="preserve">Amplificador mástil LTE de TELEVES, 12-24V B3 (3 entradas: U-FMMX-FIMX).   Ref. lp-00013185</t>
  </si>
  <si>
    <t xml:space="preserve">Amplificador de mástil 3E/1S BIII/UHF [dc]-FImix [dc] USOS con 3 entradas y 1 salida. Con sistema de conexión EasyF y cofre ABS. Incorpora el sistema USOS por el cual el usuario puede seleccionar el nivel de salida deseado y el dispositivo se ajusta automáticamente en el tiempo, adaptándose a las variaciones de la señal recibida. Con interruptor C60/C69 para seleccionar filtrado de LTE e interruptor On/Off para seleccionar el paso DC. Posee un diseño ergonómico de muy reducido tamaño y fácil montaje y muy baja figura de ruido.   Ref. lp-00013185.</t>
  </si>
  <si>
    <t xml:space="preserve">ma-lp-00013728</t>
  </si>
  <si>
    <t xml:space="preserve">Material</t>
  </si>
  <si>
    <t xml:space="preserve">pza</t>
  </si>
  <si>
    <t xml:space="preserve">Conectores F roscado con junta para cable coaxial TI01 de TELEVES.   Ref. lp-00013728</t>
  </si>
  <si>
    <t xml:space="preserve">Conectores F roscado con junta para cable coaxial TI01 de TELEVES.   Ref. lp-00013728</t>
  </si>
  <si>
    <t xml:space="preserve">ma-lp-00095512</t>
  </si>
  <si>
    <t xml:space="preserve">Material</t>
  </si>
  <si>
    <t xml:space="preserve">pza</t>
  </si>
  <si>
    <t xml:space="preserve">Fuente de alimentación 24VDC 130 mA 2 salidas F5795 de TELEVES.   Ref. lp-00095512</t>
  </si>
  <si>
    <t xml:space="preserve">Fuente de alimentación PICOKOM 24V/130mA con sistema de conexión EasyF. Fuente conmutada de gran rendimiento con hasta un 40% menos de consumo. Tiene un diseño estético y un tamaño extrarreducido (86x65x26 mm). Para instalar en cajas de 100x100 mm. Atornillable en pared. De fácil montaje, respetando el radio de curvatura mínimo de los cables coaxiales. Número de salidas: 2. Grado de protección IP20.   Ref. lp-00095512.</t>
  </si>
  <si>
    <t xml:space="preserve">ma-lp-00121298</t>
  </si>
  <si>
    <t xml:space="preserve">Material</t>
  </si>
  <si>
    <t xml:space="preserve">rollo</t>
  </si>
  <si>
    <t xml:space="preserve">Cable coaxial digital FL-75 de LAZSA; color blanco (50 m/rollo).   Ref. lp-00121298</t>
  </si>
  <si>
    <t xml:space="preserve">Cable coaxial antena de cobre, gama profesional bajas pérdidas, para todo tipo de instalación de TV. Según ICT.   Ref. lp-00121298.</t>
  </si>
  <si>
    <t xml:space="preserve">AUDIO-VIDEO</t>
  </si>
  <si>
    <t xml:space="preserve">BALDOSAS.Y.LOSAS</t>
  </si>
  <si>
    <t xml:space="preserve">Capítulo</t>
  </si>
  <si>
    <t xml:space="preserve">LOSAS, BALDOSAS, VIERTEAGUAS, PASAMANOS, CUBREMUROS</t>
  </si>
  <si>
    <t xml:space="preserve">ma-adrihosan-133-B</t>
  </si>
  <si>
    <t xml:space="preserve">Material</t>
  </si>
  <si>
    <t xml:space="preserve">m2</t>
  </si>
  <si>
    <t xml:space="preserve">Baldosa hidráulica contemporánea de cemento pigmentado 133-B de ADRIHOSAN (20x20x1,5 cm/pza).   Ref. adrihosan-133-B</t>
  </si>
  <si>
    <t xml:space="preserve">La baldosa hidráulica decorativa está fabricada con cemento coloreado, se puede utilizar en interior. Es totalmente artesanal, es la utilización de unas plantillas metálicas o moldes. Estos se llaman trepas para la aplicación de colores y conformar el diseño, que posteriormente se fijan gracias a la prensa hidráulica.   Ref. adrihosan-133-B.
https://www.adrihosan.com/producto/baldosa-hidraulica-geometrico-212/</t>
  </si>
  <si>
    <t xml:space="preserve">ma-adrihosan-221-A</t>
  </si>
  <si>
    <t xml:space="preserve">Material</t>
  </si>
  <si>
    <t xml:space="preserve">m2</t>
  </si>
  <si>
    <t xml:space="preserve">Baldosa hidráulica contemporánea de cemento pigmentado 221-A de ADRIHOSAN (20x20x1,5 cm/pza).   Ref. adrihosan-221-A</t>
  </si>
  <si>
    <t xml:space="preserve">La baldosa hidráulica decorativa está fabricada con cemento coloreado, se puede utilizar en interior. Es totalmente artesanal, es la utilización de unas plantillas metálicas o moldes. Estos se llaman trepas para la aplicación de colores y conformar el diseño, que posteriormente se fijan gracias a la prensa hidráulica.   Ref. adrihosan-221-A.
https://www.adrihosan.com/producto/baldosa-hidraulica-geometrico-212/</t>
  </si>
  <si>
    <t xml:space="preserve">ma-b.martinez-27.5-blanco</t>
  </si>
  <si>
    <t xml:space="preserve">Material</t>
  </si>
  <si>
    <t xml:space="preserve">pza</t>
  </si>
  <si>
    <t xml:space="preserve">Pasamano/cubremuro plano de piedra artificial doble goterón; color blanco (50x27,5x4 cm/pza).   Ref . b.martinez-27.5-blanco</t>
  </si>
  <si>
    <t xml:space="preserve">Pasamano/Cubremuro Plano de Piedra Artificial Doble Goterón; color blanco (50x27,5x4 cm/pza).   Ref . b.martinez-27.5-blanco.</t>
  </si>
  <si>
    <t xml:space="preserve">ma-b.martinez-27.5-gris</t>
  </si>
  <si>
    <t xml:space="preserve">Material</t>
  </si>
  <si>
    <t xml:space="preserve">pza</t>
  </si>
  <si>
    <t xml:space="preserve">Pasamano/cubremuro plano de piedra artificial doble goterón; color gris cemento (50x27,5x4 cm/pza).   Ref . b.martinez-27.5-gris</t>
  </si>
  <si>
    <t xml:space="preserve">Pasamano/cubremuro plano de piedra artificial doble goterón; color gris cemento (50x27,5x4 cm/pza).   Ref . b.martinez-27.5-gris</t>
  </si>
  <si>
    <t xml:space="preserve">ma-dgm-MJ14</t>
  </si>
  <si>
    <t xml:space="preserve">Material</t>
  </si>
  <si>
    <t xml:space="preserve">pza</t>
  </si>
  <si>
    <t xml:space="preserve">Albardilla Serie MJ 14 de ULMA (A:B::15:20 cm); color arenisca (1 m/pza).   Ref. dgm-MJ14</t>
  </si>
  <si>
    <t xml:space="preserve">Piezas de hormigón polímero destinadas para rematar la coronación de muros y que tienen por objeto evacuar el agua para evitar filtraciones. La base de las piezas presenta grava y anclajes para una correcta colocación. Anclaje inoxidable para garantizar el amarre óptimo, al evitar la corrosión de la pieza. La longitud estándar es de 130cm por pieza; sin embargo, esta longitud puede adaptarse a sus necesidades.   Ref. dgm-MJ14.</t>
  </si>
  <si>
    <t xml:space="preserve">ma-ferres-baldosa.VT-14x28-CT1</t>
  </si>
  <si>
    <t xml:space="preserve">Material</t>
  </si>
  <si>
    <t xml:space="preserve">pza</t>
  </si>
  <si>
    <t xml:space="preserve">Baldosa vidriada (14x28 cm/pza).   Ref. ferres-baldosa.VT-14x28-CT1</t>
  </si>
  <si>
    <t xml:space="preserve">Baldosa vidriada (14x28 cm/pza).   Ref. ferres-baldosa.VT-14x28-CT1.
CT1 = Colores Tipo 1: Paja 10 – Amarillo 50 – Amarillo 52 – Beige 85 – Tabaco 16 – Marrón 95 - Rojo 24 – Verde 28 – Verde 31.</t>
  </si>
  <si>
    <t xml:space="preserve">ma-ferres-baldosa.VT-14x28-CT2</t>
  </si>
  <si>
    <t xml:space="preserve">Material</t>
  </si>
  <si>
    <t xml:space="preserve">pza</t>
  </si>
  <si>
    <t xml:space="preserve">Baldosa vidriada (14x28 cm/pza).   Ref. ferres-baldosa.VT-14x28-CT2</t>
  </si>
  <si>
    <t xml:space="preserve">Baldosa vidriada (14x28 cm/pza).   Ref. ferres-baldosa.VT-14x28-CT2.
CT2 = Colores Tipo 2: Azul 62 - Azul 64 - Azul 43 - Negro 13.</t>
  </si>
  <si>
    <t xml:space="preserve">ma-ferres-baldosa.VT-14x28-CT3</t>
  </si>
  <si>
    <t xml:space="preserve">Material</t>
  </si>
  <si>
    <t xml:space="preserve">pza</t>
  </si>
  <si>
    <t xml:space="preserve">Baldosa vidriada (14x28 cm/pza).   Ref. ferres-baldosa.VT-14x28-CT3</t>
  </si>
  <si>
    <t xml:space="preserve">Baldosa vidriada (14x28 cm/pza).   Ref. ferres-baldosa.VT-14x28-CT3.
CT3 = Colores Tipo 3: Blanco 23 - Gris 12 - Rojo 92.</t>
  </si>
  <si>
    <t xml:space="preserve">ma-ferres-baldosa.VT-20x20-CT1</t>
  </si>
  <si>
    <t xml:space="preserve">Material</t>
  </si>
  <si>
    <t xml:space="preserve">pza</t>
  </si>
  <si>
    <t xml:space="preserve">Baldosa vidriada (20x20 cm/pza).   Ref. ferres-baldosa.VT-20x20-CT1</t>
  </si>
  <si>
    <t xml:space="preserve">Baldosa vidriada (20x20 cm/pza).   Ref. ferres-baldosa.VT-20x20-CT1.
CT1 = Colores Tipo 1: Paja 10 – Amarillo 50 – Amarillo 52 – Beige 85 – Tabaco 16 – Marrón 95 - Rojo 24 – Verde 28 – Verde 31.</t>
  </si>
  <si>
    <t xml:space="preserve">ma-ferres-baldosa.VT-20x20-CT2</t>
  </si>
  <si>
    <t xml:space="preserve">Material</t>
  </si>
  <si>
    <t xml:space="preserve">pza</t>
  </si>
  <si>
    <t xml:space="preserve">Baldosa vidriada (20x20 cm/pza).   Ref. ferres-baldosa.VT-20x20-CT2</t>
  </si>
  <si>
    <t xml:space="preserve">Baldosa vidriada (20x20 cm/pza).   Ref. ferres-baldosa.VT-20x20-CT2.
CT2 = Colores Tipo 2: Azul 62 - Azul 64 - Azul 43 - Negro 13.</t>
  </si>
  <si>
    <t xml:space="preserve">ma-ferres-baldosa.VT-20x20-CT3</t>
  </si>
  <si>
    <t xml:space="preserve">Material</t>
  </si>
  <si>
    <t xml:space="preserve">pza</t>
  </si>
  <si>
    <t xml:space="preserve">Baldosa vidriada (20x20 cm/pza).   Ref. ferres-baldosa.VT-20x20-CT3</t>
  </si>
  <si>
    <t xml:space="preserve">Baldosa vidriada (20x20 cm/pza).   Ref. ferres-baldosa.VT-20x20-CT3.
CT3 = Colores Tipo 3: Blanco 23 - Gris 12 - Rojo 92.</t>
  </si>
  <si>
    <t xml:space="preserve">ma-ferres-c/muro.VT-SW-18x20-CT1</t>
  </si>
  <si>
    <t xml:space="preserve">Material</t>
  </si>
  <si>
    <t xml:space="preserve">pza</t>
  </si>
  <si>
    <t xml:space="preserve">Pasamanos/cubremuros vidriado STONEWARE (18x20 cm/pza).   Ref. ferres-c/muro.VT-SW-18x20-CT1</t>
  </si>
  <si>
    <t xml:space="preserve">Pasamanos/cubremuros vidriado STONEWARE (18x20 cm/pza).   Ref. ferres-c/muro.VT-SW-18x20-CT1.
CT1 = Colores Tipo 1: Paja 10 – Amarillo 50 – Amarillo 52 – Beige 85 – Tabaco 16 – Marrón 95 - Rojo 24 – Verde 28 – Verde 31.</t>
  </si>
  <si>
    <t xml:space="preserve">ma-ferres-c/muro.VT-SW-18x20-CT2</t>
  </si>
  <si>
    <t xml:space="preserve">Material</t>
  </si>
  <si>
    <t xml:space="preserve">pza</t>
  </si>
  <si>
    <t xml:space="preserve">Pasamanos/cubremuros vidriado STONEWARE (18x20 cm/pza).   Ref. ferres-c/muro.VT-SW-18x20-CT2</t>
  </si>
  <si>
    <t xml:space="preserve">Pasamanos/cubremuros vidriado STONEWARE (18x20 cm/pza).   Ref. ferres-c/muro.VT-SW-18x20-CT2.
CT2 = Colores Tipo 2: Azul 62 - Azul 64 - Azul 43 - Negro 13.</t>
  </si>
  <si>
    <t xml:space="preserve">ma-ferres-c/muro.VT-SW-18x20-CT3</t>
  </si>
  <si>
    <t xml:space="preserve">Material</t>
  </si>
  <si>
    <t xml:space="preserve">pza</t>
  </si>
  <si>
    <t xml:space="preserve">Pasamanos/cubremuros vidriado STONEWARE (18x20 cm/pza).   Ref. ferres-c/muro.VT-SW-18x20-CT3</t>
  </si>
  <si>
    <t xml:space="preserve">Pasamanos/cubremuros vidriado STONEWARE (18x20 cm/pza).   Ref. ferres-c/muro.VT-SW-18x20-CT3.
CT3 = Colores Tipo 3: Blanco 23 - Gris 12 - Rojo 92.</t>
  </si>
  <si>
    <t xml:space="preserve">ma-ferres-c/muro.VT-SW-20x20-CT1</t>
  </si>
  <si>
    <t xml:space="preserve">Material</t>
  </si>
  <si>
    <t xml:space="preserve">pza</t>
  </si>
  <si>
    <t xml:space="preserve">Pasamanos/cubremuros vidriado STONEWARE (20x20 cm/pza).   Ref. ferres-c/muro.VT-SW-20x20-CT1</t>
  </si>
  <si>
    <t xml:space="preserve">Pasamanos/cubremuros vidriado STONEWARE (20x20 cm/pza).   Ref. ferres-c/muro.VT-SW-20x20-CT1.
CT1 = Colores Tipo 1: Paja 10 – Amarillo 50 – Amarillo 52 – Beige 85 – Tabaco 16 – Marrón 95 - Rojo 24 – Verde 28 – Verde 31.</t>
  </si>
  <si>
    <t xml:space="preserve">ma-ferres-c/muro.VT-SW-20x20-CT2</t>
  </si>
  <si>
    <t xml:space="preserve">Material</t>
  </si>
  <si>
    <t xml:space="preserve">pza</t>
  </si>
  <si>
    <t xml:space="preserve">Pasamanos/cubremuros vidriado STONEWARE (20x20 cm/pza).   Ref. ferres-c/muro.VT-SW-20x20-CT2</t>
  </si>
  <si>
    <t xml:space="preserve">Pasamanos/cubremuros vidriado STONEWARE (20x20 cm/pza).   Ref. ferres-c/muro.VT-SW-20x20-CT2.
CT2 = Colores Tipo 2: Azul 62 - Azul 64 - Azul 43 - Negro 13.</t>
  </si>
  <si>
    <t xml:space="preserve">ma-ferres-c/muro.VT-SW-20x20-CT3</t>
  </si>
  <si>
    <t xml:space="preserve">Material</t>
  </si>
  <si>
    <t xml:space="preserve">pza</t>
  </si>
  <si>
    <t xml:space="preserve">Pasamanos/cubremuros vidriado STONEWARE (20x20 cm/pza).   Ref. ferres-c/muro.VT-SW-20x20-CT3</t>
  </si>
  <si>
    <t xml:space="preserve">Pasamanos/cubremuros vidriado STONEWARE (20x20 cm/pza).   Ref. ferres-c/muro.VT-SW-20x20-CT3.
CT3 = Colores Tipo 3: Blanco 23 - Gris 12 - Rojo 92.</t>
  </si>
  <si>
    <t xml:space="preserve">ma-ferres-v/agua.VT-SW-15x30-CT1</t>
  </si>
  <si>
    <t xml:space="preserve">Material</t>
  </si>
  <si>
    <t xml:space="preserve">pza</t>
  </si>
  <si>
    <t xml:space="preserve">Vierteaguas vidriado STONEWARE (15x30 cm/pza).   Ref. c.ferres-v/agua.VT-stonewear-15x30</t>
  </si>
  <si>
    <t xml:space="preserve">Vierteaguas vidriado STONEWARE (15x30 cm/pza).   Ref. c.ferres-v/agua.VT-stonewear-15x30.
Colores Tipo 1: Paja 10 – Amarillo 50 – Amarillo 52 – Beige 85 – Tabaco 16 – Marrón 95 - Rojo 24 – Verde 28 – Verde 31.</t>
  </si>
  <si>
    <t xml:space="preserve">ma-ferres-v/agua.VT-SW-15x30-CT2</t>
  </si>
  <si>
    <t xml:space="preserve">Material</t>
  </si>
  <si>
    <t xml:space="preserve">pza</t>
  </si>
  <si>
    <t xml:space="preserve">Vierteaguas vidriado STONEWARE (15x30 cm/pza).   Ref. ferres-v/agua.VT-SW-15x30-CT2</t>
  </si>
  <si>
    <t xml:space="preserve">Vierteaguas vidriado STONEWARE (15x30 cm/pza).   Ref. ferres-v/agua.VT-SW-15x30-CT2.
CT2 = Colores Tipo 2: Azul 62 - Azul 64 - Azul 43 - Negro 13.</t>
  </si>
  <si>
    <t xml:space="preserve">ma-ferres-v/agua.VT-SW-15x30-CT3</t>
  </si>
  <si>
    <t xml:space="preserve">Material</t>
  </si>
  <si>
    <t xml:space="preserve">pza</t>
  </si>
  <si>
    <t xml:space="preserve">Vierteaguas vidriado STONEWARE (15x30 cm/pza).   Ref. ferres-v/agua.VT-SW-15x30-CT3</t>
  </si>
  <si>
    <t xml:space="preserve">Vierteaguas vidriado STONEWARE (15x30 cm/pza).   Ref. ferres-v/agua.VT-SW-15x30-CT3.
CT3 = Colores Tipo 3: Blanco 23 - Gris 12 - Rojo 92.</t>
  </si>
  <si>
    <t xml:space="preserve">ma-ferres-v/agua.VT-SW-20x20-CT1</t>
  </si>
  <si>
    <t xml:space="preserve">Material</t>
  </si>
  <si>
    <t xml:space="preserve">pza</t>
  </si>
  <si>
    <t xml:space="preserve">Vierteaguas vidriado STONEWARE (20x20 cm/pza).   Ref. ferres-v/agua.VT-SW-20x20-CT1</t>
  </si>
  <si>
    <t xml:space="preserve">Vierteaguas vidriado STONEWARE (20x20 cm/pza).   Ref. ferres-v/agua.VT-SW-20x20-CT1.
CT1 = Colores Tipo 1: Paja 10 – Amarillo 50 – Amarillo 52 – Beige 85 – Tabaco 16 – Marrón 95 - Rojo 24 – Verde 28 – Verde 31.</t>
  </si>
  <si>
    <t xml:space="preserve">ma-ferres-v/agua.VT-SW-20x20-CT2</t>
  </si>
  <si>
    <t xml:space="preserve">Material</t>
  </si>
  <si>
    <t xml:space="preserve">pza</t>
  </si>
  <si>
    <t xml:space="preserve">Vierteaguas vidriado STONEWARE (20x20 cm/pza).   Ref. ferres-v/agua.VT-SW-20x20-CT2</t>
  </si>
  <si>
    <t xml:space="preserve">Vierteaguas vidriado STONEWARE (20x20 cm/pza).   Ref. ferres-v/agua.VT-SW-20x20-CT2.
CT2 = Colores Tipo 2: Azul 62 - Azul 64 - Azul 43 - Negro 13.</t>
  </si>
  <si>
    <t xml:space="preserve">ma-ferres-v/agua.VT-SW-20x20-CT3</t>
  </si>
  <si>
    <t xml:space="preserve">Material</t>
  </si>
  <si>
    <t xml:space="preserve">pza</t>
  </si>
  <si>
    <t xml:space="preserve">Vierteaguas vidriado STONEWARE (20x20 cm/pza).   Ref. ferres-v/agua.VT-SW-20x20-CT3</t>
  </si>
  <si>
    <t xml:space="preserve">Vierteaguas vidriado STONEWARE (20x20 cm/pza).   Ref. ferres-v/agua.VT-SW-20x20-CT3.
CT3 = Colores Tipo 3: Blanco 23 - Gris 12 - Rojo 92.</t>
  </si>
  <si>
    <t xml:space="preserve">ma-sola.azulejos-01</t>
  </si>
  <si>
    <t xml:space="preserve">Material</t>
  </si>
  <si>
    <t xml:space="preserve">m2</t>
  </si>
  <si>
    <t xml:space="preserve">Baldosa porcelánica GELA de AZULIBER 40x60 mm; color beige.   Ref. solá azulejos-01</t>
  </si>
  <si>
    <t xml:space="preserve">Baldosa Porcelánica GELA de AZULIBER 40x60 mm; con efecto piedra, textura suave y acabado antideslizante.   Ref. SOLA-AZULEJOS-01.</t>
  </si>
  <si>
    <t xml:space="preserve">ma-fl-93305501</t>
  </si>
  <si>
    <t xml:space="preserve">Material</t>
  </si>
  <si>
    <t xml:space="preserve">pza</t>
  </si>
  <si>
    <t xml:space="preserve">Pasamanos GRECOGRES NATURAL (27,5x31,4 cm/pza).   Ref. fl-93305501</t>
  </si>
  <si>
    <t xml:space="preserve">Pieza complementaria pasamanos, texturizado, natural y no rectificado, útil para pieza complementaria en cocina, exterior, residencial, decoración, comercio. De estilo clásico, contemporáneo, rústico y artesanal, vintage, mediterráneo y simulando barro mayoritariamente en color arena, marrón.   Ref. fl-93305501</t>
  </si>
  <si>
    <t xml:space="preserve">ma-fl-93305502</t>
  </si>
  <si>
    <t xml:space="preserve">Material</t>
  </si>
  <si>
    <t xml:space="preserve">pza</t>
  </si>
  <si>
    <t xml:space="preserve">Pasamanos GRECOGRES NATURAL (15,3x31,4 cm/pza).   Ref. fl-93305502</t>
  </si>
  <si>
    <t xml:space="preserve">Pieza complementaria pasamanos, texturizado, natural y no rectificado, útil para pieza complementaria en cocina, exterior, residencial, decoración, comercio. De estilo clásico, contemporáneo, rústico y artesanal, vintage, mediterráneo y simulando barro mayoritariamente en color arena, marrón.   Ref. fl-93305502
Proveedor: Ferrolan
Enlace:</t>
  </si>
  <si>
    <t xml:space="preserve">ma-fl-93305504</t>
  </si>
  <si>
    <t xml:space="preserve">Material</t>
  </si>
  <si>
    <t xml:space="preserve">pza</t>
  </si>
  <si>
    <t xml:space="preserve">Pasamanos GRECOGRES NATURAL (22x31,4 cm/pza).   Ref. fl-93305504</t>
  </si>
  <si>
    <t xml:space="preserve">Pieza complementaria pasamanos, texturizado, natural y no rectificado, útil para pieza complementaria en cocina, exterior, residencial, decoración, comercio. De estilo clásico, contemporáneo, rústico y artesanal, vintage, mediterráneo y simulando barro mayoritariamente en color arena, marrón.   Ref. fl-93305504</t>
  </si>
  <si>
    <t xml:space="preserve">ma-fl-93512302</t>
  </si>
  <si>
    <t xml:space="preserve">Material</t>
  </si>
  <si>
    <t xml:space="preserve">pza</t>
  </si>
  <si>
    <t xml:space="preserve">Pasamano de gres rústico natural para cubremuros, remates y barandillas (26x33 cm/pza).   Ref. fl-93512302</t>
  </si>
  <si>
    <t xml:space="preserve">Pieza complementaria pasamanos, texturizado, antideslizante y no rectificado en formato rectangular (33x26), útil en exterior. De estilo contemporáneo, mediterráneo y simulando barro mayoritariamente en color arena, marrón.</t>
  </si>
  <si>
    <t xml:space="preserve">ma-fl-94303701</t>
  </si>
  <si>
    <t xml:space="preserve">Material</t>
  </si>
  <si>
    <t xml:space="preserve">m2</t>
  </si>
  <si>
    <t xml:space="preserve">Baldosa Cerámica NATURAL HIERRO 2.0 de ROSA GRES (31x31x0,9 cm/pza).   Ref. fl-94303701</t>
  </si>
  <si>
    <t xml:space="preserve">Baldosa Cerámica NATURAL HIERRO 2.0 de ROSA GRES (31x31x0,9 cm/pza).   Ref. fl-94303701</t>
  </si>
  <si>
    <t xml:space="preserve">ma-graniarte-blanco.perla</t>
  </si>
  <si>
    <t xml:space="preserve">Material</t>
  </si>
  <si>
    <t xml:space="preserve">pza</t>
  </si>
  <si>
    <t xml:space="preserve">Vierteaguas de piedra natural con caras visibles pulidas y hendidura de goterón; granito Blanco Perla (100x30x3 cm/pza).   Ref. graniarte-blanco.perla</t>
  </si>
  <si>
    <t xml:space="preserve">Vierteaguas de piedra natural con caras visibles pulidas y hendidura de goterón; granito Blanco Perla (100x30x3 cm/pza).   Ref. graniarte-blanco.perla</t>
  </si>
  <si>
    <t xml:space="preserve">ma-graniarte-crema.julia</t>
  </si>
  <si>
    <t xml:space="preserve">Material</t>
  </si>
  <si>
    <t xml:space="preserve">pza</t>
  </si>
  <si>
    <t xml:space="preserve">Vierteaguas de piedra natural con caras visibles pulidas y hendidura de goterón; granito Crema Julia (100x30x3 cm/pza).   Ref. graniarte-crema.julia</t>
  </si>
  <si>
    <t xml:space="preserve">Vierteaguas de piedra natural con caras visibles pulidas y hendidura de goterón; granito Crema Julia (100x30x3 cm/pza).   Ref. graniarte-crema.julia</t>
  </si>
  <si>
    <t xml:space="preserve">ma-graniarte-gris.pinor</t>
  </si>
  <si>
    <t xml:space="preserve">Material</t>
  </si>
  <si>
    <t xml:space="preserve">pza</t>
  </si>
  <si>
    <t xml:space="preserve">Vierteaguas de piedra natural con caras visibles pulidas y hendidura de goterón; granito Gris Pinor (100x30x3 cm/pza).   Ref. graniarte-gris.pinor</t>
  </si>
  <si>
    <t xml:space="preserve">Vierteaguas de piedra natural con caras visibles pulidas y hendidura de goterón; granito Gris Pinor (100x30x3 cm/pza).   Ref. graniarte-gris.pinor</t>
  </si>
  <si>
    <t xml:space="preserve">ma-graniarte-negro.santa.olalla</t>
  </si>
  <si>
    <t xml:space="preserve">Material</t>
  </si>
  <si>
    <t xml:space="preserve">pza</t>
  </si>
  <si>
    <t xml:space="preserve">Vierteaguas de piedra natural con caras visibles pulidas y hendidura de goterón; granito Negro Santa Olalla (100x30x3 cm/pza).   Ref. graniarte-negro.santa.olalla</t>
  </si>
  <si>
    <t xml:space="preserve">Vierteaguas de piedra natural con caras visibles pulidas y hendidura de goterón; granito Negro Santa Olalla (100x30x3 cm/pza).   Ref. graniarte-negro.santa.olalla</t>
  </si>
  <si>
    <t xml:space="preserve">ma-gresite.piscinas-01</t>
  </si>
  <si>
    <t xml:space="preserve">Material</t>
  </si>
  <si>
    <t xml:space="preserve">m2</t>
  </si>
  <si>
    <t xml:space="preserve">Gresite 50x50 mm antideslizante NIEBLA BATUR de CLOUD MATE (formato de placa 310x310 mm).   Ref. gresite.piscinas-01</t>
  </si>
  <si>
    <t xml:space="preserve">Gresite 50x50 mm antideslizante NIEBLA BATUR de CLOUD MATE (formato de placa 310x310 mm).   Ref. gresite.piscinas-01</t>
  </si>
  <si>
    <t xml:space="preserve">ma-ia-01</t>
  </si>
  <si>
    <t xml:space="preserve">Material</t>
  </si>
  <si>
    <t xml:space="preserve">pza</t>
  </si>
  <si>
    <t xml:space="preserve">Vierteaguas INTERAZULEJOS natural extruido antideslizante; espesor 1,3 cm (24,5x28x3,5 cm/pza).   Ref. ia-01</t>
  </si>
  <si>
    <t xml:space="preserve">Gres de Andorra. Mate con relieve. Antideslizante CLASE 3 / R 12. Absorción de agua &lt; 3%. Resistente al choque térmico, heladas y manchas. Dorso estriado en cola de milano. Junta recomendada mínima entre 8 mm y 1 cm. 6 pzas/caja.   Ref. ma-ia-01</t>
  </si>
  <si>
    <t xml:space="preserve">ma-ia-02</t>
  </si>
  <si>
    <t xml:space="preserve">Material</t>
  </si>
  <si>
    <t xml:space="preserve">pza</t>
  </si>
  <si>
    <t xml:space="preserve">Vierteaguas INTERAZULEJOS natural extruido antideslizante; espesor 1,3 cm (24,5x30x3,5 cm/pza).   Ref. ia-02</t>
  </si>
  <si>
    <t xml:space="preserve">Gres de Andorra. Mate con relieve. Antideslizante CLASE 3 / R 12. Absorción de agua &lt; 3%. Resistente al choque térmico, heladas y manchas. Dorso estriado en cola de milano. Junta recomendada mínima entre 8 mm y 1 cm. 6 pzas/caja.   Ref. ia -02</t>
  </si>
  <si>
    <t xml:space="preserve">ma-ia-03</t>
  </si>
  <si>
    <t xml:space="preserve">Material</t>
  </si>
  <si>
    <t xml:space="preserve">pza</t>
  </si>
  <si>
    <t xml:space="preserve">Peldaño FIORENTINO T2 INTERAZULEJOS natural extruido antideslizante; espesor 1,6 cm (24,5x33x5 cm/pza).   Ref. ia-03</t>
  </si>
  <si>
    <t xml:space="preserve">Gres de Andorra. Mate con relieve. Antideslizante CLASE 3 / R 12. Absorción de agua &lt; 3%. Resistente al choque térmico, heladas y manchas. Dorso estriado en cola de milano. Junta recomendada mínima entre 8 mm y 1 cm. 4 pzas/caja.   Ref. ia -03</t>
  </si>
  <si>
    <t xml:space="preserve">ma-ia-04</t>
  </si>
  <si>
    <t xml:space="preserve">Material</t>
  </si>
  <si>
    <t xml:space="preserve">pza</t>
  </si>
  <si>
    <t xml:space="preserve">Peldaño FIORENTINO T2 INTERAZULEJOS natural extruido antideslizante; espesor 1,6 cm (32,5x33x5 cm/pza).   Ref. ia-04</t>
  </si>
  <si>
    <t xml:space="preserve">Gres de Andorra. Mate con relieve. Antideslizante CLASE 3 / R 12. Absorción de agua &lt; 3%. Resistente al choque térmico, heladas y manchas. Dorso estriado en cola de milano. Junta recomendada mínima entre 8 mm y 1 cm. 4 pzas/caja.   Ref. ia-04</t>
  </si>
  <si>
    <t xml:space="preserve">ma-ia-05</t>
  </si>
  <si>
    <t xml:space="preserve">Material</t>
  </si>
  <si>
    <t xml:space="preserve">pza</t>
  </si>
  <si>
    <t xml:space="preserve">Peldaño recto T5 INTERAZULEJOS natural extruido antideslizante; espesor 1,6 cm (24,5x33x5 cm/pza).   Ref. ia-05</t>
  </si>
  <si>
    <t xml:space="preserve">Gres de Andorra. Mate con relieve. Antideslizante CLASE 3 / R 12. Absorción de agua &lt; 3%. Resistente al choque térmico, heladas y manchas. Dorso estriado en cola de milano. Junta recomendada mínima entre 8 mm y 1 cm. 4 pzas/caja.   Ref. ia-05</t>
  </si>
  <si>
    <t xml:space="preserve">ma-ia-06</t>
  </si>
  <si>
    <t xml:space="preserve">Material</t>
  </si>
  <si>
    <t xml:space="preserve">pza</t>
  </si>
  <si>
    <t xml:space="preserve">Peldaño recto T5 INTERAZULEJOS natural extruido antideslizante; espesor 1,6 cm (32,5x33x5 cm/pza).   Ref. ia-06</t>
  </si>
  <si>
    <t xml:space="preserve">Gres de Andorra. Mate con relieve. Antideslizante CLASE 3 / R 12. Absorción de agua &lt; 3%. Resistente al choque térmico, heladas y manchas. Dorso estriado en cola de milano. Junta recomendada mínima entre 8 mm y 1 cm. 4 pzas/caja.   Ref. ia-06</t>
  </si>
  <si>
    <t xml:space="preserve">ma-ia-07</t>
  </si>
  <si>
    <t xml:space="preserve">Material</t>
  </si>
  <si>
    <t xml:space="preserve">pza</t>
  </si>
  <si>
    <t xml:space="preserve">Pasamanos INTERAZULEJOS natural extruido antideslizante; espesor 1,3 cm (15,5x32,5x5 cm/pza).   Ref. ia-07</t>
  </si>
  <si>
    <t xml:space="preserve">Gres de Andorra. Mate con relieve. Antideslizante CLASE 3 / R 12. Absorción de agua &lt; 3%. Resistente al choque térmico, heladas y manchas. Dorso estriado en cola de milano. Junta recomendada mínima entre 8 mm y 1 cm. 8 pzas/caja.   Ref. ia-07</t>
  </si>
  <si>
    <t xml:space="preserve">ma-ia-08</t>
  </si>
  <si>
    <t xml:space="preserve">Material</t>
  </si>
  <si>
    <t xml:space="preserve">pza</t>
  </si>
  <si>
    <t xml:space="preserve">Pasamanos INTERAZULEJOS natural extruido antideslizante; espesor 1,3 cm (21,5x32,5x5 cm/pza).   Ref. ia-08</t>
  </si>
  <si>
    <t xml:space="preserve">Gres de Andorra. Mate con relieve. Antideslizante CLASE 3 / R 12. Absorción de agua &lt; 3%. Resistente al choque térmico, heladas y manchas. Dorso estriado en cola de milano. Junta recomendada mínima entre 8 mm y 1 cm. 5 pzas/caja.   Ref. ia-08</t>
  </si>
  <si>
    <t xml:space="preserve">ma-ia-09</t>
  </si>
  <si>
    <t xml:space="preserve">Material</t>
  </si>
  <si>
    <t xml:space="preserve">pza</t>
  </si>
  <si>
    <t xml:space="preserve">Pasamanos INTERAZULEJOS natural extruido antideslizante; espesor 1,3 cm (27,5x32,5x5 cm/pza).   Ref. ia-09</t>
  </si>
  <si>
    <t xml:space="preserve">Gres de Andorra. Mate con relieve. Antideslizante CLASE 3 / R 12. Absorción de agua &lt; 3%. Resistente al choque térmico, heladas y manchas. Dorso estriado en cola de milano. Junta recomendada mínima entre 8 mm y 1 cm. 6 pzas/caja.   Ref. ia-09</t>
  </si>
  <si>
    <t xml:space="preserve">ma-ia-10</t>
  </si>
  <si>
    <t xml:space="preserve">Material</t>
  </si>
  <si>
    <t xml:space="preserve">m2</t>
  </si>
  <si>
    <t xml:space="preserve">Baldosa natural extrusionada antideslizante 1ª o gres de ANDORRA de GRESAN (16x32,5 cm/pza).   Ref. ia-10</t>
  </si>
  <si>
    <t xml:space="preserve">Baldosa natural o gres de ANDORRA de GRESAN, disponible en formatos 24.5x24.5, 32.5x32.5, 16x32.5 y 32.5x49.7 cm en natural, albarracín y ónix, con espesor de 1,3 cm. Peldaños y piezas especiales a juego disponibles.   Ref. ia-10.
Junta mínima recomendada entre 8 mm y 1 cm; no obstante, el fabricante recomienda que la junta entre las piezas sea de 5 mm para respetar la modularidad de las series y la correspondencia de juntas entre los diferentes formatos y/o piezas especiales. Antideslizante CLASE 3 / R 12.</t>
  </si>
  <si>
    <t xml:space="preserve">ma-ia-11</t>
  </si>
  <si>
    <t xml:space="preserve">Material</t>
  </si>
  <si>
    <t xml:space="preserve">m2</t>
  </si>
  <si>
    <t xml:space="preserve">Baldosa natural extrusionada antideslizante 1ª o gres de ANDORRA de GRESAN (24,5x24,5 cm/pza).   Ref. ia-11</t>
  </si>
  <si>
    <t xml:space="preserve">Baldosa natural o gres de ANDORRA de GRESAN, disponible en formatos 24.5x24.5, 32.5x32.5, 16x32.5 y 32.5x49.7 cm en natural, albarracín y ónix, con espesor de 1,3 cm. Peldaños y piezas especiales a juego disponibles.   Ref. ia-11.
Junta mínima recomendada entre 8 mm y 1 cm; no obstante, el fabricante recomienda que la junta entre las piezas sea de 5 mm para respetar la modularidad de las series y la correspondencia de juntas entre los diferentes formatos y/o piezas especiales. Antideslizante CLASE 3 / R 12.</t>
  </si>
  <si>
    <t xml:space="preserve">ma-ig-339.904071</t>
  </si>
  <si>
    <t xml:space="preserve">Material</t>
  </si>
  <si>
    <t xml:space="preserve">m2</t>
  </si>
  <si>
    <t xml:space="preserve">Baldosa GRES ARAGÓN DUERO ROA de INDIGAR; 30x30 cm espesor 10 mm (0,99 m2/caja; 11 pzas/caja).   Ref. indigar-339.904071</t>
  </si>
  <si>
    <t xml:space="preserve">Baldosa GRES ARAGÓN DUERO ROA de INDIGAR; 30x30 cm espesor 10 mm (0,99 m2/caja; 11 pzas/caja).   Ref. INDIGAR-339.904071</t>
  </si>
  <si>
    <t xml:space="preserve">ma-ig-339.904134</t>
  </si>
  <si>
    <t xml:space="preserve">Material</t>
  </si>
  <si>
    <t xml:space="preserve">m2</t>
  </si>
  <si>
    <t xml:space="preserve">Baldosa GRES ARAGÓN DUERO ARANDA de INDIGAR; 60x60 cm con espesor 10 mm (1,44 m2/caja; 4 pzas/caja).   Ref. indigar-339.904134</t>
  </si>
  <si>
    <t xml:space="preserve">Baldosa GRES ARAGÓN DUERO ARANDA de INDIGAR; 60x60 cm con espesor 10 mm (1,44 m2/caja; 4 pzas/caja).   Ref. INDIGAR-339.904134</t>
  </si>
  <si>
    <t xml:space="preserve">ma-ig-157.123302.3130</t>
  </si>
  <si>
    <t xml:space="preserve">Material</t>
  </si>
  <si>
    <t xml:space="preserve">pza</t>
  </si>
  <si>
    <t xml:space="preserve">Vierteaguas rústico GRESTEJO modelo RUBÍ (30x31x4 cm/pza).   Ref. indigar-157.123302.3130</t>
  </si>
  <si>
    <t xml:space="preserve">Vierteaguas rústico FERROGRES modelo RUBÍ en acabado natural; 30 ancho x 31 largo x 4 cm vuelo (espesor 20 mm).   Ref. indigar-157.123302.3130.</t>
  </si>
  <si>
    <t xml:space="preserve">ma-imer-EVOLUTION.3.BEIGE-22</t>
  </si>
  <si>
    <t xml:space="preserve">Material</t>
  </si>
  <si>
    <t xml:space="preserve">pza</t>
  </si>
  <si>
    <t xml:space="preserve">Vierteaguas de piedra artificial UNICO EVOLUTION OCRE/ROSA/SALMÓN de IMER-PREFABRICADOS (ancho interno 22 cm/pza; largo 1 m/pza).   Ref. imer-EVOLUTION.BLANCO-22</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</si>
  <si>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imer-EVOLUTION.3.BEIGE-22.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</si>
  <si>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ma-imer-EVOLUTION.3.BEIGE-27</t>
  </si>
  <si>
    <t xml:space="preserve">Material</t>
  </si>
  <si>
    <t xml:space="preserve">pza</t>
  </si>
  <si>
    <t xml:space="preserve">Vierteaguas de piedra artificial UNICO EVOLUTION OCRE/ROSA/SALMÓN de IMER-PREFABRICADOS (ancho interno 27 cm/pza; largo 1 m/pza).   Ref. imer-EVOLUTION.BLANCO-27</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</si>
  <si>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imer-EVOLUTION.3.BEIGE-27.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</si>
  <si>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ma-imer-EVOLUTION.3.BEIGE-30</t>
  </si>
  <si>
    <t xml:space="preserve">Material</t>
  </si>
  <si>
    <t xml:space="preserve">pza</t>
  </si>
  <si>
    <t xml:space="preserve">Vierteaguas de piedra artificial UNICO EVOLUTION OCRE/ROSA/SALMÓN de IMER-PREFABRICADOS (ancho interno 30 cm/pza; largo 1 m/pza).   Ref. imer-EVOLUTION.BLANCO-30</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</si>
  <si>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imer-EVOLUTION.3.BEIGE-30.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</si>
  <si>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ma-imer-EVOLUTION.BLANCO-22</t>
  </si>
  <si>
    <t xml:space="preserve">Material</t>
  </si>
  <si>
    <t xml:space="preserve">pza</t>
  </si>
  <si>
    <t xml:space="preserve">Vierteaguas de piedra artificial UNICO EVOLUTION BLANCO de IMER-PREFABRICADOS (ancho interno 22 cm/pza; largo 1 m/pza).   Ref. imer-EVOLUTION.BLANCO-22</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</si>
  <si>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imer-EVOLUTION.BLANCO-22.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</si>
  <si>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ma-imer-EVOLUTION.BLANCO-27</t>
  </si>
  <si>
    <t xml:space="preserve">Material</t>
  </si>
  <si>
    <t xml:space="preserve">pza</t>
  </si>
  <si>
    <t xml:space="preserve">Vierteaguas de piedra artificial UNICO EVOLUTION BLANCO de IMER-PREFABRICADOS (ancho interno 27 cm/pza; largo 1 m/pza).   Ref. imer-EVOLUTION.BLANCO-27</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</si>
  <si>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imer-EVOLUTION.BLANCO-27.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</si>
  <si>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ma-imer-EVOLUTION.BLANCO-30</t>
  </si>
  <si>
    <t xml:space="preserve">Material</t>
  </si>
  <si>
    <t xml:space="preserve">pza</t>
  </si>
  <si>
    <t xml:space="preserve">Vierteaguas de piedra artificial UNICO EVOLUTION BLANCO de IMER-PREFABRICADOS (ancho interno 30 cm/pza; largo 1 m/pza).   Ref. imer-EVOLUTION.BLANCO-30</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</si>
  <si>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imer-EVOLUTION.BLANCO-30.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</si>
  <si>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ma-lp-00008179</t>
  </si>
  <si>
    <t xml:space="preserve">Material</t>
  </si>
  <si>
    <t xml:space="preserve">pza</t>
  </si>
  <si>
    <t xml:space="preserve">Vierteaguas rojo esmaltado (medidas/pieza: 14x28 cm con un espesor de 12 mm)   Ref. lp-00008179</t>
  </si>
  <si>
    <t xml:space="preserve">Vierteaguas esmaltado de color rojo con acabado brillo. Medidas: 14x28 cm. Recomendado para uso en interiores. Limpiar con agua para un óptimo resultado. Resistente al desgaste.   Ref. lp-00008179</t>
  </si>
  <si>
    <t xml:space="preserve">ma-imer-EVOLUTION.GRIS-22</t>
  </si>
  <si>
    <t xml:space="preserve">Material</t>
  </si>
  <si>
    <t xml:space="preserve">pza</t>
  </si>
  <si>
    <t xml:space="preserve">Vierteaguas de piedra artificial UNICO EVOLUTION BLANCO de IMER-PREFABRICADOS (ancho interno 22 cm/pza; largo 1 m/pza).   Ref. imer-EVOLUTION.GRIS-22</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</si>
  <si>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imer-EVOLUTION.GRIS-22.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</si>
  <si>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ma-imer-EVOLUTION.GRIS-27</t>
  </si>
  <si>
    <t xml:space="preserve">Material</t>
  </si>
  <si>
    <t xml:space="preserve">pza</t>
  </si>
  <si>
    <t xml:space="preserve">Vierteaguas de piedra artificial UNICO EVOLUTION GRIS de IMER-PREFABRICADOS (ancho interno 27 cm/pza; largo 1 m/pza).   Ref. imer-EVOLUTION.GRIS-27</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</si>
  <si>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imer-EVOLUTION.GRIS-27.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</si>
  <si>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ma-imer-EVOLUTION.GRIS-30</t>
  </si>
  <si>
    <t xml:space="preserve">Material</t>
  </si>
  <si>
    <t xml:space="preserve">pza</t>
  </si>
  <si>
    <t xml:space="preserve">Vierteaguas de piedra artificial UNICO EVOLUTION GRIS de IMER-PREFABRICADOS (ancho interno 30 cm/pza; largo 1 m/pza).   Ref. imer-EVOLUTION.GRIS-30</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</si>
  <si>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imer-EVOLUTION.GRIS-30.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</si>
  <si>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ma-imer-EVOLUTION.NEGRO-22</t>
  </si>
  <si>
    <t xml:space="preserve">Material</t>
  </si>
  <si>
    <t xml:space="preserve">pza</t>
  </si>
  <si>
    <t xml:space="preserve">Vierteaguas de piedra artificial UNICO EVOLUTION NEGRO de IMER-PREFABRICADOS (ancho interno 22 cm/pza; largo 1 m/pza).   Ref. imer-EVOLUTION.NEGRO-22</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</si>
  <si>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imer-EVOLUTION.NEGRO-22.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</si>
  <si>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ma-imer-EVOLUTION.NEGRO-27</t>
  </si>
  <si>
    <t xml:space="preserve">Material</t>
  </si>
  <si>
    <t xml:space="preserve">pza</t>
  </si>
  <si>
    <t xml:space="preserve">Vierteaguas de piedra artificial UNICO EVOLUTION NEGRO de IMER-PREFABRICADOS (ancho interno 27 cm/pza; largo 1 m/pza).   Ref. imer-EVOLUTION.NEGRO-27</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</si>
  <si>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imer-EVOLUTION.NEGRO-27.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</si>
  <si>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ma-imer-EVOLUTION.NEGRO-30</t>
  </si>
  <si>
    <t xml:space="preserve">Material</t>
  </si>
  <si>
    <t xml:space="preserve">pza</t>
  </si>
  <si>
    <t xml:space="preserve">Vierteaguas de piedra artificial UNICO EVOLUTION NEGRO de IMER-PREFABRICADOS (ancho interno 30 cm/pza; largo 1 m/pza).   Ref. imer-EVOLUTION.NEGRO-30</t>
  </si>
  <si>
    <t xml:space="preserve">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imer-EVOLUTION.NEGRO-30.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</si>
  <si>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 xml:space="preserve">ma-interazulejos-P014</t>
  </si>
  <si>
    <t xml:space="preserve">Material</t>
  </si>
  <si>
    <t xml:space="preserve">pza</t>
  </si>
  <si>
    <t xml:space="preserve">Vierteaguas BRILLO de 1ª (14x28 cm/pza).   Ref. interazulejos-P014</t>
  </si>
  <si>
    <t xml:space="preserve">Vierteaguas BRILLO de 1ª 14x28. Gres de pasta roja. Textura brillo. Pieza de vierteaguas o goterón para realizar un acabado perfecto con el azulejo escogido. Colores: verde, cobalto, melado y blanco. Junta recomendada de 2mm. No es resistente a las heladas, se puede cuartear.   Ref. interazulejos-P014.</t>
  </si>
  <si>
    <t xml:space="preserve">ma-lp-00095113</t>
  </si>
  <si>
    <t xml:space="preserve">Material</t>
  </si>
  <si>
    <t xml:space="preserve">pza</t>
  </si>
  <si>
    <t xml:space="preserve">Cubremuros a 2 aguas de hormigón polímero liso de BEDYFA; color blanco (25x50 cm/pza).   Ref. lp-00095113</t>
  </si>
  <si>
    <t xml:space="preserve">Albardilla a 2 aguas de hormigón polímero liso de color blanco. Impermeable y de fácil instalación. Alta resistencia mecánica y agentes atmosféricos. Bajo peso específico. Medidas: 27,5x50 cm. Canto: 25 mm.   Ref. lp-00095113.</t>
  </si>
  <si>
    <t xml:space="preserve">ma-lp-00104480</t>
  </si>
  <si>
    <t xml:space="preserve">Material</t>
  </si>
  <si>
    <t xml:space="preserve">pza</t>
  </si>
  <si>
    <t xml:space="preserve">Alféizar de hormigón polímero liso blanco de BEDYFA (160x30 cm/pza; Canto 25 mm).   Ref. lp-00104480</t>
  </si>
  <si>
    <t xml:space="preserve">Alféizar de hormigón polímero liso de color blanco apto para exterior. Indicado para colocar en los vanos de las ventanas. Impermeable y de fácil instalación. Alta resistencia mecánica y agentes atmosféricos. Bajo peso específico. Medidas: 160x30 cm. Canto: 25 mm.   Ref. lp-00104480.</t>
  </si>
  <si>
    <t xml:space="preserve">ma-lp-00299053</t>
  </si>
  <si>
    <t xml:space="preserve">Material</t>
  </si>
  <si>
    <t xml:space="preserve">pza</t>
  </si>
  <si>
    <t xml:space="preserve">Rasilla lisa de 1ª calidad con un espesor de 1,2 mm. Medidas: 14x28 cm   Ref. lp-00299053</t>
  </si>
  <si>
    <t xml:space="preserve">Rasilla lisa de 1ª calidad con un espesor de 1,2 mm. Medidas: 14x28 cm</t>
  </si>
  <si>
    <t xml:space="preserve">ma-lp-00299054</t>
  </si>
  <si>
    <t xml:space="preserve">Material</t>
  </si>
  <si>
    <t xml:space="preserve">pza</t>
  </si>
  <si>
    <t xml:space="preserve">Vierteaguas de rasilla (medidas/pieza:14x28 cm con un espesor de 12 mm)   Ref. lp-00299054</t>
  </si>
  <si>
    <t xml:space="preserve">El vierteaguas sirve para casi todo tipo de aplicaciones: patios, terrazas, áticos, museos, tejados o incluso como nivelaje del terreno. Se adhiere firmemente al suelo gracias a su diseño inferior. Es de gran absorción y porosidad. Resistencia al rayado (MOHS): 4.   Ref. lp-00299054.
La rasilla es uno de los tipos de vierteaguas ideal para casas rurales. La razón es su apariencia en forma de ladrillo, lo cual recrea una atmósfera campestre. Es el material más económico y más utilizado por su precio. Su mayor desventaja es que no es adecuado para zonas heladas, ya que absorbe demasiada agua.</t>
  </si>
  <si>
    <t xml:space="preserve">ma-lp-00299055</t>
  </si>
  <si>
    <t xml:space="preserve">Material</t>
  </si>
  <si>
    <t xml:space="preserve">pza</t>
  </si>
  <si>
    <t xml:space="preserve">Pasamanos/Cubremuros celosía en rasilla (20x20x2 cm/pza).   Ref. lp-00299055</t>
  </si>
  <si>
    <t xml:space="preserve">Piezas cerámicas que permiten rematar barandas y tabiques en balcones, terrazas, escalera, … Tanto para interior como exterior, son unas piezas esenciales para completar la estética y funcionalidad de cada proyecto.   Ref. lp-00299055</t>
  </si>
  <si>
    <t xml:space="preserve">ma-lp-00299057</t>
  </si>
  <si>
    <t xml:space="preserve">Material</t>
  </si>
  <si>
    <t xml:space="preserve">pza</t>
  </si>
  <si>
    <t xml:space="preserve">Vierteaguas de rasilla (medidas/pieza: 21,5x21 cm con un espesor de 12 mm)   Ref. lp-00299057</t>
  </si>
  <si>
    <t xml:space="preserve">El vierteaguas sirve para casi todo tipo de aplicaciones: patios, terrazas, aticos, museos, tejados o incluso como nivelaje del terreno. Se adhiere firmemente al suelo gracias a su diseño inferior. Es de gran absorción y porosidad. Resistencia al rayado (MOHS): 4.   Ref. lp-00299057.
La rasilla es uno de los tipos de vierteaguas ideal para casas rurales. La razón es su apariencia en forma de ladrillo, lo cual recrea una atmósfera campestre. Es el material más económico y más utilizado por su precio. Su mayor desventaja es que no es adecuado para zonas heladas, ya que absorbe demasiada agua.</t>
  </si>
  <si>
    <t xml:space="preserve">ma-lp-00299058</t>
  </si>
  <si>
    <t xml:space="preserve">Material</t>
  </si>
  <si>
    <t xml:space="preserve">pza</t>
  </si>
  <si>
    <t xml:space="preserve">Vierteaguas de rasilla (medidas/pieza: 28x14 cm con un espesor de 12 mm)   Ref. lp-00299058</t>
  </si>
  <si>
    <t xml:space="preserve">El vierteaguas sirve para casi todo tipo de aplicaciones: patios, terrazas, áticos, museos, tejados o incluso como nivelaje del terreno. Se adhiere firmemente al suelo gracias a su diseño inferior. Es de gran absorción y porosidad. Resistencia al rayado (MOHS): 4.   Ref. lp-00299058.
La rasilla es uno de los tipos de vierteaguas ideal para casas rurales. La razón es su apariencia en forma de ladrillo, lo cual recrea una atmósfera campestre. Es el material más económico y más utilizado por su precio. Su mayor desventaja es que no es adecuado para zonas heladas, ya que absorbe demasiada agua.</t>
  </si>
  <si>
    <t xml:space="preserve">ma-lp-00407759</t>
  </si>
  <si>
    <t xml:space="preserve">Material</t>
  </si>
  <si>
    <t xml:space="preserve">pza</t>
  </si>
  <si>
    <t xml:space="preserve">Rodapié cerámico OCRE MARIOLA de AZULIBER (8x33,3 cm/pza).   Ref. lp-00407759</t>
  </si>
  <si>
    <t xml:space="preserve">Rodapié cerámico OCRE MARIOLA de AZULIBER (8x33,3 cm/pza).   Ref. lp-00407759</t>
  </si>
  <si>
    <t xml:space="preserve">ma-lp-00407834</t>
  </si>
  <si>
    <t xml:space="preserve">Material</t>
  </si>
  <si>
    <t xml:space="preserve">pza</t>
  </si>
  <si>
    <t xml:space="preserve">Baldosa terrazo pizarra rugoso de BEDIFA con espesor 38 mm; color crema (40x40 cm/pza).   Ref. lp-00407834</t>
  </si>
  <si>
    <t xml:space="preserve">El terrazo pizarra es un pavimento rugoso y antideslizante. Es una baldosa hidráulica que se usa en exterior por ser muy resistente a las heladas y cómodo para el tránsito peatonal.   Ref. lp-00407834.</t>
  </si>
  <si>
    <t xml:space="preserve">ma-lp-00415855</t>
  </si>
  <si>
    <t xml:space="preserve">Material</t>
  </si>
  <si>
    <t xml:space="preserve">pza</t>
  </si>
  <si>
    <t xml:space="preserve">Vierteaguas serie TEJA IRTA de AZULIBER (15x33,3x4 cm/pza).   Ref. lp-00415855</t>
  </si>
  <si>
    <t xml:space="preserve">Vierteaguas serie TEJA IRTA de AZULIBER (15x33,3x4 cm/pza).   Ref. lp-00415855</t>
  </si>
  <si>
    <t xml:space="preserve">ma-lp-00415856</t>
  </si>
  <si>
    <t xml:space="preserve">Material</t>
  </si>
  <si>
    <t xml:space="preserve">pza</t>
  </si>
  <si>
    <t xml:space="preserve">Vierteaguas serie OCRE MARIOLA de AZULIBER (15x33,3x4 cm/pza).   Ref. lp-00415856</t>
  </si>
  <si>
    <t xml:space="preserve">Vierteaguas serie OCRE MARIOLA de AZULIBER (15x33,3x4 cm/pza).   Ref. lp-00415856</t>
  </si>
  <si>
    <t xml:space="preserve">ma-lp-00415858</t>
  </si>
  <si>
    <t xml:space="preserve">Material</t>
  </si>
  <si>
    <t xml:space="preserve">pza</t>
  </si>
  <si>
    <t xml:space="preserve">Vierteaguas serie GRIS CAZORLA de AZULIBER (15x33,3x4 cm/pza).   Ref. lp-00415858</t>
  </si>
  <si>
    <t xml:space="preserve">Vierteaguas serie GRIS CAZORLA de AZULIBER (15x33,3x4 cm/pza).   Ref. lp-00415858</t>
  </si>
  <si>
    <t xml:space="preserve">ma-lp-00533118</t>
  </si>
  <si>
    <t xml:space="preserve">Material</t>
  </si>
  <si>
    <t xml:space="preserve">pza</t>
  </si>
  <si>
    <t xml:space="preserve">Rodapié cerámico serie STOCKHOLM gris (8x45 cm/pza).   Ref. lp-00533118</t>
  </si>
  <si>
    <t xml:space="preserve">Rodapié cerámico serie STOCKHOLM gris (8x45 cm/pza).   Ref. lp-00533118</t>
  </si>
  <si>
    <t xml:space="preserve">ma-lp-00533120</t>
  </si>
  <si>
    <t xml:space="preserve">Material</t>
  </si>
  <si>
    <t xml:space="preserve">pza</t>
  </si>
  <si>
    <t xml:space="preserve">Rodapié cerámico serie STOCKHOLM beige (8x45 cm/pza).   Ref. lp-00533120</t>
  </si>
  <si>
    <t xml:space="preserve">Rodapié cerámico serie STOCKHOLM beige (8x45 cm/pza).   Ref. lp-00533120</t>
  </si>
  <si>
    <t xml:space="preserve">ma-lp-00534345</t>
  </si>
  <si>
    <t xml:space="preserve">Material</t>
  </si>
  <si>
    <t xml:space="preserve">pza</t>
  </si>
  <si>
    <t xml:space="preserve">Rodapié cerámico rústico ANDUJAR TERRA (8x33 cm/pza).   Ref. lp-00534345</t>
  </si>
  <si>
    <t xml:space="preserve">Rodapié cerámico rústico ANDUJAR TERRA (8x33 cm/pza).   Ref. lp-00534345</t>
  </si>
  <si>
    <t xml:space="preserve">ma-ma-PCO00004</t>
  </si>
  <si>
    <t xml:space="preserve">Material</t>
  </si>
  <si>
    <t xml:space="preserve">pza</t>
  </si>
  <si>
    <t xml:space="preserve">Vierteaguas rojo mate 14x28 cm.   Ref. ma-PCO00004</t>
  </si>
  <si>
    <t xml:space="preserve">Vierteaguas rojo mate 14x28 cm.   Ref. ma-PCO00004</t>
  </si>
  <si>
    <t xml:space="preserve">ma-ma-PCO00018</t>
  </si>
  <si>
    <t xml:space="preserve">Material</t>
  </si>
  <si>
    <t xml:space="preserve">pza</t>
  </si>
  <si>
    <t xml:space="preserve">Vierteaguas rojo mate 28x14 cm.   Ref. ma-PCO00018</t>
  </si>
  <si>
    <t xml:space="preserve">Vierteaguas rojo mate 28x14 cm.   Ref. ma-PCO00018</t>
  </si>
  <si>
    <t xml:space="preserve">ma-ma-PCRG0159</t>
  </si>
  <si>
    <t xml:space="preserve">Material</t>
  </si>
  <si>
    <t xml:space="preserve">m2</t>
  </si>
  <si>
    <t xml:space="preserve">Baldosa cerámica HIERRO GRES EXTRUSIONADO.   Ref. ma-ma-PCGR0159</t>
  </si>
  <si>
    <t xml:space="preserve">Baldosa cerámica HIERRO GRES EXTRUSIONADO.   Ref. ma-ma-PCGR0159</t>
  </si>
  <si>
    <t xml:space="preserve">ma-ma-jamba-piedra.artif-01</t>
  </si>
  <si>
    <t xml:space="preserve">Material</t>
  </si>
  <si>
    <t xml:space="preserve">pza</t>
  </si>
  <si>
    <t xml:space="preserve">Jamba de piedra artificial (100x20x5 cm/pza).   Ref. ma-jamba-piedra.artif.01</t>
  </si>
  <si>
    <t xml:space="preserve">ccccccccccccccc</t>
  </si>
  <si>
    <t xml:space="preserve">ma-ma-s/c</t>
  </si>
  <si>
    <t xml:space="preserve">Material</t>
  </si>
  <si>
    <t xml:space="preserve">m2</t>
  </si>
  <si>
    <t xml:space="preserve">Cerámica esmaltada tipo gres en formato 31,5x31,5 cm</t>
  </si>
  <si>
    <t xml:space="preserve">Cerámica esmaltada tipo gres en formato 31,5x31,5 cm</t>
  </si>
  <si>
    <t xml:space="preserve">ma-ma-v.agua-piedra.artif-01</t>
  </si>
  <si>
    <t xml:space="preserve">Material</t>
  </si>
  <si>
    <t xml:space="preserve">pza</t>
  </si>
  <si>
    <t xml:space="preserve">Vierteagua de piedra artificial (100x30x5 cm/pza).   Ref. ma-v.agua-piedra.artif.01</t>
  </si>
  <si>
    <t xml:space="preserve">Vierteagua de piedra artificial (100x30x5 cm/pza).   Ref. ma-v.agua-piedra.artif.01</t>
  </si>
  <si>
    <t xml:space="preserve">ma-manau-308943</t>
  </si>
  <si>
    <t xml:space="preserve">Material</t>
  </si>
  <si>
    <t xml:space="preserve">m2</t>
  </si>
  <si>
    <t xml:space="preserve">Baldosa gres natural rojo de BENESOL (14x28 cm/pza).   Ref. manau-308943</t>
  </si>
  <si>
    <t xml:space="preserve">Baldosa gres natural rojo de BENESOL (14x28 cm/pza).   Ref. manau-308943</t>
  </si>
  <si>
    <t xml:space="preserve">ma-mausa-BEPRNAT1428</t>
  </si>
  <si>
    <t xml:space="preserve">Material</t>
  </si>
  <si>
    <t xml:space="preserve">m2</t>
  </si>
  <si>
    <t xml:space="preserve">Pavimento prensado natural color Rojo Cugat de BENESOL (14x28 cm/pza).   Ref. mausa-BEPRNAT1428</t>
  </si>
  <si>
    <t xml:space="preserve">Pavimento prensado natural color Rojo Cugat de BENESOL (14x28 cm/pza).   Ref. mausa-BEPRNAT1428</t>
  </si>
  <si>
    <t xml:space="preserve">ma-mausa-BEVIERNAT1428</t>
  </si>
  <si>
    <t xml:space="preserve">Material</t>
  </si>
  <si>
    <t xml:space="preserve">pza</t>
  </si>
  <si>
    <t xml:space="preserve">Vierteaguas prensado natural color Rojo Cugat de BENESOL (14x28 cm/pza).   Ref. mausa-BEVIERNAT1428</t>
  </si>
  <si>
    <t xml:space="preserve">Vierteaguas prensado natural color Rojo Cugat de BENESOL (14x28 cm/pza).   Ref. mausa-BEVIERNAT1428</t>
  </si>
  <si>
    <t xml:space="preserve">ma-mausa-BEVIERNAT2814</t>
  </si>
  <si>
    <t xml:space="preserve">Material</t>
  </si>
  <si>
    <t xml:space="preserve">pza</t>
  </si>
  <si>
    <t xml:space="preserve">Vierteaguas prensado natural color Rojo Cugat de BENESOL (28x14 cm/pza).   Ref. mausa-BEVIERNAT2814</t>
  </si>
  <si>
    <t xml:space="preserve">Vierteaguas prensado natural color Rojo Cugat de BENESOL (28x14 cm/pza).   Ref. mausa-BEVIERNAT2814</t>
  </si>
  <si>
    <t xml:space="preserve">ma-mausa-Sku-CALAF1</t>
  </si>
  <si>
    <t xml:space="preserve">Material</t>
  </si>
  <si>
    <t xml:space="preserve">pza</t>
  </si>
  <si>
    <t xml:space="preserve">Vierteaguas MONTSERRAT de CALAF; color beige (27,4x27,4x1,5 cm/pza).   Ref. mausa-Sku-CALAF1</t>
  </si>
  <si>
    <t xml:space="preserve">Las baldosas pueden tener una ligera variación de medidas. Se recomienda instalarlas con una junta de 8 a 10 mm. El semigres rústico tiene normalmente variaciones de color entre las piezas de un mismo lote de producción. Además de la variación de color, algunas piezas pueden tener pequeñas imperfecciones. Estas cualidades son características de las baldosas rústicas y se deben considerar como normales.   Ref. mausa-Sku-CALAF1.
La variación de las medidas, planimetría, tono y los escantillados, dentro de la normativa establecida, no deben considerarse en ningún caso como defectos de producción. Debido a la naturaleza de este material, al efectuar la colocación, es conveniente mezclar piezas de distintas cajas o palets, para conseguir un mejor efecto estético. Así mismo se recomienda colocar todas las piezas en el mismo sentido de las estrías que se observan en su parte inferior. Se recomienda utilizar varias piezas representativas de las variaciones de color antes de la decisión final. Una sola muestra puede no ser suficientemente representativa. Por ello, se aconseja utilizar varias piezas para determinar la variación de tonos actualizada.</t>
  </si>
  <si>
    <t xml:space="preserve">ma-mausa-Sku-CALAF11</t>
  </si>
  <si>
    <t xml:space="preserve">Material</t>
  </si>
  <si>
    <t xml:space="preserve">pza</t>
  </si>
  <si>
    <t xml:space="preserve">Baldosa Base Montserrat Rojo Biselado de CALAF (27x27x16 cm/pza).   Ref. mausa-Sku-CALAF11</t>
  </si>
  <si>
    <t xml:space="preserve">Pavimentos con una absorción de agua entre el 3% y el 6% que, junto con una granulometría especial, evita la aparición de eflorescencias y humedades. Destacan por su gran resistencia al desgaste -Mohs 7- y su superficie antideslizante -Clase 3-. Son resistentes a los productos de limpieza, así como a ácidos y bases tanto de concentración débil como fuerte.   Ref. mausa-Sku-CALAF11.</t>
  </si>
  <si>
    <t xml:space="preserve">ma-mausa-Sku-CALAF16</t>
  </si>
  <si>
    <t xml:space="preserve">Material</t>
  </si>
  <si>
    <t xml:space="preserve">pza</t>
  </si>
  <si>
    <t xml:space="preserve">Vierteaguas MONTSERRAT de CALAF; color beige (19x19x1,3 cm/pza).   Ref. mausa-Sku-CALAF16</t>
  </si>
  <si>
    <t xml:space="preserve">Pavimentos con una absorción de agua entre el 3% y el 6% que, junto con una granulometría especial, evita la aparición de eflorescencias y humedades. Destacan por su gran resistencia al desgaste -Mohs 7- y su superficie antideslizante -Clase 3-. Son resistentes a los productos de limpieza, así como a ácidos y bases tanto de concentración débil como fuerte.   Ref. mausa-Sku-CALAF16.</t>
  </si>
  <si>
    <t xml:space="preserve">ma-mc-s/c-01</t>
  </si>
  <si>
    <t xml:space="preserve">Material</t>
  </si>
  <si>
    <t xml:space="preserve">m2</t>
  </si>
  <si>
    <t xml:space="preserve">Losa de mármol pulido crema marfil 60x40x2 cm.   Ref. ma-mc-s/c-01</t>
  </si>
  <si>
    <t xml:space="preserve">Losa de mármol pulido crema marfil 60x40x2 cm.   Ref. ma-mc-s/c-01</t>
  </si>
  <si>
    <t xml:space="preserve">ma-monomat-01</t>
  </si>
  <si>
    <t xml:space="preserve">Material</t>
  </si>
  <si>
    <t xml:space="preserve">m2</t>
  </si>
  <si>
    <t xml:space="preserve">Baldosa cerámica para pavimento RÚSTICO DUNSTER; color natural (14x28 cm/pza).   Ref. monomat-01</t>
  </si>
  <si>
    <t xml:space="preserve">Baldosa cerámica para pavimento RÚSTICO DUNSTER; color natural (14x28 cm/pza). Espesor 8 mm.   Ref. monomat-01.</t>
  </si>
  <si>
    <t xml:space="preserve">ma-pierreysol-DALGRAHGP60602</t>
  </si>
  <si>
    <t xml:space="preserve">Material</t>
  </si>
  <si>
    <t xml:space="preserve">m2</t>
  </si>
  <si>
    <t xml:space="preserve">Baldosas de granito gris de HUBEI (60x60x2 cm/baldosa). Ref. pierreysol-DALGRAHGP60602</t>
  </si>
  <si>
    <t xml:space="preserve">Baldosas de granito gris de HUBEI (60x60x2 cm/baldosa). Ref. pierreysol-DALGRAHGP60602</t>
  </si>
  <si>
    <t xml:space="preserve">ma-sola.azulejos-03</t>
  </si>
  <si>
    <t xml:space="preserve">Material</t>
  </si>
  <si>
    <t xml:space="preserve">m2</t>
  </si>
  <si>
    <t xml:space="preserve">Baldosa de gres esmaltado antideslizante tipo rústico para pavimento RODAS de BENESOL (31,6x31,6 cm/pza).   Ref. solá.azulejos-03</t>
  </si>
  <si>
    <t xml:space="preserve">Baldosa. Un modelo resistente, ideal para colocar como suelo de exterior en terrazas, rampas, escaleras o alrededor de la piscina. Espesor 10,5 mm.   Ref. solá.azulejos-03.</t>
  </si>
  <si>
    <t xml:space="preserve">ma-terraceramica-catalana.20x20</t>
  </si>
  <si>
    <t xml:space="preserve">Material</t>
  </si>
  <si>
    <t xml:space="preserve">m2</t>
  </si>
  <si>
    <t xml:space="preserve">Baldosa catalana TERRACOTA-ROJO 15 (20x20 cm/pza).   Ref. terraceramica-catalana.20x20</t>
  </si>
  <si>
    <t xml:space="preserve">La baldosa Catalana, con un origen tradicional que ha perdurado viva hasta nuestros días, sigue siendo un icono de nuestra identidad. La variedad de formatos y las diferentes tierras aportan calidez y atemporalidad a los interiores contemporáneos que buscan incorporar materiales honestos.   Ref. terraceramica-catalana.20x20.</t>
  </si>
  <si>
    <t xml:space="preserve">ma-toloflorit-04217</t>
  </si>
  <si>
    <t xml:space="preserve">Material</t>
  </si>
  <si>
    <t xml:space="preserve">pza</t>
  </si>
  <si>
    <t xml:space="preserve">Pasamanos/Cubremuros MONTSERRAT de CALAF; color beige (27x27x2 cm/pza).   Ref. mausa-Sku-CALAFx</t>
  </si>
  <si>
    <t xml:space="preserve">Pasamanos/Cubremuros MONTSERRAT de CALAF; color beige (27x27x2 cm/pza).   Ref. mausa-Sku-CALAFx</t>
  </si>
  <si>
    <t xml:space="preserve">BALDOSAS.Y.LOSAS</t>
  </si>
  <si>
    <t xml:space="preserve">CERRAJERIA</t>
  </si>
  <si>
    <t xml:space="preserve">Capítulo</t>
  </si>
  <si>
    <t xml:space="preserve">MATERIALES DE CERRAJERÍA</t>
  </si>
  <si>
    <t xml:space="preserve">ma-d.herrajes-sku.1501D150INXX0</t>
  </si>
  <si>
    <t xml:space="preserve">Material</t>
  </si>
  <si>
    <t xml:space="preserve">pza</t>
  </si>
  <si>
    <t xml:space="preserve">Manilla para puerta serie BASICS de FORMANI LBVII-19, acabado inox. mate.   Ref. d.herrajes-sku.1501D150INXX0</t>
  </si>
  <si>
    <t xml:space="preserve">Juego de manillas BASICS LBVII-19 EN1906 clase 3 de FORMANI, con roseta redonda con muelle y sin bocallave, para puertas interiores y de entrada. Está fabricada íntegramente en acero inoxidable, siendo especial para colocar en cualquier condición de ambiente, garantizando su resistencia debido a la elevada calidad del material. Las formas ovaladas de su roseta y su mango recto alargado logran un diseño de gran interés para captar la atención.   Ref. d.herrajes-sku.1501D150INXX0.</t>
  </si>
  <si>
    <t xml:space="preserve">ma-lp-00016229</t>
  </si>
  <si>
    <t xml:space="preserve">Material</t>
  </si>
  <si>
    <t xml:space="preserve">und</t>
  </si>
  <si>
    <t xml:space="preserve">Juego de rosetas de aluminio R-868-CN acabado cromo/níquel.   Ref. lp-00016229</t>
  </si>
  <si>
    <t xml:space="preserve">Juego de rosetas de aluminio modelo R-868 CN. Acabado cromo brillo/níquel satinado. Medidas: 140x55 mm.   Ref. lp-00016229.</t>
  </si>
  <si>
    <t xml:space="preserve">ma-lp-00017619</t>
  </si>
  <si>
    <t xml:space="preserve">Material</t>
  </si>
  <si>
    <t xml:space="preserve">pza</t>
  </si>
  <si>
    <t xml:space="preserve">Cerradura a embutir EUROPERFIL con resbalón 600-HL-40/70-130 latonado.   Ref. lp-00017619</t>
  </si>
  <si>
    <t xml:space="preserve">Cerradura a embutir EUROPERFIL con resbalón 600-HL-40/70-130 latonado.   Ref. lp-00017619</t>
  </si>
  <si>
    <t xml:space="preserve">ma-lp-00575740</t>
  </si>
  <si>
    <t xml:space="preserve">Material</t>
  </si>
  <si>
    <t xml:space="preserve">pza</t>
  </si>
  <si>
    <t xml:space="preserve">Juego de manillas 272; acabado negro (275x140x65 mm/pza).   Ref. lp-00575740</t>
  </si>
  <si>
    <t xml:space="preserve">Juego de manillas 272; acabado negro (275x140x65 mm/pza).   Ref. lp-00575740</t>
  </si>
  <si>
    <t xml:space="preserve">CERRAJERIA</t>
  </si>
  <si>
    <t xml:space="preserve">CRISTALERIA.Y.VIDRIOS</t>
  </si>
  <si>
    <t xml:space="preserve">Capítulo</t>
  </si>
  <si>
    <t xml:space="preserve">MATERIALES DE CRISTALERÍA</t>
  </si>
  <si>
    <t xml:space="preserve">ma-vallano-catedral-armado-6mm</t>
  </si>
  <si>
    <t xml:space="preserve">Material</t>
  </si>
  <si>
    <t xml:space="preserve">m2</t>
  </si>
  <si>
    <t xml:space="preserve">Vidrio catedral armado con malla (espesor 6 mm).   Ref. vallano-catedral-armado-6mm</t>
  </si>
  <si>
    <t xml:space="preserve">Vidrio catedral armado con malla (espesor 6 mm).   Ref. vallano-catedral-armado-6mm</t>
  </si>
  <si>
    <t xml:space="preserve">ma-vidriosonline-doble3-T</t>
  </si>
  <si>
    <t xml:space="preserve">Material</t>
  </si>
  <si>
    <t xml:space="preserve">paño</t>
  </si>
  <si>
    <t xml:space="preserve">Vidrio de seguridad laminado incoloro 3+3 mm con 4 esquinas 30º (1x1 m/paño).   Ref. vidriosonline-doble3-T</t>
  </si>
  <si>
    <t xml:space="preserve">Vidrio laminado incoloro 3+3 mm formado por dos lunas de 3 mm unidas mediante una o varias laminas plásticas. Usos más comunes del vidrio laminado en ventanas, escaparates, barandillas, puertas de paso correderas, puertas automáticas, pasarelas, tejados.   Ref. vidriosonline-doble3-T.
El vidrio laminado incoloro es un tipo de vidrio que se forma por la unión de varias láminas de vidrio de diferentes espesores. Se unen mediante películas de materiales plásticos translúcidas o transparentes que, unidas, dan sensación de láminas. La propiedad más importante del vidrio laminado es que, en caso de rotura, la unión con la película de material plástico evita la fragmentación y caída del vidrio, por lo que su comportamiento mecánico es mejorado en caso de impacto y evita el peligro de astillas de vidrio. Por ese motivo, el vidrio laminado también es conocido como vidrio de seguridad, por no tener riesgo de desprendimiento. Las láminas plásticas de unión incorporadas en las capas intercaladas en el vidrio laminado reciben el nombre de butiral y pueden ser de polivinilo, transparentes o translucidas y de colores.
Los parabrisas de los vehículos, los vidrios antirrobo o los vidrios antibalas se fabrican con vidrio laminado por su resistencia, versatilidad y opacidad.</t>
  </si>
  <si>
    <t xml:space="preserve">ma-vidriosonline-doble4-T</t>
  </si>
  <si>
    <t xml:space="preserve">Material</t>
  </si>
  <si>
    <t xml:space="preserve">paño</t>
  </si>
  <si>
    <t xml:space="preserve">Vidrio de seguridad laminado incoloro 4+4 mm con 4 esquinas 30º (1x1 m/paño).   Ref. vidriosonline-doble4-T</t>
  </si>
  <si>
    <t xml:space="preserve">Vidrio laminado incoloro 4+4 mm formado por dos lunas de 4 mm unidas mediante una o varias laminas plásticas. Usos más comunes del vidrio laminado en ventanas, escaparates, barandillas, puertas de paso correderas, puertas automáticas, pasarelas, tejados.   Ref. vidriosonline-doble4-T.
El vidrio laminado incoloro es un tipo de vidrio que se forma por la unión de varias láminas de vidrio de diferentes espesores. Se unen mediante películas de materiales plásticos translúcidas o transparentes que, unidas, dan sensación de láminas. La propiedad más importante del vidrio laminado es que, en caso de rotura, la unión con la película de material plástico evita la fragmentación y caída del vidrio, por lo que su comportamiento mecánico es mejorado en caso de impacto y evita el peligro de astillas de vidrio. Por ese motivo, el vidrio laminado también es conocido como vidrio de seguridad, por no tener riesgo de desprendimiento. Las láminas plásticas de unión incorporadas en las capas intercaladas en el vidrio laminado reciben el nombre de butiral y pueden ser de polivinilo, transparentes o translucidas y de colores.
Los parabrisas de los vehículos, los vidrios antirrobo o los vidrios antibalas se fabrican con vidrio laminado por su resistencia, versatilidad y opacidad.</t>
  </si>
  <si>
    <t xml:space="preserve">ma-vidriosonline-doble5-T</t>
  </si>
  <si>
    <t xml:space="preserve">Material</t>
  </si>
  <si>
    <t xml:space="preserve">paño</t>
  </si>
  <si>
    <t xml:space="preserve">Vidrio de seguridad laminado incoloro 5+5 mm con 4 esquinas 30º (1x1 m/paño).   Ref. vidriosonline-doble5-T</t>
  </si>
  <si>
    <t xml:space="preserve">Vidrio laminado incoloro 5+5 formado por dos lunas de 5 mm unidas mediante una o varias laminas plásticas. Usos más comunes del vidrio laminado en ventanas, escaparates, barandillas, puertas de paso correderas, puertas automáticas, pasarelas, tejados.   Ref. vidriosonline-doble5-T.
El vidrio laminado incoloro es un tipo de vidrio que se forma por la unión de varias láminas de vidrio de diferentes espesores. Se unen mediante películas de materiales plásticos translúcidas o transparentes que, unidas, dan sensación de láminas. La propiedad más importante del vidrio laminado es que, en caso de rotura, la unión con la película de material plástico evita la fragmentación y caída del vidrio, por lo que su comportamiento mecánico es mejorado en caso de impacto y evita el peligro de astillas de vidrio. Por ese motivo, el vidrio laminado también es conocido como vidrio de seguridad, por no tener riesgo de desprendimiento. Las láminas plásticas de unión incorporadas en las capas intercaladas en el vidrio laminado reciben el nombre de butiral y pueden ser de polivinilo, transparentes o translucidas y de colores.
Los parabrisas de los vehículos, los vidrios antirrobo o los vidrios antibalas se fabrican con vidrio laminado por su resistencia, versatilidad y opacidad.</t>
  </si>
  <si>
    <t xml:space="preserve">CRISTALERIA.Y.VIDRIOS</t>
  </si>
  <si>
    <t xml:space="preserve">EQUIPAMIENTO</t>
  </si>
  <si>
    <t xml:space="preserve">Capítulo</t>
  </si>
  <si>
    <t xml:space="preserve">ARTÍCULOS DE EQUIPAMIENTO (EXT/INT) Y ACCESORIOS CONEXOS</t>
  </si>
  <si>
    <t xml:space="preserve">ma-bd-3663602891192</t>
  </si>
  <si>
    <t xml:space="preserve">Material</t>
  </si>
  <si>
    <t xml:space="preserve">rollo</t>
  </si>
  <si>
    <t xml:space="preserve">Cable de acero plastificado para tendedero (25 m/rollo)   Ref. bd-3663602891192</t>
  </si>
  <si>
    <t xml:space="preserve">Cable de acero plastificado para tendedero (25 m/rollo)   Ref. bd-3663602891192</t>
  </si>
  <si>
    <t xml:space="preserve">ma-bm-10106705</t>
  </si>
  <si>
    <t xml:space="preserve">Material</t>
  </si>
  <si>
    <t xml:space="preserve">pza</t>
  </si>
  <si>
    <t xml:space="preserve">Soporte metálico pintado tipo escuadra sin poleas para tendedero; 55x2x2 cm   Ref. bm-10106705</t>
  </si>
  <si>
    <t xml:space="preserve">Soporte metálico pintado tipo escuadra sin poleas para tendedero; 55x2x2 cm   Ref. bm-10106705</t>
  </si>
  <si>
    <t xml:space="preserve">ma-bm-10201303</t>
  </si>
  <si>
    <t xml:space="preserve">Material</t>
  </si>
  <si>
    <t xml:space="preserve">par</t>
  </si>
  <si>
    <t xml:space="preserve">Polea para tendedero (montura cincada y rodamiento de nylon); 22x40 mm   Ref. bm-10201303</t>
  </si>
  <si>
    <t xml:space="preserve">Polea para tendedero (montura cincada y rodamiento de nylon); 22x40 mm   Ref. bm-10201303</t>
  </si>
  <si>
    <t xml:space="preserve">ma-bm-10201443</t>
  </si>
  <si>
    <t xml:space="preserve">Material</t>
  </si>
  <si>
    <t xml:space="preserve">par</t>
  </si>
  <si>
    <t xml:space="preserve">Polea para tendedero (montura acero inoxidable y rodamiento zamat); 22x40 mm   Ref. bm-10201443</t>
  </si>
  <si>
    <t xml:space="preserve">Polea para tendedero (montura acero inoxidable y rodamiento zamat); 22x40 mm   Ref. bm-10201443</t>
  </si>
  <si>
    <t xml:space="preserve">ma-bm-10981712</t>
  </si>
  <si>
    <t xml:space="preserve">Material</t>
  </si>
  <si>
    <t xml:space="preserve">pza</t>
  </si>
  <si>
    <t xml:space="preserve">Tendedero plegable de pared en acero acabado en color blanco AC 160 EPOXI de CUNCIAL (medidas desplegado: 160x23x71 cm) con 5 barras 8 mm espesor.   Ref. bm-10981712</t>
  </si>
  <si>
    <t xml:space="preserve">Tendedero plegable de pared en acero acabado en color blanco AC 160 EPOXI de CUNCIAL (medidas desplegado: 160x23x71 cm) con 5 barras 8 mm espesor.   Ref. bm-10981712</t>
  </si>
  <si>
    <t xml:space="preserve">ma-bm-10981733</t>
  </si>
  <si>
    <t xml:space="preserve">Material</t>
  </si>
  <si>
    <t xml:space="preserve">pza</t>
  </si>
  <si>
    <t xml:space="preserve">Tendedero plegable de pared en acero acabado en color blanco AC 100 EPOXI de CUNCIAL (medidas desplegado: 100x23x71 cm) con 5 barras 8 mm espesor.   Ref. bm-10981733</t>
  </si>
  <si>
    <t xml:space="preserve">Tendedero plegable de pared en acero acabado en color blanco AC 100 EPOXI de CUNCIAL (medidas desplegado: 100x23x71 cm) con 5 barras 8 mm espesor.   Ref. bm-10981733</t>
  </si>
  <si>
    <t xml:space="preserve">ma-bm-10981775</t>
  </si>
  <si>
    <t xml:space="preserve">Material</t>
  </si>
  <si>
    <t xml:space="preserve">pza</t>
  </si>
  <si>
    <t xml:space="preserve">Tendedero plegable de pared en acero acabado en color blanco AC 140 EPOXI de CUNCIAL (medidas desplegado: 140x23x71 cm) con 5 barras 8 mm espesor.   Ref. bm-10981775</t>
  </si>
  <si>
    <t xml:space="preserve">Tendedero plegable de pared en acero acabado en color blanco AC 140 EPOXI de CUNCIAL (medidas desplegado: 140x23x71 cm) con 5 barras 8 mm espesor.   Ref. bm-10981775</t>
  </si>
  <si>
    <t xml:space="preserve">ma-bm-10981782</t>
  </si>
  <si>
    <t xml:space="preserve">Material</t>
  </si>
  <si>
    <t xml:space="preserve">pza</t>
  </si>
  <si>
    <t xml:space="preserve">Tendedero plegable de pared en acero acabado en color blanco AC 180 EPOXI de CUNCIAL (medidas desplegado: 180x23x71 cm) con 5 barras 8 mm espesor.   Ref. bm-10981782</t>
  </si>
  <si>
    <t xml:space="preserve">Tendedero plegable de pared en acero acabado en color blanco AC 100 EPOXI de CUNCIAL (medidas desplegado: 180x23x71 cm) con 5 barras 8 mm espesor.   Ref. bm-10981782</t>
  </si>
  <si>
    <t xml:space="preserve">ma-lm-18059006</t>
  </si>
  <si>
    <t xml:space="preserve">Material</t>
  </si>
  <si>
    <t xml:space="preserve">terna</t>
  </si>
  <si>
    <t xml:space="preserve">Buzón de comunidad vertical acero en plata mate de ARREGUI (40x27x30 cm/terna).   Ref. lm-18059006</t>
  </si>
  <si>
    <t xml:space="preserve">Buzón vertical de comunidad fabricado en acero de color plata mate. Dispone de una puerta de 0,7 mm de espesor y se vende con 2 llaves. Es ideal para reposiciones por su capacidad de adaptación a espacios en los que ya había un buzón, para lugares interiores como exteriores. Permite colocarse en batería de 3 buzones. Medidas: 27 x 40 x 30 cm (ancho x alto x fondo).   Ref. lm-18059006.</t>
  </si>
  <si>
    <t xml:space="preserve">ma-lm-82202916</t>
  </si>
  <si>
    <t xml:space="preserve">Material</t>
  </si>
  <si>
    <t xml:space="preserve">pza</t>
  </si>
  <si>
    <t xml:space="preserve">Burlete de puerta en doble rollo de espuma poliuretano AXTON cepillo (1 m/pza).   Ref. lm-82202916</t>
  </si>
  <si>
    <t xml:space="preserve">Burlete o bajo puerta doble rollo de espuma de poliuretano de color gris AXTON para colocar en la parte inferior de las puertas interiores de tu vivienda. Uso apto para suelos con moqueta y fijación invisible. El perfil de la junta es plano y presenta un tipo de junta deslizante.   Ref. lm-82202916.
Aunque se comercializa en piezas con una longitud de 1 metro se puede recortar para ajustar en puertas de tamaño inferior. Sirve como aislante térmico y acústico, protegiendo tus estancias de corrientes de aire y ciertos ruidos. Medidas: 1 m de largo.</t>
  </si>
  <si>
    <t xml:space="preserve">ma-lm-82202922</t>
  </si>
  <si>
    <t xml:space="preserve">Material</t>
  </si>
  <si>
    <t xml:space="preserve">pza</t>
  </si>
  <si>
    <t xml:space="preserve">Burlete de puerta en PVC adhesivo AXTON cepillo (1 m/pza).   Ref. lm-82202922</t>
  </si>
  <si>
    <t xml:space="preserve">Burlete de PVC AXTON de color blanco para colocar en la parte inferior de las puertas interiores de tu vivienda. El perfil de la junta es plano y presenta un tipo de junta en forma de cepillo transparente. Uso apto para cualquier tipo de suelo.   Ref. lm-82202922.
Aunque se comercializa en piezas con una longitud de 1 metro se puede recortar para ajustar en puertas de tamaño inferior. Su fijación es invisible y muy sencilla mediante la aplicación de adhesivo. Sirve como aislante térmico y acústico, protegiendo tus estancias de corrientes de aire y ciertos ruidos. Medidas: 1 m de largo.</t>
  </si>
  <si>
    <t xml:space="preserve">ma-lm-82202932</t>
  </si>
  <si>
    <t xml:space="preserve">Material</t>
  </si>
  <si>
    <t xml:space="preserve">pza</t>
  </si>
  <si>
    <t xml:space="preserve">Burlete de puerta en aluminio atornillable/adhesivo AXTON cepillo (1 m/pza).   Ref. lm-82202932</t>
  </si>
  <si>
    <t xml:space="preserve">Burlete de aluminio AXTON de color marrón para colocar en la parte inferior de las puertas interiores de tu vivienda. El perfil de la junta es plano y presenta un tipo de junta en forma de cepillo negro. Uso apto para cualquier tipo de suelo.   Ref. lm-82202932
Aunque se comercializa en piezas con una longitud de 1 metro se puede recortar para ajustar en puertas de tamaño inferior. Su fijación es invisible y muy sencilla mediante adhesivo o tornillos. Sirve como aislante térmico y acústico, protegiendo tus estancias de corrientes de aire y ciertos ruidos. Medidas: 1 m de largo.</t>
  </si>
  <si>
    <t xml:space="preserve">ma-lm-82551579</t>
  </si>
  <si>
    <t xml:space="preserve">Material</t>
  </si>
  <si>
    <t xml:space="preserve">und</t>
  </si>
  <si>
    <t xml:space="preserve">Toldo MARBELLA brazo punto recto manual sin cofre blanco y tela beige (1,5x1 m/und).   Ref. lm-82551579</t>
  </si>
  <si>
    <t xml:space="preserve">Toldo punto recto para ventana o balcón sin cofre serie MARBELLA de apertura manual. Con estructura de aluminio lacada en color blanco y tela acrílica con acabado liso en colores gris, beige y café; ideal para proteger el interior de tu hogar del sol y ahorrar en consumo en verano.   Ref. lm-82551579.
La tela cuenta con un alto gramaje (300 g/m²), que le proporciona resistencia y durabilidad. Además, cuenta con protección frente al viento clase 3 (hasta un máximo de 49 km/h). Incluye soportes de fijación para pared y techo. Ángulo de inclinación máxima de 90°. Medidas: 150 x 8,5 x 100 cm (ancho x alto x largo).</t>
  </si>
  <si>
    <t xml:space="preserve">ma-lm-82551580</t>
  </si>
  <si>
    <t xml:space="preserve">Material</t>
  </si>
  <si>
    <t xml:space="preserve">und</t>
  </si>
  <si>
    <t xml:space="preserve">Toldo MARBELLA brazo punto recto manual sin cofre blanco y tela café (1,5x1 m/und).   Ref. lm-82551580</t>
  </si>
  <si>
    <t xml:space="preserve">Toldo punto recto para ventana o balcón sin cofre serie MARBELLA de apertura manual. Con estructura de aluminio lacada en color blanco y tela acrílica con acabado liso en colores gris, beige y café; ideal para proteger el interior de tu hogar del sol y ahorrar en consumo en verano.   Ref. lm-82551580.
La tela cuenta con un alto gramaje (300 g/m²), que le proporciona resistencia y durabilidad. Además, cuenta con protección frente al viento clase 3 (hasta un máximo de 49 km/h). Incluye soportes de fijación para pared y techo. Ángulo de inclinación máxima de 90°. Medidas: 150 x 8,5 x 100 cm (ancho x alto x largo).</t>
  </si>
  <si>
    <t xml:space="preserve">ma-lm-82551589</t>
  </si>
  <si>
    <t xml:space="preserve">Material</t>
  </si>
  <si>
    <t xml:space="preserve">und</t>
  </si>
  <si>
    <t xml:space="preserve">Toldo MARBELLA brazo punto recto manual sin cofre blanco y tela gris 1,5x1 m/und).   Ref. lm-82551589</t>
  </si>
  <si>
    <t xml:space="preserve">Toldo punto recto para ventana o balcón sin cofre serie MARBELLA de apertura manual. Con estructura de aluminio lacada en color blanco y tela acrílica con acabado liso en colores gris, beige y café; ideal para proteger el interior de tu hogar del sol y ahorrar en consumo en verano.   Ref. lm-82551589.
La tela cuenta con un alto gramaje (300 g/m²), que le proporciona resistencia y durabilidad. Además, cuenta con protección frente al viento clase 3 (hasta un máximo de 49 km/h). Incluye soportes de fijación para pared y techo. Ángulo de inclinación máxima de 90°. Medidas: 150 x 8,5 x 100 cm (ancho x alto x largo).</t>
  </si>
  <si>
    <t xml:space="preserve">ma-lm-86545486</t>
  </si>
  <si>
    <t xml:space="preserve">Material</t>
  </si>
  <si>
    <t xml:space="preserve">panel</t>
  </si>
  <si>
    <t xml:space="preserve">Cortina de pared NATERIAL MODUS de aluminio gris (1,13x2,38 m/panel).   Ref. lm-86545486</t>
  </si>
  <si>
    <t xml:space="preserve">Cortina de pared NATERIAL MODUS de aluminio gris (1,13x2,38 m/panel).   Ref. lm-86545486</t>
  </si>
  <si>
    <t xml:space="preserve">ma-lm-88236080</t>
  </si>
  <si>
    <t xml:space="preserve">Material</t>
  </si>
  <si>
    <t xml:space="preserve">und</t>
  </si>
  <si>
    <t xml:space="preserve">Persianas alicantinas de madera; color nogal oscuro de CORTINADECOR (100x260 cm/und) .   Ref. lm-88236080</t>
  </si>
  <si>
    <t xml:space="preserve">Persianas Alicantinas para exterior fabricadas en madera de varios colores (marrón, beige y verde) de CORTINADECOR con certificado PEFC.   Ref. lm-88236080.
Se trata de una persiana enrollable económica fabricada a medida. Su funcionamiento se basa en un sencillo mecanismo de subida y bajada. Está formada por unas lamas dispuestas en sentido horizontal, que van unidas entre ellas con unos ganchos metálicos. Para su apertura y cierre se enrollan o desenrollan gracias a un cordel que recorre la persiana por el centro. Para subirla y dejar paso a la luz, basta con tirar del cordel y esta se enrollará hasta quedar recogida en la parte superior, fijándola con un simple nudo o atando la cuerda a un lateral. El color natural, no incluye ningún tipo de tratamiento en la madera, para poder tratarla y barnizarla con el color deseado.</t>
  </si>
  <si>
    <t xml:space="preserve">ma-lm-89452672</t>
  </si>
  <si>
    <t xml:space="preserve">Material</t>
  </si>
  <si>
    <t xml:space="preserve">pza</t>
  </si>
  <si>
    <t xml:space="preserve">Tendedero plegable de pared fabricado en resina y aluminio GIMI SKATTO (4 m para colgar; dimensiones L70xP50xH16).   Ref. lm-89452672</t>
  </si>
  <si>
    <t xml:space="preserve">El esencial y resistente tendedero inoxidable de pared fabricado en resina y aluminio. Grandes alambres en varillas que evitan arrugas en las prendas secas. Se convierte en un práctico toallero cuando está cerrado.   Ref. lm-89452672.</t>
  </si>
  <si>
    <t xml:space="preserve">ma-lm-89452673</t>
  </si>
  <si>
    <t xml:space="preserve">Material</t>
  </si>
  <si>
    <t xml:space="preserve">pza</t>
  </si>
  <si>
    <t xml:space="preserve">Tendedero plegable de pared fabricado en resina y aluminio GIMI SKATTO (6 m para colgar; dimensiones L104xP50xH16).   Ref. lm-89452673</t>
  </si>
  <si>
    <t xml:space="preserve">El esencial y resistente tendedero inoxidable de pared fabricado en resina y aluminio. Grandes alambres en varillas que evitan arrugas en las prendas secas. Se convierte en un práctico toallero cuando está cerrado.   Ref. lm-89452673.</t>
  </si>
  <si>
    <t xml:space="preserve">EQUIPAMIENTO</t>
  </si>
  <si>
    <t xml:space="preserve">EQUIPOS.Y.APARATOS</t>
  </si>
  <si>
    <t xml:space="preserve">Capítulo</t>
  </si>
  <si>
    <t xml:space="preserve">EQUIPOS Y APARATOS VARIOS</t>
  </si>
  <si>
    <t xml:space="preserve">ma-lm-82913482</t>
  </si>
  <si>
    <t xml:space="preserve">Material</t>
  </si>
  <si>
    <t xml:space="preserve">und</t>
  </si>
  <si>
    <t xml:space="preserve">Deshumidificador DHUM-12 EN de SOLER&amp;PALAU (Área de Influencia = 30 m2; LxAxH=360x220x490 mm).   Ref. lm-82913482</t>
  </si>
  <si>
    <t xml:space="preserve">Deshumidificadores DHUM-12 EN de SOLER&amp;PALAU; domésticos, compactos, portátiles, fáciles de desplazar y ubicar. Para estancias de hasta 30 m², con 12 litros/día de capacidad y 495 W de consumo.   Ref. lm-82913482.
CARACTERÍSTICAS:
• Compresor rotativo muy silencioso.
• Humidostato electrónico que permite seleccionar la humedad deseada y display indicador de humedad ambiente.
• 2 velocidades y 3 modos de funcionamiento: MANUAL, CONTINUO Y AUTOMÁTICO (este último selecciona la humedad en función de la temperatura ambiente).
• Temporizador programable entre 1 y 24 horas.
• Función de descongelación: se activa cuando la temperatura ambiente es inferior a 15ºC aproximadamente.
• Rearme automático, en caso de corte de suministro eléctrico.
• Indicador saturación del depósito.
• Desconexión de la unidad cuando el depósito del agua está lleno.
• Asas para transporte.</t>
  </si>
  <si>
    <t xml:space="preserve">ma-lm-82945688</t>
  </si>
  <si>
    <t xml:space="preserve">Material</t>
  </si>
  <si>
    <t xml:space="preserve">und</t>
  </si>
  <si>
    <t xml:space="preserve">Deshumidificador de aire EQUATION 18L (Área de Influencia = 18 m2; LxAxH=276x185x480 mm).   Ref. lm-82945688</t>
  </si>
  <si>
    <t xml:space="preserve">Deshumidificador de aire EQUATION, en color blanco, recomendado para estancias de hasta 18 m² de superficie. Cuenta con un motor de 280 W, drenaje permanente y función anticongelante (para funcionar en estancias frías). Se para automáticamente cuando el depósito está lleno y se reinicia en caso de fallo en la alimentación. Dispone de pantalla digital, temporizador, higrostato, nivel de agua visible, depósito de 2 litros, filtro antipolvo, y asa de transporte. Los deshumidificadores son muy útiles cuando la humedad supera el 60%, ya que corrigen el porcentaje y aumentan el confort en tu vivienda. Medidas: 27,6 x 48 x 18,5 cm (ancho x alto x fondo).   Ref. lm-82945688.</t>
  </si>
  <si>
    <t xml:space="preserve">ma-me-SYP5261001500</t>
  </si>
  <si>
    <t xml:space="preserve">Material</t>
  </si>
  <si>
    <t xml:space="preserve">und</t>
  </si>
  <si>
    <t xml:space="preserve">Deshumidificador DHUM-30 EN de SOLER&amp;PALAU (Área de Influencia = 50 m2; LxAxH=481x286x628 mm).   Ref. ma-me-SYP5261001500</t>
  </si>
  <si>
    <t xml:space="preserve">Deshumidificadores DHUM-30 EN de SOLER&amp;PALAU; domésticos, compactos, portátiles, fáciles de desplazar y ubicar. Para estancias de hasta 50 m², con 30 litros/día de capacidad y 520 W de consumo.   Ref. ma-me-SYP5261001500.
CARACTERÍSTICAS:
• Compresor rotativo muy silencioso.
• Humidostato electrónico que permite seleccionar la humedad deseada y display indicador de humedad ambiente.
• 2 velocidades y 3 modos de funcionamiento: MANUAL, CONTINUO Y AUTOMÁTICO (este último selecciona la humedad en función de la temperatura ambiente).
• Temporizador programable entre 1 y 24 horas.
• Función de descongelación: se activa cuando la temperatura ambiente es inferior a 15ºC aproximadamente.
• Rearme automático, en caso de corte de suministro eléctrico.
• Indicador saturación del depósito.
• Desconexión de la unidad cuando el depósito del agua está lleno.
• Asas para transporte.</t>
  </si>
  <si>
    <t xml:space="preserve">ma-tiendadelaire-8413893594778</t>
  </si>
  <si>
    <t xml:space="preserve">Material</t>
  </si>
  <si>
    <t xml:space="preserve">und</t>
  </si>
  <si>
    <t xml:space="preserve">Deshumidificador DHUM-30 EN de SOLER&amp;PALAU (Área de Influencia = 50 m2; LxAxH=481x286x628 mm).   Ref. tiendadelaire-8413893594778</t>
  </si>
  <si>
    <t xml:space="preserve">Deshumidificadores DHUM-30 EN de SOLER&amp;PALAU; domésticos, compactos, portátiles, fáciles de desplazar y ubicar. Para estancias de hasta 50 m², con 30 litros/día de capacidad y 520 W de consumo.   Ref. tiendadelaire-8413893594778.
CARACTERÍSTICAS:
• Compresor rotativo muy silencioso.
• Humidostato electrónico que permite seleccionar la humedad deseada y display indicador de humedad ambiente.
• 2 velocidades y 3 modos de funcionamiento: MANUAL, CONTINUO Y AUTOMÁTICO (este último selecciona la humedad en función de la temperatura ambiente).
• Temporizador programable entre 1 y 24 horas.
• Función de descongelación: se activa cuando la temperatura ambiente es inferior a 15ºC aproximadamente.
• Rearme automático, en caso de corte de suministro eléctrico.
• Indicador saturación del depósito.
• Desconexión de la unidad cuando el depósito del agua está lleno.
• Asas para transporte.</t>
  </si>
  <si>
    <t xml:space="preserve">EQUIPOS.Y.APARATOS</t>
  </si>
  <si>
    <t xml:space="preserve">FIJACION.Y.SUSPENSION</t>
  </si>
  <si>
    <t xml:space="preserve">Capítulo</t>
  </si>
  <si>
    <t xml:space="preserve">MATERIALES PARA FIJACIÓN Y/O SUSPENSIÓN</t>
  </si>
  <si>
    <t xml:space="preserve">ma-bd-grapas-11</t>
  </si>
  <si>
    <t xml:space="preserve">Material</t>
  </si>
  <si>
    <t xml:space="preserve">bolsa</t>
  </si>
  <si>
    <t xml:space="preserve">Grapa de poliamida y acero para cable redondo 11 mm DIALL (100 pzas/bolsa).   Ref. bd-grapas-11</t>
  </si>
  <si>
    <t xml:space="preserve">Grapa de poliamida y acero para cable redondo 11 mm DIALL (100 pzas/bolsa).   Ref. bd-grapas-11</t>
  </si>
  <si>
    <t xml:space="preserve">ma-bm-10282853</t>
  </si>
  <si>
    <t xml:space="preserve">Material</t>
  </si>
  <si>
    <t xml:space="preserve">bolsa</t>
  </si>
  <si>
    <t xml:space="preserve">Espárrago/Varilla de inyección para anclaje químico; 10x165 mm (8 Pzas./Bolsa)   Ref. bm-10282853</t>
  </si>
  <si>
    <t xml:space="preserve">Espárrago de Acero para Anclaje Químico 10x165 mm Tipo Varilla (8 Pzas./Bolsa).   Ref. bm-10282853</t>
  </si>
  <si>
    <t xml:space="preserve">ma-bm-10917384</t>
  </si>
  <si>
    <t xml:space="preserve">Material</t>
  </si>
  <si>
    <t xml:space="preserve">bolsa</t>
  </si>
  <si>
    <t xml:space="preserve">Tamiz de nylon para taco/anclaje químico; 12x85 mm FISCHER (8 pzas./bolsa)   Ref. bm-10917384</t>
  </si>
  <si>
    <t xml:space="preserve">Tamiz de nylon para taco/anclaje químico; 12x85 mm FISCHER (8 pzas./bolsa)   Ref. bm-10917384.
Tamíz o casquillo de anclaje para la inyección, manguitos de rosca interior y varillas roscadas y, especialmente para la aplicación con cartucho de inyección Fischer en materiales huecos. Tienen una estructura reticular optimizada para un mínimo consumo de resina, con una adaptación óptima a los huecos del ladrillo. Ganchos que sirven de apoyo en el taladro. Borde ancho para evitar el deslizamiento hacia abajo y cubre el taladro de forma limpia. Espesor mínimo del borde. Aleta para centrar ya que una vez dentro del taladro se pliegan hacia el interior y centran la varilla de anclaje. 20 pzas/bolsa.</t>
  </si>
  <si>
    <t xml:space="preserve">ma-bm-10917391</t>
  </si>
  <si>
    <t xml:space="preserve">Material</t>
  </si>
  <si>
    <t xml:space="preserve">bolsa</t>
  </si>
  <si>
    <t xml:space="preserve">Tamiz de nylon para taco/anclaje químico; 16x85 mm FISCHER (8 pzas./bolsa)   Ref. bm-10917391</t>
  </si>
  <si>
    <t xml:space="preserve">Tamiz de nylon para taco/anclaje químico; 16x85 mm FISCHER (8 pzas./bolsa)   Ref. bm-10917391.
Tamíz o casquillo de anclaje para la inyección, manguitos de rosca interior y varillas roscadas y, especialmente para la aplicación con cartucho de inyección Fischer en materiales huecos. Tienen una estructura reticular optimizada para un mínimo consumo de resina, con una adaptación óptima a los huecos del ladrillo. Ganchos que sirven de apoyo en el taladro. Borde ancho para evitar el deslizamiento hacia abajo y cubre el taladro de forma limpia. Espesor mínimo del borde. Aleta para centrar ya que una vez dentro del taladro se pliegan hacia el interior y centran la varilla de anclaje. 20 pzas/bolsa.</t>
  </si>
  <si>
    <t xml:space="preserve">ma-bm-10943415</t>
  </si>
  <si>
    <t xml:space="preserve">Material</t>
  </si>
  <si>
    <t xml:space="preserve">bolsa</t>
  </si>
  <si>
    <t xml:space="preserve">Tamiz de nylon para taco/anclaje químico; 16x130 mm FISCHER (20 pzas./bolsa)   Ref. bm-10943415</t>
  </si>
  <si>
    <t xml:space="preserve">Tamíz o casquillo de anclaje para la inyección, manguitos de rosca interior y varillas roscadas y, especialmente para la aplicación con cartucho de inyección Fischer en materiales huecos. Tienen una estructura reticular optimizada para un mínimo consumo de resina, con una adaptación óptima a los huecos del ladrillo. Ganchos que sirven de apoyo en el taladro. Borde ancho para evitar el deslizamiento hacia abajo y cubre el taladro de forma limpia. Espesor mínimo del borde. Aleta para centrar ya que una vez dentro del taladro se pliegan hacia el interior y centran la varilla de anclaje. 20 pzas/bolsa.   Ref. bm-10943415</t>
  </si>
  <si>
    <t xml:space="preserve">ma-lm-14761453</t>
  </si>
  <si>
    <t xml:space="preserve">Material</t>
  </si>
  <si>
    <t xml:space="preserve">pza</t>
  </si>
  <si>
    <t xml:space="preserve">Abrazadera o Grapas-Clip para la fijación de cables y tubos 32 mm.   Ref. lm-14761453</t>
  </si>
  <si>
    <t xml:space="preserve">Grapas-clip para fijación de cables y tubos rígidos de 32 mm de diámetro, fabricadas en nylon con acabado de color gris.   Ref. lm-14761453</t>
  </si>
  <si>
    <t xml:space="preserve">ma-lm-18567976</t>
  </si>
  <si>
    <t xml:space="preserve">Material</t>
  </si>
  <si>
    <t xml:space="preserve">pza</t>
  </si>
  <si>
    <t xml:space="preserve">Gancho para sujeción de láminas de cubierta con arandelas de acero y PVC (19x5,2x2 cm/pza).   Ref. lm-18567976</t>
  </si>
  <si>
    <t xml:space="preserve">Gancho para la sujeción de cubiertas metálicas o de fibrocemento a viguetas metálicas o de hormigón. Fabricada en alambre de acero, rosca M7. Longitud de rosca: 60 mm. Equipados con tuerca hexagonal M7 y arandela hierro y PVC adaptada al diámetro de la varilla.   lm-18567976.</t>
  </si>
  <si>
    <t xml:space="preserve">ma-lm-18607155</t>
  </si>
  <si>
    <t xml:space="preserve">Material</t>
  </si>
  <si>
    <t xml:space="preserve">pza</t>
  </si>
  <si>
    <t xml:space="preserve">Perno de acero inoxidable A4 de STANDERS (diámetro 6 a 35 mm).   Ref. lm-18607155</t>
  </si>
  <si>
    <t xml:space="preserve">Perno en "U" STANDERS fabricado en acero inoxidable con acabado de color gris plata y con medidas de 6 a 35 mm de diámetro.   Ref. lm-18607155.</t>
  </si>
  <si>
    <t xml:space="preserve">ma-lm-86291086</t>
  </si>
  <si>
    <t xml:space="preserve">Material</t>
  </si>
  <si>
    <t xml:space="preserve">pza</t>
  </si>
  <si>
    <t xml:space="preserve">Abrazadera SANICLIP simple para la fijación de cables y tubos 35 mm.   Ref. lm-86291086</t>
  </si>
  <si>
    <t xml:space="preserve">Abrazadera o grapa SANICLIP para tubo rígido de 35 mm de diámetro fabricadas en nylon con acabado de color gris. Se puede fijar a perfiles E2000PB, E2000PG, 1000PVC, y a pared con tirafondo TF M6 y taco FX de 6.   Ref. lm-86291086</t>
  </si>
  <si>
    <t xml:space="preserve">ma-lp-00010677</t>
  </si>
  <si>
    <t xml:space="preserve">Material</t>
  </si>
  <si>
    <t xml:space="preserve">pza</t>
  </si>
  <si>
    <t xml:space="preserve">Abrazadera regulable de aluminio esmaltado blanco para tubería 110 mm.   Ref. lp-00010677</t>
  </si>
  <si>
    <t xml:space="preserve">Abrazadera regulable de aluminio esmaltado blanco para tubería 110 mm.   Ref. lp-00010677</t>
  </si>
  <si>
    <t xml:space="preserve">ma-lp-00010678</t>
  </si>
  <si>
    <t xml:space="preserve">Material</t>
  </si>
  <si>
    <t xml:space="preserve">pza</t>
  </si>
  <si>
    <t xml:space="preserve">Abrazadera regulable de aluminio esmaltado blanco para tubería 125 mm.   Ref. lp-00010678</t>
  </si>
  <si>
    <t xml:space="preserve">Abrazadera regulable de aluminio esmaltado blanco para tubería 125 mm.   Ref. lp-00010678</t>
  </si>
  <si>
    <t xml:space="preserve">ma-lp-00015437</t>
  </si>
  <si>
    <t xml:space="preserve">Material</t>
  </si>
  <si>
    <t xml:space="preserve">bolsa</t>
  </si>
  <si>
    <t xml:space="preserve">Taco fijación presión 6 mm de SOLERA con pasador para bridas; color negro (100 pzas/bolsa).   Ref. lp-00015437</t>
  </si>
  <si>
    <t xml:space="preserve">Taco fijación presión 6 mm de SOLERA con pasador para bridas; color negro (100 pzas/bolsa).   Ref. lp-00015437</t>
  </si>
  <si>
    <t xml:space="preserve">ma-lp-00015438</t>
  </si>
  <si>
    <t xml:space="preserve">Material</t>
  </si>
  <si>
    <t xml:space="preserve">bolsa</t>
  </si>
  <si>
    <t xml:space="preserve">Taco fijación presión 8 mm de SOLERA con pasador para bridas; color negro (100 pzas/bolsa).   Ref. lp-00015438</t>
  </si>
  <si>
    <t xml:space="preserve">Taco fijación presión 8 mm de SOLERA con pasador para bridas; color negro (100 pzas/bolsa).   Ref. lp-00015438</t>
  </si>
  <si>
    <t xml:space="preserve">ma-lp-00016626</t>
  </si>
  <si>
    <t xml:space="preserve">Material</t>
  </si>
  <si>
    <t xml:space="preserve">cartucho</t>
  </si>
  <si>
    <t xml:space="preserve">Anclaje/Taco químico de resina FISCHER FIS VS 300 T (300 ml/cartucho).   Ref. lp-00016626</t>
  </si>
  <si>
    <t xml:space="preserve">El anclaje químico de altas prestaciones FIS V de FISCHER es el polivalente universal para las máximas exigencias. El anclaje de viniléster híbrido libre de estireno con sus numerosos elementos de fijación está homologado para fijaciones en hormigón traccionado y comprimido, así como en mampostería. Incluye 2 boquillas mezcladoras.   Ref. lp-00016626.
El anclaje químico también se utiliza con los componentes de sistema homologados para empalmes de varillas de refuerzo, el anclaje reparador de muro VBS 8 de FISCHER, el anclaje resistente a la intemperie FWS II de FISCHER y la instalación a distancia TherMax. La variante FIS VS LOW SPEED permite un tiempo de procesamiento mayor a altas temperaturas de procesamiento o una mayor profundidad de perforación. El tiempo de endurecimiento más corto de la variante FIS VW HIGH SPEED permite un progreso del trabajo ágil incluso a bajas temperaturas.</t>
  </si>
  <si>
    <t xml:space="preserve">ma-lp-00016912</t>
  </si>
  <si>
    <t xml:space="preserve">Material</t>
  </si>
  <si>
    <t xml:space="preserve">bolsa</t>
  </si>
  <si>
    <t xml:space="preserve">Espárrago/Varilla de inyección para anclaje químico FISCHER FIS GS; 10x165 mm (8 pzas/bolsa).   Ref. lp-00016912.</t>
  </si>
  <si>
    <t xml:space="preserve">Espárrago/Varilla de inyección para anclaje químico FISCHER FIS GS; 10x165 mm (8 pzas/bolsa).   Ref. lp-00016912.</t>
  </si>
  <si>
    <t xml:space="preserve">ma-lp-00016913</t>
  </si>
  <si>
    <t xml:space="preserve">Material</t>
  </si>
  <si>
    <t xml:space="preserve">bolsa</t>
  </si>
  <si>
    <t xml:space="preserve">Espárrago/Varilla de inyección para anclaje químico FISCHER FIS GS; 12x120 mm (8 pzas/bolsa).   Ref. lp-00016913.</t>
  </si>
  <si>
    <t xml:space="preserve">Espárrago/Varilla de inyección para anclaje químico FISCHER FIS GS; 12x120 mm (8 pzas/bolsa).   Ref. lp-00016913.</t>
  </si>
  <si>
    <t xml:space="preserve">ma-lp-00017555</t>
  </si>
  <si>
    <t xml:space="preserve">Material</t>
  </si>
  <si>
    <t xml:space="preserve">pza</t>
  </si>
  <si>
    <t xml:space="preserve">Carril de montaje FISCHER SAMONTEC FUS 41/21/2 (2 m/pza).   Ref. lp-00017555</t>
  </si>
  <si>
    <t xml:space="preserve">Carril de montaje FISCHER SAMONTEC FUS 41/21/2 (2 m/pza).   Ref. lp-00017555</t>
  </si>
  <si>
    <t xml:space="preserve">ma-lp-00019571</t>
  </si>
  <si>
    <t xml:space="preserve">Material</t>
  </si>
  <si>
    <t xml:space="preserve">caja</t>
  </si>
  <si>
    <t xml:space="preserve">Remache aluminio-acero 4,8x8 estándar de BRALO (50 pzas/caja).   Ref. lp-00019571</t>
  </si>
  <si>
    <t xml:space="preserve">Remache de medida 4,8x8 estándar cabeza alomada aluminio Al-Mg 3,5 y vástago de acero cincado A1K suministrado en caja de 50 uds.   Ref. lp-00019571.</t>
  </si>
  <si>
    <t xml:space="preserve">ma-lp-00019579</t>
  </si>
  <si>
    <t xml:space="preserve">Material</t>
  </si>
  <si>
    <t xml:space="preserve">caja</t>
  </si>
  <si>
    <t xml:space="preserve">Remache aluminio-acero 4,0x8 estándar de BRALO (50 pzas/caja).   Ref. lp-00019579</t>
  </si>
  <si>
    <t xml:space="preserve">Remache de medida 4,0x8 estándar cabeza alomada aluminio Al-Mg 3,5 y vástago de acero cincado A1K suministrado en caja de 50 uds.   Ref. lp-00019579.</t>
  </si>
  <si>
    <t xml:space="preserve">ma-lp-00094315</t>
  </si>
  <si>
    <t xml:space="preserve">Material</t>
  </si>
  <si>
    <t xml:space="preserve">pza</t>
  </si>
  <si>
    <t xml:space="preserve">Abrazadera FISCHER CLIP FT para la fijación de cables y tubos IEC 20 mm.   Ref. lp-00094315</t>
  </si>
  <si>
    <t xml:space="preserve">Abrazadera FISCHER CLIP FT para la fijación de cables y tubos IEC 20 mm en sistemas de montaje SAMONTEC.   Ref. lp-00094315</t>
  </si>
  <si>
    <t xml:space="preserve">ma-lp-00094316</t>
  </si>
  <si>
    <t xml:space="preserve">Material</t>
  </si>
  <si>
    <t xml:space="preserve">pza</t>
  </si>
  <si>
    <t xml:space="preserve">Abrazadera FISCHER CLIP FT para la fijación de cables y tubos IEC 25 mm.   Ref. lp-00094316</t>
  </si>
  <si>
    <t xml:space="preserve">Abrazadera FISCHER CLIP FT para la fijación de cables y tubos IEC 25 mm en sistemas de montaje SAMONTEC.   Ref. lp-00094316</t>
  </si>
  <si>
    <t xml:space="preserve">ma-lp-00094317</t>
  </si>
  <si>
    <t xml:space="preserve">Material</t>
  </si>
  <si>
    <t xml:space="preserve">pza</t>
  </si>
  <si>
    <t xml:space="preserve">Abrazadera FISCHER CLIP FT para la fijación de cables y tubos IEC 32 mm.   Ref. lp-00094317</t>
  </si>
  <si>
    <t xml:space="preserve">Abrazadera FISCHER CLIP FT para la fijación de cables y tubos IEC 32 mm en sistemas de montaje SAMONTEC.   Ref. lp-00094317</t>
  </si>
  <si>
    <t xml:space="preserve">ma-lp-00094371</t>
  </si>
  <si>
    <t xml:space="preserve">Material</t>
  </si>
  <si>
    <t xml:space="preserve">pza</t>
  </si>
  <si>
    <t xml:space="preserve">Soporte recto FISCHER SAMONTEC ALK 27/18 (3 m/pza).   Ref. lp-00094371</t>
  </si>
  <si>
    <t xml:space="preserve">Soporte recto ALK 27/18-300 para sistemas de montaje FISCHER SAMONTEC. Dimensiones de la pletina: 120x40x4 mm. Longitud de 3 metros. Distancia entre taladros: 79 mm. Carril: 27/18.   Ref. lp-00094371</t>
  </si>
  <si>
    <t xml:space="preserve">ma-lp-00173561</t>
  </si>
  <si>
    <t xml:space="preserve">Material</t>
  </si>
  <si>
    <t xml:space="preserve">pza</t>
  </si>
  <si>
    <t xml:space="preserve">Varilla roscada de acero cincado M-12 de HYDRAFIX (1 m/pza).   Ref. lp-00173561</t>
  </si>
  <si>
    <t xml:space="preserve">Varilla roscada de acero cincado M-12 de HYDRAFIX (1 m/pza).   Ref. lp-00173561</t>
  </si>
  <si>
    <t xml:space="preserve">ma-lp-00193859</t>
  </si>
  <si>
    <t xml:space="preserve">Material</t>
  </si>
  <si>
    <t xml:space="preserve">pza</t>
  </si>
  <si>
    <t xml:space="preserve">Varilla roscada de acero cincado M-8 de HYDRAFIX (1 m/pza).   Ref. lp-00193859</t>
  </si>
  <si>
    <t xml:space="preserve">Varilla roscada de acero cincado M-8 de HYDRAFIX (1 m/pza).   Ref. lp-00193859</t>
  </si>
  <si>
    <t xml:space="preserve">ma-lp-00193860</t>
  </si>
  <si>
    <t xml:space="preserve">Material</t>
  </si>
  <si>
    <t xml:space="preserve">pza</t>
  </si>
  <si>
    <t xml:space="preserve">Varilla roscada de acero cincado M-10 de HYDRAFIX (1 m/pza).   Ref. lp-00193860</t>
  </si>
  <si>
    <t xml:space="preserve">Varilla roscada de acero cincado M-10 de HYDRAFIX (1 m/pza).   Ref. lp-00193860</t>
  </si>
  <si>
    <t xml:space="preserve">ma-lp-00215083</t>
  </si>
  <si>
    <t xml:space="preserve">Material</t>
  </si>
  <si>
    <t xml:space="preserve">caja</t>
  </si>
  <si>
    <t xml:space="preserve">Taco DUOPOWER de FISCHER (50 pzas/caja).   Ref. lp-00215083</t>
  </si>
  <si>
    <t xml:space="preserve">El taco DUOPOWER de FISCHER es un taco de nylon y polipropileno con valores superiores de carga y funcionamiento inteligente según el sustrato. El borde estrecho del tapón evita el deslizamiento en el agujero de perforación. La característica serrada anti-rotación evita la rotación en el agujero de perforación durante la instalación. Combinación de dos componentes de materiales para un mayor rendimiento. Funciones seguras para materiales macizos (expansión) y perforados o placas (bloqueo/anudado). Mejor respuesta posible del taco: se nota que el taco encaja a la perfección. Con el tornillo adecuado para una sujeción perfecta. Dos componentes para cargas superiores y funcionamiento inteligente (expansión, plegado, anudado) en función del soporte. Mejor sensación del taco. Puede sentir con seguridad cuando el taco está instalado perfectamente. Las aletas dentadas impiden la rotación en el agujero durante la instalación. Medidas: 6x30 S. Envase de 50 unidades.   Ref. lp-00215083.</t>
  </si>
  <si>
    <t xml:space="preserve">ma-lp-00276616</t>
  </si>
  <si>
    <t xml:space="preserve">Material</t>
  </si>
  <si>
    <t xml:space="preserve">caja</t>
  </si>
  <si>
    <t xml:space="preserve">Clavos de acero con botón plástico para fijación de láminas drenantes al soporte FIJACIONES DRENTEX de SOPREMA (200 unds/caja).   Ref. lp-00276616</t>
  </si>
  <si>
    <t xml:space="preserve">Clavos zincados con botón plástico para la fijación mecánica sobre cualquier superficie de las láminas alveolares DRENTEX y del DRENTEX PERFIL.   Ref. lp-00276616</t>
  </si>
  <si>
    <t xml:space="preserve">ma-lp-00300152</t>
  </si>
  <si>
    <t xml:space="preserve">Material</t>
  </si>
  <si>
    <t xml:space="preserve">pza</t>
  </si>
  <si>
    <t xml:space="preserve">Varilla roscada de acero cincado M-16 de HYDRAFIX (1 m/pza).   Ref. lp-00300152</t>
  </si>
  <si>
    <t xml:space="preserve">Varilla roscada de acero cincado M-16 de HYDRAFIX (1 m/pza).   Ref. lp-00300152</t>
  </si>
  <si>
    <t xml:space="preserve">ma-lp-00411803</t>
  </si>
  <si>
    <t xml:space="preserve">Material</t>
  </si>
  <si>
    <t xml:space="preserve">bolsa</t>
  </si>
  <si>
    <t xml:space="preserve">Taco latón hembra M-6 (10 uds/bolsa).   Ref. lp-00411803</t>
  </si>
  <si>
    <t xml:space="preserve">Anclaje rosca hembra de latón de métrica con exterior moleteado. Medidas: M-6x23 mm. Diámetro de la broca: 8 mm. Bolsa de 10 unidades.   Ref. lp-00411803.</t>
  </si>
  <si>
    <t xml:space="preserve">ma-lp-00411804</t>
  </si>
  <si>
    <t xml:space="preserve">Material</t>
  </si>
  <si>
    <t xml:space="preserve">pza</t>
  </si>
  <si>
    <t xml:space="preserve">Tornillo punta broca de acero cincado para panel sándwich con arandela diámetro 16 mm (5,5/6,3x115 mm/pza).   Ref. lp-00411804</t>
  </si>
  <si>
    <t xml:space="preserve">Tornillo punta broca de acero cincado para panel sándwich con arandela diámetro 16 mm (5,5/6,3x115 mm/pza).   Ref. lp-00411804</t>
  </si>
  <si>
    <t xml:space="preserve">ma-lp-00412482</t>
  </si>
  <si>
    <t xml:space="preserve">Material</t>
  </si>
  <si>
    <t xml:space="preserve">bolsa</t>
  </si>
  <si>
    <t xml:space="preserve">Tornillo autoroscante cabeza hexagonal con arandela de 16 mm de HIDRAFIX (6,3x25 mm/pza; 500 pzas/bolsa).   Ref. lp-00412482</t>
  </si>
  <si>
    <t xml:space="preserve">Tornillo autoroscante cabeza hexagonal con arandela de 16 mm de HIDRAFIX (6,3x25 mm/pza; 500 pzas/bolsa).   Ref. lp-00412482</t>
  </si>
  <si>
    <t xml:space="preserve">ma-lp-00473206</t>
  </si>
  <si>
    <t xml:space="preserve">Material</t>
  </si>
  <si>
    <t xml:space="preserve">envase</t>
  </si>
  <si>
    <t xml:space="preserve">Tornillo autotaladrante cabeza hexagonal con arandela vulcanizada acero-EPDM (6,3x38 mm/pza; 8 pzas/envase).   Ref. lp-00473206</t>
  </si>
  <si>
    <t xml:space="preserve">Tornillo autotaladrante cabeza hexagonal con arandela vulcanizada acero-EPDM (6,3x38 mm/pza; 8 pzas/envase).   Ref. lp-00473206</t>
  </si>
  <si>
    <t xml:space="preserve">ma-lp-00473218</t>
  </si>
  <si>
    <t xml:space="preserve">Material</t>
  </si>
  <si>
    <t xml:space="preserve">envase</t>
  </si>
  <si>
    <t xml:space="preserve">Tornillo cincado autotaladrante cabeza avellanada (Ph 3,5x13 mm/pza; 40 uds/envase).   Ref. lp-00473218</t>
  </si>
  <si>
    <t xml:space="preserve">Tornillo cincado autotaladrante de cabeza avellanada y huella Ph de medidas 3,5x13 mm. Envase de 40 unidades.   Ref. lp-00473218.</t>
  </si>
  <si>
    <t xml:space="preserve">ma-lp-00514905</t>
  </si>
  <si>
    <t xml:space="preserve">Material</t>
  </si>
  <si>
    <t xml:space="preserve">bolsa</t>
  </si>
  <si>
    <t xml:space="preserve">Bridas plásticas 300x4,8 mm (100 pzas/bolsa)   Ref. lp-00514905</t>
  </si>
  <si>
    <t xml:space="preserve">Bolsa de 100 Bridas o Tirraps de Amarre (Largo=300 mm; Ancho=4,8 mm. 100 pzas/bolsa.   Ref. lp-00514905</t>
  </si>
  <si>
    <t xml:space="preserve">ma-lp-00551135</t>
  </si>
  <si>
    <t xml:space="preserve">Material</t>
  </si>
  <si>
    <t xml:space="preserve">cartucho</t>
  </si>
  <si>
    <t xml:space="preserve">Anclaje/Taco químico poliéster sin estireno BIGMAT. cargas medias (410 ml/cartucho)   Ref. lp-00551135</t>
  </si>
  <si>
    <t xml:space="preserve">Anclaje químico bicomponente a base de resina poliéster sin estireno. Cargas MEDIAS. Idóneo para mampostería maciza o hueca. Incluye mixer T-FLOWTM con collarín. Formato sin necesidad de corte. Menos fuerza de extrusión. Aprovechamiento total del contenido. Tapón estanco: Bajo olor de almacenamiento. Uso con pistola de silicona. No presenta fugas. Peligrosidad: Provoca irritación ocular grave. Puede provocar una reacción alérgica en la piel.</t>
  </si>
  <si>
    <t xml:space="preserve">ma-lp-00551136</t>
  </si>
  <si>
    <t xml:space="preserve">Material</t>
  </si>
  <si>
    <t xml:space="preserve">cartucho</t>
  </si>
  <si>
    <t xml:space="preserve">Anclaje/Taco químico resina epoxi sin estireno BIGMAT. cargas medias-altas (410 ml/cartucho)   Ref. lp-00551136</t>
  </si>
  <si>
    <t xml:space="preserve">Anclaje químico bicomponente a base de resina epoxi sin estireno (cargas MEDIAS-ALTAS). Idóneo para hormigón no fisurado. Instalación en taladros húmedos. Uso con varillas roscadas y corrugadas. Incluye mixer T-FLOWTM con collarín. Formato sin necesidad de corte. Menos fuerza de extrusión. Aprovechamiento total del contenido. Tapón estanco: Bajo olor de almacenamiento. Uso con pistola de silicona. No presenta fugas.   Ref. lp-00551136
Peligrosidad: Puede provocar una reacción alérgica en la piel. Provoca irritación ocular grave.</t>
  </si>
  <si>
    <t xml:space="preserve">ma-lp-00557294</t>
  </si>
  <si>
    <t xml:space="preserve">Material</t>
  </si>
  <si>
    <t xml:space="preserve">bolsa</t>
  </si>
  <si>
    <t xml:space="preserve">Taco brida 6 mm; color blanco (100 pzas/bolsa).   Ref. lp-00557294</t>
  </si>
  <si>
    <t xml:space="preserve">Taco de nylon con pasador para bridas de nylon Excelente fijación a presión en macizo o hueco Aislante y autoextinegrouible. Sistema antivibratorio.   Ref. lp-00557294.</t>
  </si>
  <si>
    <t xml:space="preserve">ma-lp-00557295</t>
  </si>
  <si>
    <t xml:space="preserve">Material</t>
  </si>
  <si>
    <t xml:space="preserve">bolsa</t>
  </si>
  <si>
    <t xml:space="preserve">Taco brida 8 mm; color blanco (100 pzas/bolsa).   Ref. lp-00557295</t>
  </si>
  <si>
    <t xml:space="preserve">Taco de nylon con pasador para bridas de nylon Excelente fijación a presión en macizo o hueco Aislante y autoextinegrouible. Sistema antivibratorio.   Ref. lp-00557295.</t>
  </si>
  <si>
    <t xml:space="preserve">ma-lp-00557296</t>
  </si>
  <si>
    <t xml:space="preserve">Material</t>
  </si>
  <si>
    <t xml:space="preserve">bolsa</t>
  </si>
  <si>
    <t xml:space="preserve">Taco brida 6 mm; color negro (100 pzas/bolsa).   Ref. lp-00557296</t>
  </si>
  <si>
    <t xml:space="preserve">Taco de nylon con pasador para bridas de nylon Excelente fijación a presión en macizo o hueco Aislante y autoextinegrouible. Sistema antivibratorio.   Ref. lp-00557296.</t>
  </si>
  <si>
    <t xml:space="preserve">ma-lp-00557297</t>
  </si>
  <si>
    <t xml:space="preserve">Material</t>
  </si>
  <si>
    <t xml:space="preserve">bolsa</t>
  </si>
  <si>
    <t xml:space="preserve">Taco brida 8 mm; color negro (100 pzas/bolsa).   Ref. lp-00557297</t>
  </si>
  <si>
    <t xml:space="preserve">Taco de nylon con pasador para bridas de nylon Excelente fijación a presión en macizo o hueco Aislante y autoextinegrouible. Sistema antivibratorio.   Ref. lp-00557297.</t>
  </si>
  <si>
    <t xml:space="preserve">ma-lp-00557751</t>
  </si>
  <si>
    <t xml:space="preserve">Material</t>
  </si>
  <si>
    <t xml:space="preserve">cartucho</t>
  </si>
  <si>
    <t xml:space="preserve">Anclaje/Taco químico resina epoxi sin estireno BIGMAT. cargas medias-altas (300 ml/cartucho)   Ref. lp-00557751</t>
  </si>
  <si>
    <t xml:space="preserve">Anclaje químico bicomponente a base de resina epoxi sin estireno (cargas MEDIAS-ALTAS). Idóneo para hormigón no fisurado. Instalación en taladros húmedos. Uso con varillas roscadas y corrugadas. Incluye mixer T-FLOWTM con collarín. Formato sin necesidad de corte. Menos fuerza de extrusión. Aprovechamiento total del contenido. Tapón estanco: Bajo olor de almacenamiento. Uso con pistola de silicona. No presenta fugas.   Ref. lp-00551136
Peligrosidad: Puede provocar una reacción alérgica en la piel. Provoca irritación ocular grave.</t>
  </si>
  <si>
    <t xml:space="preserve">ma-lp-00557752</t>
  </si>
  <si>
    <t xml:space="preserve">Material</t>
  </si>
  <si>
    <t xml:space="preserve">cartucho</t>
  </si>
  <si>
    <t xml:space="preserve">Anclaje/Taco químico poliéster sin estireno BIGMAT. cargas medias (300 ml/cartucho)   Ref. lp-00557752</t>
  </si>
  <si>
    <t xml:space="preserve">Anclaje químico bicomponente a base de resina poliéster sin estireno. Cargas MEDIAS. Idóneo para mampostería maciza o hueca. Incluye mixer T-FLOWTM con collarín. Formato sin necesidad de corte. Menos fuerza de extrusión. Aprovechamiento total del contenido. Tapón estanco: Bajo olor de almacenamiento. Uso con pistola de silicona. No presenta fugas. Peligrosidad: Provoca irritación ocular grave. Puede provocar una reacción alérgica en la piel.</t>
  </si>
  <si>
    <t xml:space="preserve">ma-manau-36960</t>
  </si>
  <si>
    <t xml:space="preserve">Material</t>
  </si>
  <si>
    <t xml:space="preserve">cartucho</t>
  </si>
  <si>
    <t xml:space="preserve">Adhesivo bicomponente de curado rápido para anclajes Sika AnchorFix-1 de SIKA (330 ml / 490 gr/cartucho).   Ref. manau-36960</t>
  </si>
  <si>
    <t xml:space="preserve">Adhesivo para anclajes de dos componentes a base de resina de poliéster libre de estireno y disolventes.   Ref. manau-36960.
USOS:
Como adhesivo de curado rápido para todo tipo de:
• Redondos de acero corrugado.
• Varillas roscadas
• Pernos y sistemas de sujeción especiales.
Sobre los siguientes soportes:
• Hormigón
• Fábrica de ladrillo maciza o hueca
• Piedra natural (*)
• Roca sólida (*)
(*) Estos soportes pueden variar mucho, en particular en cuanto a resistencia, composición y porosidad. Por lo tanto, para cada aplicación, la idoneidad del adhesivo SIKA ANCHORFIX-1 debe ser comprobada aplicando primero SIKA ANCHORFIX-1. Adherir sólo a un área de la muestra. Compruebe especialmente la fuerza de adherencia, las manchas en la superficie y la decoloración.</t>
  </si>
  <si>
    <t xml:space="preserve">ma-manomano-562169</t>
  </si>
  <si>
    <t xml:space="preserve">Material</t>
  </si>
  <si>
    <t xml:space="preserve">caja</t>
  </si>
  <si>
    <t xml:space="preserve">Taco alargado DuoXpand 10x120 mm FISCHER FUS acero (50 pzas/caja).   Ref. manomano-562169</t>
  </si>
  <si>
    <t xml:space="preserve">Taco alargado DuoXpand 10x120 mm FISCHER FUS acero (50 pzas/caja).   Ref. manomano-562169</t>
  </si>
  <si>
    <t xml:space="preserve">ma-manomano-562170</t>
  </si>
  <si>
    <t xml:space="preserve">Material</t>
  </si>
  <si>
    <t xml:space="preserve">caja</t>
  </si>
  <si>
    <t xml:space="preserve">Taco alargado DuoXpand 10x140 mm FISCHER FUS acero (50 pzas/caja).   Ref. manomano-562170</t>
  </si>
  <si>
    <t xml:space="preserve">Taco alargado DuoXpand 10x140 mm FISCHER FUS acero (50 pzas/caja).   Ref. manomano-562170</t>
  </si>
  <si>
    <t xml:space="preserve">ma-manomano-ME87267243</t>
  </si>
  <si>
    <t xml:space="preserve">Material</t>
  </si>
  <si>
    <t xml:space="preserve">pza</t>
  </si>
  <si>
    <t xml:space="preserve">Soporte metálico atornillable para poste TT 90/200/200mm.   Ref. manomano-ME87267243</t>
  </si>
  <si>
    <t xml:space="preserve">Soporte metálico atornillable para poste TT 90/200/200mm.   Ref. manomano-ME87267243</t>
  </si>
  <si>
    <t xml:space="preserve">ma-manomano-tamiz.12x85</t>
  </si>
  <si>
    <t xml:space="preserve">Material</t>
  </si>
  <si>
    <t xml:space="preserve">bolsa</t>
  </si>
  <si>
    <t xml:space="preserve">Tamiz de nylon para taco/anclaje químico; 12x85 mm FISCHER (50 pzas./bolsa)   Ref. manomano-tamiz.12x85</t>
  </si>
  <si>
    <t xml:space="preserve">El Tamiz FISCHER es el componente de sistema para el empleo de los morteros de inyección FISCHER en mampostería de piedra perforada. El manguito de anclaje se introduce en la perforación y se rellena con mortero de inyección desde la base del manguito de anclaje. Al colocar la varilla roscada o la varilla con roscado interno, el mortero se presiona contra la estructura de rejilla y se une de forma continua a la piedra perforada. De este modo, la carga se conduce al material. con el manguito de anclaje para inyección tampoco pueden puentearse las capas portantes.   Ref. manomano-tamiz.12x85.</t>
  </si>
  <si>
    <t xml:space="preserve">ma-oldwestiron-HCS031</t>
  </si>
  <si>
    <t xml:space="preserve">Material</t>
  </si>
  <si>
    <t xml:space="preserve">pza</t>
  </si>
  <si>
    <t xml:space="preserve">Tornillo decorativo con cabeza piramidal lisa 1”.   Ref. oldwestiron-HCS031</t>
  </si>
  <si>
    <t xml:space="preserve">Tornillo de cabeza piramidal puntiaguda con base cuadrada que llega a un punto creando una apariencia de estilo artesanal limpio. Este tornillo es compatible con la mayoría de los estilos modernos y crea una apariencia de transición con estilos rústicos.   Ref. oldwestiron-HCS031.</t>
  </si>
  <si>
    <t xml:space="preserve">ma-provisional-01</t>
  </si>
  <si>
    <t xml:space="preserve">Material</t>
  </si>
  <si>
    <t xml:space="preserve">pza</t>
  </si>
  <si>
    <t xml:space="preserve">Abrazadera tipo U</t>
  </si>
  <si>
    <t xml:space="preserve">Abrazadera tipo U</t>
  </si>
  <si>
    <t xml:space="preserve">FIJACION.Y.SUSPENSION</t>
  </si>
  <si>
    <t xml:space="preserve">FONTANERIA.Y.GAS</t>
  </si>
  <si>
    <t xml:space="preserve">Capítulo</t>
  </si>
  <si>
    <t xml:space="preserve">MATERIALES PARA FONTANERÍA Y GAS</t>
  </si>
  <si>
    <t xml:space="preserve">MULTICAPA</t>
  </si>
  <si>
    <t xml:space="preserve">Capítulo</t>
  </si>
  <si>
    <t xml:space="preserve">MATERIALES DEL SISTEMA MULTICAPA</t>
  </si>
  <si>
    <t xml:space="preserve">ma-bm-10266120</t>
  </si>
  <si>
    <t xml:space="preserve">Material</t>
  </si>
  <si>
    <t xml:space="preserve">pza</t>
  </si>
  <si>
    <t xml:space="preserve">Codo 90º MULTICAPA MULTIPEX 32 mm.   Ref. bm-10266120</t>
  </si>
  <si>
    <t xml:space="preserve">Codo 90º MULTICAPA MULTIPEX 32 mm.   Ref. bm-10266120</t>
  </si>
  <si>
    <t xml:space="preserve">ma-bm-10269315</t>
  </si>
  <si>
    <t xml:space="preserve">Material</t>
  </si>
  <si>
    <t xml:space="preserve">pza</t>
  </si>
  <si>
    <t xml:space="preserve">Manguito MULTICAPA MULTIPEX 16 mm.   Ref. bm-10269315</t>
  </si>
  <si>
    <t xml:space="preserve">Manguito MULTICAPA MULTIPEX 16 mm.   Ref. bm-10269315</t>
  </si>
  <si>
    <t xml:space="preserve">ma-bm-10269322</t>
  </si>
  <si>
    <t xml:space="preserve">Material</t>
  </si>
  <si>
    <t xml:space="preserve">pza</t>
  </si>
  <si>
    <t xml:space="preserve">Manguito MULTICAPA MULTIPEX 20 mm.   Ref. bm-10269322</t>
  </si>
  <si>
    <t xml:space="preserve">Manguito MULTICAPA MULTIPEX 20 mm.   Ref. bm-10269322</t>
  </si>
  <si>
    <t xml:space="preserve">ma-bm-10269336</t>
  </si>
  <si>
    <t xml:space="preserve">Material</t>
  </si>
  <si>
    <t xml:space="preserve">pza</t>
  </si>
  <si>
    <t xml:space="preserve">Manguito MULTICAPA MULTIPEX 25 mm.   Ref. bm-10269336</t>
  </si>
  <si>
    <t xml:space="preserve">Manguito MULTICAPA MULTIPEX 25 mm.   Ref. bm-10269336</t>
  </si>
  <si>
    <t xml:space="preserve">ma-bm-10269364</t>
  </si>
  <si>
    <t xml:space="preserve">Material</t>
  </si>
  <si>
    <t xml:space="preserve">pza</t>
  </si>
  <si>
    <t xml:space="preserve">Codo 90º MULTICAPA MULTIPEX 16 mm.   Ref. bm-10269364</t>
  </si>
  <si>
    <t xml:space="preserve">Codo 90º MULTICAPA MULTIPEX 16 mm.   Ref. bm-10269364</t>
  </si>
  <si>
    <t xml:space="preserve">ma-bm-10269371</t>
  </si>
  <si>
    <t xml:space="preserve">Material</t>
  </si>
  <si>
    <t xml:space="preserve">pza</t>
  </si>
  <si>
    <t xml:space="preserve">Codo 90º MULTICAPA MULTIPEX 20 mm.   Ref. bm-10269371</t>
  </si>
  <si>
    <t xml:space="preserve">Codo 90º MULTICAPA MULTIPEX 20 mm.   Ref. bm-10269371</t>
  </si>
  <si>
    <t xml:space="preserve">ma-bm-10269385</t>
  </si>
  <si>
    <t xml:space="preserve">Material</t>
  </si>
  <si>
    <t xml:space="preserve">pza</t>
  </si>
  <si>
    <t xml:space="preserve">Codo 90º MULTICAPA MULTIPEX 25 mm.   Ref. bm-10269385</t>
  </si>
  <si>
    <t xml:space="preserve">Codo 90º MULTICAPA MULTIPEX 25 mm.   Ref. bm-10269385</t>
  </si>
  <si>
    <t xml:space="preserve">ma-bm-10269644</t>
  </si>
  <si>
    <t xml:space="preserve">Material</t>
  </si>
  <si>
    <t xml:space="preserve">pza</t>
  </si>
  <si>
    <t xml:space="preserve">Válvula esfera MULTICAPA MULTIPEX 16 mm.   Ref. bm-10269644</t>
  </si>
  <si>
    <t xml:space="preserve">Válvula esfera MULTICAPA MULTIPEX 16 mm.   Ref. bm-10269644</t>
  </si>
  <si>
    <t xml:space="preserve">ma-bm-10269651</t>
  </si>
  <si>
    <t xml:space="preserve">Material</t>
  </si>
  <si>
    <t xml:space="preserve">pza</t>
  </si>
  <si>
    <t xml:space="preserve">Válvula esfera MULTICAPA MULTIPEX 20 mm.   Ref. bm-10269651</t>
  </si>
  <si>
    <t xml:space="preserve">Válvula esfera MULTICAPA MULTIPEX 20 mm.   Ref. bm-10269651</t>
  </si>
  <si>
    <t xml:space="preserve">ma-bm-10269665</t>
  </si>
  <si>
    <t xml:space="preserve">Material</t>
  </si>
  <si>
    <t xml:space="preserve">pza</t>
  </si>
  <si>
    <t xml:space="preserve">Válvula esfera MULTICAPA MULTIPEX 25 mm.   Ref. bm-10269665</t>
  </si>
  <si>
    <t xml:space="preserve">Válvula esfera MULTICAPA MULTIPEX 25 mm.   Ref. bm-10269665</t>
  </si>
  <si>
    <t xml:space="preserve">ma-bm-10269672</t>
  </si>
  <si>
    <t xml:space="preserve">Material</t>
  </si>
  <si>
    <t xml:space="preserve">pza</t>
  </si>
  <si>
    <t xml:space="preserve">Válvula palanca MULTICAPA MULTIPEX 16 mm.   Ref. bm-10269672</t>
  </si>
  <si>
    <t xml:space="preserve">Válvula palanca MULTICAPA MULTIPEX 16 mm.   Ref. bm-10269672</t>
  </si>
  <si>
    <t xml:space="preserve">ma-bm-10269686</t>
  </si>
  <si>
    <t xml:space="preserve">Material</t>
  </si>
  <si>
    <t xml:space="preserve">pza</t>
  </si>
  <si>
    <t xml:space="preserve">Válvula palanca MULTICAPA MULTIPEX 20 mm.   Ref. bm-10269686</t>
  </si>
  <si>
    <t xml:space="preserve">Válvula palanca MULTICAPA MULTIPEX 20 mm.   Ref. bm-10269686</t>
  </si>
  <si>
    <t xml:space="preserve">ma-bm-10269693</t>
  </si>
  <si>
    <t xml:space="preserve">Material</t>
  </si>
  <si>
    <t xml:space="preserve">pza</t>
  </si>
  <si>
    <t xml:space="preserve">Válvula palanca MULTICAPA MULTIPEX 25 mm.   Ref. bm-10269693</t>
  </si>
  <si>
    <t xml:space="preserve">Válvula palanca MULTICAPA MULTIPEX 25 mm.   Ref. bm-10269693</t>
  </si>
  <si>
    <t xml:space="preserve">ma-bm-10285254</t>
  </si>
  <si>
    <t xml:space="preserve">Material</t>
  </si>
  <si>
    <t xml:space="preserve">rolla</t>
  </si>
  <si>
    <t xml:space="preserve">Tubo MULTICAPA PERT-AL-PERT 16 mm; espesor 2 mm (25 m/rollo).   Ref. bm-10285254</t>
  </si>
  <si>
    <t xml:space="preserve">Tubo MULTICAPA PERT-AL-PERT 16 mm; espesor 2 mm (25 m/rollo).   Ref. bm-10285254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</si>
  <si>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ma-bm-10285282</t>
  </si>
  <si>
    <t xml:space="preserve">Material</t>
  </si>
  <si>
    <t xml:space="preserve">rollo</t>
  </si>
  <si>
    <t xml:space="preserve">Tubo MULTICAPA PERT-AL-PERT 20 mm; espesor 2 mm (25 m/rollo).   Ref. bm-10285282</t>
  </si>
  <si>
    <t xml:space="preserve">Tubo MULTICAPA PERT-AL-PERT 20 mm; espesor 2 mm (25 m/rollo).   Ref. bm-10285282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</si>
  <si>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ma-bm-10285296</t>
  </si>
  <si>
    <t xml:space="preserve">Material</t>
  </si>
  <si>
    <t xml:space="preserve">rollo</t>
  </si>
  <si>
    <t xml:space="preserve">Tubo MULTICAPA PERT-AL-PERT 20 mm; espesor 2 mm (100 m/rollo).   Ref. bm-10285296</t>
  </si>
  <si>
    <t xml:space="preserve">Tubo MULTICAPA PERT-AL-PERT 20 mm; espesor 2 mm (100 m/rollo).   Ref. bm-10285296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</si>
  <si>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ma-bm-10286310</t>
  </si>
  <si>
    <t xml:space="preserve">Material</t>
  </si>
  <si>
    <t xml:space="preserve">rollo</t>
  </si>
  <si>
    <t xml:space="preserve">Tubo MULTICAPA PERT-AL-PERT 25 mm; espesor 2,5 mm (25 m/rollo).   Ref. bm-10286310</t>
  </si>
  <si>
    <t xml:space="preserve">Tubo MULTICAPA PERT-AL-PERT 25 mm; espesor 2,5 mm (25 m/rollo).   Ref. bm-10286310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</si>
  <si>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ma-bm-10466225</t>
  </si>
  <si>
    <t xml:space="preserve">Material</t>
  </si>
  <si>
    <t xml:space="preserve">pza</t>
  </si>
  <si>
    <t xml:space="preserve">Válvula esfera MULTICAPA MULTIPEX 32 mm.   Ref. bm-10466225</t>
  </si>
  <si>
    <t xml:space="preserve">Válvula esfera MULTICAPA MULTIPEX 32 mm.   Ref. bm-10466225</t>
  </si>
  <si>
    <t xml:space="preserve">ma-bm-10466232</t>
  </si>
  <si>
    <t xml:space="preserve">Material</t>
  </si>
  <si>
    <t xml:space="preserve">rollo</t>
  </si>
  <si>
    <t xml:space="preserve">Tubo MULTICAPA PERT-AL-PERT 32 mm; espesor 2,8 mm (25 m/rollo).   Ref. bm-10466232</t>
  </si>
  <si>
    <t xml:space="preserve">Tubo MULTICAPA PERT-AL-PERT 32 mm; espesor 2,8 mm (25 m/rollo).   Ref. bm-10466232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</si>
  <si>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ma-bm-10466701</t>
  </si>
  <si>
    <t xml:space="preserve">Material</t>
  </si>
  <si>
    <t xml:space="preserve">pza</t>
  </si>
  <si>
    <t xml:space="preserve">Manguito MULTICAPA MULTIPEX 32 mm.   Ref. bm-10466701</t>
  </si>
  <si>
    <t xml:space="preserve">Manguito MULTICAPA MULTIPEX 32 mm.   Ref. bm-10466701</t>
  </si>
  <si>
    <t xml:space="preserve">ma-bm-10544744</t>
  </si>
  <si>
    <t xml:space="preserve">Material</t>
  </si>
  <si>
    <t xml:space="preserve">rollo</t>
  </si>
  <si>
    <t xml:space="preserve">Tubo MULTICAPA PERT-AL-PERT 16 mm; con aislamiento; espesor 2 mm (50 m/rollo).   Ref. bm-10544744</t>
  </si>
  <si>
    <t xml:space="preserve">Tubo MULTICAPA PERT-AL-PERT 16 mm; con aislamiento; espesor 2 mm (50 m/rollo).   Ref. bm-10544744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</si>
  <si>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ma-bm-10544765</t>
  </si>
  <si>
    <t xml:space="preserve">Material</t>
  </si>
  <si>
    <t xml:space="preserve">rollo</t>
  </si>
  <si>
    <t xml:space="preserve">Tubo MULTICAPA PERT-AL-PERT 20 mm con aislamiento; espesor 2 mm (50 m/rollo).   Ref. bm-10544765</t>
  </si>
  <si>
    <t xml:space="preserve">Tubo MULTICAPA PERT-AL-PERT 20 mm con aislamiento; espesor 2 mm (50 m/rollo).   Ref. bm-10544765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</si>
  <si>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ma-bm-10544786</t>
  </si>
  <si>
    <t xml:space="preserve">Material</t>
  </si>
  <si>
    <t xml:space="preserve">rollo</t>
  </si>
  <si>
    <t xml:space="preserve">Tubo MULTICAPA PERT-AL-PERT 25 mm con aislamiento; espesor 2 mm (25 m/rollo).   Ref. bm-10544786</t>
  </si>
  <si>
    <t xml:space="preserve">Tubo MULTICAPA PERT-AL-PERT 25 mm con aislamiento; espesor 2 mm (25 m/rollo).   Ref. bm-10544786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</si>
  <si>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 xml:space="preserve">ma-bm-10631803</t>
  </si>
  <si>
    <t xml:space="preserve">Material</t>
  </si>
  <si>
    <t xml:space="preserve">pza</t>
  </si>
  <si>
    <t xml:space="preserve">Válvula palanca MULTICAPA COMPRESIÓN 16 mm.   Ref. bm-10631803</t>
  </si>
  <si>
    <t xml:space="preserve">Válvula palanca MULTICAPA COMPRESIÓN 16 mm.   Ref. bm-10631803</t>
  </si>
  <si>
    <t xml:space="preserve">ma-bm-10631810</t>
  </si>
  <si>
    <t xml:space="preserve">Material</t>
  </si>
  <si>
    <t xml:space="preserve">pza</t>
  </si>
  <si>
    <t xml:space="preserve">Válvula palanca MULTICAPA COMPRESIÓN 20 mm.   Ref. bm-10631810</t>
  </si>
  <si>
    <t xml:space="preserve">Válvula palanca MULTICAPA COMPRESIÓN 20 mm.   Ref. bm-10631810</t>
  </si>
  <si>
    <t xml:space="preserve">ma-bm-10631824</t>
  </si>
  <si>
    <t xml:space="preserve">Material</t>
  </si>
  <si>
    <t xml:space="preserve">pza</t>
  </si>
  <si>
    <t xml:space="preserve">Válvula palanca MULTICAPA COMPRESIÓN 25 mm.   Ref. bm-10631824</t>
  </si>
  <si>
    <t xml:space="preserve">Válvula palanca MULTICAPA COMPRESIÓN 25 mm.   Ref. bm-10631824</t>
  </si>
  <si>
    <t xml:space="preserve">ma-bm-10863580</t>
  </si>
  <si>
    <t xml:space="preserve">Material</t>
  </si>
  <si>
    <t xml:space="preserve">pza</t>
  </si>
  <si>
    <t xml:space="preserve">Válvula palanca MULTICAPA MULTIPEX 32 mm.   Ref. bm-10863580</t>
  </si>
  <si>
    <t xml:space="preserve">Válvula palanca MULTICAPA MULTIPEX 32 mm.   Ref. bm-10863580</t>
  </si>
  <si>
    <t xml:space="preserve">ma-lp-00099520</t>
  </si>
  <si>
    <t xml:space="preserve">Material</t>
  </si>
  <si>
    <t xml:space="preserve">pza</t>
  </si>
  <si>
    <t xml:space="preserve">Manguito reducido MULTICAPA MULTIPEX 20-16 mm.   Ref. lp-00099520</t>
  </si>
  <si>
    <t xml:space="preserve">Manguito reducido MULTICAPA MULTIPEX 20-16 mm.   Ref. lp-00099520</t>
  </si>
  <si>
    <t xml:space="preserve">ma-lp-00099522</t>
  </si>
  <si>
    <t xml:space="preserve">Material</t>
  </si>
  <si>
    <t xml:space="preserve">pza</t>
  </si>
  <si>
    <t xml:space="preserve">Manguito reducido MULTICAPA MULTIPEX 25-20 mm.   Ref. lp-00099522</t>
  </si>
  <si>
    <t xml:space="preserve">Manguito reducido MULTICAPA MULTIPEX 25-20 mm.   Ref. lp-00099522</t>
  </si>
  <si>
    <t xml:space="preserve">ma-lp-00099531</t>
  </si>
  <si>
    <t xml:space="preserve">Material</t>
  </si>
  <si>
    <t xml:space="preserve">pza</t>
  </si>
  <si>
    <t xml:space="preserve">Te MULTICAPA MULTIPEX 16 mm.   Ref. lp-00099531</t>
  </si>
  <si>
    <t xml:space="preserve">Te MULTICAPA MULTIPEX 16 mm.   Ref. lp-00099531</t>
  </si>
  <si>
    <t xml:space="preserve">ma-lp-00099532</t>
  </si>
  <si>
    <t xml:space="preserve">Material</t>
  </si>
  <si>
    <t xml:space="preserve">pza</t>
  </si>
  <si>
    <t xml:space="preserve">Te MULTICAPA MULTIPEX 20 mm.   Ref. lp-00099532</t>
  </si>
  <si>
    <t xml:space="preserve">Te MULTICAPA MULTIPEX 20 mm.   Ref. lp-00099532</t>
  </si>
  <si>
    <t xml:space="preserve">ma-lp-00099533</t>
  </si>
  <si>
    <t xml:space="preserve">Material</t>
  </si>
  <si>
    <t xml:space="preserve">pza</t>
  </si>
  <si>
    <t xml:space="preserve">Te MULTICAPA MULTIPEX 25 mm.   Ref. lp-00099533</t>
  </si>
  <si>
    <t xml:space="preserve">Te MULTICAPA MULTIPEX 25 mm.   Ref. lp-00099533</t>
  </si>
  <si>
    <t xml:space="preserve">ma-lp-00099534</t>
  </si>
  <si>
    <t xml:space="preserve">Material</t>
  </si>
  <si>
    <t xml:space="preserve">pza</t>
  </si>
  <si>
    <t xml:space="preserve">Te reducida MULTICAPA MULTIPEX 20-16-16 mm.   Ref. lp-00099534</t>
  </si>
  <si>
    <t xml:space="preserve">Te reducida MULTICAPA MULTIPEX 20-16-16 mm.   Ref. lp-00099534</t>
  </si>
  <si>
    <t xml:space="preserve">ma-lp-00099535</t>
  </si>
  <si>
    <t xml:space="preserve">Material</t>
  </si>
  <si>
    <t xml:space="preserve">pza</t>
  </si>
  <si>
    <t xml:space="preserve">Te reducida MULTICAPA MULTIPEX 20-16-20 mm.   Ref. lp-00099535</t>
  </si>
  <si>
    <t xml:space="preserve">Te reducida MULTICAPA MULTIPEX 20-16-20 mm.   Ref. lp-00099535</t>
  </si>
  <si>
    <t xml:space="preserve">ma-lp-00099536</t>
  </si>
  <si>
    <t xml:space="preserve">Material</t>
  </si>
  <si>
    <t xml:space="preserve">pza</t>
  </si>
  <si>
    <t xml:space="preserve">Te reducida MULTICAPA MULTIPEX 20-20-16 mm.   Ref. lp-00099536</t>
  </si>
  <si>
    <t xml:space="preserve">Te reducida MULTICAPA MULTIPEX 20-20-16 mm.   Ref. lp-00099536</t>
  </si>
  <si>
    <t xml:space="preserve">ma-lp-00112006</t>
  </si>
  <si>
    <t xml:space="preserve">Material</t>
  </si>
  <si>
    <t xml:space="preserve">pza</t>
  </si>
  <si>
    <t xml:space="preserve">Manguito reducido MULTICAPA MULTIPEX 25-16 mm.   Ref. lp-00112006</t>
  </si>
  <si>
    <t xml:space="preserve">Manguito reducido MULTICAPA MULTIPEX 25-16 mm.   Ref. lp-00112006</t>
  </si>
  <si>
    <t xml:space="preserve">ma-lp-00112008</t>
  </si>
  <si>
    <t xml:space="preserve">Material</t>
  </si>
  <si>
    <t xml:space="preserve">pza</t>
  </si>
  <si>
    <t xml:space="preserve">Te reducida MULTICAPA MULTIPEX 25-16-25 mm.   Ref. lp-00112008</t>
  </si>
  <si>
    <t xml:space="preserve">Te reducida MULTICAPA MULTIPEX 25-16-25 mm.   Ref. lp-00112008</t>
  </si>
  <si>
    <t xml:space="preserve">ma-lp-00131807</t>
  </si>
  <si>
    <t xml:space="preserve">Material</t>
  </si>
  <si>
    <t xml:space="preserve">pza</t>
  </si>
  <si>
    <t xml:space="preserve">Te reducida MULTICAPA MULTIPEX 25-16-20 mm.   Ref. lp-00131807</t>
  </si>
  <si>
    <t xml:space="preserve">Te reducida MULTICAPA MULTIPEX 25-16-20 mm.   Ref. lp-00131807</t>
  </si>
  <si>
    <t xml:space="preserve">ma-lp-00131809</t>
  </si>
  <si>
    <t xml:space="preserve">Material</t>
  </si>
  <si>
    <t xml:space="preserve">pza</t>
  </si>
  <si>
    <t xml:space="preserve">Te reducida MULTICAPA MULTIPEX 25-20-25 mm.   Ref. lp-00131809</t>
  </si>
  <si>
    <t xml:space="preserve">Te reducida MULTICAPA MULTIPEX 25-20-25 mm.   Ref. lp-00131809</t>
  </si>
  <si>
    <t xml:space="preserve">ma-lp-00131814</t>
  </si>
  <si>
    <t xml:space="preserve">Material</t>
  </si>
  <si>
    <t xml:space="preserve">pza</t>
  </si>
  <si>
    <t xml:space="preserve">Colector MULTICAPA 1” con 3 salidas 16 mm.   Ref. lp-00131814</t>
  </si>
  <si>
    <t xml:space="preserve">Colector MULTICAPA 1” con 3 salidas 16 mm.   Ref. lp-00131814</t>
  </si>
  <si>
    <t xml:space="preserve">ma-lp-00131815</t>
  </si>
  <si>
    <t xml:space="preserve">Material</t>
  </si>
  <si>
    <t xml:space="preserve">pza</t>
  </si>
  <si>
    <t xml:space="preserve">Colector MULTICAPA 1” con 4 salidas 16 mm.   Ref. lp-00131815</t>
  </si>
  <si>
    <t xml:space="preserve">Colector MULTICAPA 1” con 4 salidas 16 mm.   Ref. lp-00131815</t>
  </si>
  <si>
    <t xml:space="preserve">ma-lp-0013806</t>
  </si>
  <si>
    <t xml:space="preserve">Material</t>
  </si>
  <si>
    <t xml:space="preserve">pza</t>
  </si>
  <si>
    <t xml:space="preserve">Te reducida MULTICAPA MULTIPEX 20-25-20 mm.   Ref. lp-0013806</t>
  </si>
  <si>
    <t xml:space="preserve">Te reducida MULTICAPA MULTIPEX 20-25-20 mm.   Ref. lp-0013806</t>
  </si>
  <si>
    <t xml:space="preserve">ma-lp-00173388</t>
  </si>
  <si>
    <t xml:space="preserve">Material</t>
  </si>
  <si>
    <t xml:space="preserve">pza</t>
  </si>
  <si>
    <t xml:space="preserve">Manguito unión MULTICAPA COMPRESIÓN 16 mm.   Ref. lp-00173388</t>
  </si>
  <si>
    <t xml:space="preserve">Manguito unión MULTICAPA COMPRESIÓN 16 mm.   Ref. lp-00173388</t>
  </si>
  <si>
    <t xml:space="preserve">ma-lp-00173389</t>
  </si>
  <si>
    <t xml:space="preserve">Material</t>
  </si>
  <si>
    <t xml:space="preserve">pza</t>
  </si>
  <si>
    <t xml:space="preserve">Manguito unión MULTICAPA COMPRESIÓN 20 mm.   Ref. lp-00173389</t>
  </si>
  <si>
    <t xml:space="preserve">Manguito unión MULTICAPA COMPRESIÓN 20 mm.   Ref. lp-00173389</t>
  </si>
  <si>
    <t xml:space="preserve">ma-lp-00173390</t>
  </si>
  <si>
    <t xml:space="preserve">Material</t>
  </si>
  <si>
    <t xml:space="preserve">pza</t>
  </si>
  <si>
    <t xml:space="preserve">Te MULTICAPA COMPRESIÓN 16 mm.   Ref. lp-00173390</t>
  </si>
  <si>
    <t xml:space="preserve">Te MULTICAPA COMPRESIÓN 16 mm.   Ref. lp-00173390</t>
  </si>
  <si>
    <t xml:space="preserve">ma-lp-00173391</t>
  </si>
  <si>
    <t xml:space="preserve">Material</t>
  </si>
  <si>
    <t xml:space="preserve">pza</t>
  </si>
  <si>
    <t xml:space="preserve">Te MULTICAPA COMPRESIÓN 20 mm.   Ref. lp-00173391</t>
  </si>
  <si>
    <t xml:space="preserve">Te MULTICAPA COMPRESIÓN 20 mm.   Ref. lp-00173391</t>
  </si>
  <si>
    <t xml:space="preserve">ma-lp-00173392</t>
  </si>
  <si>
    <t xml:space="preserve">Material</t>
  </si>
  <si>
    <t xml:space="preserve">pza</t>
  </si>
  <si>
    <t xml:space="preserve">Codo MULTICAPA COMPRESIÓN 16 mm.   Ref. lp-00173392</t>
  </si>
  <si>
    <t xml:space="preserve">Codo MULTICAPA COMPRESIÓN 16 mm.   Ref. lp-00173392</t>
  </si>
  <si>
    <t xml:space="preserve">ma-lp-00173393</t>
  </si>
  <si>
    <t xml:space="preserve">Material</t>
  </si>
  <si>
    <t xml:space="preserve">pza</t>
  </si>
  <si>
    <t xml:space="preserve">Codo MULTICAPA COMPRESIÓN 20 mm.   Ref. lp-00173393</t>
  </si>
  <si>
    <t xml:space="preserve">Codo MULTICAPA COMPRESIÓN 20 mm.   Ref. lp-00173393</t>
  </si>
  <si>
    <t xml:space="preserve">ma-lp-00570276</t>
  </si>
  <si>
    <t xml:space="preserve">Material</t>
  </si>
  <si>
    <t xml:space="preserve">pza</t>
  </si>
  <si>
    <t xml:space="preserve">Te reducida MULTICAPA MULTIPEX 20-16-25 mm.   Ref. lp-00570276</t>
  </si>
  <si>
    <t xml:space="preserve">Te reducida MULTICAPA MULTIPEX 20-16-25 mm.   Ref. lp-00570276</t>
  </si>
  <si>
    <t xml:space="preserve">MULTICAPA</t>
  </si>
  <si>
    <t xml:space="preserve">ma-bd-8011031254906</t>
  </si>
  <si>
    <t xml:space="preserve">Material</t>
  </si>
  <si>
    <t xml:space="preserve">pza</t>
  </si>
  <si>
    <t xml:space="preserve">Canalón PVC curvo 125 mm; color blanco. (2 m/pza).   Ref. bd-8011031254906</t>
  </si>
  <si>
    <t xml:space="preserve">Canalón PVC curvo 125 mm; color blanco.   Ref. bd-8011031254906</t>
  </si>
  <si>
    <t xml:space="preserve">ma-bd-8019966005495</t>
  </si>
  <si>
    <t xml:space="preserve">Material</t>
  </si>
  <si>
    <t xml:space="preserve">pza</t>
  </si>
  <si>
    <t xml:space="preserve">Soporte de canalón PVC curvo 125 mm; color blanco.   Ref. bd-8019966005495</t>
  </si>
  <si>
    <t xml:space="preserve">Soporte para canalón curvo de PVC. Pieza crucial para el agarre del canalón. Deberá de ir acompañada de un soporte metálico que se agarre a la teja o placa. Son necesarias ambas piezas para la fijación de toda la estructura para una correcta evacuación del agua de los tejados del hogar. Compatible con canalón de diámetro de 120 mm.   Ref. bd-8019966005495.</t>
  </si>
  <si>
    <t xml:space="preserve">ma-bd-8019966019720</t>
  </si>
  <si>
    <t xml:space="preserve">Material</t>
  </si>
  <si>
    <t xml:space="preserve">pza</t>
  </si>
  <si>
    <t xml:space="preserve">Tapa de canalón de PVC curvo 125 mm; color blanco.   Ref. bd-8019966019720</t>
  </si>
  <si>
    <t xml:space="preserve">Tapa de canalón de PVC curvo 125 mm; color blanco.   Ref. bd-8019966019720</t>
  </si>
  <si>
    <t xml:space="preserve">ma-bd-8019966078604</t>
  </si>
  <si>
    <t xml:space="preserve">Material</t>
  </si>
  <si>
    <t xml:space="preserve">pza</t>
  </si>
  <si>
    <t xml:space="preserve">Bajada central para canalón PVC 125 mm; color blanco.   Ref. bd-8019966078604</t>
  </si>
  <si>
    <t xml:space="preserve">Bajada central BI-SYSTEM con junta 125 blanca. Medidas: longitud 180 x ancho 126 x alt. 80 mm; Conector Ø 80 mm. Sistema de unión BI-SYSTEM: para encolar o con junta. Cumple Norma EN607.   Ref. bd-8019966078604.</t>
  </si>
  <si>
    <t xml:space="preserve">ma-bd-angulo.canalon/c.125-b</t>
  </si>
  <si>
    <t xml:space="preserve">Material</t>
  </si>
  <si>
    <t xml:space="preserve">pza</t>
  </si>
  <si>
    <t xml:space="preserve">Ángulo de canalón de PVC curvo 125 mm; color blanco.   Ref. bd-angulo.canalon/c.125-b</t>
  </si>
  <si>
    <t xml:space="preserve">Ángulo de canalón de PVC curvo 125 mm; color blanco.   Ref. bd-angulo.canalon/c.125-b</t>
  </si>
  <si>
    <t xml:space="preserve">ma-bd-union.canalon/c.125-b</t>
  </si>
  <si>
    <t xml:space="preserve">Material</t>
  </si>
  <si>
    <t xml:space="preserve">pza</t>
  </si>
  <si>
    <t xml:space="preserve">Unión de canalón PVC curvo 125 mm; color blanco.   Ref. bd-union.canalon/c.125-b</t>
  </si>
  <si>
    <t xml:space="preserve">Unión de canalón PVC curvo 125 mm; color blanco.   Ref. bd-union.canalon/c.125-b</t>
  </si>
  <si>
    <t xml:space="preserve">ma-bm-10778222</t>
  </si>
  <si>
    <t xml:space="preserve">Material</t>
  </si>
  <si>
    <t xml:space="preserve">pza</t>
  </si>
  <si>
    <t xml:space="preserve">Parahojas universal PVC 60 mm.   Ref. bm-10778222</t>
  </si>
  <si>
    <t xml:space="preserve">Los parahojas son una solución eficaz para la protección de sumideros, desagües y otros sistemas de drenaje, diseñados para prevenir la obstrucción causada por hojas y residuos. Su diseño adaptable los hace compatibles con tubos de diámetros que varían hasta 125 mm, asegurando una amplia aplicación en diferentes instalaciones.   Ref. bm-10778222.
Estos parahojas están preparados para el uso exterior, ofreciendo una resistencia superior contra la corrosión y las inclemencias del tiempo; y dicha característica garantiza una larga vida útil y un mantenimiento mínimo, convirtiéndolos en una opción práctica y duradera para mantener los sistemas de drenaje funcionando eficientemente y sin interrupciones.</t>
  </si>
  <si>
    <t xml:space="preserve">ma-bm-10885763</t>
  </si>
  <si>
    <t xml:space="preserve">Material</t>
  </si>
  <si>
    <t xml:space="preserve">rollo</t>
  </si>
  <si>
    <t xml:space="preserve">Hidrotubo PVC flexible; diámetros 20 y 25 mm, color gris (25 m/rollo).   Ref. bm-10885763</t>
  </si>
  <si>
    <t xml:space="preserve">Tubo flexible de PVC que se utiliza en desagües hidráulicos, saneamientos, fontanerías y drenaje del aire acondicionado. Diámetros 20 (interior) y 25 mm (exterior). Superficie interior y exterior lisa. Resistente a la propagación de la llama V0. Color gris. Rollo de 25 m.   Ref. bm-10885763</t>
  </si>
  <si>
    <t xml:space="preserve">ma-bm-10885770</t>
  </si>
  <si>
    <t xml:space="preserve">Material</t>
  </si>
  <si>
    <t xml:space="preserve">rollo</t>
  </si>
  <si>
    <t xml:space="preserve">Hidrotubo PVC flexible; diámetro exterior 32 mm, color gris (25 m/rollo).   Ref. bm-10885770</t>
  </si>
  <si>
    <t xml:space="preserve">Tubo flexible de PVC que se utiliza en desagües hidráulicos, saneamientos, fontanerías y drenaje del aire acondicionado. Diámetro exterior 32 mm. Superficie interior y exterior lisa. Resistente a la propagación de la llama V0. Color gris. Rollo de 25 m.   Ref. bm-10885770</t>
  </si>
  <si>
    <t xml:space="preserve">ma-bm-25045289</t>
  </si>
  <si>
    <t xml:space="preserve">Material</t>
  </si>
  <si>
    <t xml:space="preserve">rollo</t>
  </si>
  <si>
    <t xml:space="preserve">Hidrotubo PVC flexible; diámetro exterior 40 mm, color gris (5 m/rollo).   Ref. bm-25045289</t>
  </si>
  <si>
    <t xml:space="preserve">Tubo flexible de PVC que se utiliza en desagües hidráulicos, saneamientos, fontanerías y drenaje del aire acondicionado. Diámetro exterior 40 mm. Superficie interior y exterior lisa. Resistente a la propagación de la llama V0. Color gris. Rollo de 5 m.   Ref. bm-25045289</t>
  </si>
  <si>
    <t xml:space="preserve">ma-ferrolan-23450101</t>
  </si>
  <si>
    <t xml:space="preserve">Material</t>
  </si>
  <si>
    <t xml:space="preserve">pza</t>
  </si>
  <si>
    <t xml:space="preserve">Parahojas universal galvanizado 80/125 mm.   Ref. ferrolan-23450101</t>
  </si>
  <si>
    <t xml:space="preserve">Los parahojas metálicos son una solución eficaz para la protección de sumideros, desagües y otros sistemas de drenaje, diseñados para prevenir la obstrucción causada por hojas y residuos. Su diseño adaptable los hace compatibles con tubos de diámetros que van desde los 80 mm hasta los 125 mm, asegurando una amplia aplicación en diferentes instalaciones.   Ref. ferrolan-23450101.
Estos parahojas están preparados para el uso exterior, ofreciendo una resistencia superior contra la corrosión y las inclemencias del tiempo; y dicha característica garantiza una larga vida útil y un mantenimiento mínimo, convirtiéndolos en una opción práctica y duradera para mantener los sistemas de drenaje funcionando eficientemente y sin interrupciones.</t>
  </si>
  <si>
    <t xml:space="preserve">ma-hudsonreed-HRQSESB</t>
  </si>
  <si>
    <t xml:space="preserve">Material</t>
  </si>
  <si>
    <t xml:space="preserve">und</t>
  </si>
  <si>
    <t xml:space="preserve">Plato de Ducha Angular NOX con Mampara; efecto Piedra, acabado Antracita (900x900 mm/und).   Ref. hudsonreed-HRQSESB</t>
  </si>
  <si>
    <t xml:space="preserve">La mampara de ducha de la gama NOX se adapta a cualquier espacio, mientras que el plato de ducha con efecto piedra está disponible en una variedad de acabados: antracita, gris y blanco. La unidad incluye: Mampara de Ducha Angular (900mm) – NOX; Plato de Ducha Efecto Piedra y Válvula de Desagüe – ROCKWELL.   Ref. hudsonreed-HRQSESB.
Perfecto para cualquier cuarto de baño familiar o compacto, la mampara de ducha NOX caracteriza un elegante acabado de color negro opaco y crea un verdadero impacto visual en cualquier espacio decorado en estilo contemporáneo. La mampara ha sido realizada con vidrio temperado de 6mm para una mayor seguridad y durabilidad.
El plato de ducha es extremadamente ligero y mide una altura de 30mm, proporcionándole con un acceso simple y rápido a su ducha mientras que crea un look minimalista. El plato de ducha tiene un acabado efecto piedra para proporcionarle con un look y una sensación natural para darle la sensación de estar en un spa.
Combine con uno de nuestros kits de ducha NOX para crear un verdadero impacto visual y disfrutar de una experiencia de ducha inolvidable.
CARACTERÍSTICAS DE LA MAMPARA DE DUCHA NOX:
• Disponible en distintas medidas para adaptarse a cualquier espacio.
• Mampara de ducha de 900 mm.
• Plato de ducha disponible en distintos acabados: antracita, gris o blanco.
• Diseñado para aprovechar al máximo el espacio en el baño.
• Vidrio de seguridad de 6mm para mayor solidez y durabilidad.
• Manijas de aluminio con acabado de color negro opaco pata crear un look contemporáneo.
• Cierre magnético para asegurar un cierre hermético.
• Puertas con sistema de desenganche rápido para una limpieza más fácil.
• Ruedas en la parte superior y en la parte inferior de las puertas para un cierre suave.
• Altura de la mampara: 1850 mm.
• El plato mide 30 mm de altura para crear un look minimalista y acceso fácil a la ducha.
• Mampara con textura efecto piedra para crear un look efecto Spa.
• 50% más ligero que cualquier otro plato de ducha de piedra para asegurar un montaje simple.
• Mampara de ducha con certificaciones EN14428 and EN12150-2 para garantizar calidad.
• Garantía de 10 años</t>
  </si>
  <si>
    <t xml:space="preserve">ma-hudsonreed-HRQSEWC</t>
  </si>
  <si>
    <t xml:space="preserve">Material</t>
  </si>
  <si>
    <t xml:space="preserve">und</t>
  </si>
  <si>
    <t xml:space="preserve">Plato de Ducha Angular PORTLAND con Mampara (900x900 mm/und).   Ref. hudsonreed-HRQSEWC</t>
  </si>
  <si>
    <t xml:space="preserve">Producto disponible en distintas medidas para asegurar adaptarse a cualquier cuarto de baño perfectamente. La unidad incluye: Mampara de Ducha Angular PORTLAND (900 mm); Plato de Ducha Plano y Válvula de Desagüe con vaciado rápido MAXON.   Ref. hudsonreed-HRQSEWC.
Perfecto incluso para los cuartos de baño más compactos esta mampara de ducha con vidrio de seguridad de 6 mm para mayor durabilidad y robusteza, además de un cierre magnético para asegurar un cierre totalmente hermético. El acabado de aluminio pulido y las manijas cromadas complementan cualquier tipo de decoración, mientras que las ruedas en la parte superior e inferior le aseguran una apertura y cerrado suave. Este plato de ducha es extremadamente ligero y duradero y mide una altura de hasta 45 mm de altura para un acceso mucho más sencillo a la ducha. Realizado de polímero compuesto de resina, pesa hasta un 60% menos que cualquier otro plato de ducha convencional, asegurando una instalación mucho más sencilla y segura.
CARACTERÍSTICAS DEL PRODUCTO:
• Disponible en distintas medidas para adaptarse a cualquier espacio.
• Diseñado para aprovechar al máximo el espacio en el baño.
• Vidrio de seguridad de 6.mm para mayor solidez y durabilidad.
• Perfilería de aluminio con acabado cromado y manijas cromadas para adaptarse a cualquier tipo de decoración.
• Cierre magnético para asegurar un cierre hermético.
• Puertas con sistema de desenganche rápido para una limpieza más fácil.
• Ruedas en la parte superior y en la parte inferior de las puertas para un cierre suave.
• Altura de la mampara: 1850 mm.
• El plato de ducha tiene una altura de 45 mm para proporcionarle con un acceso fácil y un look minimalista.
• Hasta un 60% más ligero que cualquier otro plato de ducha de resina para un montaje más fácil.
• La construcción de polímero compuesto de resina de piedra para garantizar ser ligero y extremadamente duradero.
• Revestimiento en ABS acrílico – para proteger la superficie del plato de ducha.
• Parte inferior plana para facilitar la nivelación e instalación.
• Mampara de ducha con certificaciones EN14428 and EN12150-2 para garantizar calidad.
• Garantía de 10 años.</t>
  </si>
  <si>
    <t xml:space="preserve">ma-lp-00000267</t>
  </si>
  <si>
    <t xml:space="preserve">Material</t>
  </si>
  <si>
    <t xml:space="preserve">pza</t>
  </si>
  <si>
    <t xml:space="preserve">Cazoleta de caucho EPDM para Impermeabilización de puntos singulares (36x36x25 cm/pza).   Ref. lp-00000267</t>
  </si>
  <si>
    <t xml:space="preserve">Los bajantes prefabricados de GISCOSA permiten una rápida y fácil solución a la impermeabilización de puntos singulares. Fabricados a partir de giscolene 120 y polietileno de alta densidad, unidos por termofusión, están disponibles en diámetros de 90 mm, 110 mm y 125 mm. La altura de la caña estándard es de 25 cm y las dimensiones de la base de giscolene 120 es un cuadrado de 36 cm por 36 cm. Otras dimensiones son posibles bajo pedido. La unión del bajante prefabricado sobre la impermeabilización de EPDM existente se realiza mediante la aplicación del adhesivo SA-008 y posterior sellado con LS-009.   Ref. lp-00000267.</t>
  </si>
  <si>
    <t xml:space="preserve">ma-lp-00001385</t>
  </si>
  <si>
    <t xml:space="preserve">Material</t>
  </si>
  <si>
    <t xml:space="preserve">pza</t>
  </si>
  <si>
    <t xml:space="preserve">Codo evacuación M-H PVC 45º x 110 mm; color gris.   Ref. lp-00001385</t>
  </si>
  <si>
    <t xml:space="preserve">Codo de evacuación de 45° macho-hembra de diámetro 110 mm fabricado en PVC de color gris. Normas UNE-EN 1329 y EN 12200.   Ref. lp-00001385.</t>
  </si>
  <si>
    <t xml:space="preserve">ma-lp-00001388</t>
  </si>
  <si>
    <t xml:space="preserve">Material</t>
  </si>
  <si>
    <t xml:space="preserve">pza</t>
  </si>
  <si>
    <t xml:space="preserve">Codo evacuación M-H PVC 45º x 125 mm; color gris.   Ref. lp-00001388</t>
  </si>
  <si>
    <t xml:space="preserve">Codo de evacuación de 45° macho-hembra de diámetro 125 mm fabricado en PVC de color gris. Normas UNE-EN 1329 y EN 12200.   Ref. lp-00001388.</t>
  </si>
  <si>
    <t xml:space="preserve">ma-lp-00001390</t>
  </si>
  <si>
    <t xml:space="preserve">Material</t>
  </si>
  <si>
    <t xml:space="preserve">pza</t>
  </si>
  <si>
    <t xml:space="preserve">Codo evacuación M-H PVC 87º x 125 mm; color gris.   Ref. lp-00001390</t>
  </si>
  <si>
    <t xml:space="preserve">Codo de evacuación de 87° macho-hembra de diámetro 125 mm fabricado en PVC de color gris. Normas UNE-EN 1329 y EN 12200.   Ref. lp-00001390</t>
  </si>
  <si>
    <t xml:space="preserve">ma-lp-00001430</t>
  </si>
  <si>
    <t xml:space="preserve">Material</t>
  </si>
  <si>
    <t xml:space="preserve">pza</t>
  </si>
  <si>
    <t xml:space="preserve">Derivación doble para evacuación M-H PVC 45º x 110 mm; color gris.   Ref. lp-00001430</t>
  </si>
  <si>
    <t xml:space="preserve">Derivación doble para evacuación de 45º macho-hembra de diámetro 110 mm fabricado en PVC de color gris. Normas UNE-EN 1329 y EN 12200.   Ref. lp-00001430.</t>
  </si>
  <si>
    <t xml:space="preserve">ma-lp-00001431</t>
  </si>
  <si>
    <t xml:space="preserve">Material</t>
  </si>
  <si>
    <t xml:space="preserve">pza</t>
  </si>
  <si>
    <t xml:space="preserve">Derivación doble para evacuación M-H PVC 45º x 125 mm; color gris.   Ref. lp-00001431</t>
  </si>
  <si>
    <t xml:space="preserve">Derivación doble para evacuación de 45º macho-hembra de diámetro 125 mm fabricado en PVC de color gris. Normas UNE-EN 1329 y EN 12200.   Ref. lp-00001431.</t>
  </si>
  <si>
    <t xml:space="preserve">ma-lp-00001433</t>
  </si>
  <si>
    <t xml:space="preserve">Material</t>
  </si>
  <si>
    <t xml:space="preserve">pza</t>
  </si>
  <si>
    <t xml:space="preserve">Derivación simple para evacuación H-H PVC 45º x 110 mm; color gris.   Ref. lp-00001433</t>
  </si>
  <si>
    <t xml:space="preserve">Derivación simple para evacuación de 45º hembra-hembra de diámetro 110 mm fabricado en PVC de color gris. Normas UNE-EN 1329 y EN 12200.   Ref. lp-00001433.</t>
  </si>
  <si>
    <t xml:space="preserve">ma-lp-00001438</t>
  </si>
  <si>
    <t xml:space="preserve">Material</t>
  </si>
  <si>
    <t xml:space="preserve">pza</t>
  </si>
  <si>
    <t xml:space="preserve">Derivación simple para evacuación M-H PVC 45º x 125 mm; color gris.   Ref. lp-00001438</t>
  </si>
  <si>
    <t xml:space="preserve">Derivación simple de 45º macho-hembra de diámetro 125 mm fabricado en PVC de color gris. Normas UNE-EN 1329 y EN 12200.   Ref lp-00001438</t>
  </si>
  <si>
    <t xml:space="preserve">ma-lp-00001712</t>
  </si>
  <si>
    <t xml:space="preserve">Material</t>
  </si>
  <si>
    <t xml:space="preserve">pza</t>
  </si>
  <si>
    <t xml:space="preserve">Manguito evacuación H-H PVC 125 mm.   Ref. lp-00001712</t>
  </si>
  <si>
    <t xml:space="preserve">Manguito de unión hembra-hembra de diámetro 125 mm fabricado en PVC de color gris. Normas UNE-EN 1329 y EN 12200.   Ref. lp-00001712.</t>
  </si>
  <si>
    <t xml:space="preserve">ma-lp-00001951</t>
  </si>
  <si>
    <t xml:space="preserve">Material</t>
  </si>
  <si>
    <t xml:space="preserve">pza</t>
  </si>
  <si>
    <t xml:space="preserve">Sumidero sifónico ADEQUA PVC 10x10 cm con salida vertical diámetro 32-40 mm; color gris.   Ref. lp-00001951</t>
  </si>
  <si>
    <t xml:space="preserve">Sumidero sifónico ADEQUA PVC 10x10 cm con salida vertical de diámetro 32-40 mm; se utiliza para evacuación de aguas en terrazas, patios, balcones, cubiertas planas, solariums, instalaciones deportivas.   Ref. lp-00001951</t>
  </si>
  <si>
    <t xml:space="preserve">ma-lp-00001954</t>
  </si>
  <si>
    <t xml:space="preserve">Material</t>
  </si>
  <si>
    <t xml:space="preserve">pza</t>
  </si>
  <si>
    <t xml:space="preserve">Sumidero sifónico CEM de aluminio 15x15 cm con vaso-salida vertical 50 mm.   Ref. lp-00001954</t>
  </si>
  <si>
    <t xml:space="preserve">Sumidero sifónico CEM de aluminio 15x15 cm con vaso-salida vertical de diámetro 32-40 mm; se utiliza para evacuación de aguas en terrazas, patios, balcones, cubiertas planas, solariums, instalaciones deportivas.   Ref. lp-00001954</t>
  </si>
  <si>
    <t xml:space="preserve">ma-lp-00001955</t>
  </si>
  <si>
    <t xml:space="preserve">Material</t>
  </si>
  <si>
    <t xml:space="preserve">pza</t>
  </si>
  <si>
    <t xml:space="preserve">Sumidero sifónico CEM de aluminio 20x20 cm con vaso-salida vertical 75 mm.   Ref. lp-00001955</t>
  </si>
  <si>
    <t xml:space="preserve">Sumidero sifónico CEM de aluminio 20x20 cm con vaso-salida vertical de diámetro 75 mm; se utiliza para evacuación de aguas en terrazas, patios, balcones, cubiertas planas, solariums, instalaciones deportivas.   Ref. lp-00001955</t>
  </si>
  <si>
    <t xml:space="preserve">ma-lp-00001956</t>
  </si>
  <si>
    <t xml:space="preserve">Material</t>
  </si>
  <si>
    <t xml:space="preserve">pza</t>
  </si>
  <si>
    <t xml:space="preserve">Sumidero sifónico ADEQUA PVC 20x20 cm con salida vertical diámetro 80-90 mm; color gris.   Ref. lp-00001956</t>
  </si>
  <si>
    <t xml:space="preserve">Sumidero sifónico ADEQUA PVC 20x20 cm con salida vertical de diámetro 80-90 mm; se utiliza para evacuación de aguas en terrazas, patios, balcones, cubiertas planas, solariums, instalaciones deportivas.   Ref. lp-00001956</t>
  </si>
  <si>
    <t xml:space="preserve">ma-lp-00002046</t>
  </si>
  <si>
    <t xml:space="preserve">Material</t>
  </si>
  <si>
    <t xml:space="preserve">pza</t>
  </si>
  <si>
    <t xml:space="preserve">Tubo de evacuación barra PVC diámetro 110 mm (3 m/pza).   Ref. lp-00002046</t>
  </si>
  <si>
    <t xml:space="preserve">Tubería de evacuación en barra de diámetro 110 mm fabricada en PVC de color gris. Espesor de 3,2 mm. Longitud de 3 m. Norma UNE-EN 1453.   Ref lp-00002046</t>
  </si>
  <si>
    <t xml:space="preserve">ma-lp-00002047</t>
  </si>
  <si>
    <t xml:space="preserve">Material</t>
  </si>
  <si>
    <t xml:space="preserve">pza</t>
  </si>
  <si>
    <t xml:space="preserve">Tubo de evacuación barra PVC diámetro 125 mm (3 m/pza).   Ref. lp-00002047</t>
  </si>
  <si>
    <t xml:space="preserve">Tubería de evacuación en barra de diámetro 125 mm fabricada en PVC de color gris. Espesor de 3,2 mm. Longitud de 3 m. Norma UNE-EN 1453.   Ref lp-00002047</t>
  </si>
  <si>
    <t xml:space="preserve">ma-lp-00010888</t>
  </si>
  <si>
    <t xml:space="preserve">Material</t>
  </si>
  <si>
    <t xml:space="preserve">rollo</t>
  </si>
  <si>
    <t xml:space="preserve">Cinta Teflón PTFE de GYMCOL 12 mm (12 m/rollo).   Ref. lp-00010888</t>
  </si>
  <si>
    <t xml:space="preserve">Cintas PTFE alta calidad y con las mayores densidades del mercado. Densidad: 70 g/cm3. Especial gas. Medidas: 12x0,1 mm. Longitud del rollo: 12 m.   Ref. lp-00010888</t>
  </si>
  <si>
    <t xml:space="preserve">ma-lp-00010889</t>
  </si>
  <si>
    <t xml:space="preserve">Material</t>
  </si>
  <si>
    <t xml:space="preserve">rollo</t>
  </si>
  <si>
    <t xml:space="preserve">Cinta Teflón PTFE de GYMCOL 25 mm (25 m/rollo).   Ref. lp-00010889</t>
  </si>
  <si>
    <t xml:space="preserve">Cinta PTFE alta calidad y con las mayores densidades del mercado. Densidad: 40 g/cm3. Especial gas. Medidas: 25x0,2 mm. Longitud del rollo: 25 m.   Ref. lp-00010889</t>
  </si>
  <si>
    <t xml:space="preserve">ma-lp-00012102</t>
  </si>
  <si>
    <t xml:space="preserve">Material</t>
  </si>
  <si>
    <t xml:space="preserve">pza</t>
  </si>
  <si>
    <t xml:space="preserve">Tapón H PVC 20 mm de ADEQUA; color gris.   Ref. lp-00012102</t>
  </si>
  <si>
    <t xml:space="preserve">Tapón H PVC 20 mm de ADEQUA; color gris.   Ref. lp-00012102</t>
  </si>
  <si>
    <t xml:space="preserve">ma-lp-00012103</t>
  </si>
  <si>
    <t xml:space="preserve">Material</t>
  </si>
  <si>
    <t xml:space="preserve">pza</t>
  </si>
  <si>
    <t xml:space="preserve">Tapón H PVC 25 mm de ADEQUA; color gris.   Ref. lp-00012103</t>
  </si>
  <si>
    <t xml:space="preserve">Tapón H PVC 25 mm de ADEQUA; color gris.   Ref. lp-00012103</t>
  </si>
  <si>
    <t xml:space="preserve">ma-lp-00012104</t>
  </si>
  <si>
    <t xml:space="preserve">Material</t>
  </si>
  <si>
    <t xml:space="preserve">pza</t>
  </si>
  <si>
    <t xml:space="preserve">Tapón H PVC 32 mm de ADEQUA; color gris.   Ref. lp-00012104</t>
  </si>
  <si>
    <t xml:space="preserve">Tapón H PVC 32 mm de ADEQUA; color gris.   Ref. lp-00012104</t>
  </si>
  <si>
    <t xml:space="preserve">ma-lp-00012107</t>
  </si>
  <si>
    <t xml:space="preserve">Material</t>
  </si>
  <si>
    <t xml:space="preserve">pza</t>
  </si>
  <si>
    <t xml:space="preserve">Tapón M latón 1” (25 mm) de ALTECH.   Ref. lp-00012107</t>
  </si>
  <si>
    <t xml:space="preserve">Tapón M latón 1” (25 mm) de ALTECH.   Ref. lp-00012107</t>
  </si>
  <si>
    <t xml:space="preserve">ma-lp-00012108</t>
  </si>
  <si>
    <t xml:space="preserve">Material</t>
  </si>
  <si>
    <t xml:space="preserve">pza</t>
  </si>
  <si>
    <t xml:space="preserve">Tapón M latón 1/2” (13 mm) de ALTECH.   Ref. lp-00012108</t>
  </si>
  <si>
    <t xml:space="preserve">Tapón M latón 1/2” (13 mm) de ALTECH.   Ref. lp-00012108</t>
  </si>
  <si>
    <t xml:space="preserve">ma-lp-00012110</t>
  </si>
  <si>
    <t xml:space="preserve">Material</t>
  </si>
  <si>
    <t xml:space="preserve">pza</t>
  </si>
  <si>
    <t xml:space="preserve">Tapón M latón 3/4” (19 mm) de ALTECH.   Ref. lp-00012110</t>
  </si>
  <si>
    <t xml:space="preserve">Tapón M latón 3/4” (19 mm) de ALTECH.   Ref. lp-00012110</t>
  </si>
  <si>
    <t xml:space="preserve">ma-lp-00012111</t>
  </si>
  <si>
    <t xml:space="preserve">Material</t>
  </si>
  <si>
    <t xml:space="preserve">pza</t>
  </si>
  <si>
    <t xml:space="preserve">Tapón M latón 3/8” (9,5 mm) de ALTECH.   Ref. lp-00012111</t>
  </si>
  <si>
    <t xml:space="preserve">Tapón M latón 3/8” (9,5 mm) de ALTECH.   Ref. lp-00012111</t>
  </si>
  <si>
    <t xml:space="preserve">ma-lp-00012213</t>
  </si>
  <si>
    <t xml:space="preserve">Material</t>
  </si>
  <si>
    <t xml:space="preserve">rollo</t>
  </si>
  <si>
    <t xml:space="preserve">Cinta Teflón PTFE de GYMCOL 19 mm (50 m/rollo).   Ref. lp-00012213</t>
  </si>
  <si>
    <t xml:space="preserve">Cintas PTFE alta calidad y con las mayores densidades del mercado. Densidad: 0,52 g/cm3. Especial gas. Medidas: 19x0,1 mm. Longitud del rollo: 50 m.   Ref. lp-00012213</t>
  </si>
  <si>
    <t xml:space="preserve">ma-lp-00012439</t>
  </si>
  <si>
    <t xml:space="preserve">Material</t>
  </si>
  <si>
    <t xml:space="preserve">pza</t>
  </si>
  <si>
    <t xml:space="preserve">Válvula esfera palanca H.G. roscada M-H diámetro 1" (25,4 mm) TURIA 3000.   Ref. lp-00012439</t>
  </si>
  <si>
    <t xml:space="preserve">Válvula esfera palanca H.G. roscada M-H diámetro 1" (25,4 mm) TURIA 3000.   Ref. lp- 00012439</t>
  </si>
  <si>
    <t xml:space="preserve">ma-lp-00014156</t>
  </si>
  <si>
    <t xml:space="preserve">Material</t>
  </si>
  <si>
    <t xml:space="preserve">rollo</t>
  </si>
  <si>
    <t xml:space="preserve">Hidrotubo PVC flexible; diámetros 16 y 20 mm, color gris (25 m/rollo).   Ref. lp-00014156</t>
  </si>
  <si>
    <t xml:space="preserve">Tubo flexible de PVC que se utiliza en desagües hidráulicos, saneamientos, fontanerias y drenaje del aire acondicionado. Superficie interior y exterior lisa, resistente a la propagación de la llama V0. Color gris. Diámetros: 16x20 mm. Rollo de 25 m.   Ref. lp-00014156</t>
  </si>
  <si>
    <t xml:space="preserve">ma-lp-00014157</t>
  </si>
  <si>
    <t xml:space="preserve">Material</t>
  </si>
  <si>
    <t xml:space="preserve">rollo</t>
  </si>
  <si>
    <t xml:space="preserve">Hidrotubo PVC flexible; diámetros 16 y 20 mm, color blanco (25 m/rollo).   Ref. lp-00014157</t>
  </si>
  <si>
    <t xml:space="preserve">Tubo flexible de PVC que se utiliza en desagües hidráulicos, saneamientos, fontanerias y drenaje del aire acondicionado. Superficie interior y exterior lisa, resistente a la propagación de la llama V0. Color blanco. Diámetros: 16x20 mm. Rollo de 25 m.   Ref. lp-00014157</t>
  </si>
  <si>
    <t xml:space="preserve">ma-lp-00018675</t>
  </si>
  <si>
    <t xml:space="preserve">Material</t>
  </si>
  <si>
    <t xml:space="preserve">rollo</t>
  </si>
  <si>
    <t xml:space="preserve">Manguera de caucho ROTHENBERGER (5 m/rollo).   Ref. lp-00018675</t>
  </si>
  <si>
    <t xml:space="preserve">Manguera de caucho de larga duración y flexible, suministrada con los accesorios ya montados. Normativa europea EN559. W21,8 IZ-R3/8" Izq.   Ref. lp-00018675.</t>
  </si>
  <si>
    <t xml:space="preserve">ma-lp-00023404</t>
  </si>
  <si>
    <t xml:space="preserve">Material</t>
  </si>
  <si>
    <t xml:space="preserve">pza</t>
  </si>
  <si>
    <t xml:space="preserve">Curva flexible tubo PVC; color gris (16 mm/pza).   Ref. lp-00023404</t>
  </si>
  <si>
    <t xml:space="preserve">Curva flexible tubo aislante de PVC de color gris. Resistencia a la compresión: 1250 NW. Resistencia al impacto: 2 J.   Ref. lp-00023404.</t>
  </si>
  <si>
    <t xml:space="preserve">ma-lp-00023405</t>
  </si>
  <si>
    <t xml:space="preserve">Material</t>
  </si>
  <si>
    <t xml:space="preserve">pza</t>
  </si>
  <si>
    <t xml:space="preserve">Curva flexible tubo PVC; color gris (20 mm/pza).   Ref. lp-00023405</t>
  </si>
  <si>
    <t xml:space="preserve">Curva flexible tubo aislante de PVC de color gris. Resistencia a la compresión: 1250 NW. Resistencia al impacto: 2 J.   Ref. lp-00023405.</t>
  </si>
  <si>
    <t xml:space="preserve">ma-lp-00023406</t>
  </si>
  <si>
    <t xml:space="preserve">Material</t>
  </si>
  <si>
    <t xml:space="preserve">pza</t>
  </si>
  <si>
    <t xml:space="preserve">Curva flexible tubo PVC; color gris (25 mm/pza).   Ref. lp-00023406</t>
  </si>
  <si>
    <t xml:space="preserve">Curva flexible tubo aislante de PVC de color gris. Resistencia a la compresión: 1250 NW. Resistencia al impacto: 2 J.   Ref. lp-00023406.</t>
  </si>
  <si>
    <t xml:space="preserve">ma-lp-00023407</t>
  </si>
  <si>
    <t xml:space="preserve">Material</t>
  </si>
  <si>
    <t xml:space="preserve">pza</t>
  </si>
  <si>
    <t xml:space="preserve">Curva flexible tubo PVC; color gris (32 mm/pza).   Ref. lp-00023407</t>
  </si>
  <si>
    <t xml:space="preserve">Curva flexible tubo aislante de PVC de color gris. Resistencia a la compresión: 1250 NW. Resistencia al impacto: 2 J.   Ref. lp-00023407.</t>
  </si>
  <si>
    <t xml:space="preserve">ma-lp-00126629</t>
  </si>
  <si>
    <t xml:space="preserve">Material</t>
  </si>
  <si>
    <t xml:space="preserve">pza</t>
  </si>
  <si>
    <t xml:space="preserve">Llave compresión escuadra 3/8”x12.   Ref. lp-00126629</t>
  </si>
  <si>
    <t xml:space="preserve">Llave compresión escuadra 3/8”x12.   Ref. lp-00126629</t>
  </si>
  <si>
    <t xml:space="preserve">ma-lp-00126630</t>
  </si>
  <si>
    <t xml:space="preserve">Material</t>
  </si>
  <si>
    <t xml:space="preserve">pza</t>
  </si>
  <si>
    <t xml:space="preserve">Llave compresión escuadra 1/2”x15.   Ref. lp-00126630</t>
  </si>
  <si>
    <t xml:space="preserve">Llave compresión escuadra 1/2”x15.   Ref. lp-00126630</t>
  </si>
  <si>
    <t xml:space="preserve">ma-lp-00168610</t>
  </si>
  <si>
    <t xml:space="preserve">Material</t>
  </si>
  <si>
    <t xml:space="preserve">juego</t>
  </si>
  <si>
    <t xml:space="preserve">Juego de fijación lateral de ROCA para piezas sanitarias.   Ref. lp-00168610</t>
  </si>
  <si>
    <t xml:space="preserve">Juego de fijación lateral de ROCA para piezas sanitarias.   Ref. lp-00168610</t>
  </si>
  <si>
    <t xml:space="preserve">ma-lp-00179404</t>
  </si>
  <si>
    <t xml:space="preserve">Material</t>
  </si>
  <si>
    <t xml:space="preserve">pza</t>
  </si>
  <si>
    <t xml:space="preserve">Sumidero sifónico ADEQUA PVC 15x15 cm con salida vertical diámetro 40-50 mm; color gris.   Ref. lp-00179404</t>
  </si>
  <si>
    <t xml:space="preserve">Sumidero sifónico de PVC 15x15 cm con salida vertical de diámetro 40-50 mm; se utiliza para evacuación de aguas en terrazas, patios, balcones, cubiertas planas, solariums, instalaciones deportivas.   Ref. lp-00179404</t>
  </si>
  <si>
    <t xml:space="preserve">ma-lp-00211669</t>
  </si>
  <si>
    <t xml:space="preserve">Material</t>
  </si>
  <si>
    <t xml:space="preserve">pza</t>
  </si>
  <si>
    <t xml:space="preserve">Sumidero sifónico CEM de aluminio 10x10 cm con vaso-salida vertical 40 mm.   Ref. lp-00211669</t>
  </si>
  <si>
    <t xml:space="preserve">Sumidero sifónico CEM de aluminio 15x15 cm con vaso-salida vertical de diámetro 40 mm; se utiliza para evacuación de aguas en terrazas, patios, balcones, cubiertas planas, solariums, instalaciones deportivas.   Ref. lp-00211669</t>
  </si>
  <si>
    <t xml:space="preserve">ma-lp-00254161</t>
  </si>
  <si>
    <t xml:space="preserve">Material</t>
  </si>
  <si>
    <t xml:space="preserve">pza</t>
  </si>
  <si>
    <t xml:space="preserve">Racor acople rápido de ABS 19 mm para prolongación de manguera.   Ref. lp-00254161</t>
  </si>
  <si>
    <t xml:space="preserve">Racor acople rápido de ABS 19 mm para prolongación de manguera.   Ref. lp-00254161</t>
  </si>
  <si>
    <t xml:space="preserve">ma-lp-00254198</t>
  </si>
  <si>
    <t xml:space="preserve">Material</t>
  </si>
  <si>
    <t xml:space="preserve">pza</t>
  </si>
  <si>
    <t xml:space="preserve">Pistola de riego ECO con control de caudal y multijet 7 posiciones.   Ref. lp-00254198</t>
  </si>
  <si>
    <t xml:space="preserve">Pistola de riego ECO fabricada en metal y recubierta de caucho insulado para aislar la temperatura del agua. La pistola tiene un diseño atractivo, cómodo, ergonómico y suave al tacto. Con control de caudal y multijet con 7 formas de riego. Es resistente a los impactos.   Ref. lp-00254198.</t>
  </si>
  <si>
    <t xml:space="preserve">ma-lp-00257943</t>
  </si>
  <si>
    <t xml:space="preserve">Material</t>
  </si>
  <si>
    <t xml:space="preserve">pza</t>
  </si>
  <si>
    <t xml:space="preserve">Cazoleta de caucho EPDM desagüe para cubiertas con paragravillas; faldilla: 320 mm, bajante: 235 mm., diámetro: 110 mm.   Ref. lp-00257943</t>
  </si>
  <si>
    <t xml:space="preserve">Cazoleta de salida vertical para desagüe. Ideal para utilizar como accesorio de descarga de agua en azoteas, canalones y complejos de edificios. Fabricada en caucho EPDM con acabado en color negro. Indicada para tuberías de desagüe. La cazoleta cuenta con relieve para facilitar la penetración del betún y su adherencia al soporte, y es compatible con todas las membranas bituminosas mediante soldadura con soplete. Es dúctil y fácilmente manejable, resistente a la llama, a la corrosión y la intemperie. El manguetón tiene forma cónica en la parte inferior y cilíndrica en la superior.   Ref. lp-00257943</t>
  </si>
  <si>
    <t xml:space="preserve">ma-lp-00392493</t>
  </si>
  <si>
    <t xml:space="preserve">Material</t>
  </si>
  <si>
    <t xml:space="preserve">pza</t>
  </si>
  <si>
    <t xml:space="preserve">Sumidero sifonado descarga lateral de MODEM CH11-01 (11,5x11,5 cm).   Ref. lp-00392493</t>
  </si>
  <si>
    <t xml:space="preserve">El sumidero sifonado con descarga lateral garantiza una excelente resistencia a agentes químicos, orgánicos y atmosféricos. Fabricado en copolimero de polipropileno reforzado anti-UV. Color gris. Medidas: 11,5x11,5 cm.   Ref. 00392493.</t>
  </si>
  <si>
    <t xml:space="preserve">ma-lp-00407505</t>
  </si>
  <si>
    <t xml:space="preserve">Material</t>
  </si>
  <si>
    <t xml:space="preserve">pza</t>
  </si>
  <si>
    <t xml:space="preserve">Latiguillo flexible 20 cm M-H 1/2” de ALTECH.   Ref. lp-00407505</t>
  </si>
  <si>
    <t xml:space="preserve">Latiguillo macho-hembra para la conexión sanitaria flexible con tubo interior de caucho, trenzado y casquillo de acero inoxidable. Racores en latón niquelado. Para instalaciones sanitarias, griferías, calentadores, lavabos, bidets, maquinaria de hostelería, etc.   Ref. lp-00407505.</t>
  </si>
  <si>
    <t xml:space="preserve">ma-lp-00407506</t>
  </si>
  <si>
    <t xml:space="preserve">Material</t>
  </si>
  <si>
    <t xml:space="preserve">pza</t>
  </si>
  <si>
    <t xml:space="preserve">Latiguillo flexible 30 cm M-H 1/2” de ALTECH.   Ref. lp-00407506</t>
  </si>
  <si>
    <t xml:space="preserve">Latiguillo macho-hembra para la conexión sanitaria flexible con tubo interior de caucho, trenzado y casquillo de acero inoxidable. Racores en latón niquelado. Para instalaciones sanitarias, griferías, calentadores, lavabos, bidets, maquinaria de hostelería, etc.   Ref. lp-00407506.</t>
  </si>
  <si>
    <t xml:space="preserve">ma-lp-00407507</t>
  </si>
  <si>
    <t xml:space="preserve">Material</t>
  </si>
  <si>
    <t xml:space="preserve">pza</t>
  </si>
  <si>
    <t xml:space="preserve">Latiguillo flexible 50 cm M-H 1/2” de ALTECH.   Ref. lp-00407507</t>
  </si>
  <si>
    <t xml:space="preserve">Latiguillo macho-hembra para la conexión sanitaria flexible con tubo interior de caucho, trenzado y casquillo de acero inoxidable. Racores en latón niquelado. Para instalaciones sanitarias, griferías, calentadores, lavabos, bidets, maquinaria de hostelería, etc.   Ref. lp-00407507.</t>
  </si>
  <si>
    <t xml:space="preserve">ma-lp-00532427</t>
  </si>
  <si>
    <t xml:space="preserve">Material</t>
  </si>
  <si>
    <t xml:space="preserve">rollo</t>
  </si>
  <si>
    <t xml:space="preserve">Manguera BASIC de BIGMAT 3/4” y 8 bar (19x25 m/rollo).   Ref. lp-00532427</t>
  </si>
  <si>
    <t xml:space="preserve">Manguera BASIC de BIGMAT de 4 capas con refuerzo trenzado (3/4” y 8 bar). Revestimiento exterior transparente de color verde con una raya amarilla, capa intermedia amarilla, interior negro antialgas. Anti UV. Temperatura de empleo: -10ºC a +40ºC. Garantía 10 años.   Ref. lp-00532427.</t>
  </si>
  <si>
    <t xml:space="preserve">ma-lp-00532429</t>
  </si>
  <si>
    <t xml:space="preserve">Material</t>
  </si>
  <si>
    <t xml:space="preserve">rollo</t>
  </si>
  <si>
    <t xml:space="preserve">Manguera BIGMAT 25x25 1” y 7 bar (25 m/rollo).   Ref. lp-00532429</t>
  </si>
  <si>
    <t xml:space="preserve">Manguera de BIGMAT de 4 capas con refuerzo trenzado (1” y 7 bar). Revestimiento exterior transparente de color verde con una raya amarilla, capa intermedia amarilla, interior negro antialgas. Anti UV. Temperatura de empleo: -10ºC a +40ºC. Garantía 10 años.   Ref. lp-00532429.</t>
  </si>
  <si>
    <t xml:space="preserve">ma-lp-00532430</t>
  </si>
  <si>
    <t xml:space="preserve">Material</t>
  </si>
  <si>
    <t xml:space="preserve">rollo</t>
  </si>
  <si>
    <t xml:space="preserve">Manguera BASIC de BIGMAT 5/8” y 8 bar con accesorios (15x15 m/rollo).   Ref. lp-00532430</t>
  </si>
  <si>
    <t xml:space="preserve">Manguera BASIC de BIGMAT de 4 capas con refuerzo trenzado (5/8” y 8 bar). Revestimiento exterior transparente de color verde con una raya amarilla, capa intermedia amarilla, interior negro antialgas. Anti UV. Temperatura de empleo: -10ºC a +40ºC. Garantía 10 años. Incluye adaptador de grifo, 2 racores y lanza de riego en color rojo-negro.   Ref. lp-00532430.</t>
  </si>
  <si>
    <t xml:space="preserve">ma-lp-00535168</t>
  </si>
  <si>
    <t xml:space="preserve">Material</t>
  </si>
  <si>
    <t xml:space="preserve">pza</t>
  </si>
  <si>
    <t xml:space="preserve">Racor acople de AQUA 19 mm para prolongación de manguera.   Ref. lp-00535168</t>
  </si>
  <si>
    <t xml:space="preserve">Racor acople de AQUA 19 mm para prolongación de manguera.   Ref. lp-00535168</t>
  </si>
  <si>
    <t xml:space="preserve">ma-om-10510654</t>
  </si>
  <si>
    <t xml:space="preserve">Material</t>
  </si>
  <si>
    <t xml:space="preserve">pza</t>
  </si>
  <si>
    <t xml:space="preserve">Canalón PVC curvo 250 mm; color gris (3 m/pza).   Ref. om-10510654</t>
  </si>
  <si>
    <t xml:space="preserve">Canalón PVC curvo 250 mm; color gris (3 m/pza).   Ref. om-10510654.
Canalón para evacuación de pluviales de sección circular, con un reborde cerrado (voluta) y un talón reforzado, que le confiere una perfecta rigidez longitudinal, sin queda por ello disminuida su flexibilidad transversal.</t>
  </si>
  <si>
    <t xml:space="preserve">ma-om-10510696</t>
  </si>
  <si>
    <t xml:space="preserve">Material</t>
  </si>
  <si>
    <t xml:space="preserve">pza</t>
  </si>
  <si>
    <t xml:space="preserve">Unión de canalón PVC curvo 250 mm; color gris.   Ref. om-10510696</t>
  </si>
  <si>
    <t xml:space="preserve">Unión de canalón PVC curvo 250 mm; color gris.   Ref. om-10510696.</t>
  </si>
  <si>
    <t xml:space="preserve">ma-om-10510703</t>
  </si>
  <si>
    <t xml:space="preserve">Material</t>
  </si>
  <si>
    <t xml:space="preserve">pza</t>
  </si>
  <si>
    <t xml:space="preserve">Ángulo de canalón de PVC curvo 250 mm; color gris.   Ref. om-10510703</t>
  </si>
  <si>
    <t xml:space="preserve">Ángulo de canalón de PVC curvo 250 mm; color gris.   Ref. om-10510703.</t>
  </si>
  <si>
    <t xml:space="preserve">ma-om-10510710</t>
  </si>
  <si>
    <t xml:space="preserve">Material</t>
  </si>
  <si>
    <t xml:space="preserve">pza</t>
  </si>
  <si>
    <t xml:space="preserve">Tapa de canalón de PVC curvo 250 mm; color gris.   Ref. om-10510710</t>
  </si>
  <si>
    <t xml:space="preserve">Tapa de canalón de PVC curvo 250 mm; color gris.   Ref. om-10510710.
Tapa universal para canalón, en color gris. Esta tapa, con junta elástica, es apta para instalar en el canalón circular de una voluta de 25cm de desarrollo.</t>
  </si>
  <si>
    <t xml:space="preserve">ma-om-10510724</t>
  </si>
  <si>
    <t xml:space="preserve">Material</t>
  </si>
  <si>
    <t xml:space="preserve">pza</t>
  </si>
  <si>
    <t xml:space="preserve">Soporte de canalón PVC curvo 250 mm; color gris.   Ref. om-10510724</t>
  </si>
  <si>
    <t xml:space="preserve">Soporte de canalón PVC curvo 250 mm; color gris.   Ref. om-10510724.</t>
  </si>
  <si>
    <t xml:space="preserve">ma-om-10510843</t>
  </si>
  <si>
    <t xml:space="preserve">Material</t>
  </si>
  <si>
    <t xml:space="preserve">pza</t>
  </si>
  <si>
    <t xml:space="preserve">Bajada central para canalón PVC 250 mm; color gris.   Ref. om-10510843</t>
  </si>
  <si>
    <t xml:space="preserve">Bajada central para canalón PVC 250 mm; color gris.   Ref. om-10510843.</t>
  </si>
  <si>
    <t xml:space="preserve">ma-om-10669512</t>
  </si>
  <si>
    <t xml:space="preserve">Material</t>
  </si>
  <si>
    <t xml:space="preserve">pza</t>
  </si>
  <si>
    <t xml:space="preserve">Abrazadera pared simple regulable inoxidable 200-250 mm.   Ref. om-10669512</t>
  </si>
  <si>
    <t xml:space="preserve">Abrazadera pared regulable simple pared inoxidable 316 para la evacuación de humos de estufas de leña, inserts y hogares. Diámetro simple/doble: 250/200 mm.   Ref. om-10669512.</t>
  </si>
  <si>
    <t xml:space="preserve">ma-om-10778194</t>
  </si>
  <si>
    <t xml:space="preserve">Material</t>
  </si>
  <si>
    <t xml:space="preserve">pza</t>
  </si>
  <si>
    <t xml:space="preserve">Bajante/Cazoleta EPDM 110 mm de ROLLGUM.   Ref. om-10778194</t>
  </si>
  <si>
    <t xml:space="preserve">Bajante de EPDM con tubo de polietileno de alta densidad termofusionado a un faldón de lámina EPDM indicado para rematar los desagües.   Ref. om-10778194.</t>
  </si>
  <si>
    <t xml:space="preserve">ma-om-10778201</t>
  </si>
  <si>
    <t xml:space="preserve">Material</t>
  </si>
  <si>
    <t xml:space="preserve">`za</t>
  </si>
  <si>
    <t xml:space="preserve">Bajante/Cazoleta EPDM 125 mm de ROLLGUM.   Ref. om-10778201</t>
  </si>
  <si>
    <t xml:space="preserve">Bajante de epdm con tubo de polietileno de alta densidad termofusionado a un faldón de lámina epdm indicado para rematar los desagües.   Ref. om-10778201.</t>
  </si>
  <si>
    <t xml:space="preserve">ma-proinco-6741308</t>
  </si>
  <si>
    <t xml:space="preserve">Material</t>
  </si>
  <si>
    <t xml:space="preserve">pza</t>
  </si>
  <si>
    <t xml:space="preserve">Válvula esfera de polipropileno PPR de AQUATHERM 20 mm (con cierre de latón).   Ref. proinco-6741308</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</si>
  <si>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proinco-6741308.</t>
  </si>
  <si>
    <t xml:space="preserve">ma-proinco-6741312</t>
  </si>
  <si>
    <t xml:space="preserve">Material</t>
  </si>
  <si>
    <t xml:space="preserve">pza</t>
  </si>
  <si>
    <t xml:space="preserve">Válvula esfera de polipropileno PPR de AQUATHERM 32 mm (con cierre de latón).   Ref. proinco-6741312</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</si>
  <si>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proinco-6741312.</t>
  </si>
  <si>
    <t xml:space="preserve">ma-proinco-6741314</t>
  </si>
  <si>
    <t xml:space="preserve">Material</t>
  </si>
  <si>
    <t xml:space="preserve">pza</t>
  </si>
  <si>
    <t xml:space="preserve">Válvula esfera de polipropileno PPR de AQUATHERM 40 mm (con cierre de latón).   Ref. proinco-6741314</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</si>
  <si>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t>
  </si>
  <si>
    <t xml:space="preserve">ma-proinco-6741388</t>
  </si>
  <si>
    <t xml:space="preserve">Material</t>
  </si>
  <si>
    <t xml:space="preserve">pza</t>
  </si>
  <si>
    <t xml:space="preserve">Válvula esfera de polipropileno PPR de AQUATHERM 20 mm.   Ref. proinco-6741388</t>
  </si>
  <si>
    <t xml:space="preserve">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proinco-6741388.</t>
  </si>
  <si>
    <t xml:space="preserve">ma-proinco-6741390</t>
  </si>
  <si>
    <t xml:space="preserve">Material</t>
  </si>
  <si>
    <t xml:space="preserve">pza</t>
  </si>
  <si>
    <t xml:space="preserve">Válvula esfera de polipropileno PPR de AQUATHERM 25 mm.   Ref. proinco-6741390</t>
  </si>
  <si>
    <t xml:space="preserve">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proinco-6741390.</t>
  </si>
  <si>
    <t xml:space="preserve">ma-proinco-6741392</t>
  </si>
  <si>
    <t xml:space="preserve">Material</t>
  </si>
  <si>
    <t xml:space="preserve">pza</t>
  </si>
  <si>
    <t xml:space="preserve">Válvula esfera de polipropileno PPR de AQUATHERM 32 mm.   Ref. proinco-6741392</t>
  </si>
  <si>
    <t xml:space="preserve">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proinco-6741392.</t>
  </si>
  <si>
    <t xml:space="preserve">ma-proinco-6741394</t>
  </si>
  <si>
    <t xml:space="preserve">Material</t>
  </si>
  <si>
    <t xml:space="preserve">pza</t>
  </si>
  <si>
    <t xml:space="preserve">Válvula esfera de polipropileno PPR de AQUATHERM 40 mm.   Ref. proinco-6741394</t>
  </si>
  <si>
    <t xml:space="preserve">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proinco-6741394.</t>
  </si>
  <si>
    <t xml:space="preserve">ma-sc-12000070004</t>
  </si>
  <si>
    <t xml:space="preserve">Material</t>
  </si>
  <si>
    <t xml:space="preserve">tubo</t>
  </si>
  <si>
    <t xml:space="preserve">Tubo H.G. ISO roscado 1” (6 m/tubo).   Ref. sc-12000070004</t>
  </si>
  <si>
    <t xml:space="preserve">Tubo H.G. ISO roscado 1” (6 m/tubo).   Ref. sc-12000070004</t>
  </si>
  <si>
    <t xml:space="preserve">ma-sc-12000070006</t>
  </si>
  <si>
    <t xml:space="preserve">Material</t>
  </si>
  <si>
    <t xml:space="preserve">tubo</t>
  </si>
  <si>
    <t xml:space="preserve">Tubo H.G. ISO roscado 1 1/2” (6 m/ tubo).   Ref. sc-12000070006</t>
  </si>
  <si>
    <t xml:space="preserve">Tubo H.G. ISO roscado 1 1/2” (6 m/ tubo).   Ref. sc-12000070006</t>
  </si>
  <si>
    <t xml:space="preserve">ma-sc-12000070007</t>
  </si>
  <si>
    <t xml:space="preserve">Material</t>
  </si>
  <si>
    <t xml:space="preserve">tubo</t>
  </si>
  <si>
    <t xml:space="preserve">Tubo H.G. ISO roscado 2” (6 m/ tubo).   Ref. sc-12000070007</t>
  </si>
  <si>
    <t xml:space="preserve">Tubo H.G. ISO roscado 2” (6 m/ tubo).   Ref. sc-12000070007</t>
  </si>
  <si>
    <t xml:space="preserve">ma-sc-1200035007</t>
  </si>
  <si>
    <t xml:space="preserve">Material</t>
  </si>
  <si>
    <t xml:space="preserve">pza</t>
  </si>
  <si>
    <t xml:space="preserve">Tubo H.G. UNE EN 10255 ranurado 2” (6 m/ tubo).   Ref. sc-12000035007</t>
  </si>
  <si>
    <t xml:space="preserve">Tubo H.G. ISO ranurado 2” (6 m/ tubo).   Ref. sc-12000035007
A diferencia de las conexiones roscadas o soldadas, el ranurado permite ensamblar tuberías mediante acoplamientos que encajan en ranuras previamente hechas en los extremos de la tubería. Este método no solo facilita una instalación más ágil y menos laboriosa, sino que también proporciona flexibilidad, permitiendo movimientos axiales y de rotación. Además, las conexiones ranuradas ofrecen una solución duradera y resistente, minimizando las fugas y optimizando el rendimiento del sistema. Ya sea en aplicaciones industriales, de calefacción, ventilación, aire acondicionado o contra incendios, el sistema ranurado se ha posicionado como una opción superior por su confiabilidad y facilidad de mantenimiento.</t>
  </si>
  <si>
    <t xml:space="preserve">ma-sc-1202002090</t>
  </si>
  <si>
    <t xml:space="preserve">Material</t>
  </si>
  <si>
    <t xml:space="preserve">pza</t>
  </si>
  <si>
    <t xml:space="preserve">Codo H.G. 90º H-H roscado 1/2”.   Ref. sc-1202002090</t>
  </si>
  <si>
    <t xml:space="preserve">Codo H.G. 90º H-H roscado 1/2”.   Ref. sc-1202002090</t>
  </si>
  <si>
    <t xml:space="preserve">ma-sc-1202002270</t>
  </si>
  <si>
    <t xml:space="preserve">Material</t>
  </si>
  <si>
    <t xml:space="preserve">pza</t>
  </si>
  <si>
    <t xml:space="preserve">Manguito H.G. H-H roscado 1/2”.   Ref. sc-1202002270</t>
  </si>
  <si>
    <t xml:space="preserve">Manguito H.G. H-H roscado 1/2”.   Ref. sc-1202002270</t>
  </si>
  <si>
    <t xml:space="preserve">ma-sc-1202003090</t>
  </si>
  <si>
    <t xml:space="preserve">Material</t>
  </si>
  <si>
    <t xml:space="preserve">pza</t>
  </si>
  <si>
    <t xml:space="preserve">Codo H.G. 90º H-H roscado 3/4”.   Ref. sc-1202003090</t>
  </si>
  <si>
    <t xml:space="preserve">Codo H.G. 90º H-H roscado 3/4”.   Ref. sc-1202003090</t>
  </si>
  <si>
    <t xml:space="preserve">ma-sc-1202003270</t>
  </si>
  <si>
    <t xml:space="preserve">Material</t>
  </si>
  <si>
    <t xml:space="preserve">pza</t>
  </si>
  <si>
    <t xml:space="preserve">Manguito H.G. H-H roscado 3/4”.   Ref. sc-1202003270</t>
  </si>
  <si>
    <t xml:space="preserve">Manguito H.G. H-H roscado 3/4”.   Ref. sc-1202003270</t>
  </si>
  <si>
    <t xml:space="preserve">ma-sc-1202004090</t>
  </si>
  <si>
    <t xml:space="preserve">Material</t>
  </si>
  <si>
    <t xml:space="preserve">pza</t>
  </si>
  <si>
    <t xml:space="preserve">Codo H.G. 90º H-H roscado 1 1/2”.   Ref. sc-1202004090</t>
  </si>
  <si>
    <t xml:space="preserve">Codo H.G. 90º H-H roscado 1 1/2”.   Ref. sc-1202004090</t>
  </si>
  <si>
    <t xml:space="preserve">ma-sc-1202004270</t>
  </si>
  <si>
    <t xml:space="preserve">Material</t>
  </si>
  <si>
    <t xml:space="preserve">pza</t>
  </si>
  <si>
    <t xml:space="preserve">Manguito H.G. H-H roscado 1”.   Ref. sc-1202004270</t>
  </si>
  <si>
    <t xml:space="preserve">Manguito H.G. H-H roscado 1”.   Ref. sc-1202004270</t>
  </si>
  <si>
    <t xml:space="preserve">ma-sc-1202006090</t>
  </si>
  <si>
    <t xml:space="preserve">Material</t>
  </si>
  <si>
    <t xml:space="preserve">pza</t>
  </si>
  <si>
    <t xml:space="preserve">Codo H.G. 90º H-H roscado 1”.   Ref. sc-1202006090</t>
  </si>
  <si>
    <t xml:space="preserve">Codo H.G. 90º H-H roscado 1”.   Ref. sc-1202006090</t>
  </si>
  <si>
    <t xml:space="preserve">ma-sc-1202006270</t>
  </si>
  <si>
    <t xml:space="preserve">Material</t>
  </si>
  <si>
    <t xml:space="preserve">pza</t>
  </si>
  <si>
    <t xml:space="preserve">Manguito H.G. H-H roscado 1 1/2”.   Ref. sc-1202006270</t>
  </si>
  <si>
    <t xml:space="preserve">Manguito H.G. H-H roscado 1 1/2”.   Ref. sc-1202006270</t>
  </si>
  <si>
    <t xml:space="preserve">ma-sc-1202007090</t>
  </si>
  <si>
    <t xml:space="preserve">Material</t>
  </si>
  <si>
    <t xml:space="preserve">pza</t>
  </si>
  <si>
    <t xml:space="preserve">Codo H.G. 90º H-H roscado 2”.   Ref. sc-1202007090</t>
  </si>
  <si>
    <t xml:space="preserve">Codo H.G. 90º H-H roscado 2”.   Ref. sc-1202007090</t>
  </si>
  <si>
    <t xml:space="preserve">ma-sc-1202007270</t>
  </si>
  <si>
    <t xml:space="preserve">Material</t>
  </si>
  <si>
    <t xml:space="preserve">pza</t>
  </si>
  <si>
    <t xml:space="preserve">Manguito H.G. H-H roscado 2”.   Ref. sc-1202007270</t>
  </si>
  <si>
    <t xml:space="preserve">Manguito H.G. H-H roscado 2”.   Ref. sc-1202007270</t>
  </si>
  <si>
    <t xml:space="preserve">ma-sc-1202008270</t>
  </si>
  <si>
    <t xml:space="preserve">Material</t>
  </si>
  <si>
    <t xml:space="preserve">pza</t>
  </si>
  <si>
    <t xml:space="preserve">Manguito H.G. H-H roscado 2 1/2”.   Ref. sc-1202008270</t>
  </si>
  <si>
    <t xml:space="preserve">Manguito H.G. H-H roscado 2 1/2”.   Ref. sc-1202008270</t>
  </si>
  <si>
    <t xml:space="preserve">ma-sc-1255098053</t>
  </si>
  <si>
    <t xml:space="preserve">Material</t>
  </si>
  <si>
    <t xml:space="preserve">pza</t>
  </si>
  <si>
    <t xml:space="preserve">Doble rosca reducida de latón (32 a 20 mm).   Ref. sc-1255098053</t>
  </si>
  <si>
    <t xml:space="preserve">Doble rosca reducida de latón (32 a 20 mm).   Ref. sc-1255098053</t>
  </si>
  <si>
    <t xml:space="preserve">ma-sc-1255098054</t>
  </si>
  <si>
    <t xml:space="preserve">Material</t>
  </si>
  <si>
    <t xml:space="preserve">pza</t>
  </si>
  <si>
    <t xml:space="preserve">Doble rosca reducida de latón (32 a 25 mm).   Ref. sc-1255098054</t>
  </si>
  <si>
    <t xml:space="preserve">Doble rosca reducida de latón (32 a 25 mm).   Ref. sc-1255098054</t>
  </si>
  <si>
    <t xml:space="preserve">ma-sc-1659801066</t>
  </si>
  <si>
    <t xml:space="preserve">Material</t>
  </si>
  <si>
    <t xml:space="preserve">pza</t>
  </si>
  <si>
    <t xml:space="preserve">Válvula esfera de polipropileno PPR de AQUATHERM 20 mm (con cierre de latón).   Ref. sc-1659801066</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</si>
  <si>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sc-1659801066</t>
  </si>
  <si>
    <t xml:space="preserve">ma-sc-1659801067</t>
  </si>
  <si>
    <t xml:space="preserve">Material</t>
  </si>
  <si>
    <t xml:space="preserve">pza</t>
  </si>
  <si>
    <t xml:space="preserve">Válvula esfera de polipropileno PPR de AQUATHERM 25 mm (con cierre de latón).   Ref. sc-1659801067</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</si>
  <si>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sc-1659801067.</t>
  </si>
  <si>
    <t xml:space="preserve">ma-sc-1659801068</t>
  </si>
  <si>
    <t xml:space="preserve">Material</t>
  </si>
  <si>
    <t xml:space="preserve">pza</t>
  </si>
  <si>
    <t xml:space="preserve">Válvula esfera de polipropileno PPR de AQUATHERM 32 mm (con cierre de latón).   Ref. sc-1659801068</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</si>
  <si>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sc-1659801068.</t>
  </si>
  <si>
    <t xml:space="preserve">ma-sc-1659801069</t>
  </si>
  <si>
    <t xml:space="preserve">Material</t>
  </si>
  <si>
    <t xml:space="preserve">pza</t>
  </si>
  <si>
    <t xml:space="preserve">Válvula esfera de polipropileno PPR de AQUATHERM 40 mm (con cierre de latón).   Ref. sc-1659801069</t>
  </si>
  <si>
    <t xml:space="preserve">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sc-1659801069.</t>
  </si>
  <si>
    <t xml:space="preserve">ma-sc-1900010316</t>
  </si>
  <si>
    <t xml:space="preserve">Material</t>
  </si>
  <si>
    <t xml:space="preserve">pza</t>
  </si>
  <si>
    <t xml:space="preserve">Tubo PVC serie B de evacuación 160x6 mm (3 m/pza).   Ref. sc-1900010316</t>
  </si>
  <si>
    <t xml:space="preserve">Tubo PVC serie B de evacuación 160x6 mm (3 m/pza).   Ref. sc-1900010316</t>
  </si>
  <si>
    <t xml:space="preserve">ma-sc-1900010325</t>
  </si>
  <si>
    <t xml:space="preserve">Material</t>
  </si>
  <si>
    <t xml:space="preserve">pza</t>
  </si>
  <si>
    <t xml:space="preserve">Tubo PVC serie B de evacuación 250x6 mm (3 m/pza).   Ref. sc-1900010325</t>
  </si>
  <si>
    <t xml:space="preserve">Tubo PVC serie B de evacuación 250x6 mm (3 m/pza).   Ref. sc-1900010325</t>
  </si>
  <si>
    <t xml:space="preserve">ma-sc-1900165092</t>
  </si>
  <si>
    <t xml:space="preserve">Material</t>
  </si>
  <si>
    <t xml:space="preserve">pza</t>
  </si>
  <si>
    <t xml:space="preserve">Codo encolar PVC M-H 87° 160 mm. Ref. sc-1900165092</t>
  </si>
  <si>
    <t xml:space="preserve">Codo encolar PVC M-H 87° 160 mm. Ref. sc-1900165092</t>
  </si>
  <si>
    <t xml:space="preserve">ma-sc-1900216046</t>
  </si>
  <si>
    <t xml:space="preserve">Material</t>
  </si>
  <si>
    <t xml:space="preserve">pza</t>
  </si>
  <si>
    <t xml:space="preserve">Codo encolar PVC M-H 45° 160 mm.   Ref. sc-1900216046</t>
  </si>
  <si>
    <t xml:space="preserve">Codo encolar PVC M-H 45° 160 mm.   Ref. sc-1900216046</t>
  </si>
  <si>
    <t xml:space="preserve">ma-sc-1900216188</t>
  </si>
  <si>
    <t xml:space="preserve">Material</t>
  </si>
  <si>
    <t xml:space="preserve">pza</t>
  </si>
  <si>
    <t xml:space="preserve">Derivación encolar simple PVC M-H 89° 160 mm.   Ref. sc-1900216188</t>
  </si>
  <si>
    <t xml:space="preserve">Derivación encolar simple PVC M-H 89° 160 mm.   Ref. sc-1900216188</t>
  </si>
  <si>
    <t xml:space="preserve">ma-sc-1900216270</t>
  </si>
  <si>
    <t xml:space="preserve">Material</t>
  </si>
  <si>
    <t xml:space="preserve">pza</t>
  </si>
  <si>
    <t xml:space="preserve">Manguito encolar PVC H-H 160 mm.   Ref. sc-1900216270</t>
  </si>
  <si>
    <t xml:space="preserve">Manguito encolar PVC H-H 160 mm.   Ref. sc-1900216270</t>
  </si>
  <si>
    <t xml:space="preserve">ma-sc-1900221636</t>
  </si>
  <si>
    <t xml:space="preserve">Material</t>
  </si>
  <si>
    <t xml:space="preserve">pza</t>
  </si>
  <si>
    <t xml:space="preserve">Derivación encolar simple PVC M-H 45° 160 mm.   Ref. sc-1900221636</t>
  </si>
  <si>
    <t xml:space="preserve">Derivación encolar simple PVC M-H 45° 160 mm.   Ref. sc-1900221636</t>
  </si>
  <si>
    <t xml:space="preserve">ma-sc-1900225046</t>
  </si>
  <si>
    <t xml:space="preserve">Material</t>
  </si>
  <si>
    <t xml:space="preserve">pza</t>
  </si>
  <si>
    <t xml:space="preserve">Codo encolar PVC M-H 45° 250 mm.   Ref. sc-1900225046</t>
  </si>
  <si>
    <t xml:space="preserve">Codo encolar PVC M-H 45° 250 mm.   Ref. sc-1900225046</t>
  </si>
  <si>
    <t xml:space="preserve">ma-sc-1900225092</t>
  </si>
  <si>
    <t xml:space="preserve">Material</t>
  </si>
  <si>
    <t xml:space="preserve">pza</t>
  </si>
  <si>
    <t xml:space="preserve">Codo encolar PVC M-H 87° 250 mm. Ref. sc-1900225092</t>
  </si>
  <si>
    <t xml:space="preserve">Codo encolar PVC M-H 87° 250 mm. Ref. sc-1900225092</t>
  </si>
  <si>
    <t xml:space="preserve">ma-sc-1900225136</t>
  </si>
  <si>
    <t xml:space="preserve">Material</t>
  </si>
  <si>
    <t xml:space="preserve">pza</t>
  </si>
  <si>
    <t xml:space="preserve">Derivación encolar simple PVC M-H 45° 250 mm.   Ref. sc-1900225136</t>
  </si>
  <si>
    <t xml:space="preserve">Derivación encolar simple PVC M-H 45° 250 mm.   Ref. sc-1900225136</t>
  </si>
  <si>
    <t xml:space="preserve">ma-sc-1900225188</t>
  </si>
  <si>
    <t xml:space="preserve">Material</t>
  </si>
  <si>
    <t xml:space="preserve">pza</t>
  </si>
  <si>
    <t xml:space="preserve">Derivación encolar simple PVC M-H 89° 250 mm.   Ref. sc-1900225188</t>
  </si>
  <si>
    <t xml:space="preserve">Derivación encolar simple PVC M-H 89° 250 mm.   Ref. sc-1900225188</t>
  </si>
  <si>
    <t xml:space="preserve">ma-sc-1900225270</t>
  </si>
  <si>
    <t xml:space="preserve">Material</t>
  </si>
  <si>
    <t xml:space="preserve">pza</t>
  </si>
  <si>
    <t xml:space="preserve">Manguito encolar PVC H-H 250 mm.   Ref. sc-1900225270</t>
  </si>
  <si>
    <t xml:space="preserve">Manguito encolar PVC H-H 250 mm.   Ref. sc-1900225270</t>
  </si>
  <si>
    <t xml:space="preserve">ma-sc-2054000004</t>
  </si>
  <si>
    <t xml:space="preserve">Material</t>
  </si>
  <si>
    <t xml:space="preserve">pza</t>
  </si>
  <si>
    <t xml:space="preserve">Válvula de retención muelle TULLER TEKNIK YORK rosca H y cuerpo de latón (diámetro 1" o 25 mm).   Ref. sc-2054000004</t>
  </si>
  <si>
    <t xml:space="preserve">Válvula de retención muelle TULLER TEKNIK YORK rosca H y cuerpo de latón (diámetro 1" o 25 mm).   Ref. sc-2054000004</t>
  </si>
  <si>
    <t xml:space="preserve">ma-sc-2054000005</t>
  </si>
  <si>
    <t xml:space="preserve">Material</t>
  </si>
  <si>
    <t xml:space="preserve">pza</t>
  </si>
  <si>
    <t xml:space="preserve">Válvula de retención muelle TULLER TEKNIK YORK rosca H y cuerpo de latón (diámetro 1 1/4" o 32 mm).   Ref. sc-2054000005</t>
  </si>
  <si>
    <t xml:space="preserve">Válvula de retención muelle TULLER TEKNIK YORK rosca H y cuerpo de latón (diámetro 1 1/4" o 32 mm).   Ref. sc-2054000005</t>
  </si>
  <si>
    <t xml:space="preserve">ma-sc-2054000006</t>
  </si>
  <si>
    <t xml:space="preserve">Material</t>
  </si>
  <si>
    <t xml:space="preserve">pza</t>
  </si>
  <si>
    <t xml:space="preserve">Válvula de retención muelle TULLER TEKNIK YORK rosca H y cuerpo de latón (diámetro 1 1/2" o 40 mm).   Ref. sc-2054000006</t>
  </si>
  <si>
    <t xml:space="preserve">Válvula de retención muelle TULLER TEKNIK YORK rosca H y cuerpo de latón (diámetro 1 1/2" o 40 mm).   Ref. sc-2054000006</t>
  </si>
  <si>
    <t xml:space="preserve">ma-sc-2110020170</t>
  </si>
  <si>
    <t xml:space="preserve">Material</t>
  </si>
  <si>
    <t xml:space="preserve">pza</t>
  </si>
  <si>
    <t xml:space="preserve">Latiguillo flexible de acero inoxidable ACFLOW MH 50 cm 16 bar para contador de agua (diámetro 3/4” o 20 mm).   Ref. sc-2110020170</t>
  </si>
  <si>
    <t xml:space="preserve">Latiguillo flexible de acero inoxidable ACFLOW MH 50 cm 16 bar para contador de agua (diámetro 3/4” o 20 mm).   Ref. sc-2110020170</t>
  </si>
  <si>
    <t xml:space="preserve">ma-sc-2110020171</t>
  </si>
  <si>
    <t xml:space="preserve">Material</t>
  </si>
  <si>
    <t xml:space="preserve">pza</t>
  </si>
  <si>
    <t xml:space="preserve">Latiguillo flexible de acero inoxidable ACFLOW MH 50 cm 16 bar para contador de agua (diámetro 1” o 26 mm)..   Ref. sc-2110020171</t>
  </si>
  <si>
    <t xml:space="preserve">Latiguillo flexible de acero inoxidable ACFLOW MH 50 cm 16 bar para contador de agua (diámetro 1” o 26 mm).   Ref. sc-2110020171</t>
  </si>
  <si>
    <t xml:space="preserve">ma-sc-2124010115</t>
  </si>
  <si>
    <t xml:space="preserve">Material</t>
  </si>
  <si>
    <t xml:space="preserve">und</t>
  </si>
  <si>
    <t xml:space="preserve">Batería de polipropileno para 15 contadores de agua en 3 filas SALTOKI.   Ref. sc-2124010115</t>
  </si>
  <si>
    <t xml:space="preserve">Batería de polipropileno para 15 contadores de agua en 3 filas SALTOKI.   Ref. sc-2124010115</t>
  </si>
  <si>
    <t xml:space="preserve">ma-sc-2124010121</t>
  </si>
  <si>
    <t xml:space="preserve">Material</t>
  </si>
  <si>
    <t xml:space="preserve">und</t>
  </si>
  <si>
    <t xml:space="preserve">Batería de polipropileno para 21 contadores de agua en 3 filas SALTOKI.   Ref. sc-2124010121</t>
  </si>
  <si>
    <t xml:space="preserve">Batería de polipropileno para 21 contadores de agua en 3 filas SALTOKI.   Ref. sc-2124010121</t>
  </si>
  <si>
    <t xml:space="preserve">ma-sc-2124080050</t>
  </si>
  <si>
    <t xml:space="preserve">Material</t>
  </si>
  <si>
    <t xml:space="preserve">pza</t>
  </si>
  <si>
    <t xml:space="preserve">Pletina ciega para batería de contadores de agua.   Ref. sc-2124080050</t>
  </si>
  <si>
    <t xml:space="preserve">Pletina ciega para batería de contadores de agua.   Ref. sc-2124080050</t>
  </si>
  <si>
    <t xml:space="preserve">ma-sc-2124080200</t>
  </si>
  <si>
    <t xml:space="preserve">Material</t>
  </si>
  <si>
    <t xml:space="preserve">pza</t>
  </si>
  <si>
    <t xml:space="preserve">Soporte DN75 28 cm para batería polipropileno de contadores de agua.   Ref. sc-2124080200</t>
  </si>
  <si>
    <t xml:space="preserve">Soporte DN75 28 cm para batería polipropileno de contadores de agua.   Ref. sc-2124080200</t>
  </si>
  <si>
    <t xml:space="preserve">ma-sc-2124080510</t>
  </si>
  <si>
    <t xml:space="preserve">Material</t>
  </si>
  <si>
    <t xml:space="preserve">pza</t>
  </si>
  <si>
    <t xml:space="preserve">Junta pletina para batería de contadores de agua.   Ref. sc-2124080510</t>
  </si>
  <si>
    <t xml:space="preserve">Junta pletina para batería de contadores de agua.   Ref. sc-2124080510</t>
  </si>
  <si>
    <t xml:space="preserve">ma-sc-2125000120</t>
  </si>
  <si>
    <t xml:space="preserve">Material</t>
  </si>
  <si>
    <t xml:space="preserve">pza</t>
  </si>
  <si>
    <t xml:space="preserve">Válvula para contador entrada COHISA Serie ST manual orientable 20 mm escuadra para batería de contadores de agua.   Ref. sc-2125000120</t>
  </si>
  <si>
    <t xml:space="preserve">Válvula para contador entrada COHISA Serie ST manual orientable 20 mm escuadra para batería de contadores de agua.   Ref. sc-2125000120</t>
  </si>
  <si>
    <t xml:space="preserve">ma-sc-2125000281</t>
  </si>
  <si>
    <t xml:space="preserve">Material</t>
  </si>
  <si>
    <t xml:space="preserve">pza</t>
  </si>
  <si>
    <t xml:space="preserve">Válvula Te de comprobación de presión 1/2x20 mm.   Ref. sc-2125000281</t>
  </si>
  <si>
    <t xml:space="preserve">Un grifo de comprobación es otra llave de paso, y sirve como accesorio para comprobar la presión (añadiendo el correspondiente dispositivo medidor) y, en su caso, la exactitud del contador.   Ref. sc-2125000281</t>
  </si>
  <si>
    <t xml:space="preserve">ma-sc-2125000320</t>
  </si>
  <si>
    <t xml:space="preserve">Material</t>
  </si>
  <si>
    <t xml:space="preserve">pza</t>
  </si>
  <si>
    <t xml:space="preserve">Válvula para contador salida COHISA Serie ST manual 20 mm escuadra con sistema antirretorno para batería de contadores de agua.   Ref. sc-2125000320</t>
  </si>
  <si>
    <t xml:space="preserve">Válvula para contador salida COHISA Serie ST manual 20 mm escuadra con sistema antirretorno para batería de contadores de agua.   Ref. sc-2125000320</t>
  </si>
  <si>
    <t xml:space="preserve">ma-sc-5100010160</t>
  </si>
  <si>
    <t xml:space="preserve">Material</t>
  </si>
  <si>
    <t xml:space="preserve">pza</t>
  </si>
  <si>
    <t xml:space="preserve">Abrazadera reforzada de tubo M8/M10 160 mm con 2 tornillos de BULTMEIER.   Ref. sc-5100010160</t>
  </si>
  <si>
    <t xml:space="preserve">Abrazadera reforzada de tubo M8/M10 160 mm con 2 tornillos de BULTMEIER.   Ref. sc-5100010160</t>
  </si>
  <si>
    <t xml:space="preserve">ma-sc-5100010250</t>
  </si>
  <si>
    <t xml:space="preserve">Material</t>
  </si>
  <si>
    <t xml:space="preserve">pza</t>
  </si>
  <si>
    <t xml:space="preserve">Abrazadera reforzada de tubo M8/M10 250mm con 2 tornillos de BULTMEIER.   Ref. sc-5100010250</t>
  </si>
  <si>
    <t xml:space="preserve">Abrazadera reforzada de tubo M8/M10 250mm con 2 tornillos de BULTMEIER.   Ref. sc-5100010250</t>
  </si>
  <si>
    <t xml:space="preserve">ma-sc-5200005102</t>
  </si>
  <si>
    <t xml:space="preserve">Material</t>
  </si>
  <si>
    <t xml:space="preserve">pza</t>
  </si>
  <si>
    <t xml:space="preserve">Carril strut acero galvanizado perforado 41x21 mm de BULTMEIER (2 m/pza, espesor 2 mm).   Ref. sc-5200005102</t>
  </si>
  <si>
    <t xml:space="preserve">Carril strut acero galvanizado perforado 41x21 mm de BULTMEIER (2 m/pza, espesor 2 mm).   Ref. sc-5200005102</t>
  </si>
  <si>
    <t xml:space="preserve">ma-sc-5202005101</t>
  </si>
  <si>
    <t xml:space="preserve">Material</t>
  </si>
  <si>
    <t xml:space="preserve">pza</t>
  </si>
  <si>
    <t xml:space="preserve">Tornillo carril M10X60 Strut para carril 41x21-41x41-41x62 de BULTMEIER.   Ref. sc-5202005101</t>
  </si>
  <si>
    <t xml:space="preserve">Tornillo carril M10X60 Strut para carril 41x21-41x41-41x62 de BULTMEIER.   Ref. sc-5202005101</t>
  </si>
  <si>
    <t xml:space="preserve">ma-sk-2126000984</t>
  </si>
  <si>
    <t xml:space="preserve">Material</t>
  </si>
  <si>
    <t xml:space="preserve">und</t>
  </si>
  <si>
    <t xml:space="preserve">Caja/Armario para contador de agua en chapa de acero (660x560 mm/und).   Ref. sk-2126000984</t>
  </si>
  <si>
    <t xml:space="preserve">Caja/Armario para contador de agua en chapa de acero (660x560 mm/und).   Ref. sk-2126000984.
Fabricado en chapa de acero galvanizada de 1’5 mm de espesor. Sin soldaduras exteriores y con bisagras ocultas. Acabado con pintura de poliéster gofrado 70-100 micras de espesor. Opcionalmente se pueden suministrar con montaje interior para uno, dos y hasta tres
contadores.</t>
  </si>
  <si>
    <t xml:space="preserve">ma-zonabrico-1901001</t>
  </si>
  <si>
    <t xml:space="preserve">Material</t>
  </si>
  <si>
    <t xml:space="preserve">pza</t>
  </si>
  <si>
    <t xml:space="preserve">Parahojas universal de acero inoxidable 60-120 mm.   Ref. zonabrico-1901001</t>
  </si>
  <si>
    <t xml:space="preserve">Parahojas universal de acero inoxidable; diámetro 60-120 mm; compatibles con los desagües verticales en TPE, TPO y PVC.   Ref. zonabrico-1901001.</t>
  </si>
  <si>
    <t xml:space="preserve">FONTANERIA.Y.GAS</t>
  </si>
  <si>
    <t xml:space="preserve">MATERIALES-IMPERMEABILIZACION</t>
  </si>
  <si>
    <t xml:space="preserve">Capítulo</t>
  </si>
  <si>
    <t xml:space="preserve">MATERIALES DE IMPERMEABILIZACIÓN Y CONEXOS</t>
  </si>
  <si>
    <t xml:space="preserve">CHOVA</t>
  </si>
  <si>
    <t xml:space="preserve">Capítulo</t>
  </si>
  <si>
    <t xml:space="preserve">IMPERMEABILIZANTES PARA SISTEMAS CHOVA</t>
  </si>
  <si>
    <t xml:space="preserve">ma-manau-POLITABER.COMBI.40.AR</t>
  </si>
  <si>
    <t xml:space="preserve">Material</t>
  </si>
  <si>
    <t xml:space="preserve">m2</t>
  </si>
  <si>
    <t xml:space="preserve">Lámina de betún modificado con elastómero POLITABER COMBI 40 ANTI RADÓN de CHOVA (10x1 m/rollo).   Ref. manau-POLITABER.COMBI.40.AR</t>
  </si>
  <si>
    <t xml:space="preserve">Lámina de betún modificado con elastómeros, con armadura de fieltro de poliéster no tejido y reforzado, acabado interior plástico y exterior plástico. Recomendada para: Lámina en sistema monocapa, bajo protección pesada; Sistema bicapa, bajo protección pesada; lámina base en sistema bicapa, expuesto a la intemperie; Monocapa en cubierta inclinada, bajo tejas; estanquidad de estructuras enterradas o barrera anticapilaridad o barrera contra vapor; Barrera contra gas radón (lámina anti radón). Se recomienda aplicar 2 o 3 capas de pintura con un rendimiento mínimo aconsejado de 400 a 500 gr/m2.   Ref. manau-POLITABER.COMBI.40.AR.</t>
  </si>
  <si>
    <t xml:space="preserve">ma-lm-11628372</t>
  </si>
  <si>
    <t xml:space="preserve">Material</t>
  </si>
  <si>
    <t xml:space="preserve">bidón</t>
  </si>
  <si>
    <t xml:space="preserve">Imprimante Impermeabilizante en Emulsión Bituminosa SUPERMUL-N de CHOVA (25 kg/bidón).   Ref. lm-11628372</t>
  </si>
  <si>
    <t xml:space="preserve">Emulsión viscosa, con un agente emulsionante de carácter aniónico con carga emulsión tipo EB según la norma UNE 104.231. SUPERMUL se recomienda como imprimación y preparación de la superficie a impermeabilizar. Ventajas: Soluble en agua; capaz de mezclarse con arena, gravilla, fibras minerales etc. No contiene disolventes. Rendimiento: 0,3 a 0,5 kg/m2 por capa (según aplicación).   Ref. lm-11628372.
Ideal para aplicar en:
• Sellado de Superficies: Sella carreteras y caminos, protegiendo el pavimento contra el desgaste y la penetración de agua.
• Mejora de la adhesión: Es una buena imprimación que mejora la adhesión entre la base y la capa superior que vayas a poner.
• Micropavimentos: Restaura la superficie de las carreteras agrietadas y rotas.
• Estructuras arquitectónicas: Protege el hormigón que compone pilares estructurales de casas, impermeabilizando estructuras como puentes, túneles, muros de contención.
• Reparación de Grietas: sella grietas y juntas en pavimentos de carreteras, evitando que el agua penetre y cause daños mayores.
• Mantenimiento Preventivo: Empleada en tratamientos de mantenimiento preventivo para extender la vida útil del pavimento, como el tratamiento de superficie bituminosa.
• Cubiertas y Techos: Creando una barrera impermeable que protege contra la lluvia y la humedad.</t>
  </si>
  <si>
    <t xml:space="preserve">ma-manau-CHOVAPLAST.ALU.30</t>
  </si>
  <si>
    <t xml:space="preserve">Material</t>
  </si>
  <si>
    <t xml:space="preserve">m2</t>
  </si>
  <si>
    <t xml:space="preserve">Lámina impermeabilizante autoprotegida de betún aditivado con polímeros CHOVAPLAST ALU 30 de CHOVA.   Ref. manau-CHOVAPLAST.ALU.30</t>
  </si>
  <si>
    <t xml:space="preserve">Lámina impermeabilizante autoprotegida de betún aditivado con polímeros CHOVAPLAST ALU 30 de CHOVA.   Ref. manau-CHOVAPLAST.ALU.30.
Lámina Auxiliar de 1 m x 12 m y 3 kg/m2 de betún aditivado con polímeros, sin armadura, acabado interior plástico y exterior hoja de aluminio gofrado. Colocar por adhesión mediante soplete en sistemas “Adheridos”. Recomendada para: lámina auxiliar para remates, canalones, barrera contra vapor debajo de aislamiento, etc. No recomendada para: sistema monocapa; lámina inferior en sistema bicapa; cubierta ajardinada.</t>
  </si>
  <si>
    <t xml:space="preserve">ma-manau-CHOVATERM.XPS-40POLPY30</t>
  </si>
  <si>
    <t xml:space="preserve">Material</t>
  </si>
  <si>
    <t xml:space="preserve">m2</t>
  </si>
  <si>
    <t xml:space="preserve">Lámina impermeabilizante con aislante térmico XPS-40 mm CHOVATERM XPS POL PY 30 de CHOVA (6x1 m/rollo).   Ref. Ref. manau-CHOVATERM.XPS-40POLPY30</t>
  </si>
  <si>
    <t xml:space="preserve">Lámina impermeabilizante con aislante térmico XPS-40 mm CHOVATERM XPS POL PY 30 de CHOVA (6x1 m/rollo).   Ref. Ref. manau-CHOVATERM.XPS-40POLPY30</t>
  </si>
  <si>
    <t xml:space="preserve">ma-manau-CHOVATERM.XPS-50POLPY30</t>
  </si>
  <si>
    <t xml:space="preserve">Material</t>
  </si>
  <si>
    <t xml:space="preserve">m2</t>
  </si>
  <si>
    <t xml:space="preserve">Lámina impermeabilizante con aislante térmico XPS-50 mm CHOVATERM XPS POL PY 30 de CHOVA (5x1 m/rollo).   Ref. Ref. manau-CHOVATERM.XPS-50POLPY30</t>
  </si>
  <si>
    <t xml:space="preserve">Lámina impermeabilizante con aislante térmico XPS-50 mm CHOVATERM XPS POL PY 30 de CHOVA (5x1 m/rollo).   Ref. Ref. manau-CHOVATERM.XPS-50POLPY30.
CHOVATERM es un producto compuesto formado por un aislamiento térmico, con lamas cortadas de paneles de XPS – CHOVAFOAM, adheridas térmicamente a láminas bituminosas de betún modificado con elastómeros - POLITABER. CHOVATERM se presenta en rollos de dimensiones de 6 a 4 m de largo (según espesor de aislante) y 1 m de ancho. Las lamas del aislamiento tienen un espesor de 4, 5 y 6 cm, y un ancho de unos 4 cm; y un largo de 92 cm, para permitir el solape libre, de 8±1 cm. Las características de los componentes se describen en las Fichas Técnicas de los productos correspondientes, CHOVAFOAM y POLITABER.</t>
  </si>
  <si>
    <t xml:space="preserve">ma-manau-POLITABER.BANDA.33</t>
  </si>
  <si>
    <t xml:space="preserve">Material</t>
  </si>
  <si>
    <t xml:space="preserve">m2</t>
  </si>
  <si>
    <t xml:space="preserve">Lámina de betún modificado con elastómero POLITABER BANDA 33 de CHOVA (12x1 m/rollo).   Ref. manau-POLITABER.BANDA.33</t>
  </si>
  <si>
    <t xml:space="preserve">Lámina?impermeabilizante?de?betún?modificado?(LBM)?con?elastómero?SBS de?elevado?punto?de?reblandecimiento,?con?excelente flexibilidad, elasticidad y extraordinaria adherencia (recomendada como membrana de impermeabilización?para?cubiertas,?muros?y?cimentaciones).   Ref. manau-POLITABER.BANDA.33.</t>
  </si>
  <si>
    <t xml:space="preserve">ma-manau-POLITABER.NATURE.C.50Gb</t>
  </si>
  <si>
    <t xml:space="preserve">Material</t>
  </si>
  <si>
    <t xml:space="preserve">m2</t>
  </si>
  <si>
    <t xml:space="preserve">Lámina impermeabilizante de betún modificado con elastómeros SBS POLITABER NATURE COMBI 50/G de CHOVA; blanco (8x1 m/rollo).   Ref. manau-POLITABER.NATUREC.50Gb</t>
  </si>
  <si>
    <t xml:space="preserve">La gama de láminas asfálticas POLITABER está compuesta por láminas impermeabilizantes de betún modificado (LBM) con elastómeros SBS, de elevado punto de reblandecimiento, con una excelente flexibilidad, elasticidad y extraordinaria adherencia. Son láminas impermeabilizantes con el acabado superior mineral, especiales para estar en contacto con la intemperie.   Ref. manau-POLITABER.NATURE.C.50Gb
VENTAJAS:
• Alto punto de reblandecimiento y excelente comportamiento frente a bajas y altas temperaturas.
• Ideal para aplicación en verano e invierno.
• Gran elasticidad y adhesividad del mástico. Mayor seguridad.
• Excelente durabilidad y envejecimiento.
• Plegabilidad de -15º C
• Gran adherencia al soporte
RECOMENDADA PARA:
• Lámina superior en sistema bicapa expuesto a la intemperie
• Monocapa en cubierta inclinada, bajo tejas
• Estanqueidad de estructuras enterradas o barrera anticapilaridad
• Barrera contra vapor.</t>
  </si>
  <si>
    <t xml:space="preserve">ma-manau-POLITABER.NATURE.C.50Gc</t>
  </si>
  <si>
    <t xml:space="preserve">Material</t>
  </si>
  <si>
    <t xml:space="preserve">m2</t>
  </si>
  <si>
    <t xml:space="preserve">Lámina impermeabilizante de betún modificado con elastómeros SBS POLITABER NATURE COMBI 50/G de CHOVA; color (8x1 m/rollo).   Ref. manau-POLITABER.NATUREC.50Gc</t>
  </si>
  <si>
    <t xml:space="preserve">La gama de láminas asfálticas POLITABER está compuesta por láminas impermeabilizantes de betún modificado (LBM) con elastómeros SBS, de elevado punto de reblandecimiento, con una excelente flexibilidad, elasticidad y extraordinaria adherencia. Son láminas impermeabilizantes con el acabado superior mineral, especiales para estar en contacto con la intemperie.   Ref. manau-POLITABER.NATURE.C.50Gc
VENTAJAS:
• Alto punto de reblandecimiento y excelente comportamiento frente a bajas y altas temperaturas.
• Ideal para aplicación en verano e invierno.
• Gran elasticidad y adhesividad del mástico. Mayor seguridad.
• Excelente durabilidad y envejecimiento.
• Plegabilidad de -15º C
• Gran adherencia al soporte
RECOMENDADA PARA:
• Lámina superior en sistema bicapa expuesto a la intemperie
• Monocapa en cubierta inclinada, bajo tejas
• Estanqueidad de estructuras enterradas o barrera anticapilaridad
• Barrera contra vapor.</t>
  </si>
  <si>
    <t xml:space="preserve">ma-manau-POLITABER.POL.PY.30</t>
  </si>
  <si>
    <t xml:space="preserve">Material</t>
  </si>
  <si>
    <t xml:space="preserve">m2</t>
  </si>
  <si>
    <t xml:space="preserve">Lámina de betún modificado con elastómero POLITABER POL PY 30 de CHOVA (12x1 m/rollo).…Ref. manau-POLITABER.POL.PY.30</t>
  </si>
  <si>
    <t xml:space="preserve">Lámina de 1 m x 12 m y 3 kg/m2 de betún modificado con elastómeros, con armadura de fieltro de poliéster no tejido, acabado interior plástico y exterior plástico. En obra nueva o rehabilitación, se utiliza como: lámina en sistema bicapa bajo protección pesada; lámina base en sistema bicapa expuesto a la intemperie; monocapa en cubierta inclinada, bajo tejas; estanquidad de estructuras enterradas o barrera anticapilaridad; barrera contra vapor; lámina en sistemas bicapa para tráfico de vehículos, bajo capa de rodadura. Lámina fijada mecánicamente en sistema bicapa según ETE 06/0064 POLITABER-FM BICAPA de CHOVA.   Ref. manau-POLITABER.POL.PY.30.</t>
  </si>
  <si>
    <t xml:space="preserve">ma-manau-POLITABER.POL.PY.40</t>
  </si>
  <si>
    <t xml:space="preserve">Material</t>
  </si>
  <si>
    <t xml:space="preserve">m2</t>
  </si>
  <si>
    <t xml:space="preserve">Lámina de betún modificado con elastómero POLITABER POL PY 40 de CHOVA (10x1 m/rollo).   Ref. manau-POLITABER.POL.PY.40</t>
  </si>
  <si>
    <t xml:space="preserve">Lámina de 1 m x 10 m y 4 kg/m2 de betún modificado con elastómeros, con armadura de fieltro de poliéster no tejido, acabado interior plástico y exterior plástico. En obra nueva o rehabilitación, se utiliza como: lámina en sistema bicapa bajo protección pesada; lámina base en sistema bicapa expuesto a la intemperie; monocapa en cubierta inclinada, bajo tejas; estanquidad de estructuras enterradas o barrera anticapilaridad; barrera contra vapor; lámina en sistemas bicapa para tráfico de vehículos, bajo capa de rodadura. Lámina fijada mecánicamente en sistema bicapa según ETE 06/0064 POLITABER-FM BICAPA de CHOVA.   Ref. manau-POLITABER.POL.PY.40.</t>
  </si>
  <si>
    <t xml:space="preserve">ma-om-10356864</t>
  </si>
  <si>
    <t xml:space="preserve">Material</t>
  </si>
  <si>
    <t xml:space="preserve">m</t>
  </si>
  <si>
    <t xml:space="preserve">Perfil metálico galvanizado para remate perimetral de impermeabilización 7 cm de CHOVA.   Ref. om-10356864</t>
  </si>
  <si>
    <t xml:space="preserve">Perfil metálico galvanizado para la entrega de la impermeabilización en paramento vertical en cubierta o en coronación de muro.   Ref. om-10356864.
Los perfiles metálicos se colocarán, siempre mediante elementos de fijación mecánica adecuados y anclados a la pared, separados unos 25cm, como máximo. El borde inferior del perfil deberá solapar unos 4cm, como mínimo, sobre la banda de terminación. Si las fijaciones mecánicas del perfil atraviesan la lámina, deberán aplicarse, como mínimo, a unos 20 cm por arriba del punto más alto de la cubierta. Colocar con la parte de pestaña redondeada en contacto con la lámina para evitar el corte de la lámina. Colocar acompañado de un cordón de masilla de exteriores situado en la parte superior, entre el perfil y el paramento. Colocar el cordón en la parte superior de la cara del perfil en contacto con el paramento vertical o muro, antes de la colocación del perfil sobre el paramento o muro.</t>
  </si>
  <si>
    <t xml:space="preserve">ma-om-10387356</t>
  </si>
  <si>
    <t xml:space="preserve">Material</t>
  </si>
  <si>
    <t xml:space="preserve">m</t>
  </si>
  <si>
    <t xml:space="preserve">Cordón Sellador/Relleno bituminoso de juntas MASTIC P20 de CHOVA.   Ref. om-10387356</t>
  </si>
  <si>
    <t xml:space="preserve">Masilla bituminosa para aplicación en frío, de poliuretano MASTIC P20 mono componente indicado para el relleno de juntas de dilatación tanto verticales como horizontales, e impermeabilización asfáltica. Forma un sellador duro y elástico.   Ref. om-10387356.</t>
  </si>
  <si>
    <t xml:space="preserve">ma-pierre.sol-SOU.124159</t>
  </si>
  <si>
    <t xml:space="preserve">Material</t>
  </si>
  <si>
    <t xml:space="preserve">bombona</t>
  </si>
  <si>
    <t xml:space="preserve">Espuma PU adhesiva SOUDATHERM ROOF 330 de SOUDAL (10,4 kg/bombona).   Ref. pierre.sol-SOU.124159</t>
  </si>
  <si>
    <t xml:space="preserve">SOUDATHERM ROOF 330 es una espuma de poliuretano adhesivo en bombona de 10,4 kg (neto) para una aplicación eficiente del pegado limpio, económico y duradero de paneles aislantes en cubiertas. Las características de este adhesivo de espuma lo hacen también adecuado para superficies irregulares. SOUDATHERM ROOF 330 se puede aplicar de forma eficiente y rápida con la pistola regulable del sistema. Consumo: 1 bombona puede pegar más de 120 m2 de aislamiento.   Ref. pierre.sol-SOU.124159.
APLICACIONES: Pegado de materiales aislantes comunes:
• PIR/PUR cubierto con o Fibra de vidrio con revestimiento mineral. o Fibra de vidrio bituminosa (superficie arenosa o astillado, no en superficies de PP quemables) o Aluminio.
• Poliestireno expandido (EPS).
• Materiales de aislamiento mineral (p. Ej. Perlita, Multipor, Fermacell).
• Poliestireno extruido (XPS) / Fenólico espuma (PF): solo para la fijación temporal del aislamiento en una cubierta con balasto (antes de colocar el lastre).
• Lana mineral: lana de roca, lana de vidrio, (pero en superficies planas, SOUDATHERM ROOF 170 es una mejor solución de unión)
ELIMINACIÓN DEL ENVASE:
• El recipiente es un recipiente desechable y no es adecuado para reutilizarlo o rellenarlo.
• Para estar en condiciones adecuadas para la eliminación, el recipiente debe estar completamente vacío y despresurizado.
• Si es necesario, se debe volver a agitar el recipiente y abrir cuidadosamente la válvula encima de un contenedor de residuos para eliminar cualquier presión residual y/o producto.
• El recipiente vacío, despresurizado y sin limpiar con la válvula abierta se puede desechar y procesar de acuerdo con las reglamentaciones locales y/o nacionales.</t>
  </si>
  <si>
    <t xml:space="preserve">CHOVA</t>
  </si>
  <si>
    <t xml:space="preserve">ma-ardex.tarifario.2024-61111</t>
  </si>
  <si>
    <t xml:space="preserve">Material</t>
  </si>
  <si>
    <t xml:space="preserve">rollo</t>
  </si>
  <si>
    <t xml:space="preserve">Banda geotextil de refuerzo para impermeabilización ARDEX SK12 (50 m/rollo).   Ref. ardex.tarifario.2024-61111</t>
  </si>
  <si>
    <t xml:space="preserve">Banda de impermeabilización para crear puentes flexibles e impermeables en juntas de dilatación y uniones suelo-pared con riesgo de fisuración (aplicable en Sistemas de Impermeabilización ARDEX 7+8, ARDEX 7+9 y ARDEX SK 100W con Membrana Impermeabilizante TRICOM).   Ref. ardex.tarifario.2024-61111.
Datos técnicos: Color: blanco, con dibujo en gris de gotas Apto: para anchos de juntas hasta un máximo de 30 mm. Alargamiento de rotura: 600% con 60 N/15 mm. Espesor: aprox. 0,32 mm. Gramaje: aproximadamente 180 gr/m2. Presión máx: 3,0 bar Movimiento permitido: máx. el 80% del ancho de la junta Resistencia a la temperatura: -35° C hasta +90° C Ensayo de plegado a –20° C: sin fisuración.</t>
  </si>
  <si>
    <t xml:space="preserve">ma-atebion-MARISEAL.710</t>
  </si>
  <si>
    <t xml:space="preserve">Material</t>
  </si>
  <si>
    <t xml:space="preserve">envase</t>
  </si>
  <si>
    <t xml:space="preserve">Imprimante de poliuretano para tapar poros MARISEAL 710 de MARIS POLYMERS (5 kg/envase).   Ref. atebion-MARISEAL.710</t>
  </si>
  <si>
    <t xml:space="preserve">Imprimación de poliuretano transparente, rígida, de alta penetración y de secado rápido. Se utiliza principalmente como imprimación para membranas impermeabilizantes de poliuretano y selladores de juntas de poliuretano en superficies absorbentes como: • Hormigón, Mortero, Yeso, Madera, etc. Consumo: 0,200 kg/m2 en una capa.   Ref. atebion-MARISEAL.710.
VENTAJAS: Fácil aplicación (rodillo o cepillo). Secado rápido (2-3 horas). Penetración profunda. Excelente anclaje en superficies absorbentes. Resistente al agua estancada. Alta resistencia a la tracción y al impacto, así como al calor y a las heladas</t>
  </si>
  <si>
    <t xml:space="preserve">ma-decorabalaguer-articrilresin6</t>
  </si>
  <si>
    <t xml:space="preserve">Material</t>
  </si>
  <si>
    <t xml:space="preserve">bidón</t>
  </si>
  <si>
    <t xml:space="preserve">Resina polivalente en solución acuosa para morteros ARTICRIL RESIN 6 de ARTIC (25 kg/envase).   Ref. decorabalaguer-articrilresin6</t>
  </si>
  <si>
    <t xml:space="preserve">Resina polivalente en solución acuosa para morteros que actúa como elastificante evitando su tendencia a agrietarse y a la formación de fisuras. Plastifica los morteros, evitando retracciones, mejorando en ellos la fluidificación y dotándolos de mayores resistencias a la compresión y a la abrasión. Puente de unión entre hormigones, estucos o morteros antiguos y nuevos, mejorando su adherencia. Consumo (depende del tipo del soporte y requerimiento de aplicación): como puente de unión: 5 m2/litro (de la mezcla); en mortero convencional (3/1 - Arena/Cemento): 0,6 Kg/m2 aprox. de líquido de amasado, para 1cm de espesor).   Ref. decorabalaguer-articrilresin6.</t>
  </si>
  <si>
    <t xml:space="preserve">ma-decorabalaguer-artimix3</t>
  </si>
  <si>
    <t xml:space="preserve">Material</t>
  </si>
  <si>
    <t xml:space="preserve">envase</t>
  </si>
  <si>
    <t xml:space="preserve">Mortero hidráulico para nivelación y recuperación de volúmenes ARTIMIX 3 de ARTIC (25 kg/envase).   Ref. decorabalaguer-artimix3</t>
  </si>
  <si>
    <t xml:space="preserve">Mortero hidráulico para nivelación y recuperación de volúmenes ARTIMIX 3 de ARTIC. Rendimiento: 2,125 Kg/m2/mm de grosor; según la rugosidad del suelo (grosor capa: admite desde 0,5 hasta 1 cm (en 2 capas); grosor recomendado 3-4 mm por capa).   Ref. decorabalaguer-artimix3.
USOS: Reparación y nivelado de suelos antes de proceder a la colocación de un pavimento continuo. Pavimentado y capa de rodadura en naves industriales almacenes, plazas públicas, jardines, puentes, autovías, patios, garajes, gasolineras y talleres de reparación. Renovación de pavimentos en industrias de todo tipo, especialmente alimentaria y hospitalaria.</t>
  </si>
  <si>
    <t xml:space="preserve">ma-dispival-340</t>
  </si>
  <si>
    <t xml:space="preserve">Material</t>
  </si>
  <si>
    <t xml:space="preserve">envase</t>
  </si>
  <si>
    <t xml:space="preserve">Barniz poliuretano alifático MARISEAL 400 de MARIS POLYMERS (10 kg/envase).   Ref. dispival-340</t>
  </si>
  <si>
    <t xml:space="preserve">MARISEAL 400 de MARIS POLYMERS es un barniz de poliuretano alifático monocomponente de aplicación líquida y secado en frío para tránsito de personas, ideal para su aplicación posterior a las membranas de poliuretano. Barniz alifático pigmentado de alta estabilidad a los rayos UV, altamente elástico utilizado para proteger membranas de poliuretano. Consumo: 120-250 gr/m2 en una o dos capas.   Ref. dispival-340.
Se seca por reacción con los suelos y la humedad, protegiendo de forma efectiva. Es utilizado para la impermeabilización de cubiertas, protección de la espuma de poliuretano, impermeabilización y protección de estructuras de hormigón como puentes, etc., así como impermeabilización de superficies de metal. De fácil aplicación, de color estable y acabado brillante para una fácil limpieza, no amarillea, resistente al agua y a las heladas, manteniendo las propiedades mecánicas entre los -30ºC y los +90ºC. Siendo la superficie impermeabilizada transitable por personas.</t>
  </si>
  <si>
    <t xml:space="preserve">ma-dispival-496</t>
  </si>
  <si>
    <t xml:space="preserve">Material</t>
  </si>
  <si>
    <t xml:space="preserve">rollo</t>
  </si>
  <si>
    <t xml:space="preserve">Fibra de poliéster MARISEAL FABRIC de MARIS POLYMERS 60 gr (1x100 m/rollo).   Ref. dispival-496</t>
  </si>
  <si>
    <t xml:space="preserve">MARISEAL FABRIC de MARIS POLYMERS es un geotextil tejido de fibra de poliéster no tejido calandrado al laser de agua de 60 gr de espesor. Se utiliza como tejido de refuerzo en combinación con las membranas impermeables. Puede ser aplicado en juntas de paredes y suelos, en juntas móviles, en grietas, en desagües o chimeneas. Repara grietas antes de la aplicación de la membrana impermeable, realizando un sellado estanco de juntas móviles. De fácil aplicación, altamente resistente, resistente a los rayos UVA. Consigue mantener la elasticidad junto con las membranas de acabado. Rollo de 100 cm de ancho x 100 metros de largo.   Ref. dispival-496.</t>
  </si>
  <si>
    <t xml:space="preserve">ma-interazulejo-mapetex</t>
  </si>
  <si>
    <t xml:space="preserve">Material</t>
  </si>
  <si>
    <t xml:space="preserve">rollo</t>
  </si>
  <si>
    <t xml:space="preserve">Malla de Refuerzo TNT Macroperforado de Polipropileno MAPETEX SEL de MAPEI (25 m/rollo; ancho 1 m).   Ref. lechada.es-41625</t>
  </si>
  <si>
    <t xml:space="preserve">Malla de Refuerzo TNT Macroperforado de Polipropileno MAPETEX SEL de MAPEI para la armadura de membranas impermeables. Gramaje: 80 gr/m2; Espesor: 0,6 mm. Resistencia mecánica a la tracción: 5 KN/m. Deformación con esfuerzo máximo: 90% en sentido longitudinal y 60% en sentido transversal. Presentación: rollos de 25 m x 1 m de altura.   Ref. lechada.es-41625.</t>
  </si>
  <si>
    <t xml:space="preserve">ma-lm-19285336</t>
  </si>
  <si>
    <t xml:space="preserve">Material</t>
  </si>
  <si>
    <t xml:space="preserve">envase</t>
  </si>
  <si>
    <t xml:space="preserve">Emulsión/Impregnación repelente al agua SIKAGARD 703W de SIKA (5 litros/envase).   Ref. lm-19285336</t>
  </si>
  <si>
    <t xml:space="preserve">SIKAGARD-703 W es una emulsión, lista para su uso, a base de silanos y siloxanos, que actúa como hidrofugante. Se utiliza como impregnación para hidrofugar fachadas y proteger la edificación frente a la penetración del agua.   Ref. lm-19285336.
Permite la transpirabilidad del cerramiento. Normalmente no modifica las condiciones estéticas del paramento (se recomienda realizar una prueba previa). Consumo (depende de la porosidad del soporte): Para mortero u hormigón: 150 a 200 gr/m2; Para otros materiales porosos: 300 a 500 gr/m2 (es conveniente realizar un ensayo previo para conocer el consumo exacto). Se puede aplicar sobre hormigón, mortero, mampostería, ladrillo, piedra natural, fibrocemento,</t>
  </si>
  <si>
    <t xml:space="preserve">ma-lm-88017236</t>
  </si>
  <si>
    <t xml:space="preserve">Material</t>
  </si>
  <si>
    <t xml:space="preserve">bidón</t>
  </si>
  <si>
    <t xml:space="preserve">Membrana 100% poliuretano MARISEAL 250 de MARIS POLYMERS; color gris (25 kg/bidón)…Ref. lm-88017236</t>
  </si>
  <si>
    <t xml:space="preserve">Membrana de poliuretano monocomponente MARISEAL 250 de MARIS POLYMERS de aplicación líquida, altamente elástica de aplicación en frío para la impermeabilización de tejados, balcones y terrazas, zonas húmedas (bajo baldosa), protección de espuma de poliuretano aislante, jardineras, así como impermeabilización y protección de construcciones de hormigón como puentes, túneles, etc. COnsumo: 1,5 a 2,5 kg/m2 aplicado en 2 a 3 capas.   Ref. lm-88017236.
Ideal para la impermeabilización de tejados, balcones y terrazas, zonas húmedas (bajo baldosa), protección de espuma de poliuretano aislante, jardineras, así como impermeabilización y protección de construcciones de hormigón como puentes, túneles, etc. De fácil aplicación, una vez aplicada se convierte en una membrana impermeable sin juntas, resistente a las heladas manteniendo sus propiedades mecánicas entre los -30ºC a +90ºC. Repara grietas de hasta 2 mm, incluso a -10ºC. Permite la transpiración del agua, totalmente adherente a toda la superficie.</t>
  </si>
  <si>
    <t xml:space="preserve">ma-lm-88456067</t>
  </si>
  <si>
    <t xml:space="preserve">Material</t>
  </si>
  <si>
    <t xml:space="preserve">envase</t>
  </si>
  <si>
    <t xml:space="preserve">Adhesivo bituminoso de aplicación en frío para cubiertas COLLE BITUMINEUSE de SOUDAL (4 litros/envase).   Ref. lm-88456067</t>
  </si>
  <si>
    <t xml:space="preserve">Adhesivo bituminoso de aplicación en frío para cubiertas.   Ref. lm-88456067.
Resistente a los rayos UV, condiciones climáticas y variaciones de temperatura. Alta adherencia. Insensible a las heladas. Para techos con una inclinación máxima del 15 %.
Aplicación: Unión en frío del techo sobre el otro, sobre metal o sobre un soporte poroso; y como capa de adhesión para escamas de pizarra y grava.</t>
  </si>
  <si>
    <t xml:space="preserve">ma-lm-90779424</t>
  </si>
  <si>
    <t xml:space="preserve">Material</t>
  </si>
  <si>
    <t xml:space="preserve">bidón</t>
  </si>
  <si>
    <t xml:space="preserve">Membrana acrílica líquida impermeabilizante SIKAFILL-420 EXTREME de SIKA (20 kg/bidón).   Ref. lm-90779424</t>
  </si>
  <si>
    <t xml:space="preserve">SIKAFILL-420 EXTREME membrana líquida impermeabilizante para cubiertas, económica y ecológica basada en la CO-TECNOLOGÍA ELÁSTICA (CET) de SIKA. SIKAFILL-420 EXTREME es una membrana líquida impermeabilizante en base agua, de aplicación en frío, monocomponente, libre de disolventes, altamente elástica y resistente a los rayos UV. Tecnología DURALASTIC. Base Química: Dispersión Híbrida de Poliuretano. SIKAFILL-420 EXTREME se aplica en 2 o 3 capas. Consumo total &gt;0.9 - 1.4 kg/m2 (&gt; 0.6 - 1.0 litros/m2).   Ref. lm-90779424.
USOS:
• Para soluciones impermeabilizantes de cubiertas tanto en cubiertas nuevas como en rehabilitaciones.
• Para cubiertas con muchos detalles y con una geometría compleja con accesibilidad limitada.
• Para una ampliación de la vida en servicio económica en rehabilitación de cubiertas.
• Para revestimientos reflectivos que mejoran la eficiencia energética reduciendo los costes de enfriamiento del edificio.</t>
  </si>
  <si>
    <t xml:space="preserve">ma-lp-00181594</t>
  </si>
  <si>
    <t xml:space="preserve">Material</t>
  </si>
  <si>
    <t xml:space="preserve">m</t>
  </si>
  <si>
    <t xml:space="preserve">Lámina impermeabilizante GISCOLENE 100 de caucho sintético EPDM vulcanizado (ancho: 3,00 m; espesor: 1 mm).   Ref. lp-00181594</t>
  </si>
  <si>
    <t xml:space="preserve">Lámina impermeabilizante GISCOLENE de caucho sintético EPDM vulcanizado, se utiliza para impermeabilización de cubiertas, balsas, estanques, canales, niveles freáticos, estructuras enterradas, fachadas. Medidas: espesor 1 mm; ancho: 3 m.   Ref. lp-00181594.
EPDM son las siglas en inglés de ETHYLENE PROPYELENE DIENE METHYLENE. En castellano sería CAUCHO DE ETILENO PROPILENO DIENO. Destaca por su estupenda resistencia al ozono y es resistente al agua caliente y al vapor.</t>
  </si>
  <si>
    <t xml:space="preserve">ma-lp-00181595</t>
  </si>
  <si>
    <t xml:space="preserve">Material</t>
  </si>
  <si>
    <t xml:space="preserve">m</t>
  </si>
  <si>
    <t xml:space="preserve">Lámina impermeabilizante GISCOLENE 100 de caucho sintético EPDM vulcanizado (ancho: 6,00 m; espesor: 1 mm).   Ref. lp-00181595</t>
  </si>
  <si>
    <t xml:space="preserve">Lámina impermeabilizante GISCOLENE de caucho sintético EPDM vulcanizado, se utiliza para impermeabilización de cubiertas, balsas, estanques, canales, niveles freáticos, estructuras enterradas, fachadas. Medidas: espesor 1 mm; ancho: 6 m.   Ref. lp-00181595.
EPDM son las siglas en inglés de ETHYLENE PROPYELENE DIENE METHYLENE. En castellano sería CAUCHO DE ETILENO PROPILENO DIENO. Destaca por su estupenda resistencia al ozono y es resistente al agua caliente y al vapor.</t>
  </si>
  <si>
    <t xml:space="preserve">ma-lp-00181596</t>
  </si>
  <si>
    <t xml:space="preserve">Material</t>
  </si>
  <si>
    <t xml:space="preserve">m</t>
  </si>
  <si>
    <t xml:space="preserve">Lámina impermeabilizante GISCOLENE 100 de caucho sintético EPDM vulcanizado (ancho: 9,00 m; espesor: 1 mm).   Ref. lp-00181596.</t>
  </si>
  <si>
    <t xml:space="preserve">Lámina impermeabilizante GISCOLENE de caucho sintético EPDM vulcanizado, se utiliza para impermeabilización de cubiertas, balsas, estanques, canales, niveles freáticos, estructuras enterradas, fachadas. Medidas: espesor 1 mm; ancho: 9 m.   Ref. lp-00181596.
EPDM son las siglas en inglés de ETHYLENE PROPYELENE DIENE METHYLENE. En castellano sería CAUCHO DE ETILENO PROPILENO DIENO. Destaca por su estupenda resistencia al ozono y es resistente al agua caliente y al vapor.</t>
  </si>
  <si>
    <t xml:space="preserve">ma-lp-00201398</t>
  </si>
  <si>
    <t xml:space="preserve">Material</t>
  </si>
  <si>
    <t xml:space="preserve">envase</t>
  </si>
  <si>
    <t xml:space="preserve">Adhesivo EPDM SA-008 MAX de ROLLGUM para la unión de láminas impermeabilizantes de EPDM y bandas de butilo (1 litro/envase).   Ref. lp-00201398</t>
  </si>
  <si>
    <t xml:space="preserve">ROLLGUM SA-008 MAX es un adhesivo de reticulación y contacto, a base de con cauchos sintéticos y base disolvente. Se usa para la unión por solape entre láminas impermeables de EPDM y entre láminas de butilo, así como para la adhesión de estas láminas sobre diversos sustratos y superficies como hormigón, cemento, madera y metal. Muy buena adherencia, resistencia al envejecimiento, frío o calor. Color negro. Envase de 1 litro.   Ref. lp-00201398</t>
  </si>
  <si>
    <t xml:space="preserve">ma-lp-00201399</t>
  </si>
  <si>
    <t xml:space="preserve">Material</t>
  </si>
  <si>
    <t xml:space="preserve">envase</t>
  </si>
  <si>
    <t xml:space="preserve">Adhesivo EPDM SA-008 MAX de ROLLGUM para la unión de láminas impermeabilizantes de EPDM y bandas de butilo (5 litros/envase).   Ref. lp-00201399</t>
  </si>
  <si>
    <t xml:space="preserve">ROLLGUM SA-008 MAX es un adhesivo de reticulación y contacto, a base de con cauchos sintéticos y base disolvente. Se usa para la unión por solape entre láminas impermeables de EPDM y entre láminas de butilo, así como para la adhesión de estas láminas sobre diversos sustratos y superficies como hormigón, cemento, madera y metal. Muy buena adherencia, resistencia al envejecimiento, frío o calor. Color negro. Envase de 5 litros.   Ref. lp-00201399</t>
  </si>
  <si>
    <t xml:space="preserve">ma-lp-00224946</t>
  </si>
  <si>
    <t xml:space="preserve">Material</t>
  </si>
  <si>
    <t xml:space="preserve">rollo</t>
  </si>
  <si>
    <t xml:space="preserve">Lámina impermeable transpirable TYVEK PRO (1,5x50 m/rollo).   Ref. lp-00224946</t>
  </si>
  <si>
    <t xml:space="preserve">Lámina impermeable y transpirable compuesta de dos capas, una de TYVEK y una capa de protección antideslizamiento. Completamente impermeable al agua, tanto a la presión hidrostática como al impacto dinámico.   Ref. lp-00224946.
Actúa como una barrera contra la lluvia, nieve, viento y evita corrientes de aire. Garantiza el control de circulación del calor, el aire y la humedad dentro del edificio y una eficaz actuación del aislamiento utilizado, lo que reduce las pérdidas de calor y permite un considerable ahorro energético. Los rollos tienen un peso reducido que permite una manipulación sin esfuerzos y libera la cubierta y la fachada de una carga excesiva. La unión entre láminas se realiza fácilmente por el solape entre las mismas. En cada rollo viene perfectamente señalizada la zona de unión. Reforzada, segura y duradera: es muy resistente a la rotura y tolera temperaturas extremas, tanto en épocas de frío como de calor. Fácil de manipular y colocar: al ser muy maleable, su colocación en rincones y superficies irregulares de cualquier cubierta inclinada (ventanas, chimeneas…) y en fachadas y muros de sótanos resulta una operación sencilla. Gramaje: 124 gr/m2.</t>
  </si>
  <si>
    <t xml:space="preserve">ma-lp-00263817</t>
  </si>
  <si>
    <t xml:space="preserve">Material</t>
  </si>
  <si>
    <t xml:space="preserve">envase</t>
  </si>
  <si>
    <t xml:space="preserve">Pintura impermeabilizante TEXCAP FT de SOPREMA; transparente (5 kg/envase).   Ref. lp-00263817</t>
  </si>
  <si>
    <t xml:space="preserve">TEXCAP FT es un revestimiento de poliuretano alifático transparente monocomponente, estable a los rayos UV, altamente elástico, de aplicación y secado en frío, que se utiliza para la protección de sistemas de impermeabilización líquida de poliuretano. Rendimiento: 0,8 a 0,12 kg/m² en 2 o 3 capas (agitar el producto hasta obtener una masa homogénea).   Ref. lp-00263817.
Posee una excelente resistencia a la intemperie y estabilidad al cambio de color. Se seca por reacción con la humedad del suelo y la del aire. Fácil aplicación (rodillo o airless). Resistente al agua y a las heladas. Mantiene sus propiedades mecánicas en temperaturas de –30ºC a +90ºC. Se puede transitar por encima de la superficie impermeabilizada. Incrementa la resistencia al desgaste. Tráfico no vehicular. Transpirable al vapor de agua. Buena resistencia a las soluciones alcalinas y ácidas (10%), detergentes, agua marina y aceites.</t>
  </si>
  <si>
    <t xml:space="preserve">ma-lp-00269977</t>
  </si>
  <si>
    <t xml:space="preserve">Material</t>
  </si>
  <si>
    <t xml:space="preserve">rollo</t>
  </si>
  <si>
    <t xml:space="preserve">Lámina Impermeabilizante de betún aditivado APP BIGMAT PLUS FV 40 (MOPLY N PLUS FV 4 KG de SOPREMA) con fieltro FV; espesor 3 mm (10x1 m/rollo). Ref. lp-00269977</t>
  </si>
  <si>
    <t xml:space="preserve">Lámina APP BIGMAT PLUS FV 40 (MOPLY N PLUS FV 4 KG de SOPREMA) es una lámina de impermeabilización de betún plastómero aditivado con 4 kg/m2. Armada con velo de vidrio. Film fusible en cara inferior y superior. Rollo 10x1 m x 3 mm de espesor.   Ref. lp-00269977</t>
  </si>
  <si>
    <t xml:space="preserve">ma-lp-00274122</t>
  </si>
  <si>
    <t xml:space="preserve">Material</t>
  </si>
  <si>
    <t xml:space="preserve">bote</t>
  </si>
  <si>
    <t xml:space="preserve">Primer de impermeabilización, emulsión asfáltica AQUASEAL BIGMAT de SOPREMA; color negro (25 kg/envase).   Ref. lp-00274122</t>
  </si>
  <si>
    <t xml:space="preserve">AQUASEAL es una emulsión asfáltica en pasta que se utiliza para la preparación del soporte (hormigón), como primer de impermeabilización. Se aplica para impermeabilización de depósitos de agua y muros, tanques y tuberías; así como embaldosado de terrazas. También es adecuado como adhesivo de aislamiento térmico en muros, y como barrera de vapor. No sustituye a las láminas. Tixotrópica, con resistencia al agua, al escurrimiento y flexible a baja temperatura (evita grietas). Tipo ED según UNE 104-234. Color negro. Envase de 25 kg.   Ref. lp-00274122</t>
  </si>
  <si>
    <t xml:space="preserve">ma-lp-00278899</t>
  </si>
  <si>
    <t xml:space="preserve">Material</t>
  </si>
  <si>
    <t xml:space="preserve">rollo</t>
  </si>
  <si>
    <t xml:space="preserve">Lámina impermeabilizante de betún elastómero SBS con fieltro FV SBS BIGMAT ELAST FV 40 1X10 ROJA (MORTERPLAS SBS FV 4 KG de SOPREMA); espesor 3 mm (10x1 m/rollo).   Ref. lp-00278899</t>
  </si>
  <si>
    <t xml:space="preserve">SBS BIGMAT ELAST FV 40 ((MORTERPLAS SBS FV 4 KG de SOPREMA) es una lámina a base de betún modificado con plastómeros, tipo APP, con autoprotección mineral y armadura de fieltro de fibra de vidrio. Acabado una cara con laminillas de pizarra, excepto una banda de 8 cm para el solape y la otra con antiadherente de plástico. Se utiliza en sistemas de impermeabilización tipo bicapa con protección ligera (autoprotección), de acuerdo con las membranas GA-2, GA-5 y GA-6 de la Norma UNE 104-402, adecuadas para la impermeabilización de cubiertas de edificios. Color pizarra rojo. Rollo de 10x1 m. Espesor: 3 mm. Peso: 40 kg.   Ref. lp-00278899</t>
  </si>
  <si>
    <t xml:space="preserve">ma-lp-00285538</t>
  </si>
  <si>
    <t xml:space="preserve">Material</t>
  </si>
  <si>
    <t xml:space="preserve">m</t>
  </si>
  <si>
    <t xml:space="preserve">Lámina impermeabilizante GISCOLENE 100 de caucho sintético EPDM vulcanizado (ancho: 4,50 m; espesor: 1 mm).   Ref. lp-00285538</t>
  </si>
  <si>
    <t xml:space="preserve">Lámina impermeabilizante GISCOLENE de caucho sintético EPDM vulcanizado, se utiliza para impermeabilización de cubiertas, balsas, estanques, canales, niveles freáticos, estructuras enterradas, fachadas. Medidas: espesor 1 mm; ancho: 4,5 m.   Ref. lp-00285538.
EPDM son las siglas en inglés de ETHYLENE PROPYELENE DIENE METHYLENE. En castellano sería CAUCHO DE ETILENO PROPILENO DIENO. Destaca por su estupenda resistencia al ozono y es resistente al agua caliente y al vapor.</t>
  </si>
  <si>
    <t xml:space="preserve">ma-lp-00285540</t>
  </si>
  <si>
    <t xml:space="preserve">Material</t>
  </si>
  <si>
    <t xml:space="preserve">m</t>
  </si>
  <si>
    <t xml:space="preserve">Lámina impermeabilizante GISCOLENE 100 de caucho sintético EPDM vulcanizado (ancho: 7,50 m; espesor: 1 mm).   Ref. lp-00285540</t>
  </si>
  <si>
    <t xml:space="preserve">Lámina impermeabilizante GISCOLENE de caucho sintético EPDM vulcanizado, se utiliza para impermeabilización de cubiertas, balsas, estanques, canales, niveles freáticos, estructuras enterradas, fachadas. Medidas: espesor 1 mm; ancho: 7,5 m.   Ref. lp-00285540.
EPDM son las siglas en inglés de ETHYLENE PROPYELENE DIENE METHYLENE. En castellano sería CAUCHO DE ETILENO PROPILENO DIENO. Destaca por su estupenda resistencia al ozono y es resistente al agua caliente y al vapor.</t>
  </si>
  <si>
    <t xml:space="preserve">ma-lp-00285541</t>
  </si>
  <si>
    <t xml:space="preserve">Material</t>
  </si>
  <si>
    <t xml:space="preserve">m2</t>
  </si>
  <si>
    <t xml:space="preserve">Lámina impermeabilizante GISCOLENE 120 de caucho sintético EPDM vulcanizado (ancho: 3,00 m; espesor: 1,2 mm).   Ref. lp-00285541</t>
  </si>
  <si>
    <t xml:space="preserve">Lámina impermeabilizante GISCOLENE de caucho sintético EPDM vulcanizado, se utiliza para impermeabilización de cubiertas, balsas, estanques, canales, niveles freáticos, estructuras enterradas, fachadas. Medidas: espesor 1,2 mm; ancho: 3 m.   Ref. lp-00285541.
EPDM son las siglas en inglés de ETHYLENE PROPYELENE DIENE METHYLENE. En castellano sería CAUCHO DE ETILENO PROPILENO DIENO. Destaca por su estupenda resistencia al ozono y es resistente al agua caliente y al vapor.</t>
  </si>
  <si>
    <t xml:space="preserve">ma-lp-00291741</t>
  </si>
  <si>
    <t xml:space="preserve">Material</t>
  </si>
  <si>
    <t xml:space="preserve">envase</t>
  </si>
  <si>
    <t xml:space="preserve">Pintura impermeabilizante TEXPUR de SOPREMA; color rojo (6 kg/envase).   Ref. lp-00291741</t>
  </si>
  <si>
    <t xml:space="preserve">TEXPUR es una membrana líquida de poliuretano monocomponente, altamente elástica, de aplicación y secado en frío usada para la impermeabilización. Rendimiento: 1,50 a 2 kg/m2.   Ref. lp-00291741.
TEXPUR presenta muy buena adherencia sobre casi todos los materiales; sin embargo, siempre se recomienda aplicar la imprimación TEXPRIMER (200gr/m2) para maximizar la adhesión de la membrana y bloquear posibles restos de humedad del soporte.</t>
  </si>
  <si>
    <t xml:space="preserve">ma-lp-00291743</t>
  </si>
  <si>
    <t xml:space="preserve">Material</t>
  </si>
  <si>
    <t xml:space="preserve">bidón</t>
  </si>
  <si>
    <t xml:space="preserve">Pintura impermeabilizante TEXPUR de SOPREMA; color rojo (25 kg/bidón).   Ref. lp-00291743</t>
  </si>
  <si>
    <t xml:space="preserve">TEXPUR es una membrana líquida de poliuretano monocomponente, altamente elástica, de aplicación y secado en frío usada para la impermeabilización. Rendimiento: 1,50 a 2 kg/m2.   Ref. lp-00291743.
TEXPUR presenta muy buena adherencia sobre casi todos los materiales; sin embargo, siempre se recomienda aplicar la imprimación TEXPRIMER (200gr/m2) para maximizar la adhesión de la membrana y bloquear posibles restos de humedad del soporte.</t>
  </si>
  <si>
    <t xml:space="preserve">ma-lp-00305007</t>
  </si>
  <si>
    <t xml:space="preserve">Material</t>
  </si>
  <si>
    <t xml:space="preserve">bidón</t>
  </si>
  <si>
    <t xml:space="preserve">Primer de impermeabilización, emulsión asfáltica EMUFAL PRIMER de SOPREMA para preparar soporte a impermeabilizar (24 litros/bidón).   Ref. lp-00305007</t>
  </si>
  <si>
    <t xml:space="preserve">EMUFAL PRIMER de SOPREMA es una emulsión asfáltica de consistencia líquida (de base acuosa). Se utiliza para la preparación de soporte (hormigón), como primer de impermeabilización. Se puede usar tanto para la aplicación de las láminas bituminosas a fuego, como para laminas autoadhesivas (especial para sitios cerrados). El producto se aplica en frío, mediante brocha, rodillo o cepillo de pintor. Hay que agitar antes de usarlo. Rendimiento: Depende de la rugosidad del soporte; en general, si no se diluye el producto, puede oscilar entre 150 gr/m² y 350 gr/m².   Ref. lp-00305007.</t>
  </si>
  <si>
    <t xml:space="preserve">ma-lp-00537399</t>
  </si>
  <si>
    <t xml:space="preserve">Material</t>
  </si>
  <si>
    <t xml:space="preserve">placa</t>
  </si>
  <si>
    <t xml:space="preserve">Placa asfáltica ondulada ligera para impermeabilización ONDULINE BT-150 PLUS; color rojo (2000x1050 mm/placa).   Ref. lp-00537399</t>
  </si>
  <si>
    <t xml:space="preserve">ONDULINE bajo Teja BT-150 PLUS es una placa asfáltica ondulada ligera para la impermeabilización de cubiertas inclinadas(10-70%pdt). Destinada para tejas curvas de ancho de boca mayor de entre 18,5-22 cm y tejas curvas, mixtas, planas, hormigón.   Ref. lp-00537399.</t>
  </si>
  <si>
    <t xml:space="preserve">ma-lp-00563154</t>
  </si>
  <si>
    <t xml:space="preserve">Material</t>
  </si>
  <si>
    <t xml:space="preserve">rollo</t>
  </si>
  <si>
    <t xml:space="preserve">Lámina impermeabilizante de betún elastómero SBS con armadura de poliéster MORTERPLAS SBS FP 4KG de SOPREMA (10x1 m/rollo gris).   Ref. lp-00563154</t>
  </si>
  <si>
    <t xml:space="preserve">MORTERPLAS SBS FP 4KG es una lámina impermeabilizante no auto protegida, de betún elastomérico SBS, con armadura de fieltro de poliéster (FP) de alto gramaje y acabado en film termo fusible por ambas caras. Es una lámina ensayada como barrera contra el gas radón.   Ref. lp-00563154
Ventajas:
a) El mastico elastomérico SBS, que aporta a la lámina una excelente plegabilidad a bajas temperaturas.
b) La armadura de no-tejido de fieltro de poliéster (FP) reforzado y estabilizado, confiere a la lámina las mejores propiedades mecánicas.
c) Elevada resistencia a la tracción.
d) Máxima resistencia al punzonamiento (estático y dinámico).
e) Gran resistencia al desgarro.
f) Buena estabilidad dimensional.
Aplicación: Está especialmente recomendada en aplicaciones donde se requiera una alta resistencia al punzonamiento. MORTERPLAS SBS FP 4 KG se puede aplicar en sistema bicapa en cubiertas no transitables y transitables para uso peatonal y vehicular, con protección pesada. Para sistemas monocapa se utilizará la lámina de masa de 4 kg en sistemas de acuerdo con los DITs y la normativa local de edificación. La MORTERPLAS SBS FP 4 KG se puede aplicar como lámina para asegurar la estanqueidad en estructuras enterradas</t>
  </si>
  <si>
    <t xml:space="preserve">ma-lp-00571314</t>
  </si>
  <si>
    <t xml:space="preserve">Material</t>
  </si>
  <si>
    <t xml:space="preserve">bidón</t>
  </si>
  <si>
    <t xml:space="preserve">Impermeabilizante fibrado con poliuretano de BIGMAT; color teja (15 litros/bidón).   Ref. lp-00571314</t>
  </si>
  <si>
    <t xml:space="preserve">Revestimiento elástico fibrado con poliuretano destinado a la impermeabilización de cubiertas. Rendimiento Teórico: 1 a 1,5 m2/litro/mano, en función de la absorción y textura del soporte.   Ref. lp-00571314.
PROPIEDADES PRINCIPALES:
• Impermeabilidad al agua de lluvia.
• Apto para tráfico peatonal ocasional.
• Reforzado con fibras y con poliuretano.
• Muy elástico, incluso a cambios bruscos de temperatura.
• Adaptabilidad a todas las formas de la superficie.
• Buena adherencia sobre las superficies habituales de la construcción.
• Inalterable a los álcalis del cemento (insaponificable).
• Fácil aplicación.
• Sin alquitranes, asfaltos ni plastificantes.
• Muy resistente a la intemperie, rayos UV y al ozono.
USOS:
• Impermeabilización de cubiertas o azoteas inclinadas, terrazas o balcones de tránsito peatonal ocasional de diferente naturaleza: hormigón, mortero de cemento, cerámica, metal, teja, etc... 
• Protección de aleros y otros elementos anexos en fachadas o cubiertas.
• Renovación y protección total o parcial de antiguas impermeabilizaciones.
• Sellado en reparaciones realizadas en fachadas o cubiertas.
• Eliminación de humedades y goteras en cubiertas y en paramentos verticales (medias cañas de forjados, petos, paredes medianeras, tabiques pluviales…).
• Impermeabilización de mayores prestaciones y durabilidad incorporando una armadura entre capas.
Colores: Rojo (001), Teja (002), Gris (003), Blanco (004), Negro (005), y Verde (049).</t>
  </si>
  <si>
    <t xml:space="preserve">ma-lp-00567972</t>
  </si>
  <si>
    <t xml:space="preserve">Material</t>
  </si>
  <si>
    <t xml:space="preserve">bote</t>
  </si>
  <si>
    <t xml:space="preserve">Membrana líquida flexible impermeabilizante MAPELASTIC AQUADEFENSE de MAPEI (7,5kg/bote). Ref.: 00567972</t>
  </si>
  <si>
    <t xml:space="preserve">Membrana líquida flexible a base de resinas sintéticas; de secado ultra rápido y consistencia pastosa para impermeabilización de superficies internas y externas. Aplicación (lista para usar): rodillo, brocha o espátula. Consumo: 1 kg/m2 para 2 capas de producto (1,3 kg/m2 por mm de espesor).   Ref. manomano-ME7993754.
https://www.leroymerlin.es/productos/mapei-mapelastic-aquadefense-membrana-liquida-lista-para-usar-para-impermeabilizacion-bajo-baldosas-secado-rapido-15-kg-mapelastica-36634640.html</t>
  </si>
  <si>
    <t xml:space="preserve">ma-pinturas.mata-433739000</t>
  </si>
  <si>
    <t xml:space="preserve">Material</t>
  </si>
  <si>
    <t xml:space="preserve">pack</t>
  </si>
  <si>
    <t xml:space="preserve">Membrana impermeabilizante revestible bicomponente ARDEX 8 + 9 (20 kg/pack).   Ref. pinturas.mata-433739000</t>
  </si>
  <si>
    <t xml:space="preserve">La membrana Impermeabilizante revestible ARDEX 8 + 9 es apta para la impermeabilización de paredes y suelos (interiores y exteriores) a revestir con cualquier tipo de pieza cerámica, formación de juntas en esquinas, medias cañas e integración de tuberías y sumideros en baños. Nivelación y gran capacidad de relleno de irregularidades y fisuras en el soporte. Debajo de las baldosas resiste perfectamente la agresión de zonas en contacto permanente con el agua, tal y como sucede en duchas, baños, zonas de duchas por encima de bañeras y locales para sanitarios en zonas públicas y comerciales dotadas de sumideros. Consumos: Con consistencia para aplicar a rodillo (2 capas): aprox. 0,75 kg polvo + 0,75 kg dispersión, Aprox. 1,5 kg de mezcla/m2; Consistencia para aplicar a llana (para capa de 2 mm): Aprox. 1,6 kg polvo + 1,2 kg dispersión, Aprox. 2,8 kg de mezcla/m2.   Ref. pinturas.mata-433739000.
CAMPOS DE APLICACIÓN EN INTERIORES:
ARDEX 8 + 9 es un conjunto de dos componentes: ARDEX 8, una dispersión de acrilato, sin disolventes y con un peso aprox. de 1,0 kg/L y ARDEX 9, polvo en base cemento y con un peso específico de aprox. 1,2 kg/L. Ambos componentes se mezclan entre sí en relación 1:1. Una vez seca, la membrana impermeable ARDEX 8+9 es estanca al agua y sumamente moldeable. No colorea los morteros cementosos aplicados para el sellado de las juntas de las piezas cerámicas.
CAMPOS DE APLICACIÓN EN EXTERIORES:
En terrazas y balcones, impermeabiliza y protege el soporte de la humedad y de las eflorescencias, siempre y cuando el ARDEX 8+9 sea revestido con piezas cerámicas o con un acabado de pintura. ARDEX 8+9 es ideal para la impermeabilización de cubiertas minerales o cerámicas que deban ser revestidas con cerámica sin necesidad de desescombros. ARDEX 8+9 cumple con los requisitos clase B de la clasificación de la Asociación Central de la Industria de la Construcción Alemana (ZDB), siendo apto para la impermeabilización de piscinas en combinación con cerámica. Gracias a su especial formulación, presenta una adherencia excelente sobre hormigón, mortero, cerámica, gres, gres porcelánico, etc.</t>
  </si>
  <si>
    <t xml:space="preserve">ma-pp-0164002500SJ</t>
  </si>
  <si>
    <t xml:space="preserve">Material</t>
  </si>
  <si>
    <t xml:space="preserve">bidón</t>
  </si>
  <si>
    <t xml:space="preserve">Pintura brea-acrílica en emulsión acuosa ISAFORT de ISAVAL (15 litros/bidón).   Ref. pp-0164002500SJ</t>
  </si>
  <si>
    <t xml:space="preserve">Pintura brea-acrílica en emulsión acuosa, especialmente desarrollada para asegurar el anclaje sobre substratos difíciles. Rendimiento: 4 - 6 m2/litro (dependiendo de la absorción del soporte donde se aplique).   Ref. pp-0164002500SJ 
Pintura en base acuosa especialmente desarrollada para asegurar el anclaje sobre substratos difíciles tales como: fachadas de gres, telas asfálticas recubiertas de aluminio, tejados de cinc, aislamientos de poliuretano, y en general en paramentos donde el poro no sea el suficiente para asegurar el posterior agarre de la pintura de acabado. Se puede emplear en el proceso de impermeabilización de zonas húmedas tales como jardineras, zócalos....
PROPIEDADES:
• Impermeable al agua de lluvia.
• Elástico, no cuartea ni fisura con las contracciones y dilataciones del soporte a consecuencia de los cambios de temperatura. Puenteo de grietas y fisuras.
• Buena adherencia sobre los materiales de construcción habituales.
• Repintable.</t>
  </si>
  <si>
    <t xml:space="preserve">ma-prolisur-08</t>
  </si>
  <si>
    <t xml:space="preserve">Material</t>
  </si>
  <si>
    <t xml:space="preserve">saco</t>
  </si>
  <si>
    <t xml:space="preserve">Impermeabilizante mineral en capa fina WEBERDRY IMPER F de WEBER (25 kg/saco).   Ref. prolisur-08</t>
  </si>
  <si>
    <t xml:space="preserve">Mortero mineral especialmente diseñado para la realización de enfoscados impermeabilizantes en capa fina en superficies lisas, en suelos, muros o techos de construcciones enterradas como depósitos de agua, balsas, piscinas, sótanos, parkings, fosos de ascensor, túneles, cimentaciones, así como de muros de contención de hormigón. Rendimiento: 3 kg/m2 (3 mm de espesor).   Ref. prolisur-08.</t>
  </si>
  <si>
    <t xml:space="preserve">ma-s.lucia-01</t>
  </si>
  <si>
    <t xml:space="preserve">Material</t>
  </si>
  <si>
    <t xml:space="preserve">envase</t>
  </si>
  <si>
    <t xml:space="preserve">Membrana líquida impermeabilizante monocomponente a base de Poliuretano SIKALASTIC 612 de SIKA; color terracota (5 litros/envase).   Ref. s.lucia-01</t>
  </si>
  <si>
    <t xml:space="preserve">El SIKALASTIC 612 es una membrana de poliuretano monocomponente, de aplicación en frío, con tecnología activada por la humedad. Cura formando una membrana impermeabilizante continua y duradera para cubiertas expuestas, así como para terrazas y cubiertas por debajo de las baldosas adheridas con mortero cola.   Ref. s.lucia-01.
USOS:
• Para soluciones de impermeabilización de cubiertas tanto en obra nueva como en proyectos de rehabilitación.
• Para cubiertas que presentan áreas de detalle complejas, incluso cuando la accesibilidad es limitada.
• Para un aumento de la durabilidad de las cubiertas existentes en mal estado.
• Para impermeabilización de balcones y terrazas por debajo de baldosas adheridas con morteros cola.</t>
  </si>
  <si>
    <t xml:space="preserve">ma-s.lucia-02</t>
  </si>
  <si>
    <t xml:space="preserve">Material</t>
  </si>
  <si>
    <t xml:space="preserve">pack</t>
  </si>
  <si>
    <t xml:space="preserve">Imprimante de poliuretano para impermeabilización de cubiertas con membrana líquida SIKA CONCRETE PRIMER de SIKA (12 kg/bidón).   Ref. s.lucia-02</t>
  </si>
  <si>
    <t xml:space="preserve">Sika Concrete Primer es una imprimación bicomponente híbrida de poliurea / poliuretano para soportes cementosos. Su rápido curado permite la aplicación de los sistemas de impermeabilización líquida después de 30 minutos. Proporción de la Mezcla: Parte A:Parte B = 3,64:1 (en volumen). Rendimiento: 0,13 kg/m2 por capa.   Ref. s.lucia-02
USOS:
• Imprimación de soportes cementosos para aplicaciones exteriores de los siguientes sistemas: SIKAROOF MTC.
• Sistemas de cubierta SIKALASTIC.
• Sistemas de impermeabilización SIKAFLOOR BALCONY.</t>
  </si>
  <si>
    <t xml:space="preserve">ma-vtc-97480</t>
  </si>
  <si>
    <t xml:space="preserve">Material</t>
  </si>
  <si>
    <t xml:space="preserve">rollo</t>
  </si>
  <si>
    <t xml:space="preserve">Malla TNT de Poliéster SIKALASTIC FLEECE 120 de SIKA (50 mx100 cm/rollo).   Ref. vtc-97480</t>
  </si>
  <si>
    <t xml:space="preserve">SIKA LASTIC FLEECE -120 (120 gr/m2) se utiliza como refuerzo con la membrana líquida impermeabilizante aplicada para detalles y todas las instalaciones necesarias para que se ajusten a requisitos ETAG-005.   Ref. vtc-97480.
USOS: Impermeabilización de refuerzo en azoteas, balcones y terrazas requeridos para cumplir con ETAG-005; para detalles generales y demás obras de impermeabilización general obras tanto en construcciones nuevas como en renovaciones; para reparación de antiguas membranas.</t>
  </si>
  <si>
    <t xml:space="preserve">MATERIALES-IMPERMEABILIZACION</t>
  </si>
  <si>
    <t xml:space="preserve">IMPRIMANTES</t>
  </si>
  <si>
    <t xml:space="preserve">Capítulo</t>
  </si>
  <si>
    <t xml:space="preserve">IMPRIMANTES</t>
  </si>
  <si>
    <t xml:space="preserve">ma-da-08121</t>
  </si>
  <si>
    <t xml:space="preserve">Material</t>
  </si>
  <si>
    <t xml:space="preserve">bidón</t>
  </si>
  <si>
    <t xml:space="preserve">Imprimante PREARTIGUM adherente previo al proceso ARTIGUM y ARTIGUM TOP de D’ARTIC (15 litros/bidón).   Ref. da-08121</t>
  </si>
  <si>
    <t xml:space="preserve">Imprimación del PROCESO ARTIGUM. Polímeros saturados con pigmentos reactivos a la humedad. Imprescindible sobre soportes húmedos (regula la adherencia y transpiración en el proceso de impermeabilización) y sobre superficies cementosa y cerámicas porosas. No aplicar sobre superficies vitrificadas, sin abrir el poro con ACIART o mecánicamente. Neutraliza la humedad del yeso y el cemento. COV 491g / l – 2.010 500g / l.   Ref. da-08121</t>
  </si>
  <si>
    <t xml:space="preserve">ma-lp-00007314</t>
  </si>
  <si>
    <t xml:space="preserve">Material</t>
  </si>
  <si>
    <t xml:space="preserve">envase</t>
  </si>
  <si>
    <t xml:space="preserve">Imprimador antioxidante BARPIMO (4 litros/envase)   Ref. lp-00007314</t>
  </si>
  <si>
    <t xml:space="preserve">Imprimación sintética antioxidante de Barpimo está indicada para protección y preparación anticorrosiva de superficies y estructuras de hierro y acero. Fácil de aplicar y gran poder de cubrición. Color gris.   Ref. lp-00007314</t>
  </si>
  <si>
    <t xml:space="preserve">ma-lp-00007331</t>
  </si>
  <si>
    <t xml:space="preserve">Material</t>
  </si>
  <si>
    <t xml:space="preserve">bote</t>
  </si>
  <si>
    <t xml:space="preserve">Imprimante TODO TERRENO de BEISSIER como puente de adherencia multisuperficie; color gris (2,5 litros/envase).   Ref. lp-00007331</t>
  </si>
  <si>
    <t xml:space="preserve">Pintura polivalente para imprimar, proteger y pintar superficies difíciles, aplicable como puente de adherencia multisuperficie sobre metales, plásticos, maderas y cerámicas. Rendimiento Teórico aproximado de 10 a 12,5 m2/litro y por mano.
Imprimación TODO TERRENO de BEISSIER para pintar superficies difíciles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
Extraordinaria adherencia sobre cualquier superficie. Autonivelante. Secado rápido sin marcas de brocha..</t>
  </si>
  <si>
    <t xml:space="preserve">ma-lp-00540839</t>
  </si>
  <si>
    <t xml:space="preserve">Material</t>
  </si>
  <si>
    <t xml:space="preserve">bote</t>
  </si>
  <si>
    <t xml:space="preserve">Imprimante promotor de adherencia PROPAM GRIP+ (5 kg/envase).   Ref. lp-00540839</t>
  </si>
  <si>
    <t xml:space="preserve">PROPAM GRIP+ es un Imprimante promotor de adherencia universal listo al uso, a base de resinas acrílicas en dispersión y áridos silíceos de cuarzo, para aplicación de pavimentos y revestimientos cementosos y adhesivos de cerámica sobre todo tipo de soportes absorbentes y no absorbentes. Adecuado para la colocación de morteros de cemento sobre soportes de yeso o anhidrita. Utilización en pavimentos y revestimientos tanto en interior como en exterior. Colocación de morteros autonivelantes y recrecidos sobre soportes porosos y no porosos. Aplicación de morteros de regularización sobre superficies sin absorción superficial (hormigón liso, cemento, yeso, cal, bloque de hormigón, etc.) Colocación de morteros autonivelantes y recrecidos sobre soportes de anhidrita.   Ref. lp-00540839
Colocación de cerámica y morteros decorativos sobre paredes de yeso. Aplicación por superposición sobre pavimentos cerámicos existentes. Colocación sobre soportes rígidos de madera. Colocación sobre metal.</t>
  </si>
  <si>
    <t xml:space="preserve">ma-mausa-sikatop10-5kg</t>
  </si>
  <si>
    <t xml:space="preserve">Material</t>
  </si>
  <si>
    <t xml:space="preserve">envase</t>
  </si>
  <si>
    <t xml:space="preserve">Imprimante en base agua con cargas minerales SIKATOP-10 de SIKA (5kg/envase).   Ref. mausa-sikatop10-5kg</t>
  </si>
  <si>
    <t xml:space="preserve">Imprimante en base agua con cargas minerales, SIKATOP-10 es una resina sintética a base de copolímeros estireno acrílicos con cargas minerales, que se utiliza como imprimación tapaporos y promotor de adherencia sobre soportes de naturaleza mineral, revestimientos cementosos y revestimientos cerámicos antiguos. Particularmente indicado para su utilización previa a los morteros de nivelación y decoración de la gama SIKADECOR NATURE. Consumo mínimo: 0,8 kg/m2/capa.   Ref. mausa-sikatop10-5kg.
USOS:
• Sellador de soportes minerales.
• Mejorador de la adherencia de los morteros sobre sustratos porosos.
• Proporciona al soporte una elevada rugosidad, mejorando la puesta en obra y el posterior agarre físico-químico del revestimiento final.</t>
  </si>
  <si>
    <t xml:space="preserve">ma-pinturaslagun-X13</t>
  </si>
  <si>
    <t xml:space="preserve">Material</t>
  </si>
  <si>
    <t xml:space="preserve">envase</t>
  </si>
  <si>
    <t xml:space="preserve">Imprimante alquídico SX-130 de TITANTECH; color gris 7042 (4 litros/envase).   Ref. pinturaslagun-X13</t>
  </si>
  <si>
    <t xml:space="preserve">Imprimación industrial alquídica uretanada anticorrosiva con efecto antioxidante. Contiene pigmentos activos no tóxicos de fosfato de Zinc. Rendimiento 10 a 12 m2/litro (45 a 55 micras en seco).   Ref. pinturaslagun-X13.
Excelente rendimiento a rodillo y brocha. Imprimación de uso general sobre acero en ambientes de corrosión baja C2 y media C3, según UNE EN ISO 12944. Ideal para la protección de maquinaría, elementos de cerrajería, exterior depósitos y estructuras de acero en general. Reacción al Fuego UNE EN 13501-1:2007+A1:2010: B-s1,d0/sobre sustrato A1.</t>
  </si>
  <si>
    <t xml:space="preserve">ma-pp-0135002200SJ-B</t>
  </si>
  <si>
    <t xml:space="preserve">Material</t>
  </si>
  <si>
    <t xml:space="preserve">bidón</t>
  </si>
  <si>
    <t xml:space="preserve">Imprimante sellador para fondos pulverulentos DELTAFIX de BEISSIER (25 litros/bidón).   Ref. pp-0135002200SJ-B</t>
  </si>
  <si>
    <t xml:space="preserve">Imprimante sellador incoloro en medio disolvente isoparanínfico, especialmente diseñado para fijar, endurecer y cohesionar los fondos pulverulentos en interiores y exteriores.   Ref. pp-0135002200SJ-B.
De aplicación universal sobre pinturas plásticas, hormigón visto y mortero, cemento, calizas, yeso, antiguas superficies pintadas al silicato o viejas pinturas en emulsión y gres cerámico. Por su falta de olor, su uso está especialmente indicado para interiores. Consumo aproximado: 3 a 6 m2/litro.
PROPIEDADES:
• Sella, endurece y cohesiona los fondos tratados.
• Regulariza la absorción del soporte y logra una excelente adherencia y mayor rendimiento por m2 de los acabados posteriores.
• Mejora la resistencia a la carbonatación del hormigón. No agresivo con pinturas antiguas (vinílicas, acrílicas, etc.).
• Gran poder de penetración.
• Resistente al alcalí. Transpirable.
• Fácil aplicación. Listo al uso.
• Sin olor.</t>
  </si>
  <si>
    <t xml:space="preserve">ma-pp-0135002200SJ-G</t>
  </si>
  <si>
    <t xml:space="preserve">Material</t>
  </si>
  <si>
    <t xml:space="preserve">envase</t>
  </si>
  <si>
    <t xml:space="preserve">Imprimante sellador para fondos pulverulentos DELTAFIX de BEISSIER (5 litros/envase).   Ref. pp-0135002200SJ-G</t>
  </si>
  <si>
    <t xml:space="preserve">Imprimante sellador incoloro en medio disolvente isoparanínfico, especialmente diseñado para fijar, endurecer y cohesionar los fondos pulverulentos en interiores y exteriores.   Ref. pp-0135002200SJ-G.
De aplicación universal sobre pinturas plásticas, hormigón visto y mortero, cemento, calizas, yeso, antiguas superficies pintadas al silicato o viejas pinturas en emulsión y gres cerámico. Por su falta de olor, su uso está especialmente indicado para interiores. Consumo aproximado: 3 a 6 m2/litro.
PROPIEDADES:
• Sella, endurece y cohesiona los fondos tratados.
• Regulariza la absorción del soporte y logra una excelente adherencia y mayor rendimiento por m2 de los acabados posteriores.
• Mejora la resistencia a la carbonatación del hormigón. No agresivo con pinturas antiguas (vinílicas, acrílicas, etc.).
• Gran poder de penetración.
• Resistente al alcalí. Transpirable.
• Fácil aplicación. Listo al uso.
• Sin olor.</t>
  </si>
  <si>
    <t xml:space="preserve">IMPRIMANTES</t>
  </si>
  <si>
    <t xml:space="preserve">MAMAMA$</t>
  </si>
  <si>
    <t xml:space="preserve">Material</t>
  </si>
  <si>
    <t xml:space="preserve">m3</t>
  </si>
  <si>
    <t xml:space="preserve">bbbbbbbb</t>
  </si>
  <si>
    <t xml:space="preserve">\ RESISTENCIA (N/mm2) \ 20 \ 30 \ 40 \ # A
\ TAMAÑO MAX (mm)\ 40 \ 20 \ # B
\ CONSISTENCIA \ plástica \ blanda \ fluida \ # C
%T(3,2,3) = 11, 12, 13,
21, 22, 23,
31, 32, 33,
41, 42, 43,
51, 52, 53,
61, 62, 63
::%T (%A,%B,%C)
\ RESUMEN \H $A $C tamaño máximo $B IIa \
\TEXTO \Hormigón preparado de resistencia característica $A N/mm2, de consistencia $C y tamaño máximo del árido $B mm, en ambiente normal IIa, transportado a una distancia máxima de 10 km, contados desde la central suministradora. Se consideran cargas completas de 6 ó 9 m3 y un tiempo máximo de descarga en obra de 45 minutos.\</t>
  </si>
  <si>
    <t xml:space="preserve">MATERIALES.DE.ACERO.Y.HIERRO</t>
  </si>
  <si>
    <t xml:space="preserve">Capítulo</t>
  </si>
  <si>
    <t xml:space="preserve">MATERIALES DE ACERO</t>
  </si>
  <si>
    <t xml:space="preserve">ma-bm-10330453</t>
  </si>
  <si>
    <t xml:space="preserve">Material</t>
  </si>
  <si>
    <t xml:space="preserve">pza</t>
  </si>
  <si>
    <t xml:space="preserve">Tubo de hierro con sección cuadrada 60x60X1,5 mm (3 m/pza).   Ref. bm-10330453</t>
  </si>
  <si>
    <t xml:space="preserve">Tubo de hierro con sección cuadrada 60x60X1,5 mm (3 m/pza).   Ref. bm-10330453</t>
  </si>
  <si>
    <t xml:space="preserve">ma-bm-10841901</t>
  </si>
  <si>
    <t xml:space="preserve">Material</t>
  </si>
  <si>
    <t xml:space="preserve">und</t>
  </si>
  <si>
    <t xml:space="preserve">Perfil de acero estructural tipo UPN 120 mm x 3 m   Ref. bm-10841901</t>
  </si>
  <si>
    <t xml:space="preserve">Perfil estructural UPN con sección en forma de U. Indicado como refuerzo estructural, pilares, estructuras para escaleras. 3 m de longitud. Peso = 13,40 kg/m.  Ref. bm-10841901</t>
  </si>
  <si>
    <t xml:space="preserve">ma-c.vilaseca-0512-L80x8</t>
  </si>
  <si>
    <t xml:space="preserve">Material</t>
  </si>
  <si>
    <t xml:space="preserve">kg</t>
  </si>
  <si>
    <t xml:space="preserve">Perfil angular de alas iguales de acero laminado 80x8 mm (9,63 kg/m).   Ref. c.vilaseca-0512-L80x8</t>
  </si>
  <si>
    <t xml:space="preserve">Perfil angular de alas iguales de acero laminado 80x8 mm (9,63 kg/m).   Ref. c.vilaseca-0512-L80x8</t>
  </si>
  <si>
    <t xml:space="preserve">ma-c.vilaseca-0515-L120x11</t>
  </si>
  <si>
    <t xml:space="preserve">Material</t>
  </si>
  <si>
    <t xml:space="preserve">kg</t>
  </si>
  <si>
    <t xml:space="preserve">Perfil angular de alas iguales de acero laminado 120x11 mm (19,90 kg/m).   Ref. c.vilaseca-0515-L120x11</t>
  </si>
  <si>
    <t xml:space="preserve">Perfil angular de alas iguales de acero laminado 120x11 mm (19,90 kg/m).   Ref. c.vilaseca-0515-L120x11</t>
  </si>
  <si>
    <t xml:space="preserve">ma-c.vilaseca-0527-IPN120</t>
  </si>
  <si>
    <t xml:space="preserve">Material</t>
  </si>
  <si>
    <t xml:space="preserve">kg</t>
  </si>
  <si>
    <t xml:space="preserve">Perfil de acero estructural tipo IPN 120 (11,20 kg/m).   Ref. c.vilaseca-0527-IPN120</t>
  </si>
  <si>
    <t xml:space="preserve">Perfil de acero estructural tipo IPN 120 (11,20 kg/m).   Ref. c.vilaseca-0527-IPN120</t>
  </si>
  <si>
    <t xml:space="preserve">ma-c.vilaseca-0533-IPN180</t>
  </si>
  <si>
    <t xml:space="preserve">Material</t>
  </si>
  <si>
    <t xml:space="preserve">kg</t>
  </si>
  <si>
    <t xml:space="preserve">Perfil de acero estructural tipo IPN 180 (21,90 kg/m).   Ref. c.vilaseca-0533-IPN180</t>
  </si>
  <si>
    <t xml:space="preserve">Perfil de acero estructural tipo IPN 180 (21,90 kg/m).   Ref. c.vilaseca-0533-IPN180</t>
  </si>
  <si>
    <t xml:space="preserve">ma-c.vilaseca-0552-IPN120</t>
  </si>
  <si>
    <t xml:space="preserve">Material</t>
  </si>
  <si>
    <t xml:space="preserve">kg</t>
  </si>
  <si>
    <t xml:space="preserve">Perfil de acero estructural tipo UPN 120 (13,40 kg/m).   Ref. c.vilaseca-0552-IPN120</t>
  </si>
  <si>
    <t xml:space="preserve">Perfil de acero estructural tipo UPN 120 (13,40 kg/m).   Ref. c.vilaseca-0552-IPN120</t>
  </si>
  <si>
    <t xml:space="preserve">ma-c.vilaseca-0555-UPN180</t>
  </si>
  <si>
    <t xml:space="preserve">Material</t>
  </si>
  <si>
    <t xml:space="preserve">kg</t>
  </si>
  <si>
    <t xml:space="preserve">Perfil de acero estructural tipo UPN 180 (22,00 kg/m).   Ref. c.vilaseca-0555-IPN180</t>
  </si>
  <si>
    <t xml:space="preserve">Perfil de acero estructural tipo UPN 180 (22,00 kg/m).   Ref. c.vilaseca-0555-IPN180</t>
  </si>
  <si>
    <t xml:space="preserve">ma-c.vilaseca-05XX-IPN160</t>
  </si>
  <si>
    <t xml:space="preserve">Material</t>
  </si>
  <si>
    <t xml:space="preserve">kg</t>
  </si>
  <si>
    <t xml:space="preserve">Perfil de acero estructural tipo IPN 160 (17,90 kg/m).   Ref. c.vilaseca-05XX-IPN160</t>
  </si>
  <si>
    <t xml:space="preserve">Perfil de acero estructural tipo IPN 160 (17,90 kg/m).   Ref. c.vilaseca-05XX-IPN160</t>
  </si>
  <si>
    <t xml:space="preserve">ma-c.vilaseca-IPE120</t>
  </si>
  <si>
    <t xml:space="preserve">Material</t>
  </si>
  <si>
    <t xml:space="preserve">kg</t>
  </si>
  <si>
    <t xml:space="preserve">Perfil de acero estructural tipo IPE 120 (10,40 kg/m).   Ref. c.vilaseca-IPE120</t>
  </si>
  <si>
    <t xml:space="preserve">Perfil de acero estructural tipo IPE 120 (10,40 kg/m).   Ref. c.vilaseca-IPE120</t>
  </si>
  <si>
    <t xml:space="preserve">ma-c.vilaseca-placa.160x100x12</t>
  </si>
  <si>
    <t xml:space="preserve">Material</t>
  </si>
  <si>
    <t xml:space="preserve">und</t>
  </si>
  <si>
    <t xml:space="preserve">Placa de acero para anclaje de estructura metálica 160x100x12 mm   Ref. c.vilaseca-placa.160x100x12</t>
  </si>
  <si>
    <t xml:space="preserve">Placa de acero para anclaje de estructura metálica 160x100x12 mm   Ref. c.vilaseca-placa.160x100x12</t>
  </si>
  <si>
    <t xml:space="preserve">ma-c.vilaseca-placa.250x250x10</t>
  </si>
  <si>
    <t xml:space="preserve">Material</t>
  </si>
  <si>
    <t xml:space="preserve">und</t>
  </si>
  <si>
    <t xml:space="preserve">Placa de acero para anclaje de estructura metálica 250x250x10 mm   Ref. c.vilaseca-placa.250x250x10</t>
  </si>
  <si>
    <t xml:space="preserve">Placa de acero para anclaje de estructura metálica 250x250x10 mm   Ref. c.vilaseca-placa.250x250x10</t>
  </si>
  <si>
    <t xml:space="preserve">ma-c.vilaseca-placa.250x250x12</t>
  </si>
  <si>
    <t xml:space="preserve">Material</t>
  </si>
  <si>
    <t xml:space="preserve">und</t>
  </si>
  <si>
    <t xml:space="preserve">Placa de acero para anclaje de estructura metálica 250x250x12 mm   Ref. c.vilaseca-placa.250x250x12</t>
  </si>
  <si>
    <t xml:space="preserve">Placa de acero para anclaje de estructura metálica 250x250x12 mm   Ref. c.vilaseca-placa.250x250x12.</t>
  </si>
  <si>
    <t xml:space="preserve">ma-c.vilaseca-placa.300x300x10</t>
  </si>
  <si>
    <t xml:space="preserve">Material</t>
  </si>
  <si>
    <t xml:space="preserve">und</t>
  </si>
  <si>
    <t xml:space="preserve">Placa de acero para anclaje de estructura metálica 300x300x10 mm   Ref. c.vilaseca-placa.300x300x10</t>
  </si>
  <si>
    <t xml:space="preserve">Placa de acero para anclaje de estructura metálica 300x300x10 mm   Ref. c.vilaseca-placa.300x300x10.</t>
  </si>
  <si>
    <t xml:space="preserve">ma-cv-1038</t>
  </si>
  <si>
    <t xml:space="preserve">Material</t>
  </si>
  <si>
    <t xml:space="preserve">m</t>
  </si>
  <si>
    <t xml:space="preserve">Tubo cuadrado 50x50x2 mm con peso 2,914 kg/m.   Ref. ma-cv-1038</t>
  </si>
  <si>
    <t xml:space="preserve">Tubo cuadrado 50x50x2 mm con peso 2,914 kg/m.   Ref. ma-cv-1038</t>
  </si>
  <si>
    <t xml:space="preserve">ma-etsy-tipo.1</t>
  </si>
  <si>
    <t xml:space="preserve">Material</t>
  </si>
  <si>
    <t xml:space="preserve">pza</t>
  </si>
  <si>
    <t xml:space="preserve">Adorno de roseta de acero fundido de ETSY.   Ref. etsy-tipo.1</t>
  </si>
  <si>
    <t xml:space="preserve">Adorno de roseta de acero fundido de ETSY.   Ref. etsy-tipo.1</t>
  </si>
  <si>
    <t xml:space="preserve">ma-etsy-tipo2-16a30</t>
  </si>
  <si>
    <t xml:space="preserve">Material</t>
  </si>
  <si>
    <t xml:space="preserve">pza</t>
  </si>
  <si>
    <t xml:space="preserve">Adorno de roseta de acero fundido de ETSY.   Ref. etsy-tipo2-16a30</t>
  </si>
  <si>
    <t xml:space="preserve">Adorno de roseta de acero fundido de ETSY.   Ref. etsy-tipo2-16a30</t>
  </si>
  <si>
    <t xml:space="preserve">ma-etsy-tipo2-1a15</t>
  </si>
  <si>
    <t xml:space="preserve">Material</t>
  </si>
  <si>
    <t xml:space="preserve">pza</t>
  </si>
  <si>
    <t xml:space="preserve">Adorno de roseta de acero fundido de ETSY.   Ref. etsy-tipo2-1a15</t>
  </si>
  <si>
    <t xml:space="preserve">Adorno de roseta de acero fundido de ETSY.   Ref. etsy-tipo2-1a15</t>
  </si>
  <si>
    <t xml:space="preserve">ma-hierromiguel-IPN140</t>
  </si>
  <si>
    <t xml:space="preserve">Material</t>
  </si>
  <si>
    <t xml:space="preserve">kg</t>
  </si>
  <si>
    <t xml:space="preserve">Perfil de acero estructural tipo IPN 140 mm (14,40 kg/m).   Ref. hierromiguel-IPN140</t>
  </si>
  <si>
    <t xml:space="preserve">Perfil de acero estructural tipo IPN 140 mm (14,40 kg/m).   Ref. hierromiguel-IPN140</t>
  </si>
  <si>
    <t xml:space="preserve">ma-hierromiguel-L120x120x12</t>
  </si>
  <si>
    <t xml:space="preserve">Material</t>
  </si>
  <si>
    <t xml:space="preserve">kg</t>
  </si>
  <si>
    <t xml:space="preserve">Perfil ángulo de alas iguales de acero estructural tipo L 120x120x12 mm (21,60 kg/m).   Ref. hierromiguel-L120x120x12</t>
  </si>
  <si>
    <t xml:space="preserve">Perfil ángulo de alas iguales de acero estructural tipo L 120x120x12 mm.   Ref. hierromiguel-L120x120x12</t>
  </si>
  <si>
    <t xml:space="preserve">ma-hierromiguel-placa.300x200x20</t>
  </si>
  <si>
    <t xml:space="preserve">Material</t>
  </si>
  <si>
    <t xml:space="preserve">und</t>
  </si>
  <si>
    <t xml:space="preserve">Placa de acero para anclaje de estructura metálica 300x200x20 mm   Ref. hierromiguel-placa.300x200x20</t>
  </si>
  <si>
    <t xml:space="preserve">Placa de acero para anclaje de estructura metálica 300x200x20 mm   Ref. hierromiguel-placa.300x200x20</t>
  </si>
  <si>
    <t xml:space="preserve">ma-hierros.online-chapa.6mm</t>
  </si>
  <si>
    <t xml:space="preserve">Material</t>
  </si>
  <si>
    <t xml:space="preserve">placa</t>
  </si>
  <si>
    <t xml:space="preserve">Chapa de acero en calidad S235JR acabado laminado en caliente (2000x1000 mm/placa; espesor 6 mm).   Ref. hierros.online-chapa.6mm</t>
  </si>
  <si>
    <t xml:space="preserve">Chapa de acero en calidad S235JR acabado laminado en caliente (2000x1000 mm/placa; espesor 6 mm).   Ref. hierros.online-chapa.6mm</t>
  </si>
  <si>
    <t xml:space="preserve">ma-hierromiguel-placa.300x200x10</t>
  </si>
  <si>
    <t xml:space="preserve">Material</t>
  </si>
  <si>
    <t xml:space="preserve">und</t>
  </si>
  <si>
    <t xml:space="preserve">Placa de acero para anclaje de estructura metálica 300x200x10 mm   Ref. hierromiguel-placa.300x200x10</t>
  </si>
  <si>
    <t xml:space="preserve">Placa de acero para anclaje de estructura metálica 300x200x10 mm   Ref. hierromiguel-placa.300x200x10.</t>
  </si>
  <si>
    <t xml:space="preserve">ma-hierromiguel-placa.150x150x10</t>
  </si>
  <si>
    <t xml:space="preserve">Material</t>
  </si>
  <si>
    <t xml:space="preserve">und</t>
  </si>
  <si>
    <t xml:space="preserve">Placa de acero para anclaje de estructura metálica 150x150x10 mm   Ref. hierromiguel-placa.150x150x10</t>
  </si>
  <si>
    <t xml:space="preserve">Placa de acero para anclaje de estructura metálica 150x150x10 mm   Ref. hierromiguel-placa.150x150x10.</t>
  </si>
  <si>
    <t xml:space="preserve">ma-hierromiguel-placa.250x250x10</t>
  </si>
  <si>
    <t xml:space="preserve">Material</t>
  </si>
  <si>
    <t xml:space="preserve">und</t>
  </si>
  <si>
    <t xml:space="preserve">Placa de acero para anclaje de estructura metálica 250x250x10 mm   Ref. hierromiguel-placa.250x250x10</t>
  </si>
  <si>
    <t xml:space="preserve">Placa de acero para anclaje de estructura metálica 250x250x10 mm   Ref. hierromiguel-placa.250x250x10</t>
  </si>
  <si>
    <t xml:space="preserve">ma-hierromiguel-placa.250x250x12</t>
  </si>
  <si>
    <t xml:space="preserve">Material</t>
  </si>
  <si>
    <t xml:space="preserve">und</t>
  </si>
  <si>
    <t xml:space="preserve">Placa de acero para anclaje de estructura metálica 250x250x12 mm   Ref. hierromiguel-placa.250x250x12</t>
  </si>
  <si>
    <t xml:space="preserve">Placa de acero para anclaje de estructura metálica 250x250x12 mm   Ref. hierromiguel-placa.250x250x12</t>
  </si>
  <si>
    <t xml:space="preserve">ma-hierromiguel-placa.300x200x12</t>
  </si>
  <si>
    <t xml:space="preserve">Material</t>
  </si>
  <si>
    <t xml:space="preserve">und</t>
  </si>
  <si>
    <t xml:space="preserve">Placa de acero para anclaje de estructura metálica 300x200x12 mm   Ref. hierromiguel-placa.300x200x12</t>
  </si>
  <si>
    <t xml:space="preserve">Placa de acero para anclaje de estructura metálica 300x200x12 mm   Ref. hierromiguel-placa.300x200x12</t>
  </si>
  <si>
    <t xml:space="preserve">ma-hierromiguel-placa.300x300x12</t>
  </si>
  <si>
    <t xml:space="preserve">Material</t>
  </si>
  <si>
    <t xml:space="preserve">und</t>
  </si>
  <si>
    <t xml:space="preserve">Placa de acero para anclaje de estructura metálica 300x300x12 mm   Ref. hierromiguel-placa.300x300x12</t>
  </si>
  <si>
    <t xml:space="preserve">Placa de acero para anclaje de estructura metálica 300x300x12 mm   Ref. hierromiguel-placa.300x300x12Placa de acero para anclaje de estructura metálica 300x300x12 mm   Ref. hierromiguel-placa.300x300x12</t>
  </si>
  <si>
    <t xml:space="preserve">ma-hierromiguel-placa.350x200x10</t>
  </si>
  <si>
    <t xml:space="preserve">Material</t>
  </si>
  <si>
    <t xml:space="preserve">und</t>
  </si>
  <si>
    <t xml:space="preserve">Placa de acero para anclaje de estructura metálica 350x200x10 mm   Ref. hierromiguel-placa.350x200x10</t>
  </si>
  <si>
    <t xml:space="preserve">Placa de acero para anclaje de estructura metálica 350x200x10 mm   Ref. hierromiguel-placa.350x200x10.</t>
  </si>
  <si>
    <t xml:space="preserve">ma-hierromiguel-placa.475x300x12</t>
  </si>
  <si>
    <t xml:space="preserve">Material</t>
  </si>
  <si>
    <t xml:space="preserve">und</t>
  </si>
  <si>
    <t xml:space="preserve">Placa de acero para anclaje de estructura metálica en U (150+175+150)475x300x12 mm   Ref. hierromiguel-placa.475x300x12</t>
  </si>
  <si>
    <t xml:space="preserve">Placa de acero para anclaje de estructura metálica en U (150+175+150)475x300x12 mm   Ref. hierromiguel-placa.475x300x12</t>
  </si>
  <si>
    <t xml:space="preserve">ma-hierromiguel-01</t>
  </si>
  <si>
    <t xml:space="preserve">Material</t>
  </si>
  <si>
    <t xml:space="preserve">m</t>
  </si>
  <si>
    <t xml:space="preserve">Pletina de acero acabado laminado en caliente (ancho 80 mm; espesor 6 mm).   Ref. hierromiguel-01</t>
  </si>
  <si>
    <t xml:space="preserve">Pletina de acero acabado laminado en caliente (ancho 80 mm; espesor 6 mm).   Ref. hierromiguel-01</t>
  </si>
  <si>
    <t xml:space="preserve">ma-hierromiguel-03</t>
  </si>
  <si>
    <t xml:space="preserve">Material</t>
  </si>
  <si>
    <t xml:space="preserve">pza</t>
  </si>
  <si>
    <t xml:space="preserve">Tubo de hierro con sección cuadrada 50x50x5 mm (6 m/pza).   Ref. hierromiguel-03</t>
  </si>
  <si>
    <t xml:space="preserve">Tubo de hierro con sección cuadrada 50x50x5 mm (6 m/pza).   Ref. hierromiguel-03</t>
  </si>
  <si>
    <t xml:space="preserve">ma-hierromiguel-IPN160</t>
  </si>
  <si>
    <t xml:space="preserve">Material</t>
  </si>
  <si>
    <t xml:space="preserve">kg</t>
  </si>
  <si>
    <t xml:space="preserve">Perfil de acero estructural tipo IPN 160 mm (17,90 kg/m).   Ref. hierromiguel-IPN160</t>
  </si>
  <si>
    <t xml:space="preserve">IPN de 160 mm, acabado laminado en caliente en calidad S275JR.   Ref. hierromiguel-IPN160.</t>
  </si>
  <si>
    <t xml:space="preserve">ma-hierromiguel-IPN180</t>
  </si>
  <si>
    <t xml:space="preserve">Material</t>
  </si>
  <si>
    <t xml:space="preserve">kg</t>
  </si>
  <si>
    <t xml:space="preserve">Perfil de acero estructural tipo IPN 180 mm (21,90 kg/m).   Ref. hierromiguel-IPN180</t>
  </si>
  <si>
    <t xml:space="preserve">IPN de 180 mm, acabado laminado en caliente en calidad S275JR.   Ref. hierromiguel-IPN180.</t>
  </si>
  <si>
    <t xml:space="preserve">ma-hierromiguel-UPN160</t>
  </si>
  <si>
    <t xml:space="preserve">Material</t>
  </si>
  <si>
    <t xml:space="preserve">kg</t>
  </si>
  <si>
    <t xml:space="preserve">Perfil de acero estructural tipo UPN 160 mm (18,80 kg/m).   Ref. hierromiguel-UPN160</t>
  </si>
  <si>
    <t xml:space="preserve">Perfil de acero estructural tipo UPN 160 mm (18,80 kg/m).   Ref. hierromiguel-UPN160</t>
  </si>
  <si>
    <t xml:space="preserve">ma-hierromiguel-pletina.30x8</t>
  </si>
  <si>
    <t xml:space="preserve">Material</t>
  </si>
  <si>
    <t xml:space="preserve">m</t>
  </si>
  <si>
    <t xml:space="preserve">Pletina de acero acabado laminado en caliente (ancho 30 mm; espesor 8 mm).   Ref. hierromiguel-pletina.30x8</t>
  </si>
  <si>
    <t xml:space="preserve">Pletina de acero acabado laminado en caliente (ancho 30 mm; espesor 8 mm).   Ref. hierromiguel-pletina.30x8</t>
  </si>
  <si>
    <t xml:space="preserve">ma-lm-13217890</t>
  </si>
  <si>
    <t xml:space="preserve">Material</t>
  </si>
  <si>
    <t xml:space="preserve">pza</t>
  </si>
  <si>
    <t xml:space="preserve">Soporte metálico para poste (7x7 cm/pza).   Ref. lm-13217890</t>
  </si>
  <si>
    <t xml:space="preserve">Soporte o base para poste fabricado en metal galvanizado con pletina formulado para atornillar sobre un suelo de hormigón y ofrecer una completa estabilidad en pérgolas, vallas o cenadores. Su diseño incorpora 12 perforaciones para introducir los tornillos. Está tratado con un proceso de galvanización en caliente que recubre el material mediante su inmersión en un baño de zinc fundido, aportando una protección notable contra la corrosión y la oxidación por motivos de humedad o contaminación ambiental. Medidas: 7 x 7 cm (ancho x largo).   Ref. lm-13217890.</t>
  </si>
  <si>
    <t xml:space="preserve">ma-lm-13217904</t>
  </si>
  <si>
    <t xml:space="preserve">Material</t>
  </si>
  <si>
    <t xml:space="preserve">pza</t>
  </si>
  <si>
    <t xml:space="preserve">Soporte metálico para poste (9x9 cm/pza).   Ref. lm-13217904</t>
  </si>
  <si>
    <t xml:space="preserve">Soporte o base para poste fabricado en metal galvanizado con pletina formulado para atornillar sobre un suelo de hormigón y ofrecer una completa estabilidad en pérgolas, vallas o cenadores. Su diseño incorpora 12 perforaciones para introducir los tornillos. Está tratado con un proceso de galvanización en caliente que recubre el material mediante su inmersión en un baño de zinc fundido, aportando una protección notable contra la corrosión y la oxidación por motivos de humedad o contaminación ambiental. Medidas: 9 x 9 cm (ancho x largo).   Ref. lm-13217904.</t>
  </si>
  <si>
    <t xml:space="preserve">ma-lm-89381024</t>
  </si>
  <si>
    <t xml:space="preserve">Material</t>
  </si>
  <si>
    <t xml:space="preserve">rollo</t>
  </si>
  <si>
    <t xml:space="preserve">Cable de acero galvanizado 3 mm de WURKO (100 m/rollo).   Ref. lm-89381024</t>
  </si>
  <si>
    <t xml:space="preserve">Cable de acero 3mm galvanizado 6x7x1. Rollo 100 mts trenzado con 6 cables con 7 filamentos y 1 hilo de fibra interior. Alta resistencia a la corrosión.   Ref. lm-89381024.</t>
  </si>
  <si>
    <t xml:space="preserve">ma-lp-00001179</t>
  </si>
  <si>
    <t xml:space="preserve">Material</t>
  </si>
  <si>
    <t xml:space="preserve">pza</t>
  </si>
  <si>
    <t xml:space="preserve">Mallazo de acero corrugado electrosoldado; cuadrícula de 20x20 cm, diámetro 5 mm (3x2,5 m/pza).   Ref. lp-00001179</t>
  </si>
  <si>
    <t xml:space="preserve">Mallazo es la malla de acero corrugado que se utiliza en construcción para cerramientos fijos y refuerzo de estructuras. Está formada por barras y alambres que se cruzan perpendicularmente. Los puntos de contacto están unidos por soldadura eléctrica. Medidas de la cuadrícula: 20x20 mm. Diámetro de la varilla: 5 mm. Medidas del mallazo: 3x2,5m.   Ref. lp-00001179</t>
  </si>
  <si>
    <t xml:space="preserve">ma-lp-00001652</t>
  </si>
  <si>
    <t xml:space="preserve">Material</t>
  </si>
  <si>
    <t xml:space="preserve">pza</t>
  </si>
  <si>
    <t xml:space="preserve">Tubo de hierro con sección cuadrada 30x30x1,5 mm (3 m/pza).   Ref. lp-00001652</t>
  </si>
  <si>
    <t xml:space="preserve">Tubo cuadrado hueco de acero S235 sin lacar de medida 30x30 mm. Espesor 1,5 mm. Largo: 3 m. Para construcción y cerrajería.   Ref. lp-00001652.</t>
  </si>
  <si>
    <t xml:space="preserve">ma-lp-00001659</t>
  </si>
  <si>
    <t xml:space="preserve">Material</t>
  </si>
  <si>
    <t xml:space="preserve">pza</t>
  </si>
  <si>
    <t xml:space="preserve">Perfil angular macizo con alas iguales de CDL en acero laminado S275 JR+M (60x60x6 mmm; 3 m/pza).   Ref. lp-00001659</t>
  </si>
  <si>
    <t xml:space="preserve">Perfil angular macizo con alas iguales de CDL en acero laminado S275 JR+M, indicado para construcción y cerrajería. Medidas: 60x60x6 mm. Longitud de la barra: 3 m. Peso: 16,92 kg.   Ref. lp-00001659.</t>
  </si>
  <si>
    <t xml:space="preserve">ma-lp-00001662</t>
  </si>
  <si>
    <t xml:space="preserve">Material</t>
  </si>
  <si>
    <t xml:space="preserve">pza</t>
  </si>
  <si>
    <t xml:space="preserve">Perfil de acero tipo pletina maciza; 30x5 mm (3 m/pza).   Ref. lp-00001662</t>
  </si>
  <si>
    <t xml:space="preserve">Perfil de acero tipo pletina maciza; 30x5 mm (3 m/pza).   Ref. lp-00001662</t>
  </si>
  <si>
    <t xml:space="preserve">ma-lp-00001663</t>
  </si>
  <si>
    <t xml:space="preserve">Material</t>
  </si>
  <si>
    <t xml:space="preserve">pza</t>
  </si>
  <si>
    <t xml:space="preserve">Perfil de acero tipo pletina maciza; 60x5 mm (3 m/pza).   Ref. lp-00001663</t>
  </si>
  <si>
    <t xml:space="preserve">Perfil de acero tipo pletina maciza; 60x5 mm (3 m/pza).   Ref. lp-00001663</t>
  </si>
  <si>
    <t xml:space="preserve">ma-lp-00001672</t>
  </si>
  <si>
    <t xml:space="preserve">Material</t>
  </si>
  <si>
    <t xml:space="preserve">pza</t>
  </si>
  <si>
    <t xml:space="preserve">Redondo acero corrugado diámetro 10 mm (3 m/pza).   Ref. lp-00001672</t>
  </si>
  <si>
    <t xml:space="preserve">Redondo de acero corrugado de 10 mm de diámetro B-500-S (0,64 kg/m) que se utiliza como ferralla para construcción. Longitud de la barra: 3 m.   Ref. lp-00001672</t>
  </si>
  <si>
    <t xml:space="preserve">ma-lp-00001673</t>
  </si>
  <si>
    <t xml:space="preserve">Material</t>
  </si>
  <si>
    <t xml:space="preserve">pza</t>
  </si>
  <si>
    <t xml:space="preserve">Redondo acero corrugado diámetro 12 mm (3 m/pza).   Ref. lp-00001673</t>
  </si>
  <si>
    <t xml:space="preserve">Redondo de acero corrugado de 12 mm de diámetro B-500-S (0,92 kg/m) que se utiliza como ferralla para construcción. Longitud de la barra: 3 m.   Ref. lp-00001673</t>
  </si>
  <si>
    <t xml:space="preserve">ma-lp-00001674</t>
  </si>
  <si>
    <t xml:space="preserve">Material</t>
  </si>
  <si>
    <t xml:space="preserve">pza</t>
  </si>
  <si>
    <t xml:space="preserve">Redondo acero corrugado diámetro 16 mm (3 m/pza).   Ref. lp-00001674</t>
  </si>
  <si>
    <t xml:space="preserve">Redondo de acero corrugado de 16 mm de diámetro B-500-S (1,63 kg/m) que se utiliza como ferralla para construcción. Longitud de la barra: 3 m.   Ref. lp-00001674</t>
  </si>
  <si>
    <t xml:space="preserve">ma-lp-00001675</t>
  </si>
  <si>
    <t xml:space="preserve">Material</t>
  </si>
  <si>
    <t xml:space="preserve">pza</t>
  </si>
  <si>
    <t xml:space="preserve">Redondo acero corrugado diámetro 6 mm (3 m/pza).   Ref. lp-00001675</t>
  </si>
  <si>
    <t xml:space="preserve">Redondo de acero corrugado de 6 mm de diámetro B-500-S (0,23 kg/m) que se utiliza como ferralla para construcción. Longitud de la barra: 3 m.   Ref. lp-00001675</t>
  </si>
  <si>
    <t xml:space="preserve">ma-lp-00001676</t>
  </si>
  <si>
    <t xml:space="preserve">Material</t>
  </si>
  <si>
    <t xml:space="preserve">pza</t>
  </si>
  <si>
    <t xml:space="preserve">Redondo acero corrugado diámetro 8 mm (3 m/pza).   Ref. lp-00001676</t>
  </si>
  <si>
    <t xml:space="preserve">Redondo de acero corrugado de 8 mm de diámetro B-500-S (0,41 kg/m) que se utiliza como ferralla para construcción. Longitud de la barra: 3 m.   Ref. lp-00001676</t>
  </si>
  <si>
    <t xml:space="preserve">ma-lp-00016796</t>
  </si>
  <si>
    <t xml:space="preserve">Material</t>
  </si>
  <si>
    <t xml:space="preserve">pza</t>
  </si>
  <si>
    <t xml:space="preserve">Tubo de hierro con sección cuadrada 10x10 mm (1 m/pza).   Ref. lp-00016796</t>
  </si>
  <si>
    <t xml:space="preserve">Tubo de hierro con sección cuadrada 10x10 mm (1 m/pza).   Ref. lp-00016796</t>
  </si>
  <si>
    <t xml:space="preserve">ma-lp-00020165</t>
  </si>
  <si>
    <t xml:space="preserve">Material</t>
  </si>
  <si>
    <t xml:space="preserve">pza</t>
  </si>
  <si>
    <t xml:space="preserve">Tubo de hierro con sección cuadrada 20x20 mm (1 m/pza).   Ref. lp-00020165</t>
  </si>
  <si>
    <t xml:space="preserve">Tubo de hierro con sección cuadrada 20x20 mm (1 m/pza).   Ref. lp-00020165</t>
  </si>
  <si>
    <t xml:space="preserve">ma-lp-00020166</t>
  </si>
  <si>
    <t xml:space="preserve">Material</t>
  </si>
  <si>
    <t xml:space="preserve">pza</t>
  </si>
  <si>
    <t xml:space="preserve">Tubo de hierro con sección cuadrada 20x20 mm (2 m/pza).   Ref. lp-00020166</t>
  </si>
  <si>
    <t xml:space="preserve">Tubo de hierro con sección cuadrada 20x20 mm (2 m/pza).   Ref. lp-00020166</t>
  </si>
  <si>
    <t xml:space="preserve">ma-lp-00120861</t>
  </si>
  <si>
    <t xml:space="preserve">Material</t>
  </si>
  <si>
    <t xml:space="preserve">pza</t>
  </si>
  <si>
    <t xml:space="preserve">Tubo de hierro con sección cuadrada 12x12 mm (1 m/pza).   Ref. lp-00120861</t>
  </si>
  <si>
    <t xml:space="preserve">Tubo de hierro con sección cuadrada 12x12 mm (1 m/pza).   Ref. lp-00120861</t>
  </si>
  <si>
    <t xml:space="preserve">ma-lp-00120862</t>
  </si>
  <si>
    <t xml:space="preserve">Material</t>
  </si>
  <si>
    <t xml:space="preserve">pza</t>
  </si>
  <si>
    <t xml:space="preserve">Tubo de hierro con sección cuadrada 10x10 mm (2 m/pza).   Ref. lp-00120862</t>
  </si>
  <si>
    <t xml:space="preserve">Tubo de hierro con sección cuadrada 10x10 mm (2 m/pza).   Ref. lp-00120862</t>
  </si>
  <si>
    <t xml:space="preserve">ma-lp-00122180</t>
  </si>
  <si>
    <t xml:space="preserve">Material</t>
  </si>
  <si>
    <t xml:space="preserve">pza</t>
  </si>
  <si>
    <t xml:space="preserve">Tubo de hierro con sección rectangular 40x30 mm (2 m/pza).   Ref. lp-00122180</t>
  </si>
  <si>
    <t xml:space="preserve">Tubo de hierro con sección rectangular 40x30 mm (2 m/pza).   Ref. lp-00122180</t>
  </si>
  <si>
    <t xml:space="preserve">ma-lp-00124026</t>
  </si>
  <si>
    <t xml:space="preserve">Material</t>
  </si>
  <si>
    <t xml:space="preserve">rollo</t>
  </si>
  <si>
    <t xml:space="preserve">Alambre de atar 1,20 mm (25 kg/rollo).   Ref. lp-00124026</t>
  </si>
  <si>
    <t xml:space="preserve">Barra de acero estirado en frío de sección circular. En elementos de hormigón armado se emplea para fijar las intersecciones de las armaduras y para evitar desplazamientos.   Ref. lp-00124026.</t>
  </si>
  <si>
    <t xml:space="preserve">ma-lp-00253726</t>
  </si>
  <si>
    <t xml:space="preserve">Material</t>
  </si>
  <si>
    <t xml:space="preserve">und</t>
  </si>
  <si>
    <t xml:space="preserve">Perfil de acero estructural tipo UPN 100 mm x 3 m   Ref. lp-00253726</t>
  </si>
  <si>
    <t xml:space="preserve">Perfil estructural de acero laminado UPN 100 mm, indicado para estructura metálica. Se utilizan en construcción civil o de edificios como vigas en pilares y en soportes. Longitud de la barra: 3 m. Peso = 10,60 kg/m.   Ref. lp-00253726</t>
  </si>
  <si>
    <t xml:space="preserve">ma-lp-00253732</t>
  </si>
  <si>
    <t xml:space="preserve">Material</t>
  </si>
  <si>
    <t xml:space="preserve">und</t>
  </si>
  <si>
    <t xml:space="preserve">Placa de acero para anclaje de estructura metálica (250x250x8 mm/pza).   Ref. lp-00253732</t>
  </si>
  <si>
    <t xml:space="preserve">Placa de acero para anclaje de estructuras metálicas en construcción y cerrajería. El anclaje de cualquier pieza estructural metálica desde otra de hormigón lo hace mediante una placa de apoyo. Medidas: 250x250x8 mm.   Ref. lp-00253732</t>
  </si>
  <si>
    <t xml:space="preserve">ma-lp-00277858</t>
  </si>
  <si>
    <t xml:space="preserve">Material</t>
  </si>
  <si>
    <t xml:space="preserve">pza</t>
  </si>
  <si>
    <t xml:space="preserve">Redondo acero corrugado diámetro 6 mm (2 m/pza)   Ref. lp-00277858</t>
  </si>
  <si>
    <t xml:space="preserve">Redondo de acero corrugado de 6 mm de diámetro B-500-S (0,23 kg/m) que se utiliza como ferralla para construcción. Longitud de la barra: 2 m.   Ref. lp-00277858</t>
  </si>
  <si>
    <t xml:space="preserve">ma-lp-00277864</t>
  </si>
  <si>
    <t xml:space="preserve">Material</t>
  </si>
  <si>
    <t xml:space="preserve">pza</t>
  </si>
  <si>
    <t xml:space="preserve">Redondo acero corrugado diámetro 8 mm (2 m/pza).   Ref. lp-00277864</t>
  </si>
  <si>
    <t xml:space="preserve">Redondo de acero corrugado de 8 mm de diámetro B-500-S (0,41 kg/m) que se utiliza como ferralla para construcción. Longitud de la barra: 2 m.   Ref. lp-00277864</t>
  </si>
  <si>
    <t xml:space="preserve">ma-lp-00277865</t>
  </si>
  <si>
    <t xml:space="preserve">Material</t>
  </si>
  <si>
    <t xml:space="preserve">pza</t>
  </si>
  <si>
    <t xml:space="preserve">Redondo acero corrugado diámetro 10 mm (2 m/pza)   Ref. lp-00277865</t>
  </si>
  <si>
    <t xml:space="preserve">Redondo de acero corrugado de 10 mm de diámetro B-500-S (0,64 kg/m) que se utiliza como ferralla para construcción. Longitud de la barra: 2 m.   Ref. lp-00277865</t>
  </si>
  <si>
    <t xml:space="preserve">MATERIALES.DE.ACERO.Y.HIERRO</t>
  </si>
  <si>
    <t xml:space="preserve">MATERIALES.DE.ALUMINIO</t>
  </si>
  <si>
    <t xml:space="preserve">Capítulo</t>
  </si>
  <si>
    <t xml:space="preserve">MATERIALES DE ALUMINIO</t>
  </si>
  <si>
    <t xml:space="preserve">ma-bm-0041-a500</t>
  </si>
  <si>
    <t xml:space="preserve">Material</t>
  </si>
  <si>
    <t xml:space="preserve">pza</t>
  </si>
  <si>
    <t xml:space="preserve">Chapa de aluminio natural (500x1000 mm/pza; 5 mm espesor).   Ref. bm-0041-a500</t>
  </si>
  <si>
    <t xml:space="preserve">Chapa lisa de 5 mm de espesor de Aluminio Natural crudo 400x1000 mm, cortada a medida solicitada a partir de chapa lisa de mayores dimensiones mediante corte recto no abrasivo con cizalla/guillotina.   Ref. bm-0041-a500.
Aplicaciones: Revestimientos (exterior e interior), ventanas, puertas, techos, fachadas, decoración, elementos arquitectónicos, vallas, cartelería, cubiertas, manualidades, placas, soportes, mobiliario, etc.
Manipulación:
•    Puede cortarse con sierra de calar con cuchilla adecuada para metal, dremel, sierra circular o amoladora con disco de metal fija o autónoma, cizalla para metal...
• Puede fijarse con remaches, tornillos y adhesivos adecuados (se recomienda remaches y tornillos adecuados en aluminio o acero inoxidable).
• Puede perforarse con taladro y broca o punta para metales.
• Puede pintarse.
• Puede soldarse.
• Admite plegado y curvado.
• Utilizar guantes de protección para su manipulación y gafas de protección para realizar cortes, perforaciones, taladros, etc.</t>
  </si>
  <si>
    <t xml:space="preserve">ma-bm-0224-480x1000</t>
  </si>
  <si>
    <t xml:space="preserve">Material</t>
  </si>
  <si>
    <t xml:space="preserve">pza</t>
  </si>
  <si>
    <t xml:space="preserve">Ángulo de lados desiguales en aluminio natural (480(330+150)x1000 mm/pza; 5 mm espesor).   Ref. bm-0224-480x1000</t>
  </si>
  <si>
    <t xml:space="preserve">Ángulo lados desiguales de 5 mm de espesor de Aluminio Natural crudo, cortado y plegado a medida solicitado a partir de chapa lisa de mayores dimensiones mediante corte recto no abrasivo con máquina CNC cizalla/guillotina y posterior conformado con máquina CNC plegadora.   Ref. bm-0224-480x1000.
Aplicaciones: Revestimientos (exterior e interior), subestructuras, ventanas, puertas, techos, fachadas, decoración, elementos arquitectónicos, cubiertas, hojalatería, manualidades, etc.
Manipulación:
• Puede cortarse con sierra de calar con cuchilla adecuada para metal, dremel, sierra circular o amoladora con disco de metal fija o autónoma, cizalla para metal...
• Puede fijarse con remaches, tornillos y adhesivos adecuados (se recomienda remaches y tornillos adecuados en aluminio o acero inoxidable).
• Puede perforarse con taladro y broca o punta para metales.
• Puede pintarse.
• Para instalación con el film de protección puesto, se recomienda despegar el film entre 10 y 20 mm (1 y 2 cm) en los extremos para facilitar su posterior retirada. No prolongar en exceso la retirada del film, para evitar que se deteriore y dificulte su retirada. En caso de fijación con adhesivos, esperar a los tiempos de curado para retirar el film.
• Utilizar guantes de protección para su manipulación y gafas de protección para realizar cortes, perforaciones, taladros, etc.</t>
  </si>
  <si>
    <t xml:space="preserve">ma-chapas.y.perfiles-visera-100</t>
  </si>
  <si>
    <t xml:space="preserve">Material</t>
  </si>
  <si>
    <t xml:space="preserve">pza</t>
  </si>
  <si>
    <t xml:space="preserve">Perfil de remate exterior tipo visera en aluminio lacado para protección solar y canalización de aguas de lluvia (100(+20)x1,2x1000 mm/pza).   Ref. chapas.y.perfiles-visera-100</t>
  </si>
  <si>
    <t xml:space="preserve">Las viseras de aluminio son un componente esencial para la protección solar y la canalización eficiente del agua de lluvia. Fabricadas a medida con aluminio de alta calidad, garantizan una total resistencia a la corrosión además de protección duradera y bajo mantenimiento. Las líneas rectas se integran con cualquier arquitectura existente. El acabado anodizado o lacado le da un aspecto moderno y renovado.   Ref. chapas.y.perfiles-visera-100.</t>
  </si>
  <si>
    <t xml:space="preserve">ma-chapas.y.perfiles-visera-150</t>
  </si>
  <si>
    <t xml:space="preserve">Material</t>
  </si>
  <si>
    <t xml:space="preserve">pza</t>
  </si>
  <si>
    <t xml:space="preserve">Perfil de Remate Exterior tipo Visera en aluminio lacado para protección solar y canalización de aguas de lluvia (150(+20)x1,2x1000 mm/pza).   Ref. chapas.y.perfiles-visera-150</t>
  </si>
  <si>
    <t xml:space="preserve">Las viseras de aluminio son un componente esencial para la protección solar y la canalización eficiente del agua de lluvia. Fabricadas a medida con aluminio de alta calidad, garantizan una total resistencia a la corrosión además de protección duradera y bajo mantenimiento. Las líneas rectas se integran con cualquier arquitectura existente. El acabado anodizado o lacado le da un aspecto moderno y renovado.   Ref. chapas.y.perfiles-visera-150.</t>
  </si>
  <si>
    <t xml:space="preserve">ma-chapasyperfiles-T3-20.40</t>
  </si>
  <si>
    <t xml:space="preserve">Material</t>
  </si>
  <si>
    <t xml:space="preserve">m</t>
  </si>
  <si>
    <t xml:space="preserve">Visera de aluminio lacado en chapa plegada-cortada; tipo 3 (A:B::20:40 mm).   Ref. chapasyperfiles-T3-20.40</t>
  </si>
  <si>
    <t xml:space="preserve">La visera de aluminio es un componente esencial para la protección solar y la canalización eficiente del agua de lluvia. Fabricada con aluminio de alta calidad, garantiza una total resistencia a la corrosión además de protección duradera y bajo mantenimiento.   Ref. chapasyperfiles-T3-20.40.
Las líneas rectas se integran con cualquier arquitectura existente. El acabado anodizado o lacado le da un aspecto moderno y renovado. 15 colores para configurar. Varias aplicaciones: tejadillo para cerramientos, protección de elementos. Aislante perfecto para humedades y filtraciones de agua.</t>
  </si>
  <si>
    <t xml:space="preserve">ma-construmole-canala0073-UE.100</t>
  </si>
  <si>
    <t xml:space="preserve">Material</t>
  </si>
  <si>
    <t xml:space="preserve">pza</t>
  </si>
  <si>
    <t xml:space="preserve">Pisavidrio aluminio anodizado natural (3/8”x 3/8”x6 m/pza; 0,95x0,95x600 cm/pza).   Ref: construmole-canala0073-UE.100</t>
  </si>
  <si>
    <t xml:space="preserve">Pisavidrio aluminio anodizado natural (3/8”x 3/8”x6 m/pza; 9,5x9,5x600 cm/pza).   Ref: construmole-canala0073-UE.100</t>
  </si>
  <si>
    <t xml:space="preserve">ma-eurofinestra-AD461</t>
  </si>
  <si>
    <t xml:space="preserve">Material</t>
  </si>
  <si>
    <t xml:space="preserve">pza</t>
  </si>
  <si>
    <t xml:space="preserve">Vierteaguas de aluminio lacado blanco (33x200 cm/pza).   Ref. eurofinestra-AD461</t>
  </si>
  <si>
    <t xml:space="preserve">Pieza de Perfil de Vierteaguas de Aluminio Lacado Blanco de cualquier medida hasta 2 m de longitud por 300mm de ancho para ser colocado en ventanas de aluminio o PVC para tapar la piedra o la cerámica en mal estado o vieja, e impermeabilizar bien las entradas de agua y facilitar la limpieza del alfeizar exterior. Se coloca fácilmente sobre la piedra existente o sobre el cemento (si es obra nueva). Se pega y sella con poliuretano (base caucho).   Ref. eurofinestra-AD461.</t>
  </si>
  <si>
    <t xml:space="preserve">ma-eurofinestra-AD509</t>
  </si>
  <si>
    <t xml:space="preserve">Material</t>
  </si>
  <si>
    <t xml:space="preserve">pza</t>
  </si>
  <si>
    <t xml:space="preserve">Cubremuros de aluminio lacado blanco con goterón (23 x 300 cm/pza).   Ref. eurofinestra-AD509</t>
  </si>
  <si>
    <t xml:space="preserve">Cubremuros de aluminio lacado blanco con goterón (23 x 300 cm/pza).   Ref. eurofinestra-AD509</t>
  </si>
  <si>
    <t xml:space="preserve">ma-eurofinestra-AD512</t>
  </si>
  <si>
    <t xml:space="preserve">Material</t>
  </si>
  <si>
    <t xml:space="preserve">pza</t>
  </si>
  <si>
    <t xml:space="preserve">Esquinera de cubremuro de aluminio RAL 7016 mate (ancho 23 cm/pza).   Ref. eurofinestra-AD512</t>
  </si>
  <si>
    <t xml:space="preserve">Esquinera de cubremuro de aluminio RAL 7016 mate (ancho 23 cm/pza).   Ref. eurofinestra-AD512</t>
  </si>
  <si>
    <t xml:space="preserve">ma-eurofinestra-AD610</t>
  </si>
  <si>
    <t xml:space="preserve">Material</t>
  </si>
  <si>
    <t xml:space="preserve">pza</t>
  </si>
  <si>
    <t xml:space="preserve">Unión para insertar en cubremuros de aluminio (ancho 23 cm/pza).   Ref. eurofinestra-AD610</t>
  </si>
  <si>
    <t xml:space="preserve">Unión para insertar en cubremuros de aluminio (ancho 23 cm/pza).   Ref. eurofinestra-AD610</t>
  </si>
  <si>
    <t xml:space="preserve">ma-eurofinestra-AD739</t>
  </si>
  <si>
    <t xml:space="preserve">Material</t>
  </si>
  <si>
    <t xml:space="preserve">pza</t>
  </si>
  <si>
    <t xml:space="preserve">Cubremuros de aluminio RAL 7016 mate con goterón (23 x 300 cm/pza).   Ref. eurofinestra-AD739</t>
  </si>
  <si>
    <t xml:space="preserve">Cubremuros de aluminio RAL 7016 mate con goterón (23 x 300 cm/pza).   Ref. eurofinestra-AD739</t>
  </si>
  <si>
    <t xml:space="preserve">ma-lm-84792698</t>
  </si>
  <si>
    <t xml:space="preserve">Material</t>
  </si>
  <si>
    <t xml:space="preserve">pza</t>
  </si>
  <si>
    <t xml:space="preserve">Perfil goterón de aluminio (3 m/pza).   Ref. lm-84792698</t>
  </si>
  <si>
    <t xml:space="preserve">Perfil goterón de aluminio (3 m/pza).   Ref. lm-84792698</t>
  </si>
  <si>
    <t xml:space="preserve">ma-lm-86303100</t>
  </si>
  <si>
    <t xml:space="preserve">Material</t>
  </si>
  <si>
    <t xml:space="preserve">pza</t>
  </si>
  <si>
    <t xml:space="preserve">Base de aluminio para poste HÉRCULES; color verde (125x125 mm/pza).   Ref. lm-86303100</t>
  </si>
  <si>
    <t xml:space="preserve">Base de aluminio para poste HÉRCULES; color verde (125x125 mm/pza).   Ref. lm-86303100</t>
  </si>
  <si>
    <t xml:space="preserve">ma-lm-89011750</t>
  </si>
  <si>
    <t xml:space="preserve">Material</t>
  </si>
  <si>
    <t xml:space="preserve">pza</t>
  </si>
  <si>
    <t xml:space="preserve">Perfil tubo redondo de aluminio anodizado mate (16x16x1000 mm/pza).   Ref. lm-89011750</t>
  </si>
  <si>
    <t xml:space="preserve">Perfil tubo redondo fabricado en aluminio anodizado mate, para Proyectos de Construcción, Reformas y Bricolaje. Medidas 16x16x1000 mm (espesor 1 mm).   Ref. lm-89011750.
Este producto está diseñado y elaborado con materiales de calidad para garantizar su durabilidad y resistencia con el paso del tiempo. Fabricado en aluminio, un material ligero y de larga vida, muy utilizado en cocinas y baños, por su alta resistencia a la corrosión. Es un material reciclable que no merma sus propiedades físicas. Excelente opción para conseguir una relación calidad precio a un precio muy competitivo.</t>
  </si>
  <si>
    <t xml:space="preserve">ma-lumetal-tub.cuadrado.20x20x3</t>
  </si>
  <si>
    <t xml:space="preserve">Material</t>
  </si>
  <si>
    <t xml:space="preserve">pza</t>
  </si>
  <si>
    <t xml:space="preserve">Tubo cuadrado de aluminio (20x20x3 mm/pza de 6 m).   Ref. lumetal-tub.cuadrado.20x20x3</t>
  </si>
  <si>
    <t xml:space="preserve">Tubo cuadrado de aluminio (20x20x3 mm/pza de 6 m).   Ref. lumetal-tub.cuadrado.20x20x3.
https://www.lumetalplastic.com/productos-metales/tubos-rectangulares-de-aluminio/</t>
  </si>
  <si>
    <t xml:space="preserve">ma-lumetal-tub.rectang.100x50x3</t>
  </si>
  <si>
    <t xml:space="preserve">Material</t>
  </si>
  <si>
    <t xml:space="preserve">pza</t>
  </si>
  <si>
    <t xml:space="preserve">Tubo rectangular de aluminio (100x50x3 mm/pza de 6 m).   Ref. lumetal-tub.rectang.100x50x3</t>
  </si>
  <si>
    <t xml:space="preserve">Tubo rectangular de aluminio (100x50x3 mm/pza de 6 m).   Ref. lumetal-tub.rectang.100x50x3.
https://www.lumetalplastic.com/productos-metales/tubos-rectangulares-de-aluminio/</t>
  </si>
  <si>
    <t xml:space="preserve">ma-lumetal-tub.rectangular.80x40</t>
  </si>
  <si>
    <t xml:space="preserve">Material</t>
  </si>
  <si>
    <t xml:space="preserve">pza</t>
  </si>
  <si>
    <t xml:space="preserve">Tubo rectangular de aluminio (80x40x3 mm/pza de  6 m).   Ref. lumetal-tub.rectang.80x40x3</t>
  </si>
  <si>
    <t xml:space="preserve">Tubo rectangular de aluminio (80x40x3 mm/pza de  6 m).   Ref. lumetal-tub.rectang.80x40x3.
https://www.lumetalplastic.com/productos-metales/tubos-rectangulares-de-aluminio/</t>
  </si>
  <si>
    <t xml:space="preserve">ma-motedis-3783</t>
  </si>
  <si>
    <t xml:space="preserve">Material</t>
  </si>
  <si>
    <t xml:space="preserve">pza</t>
  </si>
  <si>
    <t xml:space="preserve">Placa de conexión simple de Aluminio con láser 4 agujeros (20x80x3 mm/pza).   Ref. motedis-3783</t>
  </si>
  <si>
    <t xml:space="preserve">Placa de conexión simple de Aluminio con láser 4 agujeros (20x80x3 mm/pza).   Ref. motedis-3783.
https://www.motedis.es/es/Placas-de-conexion</t>
  </si>
  <si>
    <t xml:space="preserve">ma-motedis-3867</t>
  </si>
  <si>
    <t xml:space="preserve">Material</t>
  </si>
  <si>
    <t xml:space="preserve">pza</t>
  </si>
  <si>
    <t xml:space="preserve">Placa de conexión L de aluminio con láser 5 agujeros 45s (116x116x5 mm/pza).   Ref. motedis-3867</t>
  </si>
  <si>
    <t xml:space="preserve">Placa de conexión L de aluminio con láser 5 agujeros 45s (116x116x5 mm/pza).   Ref. motedis-3867.
https://www.motedis.es/es/Placas-de-conexion</t>
  </si>
  <si>
    <t xml:space="preserve">ma-motedis-3918</t>
  </si>
  <si>
    <t xml:space="preserve">Material</t>
  </si>
  <si>
    <t xml:space="preserve">pza</t>
  </si>
  <si>
    <t xml:space="preserve">Placa de conexión doble de Aluminio con láser 8 agujeros (58x118x3 mm/pza).   Ref. motedis-3918</t>
  </si>
  <si>
    <t xml:space="preserve">Placa de conexión doble de Aluminio con láser 8 agujeros (58x118x3 mm/pza).   Ref. motedis-3918.
https://www.motedis.es/es/Placas-de-conexion</t>
  </si>
  <si>
    <t xml:space="preserve">ma-motedis-3921</t>
  </si>
  <si>
    <t xml:space="preserve">Material</t>
  </si>
  <si>
    <t xml:space="preserve">pza</t>
  </si>
  <si>
    <t xml:space="preserve">Placa de conexión L de aluminio con láser 5 agujeros 30s (88x88x3 mm/pza).   Ref. motedis-3921</t>
  </si>
  <si>
    <t xml:space="preserve">Placa de conexión L de aluminio con láser 5 agujeros 30s (88x88x3 mm/pza).   Ref. motedis-3921.
https://www.motedis.es/es/Placas-de-conexion</t>
  </si>
  <si>
    <t xml:space="preserve">ma-motedis-4760</t>
  </si>
  <si>
    <t xml:space="preserve">Material</t>
  </si>
  <si>
    <t xml:space="preserve">pza</t>
  </si>
  <si>
    <t xml:space="preserve">Placa de conexión L de aluminio con láser 5 agujeros 45s (129x129x3 mm/pza).   Ref. motedis-4760</t>
  </si>
  <si>
    <t xml:space="preserve">Placa de conexión L de aluminio con láser 5 agujeros 45s (129x129x3 mm/pza).   Ref. motedis-4760.
https://www.motedis.es/es/Placas-de-conexion</t>
  </si>
  <si>
    <t xml:space="preserve">ma-motedis-5037</t>
  </si>
  <si>
    <t xml:space="preserve">Material</t>
  </si>
  <si>
    <t xml:space="preserve">pza</t>
  </si>
  <si>
    <t xml:space="preserve">Placa de conexión X de aluminio con láser 7 agujeros 45s (120x70x3 mm/pza).   Ref. motedis-5037</t>
  </si>
  <si>
    <t xml:space="preserve">Placa de conexión X de aluminio con láser 7 agujeros 45s (120x70x3 mm/pza).   Ref. motedis-5037.
https://www.motedis.es/es/Placas-de-conexion</t>
  </si>
  <si>
    <t xml:space="preserve">ma-motedis-CPL3030</t>
  </si>
  <si>
    <t xml:space="preserve">Material</t>
  </si>
  <si>
    <t xml:space="preserve">pza</t>
  </si>
  <si>
    <t xml:space="preserve">Placa de conexión L de aluminio ALU ELOX 3030 con 5 agujeros (90x90x4 mm/pza).   Ref. motedis-CPL3030</t>
  </si>
  <si>
    <t xml:space="preserve">Placa de conexión L de aluminio ALU ELOX 3030 con 5 agujeros (90x90x4 mm/pza).   Ref. motedis-CPL3030.
https://www.motedis.es/es/Placas-de-conexion</t>
  </si>
  <si>
    <t xml:space="preserve">ma-motedis-CPL4040</t>
  </si>
  <si>
    <t xml:space="preserve">Material</t>
  </si>
  <si>
    <t xml:space="preserve">pza</t>
  </si>
  <si>
    <t xml:space="preserve">Placa de conexión L de aluminio ALU ELOX 4040 con 5 agujeros (118x118x6 mm/pza).   Ref. motedis-CPL4040</t>
  </si>
  <si>
    <t xml:space="preserve">Placa de conexión L de aluminio ALU ELOX 4040 con 5 agujeros (118x118x6 mm/pza).   Ref. motedis-CPL4040.
https://www.motedis.es/es/Placas-de-conexion</t>
  </si>
  <si>
    <t xml:space="preserve">ma-motedis-CPT4040</t>
  </si>
  <si>
    <t xml:space="preserve">Material</t>
  </si>
  <si>
    <t xml:space="preserve">pza</t>
  </si>
  <si>
    <t xml:space="preserve">Placa de conexión T de Aluminio ALU ELOX 4040 con 5 agujeros (118x118x6 mm/pza).   Ref. motedis-CPT4040</t>
  </si>
  <si>
    <t xml:space="preserve">Placa de conexión T de Aluminio ALU ELOX 4040 con 5 agujeros (118x118x6 mm/pza).   Ref. motedis-CPT4040.
https://www.motedis.es/es/Placas-de-conexion</t>
  </si>
  <si>
    <t xml:space="preserve">ma-motedis-CPT4545</t>
  </si>
  <si>
    <t xml:space="preserve">Material</t>
  </si>
  <si>
    <t xml:space="preserve">pza</t>
  </si>
  <si>
    <t xml:space="preserve">Placa de conexión T de Aluminio ALU ELOX 4040 con 5 agujeros (133x133x6 mm/pza).   Ref. motedis-CPT4545</t>
  </si>
  <si>
    <t xml:space="preserve">Placa de conexión T de Aluminio ALU ELOX 4040 con 5 agujeros (133x133x6 mm/pza).   Ref. motedis-CPT4545.
https://www.motedis.es/es/Placas-de-conexion</t>
  </si>
  <si>
    <t xml:space="preserve">ma-securfix-base.alum.blanco</t>
  </si>
  <si>
    <t xml:space="preserve">Material</t>
  </si>
  <si>
    <t xml:space="preserve">pza</t>
  </si>
  <si>
    <t xml:space="preserve">Base de aluminio para poste HÉRCULES; color blanco (125x125 mm/pza).   Ref. securfix-base.alum.blanco</t>
  </si>
  <si>
    <t xml:space="preserve">Base de aluminio para poste HÉRCULES; color blanco (125x125 mm/pza).   Ref. securfix-base.alum.blanco</t>
  </si>
  <si>
    <t xml:space="preserve">MATERIALES.DE.ALUMINIO</t>
  </si>
  <si>
    <t xml:space="preserve">MATERIALES.DE.COBRE</t>
  </si>
  <si>
    <t xml:space="preserve">Capítulo</t>
  </si>
  <si>
    <t xml:space="preserve">MATERIALES DE COBRE</t>
  </si>
  <si>
    <t xml:space="preserve">ma-lp-00010942</t>
  </si>
  <si>
    <t xml:space="preserve">Material</t>
  </si>
  <si>
    <t xml:space="preserve">pza</t>
  </si>
  <si>
    <t xml:space="preserve">Codo H-H de cobre para soldar; diámetro 22 mm.   Ref. lp-00010942</t>
  </si>
  <si>
    <t xml:space="preserve">Codo H-H de cobre para soldar con diámetro 22 mm; homologado por AENOR, DIN 2856, ISO R-2016.   Ref. lp-00010942</t>
  </si>
  <si>
    <t xml:space="preserve">ma-lp-00010943</t>
  </si>
  <si>
    <t xml:space="preserve">Material</t>
  </si>
  <si>
    <t xml:space="preserve">pza</t>
  </si>
  <si>
    <t xml:space="preserve">Codo H-H de cobre para soldar; diámetro 28 mm.   Ref. lp-00010943</t>
  </si>
  <si>
    <t xml:space="preserve">Codo H-H de cobre para soldar con diámetro 28 mm; homologado por AENOR, DIN 2856, ISO R-2016.   Ref. lp-00010943</t>
  </si>
  <si>
    <t xml:space="preserve">ma-lp-00010944</t>
  </si>
  <si>
    <t xml:space="preserve">Material</t>
  </si>
  <si>
    <t xml:space="preserve">pza</t>
  </si>
  <si>
    <t xml:space="preserve">Codo H-H de cobre para soldar; diámetro 35 mm.   Ref. lp-00010944</t>
  </si>
  <si>
    <t xml:space="preserve">Codo H-H de cobre para soldar con diámetro 35 mm; homologado por AENOR, DIN 2856, ISO R-2016.   Ref. lp-00010944</t>
  </si>
  <si>
    <t xml:space="preserve">ma-lp-00011120</t>
  </si>
  <si>
    <t xml:space="preserve">Material</t>
  </si>
  <si>
    <t xml:space="preserve">pza</t>
  </si>
  <si>
    <t xml:space="preserve">Curva 90º H-H de cobre para soldar; diámetro 35 mm.   Ref. lp-00011120</t>
  </si>
  <si>
    <t xml:space="preserve">Curva de 90º Hembra-Hembra de cobre de 35 mm de diámetro. Homologado por AENOR. DIN 2856, ISO R-2016.   Ref. lp-00011120</t>
  </si>
  <si>
    <t xml:space="preserve">ma-lp-00011568</t>
  </si>
  <si>
    <t xml:space="preserve">Material</t>
  </si>
  <si>
    <t xml:space="preserve">pza</t>
  </si>
  <si>
    <t xml:space="preserve">Manguito H-H de cobre para soldar; diámetro 22 mm.   Ref. lp-00011568</t>
  </si>
  <si>
    <t xml:space="preserve">Manguito H-H de cobre para soldar con diámetro 22 mm; homologado por AENOR, DIN 2856, ISO R-2016.   Ref. lp-00011568</t>
  </si>
  <si>
    <t xml:space="preserve">ma-lp-00011569</t>
  </si>
  <si>
    <t xml:space="preserve">Material</t>
  </si>
  <si>
    <t xml:space="preserve">pza</t>
  </si>
  <si>
    <t xml:space="preserve">Manguito H-H de cobre para soldar; diámetro 28 mm.   Ref. lp-00011569</t>
  </si>
  <si>
    <t xml:space="preserve">Manguito H-H de cobre para soldar con diámetro 28 mm; homologado por AENOR, DIN 2856, ISO R-2016.   Ref. lp-00011569</t>
  </si>
  <si>
    <t xml:space="preserve">ma-lp-00011570</t>
  </si>
  <si>
    <t xml:space="preserve">Material</t>
  </si>
  <si>
    <t xml:space="preserve">pza</t>
  </si>
  <si>
    <t xml:space="preserve">Manguito H-H de cobre para soldar; diámetro 35 mm.   Ref. lp-00011570</t>
  </si>
  <si>
    <t xml:space="preserve">Manguito H-H de cobre para soldar con diámetro 35 mm; homologado por AENOR, DIN 2856, ISO R-2016.   Ref. lp-00011570</t>
  </si>
  <si>
    <t xml:space="preserve">ma-lp-00012129</t>
  </si>
  <si>
    <t xml:space="preserve">Material</t>
  </si>
  <si>
    <t xml:space="preserve">pza</t>
  </si>
  <si>
    <t xml:space="preserve">Te recta de cobre; diámetro 22 mm.   Ref. lp-00012129</t>
  </si>
  <si>
    <t xml:space="preserve">Te recta de cobre de 22 mm de diámetro. Homologado por AENOR, DIN 2856, ISO R-2016.   Ref. lp-00012129</t>
  </si>
  <si>
    <t xml:space="preserve">ma-lp-00012130</t>
  </si>
  <si>
    <t xml:space="preserve">Material</t>
  </si>
  <si>
    <t xml:space="preserve">pza</t>
  </si>
  <si>
    <t xml:space="preserve">Te recta de cobre; diámetro 28 mm.   Ref. lp-00012130</t>
  </si>
  <si>
    <t xml:space="preserve">Te recta de cobre de 28 mm de diámetro. Homologado por AENOR, DIN 2856, ISO R-2016.   Ref. lp-00012130</t>
  </si>
  <si>
    <t xml:space="preserve">ma-lp-00012131</t>
  </si>
  <si>
    <t xml:space="preserve">Material</t>
  </si>
  <si>
    <t xml:space="preserve">pza</t>
  </si>
  <si>
    <t xml:space="preserve">Te recta de cobre; diámetro 35 mm.   Ref. lp-00012131</t>
  </si>
  <si>
    <t xml:space="preserve">Te recta de cobre de 35 mm de diámetro. Homologado por AENOR, DIN 2856, ISO R-2016.   Ref. lp-00012131</t>
  </si>
  <si>
    <t xml:space="preserve">ma-lp-00180065</t>
  </si>
  <si>
    <t xml:space="preserve">Material</t>
  </si>
  <si>
    <t xml:space="preserve">und</t>
  </si>
  <si>
    <t xml:space="preserve">Tubo de cobre; diámetro 22 mm y espesor 1 mm (2,5 m/und)   Ref. lp-00180065</t>
  </si>
  <si>
    <t xml:space="preserve">Tubo de cobre; diámetro 22 mm y espesor 1 mm; homologado por AENOR. Cumple Normas UNE-EN 1057:1996.   Ref. lp- 00180065</t>
  </si>
  <si>
    <t xml:space="preserve">ma-lp-00180066</t>
  </si>
  <si>
    <t xml:space="preserve">Material</t>
  </si>
  <si>
    <t xml:space="preserve">und</t>
  </si>
  <si>
    <t xml:space="preserve">Tubo de cobre; diámetro 28 mm y espesor 1 mm (2,5 m/und)   Ref. lp-00180066</t>
  </si>
  <si>
    <t xml:space="preserve">Tubo de cobre; diámetro 28 mm y espesor 1 mm; homologado por AENOR. Cumple Normas UNE-EN 1057:1996.   Ref. lp- 00180066</t>
  </si>
  <si>
    <t xml:space="preserve">ma-lp-00180067</t>
  </si>
  <si>
    <t xml:space="preserve">Material</t>
  </si>
  <si>
    <t xml:space="preserve">und</t>
  </si>
  <si>
    <t xml:space="preserve">Tubo de cobre; diámetro 35 mm y espesor 1 mm (2,5 m/und)   Ref. lp-00180067</t>
  </si>
  <si>
    <t xml:space="preserve">Tubo de cobre; diámetro 35 mm y espesor 1 mm; homologado por AENOR. Cumple Normas UNE-EN 1057:1996.   Ref. lp- 00180067</t>
  </si>
  <si>
    <t xml:space="preserve">ma-nv-03528000</t>
  </si>
  <si>
    <t xml:space="preserve">Material</t>
  </si>
  <si>
    <t xml:space="preserve">pza</t>
  </si>
  <si>
    <t xml:space="preserve">Manguito de reducción HH de cobre P5240 CONEX BANNINGER 35x28 mm.   Ref. nv-03528000</t>
  </si>
  <si>
    <t xml:space="preserve">Manguito de reducción de cobre hembra-hembra, con diámetros de ø35mm x ø28mm. Este manguito de reducción, con conexiones hembra-hembra, es un accesorio fabricado en cobre que pertenece a la gama para prensar &gt;B&lt; Press, de Conex-Bänninger. Los accesorios de esta gama están disponibles en cobre o bronce, y son rápidos y fáciles de instalar. Para uso con tubo de cobre duro, semiduro y recocido según UNE-EN 1057. El perfil &gt;B&lt; con sus 3 puntos de presión asegura una unión libre de fugas, segura y permanente. El prensado hexagonal, facilita una clara indicación visual de que la unión se ha realizado tanto hidráulica como mecánicamente. Las juntas tóricas de EPDM en color negro hacen de &gt;B&lt; Press un sistema perfectamente apto para aplicaciones de agua potable, agua fría y caliente y sistemas de calefacción. Para rangos de temperatura de -35ºC a 110ºC, y para presiones de agua de hasta 16 bar.   Ref. nv-03528000</t>
  </si>
  <si>
    <t xml:space="preserve">ma-nv-03535035</t>
  </si>
  <si>
    <t xml:space="preserve">Material</t>
  </si>
  <si>
    <t xml:space="preserve">pza</t>
  </si>
  <si>
    <t xml:space="preserve">Te recta HHH de cobre PH5130 CONEX BANNINGER 35 mm.   Ref. nv-03535035</t>
  </si>
  <si>
    <t xml:space="preserve">Te recta de cobre, con las tres salidas de ø 35mm. Esta Te recta es un accesorio fabricado en cobre que pertenece a la gama para prensar &gt;B&lt; Press, de CONEX-BÄNNINGER. Los accesorios de esta gama están disponibles en cobre o bronce, y son rápidos y fáciles de instalar. Para uso con tubo de cobre duro, semiduro y recocido según UNE-EN 1057. El perfil &gt;B&lt; con sus 3 puntos de presión asegura una unión libre de fugas, segura y permanente. El prensado hexagonal, facilita una clara indicación visual de que la unión se ha realizado tanto hidráulica como mecánicamente. Las juntas tóricas de EPDM en color negro hacen de &gt;B&lt; Press un sistema perfectamente apto para aplicaciones de agua potable, agua fría y caliente y sistemas de calefacción. Para rangos de temperatura de -35ºC a 110ºC, y para presiones de agua de hasta 16 bar.   Ref. nv-03535035</t>
  </si>
  <si>
    <t xml:space="preserve">ma-nv-3081.22</t>
  </si>
  <si>
    <t xml:space="preserve">Material</t>
  </si>
  <si>
    <t xml:space="preserve">pza</t>
  </si>
  <si>
    <t xml:space="preserve">Válvula esfera palanca PN-16 para soldar a tubería de cobre; diámetro 22 mm.   Ref. nv-3081.22</t>
  </si>
  <si>
    <t xml:space="preserve">Válvula esfera soldar diámetro 22mm. Construcción en latón s/ UNE-EN 12165. Extremos para soldar a tubería de cobre. Accionamiento mediante palanca de acero azul. Temperatura de trabajo desde -20ºC a 180ºC. Presión máxima de trabajo 16bar (PN-16). Asientos PTFE.   Ref. nv-3081.22</t>
  </si>
  <si>
    <t xml:space="preserve">ma-nv-3081.28</t>
  </si>
  <si>
    <t xml:space="preserve">Material</t>
  </si>
  <si>
    <t xml:space="preserve">pza</t>
  </si>
  <si>
    <t xml:space="preserve">Válvula esfera palanca PN-16 para soldar a tubería de cobre; diámetro 28 mm.   Ref. nv-3081.28</t>
  </si>
  <si>
    <t xml:space="preserve">Válvula esfera soldar diámetro 28mm. Construcción en latón s/ UNE-EN 12165. Extremos para soldar a tubería de cobre. Accionamiento mediante palanca de acero azul. Temperatura de trabajo desde -20ºC a 180ºC. Presión máxima de trabajo 16bar (PN-16). Asientos PTFE.   Ref. nv-3081.28</t>
  </si>
  <si>
    <t xml:space="preserve">ma-nv-3081.35</t>
  </si>
  <si>
    <t xml:space="preserve">Material</t>
  </si>
  <si>
    <t xml:space="preserve">pza</t>
  </si>
  <si>
    <t xml:space="preserve">Válvula esfera palanca PN-16 para soldar a tubería de cobre; diámetro 35 mm.   Ref. nv-3081.35</t>
  </si>
  <si>
    <t xml:space="preserve">Válvula esfera soldar diámetro 35mm. Construcción en latón s/ UNE-EN 12165. Extremos para soldar a tubería de cobre. Accionamiento mediante palanca de acero azul. Temperatura de trabajo desde -20ºC a 180ºC. Presión máxima de trabajo 16bar (PN-16). Asientos PTFE.   Ref. nv-3081.35</t>
  </si>
  <si>
    <t xml:space="preserve">ma-nv-3083-15</t>
  </si>
  <si>
    <t xml:space="preserve">Material</t>
  </si>
  <si>
    <t xml:space="preserve">pza</t>
  </si>
  <si>
    <t xml:space="preserve">Válvula esfera para empotrar (extremos a soldar hembra-hembra).   Ref. nv-3083-15</t>
  </si>
  <si>
    <t xml:space="preserve">Válvula esfera para empotrar, paso total diámetro 15 mm. Construcción en latón UNE-EN 12165. Extremos para soldar hembra-hembra. Temperatura de trabajo desde -20ºC a 150 ºC. Adaptable a los mandos P3052, MKalo, MKross, M3054, M3055, M3057 y prolongador K3052. Presión máxima de trabajo 16 bar (PN-16). asientos PTFE.   Ref. nv-3083-15</t>
  </si>
  <si>
    <t xml:space="preserve">ma-nv-3083-18</t>
  </si>
  <si>
    <t xml:space="preserve">Material</t>
  </si>
  <si>
    <t xml:space="preserve">pza</t>
  </si>
  <si>
    <t xml:space="preserve">Válvula esfera para empotrar (extremos a soldar hembra-hembra).   Ref. nv-3083-18</t>
  </si>
  <si>
    <t xml:space="preserve">Válvula esfera para empotrar, paso total diámetro 22 mm. Construcción en latón UNE-EN 12165. Extremos para soldar hembra-hembra. Temperatura de trabajo desde -20ºC a 150 ºC. Adaptable a los mandos P3052, MKalo, MKross, M3054, M3055, M3057 y prolongador K3052. Presión máxima de trabajo 16 bar (PN-16). asientos PTFE.   Ref. nv-3083-22</t>
  </si>
  <si>
    <t xml:space="preserve">ma-nv-3083-22</t>
  </si>
  <si>
    <t xml:space="preserve">Material</t>
  </si>
  <si>
    <t xml:space="preserve">pza</t>
  </si>
  <si>
    <t xml:space="preserve">Válvula esfera para empotrar (extremos a soldar hembra-hembra).   Ref. nv-3083-22</t>
  </si>
  <si>
    <t xml:space="preserve">Válvula esfera para empotrar, paso total diámetro 22 mm. Construcción en latón UNE-EN 12165. Extremos para soldar hembra-hembra. Temperatura de trabajo desde -20ºC a 150 ºC. Adaptable a los mandos P3052, MKalo, MKross, M3054, M3055, M3057 y prolongador K3052. Presión máxima de trabajo 16 bar (PN-16). asientos PTFE.   Ref. nv-3083-22</t>
  </si>
  <si>
    <t xml:space="preserve">ma-nv-LSR90285</t>
  </si>
  <si>
    <t xml:space="preserve">Material</t>
  </si>
  <si>
    <t xml:space="preserve">pza</t>
  </si>
  <si>
    <t xml:space="preserve">Codo de cobre H-H soldar-roscar (28 mm-1”).   Ref. nv-LSR90285</t>
  </si>
  <si>
    <t xml:space="preserve">Codo Hembra figura 90º 28 mmx1" soldar/roscar. Gama de accesorios de latón ajustada a los requisitos establecidos para la conducción de aguas y otros fluidos de acuerdo con las prescripciones higiénico-sanitarias vigentes.   Ref. nv-LSR90285</t>
  </si>
  <si>
    <t xml:space="preserve">ma-nv-CUT-T35X1</t>
  </si>
  <si>
    <t xml:space="preserve">Material</t>
  </si>
  <si>
    <t xml:space="preserve">pza</t>
  </si>
  <si>
    <t xml:space="preserve">Tubo de cobre; diámetro 35 mm y espesor 1 mm (5 m/und)   Ref. nv-CUT-T35X1</t>
  </si>
  <si>
    <t xml:space="preserve">Tubo de cobre; diámetro 35 mm y espesor 1 mm (5 m/und)   Ref. nv-CUT-T35X1</t>
  </si>
  <si>
    <t xml:space="preserve">ma-pp-8426106650062</t>
  </si>
  <si>
    <t xml:space="preserve">Material</t>
  </si>
  <si>
    <t xml:space="preserve">envase</t>
  </si>
  <si>
    <t xml:space="preserve">Disolvente TIXOVAL D-50 de ISAVAL (1 litro/envase).   Ref. pp-8426106650062</t>
  </si>
  <si>
    <t xml:space="preserve">Disolvente TIXOVAL D-50 de ISAVAL exento de hidrocarburos aromáticos adecuado para pinturas tixotrópicas TIXOVAL ANTIHUMOS y TIXOVAL ANTIHUMEDAD. Su velocidad de secado permite la mejora de las propiedades de aplicación y acabado tanto en TIXOVAL ANTIHUMOS y TIXOVAL ANTIHUMEDAD, dotándolos de una excelente igualación.   Ref. pp-8426106650062
USOS: Especialmente indicado en todas aquellas pinturas que recomiendan su aplicación como regulador de la viscosidad, permitiendo la dilución de estas para su correcta aplicación tanto a brocha, rodillo o pistola, así como la limpieza de todas las herramientas empleadas en los productos recomendados. Acabado transparente. Formatos: 1 y 5 litros.</t>
  </si>
  <si>
    <t xml:space="preserve">MATERIALES.DE.COBRE</t>
  </si>
  <si>
    <t xml:space="preserve">MATERIALES.DE.MADERA.Y.DERIVADOS</t>
  </si>
  <si>
    <t xml:space="preserve">Capítulo</t>
  </si>
  <si>
    <t xml:space="preserve">MATERIALES DE MADERA Y DERIVADOS</t>
  </si>
  <si>
    <t xml:space="preserve">ma-bauhaus-14416274</t>
  </si>
  <si>
    <t xml:space="preserve">Material</t>
  </si>
  <si>
    <t xml:space="preserve">pza</t>
  </si>
  <si>
    <t xml:space="preserve">Tablero aserrado de madera sin pulir de abeto rojo (300 x 20 x 4 cm/pza).   Ref. bauhaus-14416274</t>
  </si>
  <si>
    <t xml:space="preserve">Tablero aserrado de madera sin pulir de abeto rojo (300 x 20 x 4 cm/pza).   Ref. bauhaus-14416274</t>
  </si>
  <si>
    <t xml:space="preserve">ma-bauhaus-28391335</t>
  </si>
  <si>
    <t xml:space="preserve">Material</t>
  </si>
  <si>
    <t xml:space="preserve">m2</t>
  </si>
  <si>
    <t xml:space="preserve">Parquet Compact Roble Natural 1.200x145x10 mm.   Ref. bauhaus-28391335</t>
  </si>
  <si>
    <t xml:space="preserve">Producto de madera auténtica con certificación de origen sostenible. Con variaciones de color propias de la madera de roble. Apto para suelos radiantes según instrucciones de instalación. Rápido y fácil de colocar mediante la unión en clic. 1,74 m2/caja.   Ref. bauhaus-28391335.</t>
  </si>
  <si>
    <t xml:space="preserve">ma-bauhaus-28441319</t>
  </si>
  <si>
    <t xml:space="preserve">Material</t>
  </si>
  <si>
    <t xml:space="preserve">pza</t>
  </si>
  <si>
    <t xml:space="preserve">Zócalo/Rodapié Roble Natural Rústico (2.400x70x15 mm/pza).   Ref. bauhaus-28441319</t>
  </si>
  <si>
    <t xml:space="preserve">El zócalo roble natural/rústico puede está indicado para la serie de suelos de parquet que llevan el mismo nombre y disponen del mismo tono de color. Te permitirá rematar el suelo con la pared de la habitación dando un acabado final visualmente unificado. Está fabricado con MDF rechapado y mecanizado por la parte interior para el paso de cables. La instalación se puede realizar de manera fácil y sencilla mediante el sistema de clip. Tiene un acabado mate y barnizado.   Ref. bauhaus-28441319.</t>
  </si>
  <si>
    <t xml:space="preserve">ma-intergard-01</t>
  </si>
  <si>
    <t xml:space="preserve">Material</t>
  </si>
  <si>
    <t xml:space="preserve">und</t>
  </si>
  <si>
    <t xml:space="preserve">Paneles de Madera DOUGLAS (180x180 cm/und).   Ref. intergard-01</t>
  </si>
  <si>
    <t xml:space="preserve">Paneles de Madera DOUGLAS (180x180 cm/und).   Ref. intergard-01.
Douglas, muy fuerte y duradero (certificada FSC de manejo forestal responsable). Respetuoso con el medio ambiente, no requiere conservación química. 15 lamas de 15 mm de espesor. Acero inoxidable atornillado.
La madera de abeto DOUGLAS, pino DOUGLAS o pino OREGÓN es una madera muy valorada por su gran versatilidad en la fabricación de diversos productos de uso industrial como estructural y en la fabricación de otros productos como chapas decorativas.</t>
  </si>
  <si>
    <t xml:space="preserve">ma-lm-81876875</t>
  </si>
  <si>
    <t xml:space="preserve">Material</t>
  </si>
  <si>
    <t xml:space="preserve">m2</t>
  </si>
  <si>
    <t xml:space="preserve">Parquet Multicapa TRILAMA FORTE Roble Natural Brillo 108x19.8 cm.   Ref. lm-81876875</t>
  </si>
  <si>
    <t xml:space="preserve">Suelo de madera multicapa de roble con acabado en brillo y soporte en HDF (tablero de fibra de alta densidad). Sus láminas no cuentan con bisel para un efecto uniforme del suelo, más limpio y con textura lisa, observando la veta natural de la madera.   Ref. lm-81876875.
Posee una capa de desgaste de 3,1 mm de espesor para resistir una intensidad de paso alta. Se coloca mediante un sistema flotante clic muy sencillo e intuitivo, sin necesidad de colas o herramientas. El paquete contiene 7 lamas de 19,8 cm de ancho para otorgar a tu vivienda el aspecto cálido y rústico que necesitas. El color del producto puede tener alguna diferencia con el de la imagen al ser un producto de madera natural. Para ver el acabado superficial del producto, mate o satinado es necesario verlo con una muestra física en tienda. Cuenta con el sello FSC, que certifica que la madera proviene de bosques gestionados de forma sostenible y respetuosa con el medioambiente. Producto natural. Exclusivo. Gran aislante térmico. Fácil limpieza. Fabricado con maderas sostenibles.</t>
  </si>
  <si>
    <t xml:space="preserve">ma-lm-83618798</t>
  </si>
  <si>
    <t xml:space="preserve">Material</t>
  </si>
  <si>
    <t xml:space="preserve">caja</t>
  </si>
  <si>
    <t xml:space="preserve">Machihembrado de pared en pino natural con acabado de nudos (0,9x9,5x190 cm/lama; 1,80 m2/caja; 10 lamas/caja).   Ref. lm-83618798</t>
  </si>
  <si>
    <t xml:space="preserve">Revestimiento de pared de madera de pino con aspecto cepillado liso de calidad con acabado de nudos. Cada paquete contiene 10 lamas que cubren una superficie de 1,80 m2. Medidas totales: 9,5x190x0,9 cm (ancho x largo x espesor).   Ref. lm-83618798.
Confort térmico, confort acústico, material natural</t>
  </si>
  <si>
    <t xml:space="preserve">ma-lm-88673523</t>
  </si>
  <si>
    <t xml:space="preserve">Material</t>
  </si>
  <si>
    <t xml:space="preserve">envase</t>
  </si>
  <si>
    <t xml:space="preserve">Masilla para reparación de madera TOUPRET (1 kg/envase).   Ref. lm-88673523</t>
  </si>
  <si>
    <t xml:space="preserve">Masilla de reparación para madera TOUPRET fabricada a partir de resinas acrílicas con acabado de color beige y aspecto liso mate. Se aplica fácilmente con una espátula. Indicada tanto para interior como para exterior. Producto fabricado en la Unión Europea con 3 años de garantía.   Ref. lm-88673523.</t>
  </si>
  <si>
    <t xml:space="preserve">ma-lm-90709827</t>
  </si>
  <si>
    <t xml:space="preserve">Material</t>
  </si>
  <si>
    <t xml:space="preserve">pack</t>
  </si>
  <si>
    <t xml:space="preserve">Machihembrado de madera maciza de abeto de flandes de MADERTERRÁNEO (22x115x2100 mm/lama; 10 lamas/pack).   Ref. lm-90709827</t>
  </si>
  <si>
    <t xml:space="preserve">Machihembrado de madera maciza de abeto de flandes de MADERTERRÁNEO (22x115x2100 mm/lama; 10 lamas/pack).   Ref. lm-90709827
Producto para el revestimiento de interiores y exteriores. Los machihembrados de abeto son un tablero machihembrado de madera maciza ideal para proyectos de interior y exterior en revestimiento de paredes, techos, mobiliario, separación de espacios, etc.
Características: Sin biselado; 2 caras a canto vivo; Sin acabado, ideal para teñir o barnizar.</t>
  </si>
  <si>
    <t xml:space="preserve">ma-lm-90762157</t>
  </si>
  <si>
    <t xml:space="preserve">Material</t>
  </si>
  <si>
    <t xml:space="preserve">pack</t>
  </si>
  <si>
    <t xml:space="preserve">Machihembrado de madera maciza de pino natural sin barnizar de MADERTERRÁNEO (10x90x1500 mm/lama; 20 lamas/pack).   Ref. lm-90762157</t>
  </si>
  <si>
    <t xml:space="preserve">Machihembrado de madera maciza de pino natural sin barnizar de MADERTERRÁNEO (10x90x1500 mm/lama; 20 lamas/pack).   Ref. lm-90762157.
El revestimiento machihembrado de madera maciza de pino es una opción popular para acabados interiores y, en algunos casos, exteriores, gracias a su belleza natural, durabilidad y facilidad de instalación.
CARACTERÍSTICAS PRINCIPALES:
• Textura y Color: la madera de pino posee una textura fina y homogénea, con un color claro que va desde el blanco amarillento hasta tonalidades ligeramente rosadas. Al aplicar barniz, se realza su veta, dándole profundidad y riqueza visual al acabado.
• Madera de pino: es un material renovable, y cuando se obtiene de fuentes gestionadas de manera sostenible, representa una opción ecológica.
• Propiedades de Aislamiento: la madera tiene buenas propiedades de aislamiento térmico y acústico, contribuyendo a la eficiencia energética y al confort del espacio.
• Usos Múltiples: aunque comúnmente se usa en interiores para paredes y techos, el tratamiento adecuado puede permitir su uso en exteriores. Su estética natural complementa una amplia gama de estilos decorativos, desde rústicos hasta contemporáneos.
• Coste: el revestimiento machihembrado de madera maciza de pino puede ser más costoso inicialmente que otras opciones, pero su durabilidad y bajo mantenimiento compensan el gasto a largo plazo.
• Sensibilidad a Cambios Climáticos: aunque el barniz ofrece protección, la madera sigue siendo susceptible a cambios dimensionales con las variaciones de humedad y temperatura.
En resumen, el revestimiento machihembrado de madera maciza de pino es una opción excelente por su belleza, durabilidad y la calidez natural que aporta a cualquier espacio. Su instalación y mantenimiento son relativamente sencillos, lo que lo convierte en una opción atractiva para muchos propietarios y diseñadores de interiores.</t>
  </si>
  <si>
    <t xml:space="preserve">ma-lp-00006257</t>
  </si>
  <si>
    <t xml:space="preserve">Material</t>
  </si>
  <si>
    <t xml:space="preserve">und</t>
  </si>
  <si>
    <t xml:space="preserve">Tablero MDF 2440x1220x10 mm   Ref. lp-00006257</t>
  </si>
  <si>
    <t xml:space="preserve">Tablero de fibras MDF standard, especialmente indicado para estructuras, decoración y estantes. Densidad: 700/750 kg/m3. Resistencia a flexión: 7-11 N/mm2. Reacción al fuego: Standard Ds2d0 - Ignífugo Bs2d0. Medidas: 2440x1220x10 mm. Certificación PEFC. Peso = 13,4 kg/und.   Ref. lp-00006257</t>
  </si>
  <si>
    <t xml:space="preserve">ma-lp-00222965</t>
  </si>
  <si>
    <t xml:space="preserve">Material</t>
  </si>
  <si>
    <t xml:space="preserve">und</t>
  </si>
  <si>
    <t xml:space="preserve">Tablero de encofrar tricapa de madera de abeto 1970x500x27 mm   Ref. lp-00222965</t>
  </si>
  <si>
    <t xml:space="preserve">Tablero de encofrar con tres capas de madera encoladas entre sí (dos exteriores en sentido longitudinal y una interior en sentido transversa), encolado con cola melamina urea formol (MUF) en condiciones controladas de temperatura y presión, cumpliendo la condición SWP/3 exterior de la norma UNE CEN/TS 13354. Contiene una capa melamínica que protege al tablero de la acción del hormigón, aumentando su durabilidad. Aplicaciones: encofrados reticulares y verticales, cimentaciones, obra civil, elementos de seguridad y cerramiento. Densidad: 400/450 kg/m3. Resistencia a flexión: 7-11 N/mm2. Reacción al fuego: Ds2d0. Medidas: 1970x500x27 mm. Certificación PEFC.   Ref. lp-00222965</t>
  </si>
  <si>
    <t xml:space="preserve">ma-lp-00535941</t>
  </si>
  <si>
    <t xml:space="preserve">Material</t>
  </si>
  <si>
    <t xml:space="preserve">pza</t>
  </si>
  <si>
    <t xml:space="preserve">Tabloncillo de madera para construcción (76x205x3000 mm/pza).   Ref. lp-00535941</t>
  </si>
  <si>
    <t xml:space="preserve">Tabloncillo de madera para construcción (76x205x3000 mm/pza).   Ref. lp-00535941</t>
  </si>
  <si>
    <t xml:space="preserve">ma-lp-00535942</t>
  </si>
  <si>
    <t xml:space="preserve">Material</t>
  </si>
  <si>
    <t xml:space="preserve">pza</t>
  </si>
  <si>
    <t xml:space="preserve">Tabloncillo de madera para construcción (52x155x2500 mm/pza).   Ref. lp-00535942</t>
  </si>
  <si>
    <t xml:space="preserve">Tabloncillo de madera para construcción (52x155x2500 mm/pza).   Ref. lp-00535942</t>
  </si>
  <si>
    <t xml:space="preserve">ma-lp-00535943</t>
  </si>
  <si>
    <t xml:space="preserve">Material</t>
  </si>
  <si>
    <t xml:space="preserve">pza</t>
  </si>
  <si>
    <t xml:space="preserve">Tabloncillo de madera para construcción (52x155x4000 mm/pza).   Ref. lp-00535943</t>
  </si>
  <si>
    <t xml:space="preserve">Tabloncillo de madera para construcción (52x155x4000 mm/pza).   Ref. lp-00535943</t>
  </si>
  <si>
    <t xml:space="preserve">ma-mausa-Sku.DMH30</t>
  </si>
  <si>
    <t xml:space="preserve">Material</t>
  </si>
  <si>
    <t xml:space="preserve">panel</t>
  </si>
  <si>
    <t xml:space="preserve">Tablero MDF hidrófugo 30 mm de KRONOSPAN MDF (2440x1220x30 mm/panel).   Ref. mausa-Sku.DMH30</t>
  </si>
  <si>
    <t xml:space="preserve">Tablero de fibras de media densidad, cuyo comportamiento a la humedad se ha mejorado, ideal para uso en ambientes húmedos pero sin contacto directo con agua. La manipulación de este tablero hidrófugo DM es excelente debido a sus propiedades de estabilidad dimensional y resistencia al impacto.   Ref. mausa-Sku.DMH30.</t>
  </si>
  <si>
    <t xml:space="preserve">MATERIALES.DE.MADERA.Y.DERIVADOS</t>
  </si>
  <si>
    <t xml:space="preserve">MATERIALES.ELECTRICOS</t>
  </si>
  <si>
    <t xml:space="preserve">Capítulo</t>
  </si>
  <si>
    <t xml:space="preserve">MATERIALES ELÉCTRICOS</t>
  </si>
  <si>
    <t xml:space="preserve">ma-bh-22835297</t>
  </si>
  <si>
    <t xml:space="preserve">Material</t>
  </si>
  <si>
    <t xml:space="preserve">pza</t>
  </si>
  <si>
    <t xml:space="preserve">Canaleta portacables PVC de 60x40 mm (2 m/pza).   Ref. bh-22835297</t>
  </si>
  <si>
    <t xml:space="preserve">Canaleta portacables PVC de 60x40 mm (2 m/pza).   Ref. bh-22835297
Esta canaleta es ideal para la instalación discreta de cables. Se caracteriza por su flexibilidad y su resistencia a temperaturas de -5 °C a +60 °C, puntualmente hasta +70 °C. Además, la canaleta no es inflamable, se apaga sola y es resistente a la corrosión.</t>
  </si>
  <si>
    <t xml:space="preserve">ma-bh-22839697</t>
  </si>
  <si>
    <t xml:space="preserve">Material</t>
  </si>
  <si>
    <t xml:space="preserve">pza</t>
  </si>
  <si>
    <t xml:space="preserve">Canaleta portacables PVC de 40x40 mm (2 m/pza).   Ref. bh-22839697</t>
  </si>
  <si>
    <t xml:space="preserve">Canaleta portacables PVC de 40x40 mm (2 m/pza).   Ref. bh-22839697
Esta canaleta es ideal para la instalación discreta de cables. Se caracteriza por su flexibilidad y su resistencia a temperaturas de -5 °C a +60 °C, puntualmente hasta +70 °C. Además, la canaleta no es inflamable, se apaga sola y es resistente a la corrosión.</t>
  </si>
  <si>
    <t xml:space="preserve">ma-bh-22845737</t>
  </si>
  <si>
    <t xml:space="preserve">Material</t>
  </si>
  <si>
    <t xml:space="preserve">pza</t>
  </si>
  <si>
    <t xml:space="preserve">Canaleta portacables PVC de 110x60 mm (2 m/pza).   Ref. bh-22845737</t>
  </si>
  <si>
    <t xml:space="preserve">Canaleta portacables PVC de 110x60 mm (2 m/pza).   Ref. bh-22845737
Esta canaleta es ideal para la instalación discreta de cables. Se caracteriza por su flexibilidad y su resistencia a temperaturas de -5 °C a +60 °C, puntualmente hasta +70 °C. Además, la canaleta no es inflamable, se apaga sola y es resistente a la corrosión.</t>
  </si>
  <si>
    <t xml:space="preserve">ma-bricoelige-EV111</t>
  </si>
  <si>
    <t xml:space="preserve">Material</t>
  </si>
  <si>
    <t xml:space="preserve">pza</t>
  </si>
  <si>
    <t xml:space="preserve">Caja de derivación IP65-IP67 e IK07 de IDE (121x121x68 mm/pza).   Ref. bricoelige-EV111</t>
  </si>
  <si>
    <t xml:space="preserve">Caja de derivación IP65-IP67 de IDE, Aislamiento Clase II, Resistencia al Impacto IK07 con 7 conos (121x121x68 mm/pza).   Ref. bricoelige-EV111.</t>
  </si>
  <si>
    <t xml:space="preserve">ma-lm-84846973</t>
  </si>
  <si>
    <t xml:space="preserve">Material</t>
  </si>
  <si>
    <t xml:space="preserve">und</t>
  </si>
  <si>
    <t xml:space="preserve">Luminaria/Foco LED INSPIRE SANOA (redondo 30 cm-blanco); 2500lm 4000/6000K intensidad regulable.   Ref. lm-84846973</t>
  </si>
  <si>
    <t xml:space="preserve">Downlight led redondo Inspire serie Sanoa fabricado en plástico con acabado en color blanco brillante. Emite una luz blanca variable entre 4.000 K y 6.000 K con 3.600 lúmenes de intensidad. Índice de protección: IP44. Etiqueta energética: D. Garantía de 7 años. Medidas: 30 cm de diámetro.   Ref. lm-84846973.</t>
  </si>
  <si>
    <t xml:space="preserve">ma-lp-00013298</t>
  </si>
  <si>
    <t xml:space="preserve">Material</t>
  </si>
  <si>
    <t xml:space="preserve">pza</t>
  </si>
  <si>
    <t xml:space="preserve">Base 3 tomas 2P+TTL 10-16 A 250 V; color blanco.   Ref. lp-00013298</t>
  </si>
  <si>
    <t xml:space="preserve">Base 3 tomas 2P+TTL 10-16 A 250 V; color blanco.   Ref. lp-00013298</t>
  </si>
  <si>
    <t xml:space="preserve">ma-lp-00013301</t>
  </si>
  <si>
    <t xml:space="preserve">Material</t>
  </si>
  <si>
    <t xml:space="preserve">pza</t>
  </si>
  <si>
    <t xml:space="preserve">Base 4 tomas 2P+TTL 10-16 A 250 V; color blanco.   Ref. lp-00013301</t>
  </si>
  <si>
    <t xml:space="preserve">Base 4 tomas 2P+TTL 10-16 A 250 V; color blanco.   Ref. lp-00013301</t>
  </si>
  <si>
    <t xml:space="preserve">ma-lp-00013570</t>
  </si>
  <si>
    <t xml:space="preserve">Material</t>
  </si>
  <si>
    <t xml:space="preserve">pack</t>
  </si>
  <si>
    <t xml:space="preserve">Caja de empalme canaleta en material temoplástico de SOLERA (65x65 mm/pza).   Ref. lp-00013570</t>
  </si>
  <si>
    <t xml:space="preserve">Registro de empalme y derivación, de material termoplástico libre de halógenos. Entrada para canaletas (central y por esquinas) hasta 10x22. Pack de 3 unidades. Medidas: 65x65x435.   Ref. lp-00013570.</t>
  </si>
  <si>
    <t xml:space="preserve">ma-lp-00013571</t>
  </si>
  <si>
    <t xml:space="preserve">Material</t>
  </si>
  <si>
    <t xml:space="preserve">pack</t>
  </si>
  <si>
    <t xml:space="preserve">Caja de empalme canaleta en material temoplástico de SOLERA (82x82 mm/pza; 3 pzas/pack).   Ref. lp-00013571</t>
  </si>
  <si>
    <t xml:space="preserve">Registro de empalme y derivación, de material termoplástico libre de halógenos. Entrada para canaletas (central y por esquinas) hasta 10x22. Pack de 3 unidades. Medidas: 82x82x40.   Ref. lp-00013571.</t>
  </si>
  <si>
    <t xml:space="preserve">ma-lp-00252049</t>
  </si>
  <si>
    <t xml:space="preserve">Material</t>
  </si>
  <si>
    <t xml:space="preserve">pza</t>
  </si>
  <si>
    <t xml:space="preserve">Canaleta portacables adhesiva DLP-S de 16x16mm (2 m/pza).   Ref. lp-00252049</t>
  </si>
  <si>
    <t xml:space="preserve">Canaleta adhesiva para distribuir los cables eléctricos. Se instala sin herramientas y sin necesidad de otra persona. Se complementa con una amplia variedad de accesorios (ángulos, tapas finales, derivaciones, etc.) para lograr un acabado perfecto. Longitud de 2 metros.   Ref. lp-00252049</t>
  </si>
  <si>
    <t xml:space="preserve">ma-lp-00252050</t>
  </si>
  <si>
    <t xml:space="preserve">Material</t>
  </si>
  <si>
    <t xml:space="preserve">pza</t>
  </si>
  <si>
    <t xml:space="preserve">Canaleta portacables adhesiva DLP-S de 20x12mm (2 m/pza).   Ref. lp-00252050</t>
  </si>
  <si>
    <t xml:space="preserve">Canaleta adhesiva para distribuir los cables eléctricos. Se instala sin herramientas y sin necesidad de otra persona. Se complementa con una amplia variedad de accesorios (ángulos, tapas finales, derivaciones, etc.) para lograr un acabado perfecto. Longitud de 2 metros.   Ref. lp-00252050.</t>
  </si>
  <si>
    <t xml:space="preserve">ma-lp-00252051</t>
  </si>
  <si>
    <t xml:space="preserve">Material</t>
  </si>
  <si>
    <t xml:space="preserve">pza</t>
  </si>
  <si>
    <t xml:space="preserve">Canaleta portacables adhesiva DLP-S de 32x16mm (2 m/pza).   Ref. lp-00252051</t>
  </si>
  <si>
    <t xml:space="preserve">Canaleta adhesiva para distribuir los cables eléctricos. Se instala sin herramientas y sin necesidad de otra persona. Se complementa con una amplia variedad de accesorios (ángulos, tapas finales, derivaciones, etc.) para lograr un acabado perfecto. Longitud de 2 metros.   Ref. lp-00252051.</t>
  </si>
  <si>
    <t xml:space="preserve">ma-lp-00261038</t>
  </si>
  <si>
    <t xml:space="preserve">Material</t>
  </si>
  <si>
    <t xml:space="preserve">rollo</t>
  </si>
  <si>
    <t xml:space="preserve">Hilo flexible H07V-K de ECOTEL 2,5 mm; color negro (100 m/rollo).   Ref. lp-00261038</t>
  </si>
  <si>
    <t xml:space="preserve">Hilo flexible H07V-K indicado para utilización en instalaciones de conductos situados sobre superficies, empotrados y sistemas cerrados análogos.   Ref. lp-00261038.</t>
  </si>
  <si>
    <t xml:space="preserve">ma-lp-00261111</t>
  </si>
  <si>
    <t xml:space="preserve">Material</t>
  </si>
  <si>
    <t xml:space="preserve">m</t>
  </si>
  <si>
    <t xml:space="preserve">Manguera flexible PVC H05VV-F 3G1,5 CPR de RCT.   Ref. lp-00261111</t>
  </si>
  <si>
    <t xml:space="preserve">Manguera flexible PVC H05VV-F 3G1,5 CPR de RCT.   Ref. lp-00261111</t>
  </si>
  <si>
    <t xml:space="preserve">ma-lp-00261116</t>
  </si>
  <si>
    <t xml:space="preserve">Material</t>
  </si>
  <si>
    <t xml:space="preserve">m</t>
  </si>
  <si>
    <t xml:space="preserve">Manguera flexible PVC H05VV-F 3G2,5 CPR de RCT.   Ref. lp-00261116</t>
  </si>
  <si>
    <t xml:space="preserve">Manguera flexible PVC H05VV-F 3G2,5 CPR de RCT.   Ref. lp-00261116</t>
  </si>
  <si>
    <t xml:space="preserve">ma-lp-00532380</t>
  </si>
  <si>
    <t xml:space="preserve">Material</t>
  </si>
  <si>
    <t xml:space="preserve">rollo</t>
  </si>
  <si>
    <t xml:space="preserve">Cinta aislante vulcanizada; color negro (19 mm x 9,15 m/rollo).   Ref. lp-00532380</t>
  </si>
  <si>
    <t xml:space="preserve">Cinta aislante autovulcanizada de caucho PIB (Poli-Isobutileno) que puede utilizarse como aislante eléctrico y para trabajos de protección e impermeabilización en general para evitar escapes, fugas y filtraciones de agua, aire y vapor, por lo que está indicada para trabajos temporales de bricolaje.   .Ref. lp-00532380.
VENTAJAS: Gran aislamiento y flexibilidad. Fusiona rápidamente bajo tensión. Envoltura homogénea y sin huecos. Altamente resistente al agua y al ozono. Compatible con un amplio rango de plásticos. Formato de fácil manejo y aplicación.</t>
  </si>
  <si>
    <t xml:space="preserve">ma-lp-00556831</t>
  </si>
  <si>
    <t xml:space="preserve">Material</t>
  </si>
  <si>
    <t xml:space="preserve">rollo</t>
  </si>
  <si>
    <t xml:space="preserve">Cinta aislante BRICO; color negro (19 mm x 20 m/rollo).   Ref. lp-00556831</t>
  </si>
  <si>
    <t xml:space="preserve">Cinta plastificada de PVC MIARCO BRICO con acabado mate, cuenta con una cara cubierta de adhesivo base caucho sensible a la presión. Esta cinta adhesiva está indicada para uso general, en especial para pequeñas reparaciones eléctricas en el ámbito doméstico por debajo de 600V u 80 ºC. Además, al estar disponible en una gran variedad de colores puede utilizarse no solo para la reparación y aislamiento de cables eléctricos, sino también para la codificación de cables. Buena adhesión y elongación.   Ref. lp-00556831.</t>
  </si>
  <si>
    <t xml:space="preserve">ma-manomano-ME85643100</t>
  </si>
  <si>
    <t xml:space="preserve">Material</t>
  </si>
  <si>
    <t xml:space="preserve">und</t>
  </si>
  <si>
    <t xml:space="preserve">Armario eléctrico de superficie 72 módulos IP40 FAMATEL NUOVA 3872 (465x880x120mm/und).   Ref. manomano-ME85643100</t>
  </si>
  <si>
    <t xml:space="preserve">Armario Eléctrico de Superficie 72 módulos IP40 FAMATEL NUOVA 3872 está fabricado en material aislante libre de halógenos, con revolucionario diseño de la colección NUOVA+ te brinda una cerradura ergonómica exclusiva que facilita su apertura, junto con un novedoso sistema de montaje escalonado que te permite ocultar la tapa en la última fase de la instalación, manteniendo intacta su alta calidad.   Ref. manomano-ME85643100.</t>
  </si>
  <si>
    <t xml:space="preserve">ma-teclisa-1410044</t>
  </si>
  <si>
    <t xml:space="preserve">Material</t>
  </si>
  <si>
    <t xml:space="preserve">m</t>
  </si>
  <si>
    <t xml:space="preserve">Cable F.L.H. ES07Z1-K 1,5; color negro.   Ref. teclisa-1410044</t>
  </si>
  <si>
    <t xml:space="preserve">Cable libre de halógenos no propagador de la llama ni del incendio y de baja emisión de humos tóxicos, opacos y corrosivos en caso de incendio. H07Z1-K anteriormente se denominaba ES07Z1-K.</t>
  </si>
  <si>
    <t xml:space="preserve">MATERIALES.ELECTRICOS</t>
  </si>
  <si>
    <t xml:space="preserve">MATNDK$</t>
  </si>
  <si>
    <t xml:space="preserve">Material</t>
  </si>
  <si>
    <t xml:space="preserve">und</t>
  </si>
  <si>
    <t xml:space="preserve">bbbbbbbbbbbbbbbbb</t>
  </si>
  <si>
    <t xml:space="preserve">\ ANCHO (mm) \ 100 \ 140 \ 160 \ 180 \
\ codigo \ bm-1 \ bm-2 \ bm-3 \ bm-4 \
%T(4) = 17.22, 19.36, 19.70, 20.55
::%T(%A)+(%B)
\ RESUMEN \ Tendedero plegable de pared AC $A EPOXI de CUNCIAL ($Ax23x71 cm) Ref. $B \
\TEXTO \ Tendedero plegable de pared en acero acabado en color blanco AC $A EPOXI de CUNCIAL medidas desplegado: $Ax23x71 cm) con 5 barras 8 mm espesor \</t>
  </si>
  <si>
    <t xml:space="preserve">MORTEROS.AGLOMERANTES.Y.EPOXI</t>
  </si>
  <si>
    <t xml:space="preserve">Capítulo</t>
  </si>
  <si>
    <t xml:space="preserve">MORTEROS, AGLOMERANTES Y RESINAS EPÓXICAS</t>
  </si>
  <si>
    <t xml:space="preserve">ma-amadosalvador-549501270</t>
  </si>
  <si>
    <t xml:space="preserve">Material</t>
  </si>
  <si>
    <t xml:space="preserve">saco</t>
  </si>
  <si>
    <t xml:space="preserve">Mortero hidrófugo de enlucido cementoso con textura de fratasado fino PLANITOP 210 de MAPEI (25 kg/saco).   Ref. amadosalvador-549501270</t>
  </si>
  <si>
    <t xml:space="preserve">Enlucido cementoso hidrófugo con textura de fratasado fino sobre elementos de hormigón, revoques cementosos y de mortero bastardo, viejas pinturas al cuarzo y revestimientos plásticos rayados, en interiores y exteriores. Consumo: +/- 1,3 kg/m2 por mm de espesor (espesor máximo de 3 mm/capa; en total, no mayor de 6 mm (intercalado con malla de fibra de vidrio y antiálcalis MAPENET 150).   Ref. amadosalvador-549501270.
Algunos ejemplos de aplicación:
• Regularización y acabado de paredes de albañilería u hormigón, revoques cementosos o de mortero bastardo, antes del pintado.
• Enlucido de paredes, incluso sobre pinturas existentes tales como pinturas acrílicas lavables, pinturas al cuarzo, revestimientos plásticos, etc., siempre que sean consistentes, que estén limpias y bien fijadas.
• Enlucido de paneles de cartón-yeso (todo emplastecido de yeso entre los paneles deberá tratarse previamente con Primer G).
• Enlucidos de paneles de fibras de madera mineral (tipo Eraclit)
PLANITOP 210 es un mortero de enlucido cementoso, hidrófugo y monocomponente, de granulometría fina, color blanco y gris, de endurecimiento normal, a base de aglomerantes especiales de alta resistencia, áridos seleccionados, aditivos especiales y polímeros sintéticos en polvo, según una fórmula desarrollada en los laboratorios de I+D de MAPEI. Su particular composición confiere al mortero obtenido mezclando PLANITOP 210 solamente con agua, un elevado poder adhesivo, una gran plasticidad para la aplicación con llana lisa y facilita, asimismo, las operaciones de acabado con llana metálica o fratás de esponja. PLANITOP 210 puede ser aplicado en un espesor máximo de 3 mm por capa. Los enlucidos de mayor espesor, aunque no superiores a los 6 mm, deben realizarse en dos capas interponiendo entre ellas MAPENET 150, malla de fibra de vidrio resistente a los álcalis (de conformidad con la guía ETAG 004), con luz de 4 x 4,5 mm. MAPENET 150 debe ser utilizada cuando la superficie a tratar está compuesta por soportes de diferente naturaleza. Si las condiciones climatológicas son buenas, el acabado de color puede ser aplicado 1 semana después de la aplicación de Planitop 210, utilizando uno de los productos de las líneas Silexcolor, Silancolor, Quarzolite, Elastocolor, Colorite o Dursilite. Este último producto se puede utilizar para la decoración de superficies interiores o exteriores que estén parcialmente cubiertas y protegidas de la luz directa del sol y de la lluvia. Planitop 210 cumple los principios de la norma EN 1504-9 (“Productos y sistemas para la protección y la reparación de estructuras de hormigón: definiciones, requisitos, control de calidad y evaluación de la conformidad. Principios generales para el uso de productos y sistemas”), los requisitos mínimos de la norma EN 1504-2 revestimiento (C) según los principios MC y IR (“Sistemas de protección de las superficies de hormigón”) y se clasifica como GP (“Mortero de uso general para revoques interiores/exteriores”), de categoría CS IV, según la EN 998-1.</t>
  </si>
  <si>
    <t xml:space="preserve">ma-bauhaus-sikatopseal107</t>
  </si>
  <si>
    <t xml:space="preserve">Material</t>
  </si>
  <si>
    <t xml:space="preserve">saco</t>
  </si>
  <si>
    <t xml:space="preserve">Mortero de impermeabilización SIKATOP SEAL-107 de SIKA (25 kg/saco).   Ref. bauhaus-sikatopseal107</t>
  </si>
  <si>
    <t xml:space="preserve">El mortero de impermeabilización SIKATOP SEAL-107 de SIKA es un mortero a base de cemento al cual se le agrega aditivos especiales y polímeros para ser modificado y mejorar sus prestaciones de protección de las superficies y soportes, sobre todo de los efectos que pueda tener la presencia de agua en ellos. Su uso es recomendado tanto en interiores como en exteriores, en trabajos de obra nueva y de renovación, como sellador de pequeñas fisuras, como impermeabilización de depósitos de agua potable, de sótanos, como también de muros y cimientos. Consumo/Dosificación: Depende de la rugosidad del soporte, de la planeidad superficial y del espesor de capa aplicado (como dato orientativo +/- 2 kg/m2/mm (excluyendo pérdidas y sobreconsumos debidos a la porosidad del soporte)); 1 lote de 25 kg ~ 12.5 litros de mortero.   Ref. bauhaus-sikatopseal107.
USOS:
* Impermeabilización exterior e interior de estructuras de hormigón, mortero, bloque de hormigón y ladrillo.
* Protección de estructuras de hormigón contra los efectos de las sales de deshielo y los ciclos hielo-deshielo.
* Impermeabilización rígida de muros de cimentación tanto en obra nueva como en trabajos de reparación.
* Como revestimiento tapaporos.
* Impermeabilización interior de sótanos (no sujetos a presión hidrostática de agua).
* Como sellado de pequeñas fi suras en estructuras de hormigón (no sujetas a movimientos).
* Como mortero de regularización para trabajos de reparación.
* Impermeabilización de depósitos de agua potable.
SIKATOP SEAL-107 puede utilizarse para protección de estructuras de hormigón:
? Adecuado para protección contra la penetración (Principio 1, método 1.3 de la UNE-EN 1504-9).
* Adecuado para control de la humedad (Principio 2, método 2.2 de la UNE-EN 1504-9).
* Adecuado para aumentar la resistencia (Principio 8, método 8.2 de la UNE-EN 1504-9).</t>
  </si>
  <si>
    <t xml:space="preserve">ma-bauhaus-sikafloor100level</t>
  </si>
  <si>
    <t xml:space="preserve">Material</t>
  </si>
  <si>
    <t xml:space="preserve">saco</t>
  </si>
  <si>
    <t xml:space="preserve">Mortero autonivelante cementoso modificado con polímeros para recrecidos de 1 a 10 mm SIKAFLOOR-100 LEVEL de SIKA (25 kg/saco).   Ref. bauhaus-sikafloor100level</t>
  </si>
  <si>
    <t xml:space="preserve">Mortero autonivelante adecuado para interiores. SIKAFLOOR-100 LEVEL se caracteriza por sus buenas propiedades de aplicación, para una carga media de compuesto de nivelación utilizable. Consumo: 1,55 kg/m2/mm (espesor de capa de 1 a 10 mm).   Ref. bauhaus-sikafloor100level.
Es adecuado para rellenar, alisar y nivelar los soportes antes de aplicar baldosas cerámicas, revestimientos textiles y elásticos (vinilo, linóleo) para zonas residenciales y no industriales interiores y sin presencia de humedad por ascensión capilar.
CARACTERÍSTICAS: Autonivelante; De fácil aplicación; Adecuado para aplicar en sistemas de calefacción por suelo radiante; Bombeable; Con polímeros modificados; Baja generación de polvo; Aplicable en interior y sobre superficies sin humedad por ascensión capilar.</t>
  </si>
  <si>
    <t xml:space="preserve">ma-bauhaus-sikafloor200level</t>
  </si>
  <si>
    <t xml:space="preserve">Material</t>
  </si>
  <si>
    <t xml:space="preserve">saco</t>
  </si>
  <si>
    <t xml:space="preserve">Mortero autonivelante cementoso modificado con polímeros para recrecidos de 3 a 50 mm SIKAFLOOR-200 LEVEL (25 kg/saco).   Ref. bauhaus-sikafloor200level</t>
  </si>
  <si>
    <t xml:space="preserve">Mortero autonivelante adecuado para interiores. SIKAFLOOR-200 LEVEL se caracteriza por sus buenas propiedades de aplicación, para una carga media de muy baja retracción y elevado espesor. Consumo: 1,74 kg/m2/mm (espesor de capa de 3 a 50 mm).   Ref. bauhaus-sikafloor200level.
Es adecuado para rellenar, alisar y nivelar los soportes antes de aplicar parquet, baldosas cerámicas, revestimientos textiles y elásticos (vinilo, linóleo) para zonas residenciales y no industriales interiores y sin presencia de humedad por ascensión capilar.
CARACTERÍSTICAS: Adecuado para construir soleras adheridas bajo baldosas cerámicas sobre soportes cementosos y para aplicar en sistemas de calefacción por suelo radiante; Baja Tensión; Bombeable; Autonivelante.</t>
  </si>
  <si>
    <t xml:space="preserve">ma-manau-92339</t>
  </si>
  <si>
    <t xml:space="preserve">Material</t>
  </si>
  <si>
    <t xml:space="preserve">saco</t>
  </si>
  <si>
    <t xml:space="preserve">Mortero de Reparación Clase R3 SIKA MONOTOP-612 de SIKA (25 kg/saco).</t>
  </si>
  <si>
    <t xml:space="preserve">El mortero de reparación MONOTOP-612 de SIKA es un mortero estructural Clase R3 reforzado con fibras y humo de sílice. Su uso es recomendado tanto en interiores como exteriores para la reparación de hormigón, regeneración y regularización de superficies de cementos y morteros. Material listo para su uso con la sola adición de agua. Consumo: 1,835 kg/m2 y mm de espesor (el consumo mínimo de SIKA MONOTOP-612 en polvo, será de 9,175 kg para un espesor de capa de 5 mm; Espesor de Capa: mín. 5 mm / máx. 30 mm).   Ref. bauhaus-sikamonotop612.
USOS:
• Regeneración del hormigón en capa gruesa, tanto en superficies verticales, como techos.
• Regularización de superficies de hormigón o mortero de cemento, previamente a la aplicación de una pintura.
• Reparación de elementos de hormigón.
• Rejuntado de elementos prefabricados.
Adecuado para trabajos de:
• Reparación de hormigón (Principio 3, método 3.1 y 3.3 de la UNE-EN 1504-9). Reparación de desconchones y deterioros del hormigón en edificios, puentes, infraestructuras y superestructuras.
• Refuerzo estructural del hormigón (Principio 4, método 4.4 de UNE-EN 1504-9). Incremento de la capacidad portante de las estructuras de hormigón mediante la adición de mortero.
• Conservación o restauración del pasivazo (Principio 7, método 7.1 y 7.2 de la UNE-EN 1504-9). Incremento del recubrimiento con mortero adicional y restituyendo el hormigón contaminado por carbonatación.</t>
  </si>
  <si>
    <t xml:space="preserve">ma-bm-10388315</t>
  </si>
  <si>
    <t xml:space="preserve">Material</t>
  </si>
  <si>
    <t xml:space="preserve">saco</t>
  </si>
  <si>
    <t xml:space="preserve">Mortero Transpirable e Impermeable WEBERCAL HYDROMUR de WEBER (25 kg/saco).   Ref. bm-10388315</t>
  </si>
  <si>
    <t xml:space="preserve">Mortero transpirable para tratamiento de humedades por remonte capilar tanto en interior como exterior. Se utiliza como saneamiento de muros afectados por humedades de remonte capilar. Rendimiento: 26 kg/m2 para 2 cm (espesor máximo permisible por capa: 40 mm).   Ref. bm-10388315.
Impide la aparición de manchas de humedad y sales. Se aplica como un mortero tradicional. Idóneo en rehabilitación. Soportes: ladrillo cerámico, piedra natural, bloque de hormigón y hormigón armado.</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</si>
  <si>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</si>
  <si>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</si>
  <si>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</si>
  <si>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</si>
  <si>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Es un mortero hidráulico formulado a base de cemento, áridos seleccionados, aditivos específicos y resinas impermeabilizantes, de elevada flexibilidad y resistencia al impacto, que actúa como adhesivo y capa de protección impermeabilizante de paneles de EPS, XPS, lana de vidrio, lana de roca, poliuretano, fibra de madera, corcho natural, etc.   Ref. lp-s/c-01
Consumos: a) Fijación de los paneles de aislamiento: 4,5 kg/m2. B) Capa base o de refuerzo: 5,5 kg/m2 (este consumo es aproximado, ya que depende siempre de la planimetría y rugosidad de la superficie de los soportes).
Aplicable en sistemas SATE, para colocación y capa de protección impermeable de paneles de poliestireno expandido (EPS), extrudido (XPS), lana mineral (MW), fibra de madera, o corcho natural. En el sistema PROPAM ANTIFISURAS, como capa armada flexible y de alta resistencia al impacto. También puede utilizarse en estructuras de hormigón como endurecedor y nivelador superficial en aleros, bajo cubiertas, etc, y en bovedillas o casetones de poliestireno expandido, respetando las instrucciones generales de aplicación del producto.</t>
  </si>
  <si>
    <t xml:space="preserve">ma-bm-25035052</t>
  </si>
  <si>
    <t xml:space="preserve">Material</t>
  </si>
  <si>
    <t xml:space="preserve">saco</t>
  </si>
  <si>
    <t xml:space="preserve">Mortero hidrofugado para enlucidos y enfoscados en fachadas WEBEREV HIDRO PLUS de WEBER (25 kg/saco).   Ref. bm-25035052</t>
  </si>
  <si>
    <t xml:space="preserve">Mortero híbrido tipo AI-CS III-Wc2 para el revestimiento de fachada y muros como base de un revestimiento final o como acabado en fachadas no expuestas a la intemperie. Alta plasticidad adaptable a rehabilitación y obra nueva. Consumo: 18 kg/m2 para 1 cm de espesor.   Ref. bm-25035052
Soportes recomendados: Hormigón, Mortero de cemento, Mortero de cal, Ladrillo, Bloque de hormigón.</t>
  </si>
  <si>
    <t xml:space="preserve">ma-briconstruccion-2001</t>
  </si>
  <si>
    <t xml:space="preserve">Material</t>
  </si>
  <si>
    <t xml:space="preserve">saco</t>
  </si>
  <si>
    <t xml:space="preserve">Mortero R2 de reparación cosmética del hormigón MASTEREMACO N 205 FC de BASF (25 kg/saco).   Ref. briconstruccion-2001</t>
  </si>
  <si>
    <t xml:space="preserve">Mortero de renovación para reparaciones cosméticas y nivelaciones superficiales. Aplicable en interiores y exteriores. Reparación y nivelación de superficies dañadas de hormigón, en estructuras, pilares, fachadas, etc. Reparación superficial y cosmética de piezas prefabricadas de todo tipo. Revoques finos sobre hormigón, muro de fábrica, mortero, etc. Nivelación de soportes verticales antes de colocar cerámica. Consumo: 1,7 kg de mortero amasado por m2 y mm de espesor (aprox. 1,3 kg de mortero seco por m2 y mm de espesor).   Ref. briconstruccion-2001.</t>
  </si>
  <si>
    <t xml:space="preserve">ma-calaflores-200575</t>
  </si>
  <si>
    <t xml:space="preserve">Material</t>
  </si>
  <si>
    <t xml:space="preserve">saco</t>
  </si>
  <si>
    <t xml:space="preserve">Yeso controlado MORCEM YESO de PUMA (17 kg/saco).   Ref. calaflores-200575</t>
  </si>
  <si>
    <t xml:space="preserve">Yeso de aplicación manual de fraguado lento, que se utiliza para el revestimiento de techos y paredes interiores, sobre todo tipo de soportes. Rendimiento: 2.2-1.8 m2/saco/cm espesor ±5%.   Ref. calaflores-200575.
Su tiempo de empleo está regulado en fábrica asegurando tiempos de espera reducidos y mayor tiempo de empleo, lo que favorece la consecución de elevadas productividades de la mano de obra y excelente calidad de acabado, con altos valores de resistencia mecánica. Dada su estructura porosa, proporciona un buen aislamiento acústico. Así mismo es un regulador de humedad, proporcionando una confortabilidad óptima en el interior. Tiene un buen comportamiento frente al fuego siendo incombustible.</t>
  </si>
  <si>
    <t xml:space="preserve">ma-colorsan-keim.restauro-grund</t>
  </si>
  <si>
    <t xml:space="preserve">Material</t>
  </si>
  <si>
    <t xml:space="preserve">saco</t>
  </si>
  <si>
    <t xml:space="preserve">Mortero seco mineral para relleno en restauración de piedra natural KEIM RESTAURO GRUND (30 kg/saco).   Ref. colorsan-KEIM.RESTAURO.GRUND</t>
  </si>
  <si>
    <t xml:space="preserve">Mortero de relleno con ligantes hidráulicos en el marco de la restauración de piedra arenisca, para cavidades de &gt; 2 cm de profundidad, así como para rellenar el núcleo en reproducciones realizadas con moldes abiertos. Consumo: 20 kg/m2 para 1 cm de espesor.   Ref. colorsan-KEIM.RESTAURO.GRUND.</t>
  </si>
  <si>
    <t xml:space="preserve">ma-colorsan-keim.restauro-top</t>
  </si>
  <si>
    <t xml:space="preserve">Material</t>
  </si>
  <si>
    <t xml:space="preserve">saco</t>
  </si>
  <si>
    <t xml:space="preserve">Mortero seco mineral con ligantes hidráulicos para restaurar piedra natural en zonas cercanas a la superficie KEIM RESTAURO-TOP de KEIM (30 kg/saco).   Ref. colorsan-keim.restauro-top</t>
  </si>
  <si>
    <t xml:space="preserve">KEIM RESTAURO-TOP es un sustitutivo para piedra natural en zonas cercanas a la superficie, para reproducir color y textura de la piedra original en obra, pero también para reproducciones en moldes abiertos. Consumo: aprox. 2 kg/m2 por mm (valor orientativo para soportes lisos (valores exactos sólo pueden determinarse mediante pruebas en obra)).    Ref. colorsan-keim.restauro-top.
PREPARACIÓN DE SOPORTE: El soporte debe estar firme, seco, libre de sales, limpio y libre de sustancias que afecten a la adherencia.
CAJEADO: La piedra dañada que debe ser restaurada con KEIM RESTAURO-TOP, debe ser cajeada con escarpa dentada o herramientas similares, hasta llegar a la base sana. Especialmente en superficies planas de piedra, el vaciado debe realizarse en 2 cm de profundidad y en perpendicular o en forma de cola de milano, para que el mortero de restauración tenga buen anclaje lateral. Si en zonas talladas no pudiera realizarse el cajeado descrito, debe tenerse en cuenta al menos que las zonas a reparar no partan de espesor cero.
LIMPIEZA: El polvo debe eliminarse a conciencia de las zonas a restaurar, con aire comprimido o con agua limpia y cepillo. Humedecer: El mortero de restauración sólo debe aplicarse sobre soporte húmedo. Es imprescindible que el soporte se humedezca suficientemente. El agua sobrante se retirará con esponja.
APLICACIÓN: El mortero reposado se aplicará apretando con paletín en la zona cajeada y humedecida. El espesor de capa máximo debe ser de 30 mm. La reparación debe sobresalir al menos 2 mm sobre la superficie original para poder igualar la textura posteriormente.</t>
  </si>
  <si>
    <t xml:space="preserve">ma-manau-33352001</t>
  </si>
  <si>
    <t xml:space="preserve">Material</t>
  </si>
  <si>
    <t xml:space="preserve">bidón</t>
  </si>
  <si>
    <t xml:space="preserve">WEBERPRIM FX15 BIDON 20KG Imprimante promotor de adherencia para soportes no porosos</t>
  </si>
  <si>
    <t xml:space="preserve">Resina de unión con cargas minerales y no inflamable, que actúa como puente de adherencia sobre hormigón liso o cerámica previa a la aplicación de revestimientos minerales en zonas residenciales. Consumo: 0,30 kg/m2.</t>
  </si>
  <si>
    <t xml:space="preserve">ma-lm-17553375</t>
  </si>
  <si>
    <t xml:space="preserve">Material</t>
  </si>
  <si>
    <t xml:space="preserve">pack</t>
  </si>
  <si>
    <t xml:space="preserve">Puente de unión epóxico bicomponente para adherencia entre hormigones frescos y endurecidos BETOPOX 93 de PROPAMSA (pack 5 kg de Componentes A y B).   Ref. lm-17553375</t>
  </si>
  <si>
    <t xml:space="preserve">BETOPOX 93 de PROPAMSA es un puente de unión bicomponente a base de resinas epoxi sin disolventes, de baja viscosidad, especialmente diseñado para garantizar una perfecta adherencia entre hormigón o mortero fresco y hormigón endurecido.   Ref. lm-17553375
Cumple con los requerimientos de la norma EN 1504-4. Dispone de Marcado CE 2+, para usos en edificación y obras de ingeniería civil de todo tipo. El consumo aproximado de BETOPOX 93 es de 200 a 300 gr/m2, pudiendo variar en función del uso, la porosidad y absorción del soporte. Presentación: Conjuntos de 2 y 5 kg.
Producto Equivalente: SIKADUR 32 FIX.</t>
  </si>
  <si>
    <t xml:space="preserve">ma-lm-11001634</t>
  </si>
  <si>
    <t xml:space="preserve">Material</t>
  </si>
  <si>
    <t xml:space="preserve">saco</t>
  </si>
  <si>
    <t xml:space="preserve">Mortero seco de revestimiento para terminación de fachadas, patios e interiores MORCEMSEC CAPA FINA; color blanco. (25 kg/saco).   Ref. lm-11001634</t>
  </si>
  <si>
    <t xml:space="preserve">MORCEMSEC CAPA FINA es un mortero seco a base de cemento de alta resistencia, áridos seleccionados y otros aditivos, para terminación de fachadas, patios e interiores. Impermeable al agua de lluvia y permeable al vapor de agua. Para enlucidos y obras de mampostería en general.   Ref. lm-11001634
CARATCTERÍSTICAS Y APLICACIONES:
a) Realización de terminaciones blancas.
b) Aplicación en interiores y exteriores.
c) Revestimiento impermeable.
d) Permeable al vapor de agua, permitiendo que el soporte respire.
e) Excelente adherencia y gran plasticidad.
f) Enlucido sobre enfoscado o aplicación en dos capas.
g) Espesores de hasta 1 cm sin descuelgue.
h) Acabado liso o fratasado.
Soportes convencionales a base de cemento y fábrica de ladrillos.
Rendimiento aproximado: 8 kg/m2 por cada 0,5 cm de espesor.</t>
  </si>
  <si>
    <t xml:space="preserve">ma-lm-sika.monotop.910s</t>
  </si>
  <si>
    <t xml:space="preserve">Material</t>
  </si>
  <si>
    <t xml:space="preserve">envase</t>
  </si>
  <si>
    <t xml:space="preserve">Pasivador de armaduras y puente de unión para morteros de reparación SIKA MONOTOP-910 S (4 kg/envase).   Ref. lm-sika.monotop.910s</t>
  </si>
  <si>
    <t xml:space="preserve">SIKA MONOTOP-910 S es un producto monocomponente a base de cemento, mejorado con resina sintética y humo de sílice, que se utiliza como capa de adherencia y como pasivador para la protección de las armaduras frente a la corrosión; y cumple con los requerimientos de la UNE-EN 1504-4 y de la UNE-EN 1504-7. Consumos: Como capa de adherencia: 2,0 a 2,5 kg de polvo por m2 y por 1 mm de espesor; Como protección de armaduras: 2,0 kg de polvo por m2 y por 1 mm de espesor (se requieren dos capas). Rendimiento: 4 kg de polvo rinde aproximadamente 2.3 litros de mortero.   Ref. lm-sika.monotop.910s.
Proporción de la Mezcla: Para aplicar a brocha 0.84 litros agua (21%) por 4 kg polvo; Para aplicación por proyección 0.8 litros agua (20%) por 4 kg polvo. Espesor de Capa: Como capa de adherencia - suficiente para recubrir la superficie del hormigón en una capa delgada que rellene las irregularidades, y los poros; Como protección de armaduras - 2 mm espesor mínimo.</t>
  </si>
  <si>
    <t xml:space="preserve">ma-lp-00560610</t>
  </si>
  <si>
    <t xml:space="preserve">Material</t>
  </si>
  <si>
    <t xml:space="preserve">bidón</t>
  </si>
  <si>
    <t xml:space="preserve">Mortero acrílico REVAT FILM de PROPAMSA; color blanco (20 kg/bidón).   Ref. lp-00560609</t>
  </si>
  <si>
    <t xml:space="preserve">Mortero de revestimiento a base de resina de copolímeros acrílicos, áridos seleccionados y aditivos que proporcionan un acabado de protección de fachadas e interiores. Listo para usar. Recomendado sobre enfoscados de mortero de cemento, yeso y hormigón. Viene en saco de 20 kg y es de color arena. Rendimiento: 2 a 3 kg/m2 (espesor de aplicación 2 a 3 mm).   Ref. lp-00560610.</t>
  </si>
  <si>
    <t xml:space="preserve">ma-lp-00540809</t>
  </si>
  <si>
    <t xml:space="preserve">Material</t>
  </si>
  <si>
    <t xml:space="preserve">saco</t>
  </si>
  <si>
    <t xml:space="preserve">Mortero para revoco PROPAM REVOC color blanco (25 kg/saco)   Ref. lp-00540809</t>
  </si>
  <si>
    <t xml:space="preserve">PROPAM Revoc es un mortero hidrófugo de revoco indicado para obras de albañilería en general: mampostería, enlucidos, revoques, patios de luces, garajes, etc. Formulado con cemento, áridos siliceos seleccionados y aditivos, muy buena trabajabilidad y gran impermeabilidad. ESpecialmente indicado para proyección mecánica. Color blanco. Saco de 25 kg. Se puede realizar la compra de este producto por palet completo. Tiempo de vida de la mezcla es de 30 min. Para comprarlo por palet completo se tienen que comprar 56 unidades o múltiplos de esta cantidad.   Ref. lp-00540809</t>
  </si>
  <si>
    <t xml:space="preserve">ma-lp-00540811</t>
  </si>
  <si>
    <t xml:space="preserve">Material</t>
  </si>
  <si>
    <t xml:space="preserve">saco</t>
  </si>
  <si>
    <t xml:space="preserve">Mortero para revoco PROPAM REVAT CAL BASE; color gris (25 kg/saco)   Ref. lp-00540811</t>
  </si>
  <si>
    <t xml:space="preserve">REVAT CAL BASE de PROPAMSA es un mortero hidrófugo de revoco en base cal especialmente pensados como base para aplicaciones bicapa de morteros acrílicos y pinturas plásticas, así como regularización de soportes y para obras de enlucido, revoques y garajes. Formulado con cal, cemento, áridos seleccionados y aditivos, muy buena trabajabilidad y gran impermeabilidad. Color gris. Tiempo de vida de la mezcla es de 30 min.   Ref. lp-00540811</t>
  </si>
  <si>
    <t xml:space="preserve">ma-lp-00560609</t>
  </si>
  <si>
    <t xml:space="preserve">Material</t>
  </si>
  <si>
    <t xml:space="preserve">bidón</t>
  </si>
  <si>
    <t xml:space="preserve">Mortero acrílico REVAT PLAS de PROPAMSA; color Blanco (20 kg/bidón).   Ref. lp-00560609</t>
  </si>
  <si>
    <t xml:space="preserve">REVAT® FILM de PROPAMSA es un revestimiento a base de resina de copolímeros acrílico-estirénicos, cargas, pigmentos minerales y aditivos que proporcionan un acabado de protección y decoración del edificio. Rendimiento: 3 a 5 m2/kg por mano. Ref. lp-00560609.
CAMPO DE APLICACIÓN: Revestimiento de todo tipo de fachadas e interiores sobre enfoscados de mortero de cemento, yeso, hormigón, y pinturas en buen estado.</t>
  </si>
  <si>
    <t xml:space="preserve">ma-lp-00001159</t>
  </si>
  <si>
    <t xml:space="preserve">Material</t>
  </si>
  <si>
    <t xml:space="preserve">saco</t>
  </si>
  <si>
    <t xml:space="preserve">Mortero seco H-25 de VALSEC (25 kg/saco).   Ref. lp-00001159</t>
  </si>
  <si>
    <t xml:space="preserve">El hormigón seco H-25 alta resistencia, autocompactable, se utilizan en aplicaciones no estructurales: pavimentos, cimentaciones, rellenos, canalizaciones, pequeñas reparaciones, fábricas de muros y tabiques de interior. Se prepara en hormigonera añadiendo 2,5 litros de agua por saco. Tipo NHE. Saco de 25 kg. Color gris. Densidad: 2000 kg/m3. Resistencia a la compresión: 25 kpa. Elaborado con áridos de mármol y cemento, de granulometría controlada y una plasticidad óptima. Rendimiento: 20 kg/m2/cm de espesor.   Ref. lp-00001159.
El Hormigón seco HA25 es un hormigón de calidad adecuada para trabajos de construcción en general en ambientes de exposición normal, humedad alta. Apto para su uso como hormigón armado estructural y para todo tipo de obras de albañilería; hormigones para aceras, hormigones para bordillos, hormigones de relleno, hormigón impreso, soleras pulidas.</t>
  </si>
  <si>
    <t xml:space="preserve">ma-lp-00539164</t>
  </si>
  <si>
    <t xml:space="preserve">Material</t>
  </si>
  <si>
    <t xml:space="preserve">saco</t>
  </si>
  <si>
    <t xml:space="preserve">Mortero seco para aplicaciones en albañilería M-7,5 SAGRASEC; color blanco (25 kg/saco)   Ref. lp-00539164</t>
  </si>
  <si>
    <t xml:space="preserve">El mortero seco M-7,5 se utiliza para aplicaciones en albañilería. Clasificado como M 7,5 según la norma UNE EN 998-2, es un mortero premezclado en seco a base de cemento blanco como conglomerante inorgánico, áridos de granulometría controlada y aditivos químicos. Se utiliza en enfoscados interiores y exteriores. Muros de ladrillos, obra vista, bloque de hormigón, muros de carga, colocación de tejas, solados, pavimentos, nivelación y rellenos, así como soporte de adhesivos. Saco de 25 kg; color blanco. Densidad: 1.600 kg/m3. Resistencia a la compresión: 7,5 kpa.   Ref. lp-00539164</t>
  </si>
  <si>
    <t xml:space="preserve">ma-lp-00001603A</t>
  </si>
  <si>
    <t xml:space="preserve">Material</t>
  </si>
  <si>
    <t xml:space="preserve">saco</t>
  </si>
  <si>
    <t xml:space="preserve">Mortero seco para aplicaciones en albañilería M-7,5 VALSEC; color gris (25 kg/saco)   Ref. lp-00001603</t>
  </si>
  <si>
    <t xml:space="preserve">El mortero seco M-7,5 se utiliza para aplicaciones en albañilería. Clasificado como M 7,5 según la norma UNE EN 998-2, es un mortero premezclado en seco a base de cemento gris como conglomerante inorgánico, áridos de granulometría controlada y aditivos químicos. Se utiliza en enfoscados interiores y exteriores. Muros de ladrillos, obra vista, bloque de hormigón, muros de carga, colocación de tejas, solados, pavimentos, nivelación y rellenos, así como soporte de adhesivos. Saco de 25 kg; color gris. Densidad: 1.600 kg/m3. Resistencia a la compresión: 7,5 kpa.   Ref. lp-00001603</t>
  </si>
  <si>
    <t xml:space="preserve">ma-lp-00001604</t>
  </si>
  <si>
    <t xml:space="preserve">Material</t>
  </si>
  <si>
    <t xml:space="preserve">saco</t>
  </si>
  <si>
    <t xml:space="preserve">Mortero seco M-5 de VALSEC; color gris (25 kg/saco).   Ref. lp-00001604</t>
  </si>
  <si>
    <t xml:space="preserve">El mortero seco M-5 de VALSEC se utiliza para aplicaciones en albañilería.   Ref. lp-00001604.
Es un mortero premezclado en seco a base de cemento gris como conglomerante inorgánico, árido de granulometría controlada y aditivos químicos. Fabricado según la Norma UNE EN 998-2, destinado a ser utilizado en construcciones interiores o exteriores no sometidas a requisitos estructurales. Está específicamente diseñado para su aplicación en construcciones con ladrillo, colocación de tejas, solados, pavimentos, nivelación y rellenos, así como capa soporte de cementos cola para alicatados. Densidad: 1600 kg/m3. Resistencia a la compresión: 5 kpa.</t>
  </si>
  <si>
    <t xml:space="preserve">ma-lp-00001697</t>
  </si>
  <si>
    <t xml:space="preserve">Material</t>
  </si>
  <si>
    <t xml:space="preserve">saco</t>
  </si>
  <si>
    <t xml:space="preserve">Yeso IBERFINO SN de PLACO para acabado de guarnecidos de yeso controlado (17 kg/saco).   Ref. lp-00001697</t>
  </si>
  <si>
    <t xml:space="preserve">Yeso IBERFINO SN de PLACO es un yeso de construcción de granulometría fina, de aplicación manual, que se utiliza como acabado o terminación de los guarnecidos de yeso controlado, realizados en divisiones interiores, tanto horizontales como verticales. Tiempo de uso elevado, de alto rendimiento y con acabado de gran finura y blancura.   Ref. lp-00001697.</t>
  </si>
  <si>
    <t xml:space="preserve">ma-lp-00095260</t>
  </si>
  <si>
    <t xml:space="preserve">Material</t>
  </si>
  <si>
    <t xml:space="preserve">saco</t>
  </si>
  <si>
    <t xml:space="preserve">Yeso controlado S1 de LA PLATAFORMA para aplicación manual (17 kg/saco)   Ref. lp-00095260</t>
  </si>
  <si>
    <t xml:space="preserve">Yeso manual controlado S1 es un producto con base de yeso para guarnecido en revestimientos continuos de interiores, tanto horizontales como verticales. También se usa como elemento ligante a la hora de levantar la tabiquería interior, sustituyendo con ventaja a otros ligantes como el mortero de cemento. Saco de 17 kg. Rendimiento: 2.2-1.8 m2/saco/cm espesor ±5%.   Ref. lp-00095260</t>
  </si>
  <si>
    <t xml:space="preserve">ma-lp-00179136</t>
  </si>
  <si>
    <t xml:space="preserve">Material</t>
  </si>
  <si>
    <t xml:space="preserve">saco</t>
  </si>
  <si>
    <t xml:space="preserve">Cemento PORTLAND blanco II/A-L 42,5 R de VALSEC (25 kg/saco).   Ref. lp-00179136</t>
  </si>
  <si>
    <t xml:space="preserve">El Cemento Portland blanco tipo II/A-L R 42,5 de VALSEC es apto para hormigón armado y en masa de uso general con desarrollo de resistencias normales. Norma UNE 80305.   Ref. lp-00179136.
Cemento portland blanco con caliza, de gama alta de clinker, tipo BL II/A-L de resistencia media-alta 42,5 MPa a 28 días con resistencia inicial elevada R. El principal uso de este cemento lo encontramos en la fabricación de terrazos y en todo tipo de prefabricados de tipo ornamental que no sean estructurales. Utilizado también en la elaboración de morteros blancos de resistencias medias-altas.</t>
  </si>
  <si>
    <t xml:space="preserve">ma-lp-00179979</t>
  </si>
  <si>
    <t xml:space="preserve">Material</t>
  </si>
  <si>
    <t xml:space="preserve">saco</t>
  </si>
  <si>
    <t xml:space="preserve">Cal hidráulica natural CALIX NHL – 3,5 de FYM; color blanco (25 kg/saco).   Ref. lp-00179979</t>
  </si>
  <si>
    <t xml:space="preserve">La cal hidráulica natural i.design CALIX NHL 3,5 blanca es un producto de la calcinación de una caliza margosa, posteriormente apagada. i.design CALIX NHL 3,5 blanca tiene la propiedad de fraguar y endurecer con el agua, para continuar carbonatando con el CO2 del aire. Por tanto, este doble comportamiento permite que las prestaciones de i.design CALIX NHL 3,5 blanca no se vean afectadas negativamente por las condiciones climáticas de puesta en obra, endureciendo más rápidamente, con mayor resistencia al deterioro y a los esfuerzos de los soportes. Debido a su color blanco, es el producto más adecuado para obtener morteros de color claro y/o resaltar áridos de características especiales. i.design CALIX NHL 3,5 blanca es conforme a la norma europea EN- 459-1 de Cales de construcción.   Ref. lp-00179979.
CARACTERÍSTICAS:
• Óptimo control de las dosificaciones.
• Máxima facilidad de aplicación al ser un producto muy maleable.
• Absoluto respeto de los elementos constructivos existentes.
• 100% natural: exacta reproducción de los colores locales.
APLICACIONES:
• Enlucidos interiores, exteriores y de piedra vista.
• Rejuntado de ladrillos y piedras antiguas.
• Mampostería en general.
• Pavimentación en terracota o piedra.
• Colocación de tejados (cumbreras, limatesas, limahoyas, aleros).
• Refuerzo de argamasa.</t>
  </si>
  <si>
    <t xml:space="preserve">ma-lp-00179979-1</t>
  </si>
  <si>
    <t xml:space="preserve">Material</t>
  </si>
  <si>
    <t xml:space="preserve">saco</t>
  </si>
  <si>
    <t xml:space="preserve">Cal hidráulica natural i.design CALIX tipo NHL-3,5 de FYM; color blanco (25 kg/saco).   Ref. lp-00179979</t>
  </si>
  <si>
    <t xml:space="preserve">La cal hidráulica natural i.design CALIX NHL 3,5 blanca es un producto de la calcinación de una caliza margosa, posteriormente apagada. i.design CALIX NHL 3,5 blanca tiene la propiedad de fraguar y endurecer con el agua, para continuar carbonatando con el CO2 del aire. Por tanto, este doble comportamiento permite que las prestaciones de i.design CALIX NHL 3,5 blanca no se vean afectadas negativamente por las condiciones climáticas de puesta en obra, endureciendo más rápidamente, con mayor resistencia al deterioro y a los esfuerzos de los soportes. Debido a su color blanco, es el producto más adecuado para obtener morteros de color claro y/o resaltar áridos de características especiales. i.design CALIX NHL 3,5 blanca es conforme a la norma europea EN- 459-1 de Cales de construcción.   Ref. lp-00179979.
CARACTERÍSTICAS:
• Óptimo control de las dosificaciones.
• Máxima facilidad de aplicación al ser un producto muy maleable.
• Absoluto respeto de los elementos constructivos existentes.
• 100% natural: exacta reproducción de los colores locales.
APLICACIONES:
• Enlucidos interiores, exteriores y de piedra vista.
• Rejuntado de ladrillos y piedras antiguas.
• Mampostería en general.
• Pavimentación en terracota o piedra.
• Colocación de tejados (cumbreras, limatesas, limahoyas, aleros).
• Refuerzo de argamasa.</t>
  </si>
  <si>
    <t xml:space="preserve">ma-lp-00539210</t>
  </si>
  <si>
    <t xml:space="preserve">Material</t>
  </si>
  <si>
    <t xml:space="preserve">saco</t>
  </si>
  <si>
    <t xml:space="preserve">Mortero de reparación GEOLITE 40 de KERAKOLL (25 kg/saco)   Ref. lp-00539210</t>
  </si>
  <si>
    <t xml:space="preserve">Mortero de Reparación Geolite 40 de Kerakoll (Clase R4) para la reparación y refuerzo de estructuras de hormigón armado y mampostería (vigas, pilares, losas, balcones, rampas, cornisas). Eco-compatible, idóneo para Greenbuilding. Tixotrópico, de fraguado semi-rápido, 40 minutos, pintable tras 4 horas. Idóneo para usar con andamios móviles. Saco 25 kg.   Ref. lp-00539210</t>
  </si>
  <si>
    <t xml:space="preserve">ma-lp-00540433</t>
  </si>
  <si>
    <t xml:space="preserve">Material</t>
  </si>
  <si>
    <t xml:space="preserve">envase</t>
  </si>
  <si>
    <t xml:space="preserve">Resina texturada de BIGMAT como puente adherente sobre soportes faltos de absorción (5 kg/envase).   Ref. lp-00540433</t>
  </si>
  <si>
    <t xml:space="preserve">Imprimación texturada al agua que actúa como puente de unión sobre soportes faltos de absorción. Ideal para emplearlo como puente adherente para facilitar el anclaje de materiales de base cementosa o impermeabilizantes acrílicos sobre soportes faltos de absorción. El producto no está clasificado como peligroso según el Reglamento (EU) No 1272/2008. Rendimiento Teórico: 350 a 400 gr/m2.   Ref. lp-00540433.</t>
  </si>
  <si>
    <t xml:space="preserve">ma-lp-00540810A</t>
  </si>
  <si>
    <t xml:space="preserve">Material</t>
  </si>
  <si>
    <t xml:space="preserve">envase</t>
  </si>
  <si>
    <t xml:space="preserve">Mortero para revoco a base de cal aérea PROPAM REVAT CAL FINO (                              Ref. lp-00540810</t>
  </si>
  <si>
    <t xml:space="preserve">PROPAM REVAT CAL FINO (CR-CSI-W0) es un mortero hidrófugo de revoco indicado tanto en paredes como en techos, sobre enfoscado previo de mortero de cemento o sobre fábrica de ladrillo. Consumo aproximado: 0,3 kg/m2 (las deficiencias de planeidad pueden alterar este indicador).   Ref. lp-00540810
Está indicado para la colocación en capa fina como mortero de terminación en revoques de patios de luces, garajes, fachadas, interiores. Formulado con cemento, áridos silíceos seleccionados y aditivos, muy buena trabajabilidad y gran impermeabilidad. Especialmente indicado para proyección mecánica. Color blanco. Saco de 25 kg. Tiempo de vida de la mezcla es de 30 min.
Características Técnicas: Su consumo aproximado de 0,3 kg/m2 y se presenta en cajas que contienen 4 bolsas de 3 kg cada una. Está disponible en 9 colores diferentes por lo que encaja en la mayoría de proyectos de revestimiento de fachadas (blanco, salmón, verde, crema, gris rojo, beige, azul y piedra).</t>
  </si>
  <si>
    <t xml:space="preserve">ma-lp-00540808</t>
  </si>
  <si>
    <t xml:space="preserve">Material</t>
  </si>
  <si>
    <t xml:space="preserve">saco</t>
  </si>
  <si>
    <t xml:space="preserve">Mortero para revoco PROPAM REVOC color gris (25 kg/saco)   Ref. lp-00540808</t>
  </si>
  <si>
    <t xml:space="preserve">PROPAM REVOC es un mortero hidrófugo de revoco indicado para obras de albañilería en general: mampostería, enlucidos, revoques, patios de luces, garajes, etc. Formulado con cemento, áridos siliceos seleccionados y aditivos, muy buena trabajabilidad y gran impermeabilidad. Especialmente indicado para proyección mecánica. Color gris. Saco de 25 kg. Se puede realizar la compra de este producto por palet completo. Tiempo de vida de la mezcla es de 30 min. Para comprarlo por palet completo se tienen que comprar 56 unidades o múltiplos de esta cantidad.   Ref. lp-00540808</t>
  </si>
  <si>
    <t xml:space="preserve">ma-lp-00540810</t>
  </si>
  <si>
    <t xml:space="preserve">Material</t>
  </si>
  <si>
    <t xml:space="preserve">saco</t>
  </si>
  <si>
    <t xml:space="preserve">Mortero hidrófugo para revoco PROPAM FINO; color blanco (25 kg/saco)   Ref. lp-00540810</t>
  </si>
  <si>
    <t xml:space="preserve">PROPAM FINO es un mortero hidrófugo de revoco indicado anto en paredes como en techos, sobre enfoscado previo de mortero de cemento o sobre fabrica de ladrillo. Está indicado para la colocación en capa fina como mortero de terminación en revoques de patios de luces, garajes, fachadas, interiores. Formulado con cemento, áridos siliceos seleccionados y aditivos, muy buena trabajabilidad y gran impermeabilidad. ESpecialmente indicado para proyección mecánica. Color blanco. Saco de 25 kg. Se puede realizar la compra de este producto por palet completo. Tiempo de vida de la mezcla es de 30 min. Para comprarlo por palet completo se tienen que comprar 56 unidades o múltiplos de esta cantidad.   Ref. lp-00540810</t>
  </si>
  <si>
    <t xml:space="preserve">ma-lp-00540819</t>
  </si>
  <si>
    <t xml:space="preserve">Material</t>
  </si>
  <si>
    <t xml:space="preserve">saco</t>
  </si>
  <si>
    <t xml:space="preserve">Mortero monocapa PROPAM REVAT PIEDRA; color blanco (25 kg/saco).   Ref. lp-00540819</t>
  </si>
  <si>
    <t xml:space="preserve">REVAT PIEDRA de PROPAMSA es un mortero monocapa especialmente pensado para el revestimiento decorativo de fachadas, acabado de piedra proyectada. Se aplica directamente sobre el cerramiento. Aplicable hasta 20mm. Es impermeable al agua de lluvia y permeable al vapor de agua. Color blanco. Saco de 25 kg. Rendimiento 16 kg/m2 por cada cm de espesor.   Ref. lp-00540819</t>
  </si>
  <si>
    <t xml:space="preserve">ma-lp-00540812</t>
  </si>
  <si>
    <t xml:space="preserve">Material</t>
  </si>
  <si>
    <t xml:space="preserve">saco</t>
  </si>
  <si>
    <t xml:space="preserve">Mortero para revoco PROPAM REVAT CAL BASE; color blanco (25 kg/saco)   Ref. lp-00540812</t>
  </si>
  <si>
    <t xml:space="preserve">REVAT CAL BASE de PROPAMSA es un mortero hidrófugo de revoco en base cal especialmente pensados como base para aplicaciones bicapa de morteros acrílicos y pinturas plásticas, así como regularización de soportes y para obras de enlucido, revoques y garajes. Formulado con cal, cemento, áridos seleccionados y aditivos, muy buena trabajabilidad y gran impermeabilidad. Color blanco. Tiempo de vida de la mezcla es de 30 min. Rendimiento: 20 kg/m2 por cm de espesor.   Ref. lp-00540812</t>
  </si>
  <si>
    <t xml:space="preserve">ma-lp-00540813</t>
  </si>
  <si>
    <t xml:space="preserve">Material</t>
  </si>
  <si>
    <t xml:space="preserve">saco</t>
  </si>
  <si>
    <t xml:space="preserve">Mortero para revoco PROPAM REVAT CAL ENFOSCADO (25 kg/saco).   Ref. lp-00540813</t>
  </si>
  <si>
    <t xml:space="preserve">REVAT CAL ENFOSCADO es un mortero hidrófugo de revoco en base cal está indicado como capa de recubrimiento y rejuntado de mampostería antigua, obra nueva y rehabilitación de edificios. Formulado con cal, cemento, áridos seleccionados y aditivos, muy buena trabajabilidad y gran impermeabilidad. Color blanco. Saco de 25 kg. Se puede realizar la compra de este producto por palet completo. Tiempo de vida de la mezcla es de 30 min.   Ref. lp-00540813</t>
  </si>
  <si>
    <t xml:space="preserve">ma-lp-00540814</t>
  </si>
  <si>
    <t xml:space="preserve">Material</t>
  </si>
  <si>
    <t xml:space="preserve">saco</t>
  </si>
  <si>
    <t xml:space="preserve">Mortero monocapa PROPAM REVAT RASPADO; color blanco (25 kg/saco).   Ref. lp-00540814</t>
  </si>
  <si>
    <t xml:space="preserve">REVAT RASPADO de PROPAMSA es un mortero monocapa especialmente pensado para el revestimiento decorativo de fachadas. Acabado altamente decorativo. Se aplica directamente sobre el cerramiento. Es impermeable al agua de lluvia y permeable al vapor de agua. Color blanco. Saco de 25 kg.   Ref. lp-00540814</t>
  </si>
  <si>
    <t xml:space="preserve">ma-lp-00540827</t>
  </si>
  <si>
    <t xml:space="preserve">Material</t>
  </si>
  <si>
    <t xml:space="preserve">saco</t>
  </si>
  <si>
    <t xml:space="preserve">Mortero de reparación estructural R4 PROPAM REPAR TECHNO (25 kg/saco)   Ref. lp-00540827</t>
  </si>
  <si>
    <t xml:space="preserve">Mortero de reparación estructural R4 del hormigón BIGMAT REPAR TECHNO endurecimiento rápido. Indicado para reconstrucciones en esquinas y cantos dañados, reparación de desconchados y roturas. Color: gris.  Ref. lp-00540827</t>
  </si>
  <si>
    <t xml:space="preserve">ma-lp-00540820</t>
  </si>
  <si>
    <t xml:space="preserve">Material</t>
  </si>
  <si>
    <t xml:space="preserve">saco</t>
  </si>
  <si>
    <t xml:space="preserve">Mortero monocapa PROPAM REVAT PIEDRA; color gris (25 kg/saco).   Ref. lp-00540820</t>
  </si>
  <si>
    <t xml:space="preserve">REVAT PIEDRA de PROPAMSA es un mortero monocapa especialmente pensado para el revestimiento decorativo de fachadas, acabado de piedra proyectada. Se aplica directamente sobre el cerramiento. Aplicable hasta 20mm. Es impermeable al agua de lluvia y permeable al vapor de agua. Color gris. Saco de 25 kg. Rendimiento 16 kg/m2 por cada cm de espesor.   Ref. lp-00540820</t>
  </si>
  <si>
    <t xml:space="preserve">ma-lp-00540821</t>
  </si>
  <si>
    <t xml:space="preserve">Material</t>
  </si>
  <si>
    <t xml:space="preserve">saco</t>
  </si>
  <si>
    <t xml:space="preserve">Mortero monocapa PROPAM REVAT PIEDRA; color marrón (25 kg/saco).   Ref. lp-00540821</t>
  </si>
  <si>
    <t xml:space="preserve">REVAT PIEDRA de PROPAMSA es un mortero monocapa especialmente pensado para el revestimiento decorativo de fachadas, acabado de piedra proyectada. Se aplica directamente sobre el cerramiento. Aplicable hasta 20mm. Es impermeable al agua de lluvia y permeable al vapor de agua. Color marrón. Saco de 25 kg. Rendimiento 16 kg/m2 por cada cm de espesor.   Ref. lp-00540821</t>
  </si>
  <si>
    <t xml:space="preserve">ma-lp-00540825</t>
  </si>
  <si>
    <t xml:space="preserve">Material</t>
  </si>
  <si>
    <t xml:space="preserve">saco</t>
  </si>
  <si>
    <t xml:space="preserve">Mortero de reparación estructural R4 PROPAM REPAR 40 (25 kg/Saco)   Ref. lp-00540825</t>
  </si>
  <si>
    <t xml:space="preserve">Mortero de Reparación Estructural R4 PROPAM REPAR 40 de hormigón BigMat Repar 40. Indicado para Reconstrucciones en Esquinas y Cantos dañados, así como para Reparación de Desconchados y Roturas. Color: gris.   Ref. lp-00540825</t>
  </si>
  <si>
    <t xml:space="preserve">ma-lp-00540841</t>
  </si>
  <si>
    <t xml:space="preserve">Material</t>
  </si>
  <si>
    <t xml:space="preserve">saco</t>
  </si>
  <si>
    <t xml:space="preserve">Mortero de reparación PROPAM GROUT Mortero Fluido sin Retracción (25 kg/saco)   Ref. lp-00540841</t>
  </si>
  <si>
    <t xml:space="preserve">Mortero fluido de reparación PROPAM GROUT para relleno y anclaje. Consistencia fluida y retracción compensada. Está indicado para rellenos de bancadas de maquinaria, nivelación de apoyo de puentes y anclajes en general de maquinaria, pilares, pernos, barras de acero, postes, tubos pasantes, etc Elevado poder autonivelante y de relleno. Color gris. Saco de 25 kg.   Ref. lp-00540841</t>
  </si>
  <si>
    <t xml:space="preserve">ma-lp-00540828</t>
  </si>
  <si>
    <t xml:space="preserve">Material</t>
  </si>
  <si>
    <t xml:space="preserve">saco</t>
  </si>
  <si>
    <t xml:space="preserve">Mortero impermeabilización PROPAM IMPE capa fina hasta 3 mm (25 kg/saco); color gris.   Ref lp-00540828</t>
  </si>
  <si>
    <t xml:space="preserve">Mortero impermeabilización PROPAM IMPE. Color gris. Envase de 25 kg. Monocomponente de gran adherencia. Capa fina hasta 3 mm. Para impermeabilización de depósitos o tanques destinados a contener agua potable. Piscinas, estructuras enterradas, como sótanos, fosos de ascensores, garajes por encima y por debajo de la capa freática.   Ref lp-00540828</t>
  </si>
  <si>
    <t xml:space="preserve">ma-lp-00540829</t>
  </si>
  <si>
    <t xml:space="preserve">Material</t>
  </si>
  <si>
    <t xml:space="preserve">saco</t>
  </si>
  <si>
    <t xml:space="preserve">Mortero impermeabilización IMPE FLEX BIGMAT; color gris (15 kg/saco).   Ref. lp-00540829</t>
  </si>
  <si>
    <t xml:space="preserve">Mortero impermeabilización PROPAM IMPE FLEX BIGMAT monocomponente, gran adherencia. Capa fina hasta 3 mm. Color gris. 15 kg/saco. Para impermeabilización interior y exterior de hormigón y albañilería, por encima y por debajo de la capa freática, como sótanos, fosos de ascensores, túneles, piscinas, depósitos de agua. También para recubrir paredes y suelos de duchas y cuartos de baños, antes de colocar los azulejos o baldosas.   Ref. lp-00540829.
El consumo aproximado de BigMat IMPE FLEX es de 1,5 kg/m2 por mm de espesor.</t>
  </si>
  <si>
    <t xml:space="preserve">ma-lp-00540851</t>
  </si>
  <si>
    <t xml:space="preserve">Material</t>
  </si>
  <si>
    <t xml:space="preserve">saco</t>
  </si>
  <si>
    <t xml:space="preserve">Mortero juntas PROPAM BORADA CERÁMICA hasta 4 mm; color blanco polar (5 kg/saco)   Ref. lp-00540851</t>
  </si>
  <si>
    <t xml:space="preserve">Borada, también conocida como lechada, trata de un producto cementoso de aspecto cremoso con acabado en varios colores, compuesto de compuesto de morteros con base de cemento árido y aditivos que dotan de resistencia e impermeabilidad al producto. Tiene la función de rellenar ranuras entre baldosas y de este modo facilitar la limpieza de las superficies revestidas, así como de mejorar su acabado estético. Se usa en todo tipo de suelo cerámico, en cuartos de baño y también en exteriores; se aplica con espátula o llana y debe tener un espesor variable entre 1,5 y 5 mm. Con el fin de adaptarse a la variedad de acabados y de coloración de la cerámica (o crear un buen contraste), la borada se presenta en variados colores, siendo la de tonalidad blanca la más utilizada.   Ref. lp-00540851</t>
  </si>
  <si>
    <t xml:space="preserve">ma-lp-00540845</t>
  </si>
  <si>
    <t xml:space="preserve">Material</t>
  </si>
  <si>
    <t xml:space="preserve">saco</t>
  </si>
  <si>
    <t xml:space="preserve">Mortero cola PORCELÁNICO FLEX de BIGMAT; color gris (25 kg/saco).   Ref. lp-00540845</t>
  </si>
  <si>
    <t xml:space="preserve">Mortero cola PORCELÁNICO FLEX GRIS de BIGMAT es un mortero C2TE de altas prestaciones para colocación de cerámica de baldosas porcelánicas sin absorción en interiores y exteriores, y revestimientos interiores sobre soportes de mortero, hormigón o placas de yeso. Tiempo de ajustabilidad: aprox 30 min. Tiempo de vida de la pasta: 2 horas. Rendimiento de 3 kg/m2 encolado simple y 5 kg/m2 encolado doble.   Ref. lp-00540845
Indicado para:
• Colocación de baldosas de cerámica, gres, mármol, con o sin absorción, en pavimentos exteriores e interiores, y en revestimientos interiores, sobre soportes de mortero de cemento, hormigón o placas de cartón yeso.
• Pavimentos de tráfico intenso. Proporciona una gran adherencia, así como altas resistencias a la compresión y al cizallamiento, para poder soportar las cargas y esfuerzos creados por la circulación de tráfico intenso.
• Aplicación sobre antiguos pavimentos de gres.
• Especialmente indicado para piezas de gran formato y rectificados (&lt;3600 cm2).
• Colocación en pavimentos sobre instalaciones de calefacción radiante.</t>
  </si>
  <si>
    <t xml:space="preserve">ma-lp-00540846</t>
  </si>
  <si>
    <t xml:space="preserve">Material</t>
  </si>
  <si>
    <t xml:space="preserve">saco</t>
  </si>
  <si>
    <t xml:space="preserve">Mortero cola PORCELÁNICO FLEX de BIGMAT; color blanco (25 kg/saco).   Ref. lp-00540846</t>
  </si>
  <si>
    <t xml:space="preserve">Mortero cola PORCELÁNICO FLEX BLANCO de BIGMAT es un mortero C2TE de altas prestaciones para colocación de cerámica de baldosas porcelánicas sin absorción en interiores y exteriores, y revestimientos interiores sobre soportes de mortero, hormigón o placas de yeso. Tiempo de ajustabilidad: aprox 30 min. Tiempo de vida de la pasta: 2 horas. Rendimiento de 3 kg/m2 encolado simple y 5 kg/m2 encolado doble.   Ref. lp-00540846
Indicado para:
• Colocación de baldosas de cerámica, gres, mármol, con o sin absorción, en pavimentos exteriores e interiores, y en revestimientos interiores, sobre soportes de mortero de cemento, hormigón o placas de cartón yeso.
• Pavimentos de tráfico intenso. Proporciona una gran adherencia, así como altas resistencias a la compresión y al cizallamiento, para poder soportar las cargas y esfuerzos creados por la circulación de tráfico intenso.
• Aplicación sobre antiguos pavimentos de gres.
• Especialmente indicado para piezas de gran formato y rectificados (&lt;3600 cm2).
• Colocación en pavimentos sobre instalaciones de calefacción radiante.</t>
  </si>
  <si>
    <t xml:space="preserve">ma-lp-00540849</t>
  </si>
  <si>
    <t xml:space="preserve">Material</t>
  </si>
  <si>
    <t xml:space="preserve">saco</t>
  </si>
  <si>
    <t xml:space="preserve">Mortero cola GEL PLUS S1 BIGMAT; color gris (25 kg/saco)   Ref. lp-00540849</t>
  </si>
  <si>
    <t xml:space="preserve">Adhesivo cementoso flexible y deformable en consistencia gel, sin polvo, con fibras y con elevado contenido en resinas, de tiempo abierto prolongado y resistente al deslizamiento, aplicable en consistencia fluida o en consistencia tixotrópica, para la colocación de todo tipo de baldosas, incluso de gran formato, absorbentes y no absorbentes, en paredes y suelos interiores y exteriores. Revestimiento de: fachadas; pavimentos con tráfico intenso. Aplicación por superposición sobre antiguos revestimientos y pavimentos de cerámica; Colocación de pavimentos sobre instalaciones de calefacción radiante o sistemas de refrigeración. Colocación de baldosas en zonas húmedas y en piscinas. Saco de 25 kg.   Ref. lp-00540849.</t>
  </si>
  <si>
    <t xml:space="preserve">ma-lp-00540861</t>
  </si>
  <si>
    <t xml:space="preserve">Material</t>
  </si>
  <si>
    <t xml:space="preserve">saco</t>
  </si>
  <si>
    <t xml:space="preserve">Mortero juntas ULTRACOLOR PLUS BIGMAT 1 a 15 mm; color blanco (5 kg/saco).   Ref. lp-00540861</t>
  </si>
  <si>
    <t xml:space="preserve">Mortero para juntas de 1 a 15 mm (junta fina o ancha) ULTRACOLOR PLUS BIGMAT entre piezas cerámicas interior y exterior. Saco de 5 kg; color blanco.   Ref. lp-00540861</t>
  </si>
  <si>
    <t xml:space="preserve">ma-lp-00540868</t>
  </si>
  <si>
    <t xml:space="preserve">Material</t>
  </si>
  <si>
    <t xml:space="preserve">saco</t>
  </si>
  <si>
    <t xml:space="preserve">Mortero hidrofugado PROPAM AISTERM para colocación y protección de paneles aislantes; color gris (25 kg/saco).   Ref. lp-00540868</t>
  </si>
  <si>
    <t xml:space="preserve">Mortero adhesivo PROPAM AISTERM. Color gris. Envase de 25 kg. Está formulado a base de cemento, áridos seleccionados, aditivos específicos, y resinas impermeabilizantes.   Ref. lp-00540868
Indicado para colocación de paneles de poliestireno expandido (EPS), extrudido (XPS) o lana mineral (MW), directamente sobre el cerramiento, se usa a la vez como capa de recubrimiento de la placa, así le da resistencia superficial a la misma. Este mortero se usa como adhesivo y endurecedor de placas aislantes térmicas de un sistema de aislamiento térmico por el exterior (SATE). Gran adherencia, impermeable.
l consumo de PROPAM AISTERM es de 2 a 3 kg/m2 para la fijación de las placas y de 3 a 4 kg/m2 para la superficie.</t>
  </si>
  <si>
    <t xml:space="preserve">ma-lp-00540875</t>
  </si>
  <si>
    <t xml:space="preserve">Material</t>
  </si>
  <si>
    <t xml:space="preserve">saco</t>
  </si>
  <si>
    <t xml:space="preserve">Mortero cola PEGOLAND GEL PORCELÁNICO C2TE para colocar cerámica (interior y exterior); color blanco (25 kg/saco).   Ref. lp-00540875</t>
  </si>
  <si>
    <t xml:space="preserve">PEGOLAND GEL PORCELÁNICO blanco, mortero cola C2TE para colocación de cerámica de todo tipo en interior y exterior, incluso porcelánico.   Ref. lp-00540875
Mortero cola PEGOLAND GEL PORCELÁNICO blanco, mortero cola C2TE, para la colocación de pavimento nuevo sobre pavimento ya existente y suelos de calefacción radiante. Para el encolado de todo tipo de piezas cerámicas, gres porcelánico, piedra natural, granito y mármol, en interiores y exteriores. Rendimiento de 4 kg/m2 encolado simple y 6 kg/m2 encolado doble.
Adhesivo cementoso de ligantes mixtos con excelente trabajabilidad, alta adherencia, con deslizamiento reducido y tiempo abierto ampliado, para la colocación de pavimentos interiores y exteriores, revestimientos interiores y zócalos exteriores. Alta resistencia. Apto para soportes de yeso o anhidrita. Tiempo de ajustabilidad: aprox. 30 min. Tiempo de vida de la pasta: 2 horas.</t>
  </si>
  <si>
    <t xml:space="preserve">ma-lp-00540944</t>
  </si>
  <si>
    <t xml:space="preserve">Material</t>
  </si>
  <si>
    <t xml:space="preserve">saco</t>
  </si>
  <si>
    <t xml:space="preserve">Mortero juntas ULTRACOLOR PLUS BIGMAT 2 a 20 mm; color blanco (5 kg/saco).   Ref. lp-00540944</t>
  </si>
  <si>
    <t xml:space="preserve">Mortero antimoho, hidrorepelente y no irritante para rejuntado de altas prestaciones BIGMAT ULTRACOLOR PLUS para piezas cerámicas interior y exterior de 2 a 20 mm. Fraguado y secado rápido.   Ref. lp-00540944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blanco.</t>
  </si>
  <si>
    <t xml:space="preserve">ma-lp-00540914</t>
  </si>
  <si>
    <t xml:space="preserve">Material</t>
  </si>
  <si>
    <t xml:space="preserve">saco</t>
  </si>
  <si>
    <t xml:space="preserve">Mortero de reparación y pasivante MAPEFER 1K (5 kg/saco)   Ref. lp-00540914</t>
  </si>
  <si>
    <t xml:space="preserve">Mapefer 1K es un mortero monocomponente, a base de conglomerantes cementosos, polímeros en polvo e inhibidores de la corrosión, para aplicar sobre los hierros de la armadura y prevenir la formación de óxido, según una formulación desarrollada en los Laboratorios de Investigación MAPEI.   Ref. lp-00540914
PREPARACIÓN DEL PRODUCTO: En un recipiente limpio que contenga 1,0-1,1 litros de agua limpia, verter lentamente, bajo agitación, 5 kg de Mapefer 1K. Mezclar el producto durante algunos minutos hasta obtener una pasta homogénea, exenta de grumos. Mapefer 1K se debe aplicar antes de que transcurra 1 hora desde su preparación.
APLICACIÓN: Extender Mapefer 1K a brocha, en dos capas. La segunda capa puede aplicarse después de, aproximadamente, 2 horas desde la aplicación de la primera y, preferiblemente, antes de que transcurran 24 horas. Se recomienda cubrir completamente y de manera homogénea la superficie del hierro. El espesor total de las dos capas deberá ser de, aproximadamente, 2 mm. Durante la aplicación del producto, se manchará inevitablemente el hormigón presente alrededor de las armaduras; esto no perjudica en ningún caso la adherencia de los morteros que se empleen en la restauración posterior. La reparación con los productos de la línea Mapegrout debe realizarse sobre Mapefer 1K seco (aproximadamente 6 horas a una
temperatura de +20°C).
CONSUMO: 100 g/m de producto para una barra de 8 mm de diámetro y 200 g/m para una barra de 16 mm (2 mm de producto aplicado). Rendimiento aproximado: 4 kg/m2.</t>
  </si>
  <si>
    <t xml:space="preserve">ma-lp-00540946</t>
  </si>
  <si>
    <t xml:space="preserve">Material</t>
  </si>
  <si>
    <t xml:space="preserve">saco</t>
  </si>
  <si>
    <t xml:space="preserve">Mortero juntas ULTRACOLOR PLUS BIGMAT 2 a 20 mm; color chocolate (5 kg/saco).   Ref. lp-00540946</t>
  </si>
  <si>
    <t xml:space="preserve">Mortero antimoho, hidrorepelente y no irritante para rejuntado de altas prestaciones BIGMAT ULTRACOLOR PLUS para piezas cerámicas interior y exterior de 2 a 20 mm. Fraguado y secado rápido.   Ref. lp-00540946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chocolate.</t>
  </si>
  <si>
    <t xml:space="preserve">ma-lp-00540947</t>
  </si>
  <si>
    <t xml:space="preserve">Material</t>
  </si>
  <si>
    <t xml:space="preserve">saco</t>
  </si>
  <si>
    <t xml:space="preserve">Mortero juntas ULTRACOLOR PLUS BIGMAT 2 a 20 mm; color grafito (5 kg/saco).   Ref. lp-00540947</t>
  </si>
  <si>
    <t xml:space="preserve">Mortero antimoho, hidrorepelente y no irritante para rejuntado de altas prestaciones BIGMAT ULTRACOLOR PLUS para piezas cerámicas interior y exterior de 2 a 20 mm. Fraguado y secado rápido.   Ref. lp-00540947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grafito.</t>
  </si>
  <si>
    <t xml:space="preserve">ma-lp-00540950</t>
  </si>
  <si>
    <t xml:space="preserve">Material</t>
  </si>
  <si>
    <t xml:space="preserve">saco</t>
  </si>
  <si>
    <t xml:space="preserve">Mortero juntas ULTRACOLOR PLUS BIGMAT 2 a 20 mm; color marfil (5 kg/saco).   Ref. lp-00540950</t>
  </si>
  <si>
    <t xml:space="preserve">Mortero antimoho, hidrorepelente y no irritante para rejuntado de altas prestaciones BIGMAT ULTRACOLOR PLUS para piezas cerámicas interior y exterior de 2 a 20 mm. Fraguado y secado rápido.   Ref. lp-00540950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MARFIL.</t>
  </si>
  <si>
    <t xml:space="preserve">ma-lp-00559951</t>
  </si>
  <si>
    <t xml:space="preserve">Material</t>
  </si>
  <si>
    <t xml:space="preserve">saco</t>
  </si>
  <si>
    <t xml:space="preserve">Mortero de reparación estructural R4 PROPAM REPAR TECHNO 40 (25 kg/saco).   Ref. lp-00559951</t>
  </si>
  <si>
    <t xml:space="preserve">PROPAM REPAR TECHNO 40 es un mortero de reparación tixotrópico de alta adherencia monocomponente sin retracción, de muy altas resistencias mecánicas y reforzado con fibras, especialmente formulado para la reparación estructural del hormigón bajo ambientes agresivos. Cumple con los requerimientos de las normas EN 1504-3 clase R4, EN 1504-2 y EN 1504-7. Dispone de Marcado CE 2+, para usos en edificación y obras de ingeniería civil de todo tipo. Consumo: 18 kg/m2 por cm de espesor.   Ref. lp-00559951
Permite la ejecución de la reparación estructural con un solo producto y en un solo paso. Resistente a sulfatos. Alta tixotropía, aplicable en espesores de 2 a 50 mm, manualmente o por proyección. Elevadas resistencias mecánicas. Sin retracción y reforzado con fibras, no fisura. Su cuidada granulometría le proporciona un acabado cosmético similar al del hormigón original No contiene cloruros, su alto pH protege contra la corrosión a los elementos metálicos como armaduras, anclajes, etc. Excelente adherencia al hormigón, incluso sobre soportes poco porosos. Impermeable. Aplicable en interiores y exteriores. Alta resistencia a la carbonatación y a los ciclos hielo-deshielo. Aplicable por proyección. Soporta temperaturas entre -50ºC y +500ºC. Excelente trabajabilidad. Protege la armadura de la corrosión inhibiendo su oxidación.</t>
  </si>
  <si>
    <t xml:space="preserve">ma-lp-00561381</t>
  </si>
  <si>
    <t xml:space="preserve">Material</t>
  </si>
  <si>
    <t xml:space="preserve">saco</t>
  </si>
  <si>
    <t xml:space="preserve">Mortero para enfoscados PROPAM REVAT CAL FONDO (25 kg/saco). Ref. lp-00561381</t>
  </si>
  <si>
    <t xml:space="preserve">El mortero PROPAM REVAT CAL FONDO está indicado como revestimiento capa de agarre sobre muros de difícil adherencia, como los de piedra o mixtos, previo a la realización de revocos.   Ref. lp-00561381
Facilidad de aplicación y excelente adherencia. Adecuado para proyección mecánica o manual. Contiene una adición de ligante hidráulico inferior al 5% que confiere al mortero de una resistencia inicial mayor y una mejor adherencia al soporte. Espesor mínimo aplicación 5mm. Elevada transpirabilidad. Apto para interiores y exteriores. El consumo aproximado es de 15,5 Kg/m2 por cada cm de espesor (las deficiencias de planeidad pueden alterar este indicador).</t>
  </si>
  <si>
    <t xml:space="preserve">ma-lp-00561384</t>
  </si>
  <si>
    <t xml:space="preserve">Material</t>
  </si>
  <si>
    <t xml:space="preserve">saco</t>
  </si>
  <si>
    <t xml:space="preserve">Mortero para revoco PROPAM REVAT CAL TRADICIONAL (25 kg/saco).   Ref. lp-00561384</t>
  </si>
  <si>
    <t xml:space="preserve">PROPAM REVAT CAL TRADICIONAL es un mortero en base a cal aérea, áridos seleccionados, fibras especiales y diferentes aditivos que proporcionan un acabado decorativo al edificio (fachada e interiores). Indicado para obras de restauración y rehabilitación en las que se requieren morteros con características tradicionales. El consumo aproximado de REVAT CAL TRADICIONAL es de 13 Kg/m2 por cada cm de espesor (las deficiencias de planeidad pueden alterar este indicador).Colores: Blanco, Hueso, Marfil, Paja, Piedra, Beige, Tostado, Gamuza, Amarillo, Ocre, Teja, Rubí.   Ref. lp-00561384</t>
  </si>
  <si>
    <t xml:space="preserve">ma-lp-00561424</t>
  </si>
  <si>
    <t xml:space="preserve">Material</t>
  </si>
  <si>
    <t xml:space="preserve">saco</t>
  </si>
  <si>
    <t xml:space="preserve">Mortero de reparación estructural R4 PROPAM REPAR 910 R (25 kg/saco).   Ref. lp-00561424</t>
  </si>
  <si>
    <t xml:space="preserve">PROPAM REPAR 910 R es un mortero de reparación tixotrópico, de fraguado rápido y de alta adherencia, monocomponente sin retracción, de alta resistencia mecánica y reforzado con fibras, especialmente formulado para la reparación estructural del hormigón. Cumple con los requerimientos de la clase R3 de la norma EN 1504-3. Dispone de Marcado CE 2+, para usos en edificación y obras de ingeniería civil de todo tipo.   Ref. lp-00561424
Alta tixotropía, aplicable en espesores de 3 a 30 mm. Fraguado y endurecimiento rápido, permite una rápida puesta en servicio. Elevadas resistencias mecánicas. Sin retracción y reforzado con fibras, no fisura. Su cuidada granulometría proporciona un acabado similar al del hormigón original. No contiene cloruros, su alto pH protege contra la corrosión a los elementos metálicos como armaduras, anclajes, etc. Excelente adherencia al hormigón, incluso sobre soportes poco porosos. Impermeable. Aplicable en interiores y exteriores. Alta resistencia a la carbonatación y a los ciclos hielo-deshielo. Soporta temperaturas entre -50ºC y +500ºC. Excelente trabajabilidad. Consumo: 19 kg/m2 por cm de espesor.</t>
  </si>
  <si>
    <t xml:space="preserve">ma-lp-00563052</t>
  </si>
  <si>
    <t xml:space="preserve">Material</t>
  </si>
  <si>
    <t xml:space="preserve">saco</t>
  </si>
  <si>
    <t xml:space="preserve">Mortero juntas ULTRACOLOR PLUS BIGMAT 2 a 20 mm; color marrón (5 kg/saco).   Ref. lp-00563052</t>
  </si>
  <si>
    <t xml:space="preserve">Mortero antimoho, hidrorepelente y no irritante para rejuntado de altas prestaciones BIGMAT ULTRACOLOR PLUS para piezas cerámicas interior y exterior de 2 a 20 mm. Fraguado y secado rápido.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marrón.   Ref. lp-00563052</t>
  </si>
  <si>
    <t xml:space="preserve">ma-lp-00564971</t>
  </si>
  <si>
    <t xml:space="preserve">Material</t>
  </si>
  <si>
    <t xml:space="preserve">saco</t>
  </si>
  <si>
    <t xml:space="preserve">Mortero para enlucido MORCEMSEC ENLUCIDO FINO CON CAL (25 kg/saco)   Ref. lp-00564971</t>
  </si>
  <si>
    <t xml:space="preserve">MORCEMSEC Enlucido con Cal GP CSIII W2 Mortero de revestimiento en base cal aérea. Para enlucir en capa gruesa, sobre fábricas de ladrillo cerámico, bloque de hormigón o soportes similares. Impermeable al agua de lluvia y muy permeable al vapor de agua. Producto a base de cal aérea y conglomerantes hidráulicos, áridos seleccionados y aditivos.   Ref. lp-00564971
Características y aplicaciones En interior y exterior. Buena opción tanto para obra nueva como para rehabilitación. Elevada permeabilidad al vapor de agua e impermeabilidad frente a la lluvia. Mejora de la habitabilidad. Aplicación manual o mecánica. Acabado raspado fino y fratasado. Gran adherencia. Excelente trabajabilidad, su elevada plasticidad facilita la ejecución del trabajo en todo momento. Espesores de aplicación de hasta 20 mm sin descuelgue.</t>
  </si>
  <si>
    <t xml:space="preserve">ma-lp-00565011</t>
  </si>
  <si>
    <t xml:space="preserve">Material</t>
  </si>
  <si>
    <t xml:space="preserve">saco</t>
  </si>
  <si>
    <t xml:space="preserve">Mortero para enlucido MORCEM ESTUCO FINO (25 kg/saco).   Ref. lp-00565011</t>
  </si>
  <si>
    <t xml:space="preserve">Mortero MORCEM ESTUCO FINO a base de cal aérea para revestimiento y decoración. Para enlucidos de acabado raspado fino, fratasado o liso, tanto sobre enfoscados de morteros de cemento como directamente sobre el cerramiento. Color blanco. Saco de 25 kg.   Ref. lp-00565011</t>
  </si>
  <si>
    <t xml:space="preserve">ma-lp-00568965</t>
  </si>
  <si>
    <t xml:space="preserve">Material</t>
  </si>
  <si>
    <t xml:space="preserve">saco</t>
  </si>
  <si>
    <t xml:space="preserve">Mortero para enlucido fino con cal MORCEM ESTUCO (25 kg/saco)   Ref. lp-00568965</t>
  </si>
  <si>
    <t xml:space="preserve">Mortero de revestimiento en base cal aérea, para enlucidos de acabado raspado fino, fratasado o liso, tanto sobre enfoscados de morteros de cemento como directamente sobre el cerramiento. Impermeable al agua de lluvia y muy permeable al vapor de agua. Rendimiento: 16 kg/m por cm de espesor.   Ref. lp-00568965</t>
  </si>
  <si>
    <t xml:space="preserve">ma-lp-00568997</t>
  </si>
  <si>
    <t xml:space="preserve">Material</t>
  </si>
  <si>
    <t xml:space="preserve">saco</t>
  </si>
  <si>
    <t xml:space="preserve">Mortero aligerado y aislante LATERMIX CEM MINI de LATERLITE (50 litros/saco).   Ref. lp-99999999</t>
  </si>
  <si>
    <t xml:space="preserve">LATERMIX CEM MINI es un hormigón ligero y aislante predosificado en saco, para recrecidos, soleras, nivelados, pendientes de cubierta, a base de arcilla expandida especial hidrófoba LATERLITE PLUS. El amasado de LATERMIX CEM MINI con agua permite obtener un hormigón ligero aislante, compacto y multiuso, para interiores y exteriores, ideal para recrecer suelos y crear pendientes en forjados y cubiertas. Su resistencia y terminación cerrada permiten la aplicación directa de solados, adheridos o flotantes, e impermeabilizaciones, sin capas de regularización previas.   Ref. lp-99999999
LATERMIX CEM MINI (marcado CE según UNE EN 13813 – Mortero para Recrecidos y Acabados de Suelos) es el hormigón ligero ideal para recrecidos, soleras, nivelados, y pendientes de cubierta, porque gracias a su bajo peso, su resistencia, su capacidad aislante, su terminación y su facilidad de puesta en obra, permite reducir las cargas sobre los forjados y cubiertas, con una buena resistencia mecánica, combinados con un buen aislamiento térmico y una excelente durabilidad. LATERMIX CEM MINI es un soporte idóneo tanto para la colocación del pavimento final en obras de rehabilitación, como para formación de pendientes y soporte de la impermeabilización en cubiertas, por la combinación de todas estas propiedades. Rendimiento Aprox.: 0,21 sacos/m2 por cada cm de espesor (en función de la compactación).</t>
  </si>
  <si>
    <t xml:space="preserve">ma-lp-00568965</t>
  </si>
  <si>
    <t xml:space="preserve">Material</t>
  </si>
  <si>
    <t xml:space="preserve">saco</t>
  </si>
  <si>
    <t xml:space="preserve">Mortero para enlucido fino con cal MORCEM ESTUCO (25 kg/saco)   Ref. lp-00568965</t>
  </si>
  <si>
    <t xml:space="preserve">Mortero de revestimiento en base cal aérea, para enlucidos de acabado raspado fino, fratasado o liso, tanto sobre enfoscados de morteros de cemento como directamente sobre el cerramiento. Impermeable al agua de lluvia y muy permeable al vapor de agua. Rendimiento: 16 kg/m por cm de espesor.   Ref. lp-00568965</t>
  </si>
  <si>
    <t xml:space="preserve">ma-lp-00572023</t>
  </si>
  <si>
    <t xml:space="preserve">Material</t>
  </si>
  <si>
    <t xml:space="preserve">saco</t>
  </si>
  <si>
    <t xml:space="preserve">Mortero hidráulico de adhesión y protección de placas aislantes PROPAM AISTERM FLEX en sistema SATE (25 kg/saco).   Ref. lp-00572023</t>
  </si>
  <si>
    <t xml:space="preserve">Es un mortero hidráulico formulado a base de cemento, áridos seleccionados, aditivos específicos y resinas impermeabilizantes, de elevada flexibilidad y resistencia al impacto, que actúa como adhesivo y capa de protección impermeabilizante de paneles de EPS, XPS, lana de vidrio, lana de roca, poliuretano, fibra de madera, corcho natural, etc.   Ref. lp-s/c-01
Consumos: a) Fijación de los paneles de aislamiento: 4,5 kg/m2. B) Capa base o de refuerzo: 5,5 kg/m2 (este consumo es aproximado, ya que depende siempre de la planimetría y rugosidad de la superficie de los soportes).
Aplicable en sistemas SATE, para colocación y capa de protección impermeable de paneles de poliestireno expandido (EPS), extrudido (XPS), lana mineral (MW), fibra de madera, o corcho natural. En el sistema PROPAM ANTIFISURAS, como capa armada flexible y de alta resistencia al impacto. También puede utilizarse en estructuras de hormigón como endurecedor y nivelador superficial en aleros, bajo cubiertas, etc, y en bovedillas o casetones de poliestireno expandido, respetando las instrucciones generales de aplicación del producto.</t>
  </si>
  <si>
    <t xml:space="preserve">ma-lp-00579020</t>
  </si>
  <si>
    <t xml:space="preserve">Material</t>
  </si>
  <si>
    <t xml:space="preserve">saco</t>
  </si>
  <si>
    <t xml:space="preserve">Yeso controlado LONGIPS PREMIUM de PLACO (17 kg/saco).   Ref. lp-00579020</t>
  </si>
  <si>
    <t xml:space="preserve">LONGIPS PREMIUM SAN MARTÍN de PLACO es un producto con base yeso y fraguado controlado con una nueva fórmula que mejora la trabajabilidad y optimiza los tiempos de empleo, además de ofrecer una imagen totalmente innovadora. Su aplicación es manual, y se utiliza como revestimiento de guarnecidos interiores tanto verticales como horizontales.   Ref. lp-00579020.
Aplicación de guarnecidos interiores en paramentos horizontales y verticales. Puede ser lucido con nuestro fino manual Iberfino. Acabados listos para pintar También se usa como elemento ligante en el levantado de la tabiquería interior Temperatura de aplicación recomendada de 5ºC a 40ºC Rango de espesores recomendados entre 1-2 cm Apto para: Rehabilitación o nueva construcción.</t>
  </si>
  <si>
    <t xml:space="preserve">ma-lp-00580313</t>
  </si>
  <si>
    <t xml:space="preserve">Material</t>
  </si>
  <si>
    <t xml:space="preserve">saco</t>
  </si>
  <si>
    <t xml:space="preserve">Cemento portland gris Ultra CEM II/A-V 52,5R de REZOLA (25 kg/saco).   Ref. lp-00580313</t>
  </si>
  <si>
    <t xml:space="preserve">Cemento portland gris Ultra CEM II/A-V 52,5R de REZOLA es un cemento de muy altas resistencias mecánicas iniciales y finales con endurecimiento rápido, según la norma UNE EN 197-1.   Ref. lp-00580313.
El cemento CEM II/A-V 52,5 R está especialmente recomendado para las siguientes aplicaciones:
• Prefabricados estructurales de muy altas resistencias mecánicas con o sin tratamiento higrotérmico.
• Hormigones fabricados en central y en obra.
• Hormigones armados y pretensados de muy altas resistencias mecánicas.
• Hormigonado en tiempo frío, o en ambiente seco y sometido viento.
• Hormigón proyectado.
• Hormigones que se deban desencofrar o descimbrar a edades tempranas.
• Morteros técnicos, de albañilería y cementos cola.
VENTAJAS:
• El rápido desarrollo de las resistencias iniciales de CEM II/A-V 52,5 R lo hacen especialmente apto para aquellos trabajos que requieran una rápida puesta en obra.
• CEM II/A-V 52,5 R permite un alto rendimiento en plantas de prefabricados al poder desmoldar las piezas a edades más tempranas.
• El rápido desarrollo de las resistencias de CEM II/A-V 52,5 R permite el hormigonado en condiciones climatológicas adversas (tiempo frío, o en ambiente seco y sometido viento).
PUESTA EN OBRA: Durante la puesta en obra de CEM II/A-V 52,5 R se deben considerar los siguientes aspectos:
• Curar y proteger adecuadamente el hormigón.
• En climas fríos o con temperaturas bajas, proteger la superficie del hormigón.
• En circunstancias de ambiente seco, caluroso o con viento, resulta determinante tomar, durante el proceso de ejecución o puesta en obra, las medidas adecuadas especificadas en la reglamentación correspondiente y, en su caso, en el Código Estructural.
• Es responsabilidad del usuario el verificar la idoneidad de uso de los distintos aditivos de hormigón.</t>
  </si>
  <si>
    <t xml:space="preserve">ma-lp-propamtherm50</t>
  </si>
  <si>
    <t xml:space="preserve">Material</t>
  </si>
  <si>
    <t xml:space="preserve">saco</t>
  </si>
  <si>
    <t xml:space="preserve">Mortero monocomponente de cal con muy baja densidad aislante térmico continuo PROPAM THERM 50 de PROPAMSA (5 kg/saco).   Ref. lp-propamtherm50</t>
  </si>
  <si>
    <t xml:space="preserve">PROPAM THERM 50 (antes PROPAM TERM 50) es un mortero monocomponente de cal de muy baja densidad que actúa como aislamiento térmico continuo por el exterior en fachadas y bajo cubiertas, tanto en obra nueva como en rehabilitación. Rendimiento: 1,80 kg/m2 por cm de espesor.   Ref. lp-propamtherm50.
Está formulado a base de aglomerantes hidráulicos, áridos seleccionados y aditivos específicos. Especialmente efectivo en la resolución de puentes térmicos donde el soporte no es uniforme en planimetría. Solución rápida, económica y eficaz, para conseguir ambientes climáticamente bien protegidos, con el consiguiente ahorro energético.</t>
  </si>
  <si>
    <t xml:space="preserve">ma-manau-320463-sikagrout212.FLU</t>
  </si>
  <si>
    <t xml:space="preserve">Material</t>
  </si>
  <si>
    <t xml:space="preserve">saco</t>
  </si>
  <si>
    <t xml:space="preserve">Mortero (Grout) SIKAGROUT-212 FLUID de SIKA (30 kg/saco).   Ref. manau-320463</t>
  </si>
  <si>
    <t xml:space="preserve">El SIKAGROUT-212 FLUID es un grout cementoso monocomponente, preparado para mezclar con la adición de agua, de retracción compensada, de alto rendimiento, autonivelante y bombeable. Adecuado para bases de máquinas, rellenos de huecos y anclajes. Espesores: 12 a 100 mm. Consumo Teórico: 30 kg de polvo generan aproximadamente 14,8 litros de mortero.   Ref. manau-320463.
El grout es un mortero muy fluido, autonivelante y sin retracción utilizado para rellenar bases, anclajes y pequeños espacios.</t>
  </si>
  <si>
    <t xml:space="preserve">ma-manau-33506-sikarepcosmetic</t>
  </si>
  <si>
    <t xml:space="preserve">Material</t>
  </si>
  <si>
    <t xml:space="preserve">saco</t>
  </si>
  <si>
    <t xml:space="preserve">Mortero cosmético a base de cemento, áridos y resinas SIKAREP COSMETIC de SIKA; color gris claro (23 kg/saco).   Ref. manau-33506</t>
  </si>
  <si>
    <t xml:space="preserve">SIKAREP COSMETIC es un mortero para reparaciones superficiales cosméticas, monocomponente, a base de cemento, áridos finos y mejorado con resinas sintéticas que se aplica en capa fina. Consumo: 1.9 kg/m2/mm de mezcla seca; 1.63 kg/m2/mm SIKAREP COSMETIC (consumo mínimo por capa será de 0.9 kg/m2 para un espesor de 0,5 mm; espesor de capa min. 0,5 mm / max. 2 mm).   Ref. manau-33506.
USOS: Es adecuado para su aplicación sobre hormigón, mortero o piedra, en los siguientes casos:
COMO MORTERO DE REPARACIÓN COSMÉTICO PARA EL TRATAMIENTO DE DEFECTOS POR:
• Desprendimiento de la lechada superficial durante el desencofrado.
• Porosidad, pequeñas irregularidades o finos nidos de grava.
• Rotura de aristas.
• Pequeñas fisuras.
COMO MORTERO DE NIVELACIÓN:
• Para elementos prefabricados.
• Para la realización de revocos.
• Para soportes irregulares antes de la colocación de piezas cerámicas.
COMO MORTERO DE MONTAJE:
• Para la obturación de juntas pequeñas sin movimiento.
• Para el relleno de pequeños huecos que dejen tapones, anclajes o tirantes en el hormigón.</t>
  </si>
  <si>
    <t xml:space="preserve">ma-manau-49189-sikatop209es</t>
  </si>
  <si>
    <t xml:space="preserve">Material</t>
  </si>
  <si>
    <t xml:space="preserve">lote</t>
  </si>
  <si>
    <t xml:space="preserve">Mortero bicomponente de impermeabilización flexible SIKATOP-209 ES de SIKA (32 kg/lote A+B).   Ref. manau-49189</t>
  </si>
  <si>
    <t xml:space="preserve">SIKATOP-209 ES es un mortero bicomponente predosificado, flexible de impermeabilización a base de cemento, áridos seleccionados y polímeros modificados, con módulo de elasticidad bajo, con lo que se consigue una buena flexibilidad, se reduce el riesgo de fisuración y se mejora la capacidad de puentear fisuras de retracción y microfisuras.   Ref. manau-49189.
Consumo: 1,7 kg/m2/mm. Dependerá de la rugosidad del soporte.. En caso de irregularidad del soporte, se regularizará primero con un mortero de la gama Sika Monotop adecuado.
Es impermeable al agua y permeable al vapor de agua. Adecuado tanto a presión positiva como negativa. Excelente adherencia sobre soportes sanos de hormigón, mortero, piedra, ladrillo, etc. Elevada resistencia al hielo y a las sales de deshielo. Frena la progresión de la carbonatación
USOS:
Puede utilizarse para realizar revestimientos de impermeabilización y protección de superficies en los cuales se requiera flexibilidad, con objeto de puentear pequeñas fisuras. Algunos de los sitios más habituales donde se puede utilizar son:
• Depósitos, piscinas, canales u otros elementos destinados a contener agua, sean éstos enterrados o no enterrados.
• Impermeabilización interior de sótanos.
• Impermeabilización exterior de muros enterrados.
• Reparación y protección de superficies expuestas a la acción del hielo y de las sales de deshielo: pretiles de puentes, voladizos de terrazas y azoteas, cornisas, etc..
• Protección de estructuras de hormigón en ambientes marinos.
• Impermeabilización en contacto con agua potable.
Envases: Lotes predosificados de 32 kg (8 kg de comp. A (líquido blanco) y 24 kg de comp. B (polvo gris)).</t>
  </si>
  <si>
    <t xml:space="preserve">ma-mausa-SKDUR52INJ-sikadur52</t>
  </si>
  <si>
    <t xml:space="preserve">Material</t>
  </si>
  <si>
    <t xml:space="preserve">kit</t>
  </si>
  <si>
    <t xml:space="preserve">Resina Epoxi de Inyección Bicomponente de Baja Viscosidad SIKADUR-52 INJECTION LP de SIKA (1 kg/kit A+B en proporción 2:1).   Ref. mausa-SKDUR52INJ-sikadur52</t>
  </si>
  <si>
    <t xml:space="preserve">Resina epoxi de inyección bicomponente de baja viscosidad SIKADUR-52 INJECTION LP de SIKA (1 kg/kit A+B en proporción 2:1). Consumo: 1 kg de SIKADUR-52 INJECTION LP es equivalente a 1 litro de resina de inyección.   Ref. mausa-SKDUR52INJ-sikadur52.
SIKADUR-52 INJECTION LP es un producto líquido bicomponente de baja viscosidad para inyecciones, a base de resinas epoxi de altas resistencias, sin disolventes.
Resina de inyección con buena adherencia a hormigón, mortero, piedra, acero y madera. SIKADUR-52 INJECTION LP se usa para rellenar y sellar huecos y fisuras en estructuras tales como puentes y otro tipo de construcciones civiles e industriales incluyendo pilares, vigas, cimentaciones, muros, soleras y depósitos. No sólo forma una barrera efectiva frente a las filtraciones de agua y el avance de la corrosión, también pega o une las secciones de hormigón existentes.
https://www.youtube.com/watch?v=MCKlwg7rqvY
https://www.youtube.com/watch?v=ukwvq0flzxc
https://www.youtube.com/watch?v=tgZ3D8bO3PA
https://www.youtube.com/watch?v=iW0nE-At5Lo
https://www.youtube.com/watch?v=m907DITUbno</t>
  </si>
  <si>
    <t xml:space="preserve">ma-prolisur-P1631</t>
  </si>
  <si>
    <t xml:space="preserve">Material</t>
  </si>
  <si>
    <t xml:space="preserve">saco</t>
  </si>
  <si>
    <t xml:space="preserve">Mortero de reparación estructural R3 PROPAM REPAR 30 - equivalente a SIKA MONOTOP 612 (25kg/saco).   Ref. prolisur-P1631</t>
  </si>
  <si>
    <t xml:space="preserve">PROPAM® REPAR 30 es un mortero de reparación tixotrópico, proyectable, de alta adherencia, monocomponente, sin retracción, sulforesistente, de altas resistencias mecánicas y reforzado con fibras. Especialmente formulado para la reparación estructural del hormigón. Cumple con los requerimientos de la clase R3 de la norma EN 1504-3. Dispone de Marcado CE 2+, para usos en edificación y obras de ingeniería civil de todo tipo.Consumo: 19,5 Kg/m2 y cm de espesor.   Ref. prolisur-P1631
Equivalente a SIKA MONOTOP 612.</t>
  </si>
  <si>
    <t xml:space="preserve">ma-nazza-01</t>
  </si>
  <si>
    <t xml:space="preserve">Material</t>
  </si>
  <si>
    <t xml:space="preserve">pack</t>
  </si>
  <si>
    <t xml:space="preserve">Resina epoxídica para estratificados de NAZZA (35,2 kg/pack A+B).   Ref. nazza-01</t>
  </si>
  <si>
    <t xml:space="preserve">Resina epoxi autonivelante transparente de usos generales con elevada viscosidad para la realización de estratificados, laminados junto a fibra de vidrio, carbono, etc. Totalmente pigmentable. Presenta gran adhesión y resistencia química. Rendimiento: Resina 100% sólidos: 1 mm ? 1 kg/m2; Límite de espesor máximo: 1 cm ? 10 kg/m2.   Ref. nazza-01.
USOS y CARACTERÍSTICAS: Resina epoxi idónea para sistemas estratificados o composites con fibra de vidrio, carbono, aramida; Apta para todo tipo de reparaciones con o sin fibra de vidrio; Por su elevada viscosidad permite aplicar capas finas en superficies verticales sin que descuelgue; Compatible con todas las espumas del mercado: PVC, poliestireno, AIREX y poliuretano; Elevada dureza y resistencia a golpes.</t>
  </si>
  <si>
    <t xml:space="preserve">ma-obramat-10484964</t>
  </si>
  <si>
    <t xml:space="preserve">Material</t>
  </si>
  <si>
    <t xml:space="preserve">saco</t>
  </si>
  <si>
    <t xml:space="preserve">Mortero mineral monocapa coloreado, impermeable y transpirable WEBERPRAL PRISMA de WEBER (25 kg/saco).   Ref. om-10484964</t>
  </si>
  <si>
    <t xml:space="preserve">Mortero mineral monocapa coloreado, impermeable y transpirable para el revestimiento y decoración de fachadas, indicado para obtener un acabado de raspado o rústico. Consumo 1,500 kg/m2/mm de espesor (espesor de aplicación debe ser mayor a 10 mm).   Ref. om-10484964.
RECOMENDACIONES:
• Aplicar la imprimación WEBERPRIM FX15 sobre hormigones lisos o soportes sin absorción.
• En las uniones entre soportes de diferente naturaleza y puntos singulares, armar el mortero con WEBERTHERM MALLA 200.
• Utilizar junquillos para delimitar los paños de trabajo.
• En caso de colores intensos, aplicar en dos manos para obtener un color homogéneo.
• Espesor de aplicación: 12 a 15 mm por capa (máximo 30 mm en dos capas). Si se aplica sobre enfoscado no superar los 30 mm de espesor entre enfoscado + WEBERPRAL PRISMA.
• Tiempo de raspado: 3 a 10 horas.
• Evitar la escorrentía de agua en la fachada con los elementos constructivos diseñados para tal fin.</t>
  </si>
  <si>
    <t xml:space="preserve">ma-om-10519845</t>
  </si>
  <si>
    <t xml:space="preserve">Material</t>
  </si>
  <si>
    <t xml:space="preserve">rollo</t>
  </si>
  <si>
    <t xml:space="preserve">Malla de refuerzo de fibra de vidrio ARMATOP 100 de SIKA (1x50 m/rollo; 175 gr/m2).   Ref. om-10519845</t>
  </si>
  <si>
    <t xml:space="preserve">Malla de refuerzo de fibra de vidrio ARMATOP 100 de SIKA (1x50 m/rollo; 175 gr/m2).   Ref. om-10519845</t>
  </si>
  <si>
    <t xml:space="preserve">ma-om-10764054</t>
  </si>
  <si>
    <t xml:space="preserve">Material</t>
  </si>
  <si>
    <t xml:space="preserve">saco</t>
  </si>
  <si>
    <t xml:space="preserve">Mortero de reparación R4 WEBEREP HORMIPLUS NEO (25 kg/saco).   Ref: om-10764054</t>
  </si>
  <si>
    <t xml:space="preserve">Mortero reparador R4 de hormigón estructural HORMIPLUS NEO de WEBER con inhibidores de corrosión. Sin descuelgue de elevadas prestaciones mecánicas con protección contra la corrosión de armaduras y armado con fibras. Usos: reparación de hormigones degradados en interiores y exteriores con inhibidores de corrosión. Adecuado para su uso en ambientes marinos. Rendimiento: 18 kg/m2 para 1 cm de espesor (espesor de aplicación 10 a 50 mm).   Ref: om-10764054.
Enlace: https://www.obramat.es/mortero-reparador-r4-weberep-hormiprotec-plus-25-kg-10764054.html</t>
  </si>
  <si>
    <t xml:space="preserve">ma-pintasalfaz-8412131662217</t>
  </si>
  <si>
    <t xml:space="preserve">Material</t>
  </si>
  <si>
    <t xml:space="preserve">saco</t>
  </si>
  <si>
    <t xml:space="preserve">Mortero reperfilado de reparación R2 no estructural de hormigón BMB 6012 de BEISSIER (20 kg/saco).   Ref. pintasalfaz-8412131662217</t>
  </si>
  <si>
    <t xml:space="preserve">Mortero de reparación R2 no estructural diseñado para su aplicación sobre soportes de hormigón, cemento y similares, para la reconstrucción de perfiles de balcones, escaleras, parcheos en muros, paneles y prefabricados. Para reparaciones en general, no estructurales en las que se necesite unas rápidas resistencias. Consumo aproximado de 1,5 kg/m2 (espesor mín. 3 mm; espesor máx. 10 cm).   Ref. pintasalfaz-8412131662217.
Mortero impermeable en capa superior a 3 mm y permeable al vapor de agua. Buena adhesión, no necesita puentes de adherencia.</t>
  </si>
  <si>
    <t xml:space="preserve">ma-pintasalfaz-8412131662286</t>
  </si>
  <si>
    <t xml:space="preserve">Material</t>
  </si>
  <si>
    <t xml:space="preserve">saco</t>
  </si>
  <si>
    <t xml:space="preserve">Mortero flexible impermeabilizante bicomponente BME 18002/180L de BEISSIER (20 kg/saco).   Ref. pintasalfaz-8412131662286</t>
  </si>
  <si>
    <t xml:space="preserve">Mortero flexible bicomponente para impermeabilizar terrazas, bases y cubiertas de edificios y depósitos de agua. Membrana líquida de impermeabilización para su uso bajo baldosas de cerámica. Rendimiento aproximado de 1,8 kg/m2 y mm de espesor (espesor final: mínimo 2 mm y máximo 4 mm; 2,5 mm para depósitos de agua).   Ref. pintasalfaz-8412131662286.</t>
  </si>
  <si>
    <t xml:space="preserve">ma-pp-GRANOCRYL.BRS.SL03-C1</t>
  </si>
  <si>
    <t xml:space="preserve">Material</t>
  </si>
  <si>
    <t xml:space="preserve">bidón</t>
  </si>
  <si>
    <t xml:space="preserve">Mortero al siloxano para revoco decorativo GRANOCRYL BRS SL03 de BEISSIER; color C1 (20 kg/bidón).   Ref. pp-GRANOCRYL.BRS.SL03-C1</t>
  </si>
  <si>
    <t xml:space="preserve">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pintadas.Rendimiento: 2 a 3 kg/m2 en 2 mm de espesor (espesor por capa: 1,5 a 2 mm; espesor de aplicación de hasta 5 mm sin fisurar).   Ref. pp-GRANOCRYL.BRS.SL03-C1.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</si>
  <si>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 xml:space="preserve">ma-pp-GRANOCRYL.BRS.SL03-C2</t>
  </si>
  <si>
    <t xml:space="preserve">Material</t>
  </si>
  <si>
    <t xml:space="preserve">bidón</t>
  </si>
  <si>
    <t xml:space="preserve">Mortero al siloxano para revoco decorativo GRANOCRYL BRS SL03 de BEISSIER; color C2 (20 kg/bidón).   Ref. pp-GRANOCRYL.BRS.SL03-C2</t>
  </si>
  <si>
    <t xml:space="preserve">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 Rendimiento: 2 a 3 kg/m2 en 2 mm de espesor (espesor por capa: 1,5 a 2 mm; espesor de aplicación de hasta 5 mm sin fisurar).   Ref. pp-GRANOCRYL.BRS.SL03-C2.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</si>
  <si>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 xml:space="preserve">ma-pp-GRANOCRYL.BRS.SL03-C3</t>
  </si>
  <si>
    <t xml:space="preserve">Material</t>
  </si>
  <si>
    <t xml:space="preserve">bidón</t>
  </si>
  <si>
    <t xml:space="preserve">Mortero al siloxano para revoco decorativo GRANOCRYL BRS SL03 de BEISSIER; color C3 (20 kg/bidón).   Ref. pp-GRANOCRYL.BRS.SL03-C3</t>
  </si>
  <si>
    <t xml:space="preserve">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 Rendimiento: 2 a 3 kg/m2 en 2 mm de espesor (espesor por capa: 1,5 a 2 mm; espesor de aplicación de hasta 5 mm sin fisurar).   Ref. pp-GRANOCRYL.BRS.SL03-C3.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</si>
  <si>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 xml:space="preserve">ma-pp-GRANOCRYL.BRS.SL03-blanco</t>
  </si>
  <si>
    <t xml:space="preserve">Material</t>
  </si>
  <si>
    <t xml:space="preserve">bidón</t>
  </si>
  <si>
    <t xml:space="preserve">Mortero al siloxano para revoco decorativo GRANOCRYL BRS SL03 de BEISSIER; color blanco (20 kg/bidón).   Ref. pp-GRANOCRYL.BRS.SL03-blanco</t>
  </si>
  <si>
    <t xml:space="preserve">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 Rendimiento: 2 a 3 kg/m2 en 2 mm de espesor (espesor por capa: 1,5 a 2 mm; espesor de aplicación de hasta 5 mm sin fisurar).   Ref. pp-GRANOCRYL.BRS.SL03-blanco.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</si>
  <si>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</si>
  <si>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</si>
  <si>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</si>
  <si>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</si>
  <si>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BETOPRIM de PROPAMSA es un recubrimiento a base de cemento, arena de cuarzo, resinas acrílicas e inhibidores de la corrosión, que actúa contra la corrosión, pasivando el acero y presentando una superficie rugosa. Puede emplearse como puente de unión para mejorar la adhesión de hormigón viejo con hormigón nuevo o con morteros de reparación. Constituye un medio altamente alcalino y electroquímicamente activo, que actúa contra la corrosión, pasivando el acero y presentando una superficie rugosa.   Ref. prolisur-01
BETOPRIM es un recubrimiento a base de cemento, arena de cuarzo, resinas acrílicas e inhibidores de la corrosión. Puede emplearse como puente de unión previo a la aplicación de morteros de reparación. 
BETOPRIM cumple con los requerimientos de la norma EN 1504-7, y se utiliza como pasivante del acero de las armaduras para protegerlas de la corrosión en:
• Trabajos de rehabilitación del hormigón afectado por la corrosión de las armaduras debido a la carbonatación, ciclos hielo-deshielo, contaminación ambiental, etc.
• Nuevas obras sometidas a ambientes agresivos.
• Plantas industriales químicas, torres de refrigeración, etc.
• Obras marinas, pantalanes, emisarios, etc.
• Depuradoras de aguas residuales.
• Como medida preventiva en obras de hormigón armado con poco recubrimiento y con riesgo de corrosión de las armaduras o contaminado por cloruros.
CONSUMO: Con 1 kg de BETOPRIM se puede tratar de 0,8 a 1 m2. Dependiendo de la rugosidad del soporte, cada aplicación origina un espesor de capa seca de 0,5 a 1 mm. Se recomienda siempre para la protección de armaduras la aplicación de 2 capas; no obstante, el consumo final dependerá en gran medida del estado y porosidad del soporte.</t>
  </si>
  <si>
    <t xml:space="preserve">ma-prolisur-05</t>
  </si>
  <si>
    <t xml:space="preserve">Material</t>
  </si>
  <si>
    <t xml:space="preserve">saco</t>
  </si>
  <si>
    <t xml:space="preserve">Mortero de revoco WEBERCAL LISO de WEBER a base de cal en capa fina para sistemas bicapa (25 kg/saco).   Ref. prolisur-05</t>
  </si>
  <si>
    <t xml:space="preserve">Revoco de cal coloreado en capa fina para acabados lisos en la decoración de interiores, exteriores, fachadas y techos. Rendimiento: 1,70 kg/m² por mm de espesor.   Ref. prolisur-05.
SOPORTES: Hormigón, Mortero de cemento, Mortero de cal, WEBERCAL BASIC, WEBEREV HIDRO.</t>
  </si>
  <si>
    <t xml:space="preserve">ma-prolisur-06</t>
  </si>
  <si>
    <t xml:space="preserve">Material</t>
  </si>
  <si>
    <t xml:space="preserve">saco</t>
  </si>
  <si>
    <t xml:space="preserve">Mortero para enfoscado de cal en capa gruesa WEBERCAL BASIC de WEBER; color blanco (25 kg/saco).   Ref. prolisur-06</t>
  </si>
  <si>
    <t xml:space="preserve">Mortero mineral de cal con conglomerantes hidráulicos, diseñado para el uso como base de enfoscado de todo tipo de soluciones bicapa y especialmente indicado para soluciones bicapa en base cal con revestimientos de acabado como revocos o estucos. Rendimiento: 1,6 kg/m2 por mm de espesor.   Ref. prolisur-06.
SOPORTES: Cerramientos de ladrillo; Bloque de termoarcilla; Bloque de hormigón; Enfoscados de mortero tradicional tipo M-7,5.</t>
  </si>
  <si>
    <t xml:space="preserve">ma-manau-32952500</t>
  </si>
  <si>
    <t xml:space="preserve">Material</t>
  </si>
  <si>
    <t xml:space="preserve">saco</t>
  </si>
  <si>
    <t xml:space="preserve">Mortero para enfoscado de cal en capa gruesa WEBERCAL BASIC de WEBER; color gris (25 kg/saco).   Ref. prolisur-07</t>
  </si>
  <si>
    <t xml:space="preserve">Mortero mineral de cal aérea con conglomerantes hidráulicos áridos de granulometría compensada y aditivosorgánicos e inorgánicos, diseñado para el uso como base de enfoscado de todo tipo de soluciones bicapa y especialmente indicado para soluciones bicapa en base cal con revestimientos de acabado como revocos o estucos. Consumo: 1,6 kg/m2 por mm de espesor (espesor de aplicación: 10 a 15 mm por capa (máximo 30 mm en 2 capas)).   Ref. prolisur-07.
SOPORTES: Cerramientos de ladrillo; Bloque de termoarcilla; Bloque de hormigón; Enfoscados de mortero tradicional tipo M-7,5. Aplicar la imprimación WEBERPRIM FX15 sobre hormigones lisos o soportes sin absorción. En las uniones entre soportes de diferente naturaleza y puntos singulares, armar el mortero con WEBERTHERM MALLA 200.</t>
  </si>
  <si>
    <t xml:space="preserve">ma-manau-92355</t>
  </si>
  <si>
    <t xml:space="preserve">Material</t>
  </si>
  <si>
    <t xml:space="preserve">envase</t>
  </si>
  <si>
    <t xml:space="preserve">SIKA TOP ARMATEC 110 EPOCEM. (4kg)</t>
  </si>
  <si>
    <t xml:space="preserve">DESCRIPCION DEL PRODUCTO SIKATOP ARMATEC-110 EPOCEM en un revestimiento cementoso con resinas epoxi modificadas, de tres componentes y con inhibidor de corrosión usado para la protección de las armaduras del hormigón frente a la corrosión y como capa de adherencia. Consumo: Como capa de adherencia ~1,5 a 2,0 kg/m2/mm, dependiendo de la rugosidad del soporte; Como revestimiento anticorrosión ~ 2,0 kg/m2 y capa (~ 1 mm de espesor); en total mínimo dos capas aplicadas (~ 2 mm de espesor).   Ref. s.lucia-sika.armatec110epocem.
Adecuado para: Control de las áreas anódicas (Principio 11, método 11.1 de la UNE-EN 1504-9); Reparación de hormigón armado como protección frente a la corrosión de las armaduras; su uso como puente de adherencia en hormigón y mortero.
CARACTERISTICAS / VENTAJAS:
• Contiene Tecnología EPOCEM – agente de adherencia mejorado.
• Tiempo abierto ampliado para los morteros de reparación.
• Compatible con la mayoría de los morteros de reparación Sika MonoTop.
• Excelente adherencia al acero y al hormigón
• Contiene inhibidores de corrosión. Certificado para la aplicación bajo condiciones de carga dinámica.</t>
  </si>
  <si>
    <t xml:space="preserve">ma-s.lucia-sikadur31-06</t>
  </si>
  <si>
    <t xml:space="preserve">Material</t>
  </si>
  <si>
    <t xml:space="preserve">pack</t>
  </si>
  <si>
    <t xml:space="preserve">Adhesivo Epoxi Bicomponente para Adhesión Estructural y Reparación del Hormigón SIKADUR-31+ de SIKA (6 kg/pack A +B).   Ref. s.lucia-sikadur31-06</t>
  </si>
  <si>
    <t xml:space="preserve">Sikadur-31+ es un adhesivo estructural de 2 componentes, de bajas emisiones (low COV), en base epoxi, tolerante a la humedad, tixotrópico, que se adhiere a la mayoría de los materiales de construcción. Consumo 2.0 kg/m2 por mm de espesor. Nota: Los datos de consumo son teóricos y no tienen en cuenta ningún material adicional debido a la porosidad de la superficie, el perfil de la superficie, las variaciones de nivel, las mermas o cualquier otra variación. Ref. s.lucia-sikadur31-06.
Tiene una elevada resistencia mecánica y también puede utilizarse para reparaciones estructurales de hormigón, relleno de juntas y sellado de fisuras. Sikadur-31+ puede utilizarse en aplicaciones de bricolaje (DIY), además de en las aplicaciones profesionales tradicionales.
Aplique el producto en una zona de prueba para calcular el consumo exacto para las condiciones específicas del soporte y el equipo de aplicación propuesto. Espesor de Capa 30 mm máx. Como adhesivo no estructural u otras aplicaciones, si se requieren espesores de capa superiores a 30 mm, se deberá aplicar en capas sucesivas de 30 mm una vez que la capa anterior haya endurecido. Las superficies de las capas recién aplicadas deberán ser rayadas para crear rugosidad para las capas posteriores. Si la aplicación de las capas sucesivas se realizase pasados 2 días, el nuevo adhesivo debe ser saturado con arena de cuarzo inmediatamente después de la aplicación.</t>
  </si>
  <si>
    <t xml:space="preserve">ma-s.lucia-sikadur31-30</t>
  </si>
  <si>
    <t xml:space="preserve">Material</t>
  </si>
  <si>
    <t xml:space="preserve">pack</t>
  </si>
  <si>
    <t xml:space="preserve">Adhesivo Epoxi Bicomponente para Adhesión Estructural y Reparación del Hormigón SIKADUR-31+ de SIKA (30 kg/pack A +B).   Ref. s.lucia-sikadur31-30</t>
  </si>
  <si>
    <t xml:space="preserve">Sikadur-31+ es un adhesivo estructural de 2 componentes, de bajas emisiones (low COV), en base epoxi, tolerante a la humedad, tixotrópico, que se adhiere a la mayoría de los materiales de construcción. Consumo 2.0 kg/m2 por mm de espesor. Nota: Los datos de consumo son teóricos y no tienen en cuenta ningún material adicional debido a la porosidad de la superficie, el perfil de la superficie, las variaciones de nivel, las mermas o cualquier otra variación. Ref. s.lucia-sikadur31-30.
Tiene una elevada resistencia mecánica y también puede utilizarse para reparaciones estructurales de hormigón, relleno de juntas y sellado de fisuras. Sikadur-31+ puede utilizarse en aplicaciones de bricolaje (DIY), además de en las aplicaciones profesionales tradicionales.
Aplique el producto en una zona de prueba para calcular el consumo exacto para las condiciones específicas del soporte y el equipo de aplicación propuesto. Espesor de Capa 30 mm máx. Como adhesivo no estructural u otras aplicaciones, si se requieren espesores de capa superiores a 30 mm, se deberá aplicar en capas sucesivas de 30 mm una vez que la capa anterior haya endurecido. Las superficies de las capas recién aplicadas deberán ser rayadas para crear rugosidad para las capas posteriores. Si la aplicación de las capas sucesivas se realizase pasados 2 días, el nuevo adhesivo debe ser saturado con arena de cuarzo inmediatamente después de la aplicación.</t>
  </si>
  <si>
    <t xml:space="preserve">ma-s.lucia-sikadur42sp-05</t>
  </si>
  <si>
    <t xml:space="preserve">Material</t>
  </si>
  <si>
    <t xml:space="preserve">pack</t>
  </si>
  <si>
    <t xml:space="preserve">Mortero Autonivelante y Tricomponente a base de Resina Epoxi SIKADUR 42 SP de SIKA (5 kg/pack).   Ref. s.lucia-sikadur42sp-05</t>
  </si>
  <si>
    <t xml:space="preserve">Mortero de altas resistencias mecánicas y sin retracción, de tres componentes, a base de resinas epoxi sin disolventes y cargas de granulometría especial, para colocar por vertido, dada su fluidez y facilidad de colocación. Espesor de Capa: 6 a 50 mm/capa. Consumo: 1,9 kg/litro de mezcla.   Ref. s.lucia-sikadur42sp-05.
Recomendable para: Fijación de pernos y anclajes en superficies horizontales; Anclajes de armaduras en el hormigón en superficies horizontales (taladro vertical); Relleno bajo placas de apoyo en puentes o bancadas de máquinas; Relleno de grandes grietas y oquedades en el hormigón.
Resistencia a Compresión: 80-90 N/mm2 (EN 196/1); Módulo de Elasticidad a Compresión; 19000 N/mm2 (UNE EN ISO 527); Resistencia a Flexión: 30-40 N/mm2 (EN 196/1); Adherencia bajo Tracción: &gt; 3 N/mm2 sobre hormigón, y 17,5 N/mm2 sobre acero.</t>
  </si>
  <si>
    <t xml:space="preserve">ma-s.lucia-sikadur42sp-20</t>
  </si>
  <si>
    <t xml:space="preserve">Material</t>
  </si>
  <si>
    <t xml:space="preserve">pack</t>
  </si>
  <si>
    <t xml:space="preserve">Mortero Autonivelante y Tricomponente a base de Resina Epoxi SIKADUR 42 SP de SIKA (20 kg/pack).   Ref. s.lucia-sikadur42sp-20</t>
  </si>
  <si>
    <t xml:space="preserve">Mortero de altas resistencias mecánicas y sin retracción, de tres componentes, a base de resinas epoxi sin disolventes y cargas de granulometría especial, para colocar por vertido, dada su fluidez y facilidad de colocación. Espesor de Capa: 6 a 50 mm/capa. Consumo: 1,9 kg/litro de mezcla.   Ref. s.lucia-sikadur42sp-20.
Recomendable para: Fijación de pernos y anclajes en superficies horizontales; Anclajes de armaduras en el hormigón en superficies horizontales (taladro vertical); Relleno bajo placas de apoyo en puentes o bancadas de máquinas; Relleno de grandes grietas y oquedades en el hormigón.
Resistencia a Compresión: 80-90 N/mm2 (EN 196/1); Módulo de Elasticidad a Compresión; 19000 N/mm2 (UNE EN ISO 527); Resistencia a Flexión: 30-40 N/mm2 (EN 196/1); Adherencia bajo Tracción: &gt; 3 N/mm2 sobre hormigón, y 17,5 N/mm2 sobre acero.</t>
  </si>
  <si>
    <t xml:space="preserve">ma-s.lucia-sikadurprimer.eg</t>
  </si>
  <si>
    <t xml:space="preserve">Material</t>
  </si>
  <si>
    <t xml:space="preserve">kit</t>
  </si>
  <si>
    <t xml:space="preserve">Imprimante anticorrosivo bicomponente a base de resinas epoxi y fosfato de zinc SIKADUR PRIMER EG (PHOSPHATE) de SIKA (5 kg/kit).   Ref. s.lucia-sikadurprimer.eg</t>
  </si>
  <si>
    <t xml:space="preserve">SIKADUR PRIMER EG (PHOSPHATE) Imprimación anticorrosiva a base de resinas epoxi y fosfato de zinc. Imprimación anticorrosiva de dos componentes, a base de resinas epoxi curadas con poliamidas, y fosfato de zinc, de color rojo óxido y con disolventes. Consumo/Dosificación Aprox. 0,250 a 0,300 kg/m2 para un espesor teórico de película seca de 80-100 micras (Proporciones de mezcla en peso: Componente A =9 partes; Componente B = 1 parte).   Ref. s.lucia-sikadurprimer.eg.
USOS: Protección anticorrosiva sobre acero, metales ferrosos y aluminio, previamente a la aplicación de pinturas de resinas epoxi (SIKAGUARD) en: Tuberías, conducciones metálicas; Puentes; Contenedores; Construcciones metálicas en ambientes agresivos; Plantas depuradoras de aguas residuales, etc.; Capa de adherencia sobre galvanizado, previa a la aplicación de un revestimiento a base de resinas epoxi.</t>
  </si>
  <si>
    <t xml:space="preserve">ma-s.lucia-sikafloor156-10kg</t>
  </si>
  <si>
    <t xml:space="preserve">Material</t>
  </si>
  <si>
    <t xml:space="preserve">pack</t>
  </si>
  <si>
    <t xml:space="preserve">Imprimante, mortero de nivelación y capa base epoxi bicomponente SIKAFLOOR-156 de SIKA (pack 10 kg de Componentes A (7,5 kg) y B (2,5 kg)).   Ref. s.lucia-sikafloor156-10kg</t>
  </si>
  <si>
    <t xml:space="preserve">SIKAFLOOR-156 es una resina epoxi bicomponente de baja viscosidad y libre de disolventes. Resina epoxi con un 100% de contenido en sólidos. Consumos: Ver Tabla de Consumos en imagen anexa.   Ref. s.lucia-sikafloor156-10kg.
USOS:
• Para imprimar hormigón, soportes cementosos y morteros epoxi.
• Para superficies de normal a muy alta absorción.
• Como ligante para capas de nivelación y capas base.
• Para su uso tanto en interiores como en exteriores.</t>
  </si>
  <si>
    <t xml:space="preserve">ma-s.lucia-sikafloor420-15lt</t>
  </si>
  <si>
    <t xml:space="preserve">Material</t>
  </si>
  <si>
    <t xml:space="preserve">envase</t>
  </si>
  <si>
    <t xml:space="preserve">Revestimiento monocomponente de alta elasticidad de poliuretano SIKAFLOOR 420 de SIKA (15 litros o 19,35 kg/envase).   Ref. s.lucia-sikafloor420-15lt</t>
  </si>
  <si>
    <t xml:space="preserve">SIKAFLOOR 420 es un revestimiento monocomponente de alta elasticidad, de poliuretano con disolventes, resistente a los rayos UV, coloreado y que cura con la humedad ambiental. Producto equivalente: SIKAFLOOR 400 N ELASTIC. Consumo: 0,3 a 1,2 kg/m2 (dependiendo de la aplicación).   Ref. s.lucia-sikafloor420-15lt.
USOS: Revestimiento para soportes de hormigón y cementosos, lisos o antideslizantes, con resistencia a los rayos UV y abrasión e impermeable.
• Para exposición mecánica ligera a media.
• Para balcones, terrazas, pasarelas peatonales, escaleras etc.
CARACTERÍSTICAS/VENTAJAS: Formulación con bajo olor Alto contenido de sólidos.
• Murado por humedad.
• Buena resistencia a UV y amarilleamiento.
• Resistente a la intemperie.
• Resistente a la abrasión bajo uso normal.
• Son posibles superficies antideslizantes.
• Una gama de diferentes acabados disponible.</t>
  </si>
  <si>
    <t xml:space="preserve">ma-s.lucia-sikamonotop-620-blanc</t>
  </si>
  <si>
    <t xml:space="preserve">Material</t>
  </si>
  <si>
    <t xml:space="preserve">saco</t>
  </si>
  <si>
    <t xml:space="preserve">Mortero de Reparación R3 en Capa Fina, Alisado y Regularización de Superficies de Hormigón SIKA MONOTOP-620 de SIKA (25 kg/saco).   Ref. s.lucia-sikamonotop-620-blanco</t>
  </si>
  <si>
    <t xml:space="preserve">SIKA MONOTOP-620 es un mortero de reparación estructural en capa fina, monocomponente (predosificado, solamente necesita la adición de agua) a base de cemento, áridos seleccionados, humo de sílice y resinas sintéticas, que cumple con los requerimientos de la clase R3 de la UNE EN 1504-3. Consumo 2,02 kg de mezcla fresca por m2 y mm. de espesor. Aprox. 1,74 kg de SIKA MONOTOP-620 por m2 y mm. de espesor (espesor de capa: Gris: mín. 1,5 mm / máx. 5,0 mm; Blanco: mín. 1,0 mm / máx.3,0 mm).   Ref. s.lucia-sikamonotop-620-blanco
Excelente adherencia al soporte, sin imprimación. Baja retracción. Proyectable mecánicamente por vía húmeda. No es corrosivo ni tóxico. Clasificación al fuego: A1 para el SIKA MONOTOP-620 Gris; y A2 para el SIKA MONOTOP-620 blanco.
USOS: Puede aplicarse con armadura o sin ella, sobre superficies de hormigón, mortero de obra o morteros de la gama SIKA TOP / SIKAMONOTOP, y está indicado para:
• Sellado de poros, sobre soporte de hormigón o mortero.
• Revestimiento en capa delgada de elementos estructurales verticales u horizontales en Edificación e Ingeniería Civil.
• Regularización de superficies de hormigón.
• Reparaciones de pequeño espesor: relleno de coqueras, nidos de grava en el hormigón, etc.
• Trabajos de reparación de aristas, reperfilado de labios de juntas, etc.
• Adecuado para trabajos de reparación de hormigón (Principio 3, método 3. y 3.3 de la UNE-EN 1504-9). Reparación de desconchones y deterioros del hormigón en edificios, puentes, infraestructuras y superestructuras.</t>
  </si>
  <si>
    <t xml:space="preserve">ma-s.lucia-sikamonotop-620-gris</t>
  </si>
  <si>
    <t xml:space="preserve">Material</t>
  </si>
  <si>
    <t xml:space="preserve">saco</t>
  </si>
  <si>
    <t xml:space="preserve">Mortero de Reparación R3 en Capa Fina, Alisado y Regularización de Superficies de Hormigón SIKA MONOTOP-620 de SIKA (25 kg/saco).   Ref. s.lucia-sikamonotop-620-gris</t>
  </si>
  <si>
    <t xml:space="preserve">SIKA MONOTOP-620 es un mortero de reparación estructural en capa fina, monocomponente (predosificado, solamente necesita la adición de agua) a base de cemento, áridos seleccionados, humo de sílice y resinas sintéticas, que cumple con los requerimientos de la clase R3 de la UNE EN 1504-3. Consumo 2,02 kg de mezcla fresca por m2 y mm. de espesor. Aprox. 1,74 kg de SIKA MONOTOP-620 por m2 y mm. de espesor (espesor de capa: Gris: mín. 1,5 mm / máx. 5,0 mm; Blanco: mín. 1,0 mm / máx.3,0 mm).   Ref. s.lucia-sikamonotop-620-gris
Excelente adherencia al soporte, sin imprimación. Baja retracción. Proyectable mecánicamente por vía húmeda. No es corrosivo ni tóxico. Clasificación al fuego: A1 para el SIKA MONOTOP-620 Gris; y A2 para el SIKA MONOTOP-620 Blanco.
USOS: Puede aplicarse con armadura o sin ella, sobre superficies de hormigón, mortero de obra o morteros de la gama SIKA TOP / SIKAMONOTOP, y está indicado para:
• Sellado de poros, sobre soporte de hormigón o mortero.
• Revestimiento en capa delgada de elementos estructurales verticales u horizontales en Edificación e Ingeniería Civil.
• Regularización de superficies de hormigón.
• Reparaciones de pequeño espesor: relleno de coqueras, nidos de grava en el hormigón, etc.
• Trabajos de reparación de aristas, reperfilado de labios de juntas, etc.
• Adecuado para trabajos de reparación de hormigón (Principio 3, método 3. y 3.3 de la UNE-EN 1504-9). Reparación de desconchones y deterioros del hormigón en edificios, puentes, infraestructuras y superestructuras.</t>
  </si>
  <si>
    <t xml:space="preserve">ma-s.lucia-sikamonotop.412.SFG</t>
  </si>
  <si>
    <t xml:space="preserve">Material</t>
  </si>
  <si>
    <t xml:space="preserve">saco</t>
  </si>
  <si>
    <t xml:space="preserve">Mortero monocomponente de reparación estructural R4 con inhibidores de corrosión SIKA MONOTOP 412 SFG (25 kg/saco).   Ref. s.lucia-sikamonotop.412.SFG</t>
  </si>
  <si>
    <t xml:space="preserve">SIKA MONOTOP 412 SFG es un mortero de reparación estructural de 1 componente con inhibidores de corrosión, polímero modificado, de baja retracción, reforzado con fibras que cumple con los requisitos de la clase R4 de la UNE-EN 1504-3. No requiere puente de unión, incluso cuando se aplica manualmente. Consumo: Depende de la rugosidad del soporte y el espesor de capa aplicada; como aproximación, se utilizan 19 kg/m2 de polvo por cm de espesor (1 saco rinde aproximadamente 13,9 litros de mortero).   Ref. s.lucia-sikamonotop.412.SFG.
ADECUADO PARA:
• Trabajos de reparación de hormigón (Principio 3, método 3.1 y 3.3 de la UNE-EN 1504-9). Reparación de desconchones y daños del hormigón en edificios, puentes, infraestructuras y superestructuras.
• Trabajos de refuerzo estructural del hormigón (Principio 4, método 4.4 de la UNE-EN 1504-9). Incremento de la capacidad portante de las estructuras de hormigón mediante la adición de mortero.
• Conservación o restauración del pasivado (Principio 7, método 7.1 y 7.2 de la UNE-EN 1504-9). Incremento del recubrimiento con mortero adicional y sustitución del hormigón contaminado o carbonatado.
ESTRUCTURA DEL SISTEMA:
Mortero de reparación: SIKA MONOTOP 412 SFG Mortero de reparación estructural para aplicación a mano o por proyección (Tipo R4)
Capa de acabado: SIKA MONOTOP 620 Mortero tapaporos y de acabado en capa fina
Detalles de Aplicación:
Consumo: Depende de la rugosidad del soporte y el espesor de capa aplicada. Como aproximación, se utilizan 19 kg de polvo por cm de espesor y m2. 1 saco rinde aproximadamente 13,9 litros de mortero.
Calidad del soporte Hormigón:
El hormigón debe estar completamente limpio, libre de polvo, material suelto o mal adherido, contaminantes superficiales y materiales que puedan reducir la adherencia o prevenir la succión o mojado de los materiales de reparación.
Armaduras de acero:
Se deben eliminar restos de óxido, mortero, hormigón, polvo y otros materiales que puedan impedir la adherencia o que contribuyan a la corrosión. También se deben contemplar los requisitos específicos de la EN1504-10.
Preparación del soporte/Imprimación:
Hormigón: Se debe eliminar el hormigón débil, dañado y deteriorado y, donde sea necesario, el hormigón sano, por medios mecánicos adecuados.
Armadura: Las superficies se deben preparar utilizando técnicas de chorro abrasivo o agua a alta presión.
Imprimación de adherencia: Normalmente no se necesita imprimación sobre una superficie preparada con la rugosidad adecuada. Cuando no se requiera imprimación es necesaria una humectación superficial previa del soporte. No se debe dejar que la superficie se seque antes de aplicar el mortero de reparación. La superficie debe adquirir una apariencia mate oscura, sin brillos ni encharcamientos y los poros superficiales no deben contener agua. Cuando sea necesario un puente de adherencia, aplicar SIKA MONOTOP 910 S (consultar su Hoja de Datos de Producto) o con el mismo producto - SIKAMONOTOP 412 SFG - preparar una lechada y aplicar con una brocha dura presionando sobre el soporte prehumedecido. En ambos casos la aplicación posterior del mortero se debe hacer “fresco sobre fresco”, cuando el Puente de adherencia todavía no haya endurecido.
Revestimiento de la armadura: Donde se requiera un revestimiento de la armadura como barrera (por ejemplo, en caso de recubrimiento del hormigón insuficiente), aplicar en todo el perímetro de la armadura dos capas de SIKA MONOTOP 10 S (consultar su Hoja de Datos de Producto).</t>
  </si>
  <si>
    <t xml:space="preserve">ma-s.lucia-sikamonotop1010ES</t>
  </si>
  <si>
    <t xml:space="preserve">Material</t>
  </si>
  <si>
    <t xml:space="preserve">envase</t>
  </si>
  <si>
    <t xml:space="preserve">Mortero pasivador de armaduras e imprimante de adherencia SIKA MONOTOP 1010 ES (4kg/envase).   Ref. s.lucia-sikamonotop1010ES</t>
  </si>
  <si>
    <t xml:space="preserve">SIKA MONOTOP 1010 (antes SIKA MONOTOP 910) es un pasivador de armaduras e imprimación de adherencia en base cementosa que incorpora materias primas recicladas e inhibidores de la corrosión en su composición.   Ref. s.lucia-sikamonotop1010ES.
Consumo Imprimación Suficiente para cubrir la superficie de hormigón en una capa fina rellenando poros y huecos (2,0 kg de polvo por m2 por 1 mm de espesor de capa como estimación). Protección frente a la corrosión 2 mm de espesor mínimo (1 a 1,5 kg de polvo por m2 por capa de 1 mm de espesor como estimación). Nota: Los datos de consumo son teóricos y no tienen en cuenta ningún material adicional debido a la porosidad de la superficie, el perfil de la superficie, las variaciones de nivel, mermas o cualquier otra variación. Rendimiento 4 kg de polvo ~2.0 L de mortero.
SIKA MONOTOP 1010 ES es un pasivador de armaduras, cementoso, monocomponente, modificado con polímeros. Se utiliza como imprimación de adherencia y como protección anticorrosión de la armadura previo al empleo de morteros de reparación. Contiene inhibidores de corrosión y materias primas recicladas en su composición, lo que supone una menor huella de carbono frente a un mortero de iguales prestaciones.
Ventajas: Fácil de usar, sólo requiere mezclar con agua; Buena adherencia al hormigón y al acero; Buena resistencia a la penetración de agua y cloruros; Se aplica con brocha o mediante proyección húmeda.</t>
  </si>
  <si>
    <t xml:space="preserve">ma-s.lucia-sikatop122</t>
  </si>
  <si>
    <t xml:space="preserve">Material</t>
  </si>
  <si>
    <t xml:space="preserve">kit</t>
  </si>
  <si>
    <t xml:space="preserve">Mortero de reparación estructural R4 del hormigón bicomponente SIKATOP-122 de SIKA (28 kg de mezcla A+B/kit).   Ref. s.lucia-sikatop122</t>
  </si>
  <si>
    <t xml:space="preserve">SIKATOP-122 es un mortero cementoso modificado con resina acrílica, bicomponente, de consistencia pastosa, con altas resistencias mecánicas y gran adherencia al soporte, especialmente diseñado para reparaciones en elementos estructurales de concreto. Consumo: 6,6 kg/m2 para el espesor mínimo de 3 mm (+/-2,2 kg/litro de relleno).   Ref. s.lucia-sikatop122.
USOS:
• Como mortero de reparación o nivelación en estructuras de concreto, tales como: vigas, columnas, postes, graderías, pilotes, tuberías, etc.
• Especialmente indicado para reparaciones de gran espesor, en superficies verticales o sobre cabeza.
• Como recubrimiento de gran adherencia, impermeable, resistente al desgaste y con altas resistencias mecánicas para la protección, reparación y mantenimiento de obras hidráulicas, galerías y túneles. Para la reparación de pisos con altas exigencias mecánicas.
• Para juntas de albañilería de gran resistencia y relleno de hormigueros.</t>
  </si>
  <si>
    <t xml:space="preserve">ma-stockpinturas-70248-001</t>
  </si>
  <si>
    <t xml:space="preserve">Material</t>
  </si>
  <si>
    <t xml:space="preserve">bidón</t>
  </si>
  <si>
    <t xml:space="preserve">Imprimante acrílico pigmentado al agua GRANOCRYL de BEISSIER (25 kg/bidón).   Ref. stockpinturas-70248-001</t>
  </si>
  <si>
    <t xml:space="preserve">Imprimación acrílica pigmentada al agua, de aplicación exterior e interior, especialmente diseñada para consolidar, impermeabilizar, asegurar la consistencia y regularizar el fondo antes de aplicar revestimientos como el Mortero Acrílico Granocryl u otros revestimientos pétreos. Rendimiento Teórico: 6 a 8 m2/kg, según porosidad del soporte.   Ref. stockpinturas-70248-001.
Resistente a la intemperie. Impermeable al agua de lluvia. Transpirable. Permeable al vapor de agua y CO2.</t>
  </si>
  <si>
    <t xml:space="preserve">ma-todocal-calgrasa.pasta-CL90SP</t>
  </si>
  <si>
    <t xml:space="preserve">Material</t>
  </si>
  <si>
    <t xml:space="preserve">cubo</t>
  </si>
  <si>
    <t xml:space="preserve">Cal grasa en pasta CL-90-S PL de IBERCAL (20 kg/cubo).   Ref. todocal-calgrasa.pasta-CL90SPL</t>
  </si>
  <si>
    <t xml:space="preserve">Cal grasa en pasta (Hidróxido cálcico CL-90-S), cal envejecida o grasello de cal son sinónimos que definen a esta pasta de cal reposada, madurada y envejecida, muy trabada, fluida y untuosa, de color muy blanco y que es el producto resultante del apagado controlado y consiguiente hidratación de cales vivas seleccionadas y procedentes de la descomposición por calcinación de rocas calizas muy puras.   Ref. todocal-calgrasa.pasta-CL90SPL.
APLICACIONES HABITUALES: Rehabilitaciones (muros, cubiertas y pavimentos); Obra nueva (muros, cubiertas y pavimentos).
PROPIEDADES DEL PRODUCTO
• Cal aérea (carece de fraguado, se carbonata por la presión del anhídrido carbónico).
• Debido a su lenta carbonatación, que puede durar siglos, posee una elasticidad que no se puede conseguir con cales hidráulicas o cementos.
• Enlaza los cuerpos sólidos, por lo cual se emplea como aglomerante.
• Producto natural, sin añadidos ni conservantes, solamente cal y agua.
• Propiedades fungicidas y bactericidas.
• Muy adherente, alta tixotropía.
• Elevada resistencia térmica.
• Permeable al vapor de agua.
• Transpirable.
• Facilidad para extender y trabajar; con esta pasta se obtienen morteros plásticos, grasos y untuosos.
• Muy cremosa, excelente blancura y finura.
• Hidrato en pasta, reposado, madurado y envejecido, el cual puede permanecer en estado amorfo durante años.
• Materia prima para la realización de morteros para enfoscados, revocos y enlucidos, pinturas a la cal, estucos y cualquier tipo de trabajos y acabados para restauraciones de edificios históricos y alta decoración.
https://elcalsinar.com/accesorios/507-1052-cal-en-pasta-lista-al-uso.html#/146-tamanos-15_lt</t>
  </si>
  <si>
    <t xml:space="preserve">ma-vadequimica-319A5T-00.S02</t>
  </si>
  <si>
    <t xml:space="preserve">Material</t>
  </si>
  <si>
    <t xml:space="preserve">saco</t>
  </si>
  <si>
    <t xml:space="preserve">Cal viva / óxido cálcico (20 kg/saco).   Ref. vadequimica-319A5T-00.S02</t>
  </si>
  <si>
    <t xml:space="preserve">El óxido cálcico micronizado, también conocido con el nombre de Cal Viva, es producto inorgánico, en forma de polvo de color blanco muy fino. El óxido cálcico se puede disolver fácilmente en agua. La solución genera una reacción fuertemente exotérmica y alcalina. Se obtiene por calcinación de la piedra caliza seleccionada por su pureza, en grandes hornos y a altas temperaturas.   Ref.  vadequimica-319A5T-00.S02.
Es producto alcalino, lo que permite regular multitud de procesos industriales y sus propiedades dependen principalmente de su composición química y del tratamiento térmico al que ha sido sometido el mineral, determinando su grado de reactividad.
Se puede utilizar cumpliendo muy diversas funciones tales como:
- Neutralizante.
- Floculante.
- Fundente.
- Lubricante.
- Aglutinante.
- Esterilizante, debido a su elevado PH que le confiere este poder microbiocida y antiparasitario.
- Absorbente.
- Secante (por su reacción exotérmica con el agua).
- Alcalinizante.
- Estabilizante de suelos.</t>
  </si>
  <si>
    <t xml:space="preserve">MORTEROS.AGLOMERANTES.Y.EPOXI</t>
  </si>
  <si>
    <t xml:space="preserve">MT3456$</t>
  </si>
  <si>
    <t xml:space="preserve">Material</t>
  </si>
  <si>
    <t xml:space="preserve">M3</t>
  </si>
  <si>
    <t xml:space="preserve">HORMIGÓN ARMADO</t>
  </si>
  <si>
    <t xml:space="preserve"># M3 Hormigón HA $A $C $B
# Sentencias de Rótulos de Parámetros
\ RESISTENCIA (N/mm2) \ 20 \ 30 \ 40 \ # A
\ TAMAÑO MAX (mm)\ 40 \ 20 \ # B
\ CONSISTENCIA \ plástica \ blanda \ fluida \ # C
# El derivado MT3456aaa sería: Hormigón HA 20 plástica 40
# Sentencias de Asignaciones a variables (Precios)
# Dependen de $C plástica blanda fluida $A $B = a
%T(2,3,3) = 11, 12, 13, #a
21, 22, 23, #b
31, 32, 33, #c
# Dependen de $B = b tamaño máximo del árido
41, 42, 43, #a
51, 52, 53, #b
61, 62, 63 #c
# Sentencia de Precio Simple
::%T(%B,%A,%C)
# Sentencias de Sustitución de Textos
\ RESUMEN \H $A $C tamaño máximo $B IIa \
\TEXTO \Hormigón preparado de resistencia característica $A N/mm2, de consistencia $C y tamaño máximo del árido $B mm, en ambiente normal IIa, transportado a una distancia máxima de 10 km, contados desde la central suministradora. Se consideran cargas completas de 6 ó 9 m3 y un tiempo máximo de descarga en obra de 45 minutos.\</t>
  </si>
  <si>
    <t xml:space="preserve">MTTNDD$</t>
  </si>
  <si>
    <t xml:space="preserve">Sin clasificar</t>
  </si>
  <si>
    <t xml:space="preserve">und</t>
  </si>
  <si>
    <t xml:space="preserve">Tendedero plegable de pared en acero acabado en color blanco EPOXI de CUNCIAL</t>
  </si>
  <si>
    <t xml:space="preserve">\ ANCHO (mm) \ 100 \ 140 \ 160 \ 180 \
%T(4) = 17.22, 19.36, 19.70, 20.55
::%T(%A)
\ RESUMEN \ Tendedero plegable de pared AC $A EPOXI de CUNCIAL ($Ax23x71 cm) \
\TEXTO \ Tendedero plegable de pared en acero acabado en color blanco AC $A EPOXI de CUNCIAL medidas desplegado: $Ax23x71 cm) con 5 barras 8 mm espesor \</t>
  </si>
  <si>
    <t xml:space="preserve">PINTURAS.Y.CONEXOS</t>
  </si>
  <si>
    <t xml:space="preserve">Capítulo</t>
  </si>
  <si>
    <t xml:space="preserve">MATERIALES DE PINTURAS Y CONEXOS</t>
  </si>
  <si>
    <t xml:space="preserve">ma-amodeco-reveton.acrilico</t>
  </si>
  <si>
    <t xml:space="preserve">Material</t>
  </si>
  <si>
    <t xml:space="preserve">bidón</t>
  </si>
  <si>
    <t xml:space="preserve">Revestimiento rugoso impermeable 100% acrílico para fachadas exteriores de REVETÓN (15 litros/bidón).   Ref. amodeco-reveton.acrilico</t>
  </si>
  <si>
    <t xml:space="preserve">https://pinturasamodeco.com/es/acabado-rugoso/902-4953-reveton-liso-revestimiento-rugoso-100-acrilico-para-fachadas-exteriores.html#/77-tamano-15l/155-color-blanco
Revestimiento 100% acrílico puro en capa gruesa de máxima protección y durabilidad para fachadas sometidas a condiciones exigentes. Acabado rugoso mate sedoso. Ofrece una máxima impermeabilidad al agua además de una alta transpirabilidad. Rendimiento Teórico: 1 a 2 m2/litro, en función de la absorción y textura del soporte.   Ref. amodeco-reveton.acrilico.
Su máxima resistencia a los rayos U.V. y capacidad autolimpiable permite una lavabilidad y resistencia al exterior. Contiene conservante antimoho.
APLICACIONES
• Protección y decoración de fachadas y paramentos verticales en exterior de mortero de cemento, ladrillo, piedra, pintura plástica, etc.
• Especialmente indicado para el pintado de fachadas sometidas a condiciones exigentes o para el pintado de soportes exteriores que requieran disimular defectos de planimetría o reparaciones en fachada.
• Aplicación para decoración y protección de paramentos interiores en edificios y locales de uso intensivo
PROPIEDADES:
• Máxima impermeabilidad al agua de lluvia: evita la filtración de agua en el interior del soporte.
• Transpirable al vapor de agua: facilita la evacuación de la humedad contribuyendo a mantener la pared seca.
• Máxima resistencia a los rayos U.V y uso de pigmentos estables: contribuye a una mayor durabilidad del color en el exterior.
• Máximo poder de cubrición: permite ganar opacidad en menor número de manos.
• Capacidad de relleno de microfisuras presentes en el soporte.
• Buena adherencia sobre las superficies habituales de la construcción por su composición y capacidad de penetración en el soporte.
• Resistente a los microorganismos: contiene conservante antimoho que evita la formación de moho, algas y verdín.
• Inalterable a los álcalis del cemento (insaponificable).
• Producto al agua: sin olor a disolvente, de aplicación cómoda y segura y más respetuosa con el medioambiente.</t>
  </si>
  <si>
    <t xml:space="preserve">ma-amodeco-reveton.imprim.acril</t>
  </si>
  <si>
    <t xml:space="preserve">Material</t>
  </si>
  <si>
    <t xml:space="preserve">bidón</t>
  </si>
  <si>
    <t xml:space="preserve">Imprimación acuosa fijadora acrílica COTEFILM de REVETÓN (15 litros/bidón).   Ref. amodeco-reveton.imprim.acril</t>
  </si>
  <si>
    <t xml:space="preserve">Imprimación fijadora acrílica para la preparación de soportes a pintar en interior o exterior. Recomendado para fijar y regularizar la absorción de todo tipo de superficies con porosidad tanto en interior como en exterior, actuando como puente de adherencia del producto de acabado. Rendimiento Teórico: 6 a 8 m2/litro, en función de la absorción y textura del soporte.   Ref. amodeco-reveton.imprim.acril.
PROPIEDADES PRINCIPALES:
• Gran capacidad de penetración y sellado de la superficie.
• Cohesiona la capa superficial del soporte.
• Excelente puente de adherencia entre el producto acabado (pinturas en base acuosa) y el soporte.
• Transpirable al vapor de agua: facilita la evacuación de la humedad contribuyendo a mantener la pared seca.
• Su opción en color blanco contribuye a ganar opacidad en el sistema de pintado.
• Inalterable a los álcalis del cemento (insaponificable).</t>
  </si>
  <si>
    <t xml:space="preserve">ma-villares-titantech-sxb-200</t>
  </si>
  <si>
    <t xml:space="preserve">Material</t>
  </si>
  <si>
    <t xml:space="preserve">envase</t>
  </si>
  <si>
    <t xml:space="preserve">Imprimación epoxi bicomponente multiadherente anticorrosiva SXB-200 de TITANTECH (4 litro/pack).   Ref. villares-titantech-sxb-200</t>
  </si>
  <si>
    <t xml:space="preserve">Imprimación epoxi-poliamida anticorrosiva con fosfato de zinc de uso general para acero y galvanizado, que contiene pigmentos inhibidores de la corrosión no tóxicos. Posee elevadas prestaciones anticorrosivas, de dureza, tenacidad y adherencia sobre diversas superficies. Para estructuras metálicas diversas en ambientes industriales y marinos de corrosión C4 Alta y C5 Muy alta, según norma UNE EN ISO 12944. Excelente adherencia sobre latón, aluminio y galvanizado. Rendimiento: 6 a 10 m2/litro (40 - 60 µ secas).   Ref. villares-titantech-sxb-200.</t>
  </si>
  <si>
    <t xml:space="preserve">ma-anidia-8414800430509</t>
  </si>
  <si>
    <t xml:space="preserve">Material</t>
  </si>
  <si>
    <t xml:space="preserve">envase</t>
  </si>
  <si>
    <t xml:space="preserve">Disolvente Epoxi DX-810 de TITANTECH (5 litros/envase).   Ref. anidia-8414800430509</t>
  </si>
  <si>
    <t xml:space="preserve">Disolvente basado en una mezcla de hidrocarburos aromáticos y ésteres con una curva de evaporación media para la dilución de pinturas epoxi. Adecuado para un amplio campo de usos. Alto poder disolvente. Diluyente indicado para productos epoxi y en aplicaciones a pistola a temperaturas altas (antivelo).   Ref. anidia-8414800430509.</t>
  </si>
  <si>
    <t xml:space="preserve">ma-banoidea-K05816</t>
  </si>
  <si>
    <t xml:space="preserve">Material</t>
  </si>
  <si>
    <t xml:space="preserve">bidón</t>
  </si>
  <si>
    <t xml:space="preserve">Geopintura mineral para la protección decorativa del hormigón GEOLITE MICROSILICATO de KERAKOLL (14 litros/bidón).   Ref. banoidea-K05816</t>
  </si>
  <si>
    <t xml:space="preserve">GEOLITE MICROSILICATO es una geopintura transpirable cubriente con efecto mate y con grano fino, para la protección monolítica de hormigones, nuevos o reparados, contra la carbonatación, resistente a los agentes atmosféricos, a algas y mohos. Aplicable pasadas 4 horas sobre las reparaciones realizadas con los geomorteros GEOLITE 10 o GEOLITE 40. Rendimiento sobre soporte acabado fratasado grano fino 0,35 litros/m2 en 2 manos.   Ref. banoidea-K05816.</t>
  </si>
  <si>
    <t xml:space="preserve">ma-bauhaus-30656835</t>
  </si>
  <si>
    <t xml:space="preserve">Material</t>
  </si>
  <si>
    <t xml:space="preserve">envase</t>
  </si>
  <si>
    <t xml:space="preserve">Resina epoxi bicomponente en base acuosa para suelos MAKE INDUSTRIALE (4 litros/envase). Ref. bauhaus-30656835</t>
  </si>
  <si>
    <t xml:space="preserve">Resina epoxi bicomponente en base acuosa para suelos MAKE INDUSTRIALE (4 litros/envase). Colores: Azul, Gris Claro, Gris Noche, Gris Oscuro y Rojo. RENDIMIENTO TEÓRICO: 3,8 m2/kg por capa al espesor de 100 µ secos (APLICACIÓN: Rodillo pelo raso, Brocha. DILUCIÓN: 1° capa 20% con agua de grifo, 2° capa 15% con agua de grifo. ESPESOR HÚMEDO POR CAPA: 181 µ; ESPESOR SECO POR CAPA: 100 µ; N° CAPAS: 2 capas hasta obtener el espesor total necesario. ESPESOR SECO TOTAL: 180 µ CONSUMO MEDIO TEÓRICO: 265 g/m2.   Ref. bauhaus-30656835.
CARACTERÍSTICAS TÉCNICAS: Esmalte epoxi al agua semibrillante, específico como revestimiento antipolvo para pavimentos industriales de hormigón. La superficie tratada es a prueba de polvo e impermeable a aceites y grasas. También es resistente a la gasolina y a los ácidos y bases. El producto se caracteriza por una excelente distensión, aspecto liso y saturado y sobre todo alta adherencia al soporte cementoso gracias a los resultados positivos de las pruebas de pull-off necesarias para identificar la tracción y resistencia de la película.
CAMPOS DE APLICACIÓN: Esmalte epoxi al agua ideal como capa de acabado para suelos de concreto. Apto para suelos en almacenes, garajes, industria alimentaria y mecánica, talleres. El producto también es adecuado para aplicación vertical sobre materiales cerámicos. Es el producto ideal donde se requiere una alta dureza superficial y un efecto body estructurado. Este producto también se puede aplicar directamente sobre el sustrato de cemento siempre que se comprueben las condiciones preexistentes del suelo. En los casos en que la superficie del hormigón requiera el uso de una imprimación adecuada, recomendamos la aplicación previa de una primera capa de impregnantes fijadores em base agua y disolvente previstos en la gama de productos para suelos. En virtud de la certificación Haccp es el producto ideal para pintar ambientes y suelos en los que se realiza el depósito, almacenamiento, procesamiento, administración de sustancias alimenticias al consumidor, es decir, comedores, industrias alimentarias, cocinas industriales, almacenes y laboratorios de alimentos, bares, restaurantes y queserías. Finalmente, en base al rendimiento de adherencia, definido por el método de cross cut y midiendo la tensión pull-off, el producto es aplicable también en baldosas verticales de gres porcelánico fino y esmaltado, en revestimiento monoporoso, en mosaico de fibra de vidrio, simple y doble fuego.</t>
  </si>
  <si>
    <t xml:space="preserve">ma-bh-24148548-G</t>
  </si>
  <si>
    <t xml:space="preserve">Material</t>
  </si>
  <si>
    <t xml:space="preserve">envase</t>
  </si>
  <si>
    <t xml:space="preserve">Esmalte de poliuretano TITANLAK de TITAN; acabado satinado (4 litros/envase).   Ref. bh-24148548-G</t>
  </si>
  <si>
    <t xml:space="preserve">El esmalte de poliuretano TITANLAK de TITAN es sintético, satinado y está basado en tecnología de altos sólidos. Es especial para lacar y esmaltar. Es de fácil aplicación obteniendo acabados satinados de gran finura, suavidad al tacto e inmejorable aspecto lacado. Rendimiento: 12 a 14 m2/litro.   Ref. bh-24148548-G.
Características: Se puede aplicar en exteriores e interiores. Alta resistencia y durabilidad. Muy lavable. Resistente a roces, rayados, jabones, manchas de licor, zumos, aceites, etc. Protege y embellece toda clase de superficies de madera y metálicas (muebles, estanterías, puertas, ventanas, radiadores, etc.). Hay que tener en cuenta que las superficies a pintar deben estar limpias, secas e imprimadas adecuadamente. Disponible en varios colores.</t>
  </si>
  <si>
    <t xml:space="preserve">ma-bh-30227277</t>
  </si>
  <si>
    <t xml:space="preserve">Material</t>
  </si>
  <si>
    <t xml:space="preserve">envase</t>
  </si>
  <si>
    <t xml:space="preserve">Pintura mineral LIME PAINT de FLEUR para efectos decorativos; color Cream Love (2,5 litros/envase).   Ref. bh-30227277</t>
  </si>
  <si>
    <t xml:space="preserve">La pintura LIME PAINT de FLEUR es una pintura a la cal de tradición italiana fabricada con tecnologías modernas para ofrecer un producto de alta calidad y bajo contenido de COV. La pintura LIME PAINT es una pintura mineral para paredes de interior con aglutinantes y aditivos naturales. Consumo: 0,125 a 0,170 litros/m2 por capa (Tinta llena).   Ref. bh-30227277.
Otorga a las superficies un aspecto mate y matizado. Es una pintura a base de agua compuesta por materiales orgánicos tradicionales y mejorada para ofrecer un producto de mayor rendimiento y fácil aplicación. Es altamente transpirable y reduce considerablemente la humedad del sustrato, esto evita descamaciones y desprendimientos. Su composición mineral evita la proliferación de mohos y microorganismos, de forma natural, sin el uso de aditivos químicos nocivos. Su acción es eficaz siempre que los factores externos no modifiquen su pH.
APLICACIÓN: Debe asegurarse de que la superficie esté sana, seca y limpia. Se recomienda aplicar 2 capas con rodillo o brocha espacial para cal. Asegúrese de que la capa anterior esté completamente seca antes de aplicar la segunda capa. El tiempo de repintado es 2 - 4 horas.</t>
  </si>
  <si>
    <t xml:space="preserve">ma-bh-30285813</t>
  </si>
  <si>
    <t xml:space="preserve">Material</t>
  </si>
  <si>
    <t xml:space="preserve">envase</t>
  </si>
  <si>
    <t xml:space="preserve">Imprimante FONDO LIME PAINT de FLEUR para pintura mineral (2,5 litros/envase).   Ref. bh-30285813</t>
  </si>
  <si>
    <t xml:space="preserve">La Imprimación FONDO LIME PAINT de FLEUR es una imprimación acrílica al agua para superficies en interiores. Reduce la absorbencia de la superficie y garantiza un buen anclaje de las pinturas de base.   Ref. bh-30285813.
Se caracteriza por un gran desempeño de relleno, alta resistencia y buen poder consolidante.
CAMPOS DE USO: Se aplica tanto en superficies de interior, sobre yeso, hormigón, cartón yeso, estuco, piedra y todos los materiales de construcción que tengan un buen grado de absorción y porosidad. Se utiliza como imprimación para la aplicación de acabados decorativos y como imprimación de unión para acabados minerales. Solo es adecuado como fondo de base y no como acabado. Está disponible en formato de 750 ml o 2,5 litros.</t>
  </si>
  <si>
    <t xml:space="preserve">ma-bricosyl-01</t>
  </si>
  <si>
    <t xml:space="preserve">Material</t>
  </si>
  <si>
    <t xml:space="preserve">bidón</t>
  </si>
  <si>
    <t xml:space="preserve">Pintura acrilsiloxánica para fachadas REVETÓN ABSYDE; color blanco y acabado mate. (15 litros/bidón).   Ref. bricosyl-01</t>
  </si>
  <si>
    <t xml:space="preserve">Revestimiento acrilsiloxánico de acabado mate mineral, especialmente diseñado para la protección y decoración de fachadas sometidas a condiciones exigentes. Rendimiento Teórico: 8 - 10 m2/litro/mano, en función de la absorción y textura del soporte. Imprimación: Utilizar como imprimación una mano de ÁBSYDE diluido al 15 - 20 % con agua.   Ref. bricosyl-01.
APLICACIONES:
• Protección y decoración de fachadas y paramentos verticales en exterior de hormigón, mortero de cemento, ladrillo, piedra, pintura plástica, etc.
• Especialmente indicado para el pintado de fachadas sometidas a condiciones exigentes, soportes exteriores que requieran el máximo nivel de transpirabilidad o para repintados sobre superficies caleadas.
• Apto para el pintado de soportes exteriores en los que se prescriba una protección impermeabilizante a la vez que transpirable con un acabado mineral.
• Recomendado para la restauración de edificios históricos respetando los acabados estéticos tradicionales, confiriéndoles una excelente resistencia en el tiempo.
• Aplicación para decoración y protección de paramentos interiores en edificios y locales de uso intensivo.
PROPIEDADES:
• Máxima impermeabilidad al agua de lluvia: evita la filtración de agua en el interior del soporte.
• Máxima transpirabilidad al vapor de agua: facilita la evacuación de la humedad contribuyendo a mantener la pared seca.
• Producto de bajo impacto ambiental: producto con etiqueta ecológica comunitaria Ecolabel.
• Máxima resistencia a los rayos U.V y uso de pigmentos estables: contribuye a una mayor durabilidad del color en el exterior.
• Alto poder de cubrición: permite ganar opacidad en menor número de manos.
• Máxima capacidad "autolimpiable": su efecto perla hidrofugante permite repeler en mayor medida la suciedad y eliminarla con el agua de lluvia.
• Excelente adherencia sobre las superficies habituales de la construcción por su composición y capacidad de penetración en el soporte.
• Baja tensión superficial: garantiza una buena adherencia en el repintado de fachadas con pintura viejas caleadas.
• Resistente a los microorganismos: contiene conservante antimoho que evita la formación de moho, algas y verdín.
• Inalterable a los álcalis del cemento (insaponificable).
• Producto al agua: sin olor a disolvente, de aplicación cómoda y segura y más respetuosa con el medioambiente.</t>
  </si>
  <si>
    <t xml:space="preserve">ma-colorsan-01-B</t>
  </si>
  <si>
    <t xml:space="preserve">Material</t>
  </si>
  <si>
    <t xml:space="preserve">bidón</t>
  </si>
  <si>
    <t xml:space="preserve">Pintura de capa fina a base de sol-silicato KEIM RESTAURO-LASUR (15 litros/bidón).   Ref. colorsan-01-B</t>
  </si>
  <si>
    <t xml:space="preserve">Pintura de capa fina a base de sol-silicato KEIM RESTAURO-LASUR, veladura mineral hidrófuga especialmente adecuada para la aplicación de veladuras y pátinas en superficies de piedra arenisca, p.ej. para igualar el tono de las reparaciones con la piedra original.   Ref. colorsan-01-B.
Cumple con los requisitos de la DIN 18363, 2.4.1. Consumo: para 2 manos de veladura, aprox. 0,1 a 0,2 litros/m2 de KEIM RESTAURO-LASUR + 0,1 a 0,4 litros/m2 de KEIM RESTAURO-FIXATIV.</t>
  </si>
  <si>
    <t xml:space="preserve">ma-colorsan-01-G</t>
  </si>
  <si>
    <t xml:space="preserve">Material</t>
  </si>
  <si>
    <t xml:space="preserve">envase</t>
  </si>
  <si>
    <t xml:space="preserve">Pintura de capa fina a base de sol-silicato KEIM RESTAURO-LASUR (5 litros/envase).   Ref. colorsan-01-G</t>
  </si>
  <si>
    <t xml:space="preserve">Pintura de capa fina a base de sol-silicato KEIM RESTAURO-LASUR, veladura mineral hidrófuga especialmente adecuada para la aplicación de veladuras y pátinas en superficies de piedra arenisca, p.ej. para igualar el tono de las reparaciones con la piedra original.   Ref. colorsan-01-G.
Cumple con los requisitos de la DIN 18363, 2.4.1. Consumo: para 2 manos de veladura, aprox. 0,1 a 0,2 litros/m2 de KEIM RESTAURO-LASUR + 0,1 a 0,4 litros/m2 de KEIM RESTAURO-FIXATIV.</t>
  </si>
  <si>
    <t xml:space="preserve">ma-colorsan-02-B</t>
  </si>
  <si>
    <t xml:space="preserve">Material</t>
  </si>
  <si>
    <t xml:space="preserve">bidón</t>
  </si>
  <si>
    <t xml:space="preserve">Imprimante y diluyente KEIM RESTAURO-FIXATIV – ALTERMAT (20 litros/envase).   Ref. colorsan-02-B</t>
  </si>
  <si>
    <t xml:space="preserve">La imprimación KEIM RESTAURO-FIXATIV, en combinación con KEIM RESTAURO-LASUR, es especialmente adecuada para la decoración en veladura de superficies de piedra arenisca, p.ej. para igualar cromáticamente las reparaciones con la piedra original. Ref. colorsan-02-B.
Las superficies a tratar deben ser porosas (absorbentes). KEIM RESTAURO-FIXATIV puede mezclarse con RESTAURO-LASUR en cualquier proporción, según el grado de transparencia deseado. KEIM RESTAURO-FIXATIV también sirve como imprimación o para la fijación previa.
Consumo:
• Fijación previa: aprox. 0,2 litros/m2 RESTAURO-FIXATIV.
• Para 2 manos de veladura: 0,1 a 0,2 litros/m2 de KEIM RESTAURO-LASUR y 0,1 a 0,4 litros/m2 de KEIM RESTAURO-FIXATIV.</t>
  </si>
  <si>
    <t xml:space="preserve">ma-colorsan-02-G</t>
  </si>
  <si>
    <t xml:space="preserve">Material</t>
  </si>
  <si>
    <t xml:space="preserve">envase</t>
  </si>
  <si>
    <t xml:space="preserve">Imprimante y diluyente KEIM RESTAURO-FIXATIV – ALTERMAT (5 litros/envase).   Ref. colorsan-02-G</t>
  </si>
  <si>
    <t xml:space="preserve">La imprimación KEIM RESTAURO-FIXATIV, en combinación con KEIM RESTAURO-LASUR, es especialmente adecuada para la decoración en veladura de superficies de piedra arenisca, p.ej. para igualar cromáticamente las reparaciones con la piedra original.   Ref. colorsan-02-G.
Las superficies a tratar deben ser porosas (absorbentes). KEIM RESTAURO-FIXATIV puede mezclarse con RESTAURO-LASUR en cualquier proporción, según el grado de transparencia deseado. KEIM RESTAURO-FIXATIV también sirve como imprimación o para la fijación previa.
Consumo:
• Fijación previa: aprox. 0,2 litros/m2 RESTAURO-FIXATIV
• Para 2 manos de veladura: 0,1 a 0,2 litros/m2 de KEIM RESTAURO-LASUR y 0,1 a 0,4 litros/m2 de KEIM RESTAURO-FIXATIV.</t>
  </si>
  <si>
    <t xml:space="preserve">ma-colorsan-03-GC1aGC3-G</t>
  </si>
  <si>
    <t xml:space="preserve">Material</t>
  </si>
  <si>
    <t xml:space="preserve">envase</t>
  </si>
  <si>
    <t xml:space="preserve">Pintura de fachadas universal de sol-silicato SOLDALIT de KEIM; colores Grupos 1 a 3 (5 kg/envase).   Ref. colorsan-03-GC1aGC3-G</t>
  </si>
  <si>
    <t xml:space="preserve">Pintura universal para fachadas a base de silicato con aglutinante de sol-silicato (combinación de sol de sílice y vidrio soluble) para sustratos orgánicos, minerales y mixtos, así como SATE. Consumo: 0,35 a 0,45 kg/m2 para dos capas.   Ref. colorsan-03-GC1aGC3-G.
KEIM SOLDALIT es repelente al agua, altamente difuso, resistente a la luz, estable a los rayos UV y extremadamente resistente a la intemperie con una tendencia mínima a la suciedad. Contenido orgánico &lt; 5%.KEIM SOLDALIT obtiene el Cradle to Cradle Certified Silver y el C2C Certified Material Health Certificate Gold. Tonos de blanco y color. Se puede teñir con KEIM PPF-TECHNOLOGY según todas las colecciones de colores habituales. Tonos monocromáticos 9001S-9012S disponibles.</t>
  </si>
  <si>
    <t xml:space="preserve">ma-colorsan-03-blanco-B</t>
  </si>
  <si>
    <t xml:space="preserve">Material</t>
  </si>
  <si>
    <t xml:space="preserve">bidón</t>
  </si>
  <si>
    <t xml:space="preserve">Pintura de fachadas universal de sol-silicato SOLDALIT de KEIM; color blanco (18 kg/bidón).   Ref. colorsan-03-blanco-B</t>
  </si>
  <si>
    <t xml:space="preserve">Pintura universal para fachadas a base de silicato con aglutinante de sol-silicato (combinación de sol de sílice y vidrio soluble) para sustratos orgánicos, minerales y mixtos, así como SATE. Consumo: 0,35 a 0,45 kg/m2 para dos capas.   Ref. colorsan-03-blanco-B.
KEIM SOLDALIT es repelente al agua, altamente difuso, resistente a la luz, estable a los rayos UV y extremadamente resistente a la intemperie con una tendencia mínima a la suciedad. Contenido orgánico &lt; 5%.KEIM SOLDALIT obtiene el Cradle to Cradle Certified Silver y el C2C Certified Material Health Certificate Gold. Tonos de blanco y color. Se puede teñir con KEIM PPF-TECHNOLOGY según todas las colecciones de colores habituales. Tonos monocromáticos 9001S-9012S disponibles.</t>
  </si>
  <si>
    <t xml:space="preserve">ma-colorsan-03-blanco-G</t>
  </si>
  <si>
    <t xml:space="preserve">Material</t>
  </si>
  <si>
    <t xml:space="preserve">envase</t>
  </si>
  <si>
    <t xml:space="preserve">Pintura de fachadas universal de sol-silicato SOLDALIT de KEIM; color blanco (5 kg/envase).   Ref. colorsan-03-blanco-G</t>
  </si>
  <si>
    <t xml:space="preserve">Pintura universal para fachadas a base de silicato con aglutinante de sol-silicato (combinación de sol de sílice y vidrio soluble) para sustratos orgánicos, minerales y mixtos, así como SATE. Consumo: 0,35 a 0,45 kg/m2 para dos capas.   Ref. colorsan-03-blanco-G.
KEIM SOLDALIT es repelente al agua, altamente difuso, resistente a la luz, estable a los rayos UV y extremadamente resistente a la intemperie con una tendencia mínima a la suciedad. Contenido orgánico &lt; 5%.KEIM SOLDALIT obtiene el Cradle to Cradle Certified Silver y el C2C Certified Material Health Certificate Gold. Tonos de blanco y color. Se puede teñir con KEIM PPF-TECHNOLOGY según todas las colecciones de colores habituales. Tonos monocromáticos 9001S-9012S disponibles.</t>
  </si>
  <si>
    <t xml:space="preserve">ma-colorsan-04-B</t>
  </si>
  <si>
    <t xml:space="preserve">Material</t>
  </si>
  <si>
    <t xml:space="preserve">bidón</t>
  </si>
  <si>
    <t xml:space="preserve">Imprimante y diluyente al sol-silicato SOLDALIT-FIXATIV de KEIM (20 litros/bidón).   Ref. colorsan-04-B</t>
  </si>
  <si>
    <t xml:space="preserve">SOLDALIT-FIXATIV de la marca KEIM es una imprimación y diluyente a base de sol-silicato (combinación de sol de sílice y silicato potásico). Sirve de imprimación en soportes o zonas parciales muy absorbentes, y como diluyente para KEIM SOLDALIT y KEIM SOLDALIT-GROB en la mano de fondo en soportes muy absorbentes. CONSUMO: +/- 0,15 litros/m2 como imprimación. (consumo orientativo para soportes lisos).   Ref. colorsan-04-B.</t>
  </si>
  <si>
    <t xml:space="preserve">ma-colorsan-04-G</t>
  </si>
  <si>
    <t xml:space="preserve">Material</t>
  </si>
  <si>
    <t xml:space="preserve">envase</t>
  </si>
  <si>
    <t xml:space="preserve">Imprimante y diluyente al sol-silicato SOLDALIT-FIXATIV de KEIM (5 litros/envase).   Ref. colorsan-04-G</t>
  </si>
  <si>
    <t xml:space="preserve">SOLDALIT-FIXATIV de la marca KEIM es una imprimación y diluyente a base de sol-silicato (combinación de sol de sílice y silicato potásico). Sirve de imprimación en soportes o zonas parciales muy absorbentes, y como diluyente para KEIM SOLDALIT y KEIM SOLDALIT-GROB en la mano de fondo en soportes muy absorbentes. CONSUMO: +/- 0,15 litros/m2 como imprimación. (consumo orientativo para soportes lisos).   Ref. colorsan-04-G.</t>
  </si>
  <si>
    <t xml:space="preserve">ma-colorsan-laca.nitro.brillo-G</t>
  </si>
  <si>
    <t xml:space="preserve">Material</t>
  </si>
  <si>
    <t xml:space="preserve">envase</t>
  </si>
  <si>
    <t xml:space="preserve">Laca nitrocelulosa línea ebanistería de TITÁN; acabado brillante (4 litros/envase).   Ref. colorsan-laca.nitrocelulosa.brillo-G</t>
  </si>
  <si>
    <t xml:space="preserve">Laca nitrocelulósica incolora con un amplio campo de utilización como acabado para madera. Buena retención de brillo y transparencia. Facilidad en la aplicación. Secado rápido. Buen comportamiento al repintado. Rendimiento: 7 a 11 m2/litro.   Ref. colorsan-laca.nitro.brillo-G.</t>
  </si>
  <si>
    <t xml:space="preserve">ma-colorsan-laca.nitro.tapaporos</t>
  </si>
  <si>
    <t xml:space="preserve">Material</t>
  </si>
  <si>
    <t xml:space="preserve">envase</t>
  </si>
  <si>
    <t xml:space="preserve">Laca nitrocelulosa tapaporos línea ebanistería de TITÁN; acabado satinado (4 litros/envase).   Ref. colorsan-laca.nitro.tapaporos</t>
  </si>
  <si>
    <t xml:space="preserve">Laca nitrocelulósica tapaporos incolora satinada, con un amplio campo de utilización. Buen lijado, transparencia y facilidad para el matizado. Secado rápido. Buen comportamiento al repintado. Puede ser usado como fondo y acabado. Campos de aplicación Como fondo y acabado tapaporos para madera: Piezas macizas, chapadas y contrachapadas. Rendimiento: como acabado: 7 a 11 m2/litro; como fondo: 3 a 4m2/litro. Ref. colorsan-laca.nitro.tapaporos.</t>
  </si>
  <si>
    <t xml:space="preserve">ma-colorsan-minio.titan-g</t>
  </si>
  <si>
    <t xml:space="preserve">Material</t>
  </si>
  <si>
    <t xml:space="preserve">envase</t>
  </si>
  <si>
    <t xml:space="preserve">Imprimante sintético graso para hierro y madera TITÁN de TITANLUX (4 litros/envase).   Ref. colorsan-minio.titan-g</t>
  </si>
  <si>
    <t xml:space="preserve">Imprimación sintética grasa para hierro y madera. De ligera acción antioxidante, para trabajos corrientes en estructuras metálicas en ambientes de corrosión baja. También puede utilizarse como primera mano para madera. Rendimiento (UNE 48282): 9 a 11 m2/litro.   Ref. colorsan-minio.titan-g.</t>
  </si>
  <si>
    <t xml:space="preserve">ma-cuidadodelhogar-502983.103.12</t>
  </si>
  <si>
    <t xml:space="preserve">Material</t>
  </si>
  <si>
    <t xml:space="preserve">bidón</t>
  </si>
  <si>
    <t xml:space="preserve">Pintura acrílica OVALDINE FACHADAS ANTIFISURAS de MONTÓ; color blanco (12 litros/bidón).   Ref. cuidadodelhogar-502983.103.12</t>
  </si>
  <si>
    <t xml:space="preserve">Revestimiento liso, 100% acrílico, para protección y decoración de fachadas y muros al exterior. Alta capacidad de relleno, para pintar paredes con fisuras y pequeñas grietas de fraguado, fondos absorbentes o muy porosos. Rellena fisuras y poros dando un acabado uniforme. Rendimiento: 6 a 10 m2/litro por mano.   Ref. cuidadodelhogar-502983.103.12.
De elevada durabilidad y resistencia: luz solar (UV), Tº extremas, agua de lluvia, suciedad ambiental, microorganismos y moho, caleos, degradación de color, carbonatación del hormigón, envejecimiento pintura. Ideal para la aplicación profesional: alta cubrición, rendimiento, bajo brillo y rapidez de ejecución.</t>
  </si>
  <si>
    <t xml:space="preserve">ma-da-01031-G</t>
  </si>
  <si>
    <t xml:space="preserve">Material</t>
  </si>
  <si>
    <t xml:space="preserve">envase</t>
  </si>
  <si>
    <t xml:space="preserve">Fijador/sellador acrílico penetrante y resistente al roce FIXOART de D’ARTIC (5 litros/envase).   Ref. da-01031-G</t>
  </si>
  <si>
    <t xml:space="preserve">Fijador acrílico de gran penetración. Duro y resistente. Sella pinturas plásticas antiguas, de cal, temple y monocapas degradados con microfisuras. Ligero aumento del tono del soporte. Incrementa el rendimiento de los acabados con pinturas plásticas. Uniforma absorciones y evita diferencias de color en las capas de acabado. Se presenta en un estado muy puro. Dilución 1 p + 3- 4 p. agua en peso (según absorción). Evitar la aplicación al uso para evitar exceso de film. COV 2g / l – 2010 30g / l.   Ref. da-01031-G.</t>
  </si>
  <si>
    <t xml:space="preserve">ma-da-04041B-B</t>
  </si>
  <si>
    <t xml:space="preserve">Material</t>
  </si>
  <si>
    <t xml:space="preserve">bidón</t>
  </si>
  <si>
    <t xml:space="preserve">Pintura plástica siliconada mate multiuso SILART de D’ARTIC; blanco (15 litros/bidón).   Ref. da-04041B-B</t>
  </si>
  <si>
    <t xml:space="preserve">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da-04041B-B
Certificación UNE 48243: 2007. Pintura plástica en dispersión acuosa, mate, en conservación y estabilidad en el a envase, brillo especular, resistencia álcalis y al frote húmedo, repintabilidad, poder de cobertura.</t>
  </si>
  <si>
    <t xml:space="preserve">ma-da-04041B-G</t>
  </si>
  <si>
    <t xml:space="preserve">Material</t>
  </si>
  <si>
    <t xml:space="preserve">envase</t>
  </si>
  <si>
    <t xml:space="preserve">Pintura plástica siliconada mate multiuso SILART de D’ARTIC; blanco (5 litros/envase).   Ref. da-04041B-G</t>
  </si>
  <si>
    <t xml:space="preserve">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da-04041B-G
Certificación UNE 48243: 2007. Pintura plástica en dispersión acuosa, mate, en conservación y estabilidad en el a envase, brillo especular, resistencia álcalis y al frote húmedo, repintabilidad, poder de cobertura.</t>
  </si>
  <si>
    <t xml:space="preserve">ma-da-04041BP-B</t>
  </si>
  <si>
    <t xml:space="preserve">Material</t>
  </si>
  <si>
    <t xml:space="preserve">bidón</t>
  </si>
  <si>
    <t xml:space="preserve">Pintura plástica siliconada mate multiuso SILART de D’ARTIC; base pastel 148-arcilla (15 litros/bidón).   Ref. da-04041BP-B</t>
  </si>
  <si>
    <t xml:space="preserve">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da-04041BP-B
Certificación UNE 48243: 2007. Pintura plástica en dispersión acuosa, mate, en conservación y estabilidad en el a envase, brillo especular, resistencia álcalis y al frote húmedo, repintabilidad, poder de cobertura.</t>
  </si>
  <si>
    <t xml:space="preserve">ma-da-04041BP-G</t>
  </si>
  <si>
    <t xml:space="preserve">Material</t>
  </si>
  <si>
    <t xml:space="preserve">envase</t>
  </si>
  <si>
    <t xml:space="preserve">Pintura plástica siliconada mate multiuso SILART de D’ARTIC; base pastel 148-arcilla (5 litros/envase).   Ref. da-04041BP-G</t>
  </si>
  <si>
    <t xml:space="preserve">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da-04041BP-G
Certificación UNE 48243: 2007. Pintura plástica en dispersión acuosa, mate, en conservación y estabilidad en el a envase, brillo especular, resistencia álcalis y al frote húmedo, repintabilidad, poder de cobertura.</t>
  </si>
  <si>
    <t xml:space="preserve">ma-dispival-barniz.PU-4kg</t>
  </si>
  <si>
    <t xml:space="preserve">Material</t>
  </si>
  <si>
    <t xml:space="preserve">kit</t>
  </si>
  <si>
    <t xml:space="preserve">Barniz de poliuretano alifático bicomponente de REVETÓN (4 kg/kit).   Ref. dispival-barniz.PU-4kg</t>
  </si>
  <si>
    <t xml:space="preserve">Barniz de poliuretano de 2 componente alifático de acabado brillante de alta resistencia química, mecánica, a la abrasión y al desgaste. No amarillea. Para aplicación en el exterior e interior. Rendimiento: 12 a 14 m2/litro/capa; Consumo: 0,080 litros/m2/mano. Densidad: 1.00± 0.02 kg/litro (A+B), 1.00 ± 0.02 kg/litro (A).   Ref. dispival-barniz.PU-4kg.
PROPIEDADES: Resistencia mecánica a la abrasión y al impacto derivados del tráfico. • Resistencia química moderada a posibles salpicados y a detergentes de limpieza. • Secado rápido que agiliza la aplicación entre capas y la puesta en servicio. • Buena adherencia sobre hormigón y pinturas de dos componentes • Alta resistencia a los rayos UV. • Excelente resistencia de brillo. • Alta resistencia física: abrasión, dureza y elasticidad. • Endurecedor superficial del hormigón y barniz antipolvo. • Fácil preparación (bicomponente pre-dosificado) • Fácil limpieza y desinfección: resistente al frote húmedo.</t>
  </si>
  <si>
    <t xml:space="preserve">ma-dispival-rev.anticarbonato-15</t>
  </si>
  <si>
    <t xml:space="preserve">Material</t>
  </si>
  <si>
    <t xml:space="preserve">bidón</t>
  </si>
  <si>
    <t xml:space="preserve">Revestimiento acrílico anticarbonatación liso de REVETON; color blanco (15 lts/bidón).   Ref. dispival-rev.anticarbonato-15</t>
  </si>
  <si>
    <t xml:space="preserve">https://dispivalonline.es/fachadas-y-exteriores/7500-reveton-liso-anticarbonatacion-blanco-15-lt-8435051716785
Revestimiento acrílico anticarbonatación de alta protección y durabilidad para superficies de hormigón de acabado liso mate. Solución protectora y preventiva de las patologías en estructuras de hormigón visto encofrado in situ, pilares, cantos de forjado, piezas de piedra artificial y estructuras de hormigón prefabricado que se derivan de la falta de impermeabilización y exposición del mismo a los gases CO2 y SO2 del aire. Rendimiento Teórico: 8 a 10 m2/litro/mano (número de capas: 2).   Ref. dispival-rev.anticarbonato-15
Tratamiento anticarbonatación que evita el descenso progresivo de la alcalinidad del hormigón y la consecuente oxidación del armado, evitando que se produzca la reacción de carbonatación. Alta impermeabilidad al agua de lluvia: evita la filtración de agua en el interior del soporte. Alta transpirabilidad al vapor de agua: facilita la evacuación de la humedad contribuyendo a mantener la pared seca. Alta resistencia a los rayos U.V y uso de pigmentos estables: contribuye a una mayor durabilidad del color en el exterior. Alto poder de cubrición: permite ganar opacidad en menor número de manos.</t>
  </si>
  <si>
    <t xml:space="preserve">ma-epinturas-01</t>
  </si>
  <si>
    <t xml:space="preserve">Material</t>
  </si>
  <si>
    <t xml:space="preserve">envase</t>
  </si>
  <si>
    <t xml:space="preserve">Esmalte sintético con poliuretano NOVOLACK de EUROTEX (4 litros/envase).   Ref. epinturas-01</t>
  </si>
  <si>
    <t xml:space="preserve">NOVOLACK es un esmalte sintético de primera calidad sin pigmentos tóxicos, diseñado para la protección y decoración tanto de elementos exteriores como interiores. Posee una excelente cubrición y brochabilidad. Alto Rendimiento: 12 a 13 m2/litro.   Ref. epinturas-01.
APLICACIONES:
* Por ser un esmalte sintético con acción antioxidante, y la protección y el aspecto de acabado, son factores que permiten el pintado directo sobre superficies de acero y en condiciones muy específicas.
* Es adecuado para proteger y decorar todo tipo de superficies metálicas, minerales o de madera como puertas, ventanas, paredes, muebles, mobiliario de jardín, etc.., tanto en interiores como en exteriores.
* Apto para la protección y mantenimiento de maquinaria e instalaciones, tanto industriales como domésticas.
* Por su rápido secado y escasez de olor se puede emplear en lugares cuya ocupación haya de ser inmediata como centros hospitalarios, públicos, hosteleros.
* Producto listo al uso. No es necesario diluir, excepto cuando sea necesario por las condiciones de aplicación.</t>
  </si>
  <si>
    <t xml:space="preserve">ma-imcasa-01-B</t>
  </si>
  <si>
    <t xml:space="preserve">Material</t>
  </si>
  <si>
    <t xml:space="preserve">bidón</t>
  </si>
  <si>
    <t xml:space="preserve">Pintura acrílica siliconada PROEXIL LISO MATE de PROCOLOR (15 litros/bidón).   Ref. imcasa-01-B</t>
  </si>
  <si>
    <t xml:space="preserve">Revestimiento acrílico-estirenado con silicona, adecuado para el recubrimiento de superficies de albañilería en exteriores (especialmente en fachadas de cal).   Ref. imcasa-01-B
PROPIEDADES:
• Especialmente indicado para superficies a la cal. 
• Excelente adherencia.
• Con conservante antimoho.
• Buena impermeabilidad al agua W2.
• Buena transpirabilidad al vapor del agua V2.
• Alta resistencia a la alcalinidad.
• Buena resistencia a la intemperie.
• Fácil aplicación, no salpica.
• Buena cubrición y rendimiento (Consumo Teórico: 8 a 10 m2/litro; el rendimiento práctico varía en función del tipo y estado de la superficie, de la absorción del soporte, así como del modo de aplicación y del grado de dilución).
• Garantía hasta 5 años.</t>
  </si>
  <si>
    <t xml:space="preserve">ma-imcasa-01-G</t>
  </si>
  <si>
    <t xml:space="preserve">Material</t>
  </si>
  <si>
    <t xml:space="preserve">envase</t>
  </si>
  <si>
    <t xml:space="preserve">Pintura acrílica siliconada PROEXIL LISO MATE de PROCOLOR (4 litros/envase).   Ref. imcasa-01-G</t>
  </si>
  <si>
    <t xml:space="preserve">Revestimiento acrílico-estirenado con silicona, adecuado para el recubrimiento de superficies de albañilería en exteriores (especialmente en fachadas de cal).   Ref. imcasa-01-G
PROPIEDADES:
• Especialmente indicado para superficies a la cal. 
• Excelente adherencia.
• Con conservante antimoho.
• Buena impermeabilidad al agua W2.
• Buena transpirabilidad al vapor del agua V2.
• Alta resistencia a la alcalinidad.
• Buena resistencia a la intemperie.
• Fácil aplicación, no salpica.
• Buena cubrición y rendimiento (Consumo Teórico: 8 a 10 m2/litro; el rendimiento práctico varía en función del tipo y estado de la superficie, de la absorción del soporte, así como del modo de aplicación y del grado de dilución).
• Garantía hasta 5 años.</t>
  </si>
  <si>
    <t xml:space="preserve">ma-imcasa-rubbol.bl-satura</t>
  </si>
  <si>
    <t xml:space="preserve">Material</t>
  </si>
  <si>
    <t xml:space="preserve">envase</t>
  </si>
  <si>
    <t xml:space="preserve">Esmalte en base agua con resina de poliuretano RUBBOL BL SATURA de SIKKENS (2,5 litros/envase).   Ref. imcasa-rubbol.bl-satura</t>
  </si>
  <si>
    <t xml:space="preserve">RUBBOL BL SATURA (acabado satinado) es un esmalte en base agua con resina de poliuretano. Su formulación innovadora le confiere una dureza extrema y una excelente resistencia a los roces y la abrasión. De secado rápido, está especialmente formulado para facilitar su aplicación, dejando un tiempo suficientemente largo como para trabajar sin que se noten los retoques. Rendimiento: 10 a 14 m2/litro.   Ref. imcasa-rubbol.bl-satura.
USOS: Como capa de acabado, en combinación con RUBBOL BL PRIMER, sobre superficies de madera y hierro galvanizado para exterior. PVC, cemento y yeso para interiores. También se puede aplicar sobre antiguas capas de esmaltes sintéticos, limpias y lijadas.</t>
  </si>
  <si>
    <t xml:space="preserve">ma-lacasadelpintor-002429</t>
  </si>
  <si>
    <t xml:space="preserve">Material</t>
  </si>
  <si>
    <t xml:space="preserve">envase</t>
  </si>
  <si>
    <t xml:space="preserve">Pintura tixotrópica antimanchas al disolvente TIXOMAN de GUADIEL (4 litros/envase).   Ref. lacasadelpintor-002429</t>
  </si>
  <si>
    <t xml:space="preserve">Pintura tixotrópica mate sin olor para techos y paredes, diseñada para aislar y cubrir manchas de nicotina, hollín, café, humo, aceites, grasas, manchas de humedad seca Rendimiento: 8 a 10 m2/litro.   Ref. lacasadelpintor-002429.
Aplicar 1 o 2 capas (sin sellado previo sobre superficies coherentes y secas) según el estado del soporte. Aunque pueda aplicarse la 2ª capa tan pronto como la 1ª se vuelva mate, es aconsejable aplicarla al transcurrir al menos 12 horas desde la 1ª.</t>
  </si>
  <si>
    <t xml:space="preserve">ma-lacasadelpintor-5093248</t>
  </si>
  <si>
    <t xml:space="preserve">Material</t>
  </si>
  <si>
    <t xml:space="preserve">envase</t>
  </si>
  <si>
    <t xml:space="preserve">Esmalte directo sobre hierro y óxido de HAMMERITE (2,5 litros/envase).   Ref. lacasadelpintor-5093248</t>
  </si>
  <si>
    <t xml:space="preserve">Esmalte directo sobre hierro y óxido. Sin imprimación. Protección antióxido hasta 8 años. Impide la entrada de humedad. Bloquea el proceso de oxidación. Alto brillo. Rendimiento: 5 m2/litro (recomendable 2 manos).   Ref. lacasadelpintor-5093248.
Recomendado para la protección y decoración de barandillas, rejas, verjas, y otros objetos de metal expuestos a la intemperie y al sol. Colores: blanco, negro, gris plata, gris perla, verde, verde oscuro, azul, rojo, rojo carruajes, marrón, amarillo, magnolia, azul oscuro y cobre. No es recomendable mezclar colores.
Una vez curado, es resistente a:
• Las salpicaduras de ácidos y álcalis con concentración máxima del 10%. También, resiste a la gasolina, gasoil, grasa, etc.
• Las Temperaturas comprendidas entre 20ºC a 150ºC. De forma continuada, la película puede soportar hasta 80ºC.
• Los daños causados por rayos UV del sol (permaneciendo brillante por 3 años mínimo).</t>
  </si>
  <si>
    <t xml:space="preserve">ma-lagun-226ID</t>
  </si>
  <si>
    <t xml:space="preserve">Material</t>
  </si>
  <si>
    <t xml:space="preserve">bidón</t>
  </si>
  <si>
    <t xml:space="preserve">Imprimante al disolvente IMPRIDERME de SEIGNEURIE (15 litros/bidón).   Ref. lagun-226ID</t>
  </si>
  <si>
    <t xml:space="preserve">Imprimación fijadora con resinas acrílicas en solución. Para soportes de tipo hormigón y enlucido de aglutinante hidráulico. Penetra en el soporte. Excelente fijador de fondos absorbentes y polvorientos. Regula la absorción de los soportes. Se adapta a los soportes especiales tipo hormigón celular y fibra de vidrio. Posible aplicación sobre soporte cerámico. Color blanco roto. Rendimiento: 5 a 7 m2/litro.   Ref. lagun-226ID.</t>
  </si>
  <si>
    <t xml:space="preserve">ma-lagun-269M</t>
  </si>
  <si>
    <t xml:space="preserve">Material</t>
  </si>
  <si>
    <t xml:space="preserve">bidón</t>
  </si>
  <si>
    <t xml:space="preserve">Revestimiento acrílico en dispersión acuosa de aspecto mate profundo PANTIFILM OS de SEIGNEURIE (15 litros/bidón).   Ref. lagun-269M</t>
  </si>
  <si>
    <t xml:space="preserve">Revestimiento acrílico en dispersión acuosa de aspecto mate profundo y excelente elasticidad (incluso a bajas temperaturas), con especial aplicación en fachadas pintadas. Resiste inclemencias meteorológicas. Contiene un agente anti criptógamo. Permite respirar el soporte y atenúa sus imperfecciones. Rendimiento: 2,7 m2/litro.   Ref. lagun-269M.</t>
  </si>
  <si>
    <t xml:space="preserve">ma-lagun-429D2A-15L.</t>
  </si>
  <si>
    <t xml:space="preserve">Material</t>
  </si>
  <si>
    <t xml:space="preserve">bidón</t>
  </si>
  <si>
    <t xml:space="preserve">Revestimiento pliolite en dispersión acuosa PANCRYTEX D2 AERO MATE HIDROPLIOLITE de SEIGNEURIE (15 litros/bidón).   Ref. lagun-429D2A-15L.</t>
  </si>
  <si>
    <t xml:space="preserve">Pintura de aspecto mate profundo a base de resina Hidro Pliolite en dispersión acuosa. Excelente agarre. Muy microporosa. Notable resistencia a las inclemencias meteorológicas. Contiene una protección anticriptógama. Secado rápido. Rendimiento: 6 a 8 m2/litro (Imprimación PANCRYTEX diluido al 10%; IMPRITEX, PANTIPRIM o IMPRIDERME).   Ref. lagun-429D2A-15L.
Presenta olor débil y provoca poca proyección lo que permite una gran comodidad de aplicación. Adherencia excelente sobre todos fondos usuales. Producto muy indicado para acabado en interiores de bajos, sótanos, bodegas, etc., que tengan problemas de humedades por capilaridad y que estén tratados con morteros transpirables, ya que permite el paso del vapor de agua. Se puede realizar en cualquiera tono de la carta de colores. La tecnología Light &amp; Easy de cargas huecas le disminuye un 30% el peso con el mismo rendimiento.</t>
  </si>
  <si>
    <t xml:space="preserve">ma-lagun-429D2A-5L.</t>
  </si>
  <si>
    <t xml:space="preserve">Material</t>
  </si>
  <si>
    <t xml:space="preserve">envase</t>
  </si>
  <si>
    <t xml:space="preserve">Revestimiento pliolite en dispersión acuosa PANCRYTEX D2 AERO MATE HIDROPLIOLITE de SEIGNEURIE (5 litros/envase).   Ref. lagun-429D2A-5L.</t>
  </si>
  <si>
    <t xml:space="preserve">Pintura de aspecto mate profundo a base de resina Hidro Pliolite en dispersión acuosa. Excelente agarre. Muy microporosa. Notable resistencia a las inclemencias meteorológicas. Contiene una protección anticriptógama. Secado rápido. Rendimiento: 6 a 8 m2/litro (Imprimación PANCRYTEX diluido al 10%; IMPRITEX, PANTIPRIM o IMPRIDERME).   Ref. lagun-429D2A-5L.
Presenta olor débil y provoca poca proyección lo que permite una gran comodidad de aplicación. Adherencia excelente sobre todos fondos usuales. Producto muy indicado para acabado en interiores de bajos, sótanos, bodegas, etc., que tengan problemas de humedades por capilaridad y que estén tratados con morteros transpirables, ya que permite el paso del vapor de agua. Se puede realizar en cualquiera tono de la carta de colores. La tecnología Light &amp; Easy de cargas huecas le disminuye un 30% el peso con el mismo rendimiento.</t>
  </si>
  <si>
    <t xml:space="preserve">ma-lm-13307070</t>
  </si>
  <si>
    <t xml:space="preserve">Material</t>
  </si>
  <si>
    <t xml:space="preserve">envase</t>
  </si>
  <si>
    <t xml:space="preserve">Pintura plástica ecológica al agua para cubrir manchas ISOLFIX de BEISSIER; color blanco (4 litros/envase).   Ref. lm-13307070</t>
  </si>
  <si>
    <t xml:space="preserve">Pintura apta para el sellado de manchas de humo, nicotina, hollín, café, taninos, aceite, grasas, rotuladores; entre otros. Adecuada para baños y cocinas. Rendimiento Teórico: 6 a 10 m2/litro y mano (según el tipo de soporte).   Ref. lm-13307070.
Excelente cubrición de lignina en placas de yeso laminado. Aplicable sobre soportes minerales, yeso, escayola, cartón-yeso, cemento, fibrocemento, ladrillo, placas de cemento, soportes orgánicos, pinturas plásticas, revocos.
No aplicar sobre superficies sometidas a humedad permanente o capilar. No aplicar sobre soportes tratados que sigan húmedos o que no hayan fraguado y secado completamente. Se pueden provocar desperfectos como formación de bolsas de aire o grietas en los revestimientos posteriores. No aplicar sobre plástico o metal.</t>
  </si>
  <si>
    <t xml:space="preserve">ma-lm-82069827</t>
  </si>
  <si>
    <t xml:space="preserve">Material</t>
  </si>
  <si>
    <t xml:space="preserve">envase</t>
  </si>
  <si>
    <t xml:space="preserve">Pintura elástica antifisuras para fachadas de MONTÓ; color blanco  (4 litros/envase).   Ref. lm-85069827</t>
  </si>
  <si>
    <t xml:space="preserve">Pintura elástica antifisuras para fachadas de MONTÓ; color blanco  (4 litros/envase).   Ref. lm-85069827
Pintura para fachadas antifisuras de color blanco y aspecto mate de gran elasticidad. Perfecta para soportes con tendencia a la fisuración. Su barrera protectora es resistente frente al agua y las inclemencias atmosféricas. Como impermeabilizante, sirve en superficies horizontales y verticales.</t>
  </si>
  <si>
    <t xml:space="preserve">ma-lm-82201478</t>
  </si>
  <si>
    <t xml:space="preserve">Material</t>
  </si>
  <si>
    <t xml:space="preserve">envase</t>
  </si>
  <si>
    <t xml:space="preserve">Impregnante protector de soportes porosos SIKAGARD-790 ALL-IN-ONE PROTECT de SIKA (5 litros/envase).   Ref. lm-82201478</t>
  </si>
  <si>
    <t xml:space="preserve">SIKAGARD-790 ALL-IN-ONE PROTECT es una impregnación diseñada para la protección de todo tipo de soportes porosos minerales contra la penetración de líquidos en base agua y aceites, y para prevenir o reducir significativamente la tendencia a la aparición de manchas en estos materiales. Consumo (dependerá del tipo y porosidad del soporte): normalmente en soportes muy porosos, de 300 a 600 gr/m2 por capa; y en soportes con muy baja porosidad, de 50 a 200 gr/m2 por capa.   Ref. lm-82201478.
No forma película sobre la superficie y es completamente invisible. Es permeable al vapor de agua y, como resultado, las estructuras y superficies tratadas mantienen el mismo comportamiento hidrotérmico e hídrico. Además, facilita la eliminación de grafitis que se hayan aplicado sobre estas superficies (con los limpiadores adecuados).
Se puede utilizar para la protección de fachadas, pavimentos y cubiertas fabricadas a partir de los materiales minerales comunes en construcción tales como: Piedra natural como granito, caliza, mármol, etc., así como piedra artificial y reconstituida; Baldosas de terracota, a base de arcilla/cemento, tejas; Hormigón, enfoscados de cemento y yeso, etc.
Rendimiento (dependerá de la porosidad y del tipo de material), orientativamente, el rendimiento habitual que se puede conseguir: 3 a 6 m2/litro en Hormigón y Adoquines; 4 a 6 m2/litro en Terracota y Revoco de Cemento; 6 a 8 m2/litro en Teja; 1 a 2 m2/litro en Piedra Caliza; 0,50 a 2 m2/litro en Piedra Caliza o Piedra muy Porosa.</t>
  </si>
  <si>
    <t xml:space="preserve">ma-lm-82422643</t>
  </si>
  <si>
    <t xml:space="preserve">Material</t>
  </si>
  <si>
    <t xml:space="preserve">envase</t>
  </si>
  <si>
    <t xml:space="preserve">Pintura multisuperficie al agua de LUXENS para madera, metal y PVC; color blanco (White), acabado satinado (2 litros/envase).   Ref. lm-82422643</t>
  </si>
  <si>
    <t xml:space="preserve">Pintura multisuperficies LUXENS para pintar madera, metal y PVC en acabado satinado, resistente al sol y a la lluvia. Sin disolventes y resistente a la intemperie. Rendimiento: 12 m2/litro.   Ref. lm-82422643.
Se aplica en forma directa y fácilmente con un rodillo. Protección hasta 6 años. Disponible en varios colores y formatos. Dispone de la etiqueta ECOLABEL, que certifica que es un producto respetuoso con la salud de las personas y el medioambiente (proporciona una muy buena calidad del aire interior: A+).</t>
  </si>
  <si>
    <t xml:space="preserve">ma-lm-82422649</t>
  </si>
  <si>
    <t xml:space="preserve">Material</t>
  </si>
  <si>
    <t xml:space="preserve">envase</t>
  </si>
  <si>
    <t xml:space="preserve">Pintura multisuperficie al agua de LUXENS para madera, metal y PVC; color blanco (Oyster White), acabado satinado (2 litros/envase).   Ref. lm-82422649</t>
  </si>
  <si>
    <t xml:space="preserve">Pintura multisuperficies LUXENS para pintar madera, metal y PVC en acabado satinado, resistente al sol y a la lluvia. Sin disolventes y resistente a la intemperie. Rendimiento:12 m2/litro.   Ref. lm-82422649.
Se aplica en forma directa y fácilmente con un rodillo. Protección hasta 6 años. Disponible en varios colores y formatos. Dispone de la etiqueta ECOLABEL, que certifica que es un producto respetuoso con la salud de las personas y el medioambiente (proporciona una muy buena calidad del aire interior: A+).</t>
  </si>
  <si>
    <t xml:space="preserve">ma-lm-86668550</t>
  </si>
  <si>
    <t xml:space="preserve">Material</t>
  </si>
  <si>
    <t xml:space="preserve">envase</t>
  </si>
  <si>
    <t xml:space="preserve">Esmalte ecológico al agua de TITANLUX; color blanco (4 litros/envase).   Ref. lm-86668550</t>
  </si>
  <si>
    <t xml:space="preserve">Esmalte multisuperficies al agua de máxima calidad y uso universal. Decora y protege con una sola capa. Con conservante antimoho. Blanco inalterable, no amarillea y conserva los colores y el brillo. Respetuoso con las personas y el medio ambiente. Rendimiento: 10 a 14 m2/litro.   Ref. lm-86668550.
Fácil de aplicar, sin olor, secado-repintado muy rápidos con acabados profesionales, lo que permite puestas en servicio a las pocas horas de pintado. Gran resistencia a productos de limpieza domésticos, manchas (café, vino, salsas, aceite...), roces, golpes y a la intemperie. No deja marcas de pincel. 0% disolventes alifáticos y aromáticos, 0% metil etil cetoxima y 0% metales pesados. Nueva tecnología que garantiza las prestaciones premium de resistencia, dureza, durabilidad, flexibilidad y lavabilidad del producto.</t>
  </si>
  <si>
    <t xml:space="preserve">ma-leroym-89565281</t>
  </si>
  <si>
    <t xml:space="preserve">Material</t>
  </si>
  <si>
    <t xml:space="preserve">bidón</t>
  </si>
  <si>
    <t xml:space="preserve">Pintura intumescente al agua PROMAPAINT SC4 de PROMAT / 90 min metal y 120 hormigón (25 kg/bidón).   Ref. lm-89565281</t>
  </si>
  <si>
    <t xml:space="preserve">Pintura intumescente monocomponente al agua para la protección de estructuras metálicas y estructuras de hormigón contra el fuego. Pintura tixotrópica de color blanco que en caso de incendio crea una espuma aislante protectora. Rendimiento Teórico: 2 kg/m2 para 1 mm de espesor seco (espesor mínimo por mano: hasta 700 micras de película seca).   Ref. lm-89565281.
Apta para su uso en interior y exterior con protección. Ensayada para pefiles de todo tipo, incluidos los perfiles metálicos de sección hueca. La pintura PROMAPAINT SC4 está diseñada para proporcionar resistencias al fuego de hasta 90 minutos en estructura metálica y hasta 120 minutos en estructuras y forjados de hormigón.</t>
  </si>
  <si>
    <t xml:space="preserve">ma-lp-00007525</t>
  </si>
  <si>
    <t xml:space="preserve">Material</t>
  </si>
  <si>
    <t xml:space="preserve">bidón</t>
  </si>
  <si>
    <t xml:space="preserve">Pintura CLOROCAUCHO SUELOS de BARPIMO, color rojo inglés (15 litros/bidón).   Ref. lp-00007525</t>
  </si>
  <si>
    <t xml:space="preserve">Pintura CLOROCAUCHO SUELOS de BARPIMO indicada para pintar para suelos de hormigón, morteros de cemento, otros derivados. Rendimiento Teórico: 9 a 12 m2/litro por mano (según el estado y estructura de la superficie).   Ref. lp-00007525
Aplicable en garajes, pistas deportivas, señalizaciones, lavaderos, naves industriales y parkings. De fácil aplicación, poder de cubrición y relleno, facilita la limpieza posterior proporcionando acabados decorativos y resistentes a la abrasión, agentes químicos, suciedad y desgaste. Colores: blanco, gris, rojo inglés, amarillo verde cromo y verde.</t>
  </si>
  <si>
    <t xml:space="preserve">ma-lp-00007530</t>
  </si>
  <si>
    <t xml:space="preserve">Material</t>
  </si>
  <si>
    <t xml:space="preserve">envase</t>
  </si>
  <si>
    <t xml:space="preserve">Pintura CLOROCAUCHO SUELOS de BARPIMO, color rojo inglés (4 litros/envase).   Ref. lp-00007530</t>
  </si>
  <si>
    <t xml:space="preserve">Pintura CLOROCAUCHO de BARPIMO indicada para pintar para suelos de hormigón, morteros de cemento, otros derivados. Rendimiento Teórico: 9 a 12 m2/litro por mano (según el estado y estructura de la superficie).   Ref. lp-00007530
Aplicable en garajes, pistas deportivas, señalizaciones, lavaderos, naves industriales y parkings. De fácil aplicación, poder de cubrición y relleno, facilita la limpieza posterior proporcionando acabados decorativos y resistentes a la abrasión, agentes químicos, suciedad y desgaste. Colores: blanco, gris, rojo inglés, amarillo verde cromo y verde.</t>
  </si>
  <si>
    <t xml:space="preserve">ma-lp-00383508</t>
  </si>
  <si>
    <t xml:space="preserve">Material</t>
  </si>
  <si>
    <t xml:space="preserve">envase</t>
  </si>
  <si>
    <t xml:space="preserve">Esmalte antioxidante metálico de altos sólidos OXIRÓN FORJA de TITANLUX; color marrón (750 ml/envase).   Ref. lp-00383508</t>
  </si>
  <si>
    <t xml:space="preserve">Esmalte antioxidante metálico de altos sólidos, de gran adherencia, elasticidad y resistencia a la intemperie, de aplicación directa sobre acero y óxido sin necesidad de preparación previa.   Ref.   lp-00383508
Excelente protección y decoración de cualquier superficie de hierro, a las que confiere un acabado metálico natural tipo forja. Excelente aplicación a brocha y rodillo, amplio tiempo abierto, que facilita los retoques. Colores entremezclables y altamente sólidos a la luz. Campos Aplicación: Exteriores e interiores. Indicado para verjas, farolas, barandas, postes eléctricos, grúas, puentes, etc.</t>
  </si>
  <si>
    <t xml:space="preserve">ma-lp-00383509</t>
  </si>
  <si>
    <t xml:space="preserve">Material</t>
  </si>
  <si>
    <t xml:space="preserve">envase</t>
  </si>
  <si>
    <t xml:space="preserve">Esmalte antioxidante metálico de altos sólidos OXIRÓN FORJA de TITANLUX; color negro (4 litros/envase).   Ref. lp-00383509</t>
  </si>
  <si>
    <t xml:space="preserve">Esmalte antioxidante metálico de altos sólidos, de gran adherencia, elasticidad y resistencia a la intemperie, de aplicación directa sobre acero y óxido sin necesidad de preparación previa.   Ref.   lp-00383509
Excelente protección y decoración de cualquier superficie de hierro, a las que confiere un acabado metálico natural tipo forja. Excelente aplicación a brocha y rodillo, amplio tiempo abierto, que facilita los retoques. Colores entremezclables y altamente sólidos a la luz. Campos Aplicación: Exteriores e interiores. Indicado para verjas, farolas, barandas, postes eléctricos, grúas, puentes, etc.</t>
  </si>
  <si>
    <t xml:space="preserve">ma-lp-00533724</t>
  </si>
  <si>
    <t xml:space="preserve">Material</t>
  </si>
  <si>
    <t xml:space="preserve">bidón</t>
  </si>
  <si>
    <t xml:space="preserve">Pintura plástica para fachadas TITÀN BIGMAT (15 litros/bidón).   Ref. lp-00533724</t>
  </si>
  <si>
    <t xml:space="preserve">Pintura plástica revestimiento para fachadas TITÁN BIGMAT. Color blanco mate. Envase 15 litros. Para la protección de fachadas y morteros monocapa. Alto poder cubriente, impermeable, transpirable. Buena resistencia a la intemperie, con conservante antimoho. Rendimiento: 3 a 8 m2/litro.   Ref. lp-00533724.</t>
  </si>
  <si>
    <t xml:space="preserve">ma-lp-00538880</t>
  </si>
  <si>
    <t xml:space="preserve">Material</t>
  </si>
  <si>
    <t xml:space="preserve">bidón</t>
  </si>
  <si>
    <t xml:space="preserve">Pintura plástica acrílica mate interior/exterior de REVETÓN NOVEX; color blanco (15 litros/bidón).   Ref. lp-00538880</t>
  </si>
  <si>
    <t xml:space="preserve">Pintura plástica acrílica de buena lavabilidad y cubrición, resistente a los U.V. En interior apto para todo tipo de materiales de obra como el yeso, el cemento, el revoco, el hormigón o el ladrillo. En exterior apto en superficies blancas y colores claros. Rendimiento aproximado: 8 a 12 m2/litro/mano, en función de la absorción y textura del soporte.   Ref. lp-00538880.</t>
  </si>
  <si>
    <t xml:space="preserve">ma-lp-00538890</t>
  </si>
  <si>
    <t xml:space="preserve">Material</t>
  </si>
  <si>
    <t xml:space="preserve">bidón</t>
  </si>
  <si>
    <t xml:space="preserve">Revestimiento de fachadas 5 años BIGMAT blanco (15 litros/bidón).   Ref. lp-00538890</t>
  </si>
  <si>
    <t xml:space="preserve">Revestimiento acrílico liso para fachadas impermeable, transpirable y conservante antimoho. Fácil aplicación. No salpica ni gotea. Protección y decoración de fachadas y paramentos verticales en exterior de hormigón, mortero de cemento, ladrillo, piedra, pintura plástica, etc. Rendimiento aproximado: 8 a 12 m2/litro.   Ref. lp-00538890.</t>
  </si>
  <si>
    <t xml:space="preserve">ma-lp-00539135</t>
  </si>
  <si>
    <t xml:space="preserve">Material</t>
  </si>
  <si>
    <t xml:space="preserve">envase</t>
  </si>
  <si>
    <t xml:space="preserve">Spray esmalte anticorrosivo blanco (400 ml/envase).   Ref. lp-00539135</t>
  </si>
  <si>
    <t xml:space="preserve">Spray esmalte anticorrosivo blanco (400 ml/envase).   Ref. lp-00539135</t>
  </si>
  <si>
    <t xml:space="preserve">ma-lp-00539797</t>
  </si>
  <si>
    <t xml:space="preserve">Material</t>
  </si>
  <si>
    <t xml:space="preserve">bidón</t>
  </si>
  <si>
    <t xml:space="preserve">Revestimiento pétreo liso texturado fino para fachadas de REVETÓN CUBIC; color blanco (15 litros/bidón).   Ref. lp-00539797</t>
  </si>
  <si>
    <t xml:space="preserve">Revestimiento para fachadas y paramentos verticales en exterior de mortero de cemento, ladrillo, piedra, pintura plástica, etc. Revestimiento acrílico, liso, duradero y de alta protección. Acabado texturado fino color blanco mate. Rendimiento aproximado: 8 a 12 m2/litro/mano, en función de la absorción y textura del soporte (número de capas necesarias: 2).   Ref. lp-00539797.
Alta resistencia a lluvias y al vapor de agua. No amarillea. Resistente a microorganismos y antimoho. Garantía hasta 10 años. Evita la filtración de agua de lluvia, transpirable, limita el fuego (clasificación esuroclases), Alta resistencia a los rayos U.V., alta cubrición, buena adherencia, resistente a los microorganismos, insaponificable, producto al agua: sin olor a disolvente, cómoda aplicación, respetuosa con el medioambiente.</t>
  </si>
  <si>
    <t xml:space="preserve">ma-lp-00540897</t>
  </si>
  <si>
    <t xml:space="preserve">Material</t>
  </si>
  <si>
    <t xml:space="preserve">envase</t>
  </si>
  <si>
    <t xml:space="preserve">Hidro-repelente silicónico ANTIPLUVIOL W de MAPEI; transparente (10 kg/envase).   Ref. lp-00540897</t>
  </si>
  <si>
    <t xml:space="preserve">ANTIPLUVIOL W de MAPEI. Hidrorrepelente silicónico en solución acuosa para impermeabilización de muros externos y con altísimas prestaciones. Tiempo de secado: 1-2 horas. Limpieza: agua. Aplicación con rodillo, brocha o pulverizador. Consumo: 0,1 a 0,5 kg/m2/mano (según la porosidad del soporte).   Ref. lp-00540897.
Es una dispersión lechosa a base de silanos y siloxanos en emulsión acuosa, caracterizada por una elevada capacidad para impregnar todos los materiales minerales absorbentes utilizados en la construcción volviéndolos hidrorrepelentes. Aplicado sobre un soporte poroso, ANTIPLUVIOL W penetra en profundidad y reacciona con la humedad natural presente en el interior de éste, para formar una capa hidrófoba en el interior de los poros y de los capilares, que rechaza el agua. Por esta propiedad, ANTIPLUVIOL W es un eficaz protector contra los agentes agresivos presentes en la atmósfera, transportados al interior de los materiales porosos por el agua de lluvia. El tratamiento hidrorrepelente con ANTIPLUVIOL W mejora además el efecto auto-limpieza de la fachada y reduce la adhesión de musgos y algas. No forma película, por lo que no modifica la permeabilidad al vapor de agua y no altera de modo visible el aspecto estético del material. Posee óptima resistencia a la alcalinidad, a las radiaciones ultravioletas y mantiene todas sus características de hidrorrepelencia inalteradas en el tiempo.
El consumo está fuertemente influenciado por el poder absorbente del soporte y puede variar entre 0,20 a 1 kg/m2. Detallamos a continuación algunos materiales con consumos relativos de manera indicativa: ladrillos cara vista: 0,50 a 0,75 kg/m2; revoques tradicionales: 0,50 a 0,80 kg/m2; piedra tipo tufo: 0,50 a 1,00 kg/m2; enlucido cementoso: 0,20 a 0,40 kg/m2; mármol: 0,20 a 0,50 kg/m2.</t>
  </si>
  <si>
    <t xml:space="preserve">ma-lp-00564203</t>
  </si>
  <si>
    <t xml:space="preserve">Material</t>
  </si>
  <si>
    <t xml:space="preserve">envase</t>
  </si>
  <si>
    <t xml:space="preserve">Esmalte laca ALPLAC de TOLLENS con resinas de poliuretano (4 litros/envase).   Ref. lp-00564203</t>
  </si>
  <si>
    <t xml:space="preserve">Esmalte-laca satinado a base de resinas de poliuretano con propiedades anticorrosivas, de altas prestaciones y secado rápido para interior y exterior. Al contener poliuretanos y ceras permite obtener acabados de tacto sedoso y excepcional resistencia a golpes y rayadas. Rendimiento Teórico: 14 a 16 m2/litro (aproximado y según soporte).   Ref. lp-00564203.
APLICACIONES: En interior y exterior sobre todo tipo de superficies metálicas, madera, yeso, cemento. Yeso: Paredes techos de cocinas, baños, escaleras, etc. Madera: Carpintería de obra, muebles, bancos de jardín, embarcaciones, etc. Hierro: Muebles, puertas, rejas, estructuras, maquinaria agrícola, etc.</t>
  </si>
  <si>
    <t xml:space="preserve">ma-malagasol-5023609004</t>
  </si>
  <si>
    <t xml:space="preserve">Material</t>
  </si>
  <si>
    <t xml:space="preserve">envase</t>
  </si>
  <si>
    <t xml:space="preserve">Imprimante fijador multiuso FIJAMONT de MONTÓ (4 litros/envase).   Ref. malagasol-5023609004</t>
  </si>
  <si>
    <t xml:space="preserve">Imprimante fijador al disolvente de máxima penetración en superficies porosas, pintadas o de obra nueva. Antihumedad. Máxima adherencia. Evita salitres y veladuras. Endurece y fija fondos porosos en mal estado. Rendimiento: 7 a 15 m2/litro por mano.   Ref. malagasol-5023609004.</t>
  </si>
  <si>
    <t xml:space="preserve">ma-multipinturas-06A</t>
  </si>
  <si>
    <t xml:space="preserve">Material</t>
  </si>
  <si>
    <t xml:space="preserve">envase</t>
  </si>
  <si>
    <t xml:space="preserve">Imprimante anticorrosivo de secado rápido PREPARACIÓN MULTIUSO de TITÁN; colores blanco, gris, verde, negro (4 litros/envase).   Ref. multipinturas-06A</t>
  </si>
  <si>
    <t xml:space="preserve">Preparación anticorrosiva de secado rápido para todo tipo de superficies. Extraordinaria adherencia sobre un gran número de soportes. Protección contra el óxido en superficies de hierro. Rendimiento: 8 a 12 m2/litro.   Ref. multipinturas-06A.</t>
  </si>
  <si>
    <t xml:space="preserve">ma-multipinturas-1358</t>
  </si>
  <si>
    <t xml:space="preserve">Material</t>
  </si>
  <si>
    <t xml:space="preserve">bidón</t>
  </si>
  <si>
    <t xml:space="preserve">Imprimante COTEFILM IMPRIMACIÓN ACUOSA de REVETÓN (15 litros/bidón).   Ref. multipinturas-1358</t>
  </si>
  <si>
    <t xml:space="preserve">Imprimación fijadora acrílica para la preparación de soportes a pintar. Producto recomendado para fijar y regularizar la absorción de todo tipo de superficies con porosidad tanto en interior como en exterior, actuando como puente de adherencia del producto de acabado. Rendimiento: 6 a 8 m2/litro en función de la absorción y textura del soporte.   Ref. multipinturas-1358.
PROPIEDADES: Gran capacidad de penetración y sellado de la superficie; Cohesiona la capa superficial del soporte; Excelente puente de adherencia entre el producto acabado (pinturas en base acuosa) y el soporte; Transpirable al vapor de agua: facilita la evacuación de la humedad contribuyendo a mantener la pared seca; Su opción en color blanco contribuye a ganar opacidad en el sistema de pintado; Inalterable a los álcalis del cemento (insaponificable).</t>
  </si>
  <si>
    <t xml:space="preserve">ma-pinturasalejo-kilate.brillo.g</t>
  </si>
  <si>
    <t xml:space="preserve">Material</t>
  </si>
  <si>
    <t xml:space="preserve">envase</t>
  </si>
  <si>
    <t xml:space="preserve">Esmalte sintético de altos sólidos con acabado brillante KILATE de PROCOLOR (4 litros/envase).   Ref. pinturasalejo-kilate.brillo.g</t>
  </si>
  <si>
    <t xml:space="preserve">Para la decoración y protección de toda clase de superficies de madera, yeso, hierro, acero, aluminio, zinc, cobre, PVC, etc. tanto en interior como en exterior. Rendimiento teórico: 12 a 14 m2/litro/mano.   Ref. pinturasalejo-kilate.brillo.g.</t>
  </si>
  <si>
    <t xml:space="preserve">ma-pinturasalejo-kilate.satin.g</t>
  </si>
  <si>
    <t xml:space="preserve">Material</t>
  </si>
  <si>
    <t xml:space="preserve">envase</t>
  </si>
  <si>
    <t xml:space="preserve">Esmalte sintético de altos sólidos con acabado satinado KILATE de PROCOLOR (4 litros/envase).   Ref. pinturasalejo-kilate.satin.g</t>
  </si>
  <si>
    <t xml:space="preserve">Para la decoración y protección de toda clase de superficies de madera, yeso, hierro, acero, aluminio, zinc, cobre, PVC, etc. tanto en interior como en exterior. Rendimiento teórico: 9 a 11 m2/litro/mano.   Ref. pinturasalejo-kilate.satin.g.</t>
  </si>
  <si>
    <t xml:space="preserve">ma-pinturasalejo-procofer.forja</t>
  </si>
  <si>
    <t xml:space="preserve">Material</t>
  </si>
  <si>
    <t xml:space="preserve">envase</t>
  </si>
  <si>
    <t xml:space="preserve">Esmalte antioxidante y decorativo PROCOFER EXPERT FORJA de PROCOLOR (2,5 litros/envase; gris y negro).   Ref. pinturasalejo-procofer.forja</t>
  </si>
  <si>
    <t xml:space="preserve">Esmalte antioxidante y decorativo hierro forjado directo al metal/óxido. Adecuado para la decoración y protección de hierro y acero sin necesidad de imprimación previa. Rendimiento teórico: 9 a 11 m2/litro (recomendable 2 manos para superficies nuevas). Colores: gris y negro.   Ref. pinturasalejo-procofer.forja.</t>
  </si>
  <si>
    <t xml:space="preserve">ma-pinturasalejo-prosilox.liso.m</t>
  </si>
  <si>
    <t xml:space="preserve">Material</t>
  </si>
  <si>
    <t xml:space="preserve">bidón</t>
  </si>
  <si>
    <t xml:space="preserve">Pintura al siloxano para fachadas PROSILOX LISO MIX de PROCOLOR (15 litros/bidón).   Ref. pinturasalejo-prosilox.liso.mix-15</t>
  </si>
  <si>
    <t xml:space="preserve">Revestimiento PROSILOX LISO MIX de PROCOLOR al siloxano para fachadas es ideal para decorar y proteger superficies de hormigón, hormigón celular y albañilería tanto en interiores como en exteriores. Rendimiento: 4 a 5 m2/litro/mano (si la superficie está pulverulenta o degradada, imprimar con PROCOLITE FONDO PENETRANTE; y si está en buen estado, imprimar con PROCOFIX).   Ref. pinturasalejo-prosilox.liso.mix-15.</t>
  </si>
  <si>
    <t xml:space="preserve">ma-pinturasalejo-rubbol.blprimer</t>
  </si>
  <si>
    <t xml:space="preserve">Material</t>
  </si>
  <si>
    <t xml:space="preserve">envase</t>
  </si>
  <si>
    <t xml:space="preserve">Imprimante multisuperficie al agua RUBBOL BL PRIMER de SIKKENS (2,5 litros/envase).   Ref. pinturasalejo-rubbol.blprimer</t>
  </si>
  <si>
    <t xml:space="preserve">Imprimación multisuperficies RUBBOL BL PRIMER al agua basada en resinas acrílicas y de poliuretano adecuada para el pintado de superficies de madera, metal, galvanizado, aluminio, pvc, melamina, etc. Su formulación en base de poliuretano le confiere una fácil aplicación y excelente nivelación. En superficies de madera, su microporosidad le permite respirar y controlar la humedad obteniéndose una larga durabilidad. Rendimiento: 12 a 14 m2/litro.   Ref. pinturasalejo-rubbol.blprimer.</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</si>
  <si>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</si>
  <si>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</si>
  <si>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</si>
  <si>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</si>
  <si>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Imprimante incoloro al disolvente con máxima adherencia y poder de penetración en soportes degradados, está especialmente indicado para imprimar materiales de construcción degradados por el transcurrir del tiempo (morteros de cementos, ladrillos, hormigón, etc.).   Ref. pinturasmata-008696015.
Rendimiento Teórico: 8 a 12 m2/litro y mano (El Rendimiento Práctico vari?a en funcio?n del tipo y estado de la superficie, de la absorcio?n del soporte asi? como del modo de aplicacio?n y del grado de dilucio?n la variabilidad depende de la porosidad de la superficie.</t>
  </si>
  <si>
    <t xml:space="preserve">ma-pp-0120100600ML</t>
  </si>
  <si>
    <t xml:space="preserve">Material</t>
  </si>
  <si>
    <t xml:space="preserve">bidón</t>
  </si>
  <si>
    <t xml:space="preserve">Pintura plástica PALAS INTER FACHADAS; color blanco mate (14 litros/bidón).   Ref. pp-s/c-01</t>
  </si>
  <si>
    <t xml:space="preserve">Pintura de revestimiento de excepcional calidad para la protección y decoración de fachadas, o bien su utilización en interiores. Buena adherencia sobre los materiales de construcción habituales. Buena resistencia a la abrasión y al frote húmedo. Película resistente a la intemperie y a los rayos ultravioleta. Pigmentos inorgánicos estables a la luz y la intemperie. Buena resistencia a la alcalinidad del soporte como morteros de cemento, hormigón, ladrillo. Impermeable al agua de la lluvia y permeable al vapor de agua, permitiendo la transpiración del soporte.   Ref. pp-0120100600ML.</t>
  </si>
  <si>
    <t xml:space="preserve">ma-pp-0135001400SJ-B</t>
  </si>
  <si>
    <t xml:space="preserve">Material</t>
  </si>
  <si>
    <t xml:space="preserve">bidón</t>
  </si>
  <si>
    <t xml:space="preserve">Imprimante Isacrílico emulsión selladora penetrante de ISAVAL (15 litros/bidón)   Ref. pp-0135001400SJ-B</t>
  </si>
  <si>
    <t xml:space="preserve">Emulsión al agua para el sellado de superficies nuevas, viejas o en mal estado. Imprimación acuosa acrílica consolidante y reguladora de absorción, de partícula fina y muy penetrante.   Ref. pp-0135001400SJ-B
Usos: Preparación y fijación para pinturas acuosas. Interior-Exterior.
Dilución: Diluir con agua en relacion 1:4 (1 de isacrílico por 4 de agua).
Tiempo de secado: Al tacto 30min. / Repintado 2 horas / Total 10 a 15 días.
Limpieza de utensilios: Agua, antes del secado.
Acabado: Transparente.
Rendimiento: Hormigón: 30-60 m²/L Morteros: 15-20 m²/L Fibrocemento:15-20m²/L</t>
  </si>
  <si>
    <t xml:space="preserve">ma-pp-0135001400SJ-G</t>
  </si>
  <si>
    <t xml:space="preserve">Material</t>
  </si>
  <si>
    <t xml:space="preserve">envase</t>
  </si>
  <si>
    <t xml:space="preserve">Imprimante Isacrílico emulsión selladora penetrante de ISAVAL (4 litros/envase).   Ref. pp-0135001400SJ-G</t>
  </si>
  <si>
    <t xml:space="preserve">Emulsión al agua para el sellado de superficies nuevas, viejas o en mal estado. Imprimación acuosa acrílica consolidante y reguladora de absorción, de partícula fina y muy penetrante.   Ref. pp-0135001400SJ-G
Usos: Preparación y fijación para pinturas acuosas. Interior-Exterior.
Dilución: Diluir con agua en relacion 1:4 (1 de isacrílico por 4 de agua).
Tiempo de secado: Al tacto 30min. / Repintado 2 horas / Total 10 a 15 días.
Limpieza de utensilios: Agua, antes del secado.
Acabado: Transparente.
Rendimiento: Hormigón: 30-60 m²/L Morteros: 15-20 m²/L Fibrocemento:15-20m²/L</t>
  </si>
  <si>
    <t xml:space="preserve">ma-pp-8426102250062</t>
  </si>
  <si>
    <t xml:space="preserve">Material</t>
  </si>
  <si>
    <t xml:space="preserve">envase</t>
  </si>
  <si>
    <t xml:space="preserve">Disolvente TIXOVAL D-50 de ISAVAL (1 litro/envase).   Ref. pp-8426106650062</t>
  </si>
  <si>
    <t xml:space="preserve">Disolvente TIXOVAL D-50 de ISAVAL exento de hidrocarburos aromáticos adecuado para pinturas tixotrópicas TIXOVAL ANTIHUMOS y TIXOVAL ANTIHUMEDAD. Su velocidad de secado permite la mejora de las propiedades de aplicación y acabado tanto en TIXOVAL ANTIHUMOS y TIXOVAL ANTIHUMEDAD, dotándolos de una excelente igualación.   Ref. pp-8426106650062
USOS: Especialmente indicado en todas aquellas pinturas que recomiendan su aplicación como regulador de la viscosidad, permitiendo la dilución de estas para su correcta aplicación tanto a brocha, rodillo o pistola, así como la limpieza de todas las herramientas empleadas en los productos recomendados. Acabado transparente. Formatos: 1 y 5 litros.</t>
  </si>
  <si>
    <t xml:space="preserve">ma-pp-8426106541056-G</t>
  </si>
  <si>
    <t xml:space="preserve">Material</t>
  </si>
  <si>
    <t xml:space="preserve">envase</t>
  </si>
  <si>
    <t xml:space="preserve">Pintura tixotrópica TIXOVAL ANTIHUMEDAD RESINA PLIOWAY de ISAVAL (4 litros/envase).   Ref. pp-8426106541056</t>
  </si>
  <si>
    <t xml:space="preserve">Pintura tixotrópica con bajo olor especial para el pintado de paredes con humedad. Excepcional adherencia, no amarillea. Usos: Interior. Paredes con problemas de hu- medad por capilaridad.
Fondear con Tixoval antihumedad diluido o fijador al disolvente Fixacril ((dilución: Disolvente Tixoval D-50. Aplicación: brocha 0-10%, rodillo 0-10%, pistola 0-10%). Formatos: 0,75 litros; 4 litros; 16 litros. Rendimiento: 6 a 8 m2/litro.   Ref. pp-8426106541056</t>
  </si>
  <si>
    <t xml:space="preserve">ma-pp-0120100600ML-G</t>
  </si>
  <si>
    <t xml:space="preserve">Material</t>
  </si>
  <si>
    <t xml:space="preserve">envase</t>
  </si>
  <si>
    <t xml:space="preserve">Pintura plástica PALAS INTER FACHADAS; color blanco mate (5 litros/envase).   Ref. pp-s/c-01</t>
  </si>
  <si>
    <t xml:space="preserve">Pintura de revestimiento de excepcional calidad para la protección y decoración de fachadas, o bien su utilización en interiores. Buena adherencia sobre los materiales de construcción habituales. Buena resistencia a la abrasión y al frote húmedo. Película resistente a la intemperie y a los rayos ultravioleta. Pigmentos inorgánicos estables a la luz y la intemperie. Buena resistencia a la alcalinidad del soporte como morteros de cemento, hormigón, ladrillo. Impermeable al agua de la lluvia y permeable al vapor de agua, permitiendo la transpiración del soporte.   Ref. pp-s/c-01</t>
  </si>
  <si>
    <t xml:space="preserve">ma-pp-0130018800ML</t>
  </si>
  <si>
    <t xml:space="preserve">Material</t>
  </si>
  <si>
    <t xml:space="preserve">bidón</t>
  </si>
  <si>
    <t xml:space="preserve">Pintura al siloxano BIXOLAN de ISAVAL (15 litros/bidón).   Ref. pp-0130018800ML</t>
  </si>
  <si>
    <t xml:space="preserve">Revestimiento de exteriores en base de silicona. Hidrofugante e impermeable al agua de lluvia. Permeable al vapor de agua, permite la transpiración del soporte. Rendimiento: 6 a 8 m²/litro y mano (aprox.) según soporte.   Ref. pp-0130018800ML
Es el revestimiento ideal para la restauración y renovación de fachadas. Resistente a la alcalinidad del soporte, como morteros de cemento, hormigón, ladrillo … Resistente a los nocivos efectos de la intemperie. Alta barrera anticarbonatación, elevada resistencia a la difusión de CO2. Evita la aparición de manchas de hongos y algas en su superficie.
Debido al efecto perlado es autolimpiable por la lluvia. Pensado especialmente para evitar los nocivos efectos que la humedad produce en los muros orientados hacia el norte/noroeste o en zonas muy húmedas. Su repelencia al agua esta combinada con una alta permeabilidad al vapor de agua, lo que permite “respirar” al muro evitando la formación de ampollas y el desprendimiento de la pintura.</t>
  </si>
  <si>
    <t xml:space="preserve">ma-pp-0135001450SJ</t>
  </si>
  <si>
    <t xml:space="preserve">Material</t>
  </si>
  <si>
    <t xml:space="preserve">bidón</t>
  </si>
  <si>
    <t xml:space="preserve">Imprimante acuoso a base de copolímeros acrílico-siloxánicos FIXENOL CONSOLIDANTE de ISAVAL (15 litros/bidón).   Ref. pp-0135001450SJ</t>
  </si>
  <si>
    <t xml:space="preserve">Imprimación para pinturas al agua, especialmente indicada para la fijación y sellado de substratos minerales (mortero de cemento, hormigón, baldosín catalán, etc.). Rendimientos en m2/litro: Hormigón y Superficies Pintadas: 15 a 20; Morteros y Fibrocemento: 10 a 15; Yeso y Escayola: 5 a 15.   Ref. pp-0135001450SJ
Altamente recomendable su utilización con nuestros productos para fachadas BIXOLÁN y REVIFLEX. Acción consolidante en soportes de baja consistencia previo a la aplicación de sistema SATE RHONATHERM.</t>
  </si>
  <si>
    <t xml:space="preserve">ma-pp-0137006000SL</t>
  </si>
  <si>
    <t xml:space="preserve">Material</t>
  </si>
  <si>
    <t xml:space="preserve">envase</t>
  </si>
  <si>
    <t xml:space="preserve">Pintura elástica al siloxano BETAELASTIC de BEISSIER (15 litros/envase).   Ref. pp-0137006000SL</t>
  </si>
  <si>
    <t xml:space="preserve">Revestimiento elástico liso al siloxano para protección, impermeabilización y decoración de fachadas y muros exteriores. Clasificado según UNE-EN 1062: Materiales de recubrimiento y sistemas de recubrimiento para albañilería exterior y hormigón. Rendimiento aproximado de 4 a 6 m2/litro por mano.   Ref. pp-0137006000SL.
Está especialmente diseñado para la decoración y protección de fachadas con grietas y fisuras. Por su resistencia al envejecimiento y a la intemperie su aplicación es ideal en aquellos edificios que se encuentran en zonas propensas a polución.
De aplicación universal sobres los siguientes soportes:
• Enfoscados de cemento y hormigón no hidrófugo.
• Pinturas plásticas bien adheridas.
• Enlucidos de yeso.</t>
  </si>
  <si>
    <t xml:space="preserve">ma-pp-8426106221507</t>
  </si>
  <si>
    <t xml:space="preserve">Material</t>
  </si>
  <si>
    <t xml:space="preserve">bidón</t>
  </si>
  <si>
    <t xml:space="preserve">Imprimante concentrado fijador diluyente a base de silicato SILTOP de ISAVAL (15 litros/bidón).   Ref. pp-8426106221507</t>
  </si>
  <si>
    <t xml:space="preserve">Permite la fijación de superficies minerales y regula la absorción de las diferentes superficies a pintar.   Ref. pp-8426106221507.
Regulador de la absorción de los morteros de cal y superficies en general que presenten una elevada porosidad. Igualmente, empleándolo como diluyente para la pintura al silicato aumenta la dureza y cohesión de la capa, obteniéndose resultados excepcionales. Dilución: 1:4 (1 de fijador y 4 partes de agua). Rendimiento: 12 a 15 m2/litro.</t>
  </si>
  <si>
    <t xml:space="preserve">ma-pp-8426106434570</t>
  </si>
  <si>
    <t xml:space="preserve">Material</t>
  </si>
  <si>
    <t xml:space="preserve">envase</t>
  </si>
  <si>
    <t xml:space="preserve">Pintura a base de silicato potásico para obtener efectos “veladura” en exteriores e interiores SILVEL VELADURA SILICATO de ISAVAL; color C-F2.10.70 (4 litros/envase).   Ref. pp-8426106434570</t>
  </si>
  <si>
    <t xml:space="preserve">Pintura a base de silicato, preparada para obtener efectos “veladura” en exteriores e interiores, que contiene silicato potásico como aglomerantes y estabilizadores orgánicos. SILVEL VELADURA SILICATO.   Ref. pp-8426106434570.</t>
  </si>
  <si>
    <t xml:space="preserve">ma-pp-8426106480775</t>
  </si>
  <si>
    <t xml:space="preserve">Material</t>
  </si>
  <si>
    <t xml:space="preserve">envase</t>
  </si>
  <si>
    <t xml:space="preserve">Pintura mineral de fachadas con ligantes de sol de sílice y silicato potásico SILTOP SOL SILICATO de ISAVAL (5 litros/envase).   Ref. pp-8426106480775</t>
  </si>
  <si>
    <t xml:space="preserve">Pintura mineral de fachadas con ligantes de sol de sílice y silicato potásico SILTOP SOL SILICATO de ISAVAL. USOS: renovación y aplicación sobre pinturas, revocos modificados orgánicamente, así como soportes minerales. Fondear con SILTOP SOL SILICATO concentrado. Rendimiento 6 a 8 m2/litro.   Ref. pp-8426106480775.</t>
  </si>
  <si>
    <t xml:space="preserve">ma-pp-8426106480782</t>
  </si>
  <si>
    <t xml:space="preserve">Material</t>
  </si>
  <si>
    <t xml:space="preserve">bidón</t>
  </si>
  <si>
    <t xml:space="preserve">Pintura mineral de fachadas con ligantes de sol de sílice y silicato potásico SILTOP SOL SILICATO de ISAVAL (15 litros/bidón).   Ref. pp-8426106480782</t>
  </si>
  <si>
    <t xml:space="preserve">Pintura mineral de fachadas con ligantes de sol de sílice y silicato potásico SILTOP SOL SILICATO de ISAVAL. USOS: renovación y aplicación sobre pinturas, revocos modificados orgánicamente, así como soportes minerales. Fondear con SILTOP SOL SILICATO concentrado. Rendimiento 6 a 8 m2/litro.   Ref. pp-8426106480782.</t>
  </si>
  <si>
    <t xml:space="preserve">ma-pp-8426106541056-B</t>
  </si>
  <si>
    <t xml:space="preserve">Material</t>
  </si>
  <si>
    <t xml:space="preserve">bidón</t>
  </si>
  <si>
    <t xml:space="preserve">Pintura tixotrópica TIXOVAL ANTIHUMEDAD RESINA PLIOWAY de ISAVAL (16 litros/envase).   Ref. pp-8426106541056-B</t>
  </si>
  <si>
    <t xml:space="preserve">Pintura tixotrópica con bajo olor especial para el pintado de paredes con humedad. Excepcional adherencia, no amarillea. Usos: Interior. Paredes con problemas de hu- medad por capilaridad.
Fondear con Tixoval antihumedad diluido o fijador al disolvente Fixacril ((dilución: Disolvente Tixoval D-50. Aplicación: brocha 0-10%, rodillo 0-10%, pistola 0-10%). Formatos: 0,75 litros; 4 litros; 16 litros. Rendimiento: 6 a 8 m2/litro.   Ref. pp-8426106541056-B.</t>
  </si>
  <si>
    <t xml:space="preserve">ma-pp-8436563360107-B</t>
  </si>
  <si>
    <t xml:space="preserve">Material</t>
  </si>
  <si>
    <t xml:space="preserve">bidón</t>
  </si>
  <si>
    <t xml:space="preserve">Pintura int&amp;ext PALAS P-500 CUBREX; color blanco (14 litros/bidón).   Ref. pp-8436563360107-B</t>
  </si>
  <si>
    <t xml:space="preserve">Pintura int&amp;ext PALAS P-500 CUBREX; color blanco (14 litros/bidón).   Ref. pp-8436563360107-B
Pintura extra mate de muy alta cubrición, para paredes y techos, tanto en interior como en exterior, donde se requieren acabados de buena calidad.
Especialmente indicada para el pintado de paredes y techos, tanto en interior como en exterior, donde se requieren acabados de buena calidad.
PROPIEDADES:
- Elevado poder de cubrición.
- Bajo salpicado.
- No amarillea.
- Buena resistencia al frote húmedo.
- Buena adherencia sobre los materiales de construcción habituales.
- Bajo nivel de olor
- Excelente nivelación y facilidad de aplicación.
- Con conservante antimoho (para película).</t>
  </si>
  <si>
    <t xml:space="preserve">ma-pp-8436563360107-G</t>
  </si>
  <si>
    <t xml:space="preserve">Material</t>
  </si>
  <si>
    <t xml:space="preserve">envase</t>
  </si>
  <si>
    <t xml:space="preserve">Pintura int&amp;ext PALAS P-500 CUBREX; color blanco (5 litros/envase).   Ref. pp-8436563360107-G</t>
  </si>
  <si>
    <t xml:space="preserve">Pintura int&amp;ext PALAS P-500 CUBREX; color blanco (5 litros/envase).   Ref. pp-8436563360107-G
Pintura extra mate de muy alta cubrición, para paredes y techos, tanto en interior como en exterior, donde se requieren acabados de buena calidad.
Especialmente indicada para el pintado de paredes y techos, tanto en interior como en exterior, donde se requieren acabados de buena calidad.
PROPIEDADES:
- Elevado poder de cubrición.
- Bajo salpicado.
- No amarillea.
- Buena resistencia al frote húmedo.
- Buena adherencia sobre los materiales de construcción habituales.
- Bajo nivel de olor
- Excelente nivelación y facilidad de aplicación.
- Con conservante antimoho (para película).</t>
  </si>
  <si>
    <t xml:space="preserve">ma-pp-E8.15.55</t>
  </si>
  <si>
    <t xml:space="preserve">Material</t>
  </si>
  <si>
    <t xml:space="preserve">bidón</t>
  </si>
  <si>
    <t xml:space="preserve">Pintura a base de silicato potásico para obtener efectos “veladura” en exteriores e interiores SILVEL VELADURA SILICATO de ISAVAL; color A (15 litros/bidón).   Ref. pp-E8.15.55</t>
  </si>
  <si>
    <t xml:space="preserve">Pintura a base de silicato, preparada para obtener efectos “veladura” en exteriores e interiores, que contiene silicato potásico como aglomerantes y estabilizadores orgánicos. SILVEL VELADURA SILICATO.   Ref. pp-E8.15.55.</t>
  </si>
  <si>
    <t xml:space="preserve">ma-pp-F2.10.70</t>
  </si>
  <si>
    <t xml:space="preserve">Material</t>
  </si>
  <si>
    <t xml:space="preserve">bidón</t>
  </si>
  <si>
    <t xml:space="preserve">Pintura a base de silicato potásico para obtener efectos “veladura” en exteriores e interiores SILVEL VELADURA SILICATO de ISAVAL; color C (15 litros/bidón).   Ref. pp-F2.10.70</t>
  </si>
  <si>
    <t xml:space="preserve">Pintura a base de silicato, preparada para obtener efectos “veladura” en exteriores e interiores, que contiene silicato potásico como aglomerantes y estabilizadores orgánicos. SILVEL VELADURA SILICATO.   Ref. pp-F2.10.70.</t>
  </si>
  <si>
    <t xml:space="preserve">ma-pp-barniz.ignifugo-B88-20</t>
  </si>
  <si>
    <t xml:space="preserve">Material</t>
  </si>
  <si>
    <t xml:space="preserve">bidón</t>
  </si>
  <si>
    <t xml:space="preserve">Barniz ignífugo B-88 de CEDRIA (20 litros/bidón).   Ref. pp-barniz.ignifugo-B88-20</t>
  </si>
  <si>
    <t xml:space="preserve">Barniz Ignífugo incoloro y transparente para la madera en base agua, apto para interiores y exteriores, certificado con la máxima clasificación posible en baja emisión de humos. Acabado: Satinado sedoso. Rendimiento: 3m2/litro, dependiendo del soporte y tipo de madera. Secado: 60 minutos (al tacto); Repintado: 2 horas.   Ref. pp-barniz.ignifugo-B88-20.
Indicado para interiores y para exteriores. Para frisos, revestimientos, tarimas, pavimentos de madera, vigas, techos, cubiertas… que precisen de un comportamiento ignífugo.
Propiedades:
• Clasificado Bs1d0 según sistema de EUROCLASES para la aplicación como recubrimiento de PAREDES Y TECHOS según la Norma Europea UNE-EN-13501-1.
• Clasificado BFLs1 según sistema de EUROCLASES para la aplicación como recubrimiento de SUELOS según la Norma Europea UNE-EN-13501-1.
• Clasificado BROOF(t1) según sistema de EUROCLASES para la aplicación como recubrimiento de CUBIERTAS EXTERIORES según la Norma Europea UNE-EN-13501-5
• Clasificación A+ (Más baja emisión de VOC) otorgada por laboratorio acreditado Eurofins.</t>
  </si>
  <si>
    <t xml:space="preserve">ma-pp-hidroprotect.antigraffiti</t>
  </si>
  <si>
    <t xml:space="preserve">Material</t>
  </si>
  <si>
    <t xml:space="preserve">bidón</t>
  </si>
  <si>
    <t xml:space="preserve">Protector Antigraffiti HIDROPROTECT ANTIGRAFFITI de QUIMIBASE (25 litros/bidón).   Ref. pp-hidroprotect.antigraffiti</t>
  </si>
  <si>
    <t xml:space="preserve">Protector antigraffiti apto para toda clase de superficies minerales, porosas absorbentes (piedra, hormigón revestimientos pétreos, estucados, etc.), que impide la penetración de la pintura en el soporte. Rendimiento: 5 a 6 m2/litro (según absorción del sustrato).   Ref. pp-hidroprotect.antigraffiti.</t>
  </si>
  <si>
    <t xml:space="preserve">ma-pp-isaldux-G</t>
  </si>
  <si>
    <t xml:space="preserve">Material</t>
  </si>
  <si>
    <t xml:space="preserve">envase</t>
  </si>
  <si>
    <t xml:space="preserve">Esmalte industrial altas prestaciones para decorar y proteger superficies variadas ISALDUX de ISAVAL (4 litros/envase).   Ref. pp-isaldux-G</t>
  </si>
  <si>
    <t xml:space="preserve">Esmalte industrial altas prestaciones para decorar y proteger superficies variadas (acero, madera y todo tipo de soportes adecuadamente tratados, sellados e imprimados). Rendimiento: 12 a 16 m2/litro (35 a 45 micras secas); Repintado: 24 horas.   Ref. pp-isaldux-G.</t>
  </si>
  <si>
    <t xml:space="preserve">ma-pp-isalnox-G</t>
  </si>
  <si>
    <t xml:space="preserve">Material</t>
  </si>
  <si>
    <t xml:space="preserve">envase</t>
  </si>
  <si>
    <t xml:space="preserve">Imprimante multiadherente polivalente antioxidante ISALNOX de ISAVAL (4 litros/envase).   Ref. pp-isalnox-G</t>
  </si>
  <si>
    <t xml:space="preserve">Imprimación polivalente monocomponente antioxidante con adherencia excepcional sobre gran variedad de soportes. Protección anticorrosiva de metales ferrosos y no ferrosos con adherencia muy buena sobre: acero. acero galvanizado, latón, PVC. Rendimiento: 10 a 12 m2/litro (40 a 50 micras por capa); Repintado: 3 a 4 horas (esperar 24 horas cuando se repinte con productos bicomponentes).   Ref. pp-isalnox-G.</t>
  </si>
  <si>
    <t xml:space="preserve">ma-pp-s/c-01</t>
  </si>
  <si>
    <t xml:space="preserve">Material</t>
  </si>
  <si>
    <t xml:space="preserve">kit</t>
  </si>
  <si>
    <t xml:space="preserve">Imprimante epoxídico poliamida bicomponente IMPREX de ISAVAL (4 litros/envase + endurecedor 0,66 litros).   Ref.   pp-s/c-01</t>
  </si>
  <si>
    <t xml:space="preserve">Imprimación epoxi-poliamida polivalente, multiadherente y anticorrosiva. Bicomponente con endurecedor 0,66 litros. Rendimiento: 10 a 12 m2/litro.   Ref. pp-s/c-07.
PROPIEDADES: Protege el metal a la corrosión; Buenas resistencias físicas y químicas; Adherencia excepcional sobre gran variedad de soportes metálicos y no metálicos; Polivalente. Elevada dureza.</t>
  </si>
  <si>
    <t xml:space="preserve">ma-pp-s/c-02-B</t>
  </si>
  <si>
    <t xml:space="preserve">Material</t>
  </si>
  <si>
    <t xml:space="preserve">bidón</t>
  </si>
  <si>
    <t xml:space="preserve">Pintura a base de siloxano para fachadas REVIFLEX de ISAVAL; blanco (15 litros/bidón).   Ref. pp-s/c-02-B</t>
  </si>
  <si>
    <t xml:space="preserve">REVIFLEX de ISAVAL es un revestimiento liso a base de resinas de siloxano en fase acuosa muy resistente a la alcalinidad y a los agentes atmosféricos.   Ref. pp-s/c-02-B
Por sus excepcionales características de calidad se puede emplear tanto en interiores como en exteriores. Destaca por su perfecta adherencia a los distintos materiales de construcción, especialmente antiguas pinturas a la cal, su elevada permeabilidad al vapor de agua y su excelente repintabilidad.
PROPIEDADES:
• Rendimiento: 8 – 12 m2/litro.
• Permeable al vapor de agua, permitiendo la transpiración del soporte.
• Resistente a los nocivos efectos de la intemperie.
• Alta opacidad.
• Resistencia a la alcalinidad del soporte, como morteros de cemento, hormigón, ladrillo …
• Buena adherencia sobre los materiales de construcción habituales.
• Clasificación: según NF T 36005: Familia I Clase 7b2; según NF DTU 59.1: D2; según NF EN 1062-1: E3 V2 W3 A0.</t>
  </si>
  <si>
    <t xml:space="preserve">ma-pp-s/c-03-B</t>
  </si>
  <si>
    <t xml:space="preserve">Material</t>
  </si>
  <si>
    <t xml:space="preserve">bidón</t>
  </si>
  <si>
    <t xml:space="preserve">Revestimiento elástico impermeabilizante de poliuretano en capa gruesa IMPER PU ANTIGOTERAS de ISAVAL (15 litros/bidón).   Ref. pp-s/c-03-B</t>
  </si>
  <si>
    <t xml:space="preserve">Revestimiento elástico impermeabilizante de poliuretano en capas gruesa, destinado a evitar filtraciones de agua presentando una excelente resistencia al exterior. Contribuye a las certificaciones LEED y BREEAM.   Ref. pp-s/c-03-B
Rendimiento 1 a 1,5 litros/m2 (tratamiento completo); no obstante, para su uso en cubiertas transitables el consumo debe ser superior a 2.5 litros/m2. Fondear con IMPER PU diluido 40% con agua.
Está especialmente indicado para la impermeabilización y protección de superficies del tipo como terrazas, fachadas, medianeras (cuchillos), y todos aquellos tendidos de mortero donde aparecen grietas finas, repartidas en una orientación determinada, que son casi estáticas, es decir tienen muy poco movimiento de contracción o dilatación con los cambios climáticos, debido a una desequilibrada composición del mortero, de su granulometría, o a condiciones anómalas de secado.
USOS: Terrazas, fachadas, medianeras (cuchillos), y todos aquellos tendidos de mortero donde aparecen grietas finas, repartidas en una orientación determinada, que son casi estáticas.</t>
  </si>
  <si>
    <t xml:space="preserve">ma-pp-s/c-04-B</t>
  </si>
  <si>
    <t xml:space="preserve">Material</t>
  </si>
  <si>
    <t xml:space="preserve">bidón</t>
  </si>
  <si>
    <t xml:space="preserve">Revestimiento acrílico a base de resinas Pliolite al disolvente PLIOVAL de ISAVAL; color blanco (15 litros/bidón).   Ref.. pp-s/c-04-B</t>
  </si>
  <si>
    <t xml:space="preserve">Revestimiento acrílico liso al disolvente para fachadas a base de resinas Pliolite. Adherencia excepcional sobre todo tipo de materiales de construcción, incluso sobre soportes húmedos o en las condiciones más desfavorables. Impermeabiliza del agua de lluvia y es totalmente transpirable. Rendimiento: 10 a 12 m2/litro.   Ref.. pp-s/c-04-B
USOS: Restauración de edificios, protección de fachadas. Paramentos conflictivos.
IMPRIMACIONES: FIXACRIL Fijador acrílico al disolvente (soportes absorbentes no consolidados); PLIOVAL PRIMER Imprimación acrílica en solución a base de resinas Pliolite muy penetrante (consolidación y sellado de superficies porosas o en muy mal estado).</t>
  </si>
  <si>
    <t xml:space="preserve">ma-pp-s/c-04-G</t>
  </si>
  <si>
    <t xml:space="preserve">Material</t>
  </si>
  <si>
    <t xml:space="preserve">envase</t>
  </si>
  <si>
    <t xml:space="preserve">Revestimiento acrílico a base de resinas Pliolite al disolvente PLIOVAL de ISAVAL; color blanco (4 litros/envase).   Ref.. pp-s/c-04-G</t>
  </si>
  <si>
    <t xml:space="preserve">Revestimiento acrílico liso al disolvente para fachadas a base de resinas Pliolite. Adherencia excepcional sobre todo tipo de materiales de construcción, incluso sobre soportes húmedos o en las condiciones más desfavorables. Impermeabiliza del agua de lluvia y es totalmente transpirable. Rendimiento: 10 a 12 m2/litro.   Ref.. pp-s/c-04-G
USOS: Restauración de edificios, protección de fachadas. Paramentos conflictivos.
IMPRIMACIONES: FIXACRIL Fijador acrílico al disolvente (soportes absorbentes no consolidados); PLIOVAL PRIMER Imprimación acrílica en solución a base de resinas Pliolite muy penetrante (consolidación y sellado de superficies porosas o en muy mal estado).</t>
  </si>
  <si>
    <t xml:space="preserve">ma-pp-s/c-05-G</t>
  </si>
  <si>
    <t xml:space="preserve">Material</t>
  </si>
  <si>
    <t xml:space="preserve">envase</t>
  </si>
  <si>
    <t xml:space="preserve">Barniz sintético interior-exterior resistente a agentes atmosféricos BRISA de ISAVAL; acabado satinado (4 litros/envase).   Ref. pp-s/c-05-G</t>
  </si>
  <si>
    <t xml:space="preserve">Barniz interior-exterior sintético (sin poliuretano) de gran resistencia a los agentes atmosféricos. Protección ultravioleta. Destaca por su elevada flexibilidad. Rendimiento: 10 a 14 m2/litro.
USOS: Interior-exterior. Madera. Ideal para la decoración y protección de todo tipo de soportes de madera tales como suelos, puertas, muebles, barandillas, marcos, etc.
Fondear con XANOL TAPAPOROS o BRISA BARNIZ Interior-Exterior diluido (Dilución: Disolvente para sintéticos (D-90). Aplicación: brocha 0-5%, rodillo 0-5% con D10, pistola 0-10%).</t>
  </si>
  <si>
    <t xml:space="preserve">ma-pp-s/c-05-L</t>
  </si>
  <si>
    <t xml:space="preserve">Material</t>
  </si>
  <si>
    <t xml:space="preserve">envase</t>
  </si>
  <si>
    <t xml:space="preserve">Barniz sintético interior-exterior resistente a agentes atmosféricos BRISA de ISAVAL; acabado satinado (750 ml/envase).   Ref. pp-s/c-05-L</t>
  </si>
  <si>
    <t xml:space="preserve">Barniz interior-exterior sintético (sin poliuretano) de gran resistencia a los agentes atmosféricos. Protección ultravioleta. Destaca por su elevada flexibilidad. Rendimiento: 10 a 14 m2/litro.
USOS: Interior-exterior. Madera. Ideal para la decoración y protección de todo tipo de soportes de madera tales como suelos, puertas, muebles, barandillas, marcos, etc.   Ref. pp-s/c-05-L
Fondear con XANOL TAPAPOROS o BRISA BARNIZ Interior-Exterior diluido (Dilución: Disolvente para sintéticos (D-90). Aplicación: brocha 0-5%, rodillo 0-5% con D10, pistola 0-10%).</t>
  </si>
  <si>
    <t xml:space="preserve">ma-pp-s/c-06-G</t>
  </si>
  <si>
    <t xml:space="preserve">Material</t>
  </si>
  <si>
    <t xml:space="preserve">envase</t>
  </si>
  <si>
    <t xml:space="preserve">Barniz exterior sintético POLIURETANO TITÁN YATE; acabado brillante (4 litrosl/envase).   Ref. pp-s/c-06-G</t>
  </si>
  <si>
    <t xml:space="preserve">Barniz exterior sintético con poliuretano YATE PU de ISAVAL; acabado brillante (4 litrosl/envase).   Ref. pp-s/c-06-G</t>
  </si>
  <si>
    <t xml:space="preserve">ma-pp-s/c-06-L</t>
  </si>
  <si>
    <t xml:space="preserve">Material</t>
  </si>
  <si>
    <t xml:space="preserve">envase</t>
  </si>
  <si>
    <t xml:space="preserve">Barniz exterior sintético POLIURETANO TITÁN YATE; acabado brillante (750 ml/envase).   Ref. pp-s/c-06-L</t>
  </si>
  <si>
    <t xml:space="preserve">Barniz exterior sintético con poliuretano YATE PU de ISAVAL; acabado brillante (750 ml/envase).   Ref. pp-s/c-06-L</t>
  </si>
  <si>
    <t xml:space="preserve">ma-pp-s/c-08</t>
  </si>
  <si>
    <t xml:space="preserve">Material</t>
  </si>
  <si>
    <t xml:space="preserve">kit</t>
  </si>
  <si>
    <t xml:space="preserve">Esmalte alifático 2kR + catalizador de ISAVAL (4 litros/envase + catalizador 0,80 litros).   Ref. pp-s/c-08</t>
  </si>
  <si>
    <t xml:space="preserve">Esmalte poliuretano acrílico curado con isocianato alifático de elevada dureza y muy buena adherencia sobre gran variedad de superficies metálicas o no metálicas. Rendimiento: 10 a 13 m2/litro (40 a 50 micras secas).   Ref. pp-s/c-08
PROPIEDADES
• No amarillea.
• Excelente retención de color y brillo.
• Resistente a los nocivos efectos de la intemperie.
• Indicado para ambientes agresivos como son las zonas industriales y marinas.
• Alta opacidad y nivelación.
• Buena adherencia sobre soportes difíciles.
• Después de seco al tacto, horneando 20-30 minutos a 70-80º C se consigue un curado instantáneo.
• Aplicación en interior y exterior.
USOS: Pensado especialmente para el pintado de gran variedad de sustratos tanto metálicos (hierro, acero, galvanizado, latón, aluminio, etc.) como no metálicos (madera, hormigón, yeso, etc.) cuando se requiera un acabado de calidad y resistencia.</t>
  </si>
  <si>
    <t xml:space="preserve">ma-pp-titanlux.ecologico.sat-2.5</t>
  </si>
  <si>
    <t xml:space="preserve">Material</t>
  </si>
  <si>
    <t xml:space="preserve">envase</t>
  </si>
  <si>
    <t xml:space="preserve">Esmalte ecológico al agua de TITANLUX; color 549 Gris Medio (2,5 litros/envase).   Ref. pp-titanlux.ecologico.sat-2.5</t>
  </si>
  <si>
    <t xml:space="preserve">Esmalte multisuperficies al agua de máxima calidad y uso universal. Decora y protege con una sola capa. Con conservante antimoho. Blanco inalterable, no amarillea y conserva los colores y el brillo. Respetuoso con las personas y el medio ambiente. Rendimiento: 10 a 14 m2/litro.   Ref. pp-titanlux.ecologico.sat-2.5.
Fácil de aplicar, sin olor, secado-repintado muy rápidos con acabados profesionales, lo que permite puestas en servicio a las pocas horas de pintado. Gran resistencia a productos de limpieza domésticos, manchas (café, vino, salsas, aceite...), roces, golpes y a la intemperie. No deja marcas de pincel. 0% disolventes alifáticos y aromáticos, 0% metil etil cetoxima y 0% metales pesados. Nueva tecnología que garantiza las prestaciones premium de resistencia, dureza, durabilidad, flexibilidad y lavabilidad del producto.</t>
  </si>
  <si>
    <t xml:space="preserve">ma-prolisur-C8196-B</t>
  </si>
  <si>
    <t xml:space="preserve">Material</t>
  </si>
  <si>
    <t xml:space="preserve">bidón</t>
  </si>
  <si>
    <t xml:space="preserve">Pintura anticarbonatación para morteros y hormigones BETOPAINT de PROPAMSA (20 kg/bidón).   Ref. prolisur-C8196-B</t>
  </si>
  <si>
    <t xml:space="preserve">BETOPAINT es un revestimiento para la protección de hormigones y morteros frente a la carbonatación, desarrollado en base copolímeros acrílicos en dispersión acuosa, de un solo componente, impermeable, con acabado decorativo y resistente a los agentes atmosféricos. Cumple con los requerimientos de la norma EN 1504-2.   Ref. prolisur-C8196-G.
CAMPOS DE APLICACIÓN:
• Impermeabilización de todo tipo de cubiertas y terrazas.
• Tratamiento e impermeabilización de encuentros en chimeneas, petos, etc.
• Tratamiento e impermeabilización de juntas en fachadas y cubiertas.
• Protección y reparación sobre tejas, cubiertas de fibrocemento o canalones.
• Protección de aislamientos térmicos de espuma de poliuretano proyectado frente a la radiación ultravioleta.
CONSUMO: Para la impermeabilización de terrazas y cubiertas se aplicarán como mínimo 2 capas (aparte de la imprimación) con un consumo mínimo total de 2 kg/m2. En el caso de impermeabilización de fachadas o paramentos verticales, se deben aplicar como mínimo 1 Kg/m2. Disponible en blanco, gris, verde, rubí y rojo teja.</t>
  </si>
  <si>
    <t xml:space="preserve">ma-prolisur-C8196-G</t>
  </si>
  <si>
    <t xml:space="preserve">Material</t>
  </si>
  <si>
    <t xml:space="preserve">envase</t>
  </si>
  <si>
    <t xml:space="preserve">Pintura anticarbonatación para morteros y hormigones BETOPAINT de PROPAMSA (5 kg/envase).   Ref. prolisur-C8196-G</t>
  </si>
  <si>
    <t xml:space="preserve">BETOPAINT es un revestimiento para la protección de hormigones y morteros frente a la carbonatación, desarrollado en base copolímeros acrílicos en dispersión acuosa, de un solo componente, impermeable, con acabado decorativo y resistente a los agentes atmosféricos. Cumple con los requerimientos de la norma EN 1504-2.   Ref. prolisur-C8196-G.
CAMPOS DE APLICACIÓN:
• Impermeabilización de todo tipo de cubiertas y terrazas.
• Tratamiento e impermeabilización de encuentros en chimeneas, petos, etc.
• Tratamiento e impermeabilización de juntas en fachadas y cubiertas.
• Protección y reparación sobre tejas, cubiertas de fibrocemento o canalones.
• Protección de aislamientos térmicos de espuma de poliuretano proyectado frente a la radiación ultravioleta.
CONSUMO: Para la impermeabilización de terrazas y cubiertas se aplicarán como mínimo 2 capas (aparte de la imprimación) con un consumo mínimo total de 2 kg/m2. En el caso de impermeabilización de fachadas o paramentos verticales, se deben aplicar como mínimo 1 Kg/m2. Disponible en blanco, gris, verde, rubí y rojo teja.</t>
  </si>
  <si>
    <t xml:space="preserve">ma-ralpe-SKU1005</t>
  </si>
  <si>
    <t xml:space="preserve">Material</t>
  </si>
  <si>
    <t xml:space="preserve">envase</t>
  </si>
  <si>
    <t xml:space="preserve">Pintura acrílica exterior con polímeros de polisiloxano modificados HIDROCALPE de RALPE (4 litros/envase).   Ref. ralpe-SKU1005</t>
  </si>
  <si>
    <t xml:space="preserve">Revestimiento exterior formulado con copolímeros acrílicos aditivados con polímeros de polisiloxano modificados con resinas de silicona, de gran resistencia a la intemperie y al salitre e incorporando agentes altamente resistentes a la formación de moho y algas. Rendimiento Teórico: 5 a 9 m2/litro por mano.   Ref. ralpe-SKU1005.
USOS / AMBITO DE ACTUACIÓN: Fachadas; Patios de luz; Pintado de obra nueva o rehabilitación; Paredes y techos tanto interior como exterior.
CARACTERÍSTICAS / VENTAJAS: Buena Cubrición; Excelente transpirabilidad; Impermeable al agua de lluvia; Alta durabilidad; Fácil Aplicación; No marca recortes ni empalmes; Certificado respecto a la reacción al fuego; Marcado CE; • Resistente a la alcalinidad de los materiales habituales en la construcción</t>
  </si>
  <si>
    <t xml:space="preserve">ma-ralpe-SKU1065</t>
  </si>
  <si>
    <t xml:space="preserve">Material</t>
  </si>
  <si>
    <t xml:space="preserve">envase</t>
  </si>
  <si>
    <t xml:space="preserve">Imprimante incoloro a base de copolímeros acrílicos (4 litros/envase).   Ref. ralpe-SKU1065</t>
  </si>
  <si>
    <t xml:space="preserve">Imprimante incoloro a base de copolímeros acrílicos especiales con alto poder de penetración para fijar y endurecer superficies en mal estado. Rendimiento Teórico: 10 a 20 m2/litro por mano.   Ref. ralpe-SKU1065.
Usos: Endurecer soportes viejos de cemento, mortero, hormigón. Regular la absorción en soportes muy porosos. Fijar soportes pulverulentos. Aplicable tanto en interior como exterior. Características: Partícula extrafina para aumentar la penetración, permeable al vapor de agua, permitiendo así la transpiración de edificio. Regulación de la absorción en paredes viejas o en mal estado, controlando el consumo y absorción de la pintura aplicada como acabado.</t>
  </si>
  <si>
    <t xml:space="preserve">ma-reyplast-D0601-0047.007</t>
  </si>
  <si>
    <t xml:space="preserve">Material</t>
  </si>
  <si>
    <t xml:space="preserve">envase</t>
  </si>
  <si>
    <t xml:space="preserve">Esmalte sintético alquídico DIRECTO AL METAL LISO SATINADO de VALENTINE D0601 (4 litros/envase).   Ref. reyplast-D0601-0047.007</t>
  </si>
  <si>
    <t xml:space="preserve">Esmalte sintético alquídico liso y acabado satinado de gran protección anticorrosiva. No hace falta realizar una imprimación antes de aplicar este esmalte y esta se realiza muy fácilmente. Sobre el hierro limpio u oxidado. Se puede utilizar tanto para superficies interiores y exteriores, de gran adherencia y dureza. Aplicable con rodillo, brocha y pistola. Rendimiento: 8 a 10 m2/litro/capa.   Ref. reyplast-D0601-0047.007.</t>
  </si>
  <si>
    <t xml:space="preserve">ma-reyplast-D0602-0048.001</t>
  </si>
  <si>
    <t xml:space="preserve">Material</t>
  </si>
  <si>
    <t xml:space="preserve">envase</t>
  </si>
  <si>
    <t xml:space="preserve">Esmalte sintético alquídico con textura tipo gel y efecto de hierro forjado DIRECTO AL METAL FORJA de VALENTINE D0602 (4 litros/envase).   Ref. reyplast-D0602-0048.001</t>
  </si>
  <si>
    <t xml:space="preserve">Esmalte sintético alquídico con textura tipo gel y efecto de hierro forjado. Gran protección anticorrosiva. Se aplica muy fácilmente y no es necesaria realizar una imprimación antes de aplicarlo. Sobre hierro limpio u oxidado. Gran adherencia y dureza. Es posible aplicarlo tanto para superficies interiores como exteriores. Aplicable con rodillo, brocha y pistola. Rendimiento: 6 a 8 m2/litro/capa.   Ref. reyplast-D0602-0048.001.</t>
  </si>
  <si>
    <t xml:space="preserve">ma-s.lucia-sikagard.670.w.elast</t>
  </si>
  <si>
    <t xml:space="preserve">Material</t>
  </si>
  <si>
    <t xml:space="preserve">bidón</t>
  </si>
  <si>
    <t xml:space="preserve">Revestimiento de protección para hormigón frente a agentes agresivos (carbonatación, humedad o cloruros) SIKAGARD-670 W ELASTOCOLOR (20 litros/bidón).   Ref. s.lucia-sikagard.670.w.elast</t>
  </si>
  <si>
    <t xml:space="preserve">SIKAGARD-670 W ELASTOCOLOR es una pintura de protección frente a la carbonatación, la humedad o los cloruros, a base de resinas acrílicas en dispersión acuosa, que produce una superficie de acabado mate.   Ref. s.lucia-sikagard.670.w.elastr
CARACTERÍSTICAS: Elevada resistencia a la difusión del CO2 (reduciendo la velocidad de carbonatación); Permeable al vapor de agua (permitiendo la transpiración del soporte); Excelente resistencia a la intemperie y al envejecimiento; Puenteo de fisuras. Consumo: 0,175 – 0,225 kg/m2 (Espesores de Capa: Mín. 60 micras; Máx. 120 micras). Condiciones Normales de Aplicación: 2 manos de producto sin imprimación (soportes muy absorbentes: Imprimación SIKAGARD-670 W ELASTOCOLOR diluido en un 5% de agua).</t>
  </si>
  <si>
    <t xml:space="preserve">ma-servicolor-690510-MG</t>
  </si>
  <si>
    <t xml:space="preserve">Material</t>
  </si>
  <si>
    <t xml:space="preserve">envase</t>
  </si>
  <si>
    <t xml:space="preserve">Fondo poliuretánico monocomponente en base acuosa XANOL TAPAPOROS de ISAVAL; acabado satinado (2,5 litros/envase).   Ref. servicolor-690510-MG</t>
  </si>
  <si>
    <t xml:space="preserve">Fondo de poliuretano monocomponente en base acuosa de rápido secado y fácil lijado. Contribuye a las certificaciones LEED y BREEAM. Apto para la preparación de todo tipo de superficies de madera, incluido suelos. Rendimiento: 10 a 12 m2/litro.   Ref. servicolor-690510-MG</t>
  </si>
  <si>
    <t xml:space="preserve">ma-servicolor-700108-G</t>
  </si>
  <si>
    <t xml:space="preserve">Material</t>
  </si>
  <si>
    <t xml:space="preserve">envase</t>
  </si>
  <si>
    <t xml:space="preserve">Imprimante acrílico en solución fijador al disolvente FIXACRIL de ISAVAL (4 litros/envase).   Ref. servicolor-700108-G</t>
  </si>
  <si>
    <t xml:space="preserve">Imprimación acrílica en solución muy penetrante destinada a la consolidación y sellado de superficies porosas o en muy mal estado y con problemas de caleo.   Ref. servicolor-700108-G
Especialmente indicado para la fijación y sellado de fondos en mal estado y superficies porosas. Altamente recomendable su utilización junto con nuestros productos para fachadas.
Cabe destacar su empleo como MEMBRANA DE CURADO DE HORMIGÓN; esto es posible debido a una de sus propiedades fundamentales (evitar la salida rápida del agua de fraguado, asegurando la hidratación máxima del óxido de calcio (CaO) en su pase a hidróxido cálcico Ca (OH)2 con esta salida lenta del agua sobrante, por difusión, a través de la microporosidad de la resina se logra disminuir el tamaño de los poros capilares, con la consecuente mejora de la calidad de hormigón).
RENDIMIENTO: Es muy variable dependiendo del tipo de sustrato y del estado de conservación en que se encuentre (Hormigón: 15 - 20 m2/l; Morteros: 10 - 15 m2/l; Fibrocemento: 10 - 15 m2/l; Yeso - escayola: 5 - 15 m2/l; Superficies pintadas: 15 - 20 m2/l.</t>
  </si>
  <si>
    <t xml:space="preserve">ma-servicolor-801318</t>
  </si>
  <si>
    <t xml:space="preserve">Material</t>
  </si>
  <si>
    <t xml:space="preserve">pza</t>
  </si>
  <si>
    <t xml:space="preserve">Esmalte alifático 2kR + catalizador de ISAVAL; color blanco con acabado satinado (4 litros/envase).   Ref. servicolor-801318</t>
  </si>
  <si>
    <t xml:space="preserve">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 Rendimiento: 10 a 13 m2/litro, para aplicación de 40-50 micras secas.   Ref. servicolor-801318.</t>
  </si>
  <si>
    <t xml:space="preserve">ma-servicolor-801319</t>
  </si>
  <si>
    <t xml:space="preserve">Material</t>
  </si>
  <si>
    <t xml:space="preserve">pza</t>
  </si>
  <si>
    <t xml:space="preserve">Esmalte alifático 2kR + catalizador de ISAVAL; color blanco con acabado mate (4 litros/envase).   Ref. servicolor-801319</t>
  </si>
  <si>
    <t xml:space="preserve">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 Rendimiento: 10 a 13 m2/litro, para aplicación de 40-50 micras secas.   Ref. servicolor-801319.</t>
  </si>
  <si>
    <t xml:space="preserve">ma-servicolor-801722</t>
  </si>
  <si>
    <t xml:space="preserve">Material</t>
  </si>
  <si>
    <t xml:space="preserve">envase</t>
  </si>
  <si>
    <t xml:space="preserve">Esmalte alifático 2kR + catalizador de ISAVAL; color blanco con acabado brillante (4 litros/envase).   Ref. servicolor-801722</t>
  </si>
  <si>
    <t xml:space="preserve">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 Rendimiento: 10 a 13 m2/litro, para aplicación de 40-50 micras secas.   Ref. servicolor-801722.</t>
  </si>
  <si>
    <t xml:space="preserve">ma-teais-214688213</t>
  </si>
  <si>
    <t xml:space="preserve">Material</t>
  </si>
  <si>
    <t xml:space="preserve">envase</t>
  </si>
  <si>
    <t xml:space="preserve">Pintura EXTRACALÓRICA SUPER de TEAIS (0,75 litros/envase).   Ref. teais-214688213</t>
  </si>
  <si>
    <t xml:space="preserve">Pintura a base de resinas de silicona con pigmentos de aluminio metálicos ó negro cerámico, de gran resistencia al calor sin mermar sus cualidades inherentes. Rendimiento: 5 m2/litro.   Ref. teais-214688213.
En la industria de fundición de metales, siderúrgicas, acerías, etc. donde las superficies metálicas están sometidas a temperaturas de hasta 600ºC y esporádicamente 650ºC. En tuberías ó maquinarias sometidas a dichas temperaturas. Tiene buena adherencia sobre metales limpios, únicamente es necesario un chorreo cuando la superficie presenta oxidación. No obstante, la superficie siempre debe estar limpia, libre de polvo, grasas, aceites y otros agentes contaminantes.</t>
  </si>
  <si>
    <t xml:space="preserve">PINTURAS.Y.CONEXOS</t>
  </si>
  <si>
    <t xml:space="preserve">TABIQUES.Y.FALSOS.TECHOS</t>
  </si>
  <si>
    <t xml:space="preserve">Capítulo</t>
  </si>
  <si>
    <t xml:space="preserve">MATERIALES PARA TECHOS FALSOS Y TABIQUES TIPO PLADUR</t>
  </si>
  <si>
    <t xml:space="preserve">ma-bauhaus-26159528</t>
  </si>
  <si>
    <t xml:space="preserve">Material</t>
  </si>
  <si>
    <t xml:space="preserve">placa</t>
  </si>
  <si>
    <t xml:space="preserve">Placa para techo registrable de yeso laminado revestida con una lámina de policloruro de vinilo blanco (1200x600 mm/placa).   Ref. bauhaus-26159528</t>
  </si>
  <si>
    <t xml:space="preserve">La placa para techo con vinilo de THU es una placa de yeso laminado tipo BV, revestida con una lámina de policloruro de vinilo color blanco que le otorga cualidades especiales de impermeabilidad y limpieza. Incluye una lámina impermeable color aluminio en su cara posterior que actúa como barrera de vapor y evita la aparición de condensaciones que pudieran afectar a la placa. Las placas de vinilo se montan apoyadas sobre una estructura en forma de cuadrícula en módulos de 600x600 mm y de 1200x600 mm.   Ref. bauhaus-26159528.
Es muy práctica por las características que ofrece en cuanto a rápido montaje, fácil limpieza y agradable estética que brinda el vinilo, el cual a su vez aporta impermeabilidad, limpieza y alta luminosidad. Su aplicación es ideal para aquellos lugares donde se requiera un alto nivel de higiene (cocinas industriales, talleres, gimnasios, baños, guarderías, colegios) ya que permite ser desmontado y acceder al falso techo.</t>
  </si>
  <si>
    <t xml:space="preserve">ma-diaterm-yeso.cortafuego.25mm</t>
  </si>
  <si>
    <t xml:space="preserve">Material</t>
  </si>
  <si>
    <t xml:space="preserve">placa</t>
  </si>
  <si>
    <t xml:space="preserve">Placa cortafuego DF de yeso laminado 25 mm K711F.es de KNAUF (1,2x2 m/placa).   Ref. diaterm-yeso.cortafuego-25mm</t>
  </si>
  <si>
    <t xml:space="preserve">Placa ignífuga de Yeso Laminado KNAUF especialmente diseñada para garantizar una resistencia total frente al fuego. Gracias a sus aditivos, la placa Cortafuegos KNAUF es un standard en las soluciones de protección pasiva contra incendios. Borde afinado.   Ref. diaterm-yeso.cortafuego-25mm.</t>
  </si>
  <si>
    <t xml:space="preserve">ma-lp-00539301</t>
  </si>
  <si>
    <t xml:space="preserve">Material</t>
  </si>
  <si>
    <t xml:space="preserve">placa</t>
  </si>
  <si>
    <t xml:space="preserve">Placa PLADUR N BA aplicaciones estándar (13x1200x2600 mm/placa).   Ref. lp-00539301</t>
  </si>
  <si>
    <t xml:space="preserve">Placa de yeso laminado formada por un alma de yeso 100% natural íntimamente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Medidas: 13 x 1200 x 2600 mm. Esta placa tiene sus bordes longitudinales recubiertos de cartón y configurados como Bordes Afinados (BA).   Ref. lp-00539301.</t>
  </si>
  <si>
    <t xml:space="preserve">ma-lp-00001361</t>
  </si>
  <si>
    <t xml:space="preserve">Material</t>
  </si>
  <si>
    <t xml:space="preserve">rollo</t>
  </si>
  <si>
    <t xml:space="preserve">Cinta guardavivos microperforada de papel (30 m/rollo).   Ref. lp-00001361</t>
  </si>
  <si>
    <t xml:space="preserve">La Cinta Guardavivos microperforada es de papel kraft con tratamiento antihumedad. Se usa para proteger las uniones de las placas de yeso laminado con pastas de secado o fraguado, para dar un acabado continuo y liso en las esquinas y cantos. Rollo de 30 m.   Ref. lp-00001361</t>
  </si>
  <si>
    <t xml:space="preserve">ma-lp-00001778</t>
  </si>
  <si>
    <t xml:space="preserve">Material</t>
  </si>
  <si>
    <t xml:space="preserve">perfil</t>
  </si>
  <si>
    <t xml:space="preserve">Perfil angular para instalación de techos registrables Quick Lock 3000 gris (22x22x3000 mm/perfil).   Ref. lp-00001778</t>
  </si>
  <si>
    <t xml:space="preserve">El perfil angular de acero prelacado sirve para la instalación rápida y segura, en un clic, de techos registrables. Escuadra perfecta, conexión enrasada y sin holguras. Color gris. Medidas: 22x22x3000 mm.   Ref. lp-00001778.</t>
  </si>
  <si>
    <t xml:space="preserve">ma-lp-00001779</t>
  </si>
  <si>
    <t xml:space="preserve">Material</t>
  </si>
  <si>
    <t xml:space="preserve">perfil</t>
  </si>
  <si>
    <t xml:space="preserve">Perfil primario para instalación de techos registrables Quick Lock 3600 ALA24 gris (24x38x3600 mm/perfil).   Ref. lp-00001779</t>
  </si>
  <si>
    <t xml:space="preserve">El perfil primario Quick Lock de acero prelacado sirve para la instalación rápida y segura, en un clic, de techos registrables. Escuadra perfecta, conexión enrasada y sin holguras. Color gris. Medidas: 24x38x3600 mm. ALA24. Ref. lp-00001779.</t>
  </si>
  <si>
    <t xml:space="preserve">ma-lp-00001781</t>
  </si>
  <si>
    <t xml:space="preserve">Material</t>
  </si>
  <si>
    <t xml:space="preserve">perfil</t>
  </si>
  <si>
    <t xml:space="preserve">Perfil secundario para instalación de techos registrables Quick Lock 1200 ALA24 gris (24x32x1200 mm/perfil).   Ref. lp-00001781</t>
  </si>
  <si>
    <t xml:space="preserve">El perfil secundario Quick Lock de acero prelacado sirve para la instalación rápida y segura, en un clic, de techos registrables. Escuadra perfecta, conexión enrasada y sin holguras. Color gris. Medidas: 24x38x1200 mm. ALA24. Ref. lp-00001781.</t>
  </si>
  <si>
    <t xml:space="preserve">ma-lp-00001783</t>
  </si>
  <si>
    <t xml:space="preserve">Material</t>
  </si>
  <si>
    <t xml:space="preserve">perfil</t>
  </si>
  <si>
    <t xml:space="preserve">Perfil secundario para instalación de techos registrables Quick Lock 600 ALA24 gris (24x32x600 mm/perfil).   Ref. lp-00001783</t>
  </si>
  <si>
    <t xml:space="preserve">El perfil secundario Quick Lock de acero prelacado sirve para la instalación rápida y segura, en un clic, de techos registrables. Escuadra perfecta, conexión enrasada y sin holguras. Color gris. Medidas: 24x32x600 mm. ALA24. Ref. lp-00001783.</t>
  </si>
  <si>
    <t xml:space="preserve">ma-lp-00002028</t>
  </si>
  <si>
    <t xml:space="preserve">Material</t>
  </si>
  <si>
    <t xml:space="preserve">caja</t>
  </si>
  <si>
    <t xml:space="preserve">Tornillo PLADUR PM 3,5x45 mm (500 pzas/caja).   Ref. lp-00002028</t>
  </si>
  <si>
    <t xml:space="preserve">Tornillos autoperforantes con punta de clavo y cabeza de trompeta para la fijación de placas a los perfiles metálicos (hasta 0,75 mm de espesor) en acero de cementación, fosfatado e aceitado. Dimensiones 3.5 x 45 mm.   Ref. lp-00002028</t>
  </si>
  <si>
    <t xml:space="preserve">ma-lp-00002031</t>
  </si>
  <si>
    <t xml:space="preserve">Material</t>
  </si>
  <si>
    <t xml:space="preserve">caja</t>
  </si>
  <si>
    <t xml:space="preserve">Tornillo PLADUR PM 3,9x55 mm (500 pzas/caja).   Ref. lp-00002031</t>
  </si>
  <si>
    <t xml:space="preserve">Tornillos autoperforantes con punta de clavo y cabeza de trompeta para la fijación de placas a los perfiles metálicos (hasta 0,75 mm de espesor) en acero de cementación, fosfatado e aceitado. Dimensiones 3.9 x 55 mm.   Ref. lp-00002031</t>
  </si>
  <si>
    <t xml:space="preserve">ma-lp-00002032</t>
  </si>
  <si>
    <t xml:space="preserve">Material</t>
  </si>
  <si>
    <t xml:space="preserve">caja</t>
  </si>
  <si>
    <t xml:space="preserve">Tornillo PLADUR PM 4,2x70 mm (250 pzas/caja).   Ref. lp-00002032</t>
  </si>
  <si>
    <t xml:space="preserve">Tornillos autoperforantes con punta de clavo y cabeza de trompeta para la fijación de placas a los perfiles metálicos (hasta 0,75 mm de espesor) en acero de cementación, fosfatado e aceitado. Dimensiones 4.2 x 70 mm.   Ref. lp-00002032</t>
  </si>
  <si>
    <t xml:space="preserve">ma-lp-00106501</t>
  </si>
  <si>
    <t xml:space="preserve">Material</t>
  </si>
  <si>
    <t xml:space="preserve">placa</t>
  </si>
  <si>
    <t xml:space="preserve">Placa para falso techo Celenit AB de MAYDISA (1200x600x25 mm/placa; 8,64 kg/pza).   Ref. lp-00106501</t>
  </si>
  <si>
    <t xml:space="preserve">Celenit AB es un panel acústico de fibras de madera de abeto, aglomerado con cemento Portland blanco. Del resultado de la combinación de la madera y del cemento blanco resulta un producto fonoabsorbente, transpirable, resistente al fuego y altamente decorativo, de tonalidad muy neutra, que encaja en cualquier proyecto de arquitectura, garantizando una óptima protección térmica y acústica. Celenit AB es un producto natural, puede presentar cambios de tonalidad propios de la madera. Usos: falsos techos y revestimientos naturales, fonoabsorbentes, transpirables y resistentes al fuego. Medidas: 120x60 cm y 25 mm de espesor.   Ref. lp-00106501.</t>
  </si>
  <si>
    <t xml:space="preserve">ma-lp-00106507</t>
  </si>
  <si>
    <t xml:space="preserve">Material</t>
  </si>
  <si>
    <t xml:space="preserve">placa</t>
  </si>
  <si>
    <t xml:space="preserve">Placa para falso techo Celenit AB de MAYDISA (600x600x15 mm/placa; 2,5 kg/pza).   Ref. lp-00106507</t>
  </si>
  <si>
    <t xml:space="preserve">Celenit AB es un panel acústico de fibras de madera de abeto, aglomerado con cemento Portland blanco. Del resultado de la combinación de la madera y del cemento blanco resulta un producto fonoabsorbente, transpirable, resistente al fuego y altamente decorativo, de tonalidad muy neutra, que encaja en cualquier proyecto de arquitectura, garantizando una óptima protección térmica y acústica. Celenit AB es un producto natural, puede presentar cambios de tonalidad propios de la madera. Usos: falsos techos y revestimientos naturales, fonoabsorbentes, transpirables y resistentes al fuego. Medidas: 60x60 cm y 15 mm de espesor.   Ref. lp-00106507.</t>
  </si>
  <si>
    <t xml:space="preserve">ma-lp-00117317</t>
  </si>
  <si>
    <t xml:space="preserve">Material</t>
  </si>
  <si>
    <t xml:space="preserve">caja</t>
  </si>
  <si>
    <t xml:space="preserve">Placa para techo registrable de escayola fisurada con canto escalonado E-24 (600x600 mm/placa; 2,16 m2/caja).   Ref. lp-00117317</t>
  </si>
  <si>
    <t xml:space="preserve">El techo registrable de escayola con canto escalonado E-24, modelo Fisurada blanco se utiliza para instalación de techos suspendidos, registrables que se pueden desmontar para acceder al interior del falso techo. Es duradero y funcional. Se aplica en edificios comerciales, colegios, oficinas. Es fácil y rápido de instalar, aséptico y permite repintado posterior. Medidas: 600x600 mm/placa. Espesor: 20 mm.  Ref. lp-00117317.</t>
  </si>
  <si>
    <t xml:space="preserve">ma-lp-00262494</t>
  </si>
  <si>
    <t xml:space="preserve">Material</t>
  </si>
  <si>
    <t xml:space="preserve">bidón</t>
  </si>
  <si>
    <t xml:space="preserve">Pasta de rejuntado PLAKIST CE 78 PERFECT JOINT de SEMIN (25 kg/bidón).   Ref. lp-00262494</t>
  </si>
  <si>
    <t xml:space="preserve">PLAKIST CE 78 PERFECT JOINT es una pasta para juntas lista para su uso especialmente formulada para cubrir las uniones entre placas de escayola y yeso laminado con bordes rebajados, en combinación con una cinta de rejuntado. Se caracteriza por: Resistencia al fuego; Mejores acabados; Facilidad de decoración; Poco peso; Sostenibilidad.   Ref. lp-00262494.</t>
  </si>
  <si>
    <t xml:space="preserve">ma-lp-00262607</t>
  </si>
  <si>
    <t xml:space="preserve">Material</t>
  </si>
  <si>
    <t xml:space="preserve">bote</t>
  </si>
  <si>
    <t xml:space="preserve">Taco golpe 6x37 mm (800 tacos/bote).   Ref. lp-00262607</t>
  </si>
  <si>
    <t xml:space="preserve">ote de 600 tacos de golpe de nylon indicados para ladrillo hueco, ladrillo macizo, prefabricado, piedra y hormigón.   Ref. lp-00262607.</t>
  </si>
  <si>
    <t xml:space="preserve">ma-lp-00262608</t>
  </si>
  <si>
    <t xml:space="preserve">Material</t>
  </si>
  <si>
    <t xml:space="preserve">bote</t>
  </si>
  <si>
    <t xml:space="preserve">Taco golpe 5x27 mm (600 tacos/bote).   Ref. lp-00262608</t>
  </si>
  <si>
    <t xml:space="preserve">Bote de 600 tacos de golpe de nylon indicados para ladrillo hueco, ladrillo macizo, prefabricado, piedra y hormigón.   Ref. lp-00262608.</t>
  </si>
  <si>
    <t xml:space="preserve">ma-lp-00470215</t>
  </si>
  <si>
    <t xml:space="preserve">Material</t>
  </si>
  <si>
    <t xml:space="preserve">bolsa</t>
  </si>
  <si>
    <t xml:space="preserve">Horquilla de cuelgue niveladora TR M4 de SENOR con rotura de puente térmico para falsos techos registrables (20 pzas/bolsa).   Ref. lp-00470215</t>
  </si>
  <si>
    <t xml:space="preserve">Horquilla niveladora con rotura de puente térmico para cogidas de perfiles T16, T24 y T35 especialmente de falsos techos. Gracias al casquillo del que viene provisto facilita la tarea de nivelar a través de la varilla, además aporta un aislamiento térmico e impide el paso de humedades o corriente eléctrica. Gracias a la horquilla metálica permite un perfecto y rápido acoplamiento al perfil con lo facilitará el trabajo además de ahorrar tiempo. Métrica: M4. Bolsa de 20 unidades.   Ref. lp-00470215.</t>
  </si>
  <si>
    <t xml:space="preserve">ma-lp-00515513</t>
  </si>
  <si>
    <t xml:space="preserve">Material</t>
  </si>
  <si>
    <t xml:space="preserve">caja</t>
  </si>
  <si>
    <t xml:space="preserve">Placa de fibra mineral para techo registrable Armstrong Sahara Board; color blanco (600x600x15 mm/placa; 5,76 m2/caja).   Ref. lp-00515513</t>
  </si>
  <si>
    <t xml:space="preserve">Techo de fibra mineral modelo Sahara Board con acabado granulado. Suspensión tipo board, canto recto, sobre perfil T24. Medidas: 600x600x15 mm/placa).   Ref. lp-00515513.</t>
  </si>
  <si>
    <t xml:space="preserve">ma-lp-00515520</t>
  </si>
  <si>
    <t xml:space="preserve">Material</t>
  </si>
  <si>
    <t xml:space="preserve">caja</t>
  </si>
  <si>
    <t xml:space="preserve">Placa de fibra mineral para techo registrable Armstrong Tatra Fission Board; color blanco (600x600x15 mm/placa; 5,76 m2/caja).   Ref. lp-00515520</t>
  </si>
  <si>
    <t xml:space="preserve">Techo de fibra mineral modelo Tatra Board con acabado fisurado. Suspensión tipo board, canto recto, sobre perfil T24. Color blanco. Medidas: 600x600x15 mm.   Ref. lp-00515520.</t>
  </si>
  <si>
    <t xml:space="preserve">ma-lp-00533869</t>
  </si>
  <si>
    <t xml:space="preserve">Material</t>
  </si>
  <si>
    <t xml:space="preserve">caja</t>
  </si>
  <si>
    <t xml:space="preserve">Tornillo PLADUR PM 3,5x25 mm (1000 pzas/caja).   Ref. lp-00533869</t>
  </si>
  <si>
    <t xml:space="preserve">El tornillo placa-metal (tornillo autoperforante con cabeza de trompeta punta de clavo) es de acero fosfatado y permite la fijación de las placas de yeso en el armazón, simplemente atornillando. Medidas: 3,5x25mm. Caja de 1000 unidades.   Ref. lp-00533869.</t>
  </si>
  <si>
    <t xml:space="preserve">ma-lp-00539103</t>
  </si>
  <si>
    <t xml:space="preserve">Material</t>
  </si>
  <si>
    <t xml:space="preserve">caja</t>
  </si>
  <si>
    <t xml:space="preserve">Horquilla de cuelgue perfil PLADUR TC60 M6 (50 pzas/caja).   Ref. lp-00539103</t>
  </si>
  <si>
    <t xml:space="preserve">Horquilla de cuelgue perfil TC60 M6 para la instalación de techos suspendidos. Es de chapa de acero galvanizado. Caja 50 ud.   Ref. lp-00539103.</t>
  </si>
  <si>
    <t xml:space="preserve">ma-lp-00539104</t>
  </si>
  <si>
    <t xml:space="preserve">Material</t>
  </si>
  <si>
    <t xml:space="preserve">caja</t>
  </si>
  <si>
    <t xml:space="preserve">Horquilla de cuelgue perfil PLADUR TC47 M6 (100 pzas/caja).   Ref. lp-00539104</t>
  </si>
  <si>
    <t xml:space="preserve">Horquilla de cuelgue perfil TC47 M6 para la instalación de techos suspendidos. Es de chapa de acero galvanizado. Caja 100 ud.   Ref. lp-00539104.</t>
  </si>
  <si>
    <t xml:space="preserve">ma-lp-00539298</t>
  </si>
  <si>
    <t xml:space="preserve">Material</t>
  </si>
  <si>
    <t xml:space="preserve">placa</t>
  </si>
  <si>
    <t xml:space="preserve">Placa PLADUR N terminación normal (12x1200x3000 mm).   Ref. lp-00539298</t>
  </si>
  <si>
    <t xml:space="preserve">Placa PLADUR de yeso laminado formada por un alma de yeso 100% natural íntimamente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Medidas: 13 x 1200 x 2000 mm. Esta placa tiene sus bordes longitudinales recubiertos de cartón y configurados como Bordes Afinados (BA).   Ref. lp-00539298</t>
  </si>
  <si>
    <t xml:space="preserve">ma-lp-00539310</t>
  </si>
  <si>
    <t xml:space="preserve">Material</t>
  </si>
  <si>
    <t xml:space="preserve">placa</t>
  </si>
  <si>
    <t xml:space="preserve">Placa PLADUR N BA aplicaciones estándar (15x1200x2600 mm/placa).   Ref. lp-00539310</t>
  </si>
  <si>
    <t xml:space="preserve">Placa de yeso laminado formada por un alma de yeso 100% natural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Medidas: 15 x 1200 x 2600 mm. Esta placa tiene sus bordes longitudinales recubiertos de cartón y configurados como Bordes Afinados (BA).   Ref. 00539310.</t>
  </si>
  <si>
    <t xml:space="preserve">ma-lp-00539311</t>
  </si>
  <si>
    <t xml:space="preserve">Material</t>
  </si>
  <si>
    <t xml:space="preserve">placa</t>
  </si>
  <si>
    <t xml:space="preserve">Placa PLADUR N BA aplicaciones estándar (15x1200x2500 mm/placa).   Ref. lp-00539311</t>
  </si>
  <si>
    <t xml:space="preserve">Placa de yeso laminado formada por un alma de yeso 100% natural íntimamente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Se caracteriza por tener un espesor nominal de 15 mm, por poseer un ancho nominal de 1200 mm y una longitud nominal de 2500 mm. Esta placa tiene sus bordes longitudinales recubiertos de cartón y configurados como Bordes Afinados (BA).   Ref. lp-00539311.</t>
  </si>
  <si>
    <t xml:space="preserve">ma-lp-00539322</t>
  </si>
  <si>
    <t xml:space="preserve">Material</t>
  </si>
  <si>
    <t xml:space="preserve">placa</t>
  </si>
  <si>
    <t xml:space="preserve">Placa PLADUR H1 zonas húmedas (12x1200x3000 mm/placa).   Ref. lp-00539322</t>
  </si>
  <si>
    <t xml:space="preserve">Placa de yeso laminado formada por un alma de yeso 100% natural íntimamente ligada a dos láminas de celulosa. Esta placa, por sus características, está catalogada como tipo H1 según la norma EN-520:2004 +A1 2009. Este tipo de placas llevan aditivos para reducir la capacidad de absorción de agua. Pueden ser adecuadas para aplicaciones especiales en las que se requieran propiedades de absorción reducidas para mejorar las prestaciones de la placa. Se identifica por su color frontal verde. Medidas: 13 x 1200 x 3000 mm. Esta placa tiene sus bordes longitudinales recubiertos de cartón y configurados como Bordes Afinados (BA).   Ref. lp-00539322</t>
  </si>
  <si>
    <t xml:space="preserve">ma-lp-00539365.</t>
  </si>
  <si>
    <t xml:space="preserve">Material</t>
  </si>
  <si>
    <t xml:space="preserve">placa</t>
  </si>
  <si>
    <t xml:space="preserve">Placa PLADUR Omnia BA alta resistencia (15x1200x2500 mm/placa).   Ref. lp-00539365.</t>
  </si>
  <si>
    <t xml:space="preserve">Placa de yeso laminado formada por un alma de yeso 100% natural íntimamente ligada a dos láminas de celulosa. Esta placa, por sus características, está catalogada como tipo I, D, F, R, H1 según la norma EN-520:2004 +A1 2009. Este tipo de placas llevan aditivos para reducir la capacidad de absorción de agua. Se utiliza en aplicaciones en las que se requiere una mayor dureza superficial, una resistencia más elevada a cargas de rotura, y mejor comportamiento al fuego gracias la incorporación de fibras minerales y/u otros aditivos en el alma de yeso para mejorar su cohesión a temperaturas. Su especial formulación y alta densidad le proporcionan una mayor resistencia a impactos, resistencia al fuego, un mayor aislamiento frente al ruido aéreo y un buen comportamiento frente a la humedad en locales húmedos. Medidas: 15 x 1200 x 2500 mm. Esta placa tiene sus bordes longitudinales recubiertos de cartón y configurados como Bordes Afinados (BA).   Ref. lp-00539365.</t>
  </si>
  <si>
    <t xml:space="preserve">ma-lp-00539587</t>
  </si>
  <si>
    <t xml:space="preserve">Material</t>
  </si>
  <si>
    <t xml:space="preserve">perfil</t>
  </si>
  <si>
    <t xml:space="preserve">Perfil PLADUR en C galvanizado Z140 (48x35x3000 mm/perfil).   Ref. lp-00539587</t>
  </si>
  <si>
    <t xml:space="preserve">Perfil PLADUR para sistemas de placa de yeso, en forma de C, utilizado como elemento portante en trasdosados, tabiques y techos. El alma presenta perforaciones rebordeadas que facilitan el paso de las instalaciones. Dimensiones nominales 48 x 35 mm. Están fabricados con chapa de acero de espesor 0.62 mm y galvanizado Z140. El alma del perfil se encuentra estampada con la P de PLADUR, facilitando el control y reconocimiento en obra. De fábrica están embalados por paquetes de 10 ud y en un palet van 480 ud. Se vende por unidad.   Ref. lp-00539587</t>
  </si>
  <si>
    <t xml:space="preserve">ma-lp-00539590</t>
  </si>
  <si>
    <t xml:space="preserve">Material</t>
  </si>
  <si>
    <t xml:space="preserve">perfil</t>
  </si>
  <si>
    <t xml:space="preserve">Perfil PLADUR en C galvanizado Z140 (48x35x2600 mm/perfil).   Ref. lp-00539590</t>
  </si>
  <si>
    <t xml:space="preserve">Perfil PLADUR para sistemas de placa de yeso, en forma de C, utilizado como elemento portante en trasdosados, tabiques y techos. El alma presenta perforaciones rebordeadas que facilitan el paso de las instalaciones. Dimensiones nominales 48 x 35 mm. Están fabricados con chapa de acero de espesor 0.62 mm y galvanizado Z140. El alma del perfil se encuentra estampada con la P de PLADUR, facilitando el control y reconocimiento en obra.   Ref. lp-00539590</t>
  </si>
  <si>
    <t xml:space="preserve">ma-lp-00539605</t>
  </si>
  <si>
    <t xml:space="preserve">Material</t>
  </si>
  <si>
    <t xml:space="preserve">perfil</t>
  </si>
  <si>
    <t xml:space="preserve">Perfil montante PLADUR M 70-35 galvanizado Z140 (70x35x3000 mm/perfil).   Ref. lp-00539605</t>
  </si>
  <si>
    <t xml:space="preserve">Perfil para sistemas de placa de yeso, en forma de C, utilizado como elemento portante en trasdosados, tabiques y techos. El alma presenta perforaciones rebordeadas que facilitan el paso de instalaciones. Dimensiones nominales 70 x 35 mm. Están fabricados con chapa de acero de espesor 0.62 mm y galvanizado Z140. El alma del perfil se encuentra estampada con la P de Pladur, facilitando el control y reconocimiento en obra.   Ref. lp-00539605.</t>
  </si>
  <si>
    <t xml:space="preserve">ma-lp-00539624</t>
  </si>
  <si>
    <t xml:space="preserve">Material</t>
  </si>
  <si>
    <t xml:space="preserve">perfil</t>
  </si>
  <si>
    <t xml:space="preserve">Perfil canal PLADUR C 70-30 galvanizado Z140 (70x30x3000 mm/perfil).   Ref. lp-00539624</t>
  </si>
  <si>
    <t xml:space="preserve">Perfil para sistemas de placa de yeso, en forma de U, utilizado en estructura perimetral de trasdosados, tabiques y techos. Dimensiones nominales 70 x 30 mm. Están fabricados con chapa de acero de espesor 0.55 mm y galvanizado Z140.   Ref. lp-00539624.</t>
  </si>
  <si>
    <t xml:space="preserve">ma-lp-00539636</t>
  </si>
  <si>
    <t xml:space="preserve">Material</t>
  </si>
  <si>
    <t xml:space="preserve">perfil</t>
  </si>
  <si>
    <t xml:space="preserve">Perfil PLADUR en C galvanizado Z140 (45x18,3x3000 mm/perfil).   Ref. lp-00539636</t>
  </si>
  <si>
    <t xml:space="preserve">Perfil para sistemas de placa de yeso, en forma de C, utilizado como estructura de techos y trasdosados autoportantes. Dimensiones: ancho nominal de 45 mm, alas de 18.3 y longitud 3000 mm. Están fabricados con chapa de acero de espesor 0.6 mm y galvanizado Z140.   Ref. lp-00539636</t>
  </si>
  <si>
    <t xml:space="preserve">ma-lp-00539638</t>
  </si>
  <si>
    <t xml:space="preserve">Material</t>
  </si>
  <si>
    <t xml:space="preserve">perfil</t>
  </si>
  <si>
    <t xml:space="preserve">Perfil sierra PLADUR PH-45 galvanizado Z140 (33,5x43,5x3000 mm/perfil).   Ref. lp-00539638</t>
  </si>
  <si>
    <t xml:space="preserve">Perfil para sistemas de placa de yeso, en forma de V invertida con taladros en la parte superior (métricas 6 y 8 mm) alternativos cada 10 cm y zona inferior troquelada con horquillas cada 10 cm donde encajan los perfiles T-45 formando la estructura portante del falso techo. Dimensiones: ancho nominal de 33.5 mm, alto de 43.5 y longitud 3000 mm. Están fabricados con chapa de acero de espesor 0.8 mm y galvanizado Z140.   Ref. lp-00539638.</t>
  </si>
  <si>
    <t xml:space="preserve">ma-lp-00539641</t>
  </si>
  <si>
    <t xml:space="preserve">Material</t>
  </si>
  <si>
    <t xml:space="preserve">caja</t>
  </si>
  <si>
    <t xml:space="preserve">Horquilla de cuelgue PLADUR para perfil T-45 (100 pzas/caja).   Ref. lp-00539641</t>
  </si>
  <si>
    <t xml:space="preserve">Horquilla PLADUR es una pieza pivotante y de encaje diseñada para suspensión del perfil T-45 mediante la varilla roscada en los techos de perfil continuo.   Ref. lp-00539641</t>
  </si>
  <si>
    <t xml:space="preserve">ma-lp-00539642</t>
  </si>
  <si>
    <t xml:space="preserve">Material</t>
  </si>
  <si>
    <t xml:space="preserve">caja</t>
  </si>
  <si>
    <t xml:space="preserve">Pieza de empalme perfil T-45 de PLADUR (100 pzas/caja).   Ref. lp-00539642</t>
  </si>
  <si>
    <t xml:space="preserve">Pieza en forma de U diseñada para unir longitudinalmente los perfiles continuos T-45.   Ref. lp-00539642.</t>
  </si>
  <si>
    <t xml:space="preserve">ma-lp-00539650</t>
  </si>
  <si>
    <t xml:space="preserve">Material</t>
  </si>
  <si>
    <t xml:space="preserve">caja</t>
  </si>
  <si>
    <t xml:space="preserve">Horquilla de cuelgue PLADUR para perfil T-60 (100 pzas/caja).   Ref. lp-00539650</t>
  </si>
  <si>
    <t xml:space="preserve">Horquilla PLADUR es una pieza pivotante y de encaje diseñada para suspensión del perfil T-60 mediante la varilla roscada en los techos de perfil continuo.   Ref. lp-00539650.</t>
  </si>
  <si>
    <t xml:space="preserve">ma-lp-00539651</t>
  </si>
  <si>
    <t xml:space="preserve">Material</t>
  </si>
  <si>
    <t xml:space="preserve">caja</t>
  </si>
  <si>
    <t xml:space="preserve">Pieza de empalme perfil T-60 de PLADUR (100 pzas/caja).   Ref. lp-00539651</t>
  </si>
  <si>
    <t xml:space="preserve">Pieza en forma de U diseñada para unir longitudinalmente los perfiles continuos T-60.   Ref. lp-00539651.</t>
  </si>
  <si>
    <t xml:space="preserve">ma-lp-00539654</t>
  </si>
  <si>
    <t xml:space="preserve">Material</t>
  </si>
  <si>
    <t xml:space="preserve">perfil</t>
  </si>
  <si>
    <t xml:space="preserve">Perfil PLADUR angular L galvanizado Z140 (24x3000 mm/perfil).   Ref. lp-00539654</t>
  </si>
  <si>
    <t xml:space="preserve">Perfil para sistemas de placa de yeso, en forma de L, utilizado en estructura perimetral de techos y trasdosados. Dimensiones: ancho nominal 24 mm, alto 24 mm y longitud 3000 mm. Están fabricados con chapa de acero de espesor 0.6 mm y galvanizado Z140.   Ref. lp-00539654.</t>
  </si>
  <si>
    <t xml:space="preserve">ma-lp-00539656</t>
  </si>
  <si>
    <t xml:space="preserve">Material</t>
  </si>
  <si>
    <t xml:space="preserve">perfil</t>
  </si>
  <si>
    <t xml:space="preserve">Perfil PLADUR CLIP canal en U galvanizado Z140 (20x30x3000 mm/perfil).   Ref. lp-00539656</t>
  </si>
  <si>
    <t xml:space="preserve">Perfil PLADUR para sistemas de placa de yeso, en forma de U con alas desiguales, en cuyo interior encaja a presión el perfil T-45. Forma la estructura perimetral en trasdosados autoportantes y en los techos continuos en los que se usa el perfil T-45. Dimensiones: ancho nominal de 20 mm, alas de 30 mm y longitud 3000 mm. Están fabricados con chapa de acero de espesor 0.55 mm y galvanizado Z140.   Ref. lp-00539656</t>
  </si>
  <si>
    <t xml:space="preserve">ma-lp-00539658</t>
  </si>
  <si>
    <t xml:space="preserve">Material</t>
  </si>
  <si>
    <t xml:space="preserve">perfil</t>
  </si>
  <si>
    <t xml:space="preserve">Perfil PLADUR en U 30 galvanizado Z140 (30x25x3000 mm/perfil).   Ref. lp-00539658</t>
  </si>
  <si>
    <t xml:space="preserve">Perfil para sistemas de placa de yeso, en forma de U, utilizado en estanterías y mobiliario con paneles PLADUR ALVEO o como estructura perimetral en techos. Se caracteriza por tener un ancho nominal de 30 mm, por poseer unas alas de 25 x 3000 mm. Están fabricados con chapa de acero de espesor 0.55 mm y galvanizado Z140.   Ref. lp-00539658.</t>
  </si>
  <si>
    <t xml:space="preserve">ma-lp-00539665</t>
  </si>
  <si>
    <t xml:space="preserve">Material</t>
  </si>
  <si>
    <t xml:space="preserve">saco</t>
  </si>
  <si>
    <t xml:space="preserve">Pasta para juntas PLADUR JN (18 kg/saco).   Ref. lp-00539665</t>
  </si>
  <si>
    <t xml:space="preserve">Pasta PLADUR para placa de yeso laminado. Material en polvo para juntas de aplicación en sistemas de placas de yeso laminado. La pasta resultante endurece mediante secado por contacto con el aire. El tiempo de secado varía en función de las condiciones climatológicas en las que se aplique, pudiendo oscilar entre 12 y 48 horas (a mayor temperatura y menor humedad, los tiempos de secado resultantes serán más cortos). Se presenta en saco de 18 kg.   Ref. lp-00539665
Rendimiento aproximado: Nivel de Acabado Q1: 0,25 kg/m2; Nivel de Acabado Q2: 0,30 kg/m2; Nivel de Acabado Q3: 0,33 kg/m2.</t>
  </si>
  <si>
    <t xml:space="preserve">ma-lp-00539666</t>
  </si>
  <si>
    <t xml:space="preserve">Material</t>
  </si>
  <si>
    <t xml:space="preserve">saco</t>
  </si>
  <si>
    <t xml:space="preserve">Pasta para juntas PLADUR JF (18 kg/saco).   Ref. lp-00539666</t>
  </si>
  <si>
    <t xml:space="preserve">Pasta PLADUR para placa de yeso laminado. Material en polvo para juntas de aplicación en sistemas de placas de yeso laminado. La pasta resultante endurece mediante secado por contacto con el aire. El tiempo de secado varía en función de las condiciones climatológicas en las que se aplique, pudiendo oscilar entre 12 y 48 horas (a mayor temperatura y menor humedad, los tiempos de secado resultantes serán más cortos). Se presenta en saco de 18 kg.   Ref. lp-00539666
Rendimiento aproximado: Nivel de Acabado Q1: 0,09 kg/m2; Nivel de Acabado Q2: 0,15 kg/m2; Nivel de Acabado Q3: 0,19 kg/m2.</t>
  </si>
  <si>
    <t xml:space="preserve">ma-lp-00539675</t>
  </si>
  <si>
    <t xml:space="preserve">Material</t>
  </si>
  <si>
    <t xml:space="preserve">saco</t>
  </si>
  <si>
    <t xml:space="preserve">Pasta agarre PLADUR PA (20 kg/saco).   Ref. lp-00539675</t>
  </si>
  <si>
    <t xml:space="preserve">Pasta para placa de yeso laminado. Material en polvo destinado principalmente a la sujeción de las placas de yeso de los sistemas PLADUR sobre diferentes muros soportes, en la ejecución de trasdosados directos. Está debidamente aditivado para mezclar con agua previamente a su puesta en obra.   Ref. lp-00539675.</t>
  </si>
  <si>
    <t xml:space="preserve">ma-lp-00539685</t>
  </si>
  <si>
    <t xml:space="preserve">Material</t>
  </si>
  <si>
    <t xml:space="preserve">rollo</t>
  </si>
  <si>
    <t xml:space="preserve">Cinta de papel KRAFT microperforado para juntas de placas PLADUR (150 m/rollo).   Ref. lp-00539685</t>
  </si>
  <si>
    <t xml:space="preserve">Cinta de papel de celulosa rugosa con microperforaciones para ser utilizada con la gama de pastas para juntas Pladur en el tratamiento de juntas de los sistemas de placa de yeso laminado.   Ref. lp-00539685.</t>
  </si>
  <si>
    <t xml:space="preserve">TABIQUES.Y.FALSOS.TECHOS</t>
  </si>
  <si>
    <t xml:space="preserve">PRODUCTOS-PU.PP.PE.PS</t>
  </si>
  <si>
    <t xml:space="preserve">Capítulo</t>
  </si>
  <si>
    <t xml:space="preserve">PRODUCTOS PLÁSTICOS: POLIURETANO (PU), POLIPROPILENO (PP), POLIETILENO (PE), POLIESTIRENO (PS</t>
  </si>
  <si>
    <t xml:space="preserve">PRODUCTOS-PU.PP.PE.PS</t>
  </si>
  <si>
    <t xml:space="preserve">PRODUCTOS.QUIMICOS</t>
  </si>
  <si>
    <t xml:space="preserve">Capítulo</t>
  </si>
  <si>
    <t xml:space="preserve">PRODUCTOS QUÍMICOS</t>
  </si>
  <si>
    <t xml:space="preserve">DECAPANTES-QUITAPINTURAS</t>
  </si>
  <si>
    <t xml:space="preserve">Capítulo</t>
  </si>
  <si>
    <t xml:space="preserve">DECAPANTES Y QUITAPINTURAS</t>
  </si>
  <si>
    <t xml:space="preserve">ma-bc-s/c</t>
  </si>
  <si>
    <t xml:space="preserve">Material</t>
  </si>
  <si>
    <t xml:space="preserve">envase</t>
  </si>
  <si>
    <t xml:space="preserve">Decapante biodegradable KEIM-DISPERSIONSENTFERNER (5 kg/envase)   Ref. S/C</t>
  </si>
  <si>
    <t xml:space="preserve">Decapante biodegradable KEIM (DISPERSIONSENTFERNER). Decapante libre de disolventes aromáticos; para eliminar pinturas plásticas y revocos sintéticos. Aplicación: Cepillo, rodillo, pistola. Consumos aproximados: 0,4 kg/m² en pinturas plásticas y 0,9 kg/m² en revocos sintéticos.   Ref. S/C
Enlace:
https://www.atebion.es/index.php?id_product=1173&amp;id_product_attribute=29638&amp;rewrite=keim-decapante-biodegradable-dispersionsentferner&amp;controller=product&amp;id_lang=1#/101-presentacion-25kg</t>
  </si>
  <si>
    <t xml:space="preserve">ma-lm-11471460</t>
  </si>
  <si>
    <t xml:space="preserve">Material</t>
  </si>
  <si>
    <t xml:space="preserve">envase</t>
  </si>
  <si>
    <t xml:space="preserve">Decapante Gel Express especial para Madera V33 (500 ml/envase).   Ref. lm-11471460</t>
  </si>
  <si>
    <t xml:space="preserve">Decapante Gel Express especial para Madera V33 (500 ml/envase). Rendimiento: 3 a 4 m2/litro.   Ref. lm-11471460</t>
  </si>
  <si>
    <t xml:space="preserve">ma-lm-85796322</t>
  </si>
  <si>
    <t xml:space="preserve">Material</t>
  </si>
  <si>
    <t xml:space="preserve">envase</t>
  </si>
  <si>
    <t xml:space="preserve">Decapante gel para tubos de cobre, latón y bronce TOT-FLUX de COLLAK (100 gr/envase).   Ref. lm-85796322</t>
  </si>
  <si>
    <t xml:space="preserve">Decapante gel para tubos y accesorios de cobre, latón y bronce para soldar con aleaciones de estaño. Aplicable en metales envejecidos sin limpieza previa. Contiene cloruro de zinc. Se suministra con pincel aplicador adosado al tapón.   Ref. lm-85796322.</t>
  </si>
  <si>
    <t xml:space="preserve">ma-lp-00107760</t>
  </si>
  <si>
    <t xml:space="preserve">Material</t>
  </si>
  <si>
    <t xml:space="preserve">envase</t>
  </si>
  <si>
    <t xml:space="preserve">Decapante o quitapinturas en gel BARPIMO (4 litros/envase)   Ref. lp-00107760.</t>
  </si>
  <si>
    <t xml:space="preserve">Super decapante de BARPIMO es un producto especial muy eficaz como quitapinturas, adecuado para eliminación de pinturas, barnices, ceras y colas viejas y deterioradas de diferente composición, sin afectar la madera o el metal. Indicado para ablandar y desprender todo tipo de pinturas a eliminar. Fácil de aplicar, de acción rápida, profunda y eficaz. Dada su viscosidad, se puede aplicar incluso en vertical. Ref. lp-00107760.</t>
  </si>
  <si>
    <t xml:space="preserve">ma-lp-00195801</t>
  </si>
  <si>
    <t xml:space="preserve">Material</t>
  </si>
  <si>
    <t xml:space="preserve">envase</t>
  </si>
  <si>
    <t xml:space="preserve">Decapante universal PASO para suelos porosos/no porosos (1 litro/envase)   Ref. lp-00195801</t>
  </si>
  <si>
    <t xml:space="preserve">El decapante universal Paso elimina y decapa suciedad persistente de grasa, cera y acabados anteriores respetando la naturaleza de cada material en pavimentos de interior y exterior. Su fórmula concentrada, penetra en profundidad y limpia el poro desde el interior. Es de acción potente, sin dañar la superficie.Se puede aplicar sobre todos los tipos de suelos, tanto no porosos como porosos, parquets y madera barnizada. Después de aplicar, se recomienda usar algún protector de superficies para conseguir un acabado perfecto. Rendimiento: hasta 25 m2 sin diluir el producto.   Ref. lp-00195801</t>
  </si>
  <si>
    <t xml:space="preserve">ma-pint.valderas-SKU.084900033</t>
  </si>
  <si>
    <t xml:space="preserve">Material</t>
  </si>
  <si>
    <t xml:space="preserve">envase</t>
  </si>
  <si>
    <t xml:space="preserve">Decapante de pinturas en base acuosa gel tixotrópico QUITAPLAST de JAFEP (4 litros/envase).   Ref. pintu.valderas-SKU.084900033</t>
  </si>
  <si>
    <t xml:space="preserve">Gel tixotrópico, decapante de pinturas en base acuosa, eliminador de gotelé, temples plastificados, revestimientos, etc. Consumo (según preguntas y respuestas): 20 a 30 m/envase de 4 litros.   Ref. pint.valderas-SKU.084900033.
El gotelé es una técnica decorativa que consiste en aplicar una capa gruesa y texturizada de pintura con pequeñas gotas similares al agua en la superficie de la pared.</t>
  </si>
  <si>
    <t xml:space="preserve">ma-pp-00600000988J</t>
  </si>
  <si>
    <t xml:space="preserve">Material</t>
  </si>
  <si>
    <t xml:space="preserve">envase</t>
  </si>
  <si>
    <t xml:space="preserve">Decapante o quitapinturas en gel de PLX COATS ECODECAGRAFI (5 litros/envase)   Ref. pp-00600000988J</t>
  </si>
  <si>
    <t xml:space="preserve">Decapante Biodegradable de PLX COATS ECODECAGRAFI para pinturas y grafitis. Ideal para interiores por su bajo olor y exento de solventes. Decapante base agua, no se evapora y mantiene sus propiedades. Al ser biodegradable, se puede limpiar en la calle y limpiar al alcantarillado. No contiene Cloruro de Metileno. Excelente resultado sobre superficies porosas. Rendimiento: 3 a 6 m2/litro.   Ref. pp-00600000988J</t>
  </si>
  <si>
    <t xml:space="preserve">ma-servicolor-848016</t>
  </si>
  <si>
    <t xml:space="preserve">Material</t>
  </si>
  <si>
    <t xml:space="preserve">envase</t>
  </si>
  <si>
    <t xml:space="preserve">Decapante o quitapinturas universal de ISAVAL (4 litros/envase).   Ref. servicolor-848016</t>
  </si>
  <si>
    <t xml:space="preserve">Decapante tipo gel de acción rápida, muy enérgico y eficaz, exento de disolventes clorados, para la eliminación de cualquier tipo de pintura, barniz, adhesivo, cola, etc.; dejando la superficie preparada para la restauración o el repintado. Rendimiento: 3 a 6 m2/litro.   Ref. servicolor-848016.</t>
  </si>
  <si>
    <t xml:space="preserve">DECAPANTES-QUITAPINTURAS</t>
  </si>
  <si>
    <t xml:space="preserve">MASILLAS.Y.SELLADORES</t>
  </si>
  <si>
    <t xml:space="preserve">Capítulo</t>
  </si>
  <si>
    <t xml:space="preserve">MASILLAS Y SELLADORES</t>
  </si>
  <si>
    <t xml:space="preserve">ma-dispival-imprimante.acrilico4</t>
  </si>
  <si>
    <t xml:space="preserve">Material</t>
  </si>
  <si>
    <t xml:space="preserve">envase</t>
  </si>
  <si>
    <t xml:space="preserve">Imprimación fijadora acrílica al agua para consolidar y sellar superficies de REVETÓN (4 litros/envase).   Ref. dispival-imprimante.acrilico4</t>
  </si>
  <si>
    <t xml:space="preserve">Imprimación incolora al agua para consolidar y sellar superficies de obra nueva o deterioradas y repintable con pintura y esmalte al agua. Para el tratamiento de superficies porosas como yeso, mortero, hormigón, ladrillo. Interior/ Exterior. Rendimiento Teórico: 10 a 12 m2/litro/mano.   Ref. dispival-imprimante.acrilico4.</t>
  </si>
  <si>
    <t xml:space="preserve">ma-dispival-masilla.PU</t>
  </si>
  <si>
    <t xml:space="preserve">Material</t>
  </si>
  <si>
    <t xml:space="preserve">cartucho</t>
  </si>
  <si>
    <t xml:space="preserve">Masilla sellante de juntas al poliuretano MASITEX P de REVETÓN; color gris (300 ml/cartucho).   Ref. dispival-masilla.PU</t>
  </si>
  <si>
    <t xml:space="preserve">Masilla a base de poliuretano monocomponente que polimeriza con la humedad ambiente transformándose en un caucho elástico especialmente indicado para juntas de gran movimiento. Ideal para el sellado de juntas de dilatación estructurales, en hormigón, ladrillo, prefabricados de hormigón, canales, depósitos de agua, etc   Ref. dispival-masilla.PU
Posee una buena aplicabilidad siendo repintable con pintura en base agua o disolvente con excelentes resistencias al ozono, rayos ultravioletas, agua y atmósferas corrosivas.
APLICACIÓN Y CONSUMOS: Las juntas a sellar deben de estar secas y exentas de materias extrañas: polvo, grasas, etc. La profundidad del sellado depende de la anchura de la junta. Para anchos superiores a 20 milímetros, la profundidad de sellado será de 10 milímetros. Para anchos inferiores a 20 milímetros, la profundidad será igual o menor al ancho, pero nunca inferior a 6 milímetros.</t>
  </si>
  <si>
    <t xml:space="preserve">ma-lm-322182</t>
  </si>
  <si>
    <t xml:space="preserve">Material</t>
  </si>
  <si>
    <t xml:space="preserve">cartucho</t>
  </si>
  <si>
    <t xml:space="preserve">Masilla de poliuretano SIKAFLEX 11FC de SIKA; color gris (300 cm3/cartucho).   Ref. lm-322182</t>
  </si>
  <si>
    <t xml:space="preserve">Masilla 2 en 1 (selladora de juntas de plástico y adhesivo multiusos) de poliuretano de color marrón con acabado mate, aunque una vez se ha secado la podrás pintar a tu gusto con pinturas elásticas (no resiste alcoholes, ni ácidos orgánicos o concentrados). Para interior y exterior. Consumo por cartucho de 290 ml: +/- 100 puntos (diámetro 30 mm; espesor 4 mm); y +/- 15 m de cordón (diámetro de boquilla 5 mm (aprox. 20 ml por metro lineal)).   Ref. lm-339080.
Se debe aplicar con una pistola de masilla para utilizar como sellador de juntas tanto verticales como horizontales, como amortiguador acústico entre hormigón y perforaciones de tuberías. Adecuado también para el sellado de particiones, sellador de juntas, sellado de construcciones de madera y metal y para conductos de ventilación. Cuenta con una muy buena adherencia a la mayoría de los materiales de construcción y con buena resistencia a la intemperie y absorbe vibraciones e impacto. Garantía de 3 años sobre la estanqueidad, la adherencia y la blancura de la junta.</t>
  </si>
  <si>
    <t xml:space="preserve">ma-lm-339080</t>
  </si>
  <si>
    <t xml:space="preserve">Material</t>
  </si>
  <si>
    <t xml:space="preserve">cartucho</t>
  </si>
  <si>
    <t xml:space="preserve">Masilla de poliuretano SIKAFLEX 11FC de SIKA; color marrón (300 cm3/cartucho).   Ref. lm-339080</t>
  </si>
  <si>
    <t xml:space="preserve">Masilla 2 en 1 (selladora de juntas de plástico y adhesivo multiusos) de poliuretano de color marrón con acabado mate, aunque una vez se ha secado la podrás pintar a tu gusto con pinturas elásticas (no resiste alcoholes, ni ácidos orgánicos o concentrados). Para interior y exterior. Consumo: Ver imágen adjunta.   Ref. lm-339080.
Se debe aplicar con una pistola de masilla para utilizar como sellador de juntas tanto verticales como horizontales, como amortiguador acústico entre hormigón y perforaciones de tuberías. Adecuado también para el sellado de particiones, sellador de juntas, sellado de construcciones de madera y metal y para conductos de ventilación. Cuenta con una muy buena adherencia a la mayoría de los materiales de construcción y con buena resistencia a la intemperie y absorbe vibraciones e impacto. Garantía de 3 años sobre la estanqueidad, la adherencia y la blancura de la junta.</t>
  </si>
  <si>
    <t xml:space="preserve">ma-lm-91795529</t>
  </si>
  <si>
    <t xml:space="preserve">Material</t>
  </si>
  <si>
    <t xml:space="preserve">pack</t>
  </si>
  <si>
    <t xml:space="preserve">Masilla epoxi bicomponente para relleno y sellador multiusos de IDROLESS (128 gr/barrita; 12 barritas/pack).   Ref. lm-91795529</t>
  </si>
  <si>
    <t xml:space="preserve">Barritas ReparaTodo, Masilla Epoxi Bicomponente arregla todo para rellenar y reparar de forma rápida y duradera. La Masilla Epoxi Bicomponente ArreglaTodo de Idroless es un producto que rellena, pega y sella sobre multitud de superficies. Esta masilla arregla todo es una solución rápida y duradera, para todo tipo de reparaciones de emergencia en industrias, talleres, construcción naval, automoción o para uso doméstico. Preparada para aplicarse sobre diversos materiales, incluso sobre superficies húmedas. Esta masilla epoxi es muy fácil de utilizar y permite el rellenado, pegado o sellado en múltiples superficies, solucionando de forma rápida y duradera cualquier emergencia que se pueda tener. Este producto de IDROLESS es ideal para el relleno, pegado y sellado de superficies.   Ref. lm-91795529.</t>
  </si>
  <si>
    <t xml:space="preserve">ma-lp-00114066</t>
  </si>
  <si>
    <t xml:space="preserve">Material</t>
  </si>
  <si>
    <t xml:space="preserve">cartucho</t>
  </si>
  <si>
    <t xml:space="preserve">Silicona SELLACEYS EXPRESS translúcida (280 ml/cartucho).   Ref. lp-00114066</t>
  </si>
  <si>
    <t xml:space="preserve">Silicona de alta calidad que evita filtraciones de agua y humedad y conserva las juntas blancas e impecables durante más tiempo. Gracias a la incorporación de la exclusiva e innovadora tecnología antimoho (de liberación controlada), la silicona se mantiene blanca hasta 5 veces más que en las otras siliconas. Excelente adherencia y resistencia al moho. Se puede utilizar en múltiples materiales: gres, azulejos, mármol, aluminio, madera, conglomerado, melamina, mármol, silestone, cerámica, porcelana, PVC, vidrio. NO aplicable en espejos. Translúcida. Cartucho de 280 ml.   Ref. lp-00114066</t>
  </si>
  <si>
    <t xml:space="preserve">ma-lp-00529764</t>
  </si>
  <si>
    <t xml:space="preserve">Material</t>
  </si>
  <si>
    <t xml:space="preserve">cartucho</t>
  </si>
  <si>
    <t xml:space="preserve">Sellador de poliuretano P795 SEAL’N’FLEX PREMIUM de BOSTIK; color marrón (290 ml/cartucho).   Ref. lp-00529764</t>
  </si>
  <si>
    <t xml:space="preserve">BOSTIK P795 SEAL'N'FLEX PREMIUM es un sellador monocomponente de curado rápido, bajo MDI y fácil de usar. Desarrollado específicamente como sellador universal para sellar juntas de construcción y expansión en fachadas y vías peatonales. Puede usarse también en zonas de manipulación de alimentos (no en contacto directo) ya que dispone de certificación ISEGA. No forma burbujas durante el proceso de curado. Color marrón. Rendimiento aproximado: metros lineales por envase = 300/sección de la junta en mm2).   Ref. lp-00529764.</t>
  </si>
  <si>
    <t xml:space="preserve">ma-lp-00541253</t>
  </si>
  <si>
    <t xml:space="preserve">Material</t>
  </si>
  <si>
    <t xml:space="preserve">envase</t>
  </si>
  <si>
    <t xml:space="preserve">Masilla de poliuretano BIGMAT (300 ml/envase); color blanco.   Ref. lp-00541253</t>
  </si>
  <si>
    <t xml:space="preserve">Masilla de poliuretano BIGMAT (300 ml/envase); color blanco.   Ref. lp-00541253
Adhesivo y sellador monocomponente de alto rendimiento de color blanco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300 ml.</t>
  </si>
  <si>
    <t xml:space="preserve">ma-lp-00541254</t>
  </si>
  <si>
    <t xml:space="preserve">Material</t>
  </si>
  <si>
    <t xml:space="preserve">envase</t>
  </si>
  <si>
    <t xml:space="preserve">Masilla de poliuretano BIGMAT (600 ml/envase); color blanco.   Ref. lp-00541254</t>
  </si>
  <si>
    <t xml:space="preserve">Masilla de poliuretano BIGMAT (600 ml/envase); color blanco.   Ref. lp-00541254
Adhesivo y sellador monocomponente de alto rendimiento de color blanco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600 ml.</t>
  </si>
  <si>
    <t xml:space="preserve">ma-lp-00541255</t>
  </si>
  <si>
    <t xml:space="preserve">Material</t>
  </si>
  <si>
    <t xml:space="preserve">envase</t>
  </si>
  <si>
    <t xml:space="preserve">Masilla de poliuretano BIGMAT (300 ml/envase); color gris.   Ref. lp-00541255</t>
  </si>
  <si>
    <t xml:space="preserve">Masilla de poliuretano BIGMAT (300 ml/envase); color gris.   Ref. lp-00541255
Adhesivo y sellador monocomponente de alto rendimiento de color gris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300 ml.</t>
  </si>
  <si>
    <t xml:space="preserve">ma-lp-00541256</t>
  </si>
  <si>
    <t xml:space="preserve">Material</t>
  </si>
  <si>
    <t xml:space="preserve">envase</t>
  </si>
  <si>
    <t xml:space="preserve">Masilla de poliuretano BIGMAT (300 ml/envase); color marrón.   Ref. lp-00541256</t>
  </si>
  <si>
    <t xml:space="preserve">Masilla de poliuretano BIGMAT (300 ml/envase); color marrón.   Ref. lp-00541256
Adhesivo y sellador monocomponente de alto rendimiento de color marrón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300 ml.</t>
  </si>
  <si>
    <t xml:space="preserve">ma-lp-00541258</t>
  </si>
  <si>
    <t xml:space="preserve">Material</t>
  </si>
  <si>
    <t xml:space="preserve">envase</t>
  </si>
  <si>
    <t xml:space="preserve">Masilla de poliuretano BIGMAT (600 ml/envase); color gris.   Ref. lp-00541258</t>
  </si>
  <si>
    <t xml:space="preserve">Masilla de poliuretano BIGMAT (600 ml/envase); color gris.   Ref. lp-00541258
Adhesivo y sellador monocomponente de alto rendimiento de color gris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600 ml.</t>
  </si>
  <si>
    <t xml:space="preserve">ma-lp-00541259</t>
  </si>
  <si>
    <t xml:space="preserve">Material</t>
  </si>
  <si>
    <t xml:space="preserve">envase</t>
  </si>
  <si>
    <t xml:space="preserve">Masilla de poliuretano BIGMAT (600 ml/envase); color marrón.   Ref. lp-00541259</t>
  </si>
  <si>
    <t xml:space="preserve">Masilla de poliuretano BIGMAT (600 ml/envase); color marrón.   Ref. lp-00541259
Adhesivo y sellador monocomponente de alto rendimiento de color marrón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600 ml.</t>
  </si>
  <si>
    <t xml:space="preserve">MASILLAS.Y.SELLADORES</t>
  </si>
  <si>
    <t xml:space="preserve">ma-acnorte-SKU.ACNHX05</t>
  </si>
  <si>
    <t xml:space="preserve">Material</t>
  </si>
  <si>
    <t xml:space="preserve">envase</t>
  </si>
  <si>
    <t xml:space="preserve">Hidrofugante PREMIUM a base de Polialquilsiloxano HX-05 de DITOSA (5 litros/envase).   Ref. acnorte-SKU.ACNHX05</t>
  </si>
  <si>
    <t xml:space="preserve">Líquido Incoloro, formulado a base de resinas de Polialquilsiloxano de la máxima calidad y disolventes orgánicos de gran pureza, que dan como resultado final un producto totalmente transparente con un gran poder de penetración en los soportes a tratar y un gran efecto hidrorepelente. Rendimiento: 3 a 6 m2/litro como término medio (dependiendo de la absorción de los soportes).   Ref. acnorte-SKU.ACNHX05.
No forma películas continuas que impidan el paso del vapor de agua ni la transpiración manteniendo de ésta forma los soportes, prácticamente inalterables sus coeficientes iniciales. Presenta una buena resistencia a la alcalinidad de los materiales a tratar. Evita la aparición de eflorescencias, hongos, musgos, líquenes, etc. contribuyendo a mantener las fachadas y materiales en buen estado. Impide que los soportes se agrieten por efecto de las heladas sobre la humedad contenida en los micro-poros de los materiales. No provoca cambios en los colores de los materiales a tratar, ni alteraciones en la intensidad de los mismos. No obstante, es conveniente realizar ensayos previos al tratamiento debido a la gran cantidad de materiales existentes en el mercado.
Cuando el hormigón está debidamente hidrofugado retrasa el proceso de carbonatación en el mismo al no dejar pasar el agua que disuelve el CO2 y los bicarbonatos de calcio, responsables de dicho proceso.
MODO DE EMPLEO:
• Su efecto hidrorepelente solo es efectivo en planos verticales, ó con fuerte inclinación. Nunca en horizontal.
• Puede aplicarse a brocha, rodillo ó por pulverización, siendo esta última forma la más recomendable.
• Dependiendo de la absorción del soporte han de aplicarse, una ó varias manos seguidas (humedo sobre humedo) sin dejar secar la mano anterior, hasta la saturación.
• No debe aplicarse con temperaturas extremadamente altas, ni sobre soportes calientes (30 – 40 ºC) puesto que en éstos casos se produce muy rápidamente la evaporación de los disolventes presentes en la composición, evitando de ésta manera la correcta penetración.
• El efecto perlescente (aparición de gotas) se produce a las pocas horas de su aplicación, y el desarrollo total de su poder hidrofugante, transcurridas 48 horas.
• La aplicación ha de realizarse sobre soportes limpios y secos, si presentan grietas o defectos en la estructura, han de repararse antes del tratamiento.
• Aplicar sin mezclar con otros productos ni diluir.</t>
  </si>
  <si>
    <t xml:space="preserve">ma-acnorte-SKU.ACNHX25</t>
  </si>
  <si>
    <t xml:space="preserve">Material</t>
  </si>
  <si>
    <t xml:space="preserve">bidón</t>
  </si>
  <si>
    <t xml:space="preserve">Hidrofugante PREMIUM a base de Polialquilsiloxano HX-05 de DITOSA (25 litros/bidón).   Ref. acnorte-SKU.ACNHX25</t>
  </si>
  <si>
    <t xml:space="preserve">Líquido Incoloro, formulado a base de resinas de Polialquilsiloxano de la máxima calidad y disolventes orgánicos de gran pureza, que dan como resultado final un producto totalmente transparente con un gran poder de penetración en los soportes a tratar y un gran efecto hidrorepelente. Rendimiento: 3 a 6 m2/litro como término medio (dependiendo de la absorción de los soportes).   Ref. acnorte-SKU.ACNHX25.
No forma películas continuas que impidan el paso del vapor de agua ni la transpiración manteniendo de ésta forma los soportes, prácticamente inalterables sus coeficientes iniciales. Presenta una buena resistencia a la alcalinidad de los materiales a tratar. Evita la aparición de eflorescencias, hongos, musgos, líquenes, etc. contribuyendo a mantener las fachadas y materiales en buen estado. Impide que los soportes se agrieten por efecto de las heladas sobre la humedad contenida en los micro-poros de los materiales. No provoca cambios en los colores de los materiales a tratar, ni alteraciones en la intensidad de los mismos. No obstante, es conveniente realizar ensayos previos al tratamiento debido a la gran cantidad de materiales existentes en el mercado.
Cuando el hormigón está debidamente hidrofugado retrasa el proceso de carbonatación en el mismo al no dejar pasar el agua que disuelve el CO2 y los bicarbonatos de calcio, responsables de dicho proceso.
MODO DE EMPLEO:
• Su efecto hidrorepelente solo es efectivo en planos verticales, ó con fuerte inclinación. Nunca en horizontal.
• Puede aplicarse a brocha, rodillo ó por pulverización, siendo esta última forma la más recomendable.
• Dependiendo de la absorción del soporte han de aplicarse, una ó varias manos seguidas (humedo sobre humedo) sin dejar secar la mano anterior, hasta la saturación.
• No debe aplicarse con temperaturas extremadamente altas, ni sobre soportes calientes (30 – 40 ºC) puesto que en éstos casos se produce muy rápidamente la evaporación de los disolventes presentes en la composición, evitando de ésta manera la correcta penetración.
• El efecto perlescente (aparición de gotas) se produce a las pocas horas de su aplicación, y el desarrollo total de su poder hidrofugante, transcurridas 48 horas.
• La aplicación ha de realizarse sobre soportes limpios y secos, si presentan grietas o defectos en la estructura, han de repararse antes del tratamiento.
• Aplicar sin mezclar con otros productos ni diluir.</t>
  </si>
  <si>
    <t xml:space="preserve">ma-altermat-01330LP</t>
  </si>
  <si>
    <t xml:space="preserve">Material</t>
  </si>
  <si>
    <t xml:space="preserve">bidón</t>
  </si>
  <si>
    <t xml:space="preserve">Limpiador de piedra natural STEINREINIGER-N de KEIM (10 kg/bidón).   Ref. altermat-01330LP</t>
  </si>
  <si>
    <t xml:space="preserve">El limpiador de piedra natural de KEIM es un producto concentrado especialmente diseñado para satisfacer las necesidades de los equipos de limpieza con vapor a presión. Gracias a su amplio espectro de aplicación, es un producto de uso universal. El consumo debe ser determinado mediante pruebas.  Ref. altermat-01330LP.
CARACTERÍSTICAS Y BENEFICIOS:
• Adaptado para equipos de vapor a presión: Eficiencia garantizada para una limpieza profunda.
• Uso universal: Ideal para diversas superficies, incluyendo fachadas de piedra natural, hormigón y obra vista.
• Limpieza suave: Efectivo contra suciedades de polvo, grasas, aceites y hollín muy adheridos sin dañar las superficies.
Si buscas un limpiador concentrado y versátil para limpiar suavemente fachadas de piedra natural, hormigón y obra vista, el limpiador de piedra natural de KEIM es la solución ideal para obtener resultados impecables utilizando equipos de vapor a presión.
https://materialessostenibles.es/producto/limpiador-piedra-natural-keim-altermat/</t>
  </si>
  <si>
    <t xml:space="preserve">ma-bh-24138035</t>
  </si>
  <si>
    <t xml:space="preserve">Material</t>
  </si>
  <si>
    <t xml:space="preserve">envase</t>
  </si>
  <si>
    <t xml:space="preserve">Aditivo higienizante polvo con conservante antimoho de MONTO (200 ml/envase).   Ref. bh-24138035</t>
  </si>
  <si>
    <t xml:space="preserve">Aditivo con conservante antimoho. Producto empleado para la conservación de recubrimientos al agua, mediante el control microbiano, con el fin de proteger la superficie. Específico para su adición a revestimientos de fachada y pinturas plásticas.   Ref. bh-24138035
USOS Exterior/Interior: Yeso, Fachadas, Hormigón, Mortero de cemento, Madera.</t>
  </si>
  <si>
    <t xml:space="preserve">ma-bm-25046411</t>
  </si>
  <si>
    <t xml:space="preserve">Material</t>
  </si>
  <si>
    <t xml:space="preserve">envase</t>
  </si>
  <si>
    <t xml:space="preserve">Limpiador de superficies de obra oxidadas y manchadas de cal AGUA FUERTE SALFUMANT de MPL (5 litros/envase).   Ref. bm-25046411</t>
  </si>
  <si>
    <t xml:space="preserve">Producto indicado para la limpieza de obra, superficies oxidadas y manchas de cal (elimina restos de mortero o lechada del ladrillo o los azulejos). Solución muy efectiva para quitar el cemento de superficies duras y fibrosas. Ideal para limpiar las manchas de cal del fregadero o de la mámpara de la ducha.   Ref. bm-25046411.</t>
  </si>
  <si>
    <t xml:space="preserve">ma-bm-25046417</t>
  </si>
  <si>
    <t xml:space="preserve">Material</t>
  </si>
  <si>
    <t xml:space="preserve">envase</t>
  </si>
  <si>
    <t xml:space="preserve">Lejía para limpieza y desinfección de superficies EL CHÉ (5 litros/envase).   Ref. bm-25046417</t>
  </si>
  <si>
    <t xml:space="preserve">Producto indicado para la limpieza y desinfección de superficies. Para cuartos de baño e inodoros, y para blanquear y desinfectar la ropa.   Ref. bm-25046417.
La Organización Mundial de la Salud recomienda una concentración del 0,5% lo que corresponde a mezclar 130 ml de lejía en 870ml de agua. Finalmente, y para asegurase de no correr ningún riesgo, recuerda utilizar guantes para evitar irritaciones y ventilar la casa mientras limpias.</t>
  </si>
  <si>
    <t xml:space="preserve">ma-ep-s/c</t>
  </si>
  <si>
    <t xml:space="preserve">Material</t>
  </si>
  <si>
    <t xml:space="preserve">envase</t>
  </si>
  <si>
    <t xml:space="preserve">Imprimante EUROTEX activador-promotor de adherencia de PU (1 litro/envase).   Ref. ep-s/c</t>
  </si>
  <si>
    <t xml:space="preserve">Imprimación PU promotora de adherencia que forma un anclaje químico sobre el soporte que facilita la adherencia de membranas de poliuretano, especialmente en soportes no porosos.   Ref. ep-s/c
Imprimación desarrollada para obtener una excelente adherencia de productos en base poliuretano sobre soportes silíceos no porosos, especialmente aquellos de base inorgánica como pueden ser vidrio, terrazo, azulejos esmaltados, gresite... La Imprimación Activadora PU permite, tanto en el caso de impermeabilizantes y pavimentos como adhesivos, crear un puente de unión de gran adherencia de naturaleza química entre ambos. Se recomienda realizar un pequeño lijado para las superficies más difíciles. No mezclar con la pintura a aplicar. Se debe aplicar una mano como imprimación sobre superficie lisa y seca con un tiempo abierto entre 15 y 45 min según condiciones ambientales, tiempo en el que habrá que aplicar la capa de recubrimiento (poliuretano). No recomendado para pinturas base inorgánica. Rendimiento estimado: 50 a 100 gr/m2 (1 mano).
ep = epinturas</t>
  </si>
  <si>
    <t xml:space="preserve">ma-farcosa-02050032</t>
  </si>
  <si>
    <t xml:space="preserve">Material</t>
  </si>
  <si>
    <t xml:space="preserve">bidón</t>
  </si>
  <si>
    <t xml:space="preserve">Limpiacristales ECOFLASH-ECOLABEL SORO (5 litros/bidón).   Ref. farcosa-02050032</t>
  </si>
  <si>
    <t xml:space="preserve">Seca rápidamente sin dejar rastros. Producto transparente para la limpieza de todo tipo de superficies acristaladas y lisas: espejos, ventanas; respetuoso con medio ambiente, y sin sustancias peligrosas (no tóxico. no inflamable, no corrosivo y no irritante). Efecto limitado en el crecimiento de las algas acuáticas.   Ref. farcosa-02050032.
Modo de empleo: Pulverizar directamente el producto sobre la superficie a sanear, y limpiar con un paño limpio y seco. Una dosificación correcta permite realizar economías y reducir el impacto del producto sobre el medio ambiente.</t>
  </si>
  <si>
    <t xml:space="preserve">ma-ferberpainting-01</t>
  </si>
  <si>
    <t xml:space="preserve">Material</t>
  </si>
  <si>
    <t xml:space="preserve">envase</t>
  </si>
  <si>
    <t xml:space="preserve">Líquido para tratamiento fungicida de paredes FERBERPAINTING (5 litros/envase).   Ref. ferberpainting-01</t>
  </si>
  <si>
    <t xml:space="preserve">Producto concentrado a base de agentes fungicidas ultrapotentes, está especialmente diseñado para eliminar todos los depósitos verdes y moho en todos los soportes de construcción, sin dejar rastro ni película sobre los materiales y sin cambiar el color ni la apariencia.   Ref. ferberpainting-01
Es el mejor producto del mercado para destruir por completo todo tipo de microorganismos comunes, y se recomienda aplicarlo antes de cualquier trabajo de impermeabilización. Rendimiento (aplicación única): 50 a 250 m2/litro; y Tiempo de secado: 2 horas.
PROPIEDADES:
• Eliminación rápida y eficaz de depósitos verdes, algas, líquenes, mohos, hongos.
• Tratamiento curativo y preventivo de muy larga duración.
• Apto para todos los soportes y todos los materiales.
• No agresivo, no ataca los metales.
• Activo en unos días.
• Secado rápido, repintable.
• Muy económico.
DESTINO:
• Todas las superficies: cubiertas, paredes y fachadas, suelos y terrazas.
• Materiales subvencionables: teja, hormigón, yeso, ladrillo, materiales de revestimiento, fachadas de yeso de cemento, pizarra...
RECOMENDACIONES:
• Para superficies con depósitos verdes muy pesados, raspe o cepille primero para una mejor aplicación.
• Respetar cuidadosamente las dosis de dilución.
• En presencia de especies particularmente resistentes, renovar la aplicación.
• Aplicación con brocha, brocha o pulverizador.
DILUCIÓN DEL PRODUCTO:
• 1 litro de concentrado en 50 litros de agua para superficies poco contaminadas, para tratar 250 m².
• 1 litro de concentrado en 20 litros de agua para superficies moderadamente contaminadas, para tratar 100 m².
• 1 litro de concentrado en 10 litros de agua para superficies muy contaminadas, para tratar 50 m².
SOLICITUD:
• Aplicar mediante brocha o pulverización el producto diluido hasta saturación, impregnando bien la superficie a tratar.
• Dejar actuar de 3 a 4 días, luego cepillar los depósitos verdes, algas, hongos residuales y enjuagar con agua.
• Las superficies destinadas a permanecer en su estado bruto serán tratadas tan pronto como aparezca un color.</t>
  </si>
  <si>
    <t xml:space="preserve">ma-lm-17553333</t>
  </si>
  <si>
    <t xml:space="preserve">Material</t>
  </si>
  <si>
    <t xml:space="preserve">envase</t>
  </si>
  <si>
    <t xml:space="preserve">Emulsión adherente de resina acrílica PROPAM LÁTEX (5 litros/envase).   Ref. lm-17553333</t>
  </si>
  <si>
    <t xml:space="preserve">PROPAM LÁTEX es un aditivo líquido a base de polímeros acrílicos en dispersión, estables en medio alcalino, para la mejora de morteros en obra y para la confección de lechadas de imprimación y puentes de unión.   Ref. lm-17553333.
CAMPOS DE APLICACIÓN:
Mejora de morteros de albañilería, cementos cola, morteros de rejuntado, morteros de recrecido, etc. Preparación de puentes de unión e imprimaciones para la colocación de mortero fresco sobre hormigón endurecido. Confección de morteros para reparaciones no estructurales en hormigón, pavimentos, desconches, revocos. Confección de morteros de cemento para revocos sobre muros de hormigón y mampostería.
PROPIEDADES:
Aumenta la compacidad y la impermeabilidad de los morteros. Uniformiza la absorción y la porosidad de los soportes. Plastifica la masa y permite reducir agua de amasado. Reduce el riesgo de fisuración de los morteros aditivados. Mejora la adherencia de los morteros especialmente sobre soportes absorbentes. Mejora las resistencias mecánicas y a la abrasión de los morteros. Resistente al medio alcalino.
CONSUMO:
El consumo de PROPAM® LÁTEX, es aproximadamente de 150-250 g/m2 cuando se utiliza para la confección de puentes de unión y de aproximadamente 0,5 -1,5 litros por saco de 25 Kg de mortero cuando se utiliza para mejorar morteros predosificados. Estos consumos son aproximados pudiendo variar en función del uso, la porosidad y absorción del soporte.</t>
  </si>
  <si>
    <t xml:space="preserve">ma-lm-19316563</t>
  </si>
  <si>
    <t xml:space="preserve">Material</t>
  </si>
  <si>
    <t xml:space="preserve">envase</t>
  </si>
  <si>
    <t xml:space="preserve">Parafina TOYOTOMI CLEAR (10 litros/envase).   Ref. lm-19316563</t>
  </si>
  <si>
    <t xml:space="preserve">Parafina para utilizar como combustible en estufas portátiles de parafina. Produce una combustión de alta calidad y gran pureza y no produce olores en la combustión.   Ref. lm-19316563.</t>
  </si>
  <si>
    <t xml:space="preserve">ma-lm-81124844</t>
  </si>
  <si>
    <t xml:space="preserve">Material</t>
  </si>
  <si>
    <t xml:space="preserve">bidón</t>
  </si>
  <si>
    <t xml:space="preserve">Quita-Cementos de MPL (5 litros/bidón).   Ref. lm-81124844</t>
  </si>
  <si>
    <t xml:space="preserve">Limpiador líquido indicado para eliminar con facilidad las manchas de cemento de pavimentos cerámicos o suelos. Elimina sin dificultad los restos de cemento, cal, manchas de óxido y manchas blanquecinas que se encuentren en fachadas de ladrillo a cara vista, en piscinas, pizarras y granito.   Ref. lm-81124844.
Para una correcta eficacia del producto deberás mojar con abundante agua la superficie, aplicar el producto y dejarlo actuar durante pocos minutos sin dejar que se seque. No tiene perfume. No se recomienda el uso en suelos porosos. Elimina restos de cemento, cal, manchas de óxido y manchas blanquecinas en: Fachadas de ladrillo cara vista, piscinas, pizarras y granito.</t>
  </si>
  <si>
    <t xml:space="preserve">ma-lm-82520305</t>
  </si>
  <si>
    <t xml:space="preserve">Material</t>
  </si>
  <si>
    <t xml:space="preserve">envase</t>
  </si>
  <si>
    <t xml:space="preserve">Líquido para tratamiento carcomas al agua XYLAZEL (750 ml/envase).   Ref. lm-82520305</t>
  </si>
  <si>
    <t xml:space="preserve">Tratamiento de carcomas al agua para todo tipo de maderas de interior o exterior. Para conseguir un acabado perfecto se recomienda aplicar 2 capas con un pincel o rodillo. Fungicida e insecticida. Rendimientos: Preventido.200 ml/m2 (1 litro por cada 5 m2) y Preventivo 300 ml/m2 (1 litro por cada 3,30 m2).   Ref. lm-82520305.</t>
  </si>
  <si>
    <t xml:space="preserve">ma-lm-87100142</t>
  </si>
  <si>
    <t xml:space="preserve">Material</t>
  </si>
  <si>
    <t xml:space="preserve">envase</t>
  </si>
  <si>
    <t xml:space="preserve">Protector antimanchas FOB XTREME de FILA (5 litros/envase).   Ref. lm-87100142</t>
  </si>
  <si>
    <t xml:space="preserve">FOB XTREME es un protector antimanchas de FILA SOLUTIONS. Protege contra las manchas sin cambiarle el tono ni la textura, ni el color del material. Rendimiento: 10 a 20 m2/litro en piedra; 5 a 25 m2/litro en barro). No se diluye: listo para el uso.   Ref. lm-87100142.
Está indicado para todo tipo de superficies interiores y exteriores de piedra natural, mármol, granito, mosaico hidráulico, gres extrusionado, barro y todo tipo de derivados del cemento (piedra artificial).
No altera ni el color ni la tonalidad ni la textura del material. No crea películas superficiales. No altera la resistencia a las heladas en materiales exteriores. Ideal para encimeras. Protege contra todo tipo de manchas orgánicas (grasas, comidas, bebidas, etc.).</t>
  </si>
  <si>
    <t xml:space="preserve">ma-lm-87907803</t>
  </si>
  <si>
    <t xml:space="preserve">Material</t>
  </si>
  <si>
    <t xml:space="preserve">envase</t>
  </si>
  <si>
    <t xml:space="preserve">Impregnante hidrófugo y fungicida SIKAGARD-711 ES; incoloro (5 litros/envase).   Ref. lm-87907803</t>
  </si>
  <si>
    <t xml:space="preserve">SIKAGARD-711 ES trata de un producto líquido incoloro, monocomponente, base silano-siloxano, tratado con fungicidas. El consumo depende de la calidad y porosidad del soporte (mortero u hormigón: de 200 a 250 gr/m2; material poroso: de 300 a 500 gr/m2 (se necesita un ensayo previo para determinar el consumo exacto)). Ref. lm-87907803
USOS:
Para conseguir sobre las fachadas un efecto hidrofugante y fungicida. Protege a los materiales de la penetración del agua y del crecimiento de microorganismos. Sikaguard-710 se puede aplicar sobre soportes de hormigón, mortero, mampostería, ladrillo, piedra y fibrocemento.
CARACTERÍSTICAS/VENTAJAS:
• Elimina algas, líquenes y musgo de las fachadas y cubiertas.
• Elimina los microorganismos y retrasa su crecimiento al menos 3 años.
• Mejora la resistencia de la fachada al paso del agua.
• Tiene efecto repelente, mientras transpira, protege los materiales del agua de lluvia.
• No modifica el aspecto del soporte.
• Reduce la penetración de polvo.
• No modifica la porosidad del soporte.
• Se puede recubrir por diferentes tipos de pinturas.</t>
  </si>
  <si>
    <t xml:space="preserve">ma-lm-88876532</t>
  </si>
  <si>
    <t xml:space="preserve">Material</t>
  </si>
  <si>
    <t xml:space="preserve">envase</t>
  </si>
  <si>
    <t xml:space="preserve">Eliminador de adhesivos MONESTIR (500 ml/envase).   Ref. lm-88876532</t>
  </si>
  <si>
    <t xml:space="preserve">Eliminador de adhesivos con pincel aplicador incorporado al tapón. Elimina eficazmente restos de adhesivos, pegamentos, siliconas, gomas de etiquetas, precinto y cinta adhesiva. También resulta eficaz para eliminar rayas de goma producidas por los zapatos. Rendimiento teórico: 2 a 5 m2/litro.   Ref. lm-88876532.
Uso directo, se aplica sin diluir. Es aconsejable realizar una prueba en una zona poco visible antes de realizar toda la limpieza, para asegurarnos de que no daña la superficie. Para quitar una etiqueta completa, hay que levantar una esquina y aplicar el producto entre la etiqueta y el adhesivo. Se utiliza empapando la superficie con Eliminador de Adhesivos, dejamos que actúe unos minutos y frotamos con un estropajo suave o rasqueta. Para eliminar pequeños restos de etiquetas, adhesivos, colas y pegamento, humedecemos la superficie con Eliminador de Adhesivos, dejamos actuar un instante y frotamos.</t>
  </si>
  <si>
    <t xml:space="preserve">ma-lp-00007179</t>
  </si>
  <si>
    <t xml:space="preserve">Material</t>
  </si>
  <si>
    <t xml:space="preserve">envase</t>
  </si>
  <si>
    <t xml:space="preserve">Espuma expansiva multiusos de poliuretano de BOSTIK (750 ml/envase).   Ref. lp-00007179</t>
  </si>
  <si>
    <t xml:space="preserve">Espuma expansiva de poliuretano de BOSTIK con cánula manual para la fijación, relleno, sellado y aislamiento en construcción. Indicada para la fijación de marcos de puertas y ventanas, paneles y planchas aislantes; relleno y sellado de cavidades en tabiques y muros; aislamiento térmico y acústico (fondo de bañeras, climatización y ventilación), puente térmico en edificación y carpintería metálica. Puede cortarse, pintarse y recubrirse una vez seca. Resiste al envejecimiento. Con resistencia térmica (de -40ºC a +80ºC) y gran adherencia a la mayoría de los materiales de construcción.   Ref. lp-00007179.</t>
  </si>
  <si>
    <t xml:space="preserve">ma-lp-00016978</t>
  </si>
  <si>
    <t xml:space="preserve">Material</t>
  </si>
  <si>
    <t xml:space="preserve">envase</t>
  </si>
  <si>
    <t xml:space="preserve">Aflojatodo en Spray WD-40 (200 ml/envase).   Ref. lp-00016978</t>
  </si>
  <si>
    <t xml:space="preserve">Spray aflojatodo WD-40 ideal para cerraduras o mecanismos atascados por el óxido o por el frío. Lubrica y limpia herramientas y armas. Elimina cualquier tipo de cera, alquitrán, grasa o adhesivos. Evita cortocircuitos y limpia cuadros eléctricos. Envase de 200 ml.   Ref. lp-00016978.</t>
  </si>
  <si>
    <t xml:space="preserve">ma-lp-00016979</t>
  </si>
  <si>
    <t xml:space="preserve">Material</t>
  </si>
  <si>
    <t xml:space="preserve">envase</t>
  </si>
  <si>
    <t xml:space="preserve">Aflojatodo en Spray WD-40 (400 ml/envase).   Ref. lp-00016979</t>
  </si>
  <si>
    <t xml:space="preserve">Spray aflojatodo WD-40 ideal para cerraduras o mecanismos atascados por el óxido o por el frío. Lubrica y limpia herramientas y armas. Elimina cualquier tipo de cera, alquitrán, grasa o adhesivos. Evita cortocircuitos y limpia cuadros eléctricos. Envase de 400 ml.   Ref. lp-00016979</t>
  </si>
  <si>
    <t xml:space="preserve">ma-lp-00016980</t>
  </si>
  <si>
    <t xml:space="preserve">Material</t>
  </si>
  <si>
    <t xml:space="preserve">envase</t>
  </si>
  <si>
    <t xml:space="preserve">Aflojatodo en Spray WD-40 (500 ml/envase).   Ref. lp-00016980</t>
  </si>
  <si>
    <t xml:space="preserve">Spray aflojatodo WD-40 ideal para cerraduras o mecanismos atascados por el óxido o por el frío. Lubrica y limpia herramientas y armas. Elimina cualquier tipo de cera, alquitrán, grasa o adhesivos. Evita cortocircuitos y limpia cuadros eléctricos. Envase de 500 ml.   Ref. lp-00016980</t>
  </si>
  <si>
    <t xml:space="preserve">ma-lp-00136727</t>
  </si>
  <si>
    <t xml:space="preserve">Material</t>
  </si>
  <si>
    <t xml:space="preserve">envase</t>
  </si>
  <si>
    <t xml:space="preserve">Convertidor de óxido CONVERTÓXIDO de BARPIMO (500ml/envase).   Ref. lp-00136727</t>
  </si>
  <si>
    <t xml:space="preserve">Convertidor de óxido a base de resinas especiales que, en contacto con el óxido, crea una capa protectora neutra que evita que el óxido evolucione. Indicado para preparación desoxidante de superficies oxidadas de acero y hierro; tratamiento anticorrosivo de piezas, elementos, estructuras, pequeñas reparaciones en máquinas, electrodomésticos, vehículos. Rendimiento: 9 a 12 m2/litro por mano.   Ref. lp-00136727.</t>
  </si>
  <si>
    <t xml:space="preserve">ma-lp-00136728</t>
  </si>
  <si>
    <t xml:space="preserve">Material</t>
  </si>
  <si>
    <t xml:space="preserve">envase</t>
  </si>
  <si>
    <t xml:space="preserve">Convertidor de óxido CONVERTÓXIDO de BARPIMO (1 litro/envase).   Ref. lp-00136728</t>
  </si>
  <si>
    <t xml:space="preserve">Convertidor de óxido a base de resinas especiales que, en contacto con el óxido, crea una capa protectora neutra que evita que el óxido evolucione. Indicado para preparación desoxidante de superficies oxidadas de acero y hierro; tratamiento anticorrosivo de piezas, elementos, estructuras, pequeñas reparaciones en máquinas, electrodomésticos, vehículos. Rendimiento: 9 a 12 m2/litro por mano.   Ref. lp-00136728.</t>
  </si>
  <si>
    <t xml:space="preserve">ma-lp-00195803</t>
  </si>
  <si>
    <t xml:space="preserve">Material</t>
  </si>
  <si>
    <t xml:space="preserve">envase</t>
  </si>
  <si>
    <t xml:space="preserve">Protector abrillantador PASO para suelos de terracota o similar (1 litro/envase)   Ref. lp-00195803</t>
  </si>
  <si>
    <t xml:space="preserve">El abrillantador protector terracota PASO tiene fórmula con Complejo Protector Poliuretano que consigue mayor resistencia a las rayadas, mayor resistencia al desgaste en general, mayor protección contra manchas de aceite u otros productos orgánicos por más tiempo y mayor brillo. Aplicable sobre suelos porosos de terracota, gres, barro cocido, coto, azulejos, ladrillo, piedra natural no caliza.   Ref. lp-00195803</t>
  </si>
  <si>
    <t xml:space="preserve">ma-lp-00195806</t>
  </si>
  <si>
    <t xml:space="preserve">Material</t>
  </si>
  <si>
    <t xml:space="preserve">envase</t>
  </si>
  <si>
    <t xml:space="preserve">Abrillantador protector de mármol interior PASO de CEYS (1 litro/envase).   Ref. lp-00195806</t>
  </si>
  <si>
    <t xml:space="preserve">El abrillantador protector mármol Paso tiene fórmula con Complejo Protector Poliuretano que consigue mayor resistencia a las rayadas y al desgaste en general, así como mayor protección contra manchas de aceite u otros productos orgánicos por más tiempo y mayor brillo. Aplicable sobre suelos no porosos de interior como mármol, gres porcelánico, travertinos, pizarras, basalto, piedra calcárea, terrazo. Un envase de PASO Protector Abrillantador Mármol tiene un rendimiento aproximado de 40 a 60 m2 (dependiendo de la dilución a realizar).   Ref. lp-00195806.</t>
  </si>
  <si>
    <t xml:space="preserve">ma-lp-00195808</t>
  </si>
  <si>
    <t xml:space="preserve">Material</t>
  </si>
  <si>
    <t xml:space="preserve">envase</t>
  </si>
  <si>
    <t xml:space="preserve">Protector abrillantador PASO para suelos de madera o similar (1 litro/envase)   Ref. lp-00195808</t>
  </si>
  <si>
    <t xml:space="preserve">El abrillantador protector PASO de la madera barnizada y el parquet tiene una fórmula con Complejo Protector Poliuretano consigue mayor resistencia a las rayadas y mayor protección por más tiempo. Renueva y abrillanta el color natural. Evita y difumina las rayadas. Secado rápido. Antideslizante.   Ref. lp-00195808</t>
  </si>
  <si>
    <t xml:space="preserve">ma-lp-00195816</t>
  </si>
  <si>
    <t xml:space="preserve">Material</t>
  </si>
  <si>
    <t xml:space="preserve">envase</t>
  </si>
  <si>
    <t xml:space="preserve">Elimina-Grasa intensivo PASO (500 ml/envase con spray).   Ref. lp-00195816</t>
  </si>
  <si>
    <t xml:space="preserve">Elimina-grasa intensivo con disolventes eficaces de alto poder desengrasante para quitar la grasa en cocinas y talleres. Aplicable en encimeras, baldosas, acero inoxidable, muebles de cocina, barbacoas, rejillas, llantas de coche, bicicletas, manchas rebeldes en suelos, tejidos, etc. NO USAR sobre superficies barnizadas o pintadas.   Ref. lp-00195816.Elimina-grasa intensivo con disolventes eficaces de alto poder desengrasante para quitar la grasa en cocinas y talleres. Aplicable en encimeras, baldosas, acero inoxidable, muebles de cocina, barbacoas, rejillas, llantas de coche, bicicletas, manchas rebeldes en suelos, tejidos, etc. NO USAR sobre superficies barnizadas o pintadas.   Ref. lp-00195816</t>
  </si>
  <si>
    <t xml:space="preserve">ma-lp-00394133</t>
  </si>
  <si>
    <t xml:space="preserve">Material</t>
  </si>
  <si>
    <t xml:space="preserve">envase</t>
  </si>
  <si>
    <t xml:space="preserve">Detergente quitacemento DETERDEK de FILA (1 litro/envase).   Ref. lp-00394133</t>
  </si>
  <si>
    <t xml:space="preserve">El detergente quitacemento DETERDEK de FILA elimina la suciedad provocada por la colocación del material y la suciedad de la obra. Limpia y desincrusta. Respeta la cerámica y los metales. No despide gases tóxicos.   Ref. lp-00394133.
RENDIMIENTO INDICATIVO (1 Galón o 3,78 litros)
Porcelánico: Dilución 1:5 (150 m2)
Piedra resistente al ácido: Dilución 1:5 a 1:10 (76 a 132 m2)
Barro: Dilución 1:5 (38 a 76 m2)
PROPIEDADES:
* Elimina residuos de lechada de cemento, eflorescencias salinas, depósitos de calcio y manchas calcáreas.
* Remueve manchas de jabón, óxido, pintura y suciedad de obra
* Se puede usar en interiores y exteriores en pisos revestimientos, cabinas de ducha, accesorios de baño, y fachadas.
* Seguro para piedra resistente al ácido porcelánico, cerámica y barro.
* Ideal para la limpieza final de obra: limpia a fondo la suciedad inorgánica de la construcción.
* Se puede utilizar como limpiador o eliminador de cal, según la dilución.
* Contiene ingredientes biodegradables.</t>
  </si>
  <si>
    <t xml:space="preserve">ma-lp-00394135</t>
  </si>
  <si>
    <t xml:space="preserve">Material</t>
  </si>
  <si>
    <t xml:space="preserve">envase</t>
  </si>
  <si>
    <t xml:space="preserve">Detergente quitacemento DETERDEK de FILA (5 litros/envase).   Ref. lp-00394135</t>
  </si>
  <si>
    <t xml:space="preserve">El detergente quitacemento DETERDEK de FILA elimina la suciedad provocada por la colocación del material y la suciedad de la obra. Limpia y desincrusta. Respeta la cerámica y los metales. No despide gases tóxicos.   Ref. lp-00394135.
RENDIMIENTO INDICATIVO (1 Galón o 3,78 litros)
Porcelánico: Dilución 1:5 (150 m2)
Piedra resistente al ácido: Dilución 1:5 a 1:10 (76 a 132 m2)
Barro: Dilución 1:5 (38 a 76 m2)
PROPIEDADES:
* Elimina residuos de lechada de cemento, eflorescencias salinas, depósitos de calcio y manchas calcáreas.
* Remueve manchas de jabón, óxido, pintura y suciedad de obra
* Se puede usar en interiores y exteriores en pisos revestimientos, cabinas de ducha, accesorios de baño, y fachadas.
* Seguro para piedra resistente al ácido porcelánico, cerámica y barro.
* Ideal para la limpieza final de obra: limpia a fondo la suciedad inorgánica de la construcción.
* Se puede utilizar como limpiador o eliminador de cal, según la dilución.
* Contiene ingredientes biodegradables.</t>
  </si>
  <si>
    <t xml:space="preserve">ma-lp-00394142</t>
  </si>
  <si>
    <t xml:space="preserve">Material</t>
  </si>
  <si>
    <t xml:space="preserve">envase</t>
  </si>
  <si>
    <t xml:space="preserve">Detergente neutro concentrado para limpieza y mantenimiento FILACLEANER (1 litro/envase).   Ref. lp-00394142</t>
  </si>
  <si>
    <t xml:space="preserve">FILACLEANER es un detergente neutro concentrado de agradable aroma, adecuado para limpiar delicadamente todo tipo de pavimentos y revestimientos. Respeta las superficies tratadas y delicadas. Ideal para la limpieza final de obra de pavimentos en piedra natural con acabado pulido así como las sensibles a detergentes fuertes. Rendimiento: Mantenimiento ordinario (1:200) 1500 m2/litro; Limpieza inicial (1:30) 50 m2/litro.   Ref. lp-00394142.
VENTAJAS: 
• Limpia sin atacar el material.
• Con elevadas diluciones (1:200) no es necesario aclarar ya que no deja residuos.
• Muy concentrado, puede ser utilizado en varias diluciones.
• Ideal para Gres Porcelánico, Cerámica y Gres Esmaltado, Barro, Gres Extrusionado, Cemento, Madera, Piedra y Terrazos, Laminados Plásticos, Linoleo, Goma y PVC, así como para el mantenimiento ordinario de todas las superficies enceradas.
• Se puede utilizar con máquina limpia y seca con diluciones elevadas (desde 1:200).</t>
  </si>
  <si>
    <t xml:space="preserve">ma-lp-00394158</t>
  </si>
  <si>
    <t xml:space="preserve">Material</t>
  </si>
  <si>
    <t xml:space="preserve">envase</t>
  </si>
  <si>
    <t xml:space="preserve">Protector hidrofugado antisalitre HYDROREP ECO de FILA (5 litros/envase).   Ref. lp-00394158</t>
  </si>
  <si>
    <t xml:space="preserve">Protector hidrorepelente ecológico en base acuosa con efecto natural. Protege los materiales porosos contra humedad y agentes atmosféricos (verdín, musgo, moho, etc.). Obstaculiza el crecimiento de algas, moho y líquenes. No crea película y no altera el aspecto de los materiales. Impermeabiliza el material en profundidad conservando su transpiración. Transpirable y transitable. Rendimiento con 1 litro de producto y a capas individuales: 10 a 20 m2 para terracota, paredes de ladrillo visto, baldosas de cantera, piedra, yeso; 8 a 10 m2 para hormigón).   Ref. lp-00394158.</t>
  </si>
  <si>
    <t xml:space="preserve">ma-lp-00538910</t>
  </si>
  <si>
    <t xml:space="preserve">Material</t>
  </si>
  <si>
    <t xml:space="preserve">cartucho</t>
  </si>
  <si>
    <t xml:space="preserve">Adhesivo de montaje FIXFORTE de QUILOSA (350 gr/cartucho).   Ref. lp00538910</t>
  </si>
  <si>
    <t xml:space="preserve">Adhesivo de montaje extrafuerte y a base de disolvente, recomendado para pegar los materiales de construcción más utilizados durante trabajos de acabado y remodelación. Adecuado para pegar materiales de construcción. Hormigón, yeso, aglomerado, madera, tableros de yeso, yeso, piedra, etc. Pegado de conductos de cables, marcos, listones, zócalos, aislamiento, señales, accesorios de baño y cocina, puntos de iluminación y alarmas.   Ref. lp00538910.</t>
  </si>
  <si>
    <t xml:space="preserve">ma-lp-00539029</t>
  </si>
  <si>
    <t xml:space="preserve">Material</t>
  </si>
  <si>
    <t xml:space="preserve">envase</t>
  </si>
  <si>
    <t xml:space="preserve">Disolvente-Diluente Nitro BIGMAT (1 litro/envase)   Ref. lp-00539029</t>
  </si>
  <si>
    <t xml:space="preserve">Mezcla de hidrocarburos, esteres, cetonas y alcoholes adecuada para la disolución de todos los tipos de productos nitrocelulósicos (pinturas, barnices, fondos tapaporos, etc). También se utiliza como diluyente de algunas pinturas sintéticas cuando se aplican con pistola y se desea una evaporación muy rápida del disolvente.   Ref. lp-00539029</t>
  </si>
  <si>
    <t xml:space="preserve">ma-lp-00540063</t>
  </si>
  <si>
    <t xml:space="preserve">Material</t>
  </si>
  <si>
    <t xml:space="preserve">envase</t>
  </si>
  <si>
    <t xml:space="preserve">Pegamento para tubería de PVC BIGMAT (500 ml/envase)   Ref. lp-00540063</t>
  </si>
  <si>
    <t xml:space="preserve">Adhesivo especial para tuberías y accesorios de PVC rígido y para los sistemas de presión de nueva generación. Se puede utilizar en tuberías que lleven agua potable. Adhesivo libre de THF. Caducidad: 2 años. Tixotrópico. Contenido: 500 ml.   Ref. lp-00540063</t>
  </si>
  <si>
    <t xml:space="preserve">ma-lp-00564064</t>
  </si>
  <si>
    <t xml:space="preserve">Material</t>
  </si>
  <si>
    <t xml:space="preserve">envase</t>
  </si>
  <si>
    <t xml:space="preserve">Limpiador disolvente para tuberías de PVC BIGMAT (500 ml/envase)   Ref. lp-00564064</t>
  </si>
  <si>
    <t xml:space="preserve">Disolvente que pule y activa las superficies de PVC rígido y flexible (permitiendo desarrollar la máxima fuerza a los adhesivos utilizados), y limpia los utensilios manipulados en la aplicación de dichos pegamentos. Envase de 500 ml.   Ref. lp-00564064</t>
  </si>
  <si>
    <t xml:space="preserve">ma-ma-quivacolor-01</t>
  </si>
  <si>
    <t xml:space="preserve">Material</t>
  </si>
  <si>
    <t xml:space="preserve">envase</t>
  </si>
  <si>
    <t xml:space="preserve">Líquido ALGATROL WALL para tratamiento limpiador antimoho en paredes (5 litros/envase).   Ref. ma-quivacolor-01</t>
  </si>
  <si>
    <t xml:space="preserve">Tratamiento limpiador antimoho para paredes y fachadas.
Naturaleza Química: Mezcla de compuestos fungicidas en disolución acuosa. Biodegradable. Presentación en envases de polietileno de 30, 60 y 210 litros.
APLICACIONES:
• Producto especialmente indicado para el tratamiento antimoho-fungicida de paredes y fachadas.
• Eficaz en la eliminación de hongos, musgos y algas.
• Lava y destruye las esporas antes del pintado.
• Elimina y previene la aparición de musgo en zonas muy húmedas.
MODO DE EMPLEO / LIMPIEZA:
•  Emplear puro o diluido hasta el 50%.
• Aplicar ALGATROL sobre la superficie a tratar con pulverizador, esponja o brocha. Para situaciones difíciles, emplear cepillo. Dejar actuar (20 min. aprox.) Aclarar.
• Dejar secar y aplicar el recubrimiento deseado.
• Temperatura de aplicación: 5-35ºC.
• Secado de 1-2 horas.
MODO DE EMPLEO PREVENTIVO:  Aplicar ALGATROL diluido al 10 %. Dejar secar y aplicar el recubrimiento deseado.</t>
  </si>
  <si>
    <t xml:space="preserve">ma-notermite-antitermite-01</t>
  </si>
  <si>
    <t xml:space="preserve">Material</t>
  </si>
  <si>
    <t xml:space="preserve">envase</t>
  </si>
  <si>
    <t xml:space="preserve">Tratamiento Antitermitas de NO TERMITE (1 litro/envase).   Ref. notermite-antitermite-01</t>
  </si>
  <si>
    <t xml:space="preserve">Tratamiento Antitermitas de NO TERMITE (1 litro/envase).   Ref. notermite-antitermite-01
CONSUMO POTratamiento Antitermitas de NO TERMITE (1 litro/envase).   Ref. notermite-antitermite-01R LITRO Y DILUCIÓN:
• Para uso preventivo: 20 metros lineales de zanja (10 m2 por riego) para 1 litro de producto concentrado. Dilución de 1 litro de producto concentrado en 49 litros de agua o 50 litros de producto listo para usar.
• Para uso curativo: 4 metros lineales de zanja (2 m2 por riego) para 1 litro de producto concentrado. Dilución de 1 litro de producto concentrado en 9 litros de agua o 10 litros de producto listo para usar.
• Aplicación mediante pulverización: 20m2/litro de producto concentrado. Aplicación pura.
NORMAS DE USO:
• Para un uso preventivo, diluir 1 litro de producto concentrado en 49 litros de agua. Obtendrá 50 litros de producto listo para usar y podrá llenar 20 metros lineales de zanja o regar 10m2.
• Para un uso curativo, diluir 1 litro de producto concentrado en 9 litros de agua. Obtendrá 10 litros de producto listo para usar y podrá llenar 4 metros lineales de zanja o regar 2m2.
• Para el tratamiento previo a la construcción:
Eche de 4 a 5 litros de producto diluido con una regadera por toda la superficie del futuro edificio, sin olvidar los cimientos y las zanjas.
• Para el tratamiento posterior a la construcción:
  * Tratamiento de madera y estructuras: Aplicación del producto diluido (o directamente puro) pulverizando toda la superficie y sobre las termitas. Estas distribuyen el producto entre sí, lo que asegura la eliminación de termitas que no están presentes en las superficies. Esto también evita la perforación de la madera posiblemente debilitada por las termitas.
   * Tratamiento de suelos exteriores: Para suelos naturales, abrir una zanja de 40x40 cm alrededor de la casa y llenarla con producto diluido; Para suelos de mampostería, realizar una línea de inyección perforando pozos verticales cada 15 a 20 cm. Inyectar 1 litro de producto diluido por orificio.
   * Tratamiento de suelos interiores: Para suelos de mampostería, realizar una línea de inyección perforando pozos verticales cada 15 a 20 cm. Inyectar 1 litro de producto diluido por orificio; Para suelos arcillosos, echar de 4 a 5 litros de producto diluido con una regadera por toda la superficie.</t>
  </si>
  <si>
    <t xml:space="preserve">ma-notermite-antitermite-05</t>
  </si>
  <si>
    <t xml:space="preserve">Material</t>
  </si>
  <si>
    <t xml:space="preserve">envase</t>
  </si>
  <si>
    <t xml:space="preserve">Tratamiento Antitermitas de NO TERMITE (5 litros/envase).   Ref. notermite-antitermite-05</t>
  </si>
  <si>
    <t xml:space="preserve">Tratamiento Antitermitas de NO TERMITE (5 litros/envase).   Ref. notermite-antitermite-05
CONSUMO POTratamiento Antitermitas de NO TERMITE (1 litro/envase).   Ref. notermite-antitermite-01R LITRO Y DILUCIÓN:
• Para uso preventivo: 20 metros lineales de zanja (10 m2 por riego) para 1 litro de producto concentrado. Dilución de 1 litro de producto concentrado en 49 litros de agua o 50 litros de producto listo para usar.
• Para uso curativo: 4 metros lineales de zanja (2 m2 por riego) para 1 litro de producto concentrado. Dilución de 1 litro de producto concentrado en 9 litros de agua o 10 litros de producto listo para usar.
• Aplicación mediante pulverización: 20m2/litro de producto concentrado. Aplicación pura.
NORMAS DE USO:
• Para un uso preventivo, diluir 1 litro de producto concentrado en 49 litros de agua. Obtendrá 50 litros de producto listo para usar y podrá llenar 20 metros lineales de zanja o regar 10m2.
• Para un uso curativo, diluir 1 litro de producto concentrado en 9 litros de agua. Obtendrá 10 litros de producto listo para usar y podrá llenar 4 metros lineales de zanja o regar 2m2.
• Para el tratamiento previo a la construcción:
Eche de 4 a 5 litros de producto diluido con una regadera por toda la superficie del futuro edificio, sin olvidar los cimientos y las zanjas.
• Para el tratamiento posterior a la construcción:
  * Tratamiento de madera y estructuras: Aplicación del producto diluido (o directamente puro) pulverizando toda la superficie y sobre las termitas. Estas distribuyen el producto entre sí, lo que asegura la eliminación de termitas que no están presentes en las superficies. Esto también evita la perforación de la madera posiblemente debilitada por las termitas.
   * Tratamiento de suelos exteriores: Para suelos naturales, abrir una zanja de 40x40 cm alrededor de la casa y llenarla con producto diluido; Para suelos de mampostería, realizar una línea de inyección perforando pozos verticales cada 15 a 20 cm. Inyectar 1 litro de producto diluido por orificio.
   * Tratamiento de suelos interiores: Para suelos de mampostería, realizar una línea de inyección perforando pozos verticales cada 15 a 20 cm. Inyectar 1 litro de producto diluido por orificio; Para suelos arcillosos, echar de 4 a 5 litros de producto diluido con una regadera por toda la superficie.</t>
  </si>
  <si>
    <t xml:space="preserve">ma-notermite-antitermite-25</t>
  </si>
  <si>
    <t xml:space="preserve">Material</t>
  </si>
  <si>
    <t xml:space="preserve">bidón</t>
  </si>
  <si>
    <t xml:space="preserve">Tratamiento Antitermitas de NO TERMITE (25 litros/bidón).   Ref. notermite-antitermite-25</t>
  </si>
  <si>
    <t xml:space="preserve">Tratamiento Antitermitas de NO TERMITE (25 litros/bidón).   Ref. notermite-antitermite-25
CONSUMO POTratamiento Antitermitas de NO TERMITE (1 litro/envase).   Ref. notermite-antitermite-01R LITRO Y DILUCIÓN:
• Para uso preventivo: 20 metros lineales de zanja (10 m2 por riego) para 1 litro de producto concentrado. Dilución de 1 litro de producto concentrado en 49 litros de agua o 50 litros de producto listo para usar.
• Para uso curativo: 4 metros lineales de zanja (2 m2 por riego) para 1 litro de producto concentrado. Dilución de 1 litro de producto concentrado en 9 litros de agua o 10 litros de producto listo para usar.
• Aplicación mediante pulverización: 20m2/litro de producto concentrado. Aplicación pura.
NORMAS DE USO:
• Para un uso preventivo, diluir 1 litro de producto concentrado en 49 litros de agua. Obtendrá 50 litros de producto listo para usar y podrá llenar 20 metros lineales de zanja o regar 10m2.
• Para un uso curativo, diluir 1 litro de producto concentrado en 9 litros de agua. Obtendrá 10 litros de producto listo para usar y podrá llenar 4 metros lineales de zanja o regar 2m2.
• Para el tratamiento previo a la construcción:
Eche de 4 a 5 litros de producto diluido con una regadera por toda la superficie del futuro edificio, sin olvidar los cimientos y las zanjas.
• Para el tratamiento posterior a la construcción:
  * Tratamiento de madera y estructuras: Aplicación del producto diluido (o directamente puro) pulverizando toda la superficie y sobre las termitas. Estas distribuyen el producto entre sí, lo que asegura la eliminación de termitas que no están presentes en las superficies. Esto también evita la perforación de la madera posiblemente debilitada por las termitas.
   * Tratamiento de suelos exteriores: Para suelos naturales, abrir una zanja de 40x40 cm alrededor de la casa y llenarla con producto diluido; Para suelos de mampostería, realizar una línea de inyección perforando pozos verticales cada 15 a 20 cm. Inyectar 1 litro de producto diluido por orificio.
   * Tratamiento de suelos interiores: Para suelos de mampostería, realizar una línea de inyección perforando pozos verticales cada 15 a 20 cm. Inyectar 1 litro de producto diluido por orificio; Para suelos arcillosos, echar de 4 a 5 litros de producto diluido con una regadera por toda la superficie.</t>
  </si>
  <si>
    <t xml:space="preserve">ma-palfaz-841054973752</t>
  </si>
  <si>
    <t xml:space="preserve">Material</t>
  </si>
  <si>
    <t xml:space="preserve">envase</t>
  </si>
  <si>
    <t xml:space="preserve">Aditivo reforzante antimoho y antialga de REVETÓN (130 ml/envase).   Ref. palfaz-841054973752</t>
  </si>
  <si>
    <t xml:space="preserve">Aditivo concentrado antimoho y antialga para pinturas y revestimientos en dispersión acuosa, que refuerza significativamente la protección fungicida y alguicida de la película superficial. Indicado para pinturas y revestimientos acrílicos en base agua destinadas a soportes donde fácilmente se desarrollan mohos, verdín, hongos, algas etc. Rendimiento Teórico: 100 gr = dosis para bidón de 15 litros.   Ref. palfaz-841054973752.</t>
  </si>
  <si>
    <t xml:space="preserve">ma-pequinsa-acido.acetico-5</t>
  </si>
  <si>
    <t xml:space="preserve">Material</t>
  </si>
  <si>
    <t xml:space="preserve">envase</t>
  </si>
  <si>
    <t xml:space="preserve">Ácido acético en solución al 80% de PEQUINSA (5 litros/envase).   Ref. pequinsa-acido.acetico-5</t>
  </si>
  <si>
    <t xml:space="preserve">Ácido acético en solución al 80% de PEQUINSA (5 litros/envase).   Ref. pequinsa-acido.acetico-5.</t>
  </si>
  <si>
    <t xml:space="preserve">ma-pintam-01</t>
  </si>
  <si>
    <t xml:space="preserve">Material</t>
  </si>
  <si>
    <t xml:space="preserve">envase</t>
  </si>
  <si>
    <t xml:space="preserve">Limpiador FAKOLITH FK-12 para daños de Humedad+Salitre+Moho+Verdín (5 litros/envase).   Ref pintam-01</t>
  </si>
  <si>
    <t xml:space="preserve">RESUMEN DE PRODUCTO: Limpiador detergente concentrado al agua, libre de cloro y formaldehido, biodegradable y compatible con la humedad. Amplio espectro de aplicaciones y sectores, de uso tanto en interiores como en exteriores, en superficies horizontales y verticales.
Para limpiar daños causados por la humedad en superficies de diversos materiales; florecimientos de salitre, de cal, daños causados en superficies por la acción de microorganismos como el moho, el verdín, bacterias y matriz de biofilm, así como la polución de grado medio. De uso principal en industria en general, industria alimentaria, sector sanitario, establecimientos en general, restauración de fachadas y patrimonio, obra civil.
Presenta un notorio poder de penetración desincrustante, dejando el poro de la base, limpio, abierto y receptivo para posteriores tratamientos; consolidantes, protectores, impregnaciones hidrofugantes, imprimaciones, pinturas y revestimientos, protecciones anti-graffiti, etc... Sus componentes tensoactivos facilitan que se neutralice la base, tras su aclarado con agua. Con Declaración de Conformidad.
MODO DE APLICACIÓN: Aplicación desde concentrado hasta disuelto 1:4 en agua como norma general. Adaptar la disolución según las necesidades y afecciones de cada superficie. A mayor concentración, mayor rapidez de acción, y mayor capacidad de limpieza de daños. Especialmente para eliminar cal y microorganismos en madera se aplicará sin diluir.
Realizada la disolución, aplicar preferentemente desde la zona superior, con brocha, esponja, fregona, pulverizador, según convenga en cada caso:
• Insistir donde se detone reacción y frotar con cepillos en la zona afectada.
• Aclarar con agua antes de que seque el producto y la suciedad disuelta.
• Dejar secar antes de proceder con otros tratamientos.
CONSUMO – RENDIMIENTO: Es muy variable, en función de la disolución empleada, tipo y absorción de la superficie, método de aplicación, tipo y grado de suciedad o afección, por lo que su rendimiento medio puede oscilar entre los 4 m² y 15 m² por litro de concentrado.</t>
  </si>
  <si>
    <t xml:space="preserve">ma-pintunova-01</t>
  </si>
  <si>
    <t xml:space="preserve">Material</t>
  </si>
  <si>
    <t xml:space="preserve">envase</t>
  </si>
  <si>
    <t xml:space="preserve">Limpiador de fachadas con conservante antimoho de BLATEM (5 litros/envase).   Ref. pintunova-01</t>
  </si>
  <si>
    <t xml:space="preserve">PROPIEDADES:
Excelente conservación de materiales de construcción debido a la acción prolongada del producto, indicado para la conservación de materiales de construcción, evitando la formación de hongos, musgos, mohos y algas. De muy fácil aplicación y repintable con las pinturas y revestimientos al agua sin interferir en ninguna de sus propiedades.
APLICACIONES:
Es un producto de pre-tratamiento reparador de superficies de construcción previo al pintado, sobre todo en las superficies con formación de hongos, musgos, mohos y algas. Sobre este producto debemos aplicar una pintura o revestimiento de acabado con conservante antimoho.
CARACTERÍSTICAS TECNICAS:
• Color: Incoloro.
• Acabado: Transparente.
• Uso: Interior/Exterior.
• Densidad (UNE-EN-ISO 2811-1): 1,00 ± 0,05 gr/cc.
• Rendimiento: 4-6 m2 /litro.
• Secado: 30 minutos.
• Repintado: mínimo 2-4 horas; óptimo 24 horas.
PREPARACION DE SUPERFICIES:
Nuevas: No es necesario realizar ninguna preparación especial. Para el pintado posterior realizar la preparación de superficie que indique la Ficha Técnica de la pintura o revestimiento a utilizar. Pintadas: Eliminar las partes en mal estado, mal adheridas o de baja calidad y proceder como en las superficies nuevas.
MODO DE EMPLEO:
Si la superficie presenta a simple vista manchas negras importantes, se deben rascar con un cepillo de cerdas duras o algo similar antes de aplicar el producto. El producto se emplea sin diluir, empapando la superficie mediante cualquiera de los sistemas de aplicación (brocha, rodillo o pistola). Después de estar totalmente seco el producto, se debe aplicar preferentemente como acabado una pintura o revestimiento con conservante antimoho.</t>
  </si>
  <si>
    <t xml:space="preserve">ma-pinturas.es-01</t>
  </si>
  <si>
    <t xml:space="preserve">Material</t>
  </si>
  <si>
    <t xml:space="preserve">envase</t>
  </si>
  <si>
    <t xml:space="preserve">Líquido imprimador-saneador de fachadas con alguicida y fungicida (5 litros/envase).   Ref. pinturas.es-01</t>
  </si>
  <si>
    <t xml:space="preserve">Emulsión de copolímeros acrílicos de muy pequeño tamaño de partícula, en suspensión acuosa e internamente estabilizada, modificada con productos de alto poder algicida y fungicida. Rendimiento 15/20m² por litro y mano (aplicándolo preferentemente a rodillo o brocha). Aunque es disolvente en agua, se recomienda su uso tal y como se suministra).   Ref. pinturas.es-01
EXTERIORES E INTERIORES:
Por su pequeño tamaño de partícula presenta un elevado poder de penetración en paramentos porosos, que se traduce en una alta adherencia al soporte y entre capas, ejerciendo una función de puente entre el paramento y el revestido final. Primera mano de plástico antiverdin y antimoho Debido a su naturaleza acrílica, presenta una excelente resistencia al agua, a los álcalis (Cemento, uralita, cal, etc.) y una ausencia total de amarilleo.
No ataca no daña la piedra natural ni los materiales de construcción.
En zonas umbrías de fachadas que puedan ser susceptibles de aparición de líquenes, algas, etc. para prevenirlo antes del pintado definitivo o en habitaciones húmedas con propensión a formar moho.
También apta para zonas con problemas ya existentes de musgo, una vez eliminado éste por medios mecánicos, rascado de paredes, lavado a presión o por lavado previo a fondo hasta total eliminación.
Actúa también como fijador, para favorecer el anclaje de las posteriores pinturas o en paramentos antiguos y ya pintados donde sean de prever caleos, desconchados y en general falta de adherencia al soporte motivada por problemas de envejecimiento.</t>
  </si>
  <si>
    <t xml:space="preserve">ma-pp-s/c-07</t>
  </si>
  <si>
    <t xml:space="preserve">Material</t>
  </si>
  <si>
    <t xml:space="preserve">envase</t>
  </si>
  <si>
    <t xml:space="preserve">Convertidor de óxido para eliminar y frenar su aparición sobre superficies metálicas MINOXIL de BEISSIER (1 litro/envase).   Ref. pp-s/c-07</t>
  </si>
  <si>
    <t xml:space="preserve">MINOXIL de BEISSIER, también denominado “LIJA LÍQUIDA”, se aplica para desincrustar, eliminar y frenar la aparición de óxido y cal sobre superficies metálicas tales como: muebles de jardín, balcones, verjas, barandillas, enrejados, bisagras, lámparas, embarcaciones, etc.   Ref. pp-s/c-07</t>
  </si>
  <si>
    <t xml:space="preserve">ma-s.lucia-sika.wt-120.L</t>
  </si>
  <si>
    <t xml:space="preserve">Material</t>
  </si>
  <si>
    <t xml:space="preserve">bidón</t>
  </si>
  <si>
    <t xml:space="preserve">Aditivo hidrófugo en masa para hormigón y mortero SIKA WT-120 L (25 kg/bidón).   Ref. s.lucia-sika.wt-120.L</t>
  </si>
  <si>
    <t xml:space="preserve">SIKA WT-120 L es un aditivo hidrófugo en masa usado para conseguir una alta impermeabilidad en los hormigones y morteros. En combinación con tecnología de aditivos de la gama de SIKA, se consiguen valores de penetración de agua por debajo de los valores establecidos en la EHE-08, en función de la tipología de la estructura. USOS: SIKA WT-120 L has sido específicamente formulado para conseguir hormigones impermeables de alta calidad en Cimentaciones de edificación y en Cimentaciones en obras de ingeniería. Dosificación Recomendada: 0,5 a 2% del peso del cemento (para mayores consumos, se recomienda la realización de pruebas previas con los materiales y las condiciones especificadas para la obra).   Ref. s.lucia-sika.wt-120.L.</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</si>
  <si>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</si>
  <si>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</si>
  <si>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</si>
  <si>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</si>
  <si>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SIKAFLEX-117 METAL FORCE es un adhesivo de construcción monocomponente especialmente formulado para el sellado y el pegado de metales. Rendimiento 1 Cartucho (290 ml): +/- 100 puntos (diámetro= 30 mm, espesor = 4 mm);  +/- 5 m cordón (diámetro de la boquilla = 5 mm (+/- 60 ml/m)).   Ref. s.lucia-sikaflex117metalforce.</t>
  </si>
  <si>
    <t xml:space="preserve">PRODUCTOS.QUIMICOS</t>
  </si>
  <si>
    <t xml:space="preserve">SISTEMA-SATE</t>
  </si>
  <si>
    <t xml:space="preserve">Capítulo</t>
  </si>
  <si>
    <t xml:space="preserve">MATERIALES Y ACCESORIOS DEL SISTEMA SATE</t>
  </si>
  <si>
    <t xml:space="preserve">BAUMIT</t>
  </si>
  <si>
    <t xml:space="preserve">Capítulo</t>
  </si>
  <si>
    <t xml:space="preserve">MATERIALES Y ACCESORIOS BAUMIT</t>
  </si>
  <si>
    <t xml:space="preserve">ma-indulak-009802UNIP25</t>
  </si>
  <si>
    <t xml:space="preserve">Material</t>
  </si>
  <si>
    <t xml:space="preserve">cubo</t>
  </si>
  <si>
    <t xml:space="preserve">Imprimante universal con ligantes orgánicos como adherente para revocos BAUMIT UNIPRIMER (25 kg/cubo).   Ref. indulak-009802UNIP25</t>
  </si>
  <si>
    <t xml:space="preserve">Pintura de imprimación con ligantes orgánicos, lista al uso. Composición: Ligantes orgánicos, aditivos con contenido en silicona, sustancias minerales de relleno, otros aditivos, agua. Propiedades: Agente adhesivo y regulador de absorción que hace posible la coloración uniforme del revestimiento final y permite una protección hidrófoba adicional en la superficie de aplicación. Uso: Imprimación universal para exteriores e interiores, para el posterior revestimiento con revocos BAUMIT. Rendimiento aprox. por calculadora de BAUMIT: 1 a 2,5 kg/m2.   Ref. indulak-009802UNIP25.</t>
  </si>
  <si>
    <t xml:space="preserve">ma-indulak-009803SIKTOPK16789025</t>
  </si>
  <si>
    <t xml:space="preserve">Material</t>
  </si>
  <si>
    <t xml:space="preserve">cubo</t>
  </si>
  <si>
    <t xml:space="preserve">Mortero para revoco con resina de silicona BAUMIT SILIKONTOP (25 kg/cubo)… Ref. indulak-009803SIKTOPK16789025</t>
  </si>
  <si>
    <t xml:space="preserve">Revoco de acabado de capa fina con resina de silicona, pastoso y listo para aplicar. Revoco de acabado fratasado para exterior. Transpirable, extremadamente hidrófugo, resistente a la suciedad y de uso universal. Consumo: aprox. 2,5 kg/m2; Rendimiento: aprox. 10 m2/cubo.   Ref. indulak-009803SIKTOPK16789025.</t>
  </si>
  <si>
    <t xml:space="preserve">ma-indulak-009804STTX50</t>
  </si>
  <si>
    <t xml:space="preserve">Material</t>
  </si>
  <si>
    <t xml:space="preserve">rollo</t>
  </si>
  <si>
    <t xml:space="preserve">Malla de fibra de vidrio antiálcali BAUMIT STARTEX 145 (50 m2/rollo; ancho 1 m).   Ref. indulak-009804STTX50</t>
  </si>
  <si>
    <t xml:space="preserve">Malla de fibra de vidrio alcalinorresistente como capa de refuerzo para enfoscados y para el sistema de aislamiento térmico exterior BAUMIT. Composición: Fibra de vidrio recubiertos de material sintético de alta calidad para protegerlo de los álcalis. Tamaño de malla: 4 mm x 4.5 mm; Masa por unidad: aprox. 145 gr/m2.   Ref. indulak-009804STTX50.</t>
  </si>
  <si>
    <t xml:space="preserve">ma-indulak-009809CINTSELL15.2-6</t>
  </si>
  <si>
    <t xml:space="preserve">Material</t>
  </si>
  <si>
    <t xml:space="preserve">caja</t>
  </si>
  <si>
    <t xml:space="preserve">Cinta selladora y autoadhesiva de poliuretano FUGENDICHTBAND de BAUMIT; ancho de junta 2 a 6 mm (5 rollos/caja; 18 m/rollo).   Ref. indulak-009809CINTSELL15.2-6</t>
  </si>
  <si>
    <t xml:space="preserve">Cinta selladora precomprimida y autoadhesiva de espuma blanda de poliuretano con superficies laterales impregnadas, resistente a la intemperie y al agua de lluvia, para un ancho de junta de 2 a 6 mm.   Ref. indulak-009809CINTSELL15.2-6.</t>
  </si>
  <si>
    <t xml:space="preserve">ma-socel-027767</t>
  </si>
  <si>
    <t xml:space="preserve">Material</t>
  </si>
  <si>
    <t xml:space="preserve">saco</t>
  </si>
  <si>
    <t xml:space="preserve">Mortero adhesivo y de refuerzo mineral con tecnología gel STARCONTACT de BAUMIT (25 kg/saco).   Ref. socel-027767</t>
  </si>
  <si>
    <t xml:space="preserve">Mortero adhesivo y de enfoscado de base en polvo mineral de gran fuerza adhesiva para exterior o interior. Hidrófobo y de muy buena aplicación. Consumo aprox.: 4,5 a 5,5 kg/m2 como Adhesivo; 4 a 5 kg/m2 como Refuerzo.   Ref. socel-027767.
Mortero adhesivo mineral en polvo con tecnología gel, para paneles STARTHERM gris o blanco, XPS, MINERALTHERM, RESOLUTION, para adhesión y refuerzo, así como para el refuerzo con malla BAUMIT STARTEX. También como mortero tapaporos sobre hormigón.
USOS: Como mortero adhesivo y de refuerzo en los Sistemas de Aislamiento Térmico por el exterior BAUMIT; y, Como enfoscado de capa fina sobre bases minerales. Composición: Cemento, ligantes orgánicos, áridos, aditivos.</t>
  </si>
  <si>
    <t xml:space="preserve">ma-socel-040452</t>
  </si>
  <si>
    <t xml:space="preserve">Material</t>
  </si>
  <si>
    <t xml:space="preserve">rollo</t>
  </si>
  <si>
    <t xml:space="preserve">Malla de fibra de vidrio antiálcali BAUMIT STARTEX 160 (50 m2/rollo; ancho 1 m).   Ref. socel-040452</t>
  </si>
  <si>
    <t xml:space="preserve">Malla de fibra de vidrio alcalinorresistente como capa de refuerzo para enfoscados y para el sistema de aislamiento térmico exterior BAUMIT. Composición: Fibra de vidrio recubiertos de material sintético de alta calidad para protegerlo de los álcalis. Tamaño de malla: 3,5 mm x 3,8 mm; Masa por unidad: aprox. 160 gr/m2.   Ref. socel-040452.</t>
  </si>
  <si>
    <t xml:space="preserve">BAUMIT</t>
  </si>
  <si>
    <t xml:space="preserve">STOTHERM</t>
  </si>
  <si>
    <t xml:space="preserve">Capítulo</t>
  </si>
  <si>
    <t xml:space="preserve">MATERIALES Y ACCESORIOS STOTHERM</t>
  </si>
  <si>
    <t xml:space="preserve">ma-STOTHERM-00130-001</t>
  </si>
  <si>
    <t xml:space="preserve">Material</t>
  </si>
  <si>
    <t xml:space="preserve">cubo</t>
  </si>
  <si>
    <t xml:space="preserve">Mortero de revoco exterior STOLIT K 1.0 (blanco) de Serie STOLIT K/R/MP de STOTHERM (25 kg/cubo).   Ref. STOTHERM-00130-001</t>
  </si>
  <si>
    <t xml:space="preserve">Mortero de revoco exterior según EN 15824 (sobre mampostería, fachadas aisladas y fachadas ventiladas con mortero base; sobre soportes minerales y orgánicos, no apto para superficies horizontales o inclinadas expuestas a la intemperie). Consumo para STOLIT K 1.0: 1,8 kg/m2 (dependiendo del tipo de aplicación, el soporte y la consistencia).   Ref. STOTHERM-00130-001.
Máxima seguridad de aplicación, mantiene valor, color y estabilidad, A2-s1, d0 según EN 13501-1, con película de protección encapsulada, alta protección contra grietas, golpes y granizo usado con STOTHERM CLASSIC, muy permeable al vapor de agua, altamente hidrófugo, resistente contra las inclemencias climáticas, diluible en agua, con grano de mármol de alta calidad procedente de yacimientos naturales.
Aspecto: en textura de revoco rugosa (K) o acanalada (R) o como revoco para modelar (MP).</t>
  </si>
  <si>
    <t xml:space="preserve">ma-STOTHERM-00131-001</t>
  </si>
  <si>
    <t xml:space="preserve">Material</t>
  </si>
  <si>
    <t xml:space="preserve">cubo</t>
  </si>
  <si>
    <t xml:space="preserve">Mortero de revoco exterior STOLIT K 1.5 (blanco) de Serie STOLIT K/R/MP de STOTHERM (25 kg/cubo).   Ref. STOTHERM-00131-001</t>
  </si>
  <si>
    <t xml:space="preserve">Mortero de revoco exterior según EN 15824 (sobre mampostería, fachadas aisladas y fachadas ventiladas con mortero base; sobre soportes minerales y orgánicos, no apto para superficies horizontales o inclinadas expuestas a la intemperie). Consumo para STOLIT K 1.5: 2,3 kg/m2 (dependiendo del tipo de aplicación, el soporte y la consistencia).   Ref. STOTHERM-00131-001.
Máxima seguridad de aplicación, mantiene valor, color y estabilidad, A2-s1, d0 según EN 13501-1, con película de protección encapsulada, alta protección contra grietas, golpes y granizo usado con STOTHERM CLASSIC, muy permeable al vapor de agua, altamente hidrófugo, resistente contra las inclemencias climáticas, diluible en agua, con grano de mármol de alta calidad procedente de yacimientos naturales.
Aspecto: en textura de revoco rugosa (K) o acanalada (R) o como revoco para modelar (MP).</t>
  </si>
  <si>
    <t xml:space="preserve">ma-STOTHERM-00132-001</t>
  </si>
  <si>
    <t xml:space="preserve">Material</t>
  </si>
  <si>
    <t xml:space="preserve">cubo</t>
  </si>
  <si>
    <t xml:space="preserve">Mortero de revoco exterior STOLIT K 2.0 (blanco) de Serie STOLIT K/R/MP de STOTHERM (25 kg/cubo).   Ref. STOTHERM-00132-001</t>
  </si>
  <si>
    <t xml:space="preserve">Mortero de revoco exterior según EN 15824 (sobre mampostería, fachadas aisladas y fachadas ventiladas con mortero base; sobre soportes minerales y orgánicos, no apto para superficies horizontales o inclinadas expuestas a la intemperie). Consumo para STOLIT K 2.0: 3,0 kg/m2 (dependiendo del tipo de aplicación, el soporte y la consistencia).   Ref. STOTHERM-00132-001.
Máxima seguridad de aplicación, mantiene valor, color y estabilidad, A2-s1, d0 según EN 13501-1, con película de protección encapsulada, alta protección contra grietas, golpes y granizo usado con STOTHERM CLASSIC, muy permeable al vapor de agua, altamente hidrófugo, resistente contra las inclemencias climáticas, diluible en agua, con grano de mármol de alta calidad procedente de yacimientos naturales.
Aspecto: en textura de revoco rugosa (K) o acanalada (R) o como revoco para modelar (MP).</t>
  </si>
  <si>
    <t xml:space="preserve">ma-STOTHERM-00217-079</t>
  </si>
  <si>
    <t xml:space="preserve">Material</t>
  </si>
  <si>
    <t xml:space="preserve">bidón</t>
  </si>
  <si>
    <t xml:space="preserve">Pintura pura de fachada con resina de silicona STOCOLOR SILCO de STOTHERM (15 litros/bidón).   Ref. STOTHERM-00217-079</t>
  </si>
  <si>
    <t xml:space="preserve">Pintura pura de fachada con resina de silicona, de resultados especialmente seguros. Mantiene la textura. Pintura de enlace con resina de silicona pura según la norma francesa FD T30-808, muy buen poder de recubrimiento. Altamente hidrófugo, muy permeable al vapor de agua y al CO2. Baja tendencia a ensuciarse. Secado homogéneo con tensiones internas mínimas. Consumo aproximado: 0,36 a 0,40 litros/m2/mano (el consumo de material, entre otros, depende del tipo de aplicación, el soporte y la consistencia. las cantidades de consumo indicadas son valores exclusivamente orientativos).   Ref. STOTHERM-00217-079.</t>
  </si>
  <si>
    <t xml:space="preserve">ma-STOTHERM-00250-091</t>
  </si>
  <si>
    <t xml:space="preserve">Material</t>
  </si>
  <si>
    <t xml:space="preserve">envase</t>
  </si>
  <si>
    <t xml:space="preserve">Mortero de armadura base orgánico (libre de cemento) STOARMAT CLASSIC PLUS F/M/G para sistema STOTHERM (25 kg/envase).   Ref. STOTHERM-00250-091</t>
  </si>
  <si>
    <t xml:space="preserve">Mortero de armadura base orgánico (libre de cemento) STOARMAT CLASSIC PLUS F/M/G para sistema STOTHERM.   Ref. STOTHERM-00250-091.
El consumo de material, depende del tipo de aplicación, el soporte y la consistencia las cantidades de consumo indicadas son valores exclusivamente orientativos. Si es necesario, debe determinarse el consumo exacto en cada caso concreto. No obstante, seguidamente se indican algunos rendimientos estimados:
• Como mortero de armadura sobre paneles de espuma rígida de EPS 3,50 a 9,50 kg/m2.
• Como mortero de armadura sobre paneles aislantes de lana mineral 4,50 a 10,00 kg/m2.
Aplicación a máquina y manual
A: empleo como mortero de armadura sobre paneles aislantes de EPS
A.1.    Aplicar el producto manualmente, con una llana de acero inoxidable, o mecánicamente.
A.2.    Embeber la malla completamente en la mitad superior de la capa de armadura aún húmeda. Las juntas de la malla deben solaparse 10 cm.
B: empleo como mortero de armadura sobre paneles aislantes de lana mineral
B.1.    Aplicar el producto de forma mecánica o manual, con una llana de acero inoxidable, dando una capa delgada, aplicar bien el producto en el panel aislante y, posteriormente, extender bien.
B.2.    Dejar que se seque.
B.3.    Aplicar el producto manualmente, con una llana de acero inoxidable, o mecánicamente.
B.4.    Embeber la malla completamente en la mitad superior de la capa de armadura aún húmeda. Las juntas de la malla deben solaparse 10 cm.</t>
  </si>
  <si>
    <t xml:space="preserve">ma-STOTHERM-00506-006</t>
  </si>
  <si>
    <t xml:space="preserve">Material</t>
  </si>
  <si>
    <t xml:space="preserve">cartucho</t>
  </si>
  <si>
    <t xml:space="preserve">Espuma de relleno de poliuretano STO-ESPUMA PISTOLA SE de STOTHERM; color gris (750 ml/cartucho).   Ref. STOTHERM-00506-006</t>
  </si>
  <si>
    <t xml:space="preserve">Espuma de relleno de poliuretano STO-ESPUMA PISTOLA SE de STOTHERM. Libre de CFC, aislante térmico, endurecedor por humedad. Resistente al calor, al agua y a distintos productos químicos. Clase de material B1 según DIN 4102. 750 ml/cartucho.   Ref. STOTHERM-00506-006.
Área de aplicación: exterior, para tapar con espuma juntas y agujeros en paneles aislantes de hasta 5 mm de anchura, para relleno de agujeros y otros huecos.</t>
  </si>
  <si>
    <t xml:space="preserve">ma-STOTHERM-00728-002</t>
  </si>
  <si>
    <t xml:space="preserve">Material</t>
  </si>
  <si>
    <t xml:space="preserve">saco</t>
  </si>
  <si>
    <t xml:space="preserve">Mortero adhesivo mineral STO-BAUKLEBER para adherencia de paneles aislantes en sistema STOTHERM (25 kg/saco).   Ref. STOTHERM-00728-002</t>
  </si>
  <si>
    <t xml:space="preserve">Mortero como material adhesivo para sistema STOTHERM CLASSIC, STOTHERM VARIO, STOTHERM MINERAL y STOTHERM WOOD, con poder adhesivo y adherencia muy elevados en el soporte, de alta durabilidad y muy permeable al vapor de agua. Aplicación a mano o máquina para la fijación de paneles aislantes sobre soportes minerales y orgánicos, en interiores y exteriores.   Ref. STOTHERM-00728-002
El consumo de material, entre otros, depende del tipo de aplicación, el soporte y la consistencia. las cantidades de consumo indicadas son valores exclusivamente orientativos. Si es necesario, debe determinarse el consumo exacto en cada caso concreto. No obstante, seguidamente se indican algunos rendimientos estimados:
• Fijación de paneles de espuma rígida EPS: 4,00 a 4,50 kg/m2
• Fijación con adhesivo de paneles de lana mineral: 5,00 a 6,00 kg/m2
• Aplicación de adhesivo sobre la pared con paneles de espuma rígida de EPS y SPEEDLAMELA: 6,00 a 8,00 kg/m2
• Fijación adicional de paneles aislantes en el caso de fijación mecánica: 2,00 a 2,50 kg/m2
• Fijación de paneles aislantes RESOL: 4,00 kg/m2 por mm de espesor de capa 1,33 kg/m2</t>
  </si>
  <si>
    <t xml:space="preserve">ma-STOTHERM-00801-122</t>
  </si>
  <si>
    <t xml:space="preserve">Material</t>
  </si>
  <si>
    <t xml:space="preserve">cubo</t>
  </si>
  <si>
    <t xml:space="preserve">Imprimante puente de unión de origen orgánico STO-PUTZGRUND TINTADO de STOTHERM (23 kg/cubo).   Ref. STOTHERM-00801-122</t>
  </si>
  <si>
    <t xml:space="preserve">Imprimante puente de unión de origen orgánico STO-PUTZGRUND TINTADO de STOTHERM (23 kg/cubo). Consumo como capa intermedia 0,30 kg/m2 (dependiendo del tipo de aplicación, el soporte y la consistencia).   Ref. STOTHERM-00801-122.
Imprimante regulador de la capacidad de absorción, cargado y pigmentado. Prolonga el tiempo libre del revoco de acabado durante la aplicación. Resistente a los álcalis, permeable al vapor de agua y al CO2.
ÁREAS DE APLICACIÓN:
Exterior, sobre soportes minerales y orgánicos, para revoco orgánico y de resina de silicona, para modificar revocos minerales, para revocos de silicato de dispersión, para revocos de acabado con LOTUS-EFFECT TECHNOLOGY.</t>
  </si>
  <si>
    <t xml:space="preserve">ma-STOTHERM-00861-002.</t>
  </si>
  <si>
    <t xml:space="preserve">Material</t>
  </si>
  <si>
    <t xml:space="preserve">bidón</t>
  </si>
  <si>
    <t xml:space="preserve">Imprimante universal acuoso con siloxano y base acrilato STOPLEX W de STOTHERM (20 litros/bidón).   Ref. STOTHERM-00861-002</t>
  </si>
  <si>
    <t xml:space="preserve">Consolidante de superficies, con carga de siloxano, altamente hidrófugo, alta capacidad de penetración, reguladora de la capacidad de absorción, imprimante, diluible en agua. Consumo: 0,10 a 0,40 litros/m2 (dependiendo del tipo de aplicación, el soporte y la consistencia).   Ref. STOTHERM-00861-002.
Área de aplicación: Exterior, sobre soportes minerales y orgánicos, sobre revestimientos antiguos resistentes expuestos a la intemperie, para la consolidación de capas de pintura viejas escamadas que aún tienen la capacidad de soportar cargas, y para la consolidación de revocos que se desagregan, para la reducción de la absorción de revocos exteriores nuevos o expuestos a la intemperie y de componentes similares.</t>
  </si>
  <si>
    <t xml:space="preserve">ma-STOTHERM-00920-003</t>
  </si>
  <si>
    <t xml:space="preserve">Material</t>
  </si>
  <si>
    <t xml:space="preserve">rollo</t>
  </si>
  <si>
    <t xml:space="preserve">Malla de armadura antiálcalis STOMALLA FIBRA DE VIDRIO F para sistema STOTHERM (50x1,1 m/rollo).   Ref. STOTHERM-00920-003</t>
  </si>
  <si>
    <t xml:space="preserve">Malla de armadura antiálcalis a prueba de desplazamientos, de elevada resistencia a la tracción, y de absorción optimizada de los esfuerzos para una mayor seguridad y para evitar grietas. Trama 6x6 mm.   Ref. STOTHERM-00920-003.</t>
  </si>
  <si>
    <t xml:space="preserve">ma-STOTHERM-00961-013</t>
  </si>
  <si>
    <t xml:space="preserve">Material</t>
  </si>
  <si>
    <t xml:space="preserve">pza</t>
  </si>
  <si>
    <t xml:space="preserve">Perfil cantonera de plástico con malla de fibra de vidrio integrada STO-MALLA CANTONERA 11/13 cm de STOTHERM (2,50 m/pza).   Ref. STOTHERM-00961-013</t>
  </si>
  <si>
    <t xml:space="preserve">Perfil cantonera de plástico con malla de fibra de vidrio integrada; en los siguientes formatos: trama: 4 x 4 mm, lateral de malla, indicado en cm, 11/13, 11/22, 10/35 (otros formatos bajo pedido). Área de aplicación: exterior, para la formación de esquinas en sistemas de aislamiento exterior para fachadas.   Ref.  STOTHERM-00961-013.</t>
  </si>
  <si>
    <t xml:space="preserve">ma-STOTHERM-01004-001</t>
  </si>
  <si>
    <t xml:space="preserve">Material</t>
  </si>
  <si>
    <t xml:space="preserve">bolsa</t>
  </si>
  <si>
    <t xml:space="preserve">Distanciador plástico 30x30x8 mm con hendidura central STO-ARANDELAS DISTANCIADORAS de STOTHERM (100 pzas.bolsa).   Ref. STOTHERM-01004-001</t>
  </si>
  <si>
    <t xml:space="preserve">Distanciador plástico 30x30x8 mm con hendidura central STO-ARANDELAS DISTANCIADORAS de STOTHERM, para perfiles de arranque de zócalos como soporte compensatorio de distancia en caso de irregularidades en el soporte.   STOTHERM-01004-001.</t>
  </si>
  <si>
    <t xml:space="preserve">ma-STOTHERM-01070-001</t>
  </si>
  <si>
    <t xml:space="preserve">Material</t>
  </si>
  <si>
    <t xml:space="preserve">bolsa</t>
  </si>
  <si>
    <t xml:space="preserve">Distanciador plástico 30x30x3 mm con hendidura central STO-ARANDELAS DISTANCIADORAS de STOTHERM (100 pzas/bolsa).   Ref. STOTHERM-01070-001</t>
  </si>
  <si>
    <t xml:space="preserve">Distanciador plástico 30x30x3 mm con hendidura central STO-ARANDELAS DISTANCIADORAS de STOTHERM, para perfiles de arranque de zócalos como soporte compensatorio de distancia en caso de irregularidades en el soporte.   STOTHERM-01070-001.</t>
  </si>
  <si>
    <t xml:space="preserve">ma-STOTHERM-01077-017</t>
  </si>
  <si>
    <t xml:space="preserve">Material</t>
  </si>
  <si>
    <t xml:space="preserve">cubo</t>
  </si>
  <si>
    <t xml:space="preserve">Perfil plástico conector de zócalo STO-PERFIL DE ZÓCALO CONEXIÓN S 30 mm de STOTHERM (100 pzas/cubo).   Ref. STOTHERM-01077-017</t>
  </si>
  <si>
    <t xml:space="preserve">Conector plástico para zócalo STO-PERFIL DE ZÓCALO CONEXIÓN S 30 mm de STOTHERM (100 pzas/cubo). Área de aplicación: para conectar el STO-PERFIL ZÓCALO UNIVERSAL en la zona de contacto. Longitud 30 mm.   Ref. STOTHERM-01077-017.</t>
  </si>
  <si>
    <t xml:space="preserve">ma-STOTHERM-01220-024</t>
  </si>
  <si>
    <t xml:space="preserve">Material</t>
  </si>
  <si>
    <t xml:space="preserve">cubo</t>
  </si>
  <si>
    <t xml:space="preserve">Revoque de acabado de resina de silicona con textura de rascado STOSILCO K 1.0 TINTADO de STOTHERM (25 kg/cubo).   Ref. STOTHERM-01220-024</t>
  </si>
  <si>
    <t xml:space="preserve">Revoque de acabado de resina de silicona con textura de rascado STOSILCO K 1.0 TINTADO de STOTHERM (25 kg/cubo). Rendimiento: +/- 2 kg/m2 (dependiendo del tipo de aplicación, el soporte y la consistencia).   Ref. STOTHERM-01220-024.
Revoco exterior según EN 15824, revoco de enlace con resina de silicona puro para una aplicación segura y fachadas duraderas, A2-s1, d0 según EN 13501-1, con película de protección encapsulada, altamente permeable al CO2 y al vapor de agua, muy resistente contra las inclemencias climáticas, hidrófugo capilar, altamente hidrófugo, diluible en agua, con grano de mármol de alta calidad procedente de yacimientos naturales.
ASPECTOS:
En textura de revoco rugosa (K) o acanalada (R) o como revoco para modelar (MP).
ÁREAS DE APLICACIÓN:
Exterior, sobre mampostería, fachadas aisladas y fachadas ventiladas con mortero base, sobre soportes minerales y orgánicos. No apto para superficies horizontales o inclinadas expuestas a la intemperie.</t>
  </si>
  <si>
    <t xml:space="preserve">ma-STOTHERM-01373-029</t>
  </si>
  <si>
    <t xml:space="preserve">Material</t>
  </si>
  <si>
    <t xml:space="preserve">saco</t>
  </si>
  <si>
    <t xml:space="preserve">Mortero adhesivo y armado/mortero base mineral STOLEVELL DUO PLUS de STOTHERM (25 kg/saco).   Ref. STOTHERM-01373-029</t>
  </si>
  <si>
    <t xml:space="preserve">Muy buena aplicación mecánica, poder adhesivo y adherencia elevados en el soporte, muy permeable al vapor de agua, altamente hidrófugo, resistente contra las inclemencias climáticas. Rendimiento: según Tabla de Consumos anexa en imagen adjunta.   Ref. STOTHERM-01373-029.
Área de aplicación: exterior e interior, para la preparación de revocos minerales antiguos o de obras de mampostería, para la fijación con adhesivo de paneles aislantes sobre soportes minerales, para capas de armadura finas, como mortero adhesivo y mortero de armadura para STOTHERM VARIO y STOTHERM MINERAL.</t>
  </si>
  <si>
    <t xml:space="preserve">ma-STOTHERM-01802-035</t>
  </si>
  <si>
    <t xml:space="preserve">Material</t>
  </si>
  <si>
    <t xml:space="preserve">pza</t>
  </si>
  <si>
    <t xml:space="preserve">Fijador de paneles aislantes STO-ESPIGA Martillada T UEZ—K-01 8/60 115 mm para sistema STOTHERM.   Ref. STOTHERM-01802-035</t>
  </si>
  <si>
    <t xml:space="preserve">Fijador de paneles aislantes STO-ESPIGA Martillada T UEZ—K-01 8/60 115 mm para sistema STOTHERM.   Ref. STOTHERM-01802-035
Fijador de paneles aislantes con homologación técnica europea (diámetro del vástago de la espiga: 8 mm diámetro del plato: 60 mm).
Entrada de disco definida, rápido montaje con alcayatas premontadas. Riesgo mínimo, ya que los clavos se rompen debido al material compuesto reforzado con fibras. Sin puente térmico. Área de aplicación: exterior, para hormigón y materiales de construcción perforados y macizos, categorías de utilización: A, B, C.</t>
  </si>
  <si>
    <t xml:space="preserve">ma-STOTHERM-01802-036</t>
  </si>
  <si>
    <t xml:space="preserve">Material</t>
  </si>
  <si>
    <t xml:space="preserve">pza</t>
  </si>
  <si>
    <t xml:space="preserve">Fijador de paneles aislantes STO-ESPIGA Martillada T UEZ—K-01 8/60 135 mm para sistema STOTHERM.   Ref. STOTHERM-01802-036</t>
  </si>
  <si>
    <t xml:space="preserve">Fijador de paneles aislantes STO-ESPIGA Martillada T UEZ—K-01 8/60 135 mm para sistema STOTHERM.   Ref. STOTHERM-01802-036
Fijador de paneles aislantes con homologación técnica europea (diámetro del vástago de la espiga: 8 mm diámetro del plato: 60 mm).
Entrada de disco definida, rápido montaje con alcayatas premontadas. Riesgo mínimo, ya que los clavos se rompen debido al material compuesto reforzado con fibras. Sin puente térmico. Área de aplicación: exterior, para hormigón y materiales de construcción perforados y macizos, categorías de utilización: A, B, C. 200 pzas/caja.</t>
  </si>
  <si>
    <t xml:space="preserve">ma-STOTHERM-01889-021</t>
  </si>
  <si>
    <t xml:space="preserve">Material</t>
  </si>
  <si>
    <t xml:space="preserve">pza</t>
  </si>
  <si>
    <t xml:space="preserve">Perfil goterón plástico con malla de fibra de vidrio integrada STO-PERFIL GOTERÓN DP 3 mm de STOTHERM (2,40 m/pza).   Ref. STOTHERM-01889-021</t>
  </si>
  <si>
    <t xml:space="preserve">Perfil goterón plástico con malla de fibra de vidrio integrada, con espigas de unión a tope a ras; en los siguientes formatos: Goterón DP 3 mm, 6 mm y 10 mm; y Goterón Esquina DP 3 mm y 6 mm. Área de aplicación: exterior, para la formación de goterones en sistemas de aislamiento exterior para fachadas.   Ref. STOTHERM-01889-021.</t>
  </si>
  <si>
    <t xml:space="preserve">ma-STOTHERM-01897-017</t>
  </si>
  <si>
    <t xml:space="preserve">Material</t>
  </si>
  <si>
    <t xml:space="preserve">perfil</t>
  </si>
  <si>
    <t xml:space="preserve">Perfil junta dilatación E plástico en U reforzado con malla de fibra de vidrio (2,50 m/perfil).   Ref. STOTHERM-01897-017</t>
  </si>
  <si>
    <t xml:space="preserve">Perfil para juntas de dilatación en edificios con superficies de paredes planas. De plástico, con junta en “U” estable reforzada con fibra, con borde desplegable, con malla de fibra de vidrio integrada. Resistente a los rayos UV y contra las inclemencias climáticas. Combinable con la junta de dilatación Sto-Tapa Junta de dilatación E.   Ref. STOTHERM-01897-017.</t>
  </si>
  <si>
    <t xml:space="preserve">ma-STOTHERM-01944-017</t>
  </si>
  <si>
    <t xml:space="preserve">Material</t>
  </si>
  <si>
    <t xml:space="preserve">rollo</t>
  </si>
  <si>
    <t xml:space="preserve">Cinta para sellado de juntas a base de espuma comprimida STO-CINTA DE SELLADO LENTO de STOTHERM 15/3-9 (10 m/rollo).   Ref. STOTHERM-01944-017</t>
  </si>
  <si>
    <t xml:space="preserve">Cinta para sellado de juntas a base de espuma comprimida STO-CINTA DE SELLADO LENTO de STOTHERM 15/3-9 (10 m/rollo). Tono de color: Antracita.   Ref. STOTHERM-01944-017.
Impermeable a las lluvias torrenciales, completamente impregnada y de expansión lenta, autoadhesiva; en los siguientes formatos (anchura de la cinta / anchura de junta): 15 mm / 2 - 6 mm; 15 mm / 3 - 9 mm; 15 mm / 5 - 12 mm, y 25 mm / 9 - 18 mm (Observación: la impermeabilidad a las lluvias torrenciales solo se da si la anchura de junta se encuentra dentro del campo de aplicación (p. ej. 2 - 6 mm).
Área de aplicación: para la impermeabilización de las conexiones entre el sistema de aislamiento exterior para fachadas y los componentes colindantes, gracias a su lenta expansión es especialmente adecuada para crear conexiones complejas (por ejemplo: vierteaguas), para las siguientes anchuras de junta (anchura libre más admisión de movimiento): 2 - 6 mm, 3 - 9 mm, 5 - 12 mm y 9 - 18 mm.</t>
  </si>
  <si>
    <t xml:space="preserve">ma-STOTHERM-03659-001</t>
  </si>
  <si>
    <t xml:space="preserve">Material</t>
  </si>
  <si>
    <t xml:space="preserve">saco</t>
  </si>
  <si>
    <t xml:space="preserve">Mortero adhesivo mineral para pegar paneles aislantes STOCOLL IP de STOTHERM (25 kg/saco).   Ref. STOTHERM-03659-001</t>
  </si>
  <si>
    <t xml:space="preserve">Mortero adhesivo mineral para pegar paneles aislantes (espuma rígida de poliestireno y lana mineral) sobre soportes minerales y orgánicos (exterior e interior). Rendimiento: según Tabla de Consumos anexa en imagen adjunta.   Ref. STOTHERM-03659-001.</t>
  </si>
  <si>
    <t xml:space="preserve">ma-STOTHERM-04790-002</t>
  </si>
  <si>
    <t xml:space="preserve">Material</t>
  </si>
  <si>
    <t xml:space="preserve">envase</t>
  </si>
  <si>
    <t xml:space="preserve">Revoque de acabado STOLOTUSAN K 1,5 TINTADO C1 para sistema STOTHERM (25 kg/envase).   Ref. STOTHERM-04790-002</t>
  </si>
  <si>
    <t xml:space="preserve">Revoque de acabado con tecnología LOTUSEFFECT y estructura de revoque rascado. Consumos: 1.90 kg/m2 en ejecución K 1,0; y 2,40 kg/m2 en ejecución 1,5.   Ref. STOTHERM-04790-002.
Aplicable en exteriores, sobre mampostería, fachadas aisladas y fachadas ventiladas con mortero base, y sobre soportes minerales y orgánicos (no apto para superficies horizontales o inclinadas expuestas a la intemperie).
Fuerte efecto de autolimpieza cuando se expone a la lluvia, A2-s1, d0 según EN 13501-1, con película de protección encapsulada, excelentes propiedades de aplicación, altamente permeable al CO2 y al vapor de agua, altamente resistente contra las inclemencias climáticas, con grano de mármol de elevada calidad procedente de yacimientos naturales.</t>
  </si>
  <si>
    <t xml:space="preserve">ma-STOTHERM-07714-002</t>
  </si>
  <si>
    <t xml:space="preserve">Material</t>
  </si>
  <si>
    <t xml:space="preserve">bidón</t>
  </si>
  <si>
    <t xml:space="preserve">Impermeabilizante protector contra la humedad bajo un SATE STOGOLD COAT de STOTHERM (15 litros/bidón).   Ref. STOTHERM-07714-002</t>
  </si>
  <si>
    <t xml:space="preserve">Impermeabilizante sobre base de dispersión, hidrófugo y hermético, resistente a los rayos UV y al envejecimiento; impermeable, permeable a la difusión, estanco al aire. Permite el secado de la humedad de la construcción. Área de aplicación: exterior, impermeabilización para todos los revestimientos de fachada, como protección contra la humedad bajo un SATE. Consumo por capa de pintura: 0,40 a 0,60 litros/m2 (dependiendo del tipo de aplicación, el soporte y la consistencia).   Ref. STOTHERM-07714-002.</t>
  </si>
  <si>
    <t xml:space="preserve">ma-STOTHERM-07845-009</t>
  </si>
  <si>
    <t xml:space="preserve">Material</t>
  </si>
  <si>
    <t xml:space="preserve">perfil</t>
  </si>
  <si>
    <t xml:space="preserve">Perfil de aluminio para arranque de zócalos STO-PERFIL DE ZÓCALO UNIVERSAL 82 mm de STOTHERM (2 m/perfil).   Ref. STOTHERM-07845-009</t>
  </si>
  <si>
    <t xml:space="preserve">Perfil STO-PERFIL DE ZÓCALO UNIVERSAL de aluminio anodizado extruido para arranque de zócalos en sistemas de aislamiento exterior de fachadas de STOTHERM con goterón integrado (2 m/perfil).   Ref. STOTHERM-07845-009.</t>
  </si>
  <si>
    <t xml:space="preserve">ma-STOTHERM-08225-070</t>
  </si>
  <si>
    <t xml:space="preserve">Material</t>
  </si>
  <si>
    <t xml:space="preserve">paquete</t>
  </si>
  <si>
    <t xml:space="preserve">Placa aislante de espuma de poliestireno STO-PANEL EPS PS15SE 038-050 2 cm para sistema STOTHERM; color blanco (120x60x4 cm/placa; 15 placas/paq.).   Ref. STOTHERM-08225-072</t>
  </si>
  <si>
    <t xml:space="preserve">Placa aislante de espuma de poliestireno STO-PANEL EPS PS15SE 038-050 2 cm para sistema STOTHERM; color blanco (120x60x2 cm/placa; 21,60 m2/paquete).   Ref. STOTHERM-08225-070.
Grupo de conductividad térmica 038, clase de comportamiento al fuego E según EN 13501-1, densidad: 15 kg/m3. Aplicable en exterior como panel aislante para Sistemas de aislamiento térmico (fijación con adhesivo o con adhesivo y espigas).</t>
  </si>
  <si>
    <t xml:space="preserve">ma-STOTHERM-08225-072</t>
  </si>
  <si>
    <t xml:space="preserve">Material</t>
  </si>
  <si>
    <t xml:space="preserve">paquete</t>
  </si>
  <si>
    <t xml:space="preserve">Placa aislante de espuma de poliestireno STO-PANEL EPS PS15SE 038-050 4 cm para sistema STOTHERM; color blanco (120x60x4 cm/placa; 15 placas/paq.).   Ref. STOTHERM-08225-072</t>
  </si>
  <si>
    <t xml:space="preserve">Placa aislante de espuma de poliestireno STO-PANEL EPS PS15SE 038-050 4 cm para sistema STOTHERM; color blanco (120x60x4 cm/placa; 15 placas/paquete).   Ref. STOTHERM-08225-072.
Grupo de conductividad térmica 038, clase de comportamiento al fuego E según EN 13501-1, densidad: 15 kg/m3. Aplicable en exterior como panel aislante para Sistemas de aislamiento térmico (fijación con adhesivo o con adhesivo y espigas). Formatos: a) 1200x600 mm bordes romos, espesores: 20 - 400 mm; b) 1200x600 mm bordes romos, espesores: 60, 80, 100, 120, 140, 150, 160, 180, 200 mm.</t>
  </si>
  <si>
    <t xml:space="preserve">ma-STOTHERM-08225-074</t>
  </si>
  <si>
    <t xml:space="preserve">Material</t>
  </si>
  <si>
    <t xml:space="preserve">placa</t>
  </si>
  <si>
    <t xml:space="preserve">Placa aislante de espuma de poliestireno STO-PANEL EPS PS15SE 038-040 para sistema STOTHERM; color blanco (120x60x6 cm/placa).   Ref. STOTHERM-08225-074</t>
  </si>
  <si>
    <t xml:space="preserve">Panel aislante de espuma rígida de poliestireno expandido según EN 13163.   Ref. STOTHERM-08225-074.
Grupo de conductividad térmica 038, clase de comportamiento al fuego E según EN 13501-1, densidad: 15 kg/m3. Aplicable en exterior como panel aislante para Sistemas de aislamiento térmico (fijación con adhesivo o con adhesivo y espigas). Formatos: a) 1200x600 mm bordes romos, espesores: 20 - 400 mm; b) 1200x600 mm bordes romos, espesores: 60, 80, 100, 120, 140, 150, 160, 180, 200 mm.</t>
  </si>
  <si>
    <t xml:space="preserve">ma-STOTHERM-08225-076</t>
  </si>
  <si>
    <t xml:space="preserve">Material</t>
  </si>
  <si>
    <t xml:space="preserve">paquete</t>
  </si>
  <si>
    <t xml:space="preserve">Placa aislante de espuma de poliestireno STO-PANEL EPS PS15SE 038-050 8 cm para sistema STOTHERM; color blanco (120x60x8 cm/placa; 7 placas/paq.; 5,04 m2/paq.).   Ref. STOTHERM-08225-076</t>
  </si>
  <si>
    <t xml:space="preserve">Placa aislante de espuma de poliestireno STO-PANEL EPS PS15SE 038-050 8 cm para sistema STOTHERM; color blanco (120x60x8 cm/placa; 7 placas/paquete).   Ref. STOTHERM-08225-076.
Grupo de conductividad térmica 038, clase de comportamiento al fuego E según EN 13501-1, densidad: 15 kg/m3. Aplicable en exterior como panel aislante para Sistemas de aislamiento térmico (fijación con adhesivo o con adhesivo y espigas). Formatos: a) 1200x600 mm bordes romos, espesores: 20 - 400 mm; b) 1200x600 mm bordes romos, espesores: 60, 80, 100, 120, 140, 150, 160, 180, 200 mm.</t>
  </si>
  <si>
    <t xml:space="preserve">ma-STOTHERM-09589-003</t>
  </si>
  <si>
    <t xml:space="preserve">Material</t>
  </si>
  <si>
    <t xml:space="preserve">paquete</t>
  </si>
  <si>
    <t xml:space="preserve">Panel aislante de espuma rígida de poliestireno expandido STO-PANEL DE ZÓCALO 034 4 cm de STOTHERM (120x60 cm/placa; 15 placas/paq.).   Ref. STOTHERM-09589-003</t>
  </si>
  <si>
    <t xml:space="preserve">Panel aislante de espuma rígida de poliestireno expandido según EN 13163; valor nominal de la conductividad térmica ?: 0,034 W/(m*K), clase de comportamiento al fuego E según EN 13501-1.   Ref. STOTHERM-09589-003.
Área de aplicación: exterior, como panel aislante en el área de salpicaduras de agua (zócalo) y en el suelo (perímetro), fijación con adhesivo, no está permitido en la franja capilar (por norma general, aprox. 30 cm, por encima del nivel freático más alto) ni tampoco en el área de aguas, que ejerzan presión.</t>
  </si>
  <si>
    <t xml:space="preserve">ma-lm-84800726</t>
  </si>
  <si>
    <t xml:space="preserve">Material</t>
  </si>
  <si>
    <t xml:space="preserve">rollo</t>
  </si>
  <si>
    <t xml:space="preserve">Cinta de sellado de juntas de espuma comprimida, flexible e impregnada STO-CINTA DE SELLADO LENTO de STOTHERM (15 m/rollo).   Ref. lm-84800726</t>
  </si>
  <si>
    <t xml:space="preserve">Cinta de sellado para la impermeabilización de las conexiones entre el sistema de aislamiento exterior para fachadas y los componentes colindantes. Impermeable a las lluvias torrenciales, completamente impregnada, de expansión lenta, autoadhesiva.   Ref. lm-84800726.
Gracias a su lenta expansión, es especialmente adecuada para crear conexiones complejas (por ejemplo vierteaguas), para las siguientes anchuras de junta (anchura libre más admisión de movimiento): 2 a 6 mm, 3 a 9 mm, 5 a 12 mm y 9 a 18 mm.</t>
  </si>
  <si>
    <t xml:space="preserve">STOTHERM</t>
  </si>
  <si>
    <t xml:space="preserve">TRADITERM-PUMA</t>
  </si>
  <si>
    <t xml:space="preserve">Capítulo</t>
  </si>
  <si>
    <t xml:space="preserve">MATERIALES Y ACCESORIOS TRADITERM-PUMA</t>
  </si>
  <si>
    <t xml:space="preserve">ma-diaterm-30351</t>
  </si>
  <si>
    <t xml:space="preserve">Material</t>
  </si>
  <si>
    <t xml:space="preserve">perfil</t>
  </si>
  <si>
    <t xml:space="preserve">Perfil junta de dilatación PVC con malla TRADITERM de PUMA (2,5 m/perfil).   Ref. diaterm-30351</t>
  </si>
  <si>
    <t xml:space="preserve">Perfil de PVC con malla de fibra de vidrio antialcalina y banda flexible para tratamiento de juntas. Diseñado como solución de juntas de dilatación y estructurales existentes en el soporte donde van a ser instalados los Sistemas de Aislamiento Térmico Exterior TRADITERM (SATE/ETICS).   Ref. diaterm-30351.</t>
  </si>
  <si>
    <t xml:space="preserve">ma-lm-82808181</t>
  </si>
  <si>
    <t xml:space="preserve">Material</t>
  </si>
  <si>
    <t xml:space="preserve">caja</t>
  </si>
  <si>
    <t xml:space="preserve">Taco de Anclaje 160 mm TRADITERM de PUMA (200 tacos/caja).   Ref. lm-82808181</t>
  </si>
  <si>
    <t xml:space="preserve">TRADITERM Taco de Anclaje está fabricado a base de polietileno y se compone de dos elementos diferenciados (clavo y vaina). Es un taco de anclaje de percusión, utilizado para la fijación de los paneles aislantes en el Sistema de Aislamiento Térmico Exterior TRADITERM. Consumo: 8 pzas/m2.   Ref. lm-82808181.
Es de fácil aplicación. Asegura una perfecta fijación de las placas al soporte. Resistente a la oxidación. Amplia gama de tamaños del producto para una correcta adaptación a los sistemas de aislamiento térmico en función del espesor de la placa.</t>
  </si>
  <si>
    <t xml:space="preserve">ma-lp-00559085</t>
  </si>
  <si>
    <t xml:space="preserve">Material</t>
  </si>
  <si>
    <t xml:space="preserve">rollo</t>
  </si>
  <si>
    <t xml:space="preserve">Malla TRADITERM de PUMA (50x1,1 m/rollo).   Ref. lp-00559085</t>
  </si>
  <si>
    <t xml:space="preserve">Malla TRADITERM constituida por hilos de doble torsión, fundamental para el refuerzo del revestimiento TRADITERM. Recomendada para la aplicación de los sistemas de aislamiento térmico por el exterior tipo TRADITERM.   Ref. lp-00559085.
Confiere al sistema una mayor resistencia y estabilidad, y evita la aparición de fisuras generadas por diferencias de temperatura o de movimientos de los paneles aislantes. Tiene una excelente resistencia a la tracción y mejora la resistencia al impacto.</t>
  </si>
  <si>
    <t xml:space="preserve">ma-lp-00559086</t>
  </si>
  <si>
    <t xml:space="preserve">Material</t>
  </si>
  <si>
    <t xml:space="preserve">perfil</t>
  </si>
  <si>
    <t xml:space="preserve">Perfil ángulo PVC con malla TRADITERM de PUMA (2,5 m/perfil).   Ref. lp-00559086</t>
  </si>
  <si>
    <t xml:space="preserve">Perfil de PVC con malla de fibra de vidrio con tratamiento antialcalino. Perfil de PVC perforado para el refuerzo de esquinas y huecos en los Sistemas de Aislamiento Térmico Exterior TRADITERM (SATE/ETICS).   Ref. lp-00559086.
Este componente del sistema es de fácil colocación en obra. La incorporación de la malla al perfil hace que la ejecución de la esquina sea más rápida, permitiendo además un funcionamiento óptimo de este sistema de aislamiento.</t>
  </si>
  <si>
    <t xml:space="preserve">ma-lp-00559088</t>
  </si>
  <si>
    <t xml:space="preserve">Material</t>
  </si>
  <si>
    <t xml:space="preserve">perfil</t>
  </si>
  <si>
    <t xml:space="preserve">Perfil goterón PVC con malla TRADITERM de PUMA (2,5 m/perfil).   Ref. lp-00559088</t>
  </si>
  <si>
    <t xml:space="preserve">Perfil de PVC con malla de fibra de vidrio con tratamiento antialcalino. Perfil de refuerzo y formación de goterones para dinteles de huecos en fachada y remate de voladizos ejecutados con el sistema de aislamiento térmico TRADITERM.   Ref. lp-00559088.
Su morfología permite una correcta evacuación del agua de lluvia sobre fachada impidiendo el deterioro de carpinterías y del propio Sistema de Aislamiento Térmico por el Exterior en estos encuentros.</t>
  </si>
  <si>
    <t xml:space="preserve">ma-lp-00562459</t>
  </si>
  <si>
    <t xml:space="preserve">Material</t>
  </si>
  <si>
    <t xml:space="preserve">bidón</t>
  </si>
  <si>
    <t xml:space="preserve">Mortero impermeabilizante de decoración para fachadas e interiores MORCEMCRIL de PUMA; color blanco (25 kg/bidón).   Ref. lp-00562459</t>
  </si>
  <si>
    <t xml:space="preserve">Revestimiento sintético-mineral para la impermeabilización y decoración de todo tipo de fachadas e interiores. En exteriores e interiores, en muros y techos. Revestimiento decorativo para el sistema de aislamiento térmico exterior TRADITERM. (SATE/ETICS). Rendimiento: 2 a 3 kg/m2 para espesores de 2 mm.   Ref. lp-00562459.
Compatible con soportes de morteros de cemento, hormigón, mortero monocapa, yeso y cartón yeso y sobre soportes ya pintados. No es compatible con revocos de cal fresca, resinas o barnices, pinturas al temple, a la cal o de silicatos. Antimoho-Antiverdín; Impermeable; Permeable al vapor de agua, permitiendo que el soporte respire; Resistente al envejecimiento, atmósferas de ciudades y rayos ultravioletas.</t>
  </si>
  <si>
    <t xml:space="preserve">ma-lp-00563682</t>
  </si>
  <si>
    <t xml:space="preserve">Material</t>
  </si>
  <si>
    <t xml:space="preserve">saco</t>
  </si>
  <si>
    <t xml:space="preserve">Mortero adhesivo y de revestimiento para fachadas TRADITERM GP W2 de PUMA (25 kg/saco).   Ref. lp-00563682</t>
  </si>
  <si>
    <t xml:space="preserve">TRADITERM GP W2 es un mortero hidráulico para fachadas que se emplea como adhesivo y revestimiento de placas aislantes de poliestireno expandido (EPS), de poliestireno expandido grafito (EPS-G), de lana mineral y de corcho natural, en el sistema de aislamiento térmico exterior TRADITERM SATE / ETICS. Rendimiento: 8 a 10 kg/m2.   Ref. lp-00563682.</t>
  </si>
  <si>
    <t xml:space="preserve">ma-lp-00565428</t>
  </si>
  <si>
    <t xml:space="preserve">Material</t>
  </si>
  <si>
    <t xml:space="preserve">m2</t>
  </si>
  <si>
    <t xml:space="preserve">Panel EPS TRADITERM 60 mm (1000x500 mm/pza).   Ref. lp-00565428</t>
  </si>
  <si>
    <t xml:space="preserve">Panel EPS TRADITERM 60 mm (1000x500 mm/pza).   Ref. lp-00565428</t>
  </si>
  <si>
    <t xml:space="preserve">ma-lp-00565445</t>
  </si>
  <si>
    <t xml:space="preserve">Material</t>
  </si>
  <si>
    <t xml:space="preserve">perfil</t>
  </si>
  <si>
    <t xml:space="preserve">Perfil de arranque en aluminio 0,8 mm TRADITERM de PUMA (2,5 m/perfil).   Ref. lp-00565445</t>
  </si>
  <si>
    <t xml:space="preserve">Perfil para protección y arranque, empleado en los Sistemas de Aislamiento Térmico Exterior TRADITERM (SATE/ETICS). Este producto, sirve de arranque de los Sistemas TRADITERM, los protege y refuerza.   Ref. lp-00565445.
Sirve como guía o maestra para conseguir el alineamiento de los paneles aislantes. No se oxida y es de fácil colocación en obra. Tiene una gama de espesores a elegir según el espesor del panel aislante utilizado.</t>
  </si>
  <si>
    <t xml:space="preserve">ma-lp-00565450</t>
  </si>
  <si>
    <t xml:space="preserve">Material</t>
  </si>
  <si>
    <t xml:space="preserve">caja</t>
  </si>
  <si>
    <t xml:space="preserve">Taco de anclaje 120 mm TRADITERM de PUMA (100 tacos/caja).   Ref. lp-00565450</t>
  </si>
  <si>
    <t xml:space="preserve">TRADITERM Taco de Anclaje está fabricado a base de polietileno y se compone de dos elementos diferenciados (clavo y vaina). Es un taco de anclaje de percusión, utilizado para la fijación de los paneles aislantes en el Sistema de Aislamiento Térmico Exterior TRADITERM. Consumo: 8 pzas/m2.   Ref. lp-00565450.
Es de fácil aplicación. Asegura una perfecta fijación de las placas al soporte. Resistente a la oxidación. Amplia gama de tamaños del producto para una correcta adaptación a los sistemas de aislamiento térmico en función del espesor de la placa. Homologación europea según ETA-16/0509.</t>
  </si>
  <si>
    <t xml:space="preserve">ma-lp-00565475</t>
  </si>
  <si>
    <t xml:space="preserve">Material</t>
  </si>
  <si>
    <t xml:space="preserve">bidón</t>
  </si>
  <si>
    <t xml:space="preserve">Fondo acrílico de coloración MORCEMCRIL FONDO de PUMA (20 kg/bidón).   Ref. lp-00565475</t>
  </si>
  <si>
    <t xml:space="preserve">Base acrílica de alta calidad, indicada como fondo de coloración para MORCEMCRIL. Mejora la adherencia, facilita la aplicación, homogeneiza la absorción del soporte y da una cubrición coloreada inicial. Rendimiento Teórico: 4 a 5 m2/kg.   Ref. lp-00565475.
Favorece la cubrición y el rendimiento del mortero acrílico de acabado, manteniendo alta permeabilidad al vapor de agua. Excelente aplicabilidad, trabajabilidad y adherencia al soporte.</t>
  </si>
  <si>
    <t xml:space="preserve">ma-puma-EPS-60mm</t>
  </si>
  <si>
    <t xml:space="preserve">Material</t>
  </si>
  <si>
    <t xml:space="preserve">m2</t>
  </si>
  <si>
    <t xml:space="preserve">Placa EPS TRADITERM 60 mm.   Ref. puma-EPS-60mm</t>
  </si>
  <si>
    <t xml:space="preserve">Panel EPS TRADITERM 60 mm.   Ref. puma-EPS-60mm</t>
  </si>
  <si>
    <t xml:space="preserve">ma-puma-malla.antivandalica</t>
  </si>
  <si>
    <t xml:space="preserve">Material</t>
  </si>
  <si>
    <t xml:space="preserve">m2</t>
  </si>
  <si>
    <t xml:space="preserve">Malla de refuerzo antivandalica de TRADITERM.   Ref. puma-malla.antivandalica</t>
  </si>
  <si>
    <t xml:space="preserve">Malla de refuerzo antivandalica de TRADITERM.   Ref. puma-malla.antivandalica</t>
  </si>
  <si>
    <t xml:space="preserve">ma-puma-malla.std</t>
  </si>
  <si>
    <t xml:space="preserve">Material</t>
  </si>
  <si>
    <t xml:space="preserve">rollo</t>
  </si>
  <si>
    <t xml:space="preserve">Malla TRADITERM de PUMA (50x1,1 m/rollo).   Ref. puma-malla.std</t>
  </si>
  <si>
    <t xml:space="preserve">Malla TRADITERM de PUMA (50x1,1 m/rollo).   Ref. puma-malla.std</t>
  </si>
  <si>
    <t xml:space="preserve">ma-puma-morcemcril.fondo</t>
  </si>
  <si>
    <t xml:space="preserve">Material</t>
  </si>
  <si>
    <t xml:space="preserve">bidón</t>
  </si>
  <si>
    <t xml:space="preserve">Fondo acrílico de coloración MORCEMCRIL FONDO de PUMA (20 kg/bidón).   Ref. puma-morcemcril.fondo</t>
  </si>
  <si>
    <t xml:space="preserve">Base acrílica de alta calidad, indicada como fondo de coloración para MORCEMCRIL. Mejora la adherencia, facilita la aplicación, homogeneiza la absorción del soporte y da una cubrición coloreada inicial. Rendimiento Teórico: 4 a 5 m2/kg. Favorece la cubrición y el rendimiento del mortero acrílico de acabado, manteniendo alta permeabilidad al vapor de agua. Excelente aplicabilidad, trabajabilidad y adherencia al soporte.   Ref. puma-morcemcril.fondo.</t>
  </si>
  <si>
    <t xml:space="preserve">ma-puma-morcemcril.terminacion</t>
  </si>
  <si>
    <t xml:space="preserve">Material</t>
  </si>
  <si>
    <t xml:space="preserve">bidón</t>
  </si>
  <si>
    <t xml:space="preserve">Mortero impermeabilizante de decoración para fachadas e interiores MORCEMCRIL de PUMA; color blanco (25 kg/bidón).   Ref. puma-morcemcril.terminacion</t>
  </si>
  <si>
    <t xml:space="preserve">Mortero impermeabilizante de decoración para fachadas e interiores MORCEMCRIL de PUMA; color blanco (25 kg/bidón).   Ref. puma-morcemcril.terminacion</t>
  </si>
  <si>
    <t xml:space="preserve">ma-puma-mortero.traditerm</t>
  </si>
  <si>
    <t xml:space="preserve">Material</t>
  </si>
  <si>
    <t xml:space="preserve">saco</t>
  </si>
  <si>
    <t xml:space="preserve">Mortero adhesivo y de revestimiento para fachadas TRADITERM GP W2 de PUMA (25 kg/saco).   Ref. puma-mortero.traditerm</t>
  </si>
  <si>
    <t xml:space="preserve">Mortero adhesivo y de revestimiento para fachadas TRADITERM GP W2 de PUMA (25 kg/saco).   Ref. puma-mortero.traditerm</t>
  </si>
  <si>
    <t xml:space="preserve">ma-puma-perfil.angulo</t>
  </si>
  <si>
    <t xml:space="preserve">Material</t>
  </si>
  <si>
    <t xml:space="preserve">perfil</t>
  </si>
  <si>
    <t xml:space="preserve">Perfil ángulo PVC con malla TRADITERM de PUMA (2,5 m/perfil).   Ref. puma-perfil.angulo</t>
  </si>
  <si>
    <t xml:space="preserve">Perfil ángulo PVC con malla TRADITERM de PUMA (2,5 m/perfil).   Ref. puma-perfil.angulo</t>
  </si>
  <si>
    <t xml:space="preserve">ma-puma-perfil.angulo.arco</t>
  </si>
  <si>
    <t xml:space="preserve">Material</t>
  </si>
  <si>
    <t xml:space="preserve">perfil</t>
  </si>
  <si>
    <t xml:space="preserve">Perfil ángulo-arco PVC con malla TRADITERM de PUMA (2,5 m/perfil).   Ref. puma-perfil.angulo.arco</t>
  </si>
  <si>
    <t xml:space="preserve">Perfil ángulo-arco PVC con malla TRADITERM de PUMA (2,5 m/perfil).   Ref. puma-perfil.angulo.arco</t>
  </si>
  <si>
    <t xml:space="preserve">ma-puma-perfil.arranque-60mm</t>
  </si>
  <si>
    <t xml:space="preserve">Material</t>
  </si>
  <si>
    <t xml:space="preserve">perfil</t>
  </si>
  <si>
    <t xml:space="preserve">Perfil de arranque en aluminio 60 mm TRADITERM de PUMA (2,5 m/perfil).   Ref. puma-perfil.arranque-60mm</t>
  </si>
  <si>
    <t xml:space="preserve">Perfil de arranque en aluminio 60 mm TRADITERM de PUMA (2,5 m/perfil).   Ref. puma-perfil.arranque-60mm</t>
  </si>
  <si>
    <t xml:space="preserve">ma-puma-perfil.cierre.lateral</t>
  </si>
  <si>
    <t xml:space="preserve">Material</t>
  </si>
  <si>
    <t xml:space="preserve">perfil</t>
  </si>
  <si>
    <t xml:space="preserve">Perfil cierre lateral PVC con malla TRADITERM de PUMA (2,50 m/perfil).   Ref. puma-perfil.cierre.lateral</t>
  </si>
  <si>
    <t xml:space="preserve">Perfil cierre lateral PVC con malla TRADITERM de PUMA (2,50 m/perfil).   Ref. puma-perfil.cierre.lateral</t>
  </si>
  <si>
    <t xml:space="preserve">ma-puma-perfil.coronacion</t>
  </si>
  <si>
    <t xml:space="preserve">Material</t>
  </si>
  <si>
    <t xml:space="preserve">perfil</t>
  </si>
  <si>
    <t xml:space="preserve">Perfil coronación PVC con malla TRADITERM de PUMA (2,50 m/perfil).   Ref. puma-perfil.coronacion</t>
  </si>
  <si>
    <t xml:space="preserve">Perfil coronación PVC con malla TRADITERM de PUMA (2,50 m/perfil).   Ref. puma-perfil.coronacion</t>
  </si>
  <si>
    <t xml:space="preserve">ma-puma-perfil.goteron</t>
  </si>
  <si>
    <t xml:space="preserve">Material</t>
  </si>
  <si>
    <t xml:space="preserve">perfil</t>
  </si>
  <si>
    <t xml:space="preserve">Perfil goterón PVC con malla TRADITERM de PUMA (2,5 m/perfil).   Ref. puma-perfil.goteron</t>
  </si>
  <si>
    <t xml:space="preserve">Perfil goterón PVC con malla TRADITERM de PUMA (2,5 m/perfil).   Ref. puma-perfil.goteron</t>
  </si>
  <si>
    <t xml:space="preserve">ma-puma-perfil.junta.dilatacion</t>
  </si>
  <si>
    <t xml:space="preserve">Material</t>
  </si>
  <si>
    <t xml:space="preserve">perfil</t>
  </si>
  <si>
    <t xml:space="preserve">Perfil junta de dilatación PVC con Malla TRADITERM de PUMA (2,5 m/perfil).   Ref. puma-perfil.junta.dilatacion</t>
  </si>
  <si>
    <t xml:space="preserve">Perfil junta de dilatación PVC con Malla TRADITERM de PUMA (2,5 m/perfil).   Ref. puma-perfil.junta.dilatacion</t>
  </si>
  <si>
    <t xml:space="preserve">ma-puma-taco.anclaje-120mm</t>
  </si>
  <si>
    <t xml:space="preserve">Material</t>
  </si>
  <si>
    <t xml:space="preserve">caja</t>
  </si>
  <si>
    <t xml:space="preserve">Taco de anclaje 120 mm TRADITERM de PUMA (100 tacos/caja).   Ref. puma-taco.anclaje-120mm</t>
  </si>
  <si>
    <t xml:space="preserve">Taco de anclaje 120 mm TRADITERM de PUMA (100 tacos/caja).   Ref. puma-taco.anclaje-120mm</t>
  </si>
  <si>
    <t xml:space="preserve">TRADITERM-PUMA</t>
  </si>
  <si>
    <t xml:space="preserve">WEBERTHERM</t>
  </si>
  <si>
    <t xml:space="preserve">Capítulo</t>
  </si>
  <si>
    <t xml:space="preserve">MATERIALES Y ACCESORIOS WEBERTHERM</t>
  </si>
  <si>
    <t xml:space="preserve">ma-prolisur-perfil.rem.ventana</t>
  </si>
  <si>
    <t xml:space="preserve">Material</t>
  </si>
  <si>
    <t xml:space="preserve">perfil</t>
  </si>
  <si>
    <t xml:space="preserve">Perfil remate de ventanas WEBERTHERM para sistema SATE  (2,60 m/perfil).   Ref. prolisur-perfil-rem.ventana</t>
  </si>
  <si>
    <t xml:space="preserve">Perfil de PVC autoadhesivo para el remate de los sistemas de aislamiento térmico por el exterior WEBERTHERM en ventanas, con aletas flexibles recubiertas de autoadhesivo para la colocación de un film protector durante los trabajos y con malla de fibra de vidrio de 4x4 mm para solapar con la capa de regularización del sistema.   Ref. prolisur-perfil-rem.ventana.</t>
  </si>
  <si>
    <t xml:space="preserve">ma-prolisur-01</t>
  </si>
  <si>
    <t xml:space="preserve">Material</t>
  </si>
  <si>
    <t xml:space="preserve">envase</t>
  </si>
  <si>
    <t xml:space="preserve">Imprimante para protección de armaduras y puente de unión en hormigones y morteros BETOPRIM de PROPAMSA (5 kg/envase).   Ref. prolisur-01</t>
  </si>
  <si>
    <t xml:space="preserve">BETOPRIM de PROPAMSA es un recubrimiento a base de cemento, arena de cuarzo, resinas acrílicas e inhibidores de la corrosión, que actúa contra la corrosión, pasivando el acero y presentando una superficie rugosa. Puede emplearse como puente de unión para mejorar la adhesión de hormigón viejo con hormigón nuevo o con morteros de reparación. Constituye un medio altamente alcalino y electroquímicamente activo, que actúa contra la corrosión, pasivando el acero y presentando una superficie rugosa.   Ref. prolisur-01
BETOPRIM es un recubrimiento a base de cemento, arena de cuarzo, resinas acrílicas e inhibidores de la corrosión. Puede emplearse como puente de unión previo a la aplicación de morteros de reparación. 
BETOPRIM cumple con los requerimientos de la norma EN 1504-7, y se utiliza como pasivante del acero de las armaduras para protegerlas de la corrosión en:
• Trabajos de rehabilitación del hormigón afectado por la corrosión de las armaduras debido a la carbonatación, ciclos hielo-deshielo, contaminación ambiental, etc.
• Nuevas obras sometidas a ambientes agresivos.
• Plantas industriales químicas, torres de refrigeración, etc.
• Obras marinas, pantalanes, emisarios, etc.
• Depuradoras de aguas residuales.
• Como medida preventiva en obras de hormigón armado con poco recubrimiento y con riesgo de corrosión de las armaduras o contaminado por cloruros.
CONSUMO: Con 1 kg de BETOPRIM se puede tratar de 0,8 a 1 m2. Dependiendo de la rugosidad del soporte, cada aplicación origina un espesor de capa seca de 0,5 a 1 mm. Se recomienda siempre para la protección de armaduras la aplicación de 2 capas; no obstante, el consumo final dependerá en gran medida del estado y porosidad del soporte.</t>
  </si>
  <si>
    <t xml:space="preserve">ma-prolisur-04</t>
  </si>
  <si>
    <t xml:space="preserve">Material</t>
  </si>
  <si>
    <t xml:space="preserve">saco</t>
  </si>
  <si>
    <t xml:space="preserve">Mortero WEBERCAL FLEXIBLE de WEBERTHERM estuco fino flexible de cal coloreado (12 kg/envase).   Ref. prolisur-04</t>
  </si>
  <si>
    <t xml:space="preserve">WEBERCAL FLEXIBLE es un estuco mineral flexible coloreado de cal aérea y resinas sintéticas, en capa fina de altas prestaciones para la impermeabilización y la decoración, así como de protección duradera en muros, techos, interiores y exteriores. Especialmente indicado como revestimiento de acabado en los Sistemas WEBERTHERM. Presentación en 12 colores.   Ref. prolisur-04.
Espesor de aplicación: 1,0 a 1,5 mm en 2 capas reforzadas con WEBERTHERM MALLA 65). Rendimiento aproximado: 0,6 kg/m2 por capa).
En las uniones de WEBERTHERM BASE con elementos de distinta naturaleza (carpintería y alféizares), se recomienda dejar una junta de unos 2-3 mm de espesor que se rellenará con WEBERFLEX PU, quedando recubierta posteriormente por WEBERCAL FLEXIBLE.</t>
  </si>
  <si>
    <t xml:space="preserve">WBT-03</t>
  </si>
  <si>
    <t xml:space="preserve">Material</t>
  </si>
  <si>
    <t xml:space="preserve">rollo</t>
  </si>
  <si>
    <t xml:space="preserve">Malla de refuerzo tridireccional para sistema SATE DE WEBERTHERM MALLA 3FORCE (50x1,1 m/rollo)</t>
  </si>
  <si>
    <t xml:space="preserve">WEBERTHERM-MALLA es una Malla de fibra de vidrio tridireccional con tratamiento superficial antialcalino para los morteros de refuerzo WEBERTHERM BASE y WEBERTHERM BASE PLUS en los sistemas de aislamiento por el exterior</t>
  </si>
  <si>
    <t xml:space="preserve">ma-dp-SKU.77832861</t>
  </si>
  <si>
    <t xml:space="preserve">Material</t>
  </si>
  <si>
    <t xml:space="preserve">saco</t>
  </si>
  <si>
    <t xml:space="preserve">Mortero WEBERTHERM BASE PLUS para regularizacón y adhesión de placas aislantes para sistema SATE (25 kg/saco).   Ref. dp-SKU.77832861</t>
  </si>
  <si>
    <t xml:space="preserve">WEBERTHERM BASE PLUS es un Mortero para la adhesión y regularización de placas aislantes en los sistemas WEBERTHERM. Un producto pionero en su segmento que utiliza materiales reciclados y materias primas de última generación que evitan el uso de la imprimación regularizadora de absorción (WEBERTENE PRIMER), elevan la capacidad al impacto de los SATE y mejoran el alisado cuando se usa como recubrimiento de paneles aislantes. Soporte: Hormigón, Mortero de cemento, Mortero de cal, Cerámica, Placa de yeso laminada (PYL), Ladrillo, Madera, Paneles aislantes, Mortero termoaislante, Bloque de hormigón.   Ref. dp-SKU.77832861.
APLICACIÓN:
• Como adhesivo de placas aislantes:
  - Fijación de borde y punto: Aplicar sobre la placa un cordón perimetral de 4 -8 cm de ancho y de 2 a 4 cm de espesor, y uno o varios pegotes centrales de 8 a 10 cm, en función del tamaño de la misma. La superficie de adhesión, una vez fijada la placa al soporte, debe ser mínimo de un 40%.
   - Fijación de toda la superficie mediante doble encolado: sólo es recomendable en caso de soportes nivelados y que presenten una planimetría casi perfecta. Esta fijación se realiza aplicando el mortero sobre el soporte y sobre los paneles aislantes (doble encolado), mediante la utilización de una llana dentada de acero inoxidable de dientes de 10mm x 10mm.
• Como regularizador de placas aislantes:
transcurridas 24 horas mínimo tras la adhesión de las placas, se procederá de la siguiente manera:
   - Aplicar una primera capa de 3-4 mm y peinar con llana dentada a 45º.
   - Colocar la malla sobre la capa peinada y embutir la misma sobre el mortero (sin aplastarla).
   - Aplicar la segunda capa de 3-4 mm.
El espesor total debe ser de 6-8mm.</t>
  </si>
  <si>
    <t xml:space="preserve">ma-prolisur-eh3-075</t>
  </si>
  <si>
    <t xml:space="preserve">Material</t>
  </si>
  <si>
    <t xml:space="preserve">caja</t>
  </si>
  <si>
    <t xml:space="preserve">Sistema de fijación plástico WEBERTHERM ESPIGA H3 - 075 para placas de aislamiento térmico en los sistemas SATE (200 pzas/caja).   Ref. prolisur-eh3-075</t>
  </si>
  <si>
    <t xml:space="preserve">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prolisur-eh3-075</t>
  </si>
  <si>
    <t xml:space="preserve">ma-prolisur-eh3-095</t>
  </si>
  <si>
    <t xml:space="preserve">Material</t>
  </si>
  <si>
    <t xml:space="preserve">caja</t>
  </si>
  <si>
    <t xml:space="preserve">Sistema de fijación plástico WEBERTHERM ESPIGA H3 - 095 para placas de aislamiento térmico en los sistemas SATE (200 pzas/caja).   Ref. prolisur-eh3-095</t>
  </si>
  <si>
    <t xml:space="preserve">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prolisur-eh3-095.</t>
  </si>
  <si>
    <t xml:space="preserve">ma-prolisur-pc34-40</t>
  </si>
  <si>
    <t xml:space="preserve">Material</t>
  </si>
  <si>
    <t xml:space="preserve">paquete</t>
  </si>
  <si>
    <t xml:space="preserve">Placa de aislamiento termoacústico WEBERTHERM PLACA CLIMA 34 en lana de vidrio para sistema SATE; espesor 40 mm (7,2 m2/paquete).   Ref. prolisur-pc34-40</t>
  </si>
  <si>
    <t xml:space="preserve">Panel rígido de alta densidad de lana de vidrio, de conductividad térmica 0,034 W/m·K, para uso como material aislante en el sistema de aislamiento térmico por el exterior WEBERTHERM ACUSTIC. Soportes: Hormigón, Mortero de cemento, Mortero de cal, Cerámica, Ladrillo, Madera, Sintético, Bloque de hormigón, Paneles aislantes, Mortero termoaislante.   Ref. prolisur-pc34-40.</t>
  </si>
  <si>
    <t xml:space="preserve">ma-prolisur-pc34-60</t>
  </si>
  <si>
    <t xml:space="preserve">Material</t>
  </si>
  <si>
    <t xml:space="preserve">paquete</t>
  </si>
  <si>
    <t xml:space="preserve">Placa de aislamiento termoacústico WEBERTHERM PLACA CLIMA 34 en lana de vidrio para sistema SATE; espesor 60 mm (7,2 m2/paquete).   Ref. prolisur-pc34-40</t>
  </si>
  <si>
    <t xml:space="preserve">Panel rígido de alta densidad de lana de vidrio, de conductividad térmica 0,034 W/m·K, para uso como material aislante en el sistema de aislamiento térmico por el exterior WEBERTHERM ACUSTIC. Soportes: Hormigón, Mortero de cemento, Mortero de cal, Cerámica, Ladrillo, Madera, Sintético, Bloque de hormigón, Paneles aislantes, Mortero termoaislante.   Ref. prolisur-pc34-40.</t>
  </si>
  <si>
    <t xml:space="preserve">WTB-10</t>
  </si>
  <si>
    <t xml:space="preserve">Material</t>
  </si>
  <si>
    <t xml:space="preserve">paquete</t>
  </si>
  <si>
    <t xml:space="preserve">Placa de aislamiento termoacústico WEBERTHERM PLACA ROCK SATE DUO PLUS en lana de roca para sistema SATE; espesor 50 mm (4,32 m2/paquete)</t>
  </si>
  <si>
    <t xml:space="preserve">Panel de lana de roca, de conductividad térmica 0,035 W/m·K (Clasificación de resistencia al fuego A1), para uso como material aislante en el sistema de aislamiento térmico por el exterior WEBERTHERM ACUSTIC. Panel rígido de lana de roca volcánica de doble densidad no revestido, específico para fachadas con sistemas de aislamiento térmico por el exterior (SATE).
La capa exterior de alta densidad (marcada con dos líneas) asegura una adherencia óptima del revoco y mejora el comportamiento mecánico. La capa interna de densidad inferior optimiza las prestaciones térmicas del panel y permite la máxima adaptabilidad al soporte.</t>
  </si>
  <si>
    <t xml:space="preserve">WTB-11</t>
  </si>
  <si>
    <t xml:space="preserve">Material</t>
  </si>
  <si>
    <t xml:space="preserve">paquete</t>
  </si>
  <si>
    <t xml:space="preserve">Placa de aislamiento termoacústico WEBERTHERM PLACA ROCK SATE DUO PLUS en lana de roca para sistema SATE; espesor 60 mm (3,60 m2/paquete)</t>
  </si>
  <si>
    <t xml:space="preserve">Panel de lana de roca, de conductividad térmica 0,035 W/m·K (Clasificación de resistencia al fuego A1), para uso como material aislante en el sistema de aislamiento térmico por el exterior WEBERTHERM ACUSTIC. Panel rígido de lana de roca volcánica de doble densidad no revestido, específico para fachadas con sistemas de aislamiento térmico por el exterior (SATE).
La capa exterior de alta densidad (marcada con dos líneas) asegura una adherencia óptima del revoco y mejora el comportamiento mecánico. La capa interna de densidad inferior optimiza las prestaciones térmicas del panel y permite la máxima adaptabilidad al soporte.</t>
  </si>
  <si>
    <t xml:space="preserve">ma-dp-SKU.1057310</t>
  </si>
  <si>
    <t xml:space="preserve">Material</t>
  </si>
  <si>
    <t xml:space="preserve">bidón</t>
  </si>
  <si>
    <t xml:space="preserve">Mortero siloxano WEBERTENE ADVANCE M coloreado para revestimiento de capa fina listo al uso para sistema SATE (25 kg/bidón).   Ref. dp-SKU.1057310</t>
  </si>
  <si>
    <t xml:space="preserve">La tecnología ADVANCE proporciona un grado de impermeabilidad y estabilidad en color inmejorables. Tiene un tamaño máximo de grano de 1 mm. De acabado fratasado manual o proyectado a máquina, es apto para exterior e interior y para muros y techos.
Forman parte de los exclusivos sistemas de aislamiento WEBERTHERM y de renovación WEBERENOVA. Soportes: Hormigón, Mortero de cemento, Mortero de cal, Pinturas, Madera, Sintético, Yeso, Bloque de hormigón. Espesor de aplicación 1,5 mm (aprox.). Consumo de aplicación con llana 1,8 kg/m2 (al aplicar con pistola de proyección, el consumo es ligeramente inferior).   Ref. dp-SKU.1057310.
Aplicar la imprimación WEBERTENE PRIMER a rodillo o con un atomizador como regularizador de absorción. Es importante que la imprimación esté seca antes de la aplicación del WEBERTENE ADVANCE M. Esto depende de las condiciones atmosféricas existentes, pero como norma general, el secado se consigue antes de 24h. Si se utiliza como mortero base el producto WEBERTENE BASE PLUS o WEBERTHERM FLEX B, no es necesario realizar la aplicación de esta imprimación.</t>
  </si>
  <si>
    <t xml:space="preserve">ma-dp-00955597</t>
  </si>
  <si>
    <t xml:space="preserve">Material</t>
  </si>
  <si>
    <t xml:space="preserve">rollo</t>
  </si>
  <si>
    <t xml:space="preserve">Malla de refuerzo 160 de WEBERTHERM para sistema SATE (50x1,1 m/rollo).   Ref. dp-00955597</t>
  </si>
  <si>
    <t xml:space="preserve">Malla de refuerzo 160 para sistema SATE de WEBERTHERM (50x1,1 m/rollo).   Ref. dp-00955597.
Malla de fibra de vidrio con tratamiento superficial antialcalino para los morteros de refuerzo webertherm base y webertherm base plus en los sistemas de aislamiento por el exterior WEBERTHERM y en los sistemas de renovación de fachadas WEBERENOVA.</t>
  </si>
  <si>
    <t xml:space="preserve">ma-dp-01943177</t>
  </si>
  <si>
    <t xml:space="preserve">Material</t>
  </si>
  <si>
    <t xml:space="preserve">saco</t>
  </si>
  <si>
    <t xml:space="preserve">Mortero WEBERTHERM AISLONE para aislamiento termoacústico en sistema SATE (4,6 kg/saco).   Ref. dp-01943177</t>
  </si>
  <si>
    <t xml:space="preserve">Aislamiento termoacústico mineral de los sistemas WEBER RENOVATHERM y WEBERTHERM MINERAL. Mortero de cal aislante termo-acústico, con conductividad térmica 0,042 W/m·K, para uso como material aislante en el sistema de aislamiento térmico por el exterior WEBERTHERM MINERAL y para la renovación de fachadas antiguas con una falta importante de planimetría (sistema WEBER RENOVATHERM). Soportes: Hormigón, Mortero de cemento, Mortero de cal, Pinturas, Cerámica, Placa de yeso laminada (PYL), Yeso, Metal, Ladrillo, Bloque de hormigón.   Ref. dp-01943177</t>
  </si>
  <si>
    <t xml:space="preserve">ma-dp-02145587</t>
  </si>
  <si>
    <t xml:space="preserve">Material</t>
  </si>
  <si>
    <t xml:space="preserve">perfil</t>
  </si>
  <si>
    <t xml:space="preserve">Perfil cantonera WEBERTHERM de PVC con malla de fibra de vidrio (2,5 m/perfil).   Ref. dp-02145587</t>
  </si>
  <si>
    <t xml:space="preserve">Protección o cierre cantonero de PVC con malla de fibra de vidrio álcali-resistente, para formar cantoneras perpendiculares en los sistemas de aislamiento térmico por el exterior WEBERTHERM.   Ref. dp-02145587</t>
  </si>
  <si>
    <t xml:space="preserve">ma-dp-71630371</t>
  </si>
  <si>
    <t xml:space="preserve">Material</t>
  </si>
  <si>
    <t xml:space="preserve">caja</t>
  </si>
  <si>
    <t xml:space="preserve">Sistema de fijación plástico WEBERTHERM ESPIGA H3 - 115 para placas de aislamiento térmico en los sistemas SATE (200 pzas/caja).   Ref. dp-71630371</t>
  </si>
  <si>
    <t xml:space="preserve">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dp-71630371</t>
  </si>
  <si>
    <t xml:space="preserve">ma-dp-76219991</t>
  </si>
  <si>
    <t xml:space="preserve">Material</t>
  </si>
  <si>
    <t xml:space="preserve">paquete</t>
  </si>
  <si>
    <t xml:space="preserve">Placa XPS WEBERTHERM de poliestireno extruido; 125x60x40 mm/lámina (7,50 m2/paquete).   Ref. dp-76219991</t>
  </si>
  <si>
    <t xml:space="preserve">Placa XPS de WEBERTHERM de poliestireno extruido para aislamiento térmico aplicable en Sistemas SATE. Sin piel y de conductividad térmica 0.034 W/m.K. Soportes: Hormigón, Mortero de cemento, Mortero de cal, Ladrillo, Madera, Sintético, Bloque de hormigón, Cerámica, Placa de yeso laminada (PYL), Paneles aislantes, Mortero termoaislante.   Ref. dp-76219991</t>
  </si>
  <si>
    <t xml:space="preserve">ma-dp-76220003</t>
  </si>
  <si>
    <t xml:space="preserve">Material</t>
  </si>
  <si>
    <t xml:space="preserve">paquete</t>
  </si>
  <si>
    <t xml:space="preserve">Placa XPS WEBERTHERM de poliestireno extruido; 125x60x80 mm/lámina (3,75 m2/paquete).   Ref. ma-dp-76220003</t>
  </si>
  <si>
    <t xml:space="preserve">Placa XPS de WEBERTHERM de poliestireno extruido para aislamiento térmico aplicable en Sistemas SATE. Sin piel y de conductividad térmica 0.034 W/m.K. Soportes: Hormigón, Mortero de cemento, Mortero de cal, Ladrillo, Madera, Sintético, Bloque de hormigón, Cerámica, Placa de yeso laminada (PYL), Paneles aislantes, Mortero termoaislante.   Ref. dp-76220003</t>
  </si>
  <si>
    <t xml:space="preserve">ma-dp-76948730</t>
  </si>
  <si>
    <t xml:space="preserve">Material</t>
  </si>
  <si>
    <t xml:space="preserve">bidón</t>
  </si>
  <si>
    <t xml:space="preserve">Imprimante de fondeo universal WEBERTENE PRIMER para sistemas SATE (14 litros/bidón = 19 kg/bidón).   Ref. dp-76948730</t>
  </si>
  <si>
    <t xml:space="preserve">Base reguladora de absorción para fachadas. Imprimación sintética para homogeneizar la absorción de agua del soporte antes de recibir un revestimiento orgánico de la gama WEBERTENE. Rendimiento: kg/m2 (0,25 a 0,30 litros/m2); m2/bidón (46 a 56 m2 por 2 manos). Aplicar mínimo 2 capas de producto. Dependiendo del color elegido y la absorción del soporte, puede ser necesario aplicar más de 2 capas. Ref. dp-76948730</t>
  </si>
  <si>
    <t xml:space="preserve">ma-dp-77387846</t>
  </si>
  <si>
    <t xml:space="preserve">Material</t>
  </si>
  <si>
    <t xml:space="preserve">bidón</t>
  </si>
  <si>
    <t xml:space="preserve">Revestimiento acrílico WEBERTENE CLASSIC XL acabado fratasado, rústico y rayado para sistemas WEBERTHERM y WEBERENOVA (25 kg/bidón).   Ref. dp-77387846</t>
  </si>
  <si>
    <t xml:space="preserve">Revestimiento acrílico de capa fina listo al uso altamente decorativo, con un tamaño máximo de grano de 2,5 mm. De acabado fratasado circular o lineal, es apto para exterior e interior y para muros y techos. Forman parte de los exclusivos Sistemas de aislamiento WEBERTHERM y de renovación WEBERENOVA. Consumo 3,5 kg/m2.   Ref. dp-77387846</t>
  </si>
  <si>
    <t xml:space="preserve">ma-dp-79003155</t>
  </si>
  <si>
    <t xml:space="preserve">Material</t>
  </si>
  <si>
    <t xml:space="preserve">pza</t>
  </si>
  <si>
    <t xml:space="preserve">Perfil de arranque WEBERTHERM de instalación SATE en aluminio para aislamiento 80 mm (2,5 m/perfil).   Ref. dp-79003155</t>
  </si>
  <si>
    <t xml:space="preserve">Perfil de arranque fabricado en aluminio de espesor 0,7 mm.   Ref. dp-79003155.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   Ref. dp-79003155</t>
  </si>
  <si>
    <t xml:space="preserve">ma-dp-79291497</t>
  </si>
  <si>
    <t xml:space="preserve">Material</t>
  </si>
  <si>
    <t xml:space="preserve">perfil</t>
  </si>
  <si>
    <t xml:space="preserve">Perfil goterón WEBERTHERM CF de PVC con malla de fibra de vidrio (2,5 m/perfil).   Ref. dp-79291497</t>
  </si>
  <si>
    <t xml:space="preserve">Goterón para dinteles en sistemas de aislamiento térmico exterior. Perfil de PVC con malla de fibra de vidrio álcali-resistente para formar el goterón de evacuación de agua de lluvia en los dinteles en los sistemas de aislamiento térmico por el exterior WEBERTHERM.   Ref. dp-79291497</t>
  </si>
  <si>
    <t xml:space="preserve">ma-dp-79687708</t>
  </si>
  <si>
    <t xml:space="preserve">Material</t>
  </si>
  <si>
    <t xml:space="preserve">saco</t>
  </si>
  <si>
    <t xml:space="preserve">Mortero adhesivo regularizador de WEBERTHERM BASEGEL para sistemas SATE  (25 kg/saco).   Ref. dp-79687708</t>
  </si>
  <si>
    <t xml:space="preserve">Gel multiusos de WEBERTHERM reforzado con fibras que sirve en los sistemas SATE como adhesivo para fijar los paneles aislantes y como regularizador de la superficie antes de recibir revestimientos de acabado en capa fina. Consumo: 1,5 kg/m2 por mm de espesor.   Ref. dp-79687708</t>
  </si>
  <si>
    <t xml:space="preserve">ma-om-10876985</t>
  </si>
  <si>
    <t xml:space="preserve">Material</t>
  </si>
  <si>
    <t xml:space="preserve">saco</t>
  </si>
  <si>
    <t xml:space="preserve">Mortero adhesivo y regularizador WEBERTHERM BASE (25 kg/saco).   Ref. om-10876985</t>
  </si>
  <si>
    <t xml:space="preserve">Mortero multiusos que sirve como adhesivo para fijar los paneles aislantes y como regularizador de la superficie antes de recibir revestimientos de acabado en capa fina, en los sistemas de aislamiento térmico por el exterior. Aplicación manual. Acabado liso y sin fisuras. Preparación perfecta para la capa decorativa. Apto para cualquier tipo de panel aislante. En exteriores, no aplicar sobre superficies horizontales o inclinadas expuestas al agua de lluvia. Consumo 1,5 kg/m2/mm (espesor mínimo de acabado como regularizador 4 mm; espesor máximo de acabado como regularizador 6 mm / en dos capas y reforzado con malla; espesor máximo de aplicación por capa 3 mm).   Ref. om-10876985.</t>
  </si>
  <si>
    <t xml:space="preserve">ma-prolisur-00955597</t>
  </si>
  <si>
    <t xml:space="preserve">Material</t>
  </si>
  <si>
    <t xml:space="preserve">rollo</t>
  </si>
  <si>
    <t xml:space="preserve">Malla de refuerzo 200 de WEBERTHERM para Sistema SATE (50x1,1 m/rollo).   Ref. prolisur-00955597</t>
  </si>
  <si>
    <t xml:space="preserve">Malla de fibra de vidrio WEBERTHERM MALLA 200 con tratamiento superficial antialcalino para el refuerzo de los revestimientos en capa gruesa en los sistemas de aislamiento térmico por el exterior WEBERTHERM, de densidad 195 gr/m2 y apertura de entramado de 7,0 x 6,5 mm.   Ref. prolisur-00955597.</t>
  </si>
  <si>
    <t xml:space="preserve">ma-prolisur-02</t>
  </si>
  <si>
    <t xml:space="preserve">Material</t>
  </si>
  <si>
    <t xml:space="preserve">bidón</t>
  </si>
  <si>
    <t xml:space="preserve">Mortero orgánico regularizador y adhesivo de placas termoaislantes WEBERTHERM FLEX B de WEBER; color blanco (25 kg/bidón).   Ref. prolisur-02</t>
  </si>
  <si>
    <t xml:space="preserve">Mortero orgánico sin cemento y listo al uso para la regularización de paneles aislantes en los Sistemas WEBERTHERM y para la rehabilitación de todo tipo de soportes en el Sistema WEBERENOVA ANTIFISURAS ELASTIC. Ideal en soportes antiguos, para el tratamiento previo al revestimiento final. Regularización de placas: 4,50 kg/m2 (variable sensiblemente de acuerdo a la superficie de aplicación).   Ref. prolisur-02.</t>
  </si>
  <si>
    <t xml:space="preserve">ma-prolisur-04</t>
  </si>
  <si>
    <t xml:space="preserve">Material</t>
  </si>
  <si>
    <t xml:space="preserve">saco</t>
  </si>
  <si>
    <t xml:space="preserve">Mortero WEBERCAL FLEXIBLE de WEBERTHERM estuco fino flexible de cal coloreado (12 kg/envase).   Ref. prolisur-04</t>
  </si>
  <si>
    <t xml:space="preserve">WEBERCAL FLEXIBLE es un estuco mineral flexible coloreado de cal aérea y resinas sintéticas, en capa fina de altas prestaciones para la impermeabilización y la decoración, así como de protección duradera en muros, techos, interiores y exteriores. Especialmente indicado como revestimiento de acabado en los Sistemas WEBERTHERM. Presentación en 12 colores.   Ref. prolisur-04.
Espesor de aplicación: 1,0 a 1,5 mm en 2 capas reforzadas con WEBERTHERM MALLA 65). Rendimiento aproximado: 0,6 kg/m2 por capa).
En las uniones de WEBERTHERM BASE con elementos de distinta naturaleza (carpintería y alféizares), se recomienda dejar una junta de unos 2-3 mm de espesor que se rellenará con WEBERFLEX PU, quedando recubierta posteriormente por WEBERCAL FLEXIBLE.</t>
  </si>
  <si>
    <t xml:space="preserve">ma-prolisur-03</t>
  </si>
  <si>
    <t xml:space="preserve">Material</t>
  </si>
  <si>
    <t xml:space="preserve">rollo</t>
  </si>
  <si>
    <t xml:space="preserve">Malla de refuerzo de fibra de vidrio WEBERTHERM MALLA 65 para sistema SATE (50 m/rollo).   Ref. prolisur-03</t>
  </si>
  <si>
    <t xml:space="preserve">Malla de fibra de vidrio con tratamiento superficial antialcalino para los estucos y/o morteros en capa fina WEBERCAL FLEXIBLE, WEBERMUR LISO y WEBERCAL ESTUCO en los Sistemas de Aislamiento WEBERTHERM y en los Sistemas de Renovación de Fachadas WEBERENOVA. Indicada para el refuerzo de revestimientos minerales o poliméricos en capa fina (&lt;3 mm).   Ref. prolisur-03
Excelente resistencia a la tracción y al alargamiento, así como a los medios alcalinos. Aporta deformabilidad a los revestimientos minerales y poliméricos.
WEBERTHERM MALLA 65 debe quedar integrada aproximadamente en el centro del espesor del recubrimiento. Si no se cumple esta premisa, no se realiza la función de “armado” del mortero, y por tanto, el conjunto pierde prestaciones. En términos generales ha de solaparse cada tramo de malla al menos 20 mm.</t>
  </si>
  <si>
    <t xml:space="preserve">ma-prolisur-05</t>
  </si>
  <si>
    <t xml:space="preserve">Material</t>
  </si>
  <si>
    <t xml:space="preserve">saco</t>
  </si>
  <si>
    <t xml:space="preserve">Mortero de revoco WEBERCAL LISO de WEBER a base de cal en capa fina para sistemas bicapa (25 kg/saco).   Ref. prolisur-05</t>
  </si>
  <si>
    <t xml:space="preserve">Revoco de cal coloreado en capa fina para acabados lisos en la decoración de interiores, exteriores, fachadas y techos. Rendimiento: 1,70 kg/m² por mm de espesor.   Ref. prolisur-05.
SOPORTES: Hormigón, Mortero de cemento, Mortero de cal, WEBERCAL BASIC, WEBEREV HIDRO.</t>
  </si>
  <si>
    <t xml:space="preserve">ma-prolisur-eh3-115</t>
  </si>
  <si>
    <t xml:space="preserve">Material</t>
  </si>
  <si>
    <t xml:space="preserve">caja</t>
  </si>
  <si>
    <t xml:space="preserve">Sistema de fijación plástico WEBERTHERM ESPIGA H3 - 115 para placas de aislamiento térmico en los sistemas SATE (200 pzas/caja).   Ref. prolisur-eh3-115</t>
  </si>
  <si>
    <t xml:space="preserve">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prolisur-eh3-115.</t>
  </si>
  <si>
    <t xml:space="preserve">ma-prolisur-eh3-135</t>
  </si>
  <si>
    <t xml:space="preserve">Material</t>
  </si>
  <si>
    <t xml:space="preserve">caja</t>
  </si>
  <si>
    <t xml:space="preserve">Sistema de fijación plástico WEBERTHERM ESPIGA H3 - 135 para placas de aislamiento térmico en los sistemas SATE (200 pzas/caja).   Ref. prolisur-eh3-135</t>
  </si>
  <si>
    <t xml:space="preserve">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prolisur-eh3-135.</t>
  </si>
  <si>
    <t xml:space="preserve">ma-prolisur-pc34-80</t>
  </si>
  <si>
    <t xml:space="preserve">Material</t>
  </si>
  <si>
    <t xml:space="preserve">paquete</t>
  </si>
  <si>
    <t xml:space="preserve">Placa de aislamiento termoacústico WEBERTHERM PLACA CLIMA 34 en lana de vidrio para sistema SATE; espesor 80 mm (3,6 m2/paquete).   Ref. prolisur-pc34-80</t>
  </si>
  <si>
    <t xml:space="preserve">Panel rígido de alta densidad de lana de vidrio, de conductividad térmica 0,034 W/m·K, para uso como material aislante en el sistema de aislamiento térmico por el exterior WEBERTHERM ACUSTIC. Soportes: Hormigón, Mortero de cemento, Mortero de cal, Cerámica, Ladrillo, Madera, Sintético, Bloque de hormigón, Paneles aislantes, Mortero termoaislante.   Ref. prolisur-pc34-80.</t>
  </si>
  <si>
    <t xml:space="preserve">ma-prolisur-weberdryimperflexgel</t>
  </si>
  <si>
    <t xml:space="preserve">Material</t>
  </si>
  <si>
    <t xml:space="preserve">saco</t>
  </si>
  <si>
    <t xml:space="preserve">Mortero Impermeabilizante Flexible WEBERDRY IMPERFLEXGEL de WEBER (15 kg/saco).   Ref. prolisur-weberdryimperflexgel</t>
  </si>
  <si>
    <t xml:space="preserve">Impermeabilizante flexible con tecnología fibragel. Mortero altamente flexible monocomponente altamente reforzado para la impermeabilización en zonas sometidas a posibles pequeños movimientos y con riesgo de fisuración como terrazas, balcones, cubiertas y tejados, antes de la colocación de un revestimiento. Su tecnología gel favorece una mejor trabajabilidad y un acabado más estético. Consumo: 1,250 kg/m2 para 1 mm de espesor (mínimo 2 mm en cualquier punto por capa).   Ref. prolisur-weberdryimperflexgel.</t>
  </si>
  <si>
    <t xml:space="preserve">WEBERTHERM</t>
  </si>
  <si>
    <t xml:space="preserve">ma-bauhaus-26225049</t>
  </si>
  <si>
    <t xml:space="preserve">Material</t>
  </si>
  <si>
    <t xml:space="preserve">placa</t>
  </si>
  <si>
    <t xml:space="preserve">Placa de poliestireno expandido 50 mm EPS 10 kg/m3 de KNAUF (2000x1000x50 mm/lámina (2 m2/placa)).   Ref. bauhaus-26225049</t>
  </si>
  <si>
    <t xml:space="preserve">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bauhaus-26225049.</t>
  </si>
  <si>
    <t xml:space="preserve">ma-bauhaus-26230140</t>
  </si>
  <si>
    <t xml:space="preserve">Material</t>
  </si>
  <si>
    <t xml:space="preserve">placa</t>
  </si>
  <si>
    <t xml:space="preserve">Placa de poliestireno expandido 50 mm EPS 10 kg/m3 de KNAUF (1000x600x50 mm/lámina (0,60 m2/placa)).   Ref. bauhaus-26230140</t>
  </si>
  <si>
    <t xml:space="preserve">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bauhaus-26230140.</t>
  </si>
  <si>
    <t xml:space="preserve">ma-bauhaus-26233167</t>
  </si>
  <si>
    <t xml:space="preserve">Material</t>
  </si>
  <si>
    <t xml:space="preserve">placa</t>
  </si>
  <si>
    <t xml:space="preserve">Placa de poliestireno expandido 20 mm EPS 10 kg/m3 de KNAUF (2000x1000x20 mm/lámina (2 m2/placa)).   Ref. bauhaus-26233167</t>
  </si>
  <si>
    <t xml:space="preserve">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bauhaus-26233167.</t>
  </si>
  <si>
    <t xml:space="preserve">ma-bauhaus-26233909</t>
  </si>
  <si>
    <t xml:space="preserve">Material</t>
  </si>
  <si>
    <t xml:space="preserve">placa</t>
  </si>
  <si>
    <t xml:space="preserve">Placa de poliestireno expandido 20 mm EPS 10 kg/m3 de KNAUF (1000x600x20 mm/lámina (0,60 m2/placa)).   Ref. bauhaus-26233909</t>
  </si>
  <si>
    <t xml:space="preserve">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bauhaus-26233909.</t>
  </si>
  <si>
    <t xml:space="preserve">ma-diaterm-SKU.239401</t>
  </si>
  <si>
    <t xml:space="preserve">Material</t>
  </si>
  <si>
    <t xml:space="preserve">paquete</t>
  </si>
  <si>
    <t xml:space="preserve">Placa de aislamiento termoacústico ROCKSATE DUO PLUS de ROCKWOLL 60 mm para sistemas SATE (paneles de 1,20 x 0,60 m; 5 paneles/paquete; 3,60 m2/paquete).   Ref. diaterm-SKU.239401</t>
  </si>
  <si>
    <t xml:space="preserve">Paneles de lana de roca ROCKWOOL de doble densidad especialmente diseñados para su uso en el sistema de aislamiento térmico por el exterior (SATE).   Ref. diaterm-SKU.239401.</t>
  </si>
  <si>
    <t xml:space="preserve">ma-diaterm-SKU.239402</t>
  </si>
  <si>
    <t xml:space="preserve">Material</t>
  </si>
  <si>
    <t xml:space="preserve">paquete</t>
  </si>
  <si>
    <t xml:space="preserve">Placa de aislamiento termoacústico ROCKSATE DUO PLUS de ROCKWOLL 80 mm para sistemas SATE (paneles de 1,20 x 0,60 m; 4 paneles/paquete; 2,88 m2/paquete).   Ref. diaterm-SKU.239402</t>
  </si>
  <si>
    <t xml:space="preserve">Paneles de lana de roca ROCKWOOL de doble densidad especialmente diseñados para su uso en el sistema de aislamiento térmico por el exterior (SATE).   Ref. diaterm-SKU.239402.</t>
  </si>
  <si>
    <t xml:space="preserve">ma-dp-SKU.74185928</t>
  </si>
  <si>
    <t xml:space="preserve">Material</t>
  </si>
  <si>
    <t xml:space="preserve">paquete</t>
  </si>
  <si>
    <t xml:space="preserve">Placa de poliestireno extruido XPS CW de SOPREMA (2600x600x120 mm/placa; 3 placas/paquete; 4,68 m2/paquete).   Ref. dp-SKU74185928</t>
  </si>
  <si>
    <t xml:space="preserve">El panel de poliestireno extruido XPS CW de SOPREMA es una espuma rígida aislante de estructura celular cerrada y de carácter termoplástico. Conductividad térmica declarada: 0,036 W/m.K. Resistencia Térmica declarada 3,35 m2.K/W. Clase de reacción al fuego: Euroclase E. Panel de gran formato 2600x600x120 mm/placa.   Ref. dp-SKU74185928.
Concebido como aislamiento térmico contra el frio y el calor, específico para el aislamiento de muros de cámaras de aire . El producto XPS CW de excelentes propiedades térmicas y mecánicas, presenta un acabado machihembrado para favorecer su aplicación en vertical, y su superficie es lisa. Su estructura celular cerrada le convierte en un producto impasible al agua y con grandes propiedades como barrera de vapor.</t>
  </si>
  <si>
    <t xml:space="preserve">ma-lp-00160061</t>
  </si>
  <si>
    <t xml:space="preserve">Material</t>
  </si>
  <si>
    <t xml:space="preserve">perfil</t>
  </si>
  <si>
    <t xml:space="preserve">Perfil de arranque de instalación SATE en aluminio para aislamiento 80 mm (2,5 m/perfil).   Ref. lp-00160061</t>
  </si>
  <si>
    <t xml:space="preserve">Perfil de arranque fabricado en aluminio de espesor 0,7 mm.   Ref. lp-00160061.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t>
  </si>
  <si>
    <t xml:space="preserve">ma-lp-00225433</t>
  </si>
  <si>
    <t xml:space="preserve">Material</t>
  </si>
  <si>
    <t xml:space="preserve">perfil</t>
  </si>
  <si>
    <t xml:space="preserve">Perfil de arranque de instalación SATE en aluminio para aislamiento 40 mm (2,5 m/perfil).   Ref. lp-00225433</t>
  </si>
  <si>
    <t xml:space="preserve">Perfil de arranque fabricado en aluminio de espesor 0,7 mm.   Ref. lp-00225433.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t>
  </si>
  <si>
    <t xml:space="preserve">ma-lp-00225434</t>
  </si>
  <si>
    <t xml:space="preserve">Material</t>
  </si>
  <si>
    <t xml:space="preserve">perfil</t>
  </si>
  <si>
    <t xml:space="preserve">Perfil de arranque de instalación SATE en aluminio para aislamiento 60 mm (2,5 m/perfil).   Ref. lp-00225434</t>
  </si>
  <si>
    <t xml:space="preserve">Perfil de arranque fabricado en aluminio de espesor 0,7 mm.   Ref. lp-00225434.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t>
  </si>
  <si>
    <t xml:space="preserve">ma-lp-00225435</t>
  </si>
  <si>
    <t xml:space="preserve">Material</t>
  </si>
  <si>
    <t xml:space="preserve">caja</t>
  </si>
  <si>
    <t xml:space="preserve">Taco con plato de 60 mm para fijación mecánica de placa aislante; medidas: 10x90 mm (200 pzas/caja).   Ref. lp-00225435</t>
  </si>
  <si>
    <t xml:space="preserve">Tacos de fijación mecánica certificados ETAG 014, con plato de 60 mm, para broca de diámetro 10 mm con cabeza circular.   Ref.   lp-00225435
Están fabricados en plástico para evitar condensaciones que puedan provocar manchas en el revestimiento. Se utilizan para la fijación mecánica de las placas aislantes al soporte, debiendo garantizarse una profundidad de anclaje mínima de 50 mm y un consumo aproximado de 8 und/m2.</t>
  </si>
  <si>
    <t xml:space="preserve">ma-lp-00225436</t>
  </si>
  <si>
    <t xml:space="preserve">Material</t>
  </si>
  <si>
    <t xml:space="preserve">caja</t>
  </si>
  <si>
    <t xml:space="preserve">Taco con plato de 60 mm para fijación mecánica de placa aislante; medidas: 10x110 mm (200 pzas/caja).   Ref. lp-00225436</t>
  </si>
  <si>
    <t xml:space="preserve">Tacos de fijación mecánica certificados ETAG 014, con plato de 60 mm, para broca de diámetro 10 mm con cabeza circular.   Ref.   lp-00225436
Están fabricados en plástico para evitar condensaciones que puedan provocar manchas en el revestimiento. Se utilizan para la fijación mecánica de las placas aislantes al soporte, debiendo garantizarse una profundidad de anclaje mínima de 50 mm y un consumo aproximado de 8 und/m2.</t>
  </si>
  <si>
    <t xml:space="preserve">ma-lp-00235528</t>
  </si>
  <si>
    <t xml:space="preserve">Material</t>
  </si>
  <si>
    <t xml:space="preserve">placa</t>
  </si>
  <si>
    <t xml:space="preserve">Placa EPS KNAUF TECK para Sistema SATE; blanca (1000x500x60 mm/placa).   Ref. lp-00235528</t>
  </si>
  <si>
    <t xml:space="preserve">Placa EPS KNAUF TECK para Sistema SATE; blanca (1000x500x60 mm/placa).   Ref. lp-00235528.
Panel estabilizador para el aislamiento de fachadas por el exterior de Sistema ETICS-SATE. Se utiliza tanto en obra nueva como para la rehabilitación de fachadas. En obra nueva el aislameinto térmico por el exterior reduce la demanda energética del edificio haciéndolo más sostenible y proporciona otras importantes ventajas: Elimina casi por completo la presencia de puentes térmicos; Minimiza el riesgo de condensaciones; Incrementa la inercia térmica.</t>
  </si>
  <si>
    <t xml:space="preserve">ma-lp-00275678</t>
  </si>
  <si>
    <t xml:space="preserve">Material</t>
  </si>
  <si>
    <t xml:space="preserve">paquete</t>
  </si>
  <si>
    <t xml:space="preserve">Placa XPS SL para Sistema SATE; 1250x600x40 mm/panel (7,5 m2/paquete).   Ref. lp-00275678</t>
  </si>
  <si>
    <t xml:space="preserve">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lp-00275678</t>
  </si>
  <si>
    <t xml:space="preserve">ma-lp-00275680</t>
  </si>
  <si>
    <t xml:space="preserve">Material</t>
  </si>
  <si>
    <t xml:space="preserve">paquete</t>
  </si>
  <si>
    <t xml:space="preserve">Placa XPS SL para Sistema SATE; 1250x600x50 mm/panel (6 m2/paquete).   Ref. lp-00275680</t>
  </si>
  <si>
    <t xml:space="preserve">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lp-00275680</t>
  </si>
  <si>
    <t xml:space="preserve">ma-lp-00275683</t>
  </si>
  <si>
    <t xml:space="preserve">Material</t>
  </si>
  <si>
    <t xml:space="preserve">paquete</t>
  </si>
  <si>
    <t xml:space="preserve">Placa XPS SL para Sistema SATE; 1250x600x60 mm/panel (5,25 m2/paquete).   Ref. lp-00275683</t>
  </si>
  <si>
    <t xml:space="preserve">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lp-00275683</t>
  </si>
  <si>
    <t xml:space="preserve">ma-lp-00275685</t>
  </si>
  <si>
    <t xml:space="preserve">Material</t>
  </si>
  <si>
    <t xml:space="preserve">paquete</t>
  </si>
  <si>
    <t xml:space="preserve">Placa XPS SL para Sistema SATE; 1250x600x80 mm/panel (3,75 m2/paquete).   Ref. lp-00275685</t>
  </si>
  <si>
    <t xml:space="preserve">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lp-00275685</t>
  </si>
  <si>
    <t xml:space="preserve">ma-lp-00345414</t>
  </si>
  <si>
    <t xml:space="preserve">Material</t>
  </si>
  <si>
    <t xml:space="preserve">caja</t>
  </si>
  <si>
    <t xml:space="preserve">Taco con plato para fijación mecánica de placa aislante por golpeo con clavo de poliamida; medidas: 10x140 mm (200 pzas/caja).   Ref. lp-00345414</t>
  </si>
  <si>
    <t xml:space="preserve">Tacos con plato de fijación mecánica por golpeo con clavo de poliamida y una profundidad corta de encastrado para fijar materiales de aislamiento. LTX10 para broca de diámetro 10 mm.   Ref. lp-00345414</t>
  </si>
  <si>
    <t xml:space="preserve">ma-lp-00390949</t>
  </si>
  <si>
    <t xml:space="preserve">Material</t>
  </si>
  <si>
    <t xml:space="preserve">panel</t>
  </si>
  <si>
    <t xml:space="preserve">Panel aislante termo-acústico de lana mineral SONOROCK ECO de ROCKWOOL sin revestimiento (1350X400X40 mm/panel).   Ref. lp-00390949</t>
  </si>
  <si>
    <t xml:space="preserve">Panel aislante termo-acústico y semirígido de lana mineral SONOROCK ECO de ROCKWOOL sin revestimiento. Gran aislamiento acústico y térmico en particiones interiores verticales, trasdosados interiores y en particiones horizontales sobre falso techo.   Ref. lp-00390949</t>
  </si>
  <si>
    <t xml:space="preserve">ma-lp-00483442</t>
  </si>
  <si>
    <t xml:space="preserve">Material</t>
  </si>
  <si>
    <t xml:space="preserve">panel</t>
  </si>
  <si>
    <t xml:space="preserve">Panel aislante termo-acústico de lana mineral URSA TERRA sin revestimiento (1350X600X50 mm/panel).   Ref. lp-00483442</t>
  </si>
  <si>
    <t xml:space="preserve">Panel de lana mineral URSA TERRA conforme a la norma UNE EN 13162, no hidrófila, sin revestimiento. Suministrado en panel y panel enrollado.   Ref. lp-00483442
Aplicación recomendada • Medianeras con trasdosado y tabiques de placa de yeso laminado. • Aislamiento intermedio en paredes de doble hoja de fábrica. • Falsos techos de placa de yeso laminado.</t>
  </si>
  <si>
    <t xml:space="preserve">ma-lp-00535724</t>
  </si>
  <si>
    <t xml:space="preserve">Material</t>
  </si>
  <si>
    <t xml:space="preserve">placa</t>
  </si>
  <si>
    <t xml:space="preserve">Placa EPS para Sistema SATE; blanca (1000x500x40 mm/placa).   Ref. lp-00535724</t>
  </si>
  <si>
    <t xml:space="preserve">Placa poliestireno expandido EPS AISPOR SATE de 18 kg/m3 para aislamiento térmico exterior bajo revoco y cerramientos verticales en cerramientos de doble hoja. Medidas: 1000x500 mm. Espesor: 40 mm. Color blanco.   Ref. lp-00535724</t>
  </si>
  <si>
    <t xml:space="preserve">ma-lp-00535728</t>
  </si>
  <si>
    <t xml:space="preserve">Material</t>
  </si>
  <si>
    <t xml:space="preserve">placa</t>
  </si>
  <si>
    <t xml:space="preserve">Placa EPS para Sistema SATE; blanca (1000x500x80 mm/placa).   Ref. lp-00535728</t>
  </si>
  <si>
    <t xml:space="preserve">Placa poliestireno expandido EPS AISPOR SATE de 18 kg/m3 para aislamiento térmico exterior bajo revoco y cerramientos verticales en cerramientos de doble hoja. Medidas: 1000x500 mm. Espesor: 80 mm. Color blanco.   Ref. lp-00535728</t>
  </si>
  <si>
    <t xml:space="preserve">ma-lp-00535747</t>
  </si>
  <si>
    <t xml:space="preserve">Material</t>
  </si>
  <si>
    <t xml:space="preserve">placa</t>
  </si>
  <si>
    <t xml:space="preserve">Placa EPS para Sistema SATE; grafito (1000x500x80 mm)/placa.   Ref. lp-00535747</t>
  </si>
  <si>
    <t xml:space="preserve">Placa poliestireno expandido EPS AISPOR SATE grafito de 15 kg/m3 para aislamiento térmico exterior bajo revoco y cerramientos verticales en cerramientos de doble hoja. Medidas: 1000x500 mm. Espesor: 80 mm.   Ref. lp-00535747</t>
  </si>
  <si>
    <t xml:space="preserve">ma-lp-00540007</t>
  </si>
  <si>
    <t xml:space="preserve">Material</t>
  </si>
  <si>
    <t xml:space="preserve">rollo</t>
  </si>
  <si>
    <t xml:space="preserve">Malla de fibra de vidrio SATE – BIGMAT (1.10x50m/rollo).   Ref- lp-00540007</t>
  </si>
  <si>
    <t xml:space="preserve">Malla de Refuerzo para Sistema de Aislamiento Térmico por el exterior (SATE - ETICS). Medidas 1,10x50m. Luz de malla 4.5x4.5mm.   Ref- lp-00540007</t>
  </si>
  <si>
    <t xml:space="preserve">ma-lp-00558747</t>
  </si>
  <si>
    <t xml:space="preserve">Material</t>
  </si>
  <si>
    <t xml:space="preserve">caja</t>
  </si>
  <si>
    <t xml:space="preserve">Taco con plato para fijación mecánica de placa aislante por golpeo REDARTHERM H2 ECO 095 (100 pzas/caja).   Ref. lp-00558747</t>
  </si>
  <si>
    <t xml:space="preserve">Anclaje de golpeo que se utiliza en combinación con en el REDART ADHESIVO/CAPA BASE para instalar los paneles aislantes en lana de roca ROCKWOOL sobre soportes tradicionales.   Ref. lp-00558747
Características técnicas: Diámetro del cabezal 60 mm; Diámetro del tornillo 8 mm Profundidad del anclaje = 25 mm en soportes tipo A-B-C-D = 65 mm en soportes tipo E.
Ventajas: Apta para todas las categorías de uso A, B, C, D, E; Baja profundidad de empotrado; Reducción del tiempo de taladrado; Instalación más controlada incluso en soportes críticos, gracias a la doble zonas de expansión; Puente térmico optimizado; Tornillo premontado en acero para una instalación más rápida y segura.</t>
  </si>
  <si>
    <t xml:space="preserve">ma-lp-00558780</t>
  </si>
  <si>
    <t xml:space="preserve">Material</t>
  </si>
  <si>
    <t xml:space="preserve">rollo</t>
  </si>
  <si>
    <t xml:space="preserve">Malla de fibra de vidrio FV REDART STANDARD de ROCKWOOL; 160 gr/m2 antialcalina (50x1,1 m/rollo). Ref.   lp-00558780</t>
  </si>
  <si>
    <t xml:space="preserve">La malla de refuerzo antialcalina REDART STANDARD de ROCKWOOL de fibra de vidrio, mejora la resistencia mecánica del mortero de la capa base absorbiendo las tensiones que pueden generarse entre las placas de aislamiento. Permite evitar el deterioro del sistema de aislamiento. El tratamiento antiálcali es importante ya que al estar embebida en el mortero no pierde sus propiedades. Luz de malla 3,5x3,8 mm.   Ref. lp-00558780</t>
  </si>
  <si>
    <t xml:space="preserve">ma-lp-00568064</t>
  </si>
  <si>
    <t xml:space="preserve">Material</t>
  </si>
  <si>
    <t xml:space="preserve">paquete</t>
  </si>
  <si>
    <t xml:space="preserve">Panel aislante termo-acústico de lana mineral SONOROCK ECO de ROCKWOOL sin revestimiento; 1350X600X40 mm/panel (12,96 m2/paquete).   Ref. lp-00568064</t>
  </si>
  <si>
    <t xml:space="preserve">Panel aislante termo-acústico y semirígido de lana mineral SONOROCK ECO de ROCKWOOL sin revestimiento. Gran aislamiento acústico y térmico en particiones interiores verticales, trasdosados interiores y en particiones horizontales sobre falso techo.   Ref. lp-00568064</t>
  </si>
  <si>
    <t xml:space="preserve">ma-lp-00568068</t>
  </si>
  <si>
    <t xml:space="preserve">Material</t>
  </si>
  <si>
    <t xml:space="preserve">paquete</t>
  </si>
  <si>
    <t xml:space="preserve">Panel aislante termo-acústico de lana mineral SONOROCK ECO de ROCKWOOL sin revestimiento; 1350X600X60 mm/panel (9,72 m2/paquete).   Ref. lp-00568068</t>
  </si>
  <si>
    <t xml:space="preserve">Panel aislante termo-acústico y semirígido de lana mineral SONOROCK ECO de ROCKWOOL sin revestimiento. Gran aislamiento acústico y térmico en particiones interiores verticales, trasdosados interiores y en particiones horizontales sobre falso techo.   Ref. lp-00568068</t>
  </si>
  <si>
    <t xml:space="preserve">SISTEMA-SATE</t>
  </si>
  <si>
    <t xml:space="preserve">SISTEMA.FOTOVOLTAICO</t>
  </si>
  <si>
    <t xml:space="preserve">Capítulo</t>
  </si>
  <si>
    <t xml:space="preserve">MATERIALES, EQUIPOS Y ACCESORIOS DEL SISTEMA FOTOVOLTAICO</t>
  </si>
  <si>
    <t xml:space="preserve">ma-autosolar-1507014</t>
  </si>
  <si>
    <t xml:space="preserve">Material</t>
  </si>
  <si>
    <t xml:space="preserve">und</t>
  </si>
  <si>
    <t xml:space="preserve">Estructura metálica inclinada para 3 paneles solares 60c 30º TRI30 de FALCAT.   Ref. autosolar-1507014</t>
  </si>
  <si>
    <t xml:space="preserve">La Estructura 3 Paneles 60c 30º Inclinada FALCAT es un soporte que combina Aluminio Anodizado 6005 T5 y Acero Inoxidable 304, especialmente diseñada para poder situar los paneles solares sobre una cubierta sin inclinación.   Ref. autosolar-1507014.
Los paneles se colocan verticalmente sobre la estructura con una inclinación de 30º respecto a la superficie a la que se instala. Las patas son triángulos premontados y cerrados con una gran superficie de apoyo que los permite anclar a las correas metálicas de un techo de chapa. En este caso la estructura está pensada para paneles de 60 células o que no superen los 1,75 m como máximo de altura.</t>
  </si>
  <si>
    <t xml:space="preserve">ma-autosolar-3208020</t>
  </si>
  <si>
    <t xml:space="preserve">Material</t>
  </si>
  <si>
    <t xml:space="preserve">und</t>
  </si>
  <si>
    <t xml:space="preserve">Inversor Red FRONIUS SYMO 10-3 M 10 kW para Sistema Fotovoltaico.   Ref. autosolar-3208020</t>
  </si>
  <si>
    <t xml:space="preserve">El Inversor de Conexión a Red FRONIUS Symo 10-3-M 10kW es un inversor trifásico de conexión a red. Las variantes S incorporan un MPPT o seguidores del punto de máxima potencia, mientras que las M llevan 2 MPPT. Es idóneo para instalaciones de autoconsumo de pequeña potencia.   Ref. autosolar-3208020.</t>
  </si>
  <si>
    <t xml:space="preserve">ma-autosolar-3208088</t>
  </si>
  <si>
    <t xml:space="preserve">Material</t>
  </si>
  <si>
    <t xml:space="preserve">und</t>
  </si>
  <si>
    <t xml:space="preserve">Equipo de monitoreo y control para consumo y producción fotovoltaica FRONIUS SMART METER TS 65A.   Ref. autosolar-3208088</t>
  </si>
  <si>
    <t xml:space="preserve">Contador bidireccional de optimización del autoconsumo para el control y registro de flujos de energía en sistemas fotovoltaicos.   Ref. autosolar-3208088.
FRONIUS SMART METER TS 65A es un contador bidireccional que optimiza el autoconsumo, controla los diferentes flujos de energía y registra la curva de consumo. Gracias a la medición de alta precisión y la rápida comunicación a través de la interface MODBUS RTU, la limitación de potencia, cuando hay límites configurados, es más rápida y precisa que con el controlador S0.</t>
  </si>
  <si>
    <t xml:space="preserve">SISTEMA.FOTOVOLTAICO</t>
  </si>
  <si>
    <t xml:space="preserve">TECHOS.Y.PANTALLAS</t>
  </si>
  <si>
    <t xml:space="preserve">Capítulo</t>
  </si>
  <si>
    <t xml:space="preserve">MATERIALES Y ACCESORIOS PARA PANTALLAS Y CUBIERTAS DE TECHOS</t>
  </si>
  <si>
    <t xml:space="preserve">ma-diaterm-C18-76G</t>
  </si>
  <si>
    <t xml:space="preserve">Material</t>
  </si>
  <si>
    <t xml:space="preserve">m2</t>
  </si>
  <si>
    <t xml:space="preserve">Chapa pluvial mini onda 0,6 mm; acabado galvanizado (perfil P/18/76/1064).   Ref. diaterm-C18-76G</t>
  </si>
  <si>
    <t xml:space="preserve">Chapa pluvial mini onda 0,6 mm; acabado galvanizado (perfil P/18 mm (altura de cresta) / 76 (distancia mm entre crestas) / 1064 mm (ancho útil de placa)). Peso 5,53 kg/m2.   Ref. diaterm-C18-76G.</t>
  </si>
  <si>
    <t xml:space="preserve">ma-diaterm-C18-76P</t>
  </si>
  <si>
    <t xml:space="preserve">Material</t>
  </si>
  <si>
    <t xml:space="preserve">m2</t>
  </si>
  <si>
    <t xml:space="preserve">Chapa pluvial mini onda 0,6 mm; acabado prelacado (perfil P/18/76/1064).   Ref. diaterm-C18-76P</t>
  </si>
  <si>
    <t xml:space="preserve">Chapa pluvial mini onda 0,6 mm; acabado prelacado (perfil P/18 mm (altura de cresta) / 76 (distancia mm entre crestas) / 1064 mm (ancho útil de placa)). Peso 5,53 kg/m2. Acabado prelacado en 2 opciones: Posición Cubierta o Posición Fachada.   Ref. diaterm-C18-76P.</t>
  </si>
  <si>
    <t xml:space="preserve">ma-diaterm-C30-206B</t>
  </si>
  <si>
    <t xml:space="preserve">Material</t>
  </si>
  <si>
    <t xml:space="preserve">m2</t>
  </si>
  <si>
    <t xml:space="preserve">Chapa pluvial grecada 0,6 mm; acabado prelacado (perfil P/30/206/1030).   Ref. diaterm-C30-206B</t>
  </si>
  <si>
    <t xml:space="preserve">Chapa pluvial grecada 0,6 mm; acabado prelacado (perfil P/30 mm (altura de cresta) / 206 (distancia mm entre crestas) / 1030 mm (ancho útil de placa)). Peso 5,72 kg/m2. Acabado prelacado en 2 opciones: Posición Cubierta o Posición Fachada.   Ref. diaterm-C30-206B.</t>
  </si>
  <si>
    <t xml:space="preserve">ma-diaterm-C30-206G</t>
  </si>
  <si>
    <t xml:space="preserve">Material</t>
  </si>
  <si>
    <t xml:space="preserve">m2</t>
  </si>
  <si>
    <t xml:space="preserve">Chapa pluvial grecada 0,6 mm; acabado galvanizado (perfil P/30/206/1030).   Ref. diaterm-C30-206G</t>
  </si>
  <si>
    <t xml:space="preserve">Chapa pluvial grecada 0,6 mm; acabado galvanizado (perfil P/30 mm (altura de cresta) / 206 (distancia mm entre crestas) / 1030 mm (ancho útil de placa)). Peso 5,72 kg/m2.   Ref. diaterm-C30-206G.</t>
  </si>
  <si>
    <t xml:space="preserve">ma-diaterm-CPBP</t>
  </si>
  <si>
    <t xml:space="preserve">Material</t>
  </si>
  <si>
    <t xml:space="preserve">pza</t>
  </si>
  <si>
    <t xml:space="preserve">Chapa pluvial grecada prelacada estándar 0,6 mm (570x2500 mm/pza).   Ref. diaterm-CPBP</t>
  </si>
  <si>
    <t xml:space="preserve">Chapa pluvial grecada prelacada estándar 0,6 mm (570 mm (ancho útil de placa) x 2500 mm (largo estándar/pza). Peso 7,5 kg/pza. Acabado prelacado en 2 opciones: Posición Cubierta o Posición Fachada.   Ref. diaterm-CPBP.</t>
  </si>
  <si>
    <t xml:space="preserve">ma-europerfil-01</t>
  </si>
  <si>
    <t xml:space="preserve">Material</t>
  </si>
  <si>
    <t xml:space="preserve">m2</t>
  </si>
  <si>
    <t xml:space="preserve">Perfil bandeja metálica fabricado en acero EUROBAC 150 (1.600.150) de EUROPERFIL.   Ref. europerfil-01</t>
  </si>
  <si>
    <t xml:space="preserve">Perfil bandeja metálica fabricado en acero EUROBAC 150 (1.600.150) de Europerfil Marcado CE (EN 14782). Altura de nervio 150 mm, ancho útil 600 mm, espesor de 0,75 mm a 1,20 mm.   Ref. europerfil-01.
Perfilado en base de acero galvanizado y Pre-lacado (EN 10169) en revestimiento y color estándar de Europerfil a definir según DF. Complementos auxiliares: Aplicación de perforados para sistemas acústicos Eurosilence y Europhone.
NOTA: El Precio indicado incluye 120 Euros para pedidos inferiores a 500 m2.</t>
  </si>
  <si>
    <t xml:space="preserve">ma-lp-00018620</t>
  </si>
  <si>
    <t xml:space="preserve">Material</t>
  </si>
  <si>
    <t xml:space="preserve">rollo</t>
  </si>
  <si>
    <t xml:space="preserve">Malla sombreo/ocultación 70% verde en sistema RASCHEL de BOMBULL (2x100 m/rollo).   Ref. lp-00018620</t>
  </si>
  <si>
    <t xml:space="preserve">Malla sombreo/ocultación con un porcentaje del 70%, producida en sistema RASCHEL. Color verde.   Ref. lp-00018620.
Producto indesmallable, compuesto de monofilamento de alta densidad HDPE y cinta de rafia de polietileno. Facilita la intimidad en los trabajos exteriores. Se puede adaptar a la medida que se necesite por su fácil corte, tejido muy resistente al deshilachado. Con tratamiento UV para protección de 2 años. Malla fabricada en España.</t>
  </si>
  <si>
    <t xml:space="preserve">ma-lp-00018621</t>
  </si>
  <si>
    <t xml:space="preserve">Material</t>
  </si>
  <si>
    <t xml:space="preserve">rollo</t>
  </si>
  <si>
    <t xml:space="preserve">Malla sombreo/ocultación 70% verde en sistema RASCHEL de BOMBULL (3x4 m/rollo).   Ref. lp-00018621</t>
  </si>
  <si>
    <t xml:space="preserve">Malla sombreo/ocultación con un porcentaje del 70%, producida en sistema RASCHEL. Color verde.   Ref. lp-00018621.
Producto indesmallable, compuesto de monofilamento de alta densidad HDPE y cinta de rafia de polietileno. Facilita la intimidad en los trabajos exteriores. Se puede adaptar a la medida que se necesite por su fácil corte, tejido muy resistente al deshilachado. Con tratamiento UV para protección de 2 años. Malla fabricada en España.</t>
  </si>
  <si>
    <t xml:space="preserve">ma-lp-00018622</t>
  </si>
  <si>
    <t xml:space="preserve">Material</t>
  </si>
  <si>
    <t xml:space="preserve">rollo</t>
  </si>
  <si>
    <t xml:space="preserve">Malla sombreo/ocultación 70% verde en sistema RASCHEL de BOMBULL (4x5 m/rollo).   Ref. lp-00018622</t>
  </si>
  <si>
    <t xml:space="preserve">Malla sombreo/ocultación con un porcentaje del 70%, producida en sistema RASCHEL. Color verde.   Ref. lp-00018622.
Producto indesmallable, compuesto de monofilamento de alta densidad HDPE y cinta de rafia de polietileno. Facilita la intimidad en los trabajos exteriores. Se puede adaptar a la medida que se necesite por su fácil corte, tejido muy resistente al deshilachado. Con tratamiento UV para protección de 2 años. Malla fabricada en España.</t>
  </si>
  <si>
    <t xml:space="preserve">ma-lp-00112952</t>
  </si>
  <si>
    <t xml:space="preserve">Material</t>
  </si>
  <si>
    <t xml:space="preserve">paño</t>
  </si>
  <si>
    <t xml:space="preserve">Malla de ocultación 90% de ROMBULL; colores negro y amarillo (1,9x3,6 m/paño).   Ref. lp-00112952</t>
  </si>
  <si>
    <t xml:space="preserve">Malla sombreo/ocultación con un porcentaje del 90%, producida en sistema RASCHEL, producto indesmallable, compuesto de monofilamento de alta densidad HDPE, y cinta de rafia de polietileno.   Ref. lp-00112952
Facilita la intimidad en los trabajos exteriores, de fácil colocación gracias a la doble botonera superior e inferior. Se puede adaptar a la medida que se necesite por su fácil corte, tejido muy resistente al deshilachado. Con tratamiento UV para protección de 2 años. Malla fabricada en España. Color negro/amarillo. Medidas: 1,9x3,6 m.</t>
  </si>
  <si>
    <t xml:space="preserve">ma-lp-00112953</t>
  </si>
  <si>
    <t xml:space="preserve">Material</t>
  </si>
  <si>
    <t xml:space="preserve">rollo</t>
  </si>
  <si>
    <t xml:space="preserve">Malla de ocultación 90% de ROMBULL; colores negro y amarillo (1,9x50 m/rollo).   Ref. lp-00112953</t>
  </si>
  <si>
    <t xml:space="preserve">Malla sombreo/ocultación con un porcentaje del 90%, producida en sistema RASCHEL, producto indesmallable, compuesto de monofilamento de alta densidad HDPE, y cinta de rafia de polietileno.   Ref. lp-00112953
Facilita la intimidad en los trabajos exteriores, de fácil colocación gracias a la doble botonera superior e inferior. Se puede adaptar a la medida que se necesite por su fácil corte, tejido muy resistente al deshilachado. Con tratamiento UV para protección de 2 años. Malla fabricada en España. Color negro/amarillo. Medidas: 1,9x50 m.</t>
  </si>
  <si>
    <t xml:space="preserve">ma-lp-00134445</t>
  </si>
  <si>
    <t xml:space="preserve">Material</t>
  </si>
  <si>
    <t xml:space="preserve">panel</t>
  </si>
  <si>
    <t xml:space="preserve">Panel sandwich aislante autoportante acabado GRECADO; color blanco/blanco (3000x1000x30 mm/panel).   Ref. lp-00134445</t>
  </si>
  <si>
    <t xml:space="preserve">Panel sandwich autoportante acabado GRECAS para aislamiento térmico de tejados, con doble cara de acero y relleno en espuma de poliuretano (espesor 3 cm).   Ref. lp-00134445</t>
  </si>
  <si>
    <t xml:space="preserve">ma-lp-00249793</t>
  </si>
  <si>
    <t xml:space="preserve">Material</t>
  </si>
  <si>
    <t xml:space="preserve">pza</t>
  </si>
  <si>
    <t xml:space="preserve">Remate lateral para panel sándwich acabado GRECADO de 3 cm (3 m/pza).   Ref. lp-00249793</t>
  </si>
  <si>
    <t xml:space="preserve">Remate lateral para panel sándwich acabado GRECADO (acero-poliuretano-acero) en color blanco-blanco. Medidas: 3000x30 mm.   Ref. lp-00249793</t>
  </si>
  <si>
    <t xml:space="preserve">ma-lp-00269940</t>
  </si>
  <si>
    <t xml:space="preserve">Material</t>
  </si>
  <si>
    <t xml:space="preserve">pza</t>
  </si>
  <si>
    <t xml:space="preserve">Remate frontal para panel sándwich acabado GRECADO de 3 cm (1 m/pza).   Ref. lp-00269940</t>
  </si>
  <si>
    <t xml:space="preserve">Remate frontal para panel sándwich acabado GRECADO (acero-poliuretano-acero) en color blanco-blanco. Medidas: 1000x30 mm.   Ref. lp-00249793</t>
  </si>
  <si>
    <t xml:space="preserve">ma-lp-00281618</t>
  </si>
  <si>
    <t xml:space="preserve">Material</t>
  </si>
  <si>
    <t xml:space="preserve">pza</t>
  </si>
  <si>
    <t xml:space="preserve">Remate de cumbrera para panel sándwich acabado GRECADO de 3 cm (3 m/pza).   Ref. lp-00281618</t>
  </si>
  <si>
    <t xml:space="preserve">Remate de cumbrera para panel sándwich acabado GRECADO (acero-poliuretano-acero) en color blanco-blanco. Medidas: 3000x30 mm.   Ref. lp-00281618</t>
  </si>
  <si>
    <t xml:space="preserve">ma-lp-00413504</t>
  </si>
  <si>
    <t xml:space="preserve">Material</t>
  </si>
  <si>
    <t xml:space="preserve">placa</t>
  </si>
  <si>
    <t xml:space="preserve">Placa de policarbonato celular de ONDUCLAIR 6.76 kg/placa (3000x980x16 mm/placa).   Ref. lp-00413504</t>
  </si>
  <si>
    <t xml:space="preserve">Las placas de policarbonato ONDUCLAIR son una solución de cobertura translúcida con la que se protege y se aprovecha la luz natural en cubiertas y fachadas.   Ref. lp-00413504</t>
  </si>
  <si>
    <t xml:space="preserve">ma-lp-00413509</t>
  </si>
  <si>
    <t xml:space="preserve">Material</t>
  </si>
  <si>
    <t xml:space="preserve">pza</t>
  </si>
  <si>
    <t xml:space="preserve">Perfil H de policarbonato para cubiertas ligeras translúcidas (3000x4a6 mm/pza).   Ref. lp-00413509</t>
  </si>
  <si>
    <t xml:space="preserve">Perfil H de policarbonato para cubiertas ligeras translúcidas (3000x4a6 mm/pza).   Ref. lp-00413509</t>
  </si>
  <si>
    <t xml:space="preserve">ma-lp-00413511</t>
  </si>
  <si>
    <t xml:space="preserve">Material</t>
  </si>
  <si>
    <t xml:space="preserve">pza</t>
  </si>
  <si>
    <t xml:space="preserve">Perfil H de policarbonato para cubiertas ligeras translúcidas (3000x10 mm/pza).   Ref. lp-00413511</t>
  </si>
  <si>
    <t xml:space="preserve">Perfil H de policarbonato para cubiertas ligeras translúcidas (3000x10 mm/pza).   Ref. lp-00413511</t>
  </si>
  <si>
    <t xml:space="preserve">ma-lp-00413513</t>
  </si>
  <si>
    <t xml:space="preserve">Material</t>
  </si>
  <si>
    <t xml:space="preserve">pza</t>
  </si>
  <si>
    <t xml:space="preserve">Perfil H de policarbonato para cubiertas ligeras translúcidas (3000x16 mm/pza).   Ref. lp-00413513</t>
  </si>
  <si>
    <t xml:space="preserve">Perfil H de policarbonato para cubiertas ligeras translúcidas (3000x16 mm/pza).   Ref. lp-00413513</t>
  </si>
  <si>
    <t xml:space="preserve">ma-lp-00537566</t>
  </si>
  <si>
    <t xml:space="preserve">Material</t>
  </si>
  <si>
    <t xml:space="preserve">pza</t>
  </si>
  <si>
    <t xml:space="preserve">Perfil U de policarbonato para cubiertas ligeras translúcidas (2100x6 mm/pza).   Ref. lp-00537566</t>
  </si>
  <si>
    <t xml:space="preserve">Perfil U de policarbonato para cubiertas ligeras translúcidas (2100x6 mm/pza).   Ref. lp-00537566</t>
  </si>
  <si>
    <t xml:space="preserve">ma-lp-00537567</t>
  </si>
  <si>
    <t xml:space="preserve">Material</t>
  </si>
  <si>
    <t xml:space="preserve">pza</t>
  </si>
  <si>
    <t xml:space="preserve">Perfil U de policarbonato para cubiertas ligeras translúcidas (2100x10 mm/pza).   Ref. lp-00537567</t>
  </si>
  <si>
    <t xml:space="preserve">Perfil U de policarbonato para cubiertas ligeras translúcidas (2100x10 mm/pza).   Ref. lp-00537567</t>
  </si>
  <si>
    <t xml:space="preserve">ma-lp-00537568</t>
  </si>
  <si>
    <t xml:space="preserve">Material</t>
  </si>
  <si>
    <t xml:space="preserve">pza</t>
  </si>
  <si>
    <t xml:space="preserve">Perfil U de policarbonato para cubiertas ligeras translúcidas (2100x16 mm/pza).   Ref. lp-00537568</t>
  </si>
  <si>
    <t xml:space="preserve">Perfil U de policarbonato para cubiertas ligeras translúcidas (2100x16 mm/pza).   Ref. lp-00537568</t>
  </si>
  <si>
    <t xml:space="preserve">ma-lp-00537570</t>
  </si>
  <si>
    <t xml:space="preserve">Material</t>
  </si>
  <si>
    <t xml:space="preserve">rollo</t>
  </si>
  <si>
    <t xml:space="preserve">Cinta microperforada 38 mm para placas de policarbonato ONDULINE (33 m/rollo).   Ref. lp-00537570</t>
  </si>
  <si>
    <t xml:space="preserve">Cinta microperforada 38 mm para placas de policarbonato ONDULINE (3 m/rollo).   Ref. lp-00537570</t>
  </si>
  <si>
    <t xml:space="preserve">ma-lp-00537572</t>
  </si>
  <si>
    <t xml:space="preserve">Material</t>
  </si>
  <si>
    <t xml:space="preserve">rollo</t>
  </si>
  <si>
    <t xml:space="preserve">Cinta ciega 25 mm para placas de policarbonato ONDULINE (50 m/rollo).   Ref. lp-00537572</t>
  </si>
  <si>
    <t xml:space="preserve">Cinta ciega 25 mm para placas de policarbonato ONDULINE (50 m/rollo).   Ref. lp-00537572</t>
  </si>
  <si>
    <t xml:space="preserve">ma-lp-00563465</t>
  </si>
  <si>
    <t xml:space="preserve">Material</t>
  </si>
  <si>
    <t xml:space="preserve">placa</t>
  </si>
  <si>
    <t xml:space="preserve">Placa de policarbonato celular de ONDUCLAIR (2000x980x6 mm/placa).   Ref. lp-00563465</t>
  </si>
  <si>
    <t xml:space="preserve">Las placas de policarbonato ONDUCLAIR son una solución de cobertura translúcida con la que se protege y se aprovecha la luz natural en cubiertas y fachadas.   Ref. ma-lp-00563465</t>
  </si>
  <si>
    <t xml:space="preserve">ma-lp-00563467</t>
  </si>
  <si>
    <t xml:space="preserve">Material</t>
  </si>
  <si>
    <t xml:space="preserve">placa</t>
  </si>
  <si>
    <t xml:space="preserve">Placa de policarbonato celular de ONDUCLAIR (3000x980x10 mm/placa).   Ref. lp-00563467</t>
  </si>
  <si>
    <t xml:space="preserve">Las placas de policarbonato ONDUCLAIR son una solución de cobertura translúcida con la que se protege y se aprovecha la luz natural en cubiertas y fachadas.   Ref. ma-lp-00563465</t>
  </si>
  <si>
    <t xml:space="preserve">ma-lp-00563468</t>
  </si>
  <si>
    <t xml:space="preserve">Material</t>
  </si>
  <si>
    <t xml:space="preserve">placa</t>
  </si>
  <si>
    <t xml:space="preserve">Placa de policarbonato celular de ONDUCLAIR (2000x980x16 mm/placa).   Ref. lp-00563468</t>
  </si>
  <si>
    <t xml:space="preserve">Las placas de policarbonato ONDUCLAIR son una solución de cobertura translúcida con la que se protege y se aprovecha la luz natural en cubiertas y fachadas.   Ref. ma-lp-00563468</t>
  </si>
  <si>
    <t xml:space="preserve">ma-lp-00563469</t>
  </si>
  <si>
    <t xml:space="preserve">Material</t>
  </si>
  <si>
    <t xml:space="preserve">placa</t>
  </si>
  <si>
    <t xml:space="preserve">Placa de policarbonato celular de ONDUCLAIR 5.59 kg/placa (3000x980x16 mm/placa).   Ref. lp-00563469</t>
  </si>
  <si>
    <t xml:space="preserve">Las placas de policarbonato ONDUCLAIR son una solución de cobertura translúcida con la que se protege y se aprovecha la luz natural en cubiertas y fachadas.   Ref. ma-lp-00563469</t>
  </si>
  <si>
    <t xml:space="preserve">ma-lp-00563582</t>
  </si>
  <si>
    <t xml:space="preserve">Material</t>
  </si>
  <si>
    <t xml:space="preserve">placa</t>
  </si>
  <si>
    <t xml:space="preserve">Placa de policarbonato celular de ONDUCLAIR (2000x980x10 mm/placa).   Ref. lp-00563582</t>
  </si>
  <si>
    <t xml:space="preserve">Las placas de policarbonato ONDUCLAIR son una solución de cobertura translúcida con la que se protege y se aprovecha la luz natural en cubiertas y fachadas.   Ref. ma-lp-00563582</t>
  </si>
  <si>
    <t xml:space="preserve">ma-panelfix-100mm</t>
  </si>
  <si>
    <t xml:space="preserve">Material</t>
  </si>
  <si>
    <t xml:space="preserve">m2</t>
  </si>
  <si>
    <t xml:space="preserve">Panel sándwich fachada lana de roca 100 mm.   Ref. panelfix-100mm</t>
  </si>
  <si>
    <t xml:space="preserve">El Panel Sandwich de Fachada con núcleo de Lana de Roca está diseñado con un acabado exterior con perfiles que van de liso a microperfilado. Colores: Blanco Pirineo, Rojo Teja, Verde Navarra. Espesor de las caras de las chapas 0,5 mm.   Ref. panelfix-100mm.
La lana de roca es un material incombustible, que no emite humos, ni desprende gotas incandescentes. Y dada su clasificación A2-s1-d0 de reacción frente al fuego, es ideal para aplicaciones en las que se requiera total estanqueidad con buen comportamiento contra el fuego. Viene en densidad media (M) para mayor resistencia y aislamiento.
Otro elemento que hace destacar el producto es su práctico montaje de tornillería con fijación oculta. De manera que ofrece una gran protección y resistencia mecánica en luces mayores a igualdad de carga. Las fachadas con panel sándwich de lana de roca sirve también para realizar particiones en interiores. Si lo que se desea es realizar el montaje de paneles sándwich para insonorización, se recomienda optar por un panel de fachada acústico.
CARACTERÍSTICAS DE MONTAJE: El montaje de los paneles sándwich de lana de roca se realiza de manera fácil y rápida gracias al diseño con tornillos y grapas para la fijación, una grapa en bajas presiones y tres fijaciones por grapa en altas presiones. Lo que incide en muchas ventajas arquitectónicas y técnicas. Además, que posibilita la ocultación de las fijaciones garantizando a su vez una total estanqueidad de la unión, tanto en su colocación de manera vertical como horizontal.</t>
  </si>
  <si>
    <t xml:space="preserve">ma-panelfix-60mm</t>
  </si>
  <si>
    <t xml:space="preserve">Material</t>
  </si>
  <si>
    <t xml:space="preserve">m2</t>
  </si>
  <si>
    <t xml:space="preserve">Panel sándwich fachada lana de roca 60 mm.   Ref. panelfix-100mm</t>
  </si>
  <si>
    <t xml:space="preserve">El Panel Sandwich de Fachada con núcleo de Lana de Roca está diseñado con un acabado exterior con perfiles que van de liso a microperfilado. Colores: Blanco Pirineo, Rojo Teja, Verde Navarra. Espesor de las caras de las chapas 0,5 mm.   Ref. panelfix-60mm.
La lana de roca es un material incombustible, que no emite humos, ni desprende gotas incandescentes. Y dada su clasificación A2-s1-d0 de reacción frente al fuego, es ideal para aplicaciones en las que se requiera total estanqueidad con buen comportamiento contra el fuego. Viene en densidad media (M) para mayor resistencia y aislamiento.
Otro elemento que hace destacar el producto es su práctico montaje de tornillería con fijación oculta. De manera que ofrece una gran protección y resistencia mecánica en luces mayores a igualdad de carga. Las fachadas con panel sándwich de lana de roca sirve también para realizar particiones en interiores. Si lo que se desea es realizar el montaje de paneles sándwich para insonorización, se recomienda optar por un panel de fachada acústico.
CARACTERÍSTICAS DE MONTAJE: El montaje de los paneles sándwich de lana de roca se realiza de manera fácil y rápida gracias al diseño con tornillos y grapas para la fijación, una grapa en bajas presiones y tres fijaciones por grapa en altas presiones. Lo que incide en muchas ventajas arquitectónicas y técnicas. Además, que posibilita la ocultación de las fijaciones garantizando a su vez una total estanqueidad de la unión, tanto en su colocación de manera vertical como horizontal.</t>
  </si>
  <si>
    <t xml:space="preserve">ma-panelfix-80mm</t>
  </si>
  <si>
    <t xml:space="preserve">Material</t>
  </si>
  <si>
    <t xml:space="preserve">m2</t>
  </si>
  <si>
    <t xml:space="preserve">Panel sándwich fachada lana de roca 80 mm.   Ref. panelfix-100mm</t>
  </si>
  <si>
    <t xml:space="preserve">El Panel Sandwich de Fachada con núcleo de Lana de Roca está diseñado con un acabado exterior con perfiles que van de liso a microperfilado. Colores: Blanco Pirineo, Rojo Teja, Verde Navarra. Espesor de las caras de las chapas 0,5 mm.   Ref. panelfix-80mm.
La lana de roca es un material incombustible, que no emite humos, ni desprende gotas incandescentes. Y dada su clasificación A2-s1-d0 de reacción frente al fuego, es ideal para aplicaciones en las que se requiera total estanqueidad con buen comportamiento contra el fuego. Viene en densidad media (M) para mayor resistencia y aislamiento.
Otro elemento que hace destacar el producto es su práctico montaje de tornillería con fijación oculta. De manera que ofrece una gran protección y resistencia mecánica en luces mayores a igualdad de carga. Las fachadas con panel sándwich de lana de roca sirve también para realizar particiones en interiores. Si lo que se desea es realizar el montaje de paneles sándwich para insonorización, se recomienda optar por un panel de fachada acústico.
CARACTERÍSTICAS DE MONTAJE: El montaje de los paneles sándwich de lana de roca se realiza de manera fácil y rápida gracias al diseño con tornillos y grapas para la fijación, una grapa en bajas presiones y tres fijaciones por grapa en altas presiones. Lo que incide en muchas ventajas arquitectónicas y técnicas. Además, que posibilita la ocultación de las fijaciones garantizando a su vez una total estanqueidad de la unión, tanto en su colocación de manera vertical como horizontal.</t>
  </si>
  <si>
    <t xml:space="preserve">ma-sectoruno.perfil-universal-01</t>
  </si>
  <si>
    <t xml:space="preserve">Material</t>
  </si>
  <si>
    <t xml:space="preserve">pza</t>
  </si>
  <si>
    <t xml:space="preserve">Perfil universal de aluminio para láminas de cubierta de techo (6 m/pza).   Ref. sectoruno.perfil-universal-01</t>
  </si>
  <si>
    <t xml:space="preserve">El perfil universal tiene la función de fijar las placas por la parte superior a una estructura.   Perfil universal de aluminio para láminas de cubierta de techo (6 m/pza).   Ref. sectoruno.perfil-universal-01
Primero cortamos los perfiles a la medida que necesitamos y ponemos la goma trapezoidal, tener en cuenta que se pone la goma en los dos lados del perfil. Después fijamos la goma universal sobre la viga o apoyo del policarbonato, la dejamos bien centrada, estirada y la fijamos con unos pequeños tornillos en el centro de la goma. Colocamos las placas de policarbonato sobre la goma universal y superponemos el perfil universal sobre estas, centramos el perfil, que quede bien recto y lo atornillamos a la viga, poniendo un tornillo cada 30 o 40 cm. Los tornillos más utilizados son autotaladrantes con arandela vulcanizada, de diámetro desde 4,8 a 6,2, en función del espesor de la placa y la longitud de estos debe de tener por lo menos, el espesor de la placa más 15 o 20 mm demás, para asegurarnos una buena fijación. Los tornillos para la fijación de la goma universal deben tener la cabeza pequeña para con no sea un impedimento para la colocación de las placas.</t>
  </si>
  <si>
    <t xml:space="preserve">TECHOS.Y.PANTALLAS</t>
  </si>
  <si>
    <t xml:space="preserve">UTENSILIOS.DE.OBRA</t>
  </si>
  <si>
    <t xml:space="preserve">Capítulo</t>
  </si>
  <si>
    <t xml:space="preserve">UTENSILIOS DE OBRA</t>
  </si>
  <si>
    <t xml:space="preserve">ma-bm-10893295</t>
  </si>
  <si>
    <t xml:space="preserve">Material</t>
  </si>
  <si>
    <t xml:space="preserve">cubo</t>
  </si>
  <si>
    <t xml:space="preserve">Cubo de basura de polipropileno con tapa; color negro de UNIVERSAL (100 litros/cubo).   Ref. bm-10893295</t>
  </si>
  <si>
    <t xml:space="preserve">Cubo de basura indicado especialmente para el sector de la hostelería, fabricado en polipropileno reciclado, con asas integradas para su traslado sin gran esfuerzo.   Ref. bm-10893295.</t>
  </si>
  <si>
    <t xml:space="preserve">ma-cercado.online-bph6x24cm</t>
  </si>
  <si>
    <t xml:space="preserve">Material</t>
  </si>
  <si>
    <t xml:space="preserve">und</t>
  </si>
  <si>
    <t xml:space="preserve">Base Pie de Hormigón para Vallas de Obra.   Ref. cercado.online-bph6x24cm</t>
  </si>
  <si>
    <t xml:space="preserve">Base Pie de Hormigón para Vallas de Obra.   Ref. cercado.online-bph6x24cm.
Base de hormigón armado para la sujeción de las vallas móviles de obra. Medidas: 60x24 cm/und, y peso 25 kg/und. 6 agujeros para montar las vallas de obra en cualquier ángulo o línea.</t>
  </si>
  <si>
    <t xml:space="preserve">ma-cercado.online-vm3.5x1.9</t>
  </si>
  <si>
    <t xml:space="preserve">Material</t>
  </si>
  <si>
    <t xml:space="preserve">und</t>
  </si>
  <si>
    <t xml:space="preserve">Valla Móvil para Obra (3,50x1,90 m/und).   Ref. cercado.online-vm3.5x1.9</t>
  </si>
  <si>
    <t xml:space="preserve">Valla Móvil para Obra 3,50x1,90 m.   Ref. cercado.online-vm3.5x1.9.
• Valla móvil galvanizada indicada para obras, para cerrar recintos de rápida instalación. Reforzada con 2 tubos verticales para sujeción sobre base de hormigón.
• Cuadro 200x125, diámetro alambre 3,4 mm, acabado galvanizado.
• Ancho total 3,50 m, alto total 1,90 m.
• Bastidores construidos en malla electrosoldada y postes de tubo de 40 mm de Ø, que se unen a la malla mediante soldadura.
• Cuatro pliegues longitudinales en la malla que le confieren gran rigidez.
Cada paño incluye piezas de unión preinstaladas para conexión entre tramos, mediante tornillo o similar. Acabado en puntas defensivas. Admite cualquier alineación en el montaje, tanto recto como en ángulos. Peso 12 kg/und.</t>
  </si>
  <si>
    <t xml:space="preserve">ma-lm-89381607</t>
  </si>
  <si>
    <t xml:space="preserve">Material</t>
  </si>
  <si>
    <t xml:space="preserve">bolsa</t>
  </si>
  <si>
    <t xml:space="preserve">Tapones para oídos con cuerda PU SNR36 (5 pares/bolsa).   Ref. lm-89381607</t>
  </si>
  <si>
    <t xml:space="preserve">Protector auditivo de uso único. Bolsa de 5 pares. Adaptable a todo tipo de conducto. Fabricado en espuma de poliuretano de uso único. Ofrece gran protección en todas las frecuencias. No contiene PVC. Antialérgico. Forma ergonómica que se adapta a todos los tipos de conducto auditivo. Liso, las impurezas no se adhieren.   Ref. lm-89381607.</t>
  </si>
  <si>
    <t xml:space="preserve">ma-lp-00007665</t>
  </si>
  <si>
    <t xml:space="preserve">Material</t>
  </si>
  <si>
    <t xml:space="preserve">rollo</t>
  </si>
  <si>
    <t xml:space="preserve">Plástico cubretodo fino polipropileno de MIARCO para protección antes de pintar (2x50 m/rollo; espesor 7 µm).   Ref. lp-00007665</t>
  </si>
  <si>
    <t xml:space="preserve">Lámina de polietileno de alta densidad que proporciona una protección rápida, cómoda y segura de paredes, muebles, suelos y todo tipo de objetos durante el proceso de pintado y así trabajar más rápidamente o facilitar el trabajo de limpieza posterior. Resistente, impermeable y reciclable. Rollo de 2x50 m. Fino.   Ref. lp-00007665.</t>
  </si>
  <si>
    <t xml:space="preserve">ma-lp-00007667</t>
  </si>
  <si>
    <t xml:space="preserve">Material</t>
  </si>
  <si>
    <t xml:space="preserve">und</t>
  </si>
  <si>
    <t xml:space="preserve">Plástico cubretodo grueso MIARCO; 4x5 m/und   Ref. lp-00007667</t>
  </si>
  <si>
    <t xml:space="preserve">Lámina de polietileno de alta densidad que proporciona una protección rápida, cómoda y segura de paredes, muebles, suelos y todo tipo de objetos durante el proceso de pintado y así trabajar mas rápidamente o facilitar el trabajo de limpieza posterior. Resistente, impermeable y reciclable. Rollo de 4x5 m. Grueso.   Ref. lp-00007667</t>
  </si>
  <si>
    <t xml:space="preserve">ma-lp-00016940</t>
  </si>
  <si>
    <t xml:space="preserve">Material</t>
  </si>
  <si>
    <t xml:space="preserve">und</t>
  </si>
  <si>
    <t xml:space="preserve">Caballete/Borriqueta fija para andamio estándar (1x0,7 m/und).   Ref. lp-00016940</t>
  </si>
  <si>
    <t xml:space="preserve">Borriqueta/Caballete fijo para andamio estándar. Fabricado en acero soldado y remachado, con tapones antideslizantes en las patas. Carga máxima: 250 kg. Medidas: 1x0,7 m. Peso: 7,4 kg.   Ref. lp-00016940.</t>
  </si>
  <si>
    <t xml:space="preserve">ma-lp-00017568</t>
  </si>
  <si>
    <t xml:space="preserve">Material</t>
  </si>
  <si>
    <t xml:space="preserve">pza</t>
  </si>
  <si>
    <t xml:space="preserve">Casco de seguridad con sujeción rueda dentada 5RG de CLIMAX; color blanco.   Ref. lp-00017568</t>
  </si>
  <si>
    <t xml:space="preserve">Casco aislante eléctricamente hasta 1000V fabricado en PE. Atalaje plástico 6 puntos de anclaje y regulación manual por rueda dentada. Temperatura de trabajo: -10 °C / + 50 °C. Color blanco.   Ref. lp-00017568.</t>
  </si>
  <si>
    <t xml:space="preserve">ma-lp-00017725</t>
  </si>
  <si>
    <t xml:space="preserve">Material</t>
  </si>
  <si>
    <t xml:space="preserve">rollo</t>
  </si>
  <si>
    <t xml:space="preserve">Cinta de señalización para obras; colores rojo y blanco (ancho 70 mm y longitud 200 m/rollo).   Ref. lp-00017725</t>
  </si>
  <si>
    <t xml:space="preserve">Cinta de señalización para obras; colores rojo y blanco (ancho 70 mm y longitud 200 m/rollo).   Ref. lp-00017725</t>
  </si>
  <si>
    <t xml:space="preserve">ma-lp-00018203</t>
  </si>
  <si>
    <t xml:space="preserve">Material</t>
  </si>
  <si>
    <t xml:space="preserve">pza</t>
  </si>
  <si>
    <t xml:space="preserve">Gafa de protección con montura de vinilo flexible modelo 539 de CLIMAX.   Ref. lp-00018203</t>
  </si>
  <si>
    <t xml:space="preserve">Gafa de protección con montura de vinilo flexible Modelo 539 de CLIMAX y ocular en acetato antiempañante (clase óptica 1). Sin ventilación. Indicada para la protección contra electricidad estática y aparatos y sistemas de protección para uso en atmósferas potencialmente explosivas.   Ref. lp-00018203.</t>
  </si>
  <si>
    <t xml:space="preserve">ma-lp-00018836</t>
  </si>
  <si>
    <t xml:space="preserve">Material</t>
  </si>
  <si>
    <t xml:space="preserve">und</t>
  </si>
  <si>
    <t xml:space="preserve">Cartel mural para obra de CLIMAX (700x1000 mm/cartel).   Ref. lp-00018836</t>
  </si>
  <si>
    <t xml:space="preserve">Señal especial para obra serigrafiada sobre plancha de PVC blanco de 0,6 mm de espesor nominal de medida 700x1000 mm.   Ref. lp-00018836.</t>
  </si>
  <si>
    <t xml:space="preserve">ma-lp-00019465</t>
  </si>
  <si>
    <t xml:space="preserve">Material</t>
  </si>
  <si>
    <t xml:space="preserve">und</t>
  </si>
  <si>
    <t xml:space="preserve">Puntal metálico telescópico P3N; 3 m Ø 48x1,6 / Ø 40x1,6   Ref. lp-00019465</t>
  </si>
  <si>
    <t xml:space="preserve">Puntal telescópico P3N con rosca protegida con tuerca de diámetro 60 mm. Casquillo roscado de diámetro 55 mm. Asas de la tuerca rectangulares en redondo macizo de diámetro 11 mm. Arandelas galvanizadas de diámetro 60 mm. Pasador macizo de diámetro 10 mm. Longitud de 3 m. Capacidad máxima de carga 631 kg. Altura mínima = 1,75 m; Altura máxima 3,1 m. Diámetro tubo exterior 48 mm; Diámetro tubo interior 40 mm.   Ref. lp-00019465</t>
  </si>
  <si>
    <t xml:space="preserve">ma-lp-00019466</t>
  </si>
  <si>
    <t xml:space="preserve">Material</t>
  </si>
  <si>
    <t xml:space="preserve">und</t>
  </si>
  <si>
    <t xml:space="preserve">Puntal metálico telescópico P4N; 4 m Ø 48x2 / Ø 40x2   Ref. lp-00019466</t>
  </si>
  <si>
    <t xml:space="preserve">Puntal metálico telescópico P4N; 4 m Ø 48x2 / Ø 40x2   Ref. lp-00019466</t>
  </si>
  <si>
    <t xml:space="preserve">ma-lp-00019694</t>
  </si>
  <si>
    <t xml:space="preserve">Material</t>
  </si>
  <si>
    <t xml:space="preserve">pza</t>
  </si>
  <si>
    <t xml:space="preserve">Cartel de advertencia Riesgo Eléctrico de CLIMAX (220x300 mm/pza).   Ref. lp-00019694</t>
  </si>
  <si>
    <t xml:space="preserve">Señal de advertencia de riesgo eléctrico serigrafiada sobre plancha de PVC blanco de 0,6 mm de espesor nominal de medida 220x300 mm.   Ref. lp-00019694.</t>
  </si>
  <si>
    <t xml:space="preserve">ma-lp-00019695</t>
  </si>
  <si>
    <t xml:space="preserve">Material</t>
  </si>
  <si>
    <t xml:space="preserve">pza</t>
  </si>
  <si>
    <t xml:space="preserve">Cartel de advertencia Carga Suspendida de CLIMAX (220x300 mm/pza).   Ref. lp-00019695</t>
  </si>
  <si>
    <t xml:space="preserve">Señal de advertencia de carga suspendida serigrafiada sobre plancha de PVC blanco de 0,6 mm de espesor nominal de medida 220x300 mm.   Ref. lp-00019695.</t>
  </si>
  <si>
    <t xml:space="preserve">ma-lp-00019699</t>
  </si>
  <si>
    <t xml:space="preserve">Material</t>
  </si>
  <si>
    <t xml:space="preserve">pza</t>
  </si>
  <si>
    <t xml:space="preserve">Cartel de advertencia Prohibido el Paso de CLIMAX (220x300 mm/pza).   Ref. lp-00019699</t>
  </si>
  <si>
    <t xml:space="preserve">Señal de prohibido el paso serigrafiada sobre plancha de PVC blanco de 0,6 mm de espesor nominal de medida 220x300 mm.   Ref. lp-00019699.</t>
  </si>
  <si>
    <t xml:space="preserve">ma-lp-00020205</t>
  </si>
  <si>
    <t xml:space="preserve">Material</t>
  </si>
  <si>
    <t xml:space="preserve">und</t>
  </si>
  <si>
    <t xml:space="preserve">Valla metálica 1 pie para obra de ALTRAD; color amarillo.   Ref. lp-00020205</t>
  </si>
  <si>
    <t xml:space="preserve">Valla móvil peatonal trasladable de color amarillo con estructura de tubo redondo y vértices curvos. Barrotes verticales de tubo redondo. Apoya sobre 1 pie. Indicada para la delimitación de accesos, estacionamientos, señalización de obstáculos y para la señalización de accesos o restricciones del tráfico rodado y de transeúntes. Medidas: 2,50x1 m. Peso: 14,5 kg.   Ref. lp-00020205.</t>
  </si>
  <si>
    <t xml:space="preserve">ma-lp-00020206</t>
  </si>
  <si>
    <t xml:space="preserve">Material</t>
  </si>
  <si>
    <t xml:space="preserve">und</t>
  </si>
  <si>
    <t xml:space="preserve">Valla Metálica Móvil para Obra de ALTRAD con apoyo sobre un pie; color blanco (2,50x1 m/und).   Ref. lp-00020206</t>
  </si>
  <si>
    <t xml:space="preserve">Valla móvil peatonal trasladable de color blanco con estructura de tubo redondo con vértices curvos. Barrotes verticales de tubo redondo. Apoya sobre 1 pie. Indicada para la delimitación de accesos, estacionamientos, señalización de obstáculos y para la señalización de accesos o restricciones del tráfico rodado y de transeúntes. Medidas: 2,50x1 m. Peso: 14,5 kg.   Ref. lp-00020206</t>
  </si>
  <si>
    <t xml:space="preserve">ma-lp-00112954</t>
  </si>
  <si>
    <t xml:space="preserve">Material</t>
  </si>
  <si>
    <t xml:space="preserve">und</t>
  </si>
  <si>
    <t xml:space="preserve">Malla para protección de fachadas verde/negro 6x20 m  Ref.: lp-00112954</t>
  </si>
  <si>
    <t xml:space="preserve">Malla compuesta de monofilamento de polietileno alta densidad con protección solar. Producida en sistema Raschel con facil colocación por su doble botonera lateral. Uso en fachadas para la protección de la caída de pequeños obejtos. Color verde/negro. Medidas: 6x20 m.   Ref.: lp-00112954</t>
  </si>
  <si>
    <t xml:space="preserve">ma-lp-00134426</t>
  </si>
  <si>
    <t xml:space="preserve">Material</t>
  </si>
  <si>
    <t xml:space="preserve">und</t>
  </si>
  <si>
    <t xml:space="preserve">Arnés anticaídas 21-C ATEX CLIMAX.   Ref. lp-00134426</t>
  </si>
  <si>
    <t xml:space="preserve">Arnés anticaídas modelo 21-C ATEX destinado a ser utilizado en zonas clasificadas como zona 1 o zona 21, debido a la presencia de gases o vapores inflamables clasificados como IIA o IIB o polvos combustibles, y por tanto también en zonas clasificadas como zona 2 o zona 22. Dispone de dos puntos de enganche anticaídas, dorsal y frontal. Cintas de poliéster de 45 mm. Incorpora perneras acolchadas, espaldera reforzada y hebillas de rápida actuación. Dos aros portamateriales.   Ref. lp-00134426.</t>
  </si>
  <si>
    <t xml:space="preserve">ma-lp-00145530</t>
  </si>
  <si>
    <t xml:space="preserve">Material</t>
  </si>
  <si>
    <t xml:space="preserve">pack</t>
  </si>
  <si>
    <t xml:space="preserve">Caballete/Borriqueta plegable JUNIOR de STANLEY (2 pzas/pack).   Ref. lp-00145530</t>
  </si>
  <si>
    <t xml:space="preserve">Ligero, fácil de uso y de llevar. Plegable y compacto, ideal para almacenar. Ranura en forma de V. Patas de caucho antideslizantes, para un apoyo total y robusto. Bandeja, espacio de almacenamiento útil. Medidas: 58,1x81,8x12,6 cm. Capacidad máxima de carga de 362 kg.   Ref. lp-00145530.</t>
  </si>
  <si>
    <t xml:space="preserve">ma-lp-00461515</t>
  </si>
  <si>
    <t xml:space="preserve">Material</t>
  </si>
  <si>
    <t xml:space="preserve">und</t>
  </si>
  <si>
    <t xml:space="preserve">Escalera tijera de aluminio STEPPY 3 tramos de TENDO (h trabajo = 2,68 m).   Ref. lp-00461515</t>
  </si>
  <si>
    <t xml:space="preserve">Escalera tijera de aluminio STEPPY 3 tramos de TENDO (h trabajo = 2,68 m).   Ref. lp-00461515.
Escalera para uso moderado; especialmente indicado para las necesidades diarias. Taburete de aluminio con peldaños antideslizantes de ancho 80 mm. Bloqueo de seguridad. Taco envolvente antideslizante. La abertura está asegurada por un alambre de acero plegable. Número de peldaños: 3 (la plataforma se cuenta como peldaño). Altura de la escalera plegada: 77 cm. Máxima altura de trabajo: 2,68 m. Ancho de los peldaños: 0,43 m. Carga máxima: 150 kg. Peso: 2,3 kg. Norma EN131.</t>
  </si>
  <si>
    <t xml:space="preserve">ma-lp-00533781</t>
  </si>
  <si>
    <t xml:space="preserve">Material</t>
  </si>
  <si>
    <t xml:space="preserve">rollo</t>
  </si>
  <si>
    <t xml:space="preserve">Manguera técnica industrial CRISTALLO EXTRA 10 mm (50 m/rollo).   Ref. lp-00533781</t>
  </si>
  <si>
    <t xml:space="preserve">Manguera para la conducción de líquidos alimentarios que no están bajo presión. Tubo flexible de PVC. Composición sin Ftalatos. Soporta temperaturas máximas de +60ºC y mínimas de -20ºC.   Ref. lp-00533781.</t>
  </si>
  <si>
    <t xml:space="preserve">ma-lp-00533782</t>
  </si>
  <si>
    <t xml:space="preserve">Material</t>
  </si>
  <si>
    <t xml:space="preserve">rollo</t>
  </si>
  <si>
    <t xml:space="preserve">Manguera técnica industrial CRISTALLO EXTRA 12 mm (50 m/rollo).   Ref. lp-00533782</t>
  </si>
  <si>
    <t xml:space="preserve">Manguera para la conducción de líquidos alimentarios que no están bajo presión. Tubo flexible de PVC. Composición sin Ftalatos. Soporta temperaturas máximas de +60ºC y mínimas de -20ºC.   Ref. lp-00533782.</t>
  </si>
  <si>
    <t xml:space="preserve">ma-lp-00533783</t>
  </si>
  <si>
    <t xml:space="preserve">Material</t>
  </si>
  <si>
    <t xml:space="preserve">rollo</t>
  </si>
  <si>
    <t xml:space="preserve">Manguera técnica industrial CRISTALLO EXTRA 15 mm (50 m/rollo).   Ref. lp-00533783</t>
  </si>
  <si>
    <t xml:space="preserve">Manguera para la conducción de líquidos alimentarios que no están bajo presión. Tubo flexible de PVC. Composición sin Ftalatos. Soporta temperaturas máximas de +60ºC y mínimas de -20ºC.   Ref. lp-00533783.</t>
  </si>
  <si>
    <t xml:space="preserve">ma-lp-00535305</t>
  </si>
  <si>
    <t xml:space="preserve">Material</t>
  </si>
  <si>
    <t xml:space="preserve">und</t>
  </si>
  <si>
    <t xml:space="preserve">Toldo multiusos PROTEX; 2x3 m   Ref. lp-00535305</t>
  </si>
  <si>
    <t xml:space="preserve">Toldo multiusos para protección fabricado en rafia de polietileno con refuerzo y ojales para su sujección. 100% impermeable. 80g/m2. Medidas: 2x3 m.   Ref. lp-00535305</t>
  </si>
  <si>
    <t xml:space="preserve">ma-lp-00556967</t>
  </si>
  <si>
    <t xml:space="preserve">Material</t>
  </si>
  <si>
    <t xml:space="preserve">und</t>
  </si>
  <si>
    <t xml:space="preserve">Escalera multiposición de aluminio 4x4 BIGMAT de LITAN (h = 3,83 m).   Ref. lp-00556967</t>
  </si>
  <si>
    <t xml:space="preserve">Escalera aluminio BIGMAT multiposición 4x4 con tacos antideslizantes. Altura 3,83 m.   Ref. lp-00556967.</t>
  </si>
  <si>
    <t xml:space="preserve">ma-lp-00557162</t>
  </si>
  <si>
    <t xml:space="preserve">Material</t>
  </si>
  <si>
    <t xml:space="preserve">und</t>
  </si>
  <si>
    <t xml:space="preserve">Cono de señalización (2 pzas de 75 cm/und).   Ref. lp-00557162</t>
  </si>
  <si>
    <t xml:space="preserve">Cono de señalización (2 pzas de 75 cm/und).   Ref. lp-00557162</t>
  </si>
  <si>
    <t xml:space="preserve">ma-lp-00559279</t>
  </si>
  <si>
    <t xml:space="preserve">Material</t>
  </si>
  <si>
    <t xml:space="preserve">par</t>
  </si>
  <si>
    <t xml:space="preserve">Botas de seguridad TERRA S1PO SRC T41; color marrón.   Ref. lp-00559279</t>
  </si>
  <si>
    <t xml:space="preserve">Bota seguridad S1P. Piel serraje y cordura transpirable. Piso de poliuretano doble densidad. Puntera y planitlla de acero.   Ref. lp-00559279.</t>
  </si>
  <si>
    <t xml:space="preserve">ma-lp-00559942</t>
  </si>
  <si>
    <t xml:space="preserve">Material</t>
  </si>
  <si>
    <t xml:space="preserve">und</t>
  </si>
  <si>
    <t xml:space="preserve">Andamio móvil 1,8 metros (h plataforma = 90 cm).   Ref. lp-00559942</t>
  </si>
  <si>
    <t xml:space="preserve">Andamio móvil 1,8 metros (h plataforma = 90 cm).   Ref. lp-00559942</t>
  </si>
  <si>
    <t xml:space="preserve">ma-lp-00560264</t>
  </si>
  <si>
    <t xml:space="preserve">Material</t>
  </si>
  <si>
    <t xml:space="preserve">par</t>
  </si>
  <si>
    <t xml:space="preserve">Par de guantes de poliéster recubrimiento nitrilo estanco T8 de BIGMAT.   Ref. lp-00560264</t>
  </si>
  <si>
    <t xml:space="preserve">Par de Guantes de poliéster recubrimiento nitrilo estanco T8 de BIGMAT, recomendado para: embaldosado, alicatado de suelos y paredes, demolición y retirada de azulejos, preparación de soporte y montajes ligeros.   Ref. lp-00560264.</t>
  </si>
  <si>
    <t xml:space="preserve">ma-lp-00564420</t>
  </si>
  <si>
    <t xml:space="preserve">Material</t>
  </si>
  <si>
    <t xml:space="preserve">par</t>
  </si>
  <si>
    <t xml:space="preserve">Par de guantes serraje reforzado.   Ref. lp-00564420</t>
  </si>
  <si>
    <t xml:space="preserve">Guante americano serraje reforzado talla única. Protección a cortes y abrasión. Indicado para manipular chapa, madera, ferrallas, etc.   Ref. lp-00564420.</t>
  </si>
  <si>
    <t xml:space="preserve">ma-lp-00566614</t>
  </si>
  <si>
    <t xml:space="preserve">Material</t>
  </si>
  <si>
    <t xml:space="preserve">toldo</t>
  </si>
  <si>
    <t xml:space="preserve">Toldo Multiusos BIGMAT para sujeción y protección a la lluvia; color azul (3x4 m/toldo).   Ref. lp-00566614</t>
  </si>
  <si>
    <t xml:space="preserve">Toldo impermeable fabricado con rafia tejida y plastificada por ambos lados con refuerzo en todo su perímetro y con ojales de aluminio cada metro de distancia para facilitar la sujeción. 1 año de resistencia a UV. Ideal para cubrir y proteger de la lluvia.   Ref. lp-00566614.</t>
  </si>
  <si>
    <t xml:space="preserve">ma-lp-00566616</t>
  </si>
  <si>
    <t xml:space="preserve">Material</t>
  </si>
  <si>
    <t xml:space="preserve">toldo</t>
  </si>
  <si>
    <t xml:space="preserve">Toldo Multiusos BIGMAT para sujeción y protección a la lluvia; color azul (4x6 m/toldo).   Ref. lp-00566616</t>
  </si>
  <si>
    <t xml:space="preserve">Toldo impermeable fabricado con rafia tejida y plastificada por ambos lados con refuerzo en todo su perímetro y con ojales de aluminio cada metro de distancia para facilitar la sujeción. 1 año de resistencia a UV. Ideal para cubrir y proteger de la lluvia.   Ref. lp-00566616.</t>
  </si>
  <si>
    <t xml:space="preserve">ma-lp-00566617</t>
  </si>
  <si>
    <t xml:space="preserve">Material</t>
  </si>
  <si>
    <t xml:space="preserve">toldo</t>
  </si>
  <si>
    <t xml:space="preserve">Toldo Multiusos BIGMAT para sujeción y protección a la lluvia; color azul (6x10 m/toldo).   Ref. lp-00566617</t>
  </si>
  <si>
    <t xml:space="preserve">Toldo impermeable fabricado con rafia tejida y plastificada por ambos lados con refuerzo en todo su perímetro y con ojales de aluminio cada metro de distancia para facilitar la sujeción. 1 año de resistencia a UV. Ideal para cubrir y proteger de la lluvia.   Ref. lp-00566617.</t>
  </si>
  <si>
    <t xml:space="preserve">ma-macoglass-MALGRAPA03</t>
  </si>
  <si>
    <t xml:space="preserve">Material</t>
  </si>
  <si>
    <t xml:space="preserve">paquete</t>
  </si>
  <si>
    <t xml:space="preserve">Grapas de sujeción para mallas de ocultación; color verde (100 pzas/paquete).   Ref. macoglass-MALGRAPA03</t>
  </si>
  <si>
    <t xml:space="preserve">Especialmente diseñada para mallas de ocultación, pues al ser de color verde es más estética y se integra mejor con la malla. Permite su uso junto con cables de acero. Composición: poliamida y anti U.V. Medida:50×50 mm. La unión de las dos piezas se realiza mediante presión. Distancia recomendada entre conectores: 40-50 cm.   Ref. macoglass-MALGRAPA03.</t>
  </si>
  <si>
    <t xml:space="preserve">ma-macoglass-MALL000002.100</t>
  </si>
  <si>
    <t xml:space="preserve">Material</t>
  </si>
  <si>
    <t xml:space="preserve">rollo</t>
  </si>
  <si>
    <t xml:space="preserve">Malla de ocultación 80% Raschel; color verde (2x50 m/rollo).   Ref. macoglass- MALL000002.100</t>
  </si>
  <si>
    <t xml:space="preserve">Malla de ocultación Raschel del 80% para preservar la intimidad en espacios exteriores tales como patios, jardines, parcelas, etc. Permite el paso del viento y no se deshilacha, al estar fabricada mediante sistema Raschel de tejido. Se emplea también en balcones para impedir la caída accidental de objetos. Colores: Verde oscuro/brezo/antracita (antracita solo en 2 metros de ancho).   Ref. macoglass-MALL000002.100.</t>
  </si>
  <si>
    <t xml:space="preserve">UTENSILIOS.DE.OBRA</t>
  </si>
  <si>
    <t xml:space="preserve">VENTILACION.Y.HUMOS</t>
  </si>
  <si>
    <t xml:space="preserve">Capítulo</t>
  </si>
  <si>
    <t xml:space="preserve">MATERIALES RELACIONADOS CON VENTILACIÓN Y HUMOS</t>
  </si>
  <si>
    <t xml:space="preserve">ma-bauhaus-24040732</t>
  </si>
  <si>
    <t xml:space="preserve">Material</t>
  </si>
  <si>
    <t xml:space="preserve">pza</t>
  </si>
  <si>
    <t xml:space="preserve">Tubo redondo para extracción de humos en aluminio lacado blanco 125 mm (1 m/pza).   Ref. bauhaus-24040732</t>
  </si>
  <si>
    <t xml:space="preserve">El tubo de aluminio permite realizar la instalación de salida de gases de cualquier calentador o caldera atmosférica. Está fabricado con aluminio lacado en epoxi blanco, por lo que resistente a golpes sin desconchamiento. Además, soporta temperaturas de trabajo de hasta 220° C y es cortable con sierra o disco, facilitando cualquier instalación. Está disponible en varias longitudes y diámetros para adaptarse a cualquier necesidad.   Ref. bauhaus-24040732.</t>
  </si>
  <si>
    <t xml:space="preserve">ma-bm-10137876</t>
  </si>
  <si>
    <t xml:space="preserve">Material</t>
  </si>
  <si>
    <t xml:space="preserve">pza</t>
  </si>
  <si>
    <t xml:space="preserve">Tubo redondo 120 mm PVC ignifugo y autoextinguible (1,5 m/pza).   Ref. bm-10137876</t>
  </si>
  <si>
    <t xml:space="preserve">Tubo rígido circular fabricado con material ignifugo y autoextinguible, soporta temperaturas de trabajo de hasta 80ºC. pared interior lisa que reduce las pérdidas de carga. mayor rendimiento que los tradicionales conductos flexibles. montaje rápido y sencillo mediante ensamblaje macho hembra. solo 55mm de altura que permite su paso por falso techo. adaptable a todo tipo de entornos. dispone de sistemas de fijación rectangulares y circulares. fiable sin riesgo de deterioro por humedad.   Ref. bm-10137876.</t>
  </si>
  <si>
    <t xml:space="preserve">ma-bm-10147795</t>
  </si>
  <si>
    <t xml:space="preserve">Material</t>
  </si>
  <si>
    <t xml:space="preserve">pza</t>
  </si>
  <si>
    <t xml:space="preserve">Rosetón vitrificado para la evacuación de humos 150 mm.   Ref. bm-10147795</t>
  </si>
  <si>
    <t xml:space="preserve">Rosetón vitrificado para la evacuación de humos de estufas de leña, inserts y hogares. Diámetro: 150 mm.   Ref. bm-10147795.</t>
  </si>
  <si>
    <t xml:space="preserve">ma-bm-10240433</t>
  </si>
  <si>
    <t xml:space="preserve">Material</t>
  </si>
  <si>
    <t xml:space="preserve">pza</t>
  </si>
  <si>
    <t xml:space="preserve">Sombrerete vitrificado para evacuación de humos 150 mm.   Ref. bm-10240433</t>
  </si>
  <si>
    <t xml:space="preserve">Deflector vitrificado para la evacuación de humos de estufas de leña, inserts y hogares. Diámetro: 150 mm.   Ref. bm-10240433.</t>
  </si>
  <si>
    <t xml:space="preserve">ma-bm-10317020</t>
  </si>
  <si>
    <t xml:space="preserve">Material</t>
  </si>
  <si>
    <t xml:space="preserve">pza</t>
  </si>
  <si>
    <t xml:space="preserve">Rosetón vitrificado para la evacuación de humos 200 mm.   Ref. bm-10317020</t>
  </si>
  <si>
    <t xml:space="preserve">Rosetón vitrificado para la evacuación de humos de estufas de leña, inserts y hogares. Diámetro: 200 mm.   Ref. bm-10317020.</t>
  </si>
  <si>
    <t xml:space="preserve">ma-bm-10317034</t>
  </si>
  <si>
    <t xml:space="preserve">Material</t>
  </si>
  <si>
    <t xml:space="preserve">pza</t>
  </si>
  <si>
    <t xml:space="preserve">Sombrerete vitrificado para evacuación de humos 150 mm.   Ref. bm-10317034</t>
  </si>
  <si>
    <t xml:space="preserve">Deflector vitrificado para la evacuación de humos de estufas de leña, inserts y hogares. Diámetro: 200 mm.   Ref. bm-10317034.</t>
  </si>
  <si>
    <t xml:space="preserve">ma-centralbiomasa-2500336</t>
  </si>
  <si>
    <t xml:space="preserve">Material</t>
  </si>
  <si>
    <t xml:space="preserve">pza</t>
  </si>
  <si>
    <t xml:space="preserve">Sombrerete antilluvia para tubo modular doble pared acero inoxidable 250 mm AISI 304/304 de SCHÜTZ o ROS TUBOS.   Ref. centralbiomasa-2500336</t>
  </si>
  <si>
    <t xml:space="preserve">Sombrero antilluvia para tubo modular doble pared acero inoxidable 250 mm AISI 304/304 de SCHÜTZ o ROS TUBOS.   Ref. centralbiomasa-2500336</t>
  </si>
  <si>
    <t xml:space="preserve">ma-centralbiomasa-2700265</t>
  </si>
  <si>
    <t xml:space="preserve">Material</t>
  </si>
  <si>
    <t xml:space="preserve">pza</t>
  </si>
  <si>
    <t xml:space="preserve">Codo 45º para tubo doble pared AISI 304/304 acero inoxidable 200 mm de SCHÜTZ o ROS TUBOS.   Ref. centralbiomasa-2700265</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</si>
  <si>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centralbiomasa-2700265.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</si>
  <si>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ma-centralbiomasa-2700274</t>
  </si>
  <si>
    <t xml:space="preserve">Material</t>
  </si>
  <si>
    <t xml:space="preserve">pza</t>
  </si>
  <si>
    <t xml:space="preserve">Tubo doble pared AISI 304/304 acero inoxidable 200 mm de SCHÜTZ o ROS TUBOS (500 mm/pza).   Ref. centralbiomasa-2700274</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</si>
  <si>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centralbiomasa-2700274.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</si>
  <si>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ma-centralbiomasa-2700275</t>
  </si>
  <si>
    <t xml:space="preserve">Material</t>
  </si>
  <si>
    <t xml:space="preserve">pza</t>
  </si>
  <si>
    <t xml:space="preserve">Tubo doble pared AISI 304/304 acero inoxidable 200 mm de SCHÜTZ o ROS TUBOS (1000 mm/pza).   Ref. centralbiomasa-2700275</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</si>
  <si>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centralbiomasa-2700275.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</si>
  <si>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ma-centralbiomasa-2700277</t>
  </si>
  <si>
    <t xml:space="preserve">Material</t>
  </si>
  <si>
    <t xml:space="preserve">pza</t>
  </si>
  <si>
    <t xml:space="preserve">Sombrero antilluvia para tubo modular doble pared acero inoxidable 200 mm AISI 304/304 de SCHÜTZ o ROS TUBOS.   Ref. centralbiomasa-2700277</t>
  </si>
  <si>
    <t xml:space="preserve">Sombrero antilluvia para tubo modular doble pared acero inoxidable 200 mm AISI 304/304 de SCHÜTZ o ROS TUBOS.   Ref. centralbiomasa-2700277</t>
  </si>
  <si>
    <t xml:space="preserve">ma-centralbiomasa-2700325</t>
  </si>
  <si>
    <t xml:space="preserve">Material</t>
  </si>
  <si>
    <t xml:space="preserve">pza</t>
  </si>
  <si>
    <t xml:space="preserve">Codo 45º para tubo doble pared AISI 304/304 acero inoxidable 250 mm de SCHÜTZ o ROS TUBOS.   Ref. centralbiomasa-2700325</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</si>
  <si>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centralbiomasa-2700325.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</si>
  <si>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ma-centralbiomasa-2700334</t>
  </si>
  <si>
    <t xml:space="preserve">Material</t>
  </si>
  <si>
    <t xml:space="preserve">pza</t>
  </si>
  <si>
    <t xml:space="preserve">Tubo doble pared AISI 304/304 acero inoxidable 250 mm de SCHÜTZ o ROS TUBOS (1000 mm/pza).   Ref. centralbiomasa-2700334</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</si>
  <si>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centralbiomasa-2700334.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</si>
  <si>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ma-centralbiomasa-2700336</t>
  </si>
  <si>
    <t xml:space="preserve">Material</t>
  </si>
  <si>
    <t xml:space="preserve">pza</t>
  </si>
  <si>
    <t xml:space="preserve">Sombrero antilluvia para tubo modular doble pared acero inoxidable 250 mm AISI 304/304 de SCHÜTZ o ROS TUBOS.   Ref. centralbiomasa-2700336</t>
  </si>
  <si>
    <t xml:space="preserve">Sombrero antilluvia para tubo modular doble pared acero inoxidable 250 mm AISI 304/304 de SCHÜTZ o ROS TUBOS.   Ref. centralbiomasa-2700336</t>
  </si>
  <si>
    <t xml:space="preserve">ma-centralbiomasa-2700875</t>
  </si>
  <si>
    <t xml:space="preserve">Material</t>
  </si>
  <si>
    <t xml:space="preserve">pza</t>
  </si>
  <si>
    <t xml:space="preserve">Sombrero giratorio de tubo modular doble pared acero inoxidable 200 mm AISI 304/304 de SCHÜTZ o ROS TUBOS.   Ref. centralbiomasa-2700875</t>
  </si>
  <si>
    <t xml:space="preserve">Sombrero giratorio de tubo modular doble pared acero inoxidable 200 mm AISI 304/304 de SCHÜTZ o ROS TUBOS.   Ref. centralbiomasa-2700875</t>
  </si>
  <si>
    <t xml:space="preserve">ma-centralbiomasa-2700887</t>
  </si>
  <si>
    <t xml:space="preserve">Material</t>
  </si>
  <si>
    <t xml:space="preserve">pza</t>
  </si>
  <si>
    <t xml:space="preserve">Sombrero giratorio de tubo modular doble pared acero inoxidable 250 mm AISI 304/304 de SCHÜTZ o ROS TUBOS.   Ref. centralbiomasa-2700887</t>
  </si>
  <si>
    <t xml:space="preserve">Sombrero giratorio de tubo modular doble pared acero inoxidable 250 mm AISI 304/304 de SCHÜTZ o ROS TUBOS.   Ref. centralbiomasa-2700887</t>
  </si>
  <si>
    <t xml:space="preserve">ma-centralbiomasa-4011636</t>
  </si>
  <si>
    <t xml:space="preserve">Material</t>
  </si>
  <si>
    <t xml:space="preserve">pza</t>
  </si>
  <si>
    <t xml:space="preserve">Tubo doble pared AISI 304/304 acero inoxidable 250 mm de SCHÜTZ o ROS TUBOS (500 mm/pza).   Ref. centralbiomasa-2700333</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</si>
  <si>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centralbiomasa-2700333.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</si>
  <si>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ma-centralbiomasa-4015940</t>
  </si>
  <si>
    <t xml:space="preserve">Material</t>
  </si>
  <si>
    <t xml:space="preserve">pza</t>
  </si>
  <si>
    <t xml:space="preserve">Tapa purga para tubo doble pared AISI 316/304 acero inoxidable 200 mm de SCHÜTZ o ROS TUBOS.   Ref. centralbiomasa-4015940</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</si>
  <si>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centralbiomasa-4015940.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</si>
  <si>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ma-centralbiomasa-4015941</t>
  </si>
  <si>
    <t xml:space="preserve">Material</t>
  </si>
  <si>
    <t xml:space="preserve">pza</t>
  </si>
  <si>
    <t xml:space="preserve">Tapa purga para tubo doble pared AISI 316/304 acero inoxidable 250 mm de SCHÜTZ o ROS TUBOS.   Ref. centralbiomasa-4015941</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</si>
  <si>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centralbiomasa-4015941.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</si>
  <si>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ma-centralbiomasa-4021805</t>
  </si>
  <si>
    <t xml:space="preserve">Material</t>
  </si>
  <si>
    <t xml:space="preserve">pza</t>
  </si>
  <si>
    <t xml:space="preserve">Te 90º para tubo doble pared AISI 304/304 acero inoxidable 200 mm de SCHÜTZ o ROS TUBOS.   Ref. centralbiomasa-4021805</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</si>
  <si>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centralbiomasa-4021805.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</si>
  <si>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ma-centralbiomasa-4021807</t>
  </si>
  <si>
    <t xml:space="preserve">Material</t>
  </si>
  <si>
    <t xml:space="preserve">pza</t>
  </si>
  <si>
    <t xml:space="preserve">Te 90º para tubo doble pared AISI 304/304 acero inoxidable 250 mm de SCHÜTZ o ROS TUBOS.   Ref. centralbiomasa-4021807</t>
  </si>
  <si>
    <t xml:space="preserve">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centralbiomasa-4021807.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</si>
  <si>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 xml:space="preserve">ma-hostelbar-Z025CA01003</t>
  </si>
  <si>
    <t xml:space="preserve">Material</t>
  </si>
  <si>
    <t xml:space="preserve">m</t>
  </si>
  <si>
    <t xml:space="preserve">Tubo helicoidal galvanizado 125 mm x e = 0,5 mm para salida de humos de MUNDOFAN (1 m/pza).   Ref. hostelbar-Z025CA01003</t>
  </si>
  <si>
    <t xml:space="preserve">Tubo helicoidal galvanizado 125 mm x e = 0,5 mm para salida de humos de MUNDOFAN (1 m/pza).   Ref. hostelbar-Z025CA01003</t>
  </si>
  <si>
    <t xml:space="preserve">ma-hostelbar-Z025CA01008</t>
  </si>
  <si>
    <t xml:space="preserve">Material</t>
  </si>
  <si>
    <t xml:space="preserve">m</t>
  </si>
  <si>
    <t xml:space="preserve">Tubo helicoidal galvanizado 250 mm x e = 0,5 mm para salida de humos de MUNDOFAN (1 m/pza).   Ref. hostelbar-Z025CA01008</t>
  </si>
  <si>
    <t xml:space="preserve">Tubo helicoidal galvanizado 250 mm x e = 0,5 mm para salida de humos de MUNDOFAN (1 m/pza).   Ref. hostelbar-Z025CA01008</t>
  </si>
  <si>
    <t xml:space="preserve">ma-hostelbar-Z025CA01072</t>
  </si>
  <si>
    <t xml:space="preserve">Material</t>
  </si>
  <si>
    <t xml:space="preserve">pza</t>
  </si>
  <si>
    <t xml:space="preserve">Manguito de unión M-M acero galvanizado 125 mm para salida de humos de MUNDOFAN.   Ref. hostelbar-Z025CA01072</t>
  </si>
  <si>
    <t xml:space="preserve">Manguito de unión M-M acero galvanizado 125 mm para salida de humos de MUNDOFAN.   Ref. hostelbar-Z025CA01072</t>
  </si>
  <si>
    <t xml:space="preserve">ma-hostelbar-Z025CA01075</t>
  </si>
  <si>
    <t xml:space="preserve">Material</t>
  </si>
  <si>
    <t xml:space="preserve">pza</t>
  </si>
  <si>
    <t xml:space="preserve">Manguito de unión M-M acero galvanizado 250 mm para salida de humos de MUNDOFAN.   Ref. hostelbar-Z025CA01075</t>
  </si>
  <si>
    <t xml:space="preserve">Manguito de unión M-M acero galvanizado 250 mm para salida de humos de MUNDOFAN.   Ref. hostelbar-Z025CA01075</t>
  </si>
  <si>
    <t xml:space="preserve">ma-hostelbar-Z025CA01281</t>
  </si>
  <si>
    <t xml:space="preserve">Material</t>
  </si>
  <si>
    <t xml:space="preserve">pza</t>
  </si>
  <si>
    <t xml:space="preserve">Abrazadera con tuerca de acero galvanizado 125 mm de MUNDOFAN.   Ref. hostelbar-Z025CA01281</t>
  </si>
  <si>
    <t xml:space="preserve">Abrazadera con tuerca de acero galvanizado 125 mm de MUNDOFAN.   Ref. hostelbar-Z025CA01281</t>
  </si>
  <si>
    <t xml:space="preserve">ma-hostelbar-Z025CA01286</t>
  </si>
  <si>
    <t xml:space="preserve">Material</t>
  </si>
  <si>
    <t xml:space="preserve">pza</t>
  </si>
  <si>
    <t xml:space="preserve">Abrazadera con tuerca de acero galvanizado 250 mm de MUNDOFAN.   Ref. hostelbar-Z025CA01286</t>
  </si>
  <si>
    <t xml:space="preserve">Abrazadera con tuerca de acero galvanizado 250 mm de MUNDOFAN.   Ref. hostelbar-Z025CA01286</t>
  </si>
  <si>
    <t xml:space="preserve">ma-hostelbar-Z025CA01337</t>
  </si>
  <si>
    <t xml:space="preserve">Material</t>
  </si>
  <si>
    <t xml:space="preserve">pza</t>
  </si>
  <si>
    <t xml:space="preserve">Sombrerete chino en acero galvanizado 125 mm para salida de humos de MUNDOFAN.   Ref. hostelbar-Z025CA01337</t>
  </si>
  <si>
    <t xml:space="preserve">Sombrerete chino en acero galvanizado 125 mm para salida de humos de MUNDOFAN.   Ref. hostelbar-Z025CA01337</t>
  </si>
  <si>
    <t xml:space="preserve">ma-hostelbar-Z025CA01342</t>
  </si>
  <si>
    <t xml:space="preserve">Material</t>
  </si>
  <si>
    <t xml:space="preserve">pza</t>
  </si>
  <si>
    <t xml:space="preserve">Sombrerete chino en acero galvanizado 250 mm para salida de humos de MUNDOFAN.   Ref. hostelbar-Z025CA01342</t>
  </si>
  <si>
    <t xml:space="preserve">Sombrerete chino en acero galvanizado 250 mm para salida de humos de MUNDOFAN.   Ref. hostelbar-Z025CA01342</t>
  </si>
  <si>
    <t xml:space="preserve">ma-hostelbar-Z025CA01453</t>
  </si>
  <si>
    <t xml:space="preserve">Material</t>
  </si>
  <si>
    <t xml:space="preserve">pza</t>
  </si>
  <si>
    <t xml:space="preserve">Codo 45º en acero galvanizado 125 mm para salida de humos de MUNDOFAN.   Ref. hostelbar-Z025CA014532</t>
  </si>
  <si>
    <t xml:space="preserve">Codo 45º en acero galvanizado 125 mm para salida de humos de MUNDOFAN.   Ref. hostelbar-Z025CA014532</t>
  </si>
  <si>
    <t xml:space="preserve">ma-hostelbar-Z025CA01458</t>
  </si>
  <si>
    <t xml:space="preserve">Material</t>
  </si>
  <si>
    <t xml:space="preserve">pza</t>
  </si>
  <si>
    <t xml:space="preserve">Codo 45º en acero galvanizado 250 mm para salida de humos de MUNDOFAN.   Ref. hostelbar-Z025CA01458</t>
  </si>
  <si>
    <t xml:space="preserve">Codo 45º en acero galvanizado 250 mm para salida de humos de MUNDOFAN.   Ref. hostelbar-Z025CA01458</t>
  </si>
  <si>
    <t xml:space="preserve">ma-hostelbar-Z025CA01523</t>
  </si>
  <si>
    <t xml:space="preserve">Material</t>
  </si>
  <si>
    <t xml:space="preserve">pza</t>
  </si>
  <si>
    <t xml:space="preserve">Codo 90º en acero galvanizado 125 mm para salida de humos de MUNDOFAN.   Ref. hostelbar-Z025CA01523</t>
  </si>
  <si>
    <t xml:space="preserve">Codo 90º en acero galvanizado 125 mm para salida de humos de MUNDOFAN.   Ref. hostelbar-Z025CA01523</t>
  </si>
  <si>
    <t xml:space="preserve">ma-hostelbar-Z025CA01528</t>
  </si>
  <si>
    <t xml:space="preserve">Material</t>
  </si>
  <si>
    <t xml:space="preserve">pza</t>
  </si>
  <si>
    <t xml:space="preserve">Codo 90º en acero galvanizado 250 mm para salida de humos de MUNDOFAN.   Ref. hostelbar-Z025CA01528</t>
  </si>
  <si>
    <t xml:space="preserve">Codo 90º en acero galvanizado 250 mm para salida de humos de MUNDOFAN.   Ref. hostelbar-Z025CA01528</t>
  </si>
  <si>
    <t xml:space="preserve">ma-hostelbar-Z025CA01563</t>
  </si>
  <si>
    <t xml:space="preserve">Material</t>
  </si>
  <si>
    <t xml:space="preserve">pza</t>
  </si>
  <si>
    <t xml:space="preserve">Te Simple 45º en acero galvanizado 125 mm para salida de humos de MUNDOFAN.   Ref. hostelbar-Z025CA01563</t>
  </si>
  <si>
    <t xml:space="preserve">Te Simple 45º en acero galvanizado 125 mm para salida de humos de MUNDOFAN.   Ref. hostelbar-Z025CA01563</t>
  </si>
  <si>
    <t xml:space="preserve">ma-hostelbar-Z025CA01569</t>
  </si>
  <si>
    <t xml:space="preserve">Material</t>
  </si>
  <si>
    <t xml:space="preserve">pza</t>
  </si>
  <si>
    <t xml:space="preserve">Te Simple 45º en acero galvanizado 250 mm para salida de humos de MUNDOFAN.   Ref. hostelbar-Z025CA01569</t>
  </si>
  <si>
    <t xml:space="preserve">Te Simple 45º en acero galvanizado 250 mm para salida de humos de MUNDOFAN.   Ref. hostelbar-Z025CA01569</t>
  </si>
  <si>
    <t xml:space="preserve">ma-hostelbar-Z025CA01603</t>
  </si>
  <si>
    <t xml:space="preserve">Material</t>
  </si>
  <si>
    <t xml:space="preserve">pza</t>
  </si>
  <si>
    <t xml:space="preserve">Te Simple 90º en acero galvanizado 125 mm para salida de humos de MUNDOFAN.   Ref. hostelbar-Z025CA01603</t>
  </si>
  <si>
    <t xml:space="preserve">Te Simple 90º en acero galvanizado 125 mm para salida de humos de MUNDOFAN.   Ref. hostelbar-Z025CA01603</t>
  </si>
  <si>
    <t xml:space="preserve">ma-hostelbar-Z025CA01609</t>
  </si>
  <si>
    <t xml:space="preserve">Material</t>
  </si>
  <si>
    <t xml:space="preserve">pza</t>
  </si>
  <si>
    <t xml:space="preserve">Te Simple 90º en acero galvanizado 250 mm para salida de humos de MUNDOFAN.   Ref. hostelbar-Z025CA01609</t>
  </si>
  <si>
    <t xml:space="preserve">Te Simple 90º en acero galvanizado 250 mm para salida de humos de MUNDOFAN.   Ref. hostelbar-Z025CA01609</t>
  </si>
  <si>
    <t xml:space="preserve">ma-lm-14668906</t>
  </si>
  <si>
    <t xml:space="preserve">Material</t>
  </si>
  <si>
    <t xml:space="preserve">pza</t>
  </si>
  <si>
    <t xml:space="preserve">Abrazadera para tubo de simple pared en acero inoxidable con bisagra 200 mm de DINAK   Ref. lm-14668906</t>
  </si>
  <si>
    <t xml:space="preserve">Abrazadera de acero inoxidable, sin aislar de simple capa para estufas o calderas de pellet o leña. Temperatura de utilización hasta 600ºC. Medidas: 200 mm de diámetro, 0.8 mm de espesor.   Ref. lm-14668906.</t>
  </si>
  <si>
    <t xml:space="preserve">ma-lm-18738636</t>
  </si>
  <si>
    <t xml:space="preserve">Material</t>
  </si>
  <si>
    <t xml:space="preserve">pza</t>
  </si>
  <si>
    <t xml:space="preserve">Tubo de simple pared en acero inoxidable 200 mm de DINAK (930 mm/pza).   Ref. lm-18738636</t>
  </si>
  <si>
    <t xml:space="preserve">Módulo recto L= 930 mm de acero inoxidable sin aislar de simple pared, ideal para estufas o calderas de gas. Temperatura de utilización hasta 250 ºC. Medidas 221 x 996 x 221 mm (ancho x alto x fondo).   Ref. lm-18738636.</t>
  </si>
  <si>
    <t xml:space="preserve">ma-lm-18738762</t>
  </si>
  <si>
    <t xml:space="preserve">Material</t>
  </si>
  <si>
    <t xml:space="preserve">pza</t>
  </si>
  <si>
    <t xml:space="preserve">Codo 45º para tubo de simple pared en acero inoxidable 200 mm de DINAK (930 mm/pza).   Ref. lm-18738762</t>
  </si>
  <si>
    <t xml:space="preserve">Codo de 45 grados de acero inoxidable sin aislar de simple pared, ideal para estufas o calderas de gas. Temperatura de utilización hasta 250 ºC. Medidas: 200 mm de diámetro, 0.4 mm de espesor.   Ref. lm-18738762.</t>
  </si>
  <si>
    <t xml:space="preserve">ma-lm-18738846</t>
  </si>
  <si>
    <t xml:space="preserve">Material</t>
  </si>
  <si>
    <t xml:space="preserve">pza</t>
  </si>
  <si>
    <t xml:space="preserve">Sombrerete/deflector plano para simple pared en acero inoxidable 200 mm de DINAK.   Ref. lm-18738846</t>
  </si>
  <si>
    <t xml:space="preserve">Sombrerete plano de acero inoxidable sin aislar de simple pared, ideal para estufas o calderas de gas. Temperatura de utilización hasta 250 ºC. Medidas: 200 mm de diámetro, 0.4 mm de espesor.   Ref. lm-18738846.</t>
  </si>
  <si>
    <t xml:space="preserve">ma-lm-18739014</t>
  </si>
  <si>
    <t xml:space="preserve">Material</t>
  </si>
  <si>
    <t xml:space="preserve">pza</t>
  </si>
  <si>
    <t xml:space="preserve">Embellecedor o rosetón de simple pared en acero inoxidable 200 mm de DINAK.   Ref. lm-18739014</t>
  </si>
  <si>
    <t xml:space="preserve">Placa de remate circular de acero inoxidable sin aislar de simple pared, ideal para estufas o calderas de gas. Temperatura de utilización hasta 250 ºC. Medidas: 200 mm de diámetro, 0.4 mm de espesor.   Ref. lm-18739014.</t>
  </si>
  <si>
    <t xml:space="preserve">ma-lm-18739084</t>
  </si>
  <si>
    <t xml:space="preserve">Material</t>
  </si>
  <si>
    <t xml:space="preserve">pza</t>
  </si>
  <si>
    <t xml:space="preserve">Abrazadera de unión para tubo de simple pared en acero inoxidable 200 mm de DINAK.   Ref. lm-18739084</t>
  </si>
  <si>
    <t xml:space="preserve">Abrazadera de unión de acero inoxidable sin aislar de simple pared, ideal para estufas o calderas de pellet. Temperatura de utilización hasta 250 ºC. Medidas: 200 mm de diámetro, 0.5 mm de espesor.   Ref. lm-18739084.</t>
  </si>
  <si>
    <t xml:space="preserve">ma-lm-19094110</t>
  </si>
  <si>
    <t xml:space="preserve">Material</t>
  </si>
  <si>
    <t xml:space="preserve">pza</t>
  </si>
  <si>
    <t xml:space="preserve">Manguito M-H para tubo de simple pared en acero inoxidable 200 mm de DINAK (430 mm/pza).   Ref. lm-19094110</t>
  </si>
  <si>
    <t xml:space="preserve">Módulo recto L= 430 mm de acero inoxidable sin aislar de simple pared, ideal para estufas o calderas de gas. Temperatura de utilización hasta 250 ºC. Medidas 221 x 996 x 221 mm (ancho x alto x fondo).   Ref. lm-19094110.</t>
  </si>
  <si>
    <t xml:space="preserve">ma-lm-19133793</t>
  </si>
  <si>
    <t xml:space="preserve">Material</t>
  </si>
  <si>
    <t xml:space="preserve">pza</t>
  </si>
  <si>
    <t xml:space="preserve">Codo 90º para tubo de simple pared en acero inoxidable 200 mm de DINAK.   Ref. lm-19133793</t>
  </si>
  <si>
    <t xml:space="preserve">Codo de 90 grados de acero inoxidable sin aislar de simple pared, ideal para estufas o calderas de gas. Temperatura de utilización hasta 250 ºC. Medidas 321 x 496 x 321 mm (ancho x alto x fondo).   Ref. lm-19133793.</t>
  </si>
  <si>
    <t xml:space="preserve">ma-lm-19211304</t>
  </si>
  <si>
    <t xml:space="preserve">Material</t>
  </si>
  <si>
    <t xml:space="preserve">pza</t>
  </si>
  <si>
    <t xml:space="preserve">Abrazadera/Fijo para tubo y taco de doble pared en acero inoxidable 200 mm de DINAK.   Ref. lm-19211304</t>
  </si>
  <si>
    <t xml:space="preserve">Anclaje regulable de 70-120 mm de acero inoxidable aislado de doble pared, ideal para estufas o calderas de leña. Temperatura de utilización hasta 600 ºC. Medidas 330 x 100 x 290 mm (ancho x alto x fondo).   Ref. lm-19211304.</t>
  </si>
  <si>
    <t xml:space="preserve">ma-lm-19347965</t>
  </si>
  <si>
    <t xml:space="preserve">Material</t>
  </si>
  <si>
    <t xml:space="preserve">pza</t>
  </si>
  <si>
    <t xml:space="preserve">Te/Derivación 90º para tubo de simple pared en acero inoxidable 200 mm de DINAK.   Ref. lm-19347965</t>
  </si>
  <si>
    <t xml:space="preserve">Te de 90º con entronque H de acero inoxidable sin aislar de simple pared, ideal para estufas o calderas de gas. Temperatura de utilización hasta 250 ºC. Medidas 496 x 376 x 496 mm (ancho x alto x fondo).   Ref. lm-19347965.</t>
  </si>
  <si>
    <t xml:space="preserve">ma-lm-19348343</t>
  </si>
  <si>
    <t xml:space="preserve">Material</t>
  </si>
  <si>
    <t xml:space="preserve">pza</t>
  </si>
  <si>
    <t xml:space="preserve">Colector de hollín para tubo de simple pared en acero inoxidable 200 mm de DINAK.   Ref. lm-19348343</t>
  </si>
  <si>
    <t xml:space="preserve">Colector de hollín con desagüe de acero inoxidable sin aislar de simple pared, ideal para estufas o calderas de gas. Temperatura de utilización hasta 250 ºC. Medidas 326 x 256 x 326 mm (ancho x alto x fondo).   Ref. lm-19348343.</t>
  </si>
  <si>
    <t xml:space="preserve">ma-lm-19349001</t>
  </si>
  <si>
    <t xml:space="preserve">Material</t>
  </si>
  <si>
    <t xml:space="preserve">pza</t>
  </si>
  <si>
    <t xml:space="preserve">Manguito para empalmar simple pared a doble pared en acero inoxidable 200 mm de DINAK (430 mm/pza).   Ref. lm-19349001</t>
  </si>
  <si>
    <t xml:space="preserve">Transformación sistema de simple pared a doble pared de acero inoxidable sin aislar de simple pared, ideal para estufas o calderas de gas. Temperatura de utilización hasta 250 ºC. Medidas 260 x 135 x 260 mm (ancho x alto x fondo).   lm-19349001.</t>
  </si>
  <si>
    <t xml:space="preserve">ma-lm-19349155</t>
  </si>
  <si>
    <t xml:space="preserve">Material</t>
  </si>
  <si>
    <t xml:space="preserve">pza</t>
  </si>
  <si>
    <t xml:space="preserve">Te/Derivación 45º para tubo de simple pared en acero inoxidable 200 mm de DINAK.   Ref. lm-19349155</t>
  </si>
  <si>
    <t xml:space="preserve">Te de 135º para aplicaciones en seco y tiro natural de acero inoxidable sin aislar de simple pared, ideal para estufas o calderas de gas. Temperatura de utilización hasta 250 ºC. Medidas 221 x 496 x 461 mm (ancho x alto x fondo).   Ref. lm-19349155.</t>
  </si>
  <si>
    <t xml:space="preserve">ma-lm-19359830</t>
  </si>
  <si>
    <t xml:space="preserve">Material</t>
  </si>
  <si>
    <t xml:space="preserve">pza</t>
  </si>
  <si>
    <t xml:space="preserve">Manguito H-H para tubo de simple pared en acero inoxidable 200 mm de DINAK (200 mm/pza).   Ref. lm-19359830</t>
  </si>
  <si>
    <t xml:space="preserve">Manguito de unión H-H de acero inoxidable sin aislar de simple pared, ideal para estufas o calderas de gas. Temperatura de utilización hasta 250 ºC. Medidas 200 x 200 x 200 mm (ancho x alto x fondo).   Ref. lm-19359830.</t>
  </si>
  <si>
    <t xml:space="preserve">ma-lm-19363946</t>
  </si>
  <si>
    <t xml:space="preserve">Material</t>
  </si>
  <si>
    <t xml:space="preserve">pza</t>
  </si>
  <si>
    <t xml:space="preserve">Sombrerete/deflector para simple pared en acero inoxidable 200 mm de DINAK.   Ref. lm-19363946</t>
  </si>
  <si>
    <t xml:space="preserve">Sombrerete de acero inoxidable sin aislar de simple pared, ideal para estufas o calderas de gas. Temperatura de utilización hasta 250 ºC. Medidas 371 x 411 x 376 mm (ancho x alto x fondo).   Ref. lm-19363946.</t>
  </si>
  <si>
    <t xml:space="preserve">ma-lp-00010901</t>
  </si>
  <si>
    <t xml:space="preserve">Material</t>
  </si>
  <si>
    <t xml:space="preserve">pza</t>
  </si>
  <si>
    <t xml:space="preserve">Codo 45º de aluminio esmaltado blanco 125 mm de DISMOL.   Ref. lp-00010901</t>
  </si>
  <si>
    <t xml:space="preserve">Codo de 45º de aluminio esmaltado de color blanco, apto para calentadores atmosféricos. Ref. lp-00010901.</t>
  </si>
  <si>
    <t xml:space="preserve">ma-lp-00010913</t>
  </si>
  <si>
    <t xml:space="preserve">Material</t>
  </si>
  <si>
    <t xml:space="preserve">pza</t>
  </si>
  <si>
    <t xml:space="preserve">Codo 87º de aluminio esmaltado blanco 125 mm para tubo redondo de DISMOL.   Ref. lp-00010913</t>
  </si>
  <si>
    <t xml:space="preserve">Codo de 87º de aluminio esmaltado de color blanco, apto para calentadores atmosféricos. Ref. lp-00010913.</t>
  </si>
  <si>
    <t xml:space="preserve">ma-lp-00011622</t>
  </si>
  <si>
    <t xml:space="preserve">Material</t>
  </si>
  <si>
    <t xml:space="preserve">pza</t>
  </si>
  <si>
    <t xml:space="preserve">Manguito de aluminio esmaltado blanco 125 mm para tubo redondo de DISMOL.   Ref. lp-00011622</t>
  </si>
  <si>
    <t xml:space="preserve">Manguito de unión de aluminio esmaltado de color blanco, apto para para calentadores atmosféricos.   Ref. lp-00011622.</t>
  </si>
  <si>
    <t xml:space="preserve">ma-lp-00012047</t>
  </si>
  <si>
    <t xml:space="preserve">Material</t>
  </si>
  <si>
    <t xml:space="preserve">pza</t>
  </si>
  <si>
    <t xml:space="preserve">Sombrerete antilluvia inoxidable simple pared 130 mm.   Ref. lp-00012047</t>
  </si>
  <si>
    <t xml:space="preserve">Sombrerete antilluvia de acero inoxidable de simple pared con diámetro de 130 mm. Apto para evacuación de humos.   Ref. lp-00012047.</t>
  </si>
  <si>
    <t xml:space="preserve">ma-lp-00012294</t>
  </si>
  <si>
    <t xml:space="preserve">Material</t>
  </si>
  <si>
    <t xml:space="preserve">pza</t>
  </si>
  <si>
    <t xml:space="preserve">Tubo redondo de aluminio esmaltado blanco 125 mm de DISMOL (50 cm/pza).   Ref. lp-00012294</t>
  </si>
  <si>
    <t xml:space="preserve">Tubo de aluminio esmaltado en color blanco para salida de gases calentadores de diámetro 125 mm y longitud de 50 cm. Apto para calentadores atmosféricos. Ref. lp-00012294.</t>
  </si>
  <si>
    <t xml:space="preserve">ma-lp-00012295</t>
  </si>
  <si>
    <t xml:space="preserve">Material</t>
  </si>
  <si>
    <t xml:space="preserve">pza</t>
  </si>
  <si>
    <t xml:space="preserve">Tubo redondo de aluminio esmaltado blanco 130 mm de DISMOL (1 m/pza).   Ref. lp-00012295</t>
  </si>
  <si>
    <t xml:space="preserve">Tubo de aluminio DISMOL esmaltado en color blanco para salida de gases calentadores.   Ref. lp-00012295.</t>
  </si>
  <si>
    <t xml:space="preserve">ma-lp-00014948</t>
  </si>
  <si>
    <t xml:space="preserve">Material</t>
  </si>
  <si>
    <t xml:space="preserve">pza</t>
  </si>
  <si>
    <t xml:space="preserve">Rejilla DIFAIR de retorno rectangular de lama fija para atornillar en aluminio plata mate F-10 (60x20 cm/pza).   Ref. lp-00014948</t>
  </si>
  <si>
    <t xml:space="preserve">Rejilla de retorno rectangular de lama fija para atornillar, fabricada en aluminio lacado plata mate F-10; incluye gancho. Dimensiones: 60x20 cm. Grosor de 0,8 mm. Pérdida de carga: 1,1 mmcda. Velocidad sección total: 2,1 m/sg. Caudal: 850 m3/h. Nivel sonoro: 29 dB.   Ref. lp-00014948.</t>
  </si>
  <si>
    <t xml:space="preserve">ma-lp-00014949</t>
  </si>
  <si>
    <t xml:space="preserve">Material</t>
  </si>
  <si>
    <t xml:space="preserve">pza</t>
  </si>
  <si>
    <t xml:space="preserve">Rejilla DIFAIR de retorno rectangular de lama fija para atornillar en aluminio lacado blanco (60x20 cm/pza).   Ref. lp-00014949</t>
  </si>
  <si>
    <t xml:space="preserve">Rejilla de retorno rectangular de lama fija para atornillar, fabricada en aluminio lacado blanco; incluye gancho. Dimensiones: 60x20 cm. Grosor de 0,8 mm. Pérdida de carga: 1,1 mmcda. Velocidad sección total: 2,1 m/sg. Caudal: 850 m3/h. Nivel sonoro: 29 dB.   Ref. lp-00014949.</t>
  </si>
  <si>
    <t xml:space="preserve">ma-lp-00399892</t>
  </si>
  <si>
    <t xml:space="preserve">Material</t>
  </si>
  <si>
    <t xml:space="preserve">pza</t>
  </si>
  <si>
    <t xml:space="preserve">Rejilla de ventilación rectangular para atornillar en aluminio blanco y con mosquitera (10x20 cm/pza).   Ref. lp-00399892</t>
  </si>
  <si>
    <t xml:space="preserve">Rejilla de ventilación rectangular con mosquitera para atornillar, fabricada en aluminio lacado blanco; incluye gancho. Dimensiones: 10x20 cm. Grosor de 0,8 mm.   Ref. lp-00399892.</t>
  </si>
  <si>
    <t xml:space="preserve">ma-lp-00399898</t>
  </si>
  <si>
    <t xml:space="preserve">Material</t>
  </si>
  <si>
    <t xml:space="preserve">pza</t>
  </si>
  <si>
    <t xml:space="preserve">Rejilla de ventilación cuadrada para atornillar en aluminio blanco y con mosquitera (20x20 cm/pza).   Ref. lp-00399898</t>
  </si>
  <si>
    <t xml:space="preserve">Rejilla de ventilación cuadrada con mosquitera para atornillar, fabricada en aluminio lacado blanco; incluye gancho. Dimensiones: 20x20 cm. Grosor de 0,8 mm.   Ref. lp-00399898</t>
  </si>
  <si>
    <t xml:space="preserve">ma-lp-00399899</t>
  </si>
  <si>
    <t xml:space="preserve">Material</t>
  </si>
  <si>
    <t xml:space="preserve">pza</t>
  </si>
  <si>
    <t xml:space="preserve">Rejilla de ventilación rectangular para atornillar en aluminio blanco y con mosquitera (15x30 cm/pza).   Ref. lp-00399899</t>
  </si>
  <si>
    <t xml:space="preserve">Rejilla de ventilación rectangular con mosquitera para atornillar, fabricada en aluminio lacado blanco; incluye gancho. Dimensiones: 15x30 cm. Grosor de 0,8 mm.   Ref. lp-00399899.</t>
  </si>
  <si>
    <t xml:space="preserve">ma-tecsyair-TEC401-1</t>
  </si>
  <si>
    <t xml:space="preserve">Material</t>
  </si>
  <si>
    <t xml:space="preserve">pza</t>
  </si>
  <si>
    <t xml:space="preserve">Tubo redondo 125 mm de TECSY-AIR para extracción de humos y sistemas de ventilación (1 m/pza).   Ref. tecsyair-TEC401-1</t>
  </si>
  <si>
    <t xml:space="preserve">Tubo redondo 125 mm de TECSY-AIR para extracción de humos y sistemas de ventilación.   Ref. tecsyair-TEC401-1</t>
  </si>
  <si>
    <t xml:space="preserve">ma-tecsyair-TEC402</t>
  </si>
  <si>
    <t xml:space="preserve">Material</t>
  </si>
  <si>
    <t xml:space="preserve">pza</t>
  </si>
  <si>
    <t xml:space="preserve">Unión para tubo redondo 125 mm de TECSY-AIR para extracción de humos y sistemas de ventilación.   Ref. tecsyair-TEC402</t>
  </si>
  <si>
    <t xml:space="preserve">Unión para tubo redondo 125 mm de TECSY-AIR para extracción de humos y sistemas de ventilación.   Ref. tecsyair-TEC402.</t>
  </si>
  <si>
    <t xml:space="preserve">ma-tecsyair-TEC406</t>
  </si>
  <si>
    <t xml:space="preserve">Material</t>
  </si>
  <si>
    <t xml:space="preserve">pza</t>
  </si>
  <si>
    <t xml:space="preserve">Codo 90º para tubo redondo 125 mm de TECSY-AIR para extracción de humos y sistemas de ventilación.   Ref. tecsyair-TEC406</t>
  </si>
  <si>
    <t xml:space="preserve">Codo 90º para tubo redondo 125 mm de TECSY-AIR para extracción de humos y sistemas de ventilación.   Ref. tecsyair-TEC406.</t>
  </si>
  <si>
    <t xml:space="preserve">ma-tecsyair-TEC446-45</t>
  </si>
  <si>
    <t xml:space="preserve">Material</t>
  </si>
  <si>
    <t xml:space="preserve">pza</t>
  </si>
  <si>
    <t xml:space="preserve">Codo 45º para tubo redondo 125 mm de TECSY-AIR para extracción de humos y sistemas de ventilación.   Ref. tecsyair-TEC446-45</t>
  </si>
  <si>
    <t xml:space="preserve">Codo 45º para tubo redondo 125 mm de TECSY-AIR para extracción de humos y sistemas de ventilación.   Ref. tecsyair- TEC446-45.</t>
  </si>
  <si>
    <t xml:space="preserve">ma-tecsyair-TEC482</t>
  </si>
  <si>
    <t xml:space="preserve">Material</t>
  </si>
  <si>
    <t xml:space="preserve">pza</t>
  </si>
  <si>
    <t xml:space="preserve">Derivación “T” para tubo redondo 125 mm de TECSY-AIR para extracción de humos y sistemas de ventilación.   Ref. tecsyair-TEC482</t>
  </si>
  <si>
    <t xml:space="preserve">Derivación “T” para tubo redondo 125 mm de TECSY-AIR para extracción de humos y sistemas de ventilación.   Ref. tecsyair-TEC482.</t>
  </si>
  <si>
    <t xml:space="preserve">VENTILACION.Y.HUMOS</t>
  </si>
  <si>
    <t xml:space="preserve">ma-lp-00166038</t>
  </si>
  <si>
    <t xml:space="preserve">Material</t>
  </si>
  <si>
    <t xml:space="preserve">rollo</t>
  </si>
  <si>
    <t xml:space="preserve">Banda espuma de polietileno autoadhesiva TEXFON de SOPREMA (50 m x 145 mm x 3 mm/rollo).   Ref. lp-00166038</t>
  </si>
  <si>
    <t xml:space="preserve">TEXFON BANDAS de SOPREMA son bandas de desolidarización autoadhesivas de espuma de polietileno de célula cerrada presentadas en tiras blancas naturales, y diseñadas para lograr un sellado periférico entre el suelo y el revestimiento de las paredes o tabiques.   Ref. lp-00166038.
TEXFON BANDAS es adecuado para evitar la transmisión de ruidos de impacto entre el suelo flotante y los paramentos verticales y elementos estructurales, tanto para la instalación del TEXFON como de la gama TEXSILEN. En el caso de superficies selladas (recrecido de mortero, mortero adhesivo más azulejos, etc.), la banda crea una junta elástica entre el paramento vertical y el grueso del pavimento. La banda es compresible y resistente al polvo y a la podredumbre en condiciones normales de uso.</t>
  </si>
  <si>
    <t xml:space="preserve">ma-lp-00099104</t>
  </si>
  <si>
    <t xml:space="preserve">Material</t>
  </si>
  <si>
    <t xml:space="preserve">pza</t>
  </si>
  <si>
    <t xml:space="preserve">Perfil de chapa galvanizada para remate perimetral de láminas impermeabilizantes de SOPREMA (2000x75 mm/pza).   Ref. lp-00099104</t>
  </si>
  <si>
    <t xml:space="preserve">El perfil metálico liso con ángulo de 90º, se utiliza para proteger, sellar y rematar los perímetros de los sistemas de instalación de las láminas asfálticas, como extremo de coronación de la lámina soldada al peto. Medidas: 2000x75 mm. También puede usarse para el remate de láminas alveolares, como drenajes o capas de protección en muros, con la gama DRENTEX.   Ref. lp-00099104.</t>
  </si>
  <si>
    <t xml:space="preserve">ma-lp-00276608</t>
  </si>
  <si>
    <t xml:space="preserve">Material</t>
  </si>
  <si>
    <t xml:space="preserve">rollo</t>
  </si>
  <si>
    <t xml:space="preserve">Lámina drenante de muros y estructuras enterradas DRENTEX PROTECT PLUS de SOPREMA (20x2 m/rollo).   Ref. lp-00276608</t>
  </si>
  <si>
    <t xml:space="preserve">DENTREX PROTECT PLUS de SOPREMA es una capa drenante compuesta de una membrana de nódulos de polietileno especial de alta densidad (HDPE) y un geotextil de polipropileno en una de sus caras para el drenaje de muros o estructuras enterradas.   Ref. lp-00276608.
El geotextil actúa como filtro del agua, garantizando el drenaje y permitiendo que los nódulos de polietileno conduzcan y evacuen el agua. El sistema completo funciona como drenaje del agua, y protección de la impermeabilización del muro. Es un drenaje estable y fiable, imputrescible y resistente a las raíces y hongos. Con buena resistencia a la compresión, la presión de la tierra apenas rebaja el volumen de drenaje, ya que cada nódulo de la estructura está unido directamente al geotextil. Es fácil de transportar e instalar. Medidas: 20x2 m/rollo. Se utiliza para el 
drenaje de muros: baja captación de agua, para el drenaje bajo pavimentos de tránsito peatonal y para el drenaje y acumulación de aguas para cubierta ajardinada extensivas. Rollo de 20x2 m.</t>
  </si>
  <si>
    <t xml:space="preserve">ma-bm-10393222</t>
  </si>
  <si>
    <t xml:space="preserve">Material</t>
  </si>
  <si>
    <t xml:space="preserve">m</t>
  </si>
  <si>
    <t xml:space="preserve">Cordón para junta de polietileno macizo CHOVA REJUNTEX-25 de CHOVA.   Ref. bm-10393222</t>
  </si>
  <si>
    <t xml:space="preserve">Cordón macizo de polietileno expandido de celdas cerradas destinado como relleno y limitador de profundidad en el sellado de juntas de dilatación, longitudinales o transversales. Aplicación cómoda y limpia. Se comprime el cordón y se introduce en la junta, se empuja con un objeto romo sin lados cortantes. A continuación, se aplica la masilla de sellado. Gran durabilidad y excepcional adaptabilidad.   Ref. bm-10393222.</t>
  </si>
  <si>
    <t xml:space="preserve">ma-bm-10513552</t>
  </si>
  <si>
    <t xml:space="preserve">Material</t>
  </si>
  <si>
    <t xml:space="preserve">pza</t>
  </si>
  <si>
    <t xml:space="preserve">Bisagra latonada para puerta vaivén doble acción de AMIG (75x126 mm/pza).   Ref. 10512552</t>
  </si>
  <si>
    <t xml:space="preserve">Bisagra latonada para puerta vaivén doble acción de AMIG (75x126 mm/pza).   Ref. 10512552.
Bisagra de doble acción con canto cuadrado fabricada en acero de alta calidad. Regulación de la potencia de cierre. Gran resistencia a la torsión. Muelle de acero elástico flexible. Accesorios incluidos.</t>
  </si>
  <si>
    <t xml:space="preserve">ma-bm-25052209</t>
  </si>
  <si>
    <t xml:space="preserve">Material</t>
  </si>
  <si>
    <t xml:space="preserve">pza</t>
  </si>
  <si>
    <t xml:space="preserve">Placa colgador en acero cincado para extintor de pared PQS ABC de 3 a 12 kg.   Ref. bm-25052209</t>
  </si>
  <si>
    <t xml:space="preserve">Placa colgador en acero cincado para extintor de pared PQS ABC de 3 a 12 kg.   Ref. bm-25052209</t>
  </si>
  <si>
    <t xml:space="preserve">ma-brico.valera-497527</t>
  </si>
  <si>
    <t xml:space="preserve">Material</t>
  </si>
  <si>
    <t xml:space="preserve">und</t>
  </si>
  <si>
    <t xml:space="preserve">Puerta Blindada 105-R Roble Clásica (206x87x4,5 cm/hoja).   Ref. brico.valera-497527</t>
  </si>
  <si>
    <t xml:space="preserve">Puerta de 45 mm de grosor con 5 paneles, no apta para su uso en el exterior de cara a la intemperie, fabricada con un núcleo completamente macizo de aglomerado y revestido con dos chapas de acero. Posteriormente se revisten con 2 paneles decorativos macizos de aglomerado que se acaban con una fina chapa de madera 100% natural. Medidas (hueco-hoja): 206x87 cm – 203x82,5 cm).   Ref. brico.valera-497527.
COMPONENTES:
• Cercos macizos de mdf de hasta 9 cms de ancho.
• Molduras macizas de mdf de mdf de 7 cms de ancho.
• Cuatro Bisagras antipalanca con acabado en inox. o dorado.
• Cerradura de Seguridad de un punto incluida (opcional la cerradura de seguridad de 3 puntos).
• Paneles idénticos por ambas caras.
• Manilla Modelo Ola + Herrajes Dorados de Seguridad.</t>
  </si>
  <si>
    <t xml:space="preserve">ma-construmole-canala0074-UE.90</t>
  </si>
  <si>
    <t xml:space="preserve">Material</t>
  </si>
  <si>
    <t xml:space="preserve">pza</t>
  </si>
  <si>
    <t xml:space="preserve">Pisavidrio aluminio anodizado natural (1/2”x1/2”x6 m/pza; 2,54x2,54x600 cm/pza).   Ref: construmole-canala0074-UE.90</t>
  </si>
  <si>
    <t xml:space="preserve">Pisavidrio aluminio anodizado natural (1/2”x1/2”x6 m/pza; 2,54x2,54x600 cm/pza).   Ref: construmole-canala0074-UE.90</t>
  </si>
  <si>
    <t xml:space="preserve">ma-da-08021-B</t>
  </si>
  <si>
    <t xml:space="preserve">Material</t>
  </si>
  <si>
    <t xml:space="preserve">bidón</t>
  </si>
  <si>
    <t xml:space="preserve">Revestimiento Impermeable Elástico ARTIGUM de D'ARTIC; color TECHUMBRE ROJO (15 litros/bidón).   Ref. da-08021-B</t>
  </si>
  <si>
    <t xml:space="preserve">Elastómero líquido impermeable en base agua. Larga duración. Elongación del 350%. Mantiene las características entre -15 oC y +80 oC y en cambios bruscos de temperatura. Cierto tacking a temperaturas altas. Inalterable con ciclos de deshielo. Crea membrana para impermeabilización continua. Se aplica principalmente sobre los paramentos verticales y horizontales, con pendientes o no, que encontramos en las azoteas, tejados, fachadas, jardineras, muros pantalla, medianeras, canelones y colectores de agua, así como para rellenar pequeñas superficies tales como grietas y agujeros. Válido para una gran cantidad de materiales de construcción tales como hormigón, cemento, fibrocemento, baldosas, cerámica, asfalto, betunes, espuma de poliuretano, piedra, aluminio, galvanizado. Resistente al moho. Aconsejable armar con ARTIMAT, geotextil estructural a base de napa de poliéster, que unifica las dos capas y mejora la resistencia mecánica a la rotura y al impacto. Para acabados más transitables y / o con agua embalsada aplicar última capa de ARTIGUM TOP. Colores: blanco, gris, negro, teja, rojo y verde. COV 7g / l – 2010 140g / l.   Ref. da-08021-B
Certificado de anti carbonatación según UNE-EN 13295: 2005, estanqueidad al agua según UNE EN 1928: 2000, propiedad de tracción (resistencia y alargamiento) según UNE EN ISO 527-1 (96) y UNE en ISO 527-3 (2003) -AC (2002) y envejecimiento artificial por exposición prolongada a la combinación de radiación UV, temperatura elevada y agua según UNE EN 1297: 2006.</t>
  </si>
  <si>
    <t xml:space="preserve">ma-da-08021-G</t>
  </si>
  <si>
    <t xml:space="preserve">Material</t>
  </si>
  <si>
    <t xml:space="preserve">envase</t>
  </si>
  <si>
    <t xml:space="preserve">Revestimiento Impermeable Elástico ARTIGUM de D'ARTIC; color TECHUMBRE ROJO (5 litros/envase).   Ref. da-08021-G</t>
  </si>
  <si>
    <t xml:space="preserve">Elastómero líquido impermeable en base agua. Larga duración. Elongación del 350%. Mantiene las características entre -15 ºC y +80 ºC y en cambios bruscos de temperatura. Cierto tacking a temperaturas altas. Inalterable con ciclos de deshielo. Crea membrana para impermeabilización continua. Se aplica principalmente sobre los paramentos verticales y horizontales, con pendientes o no, que encontramos en las azoteas, tejados, fachadas, jardineras, muros pantalla, medianeras, canelones y colectores de agua, así como para rellenar pequeñas superficies tales como grietas y agujeros. Válido para una gran cantidad de materiales de construcción tales como hormigón, cemento, fibrocemento, baldosas, cerámica, asfalto, betunes, espuma de poliuretano, piedra, aluminio, galvanizado. Resistente al moho. Aconsejable armar con ARTIMAT, geotextil estructural a base de napa de poliéster, que unifica las dos capas y mejora la resistencia mecánica a la rotura y al impacto. Para acabados más transitables y / o con agua embalsada aplicar última capa de ARTIGUM TOP. Colores: blanco, gris, negro, teja, rojo y verde. COV 7g / l – 2010 140g / l.   Ref. da-08021-G
Certificado de anti carbonatación según UNE-EN 13295: 2005, estanqueidad al agua según UNE EN 1928: 2000, propiedad de tracción (resistencia y alargamiento) según UNE EN ISO 527-1 (96) y UNE en ISO 527-3 (2003) -AC (2002) y envejecimiento artificial por exposición prolongada a la combinación de radiación UV, temperatura elevada y agua según UNE EN 1297: 2006.</t>
  </si>
  <si>
    <t xml:space="preserve">ma-da-08022-B</t>
  </si>
  <si>
    <t xml:space="preserve">Material</t>
  </si>
  <si>
    <t xml:space="preserve">bidón</t>
  </si>
  <si>
    <t xml:space="preserve">Capa elástica transitable ARTIGUM TOP de D'ARTIC; color ROJO INGLÉS (15 litros/bidón).   Ref. da-08022-B</t>
  </si>
  <si>
    <t xml:space="preserve">Acabado pisable, satinado. Altamente lavable. Agradable al paso. Completa el PROCESO ARTIGUM. Capa fina elástica y resistente a las agresiones mecánicas moderadas. Protección frente a los rayos solares. Aditivado con Aditor PU (08 Complementos) es resistente al agua estancada. Ref. da-08022-B
Recomendable en pendientes inferiores al 1%. Conserva las características en temperaturas extremas y en cambios repentinos. Colores en stock: Blanco, Gris, Negro, Teja, Rojo y Verde. Resto colores con sistema tintométrico o bajo pedido. COV 20g / l – 2010 140g / l.</t>
  </si>
  <si>
    <t xml:space="preserve">ma-da-08022-G</t>
  </si>
  <si>
    <t xml:space="preserve">Material</t>
  </si>
  <si>
    <t xml:space="preserve">envase</t>
  </si>
  <si>
    <t xml:space="preserve">Capa elástica transitable ARTIGUM TOP de D'ARTIC; color ROJO INGLÉS (5 litros/envase).   Ref. da-08022-G</t>
  </si>
  <si>
    <t xml:space="preserve">Acabado pisable, satinado. Altamente lavable. Agradable al paso. Completa el PROCESO ARTIGUM. Capa fina elástica y resistente a las agresiones mecánicas moderadas. Protección frente a los rayos solares. Aditivado con Aditor PU (08 Complementos) es resistente al agua estancada. Ref. da-08022-G
Recomendable en pendientes inferiores al 1%. Conserva las características en temperaturas extremas y en cambios repentinos. Colores en stock: Blanco, Gris, Negro, Teja, Rojo y Verde. Resto colores con sistema tintométrico o bajo pedido. COV 20g / l – 2010 140g / l.</t>
  </si>
  <si>
    <t xml:space="preserve">ma-denios-219744W</t>
  </si>
  <si>
    <t xml:space="preserve">Material</t>
  </si>
  <si>
    <t xml:space="preserve">pza</t>
  </si>
  <si>
    <t xml:space="preserve">Protector galvanizado para tubos/cables tipo VZ-2 de MORAVIA (ancho 292 x profundidad 230 x 500 mm/pza).   Ref. denios-219744W</t>
  </si>
  <si>
    <t xml:space="preserve">Protector galvanizado para tubos/cables tipo VZ-2 de MORAVIA (ancho 292 x profundidad 230 x 500 mm/pza).   Ref. denios-219744W</t>
  </si>
  <si>
    <t xml:space="preserve">ma-diaterm-sku333363</t>
  </si>
  <si>
    <t xml:space="preserve">Material</t>
  </si>
  <si>
    <t xml:space="preserve">paquete</t>
  </si>
  <si>
    <t xml:space="preserve">Panel de lana de roca ROCKWOOL SONOROCK ECO de ROCKWOOL (1350x600x80 mm/panel; 8 paneles/paquete; 8,10 m2/paquete).   Ref. diaterm-sku333363</t>
  </si>
  <si>
    <t xml:space="preserve">Panel de lana de roca ROCKWOOL SONOROCK ECO de ROCKWOOL (1350x600x80 mm/panel; 8 paneles/paquete; 8,10 m2/paquete).   Ref. diaterm-sku333363</t>
  </si>
  <si>
    <t xml:space="preserve">ma-diaterm-sku333878</t>
  </si>
  <si>
    <t xml:space="preserve">Material</t>
  </si>
  <si>
    <t xml:space="preserve">paquete</t>
  </si>
  <si>
    <t xml:space="preserve">Panel de lana de roca ROCKWOOL SONOROCK ECO de ROCKWOOL (1350x600x40 mm/panel; 12 paneles/paquete; 12,96 m2/paquete).   Ref. diaterm-sku333878</t>
  </si>
  <si>
    <t xml:space="preserve">Panel de lana de roca ROCKWOOL SONOROCK ECO de ROCKWOOL (1350x600x40 mm/panel; 12 paneles/paquete; 12,96 m2/paquete).   Ref. diaterm-sku333878</t>
  </si>
  <si>
    <t xml:space="preserve">ma-diaterm-sku333886</t>
  </si>
  <si>
    <t xml:space="preserve">Material</t>
  </si>
  <si>
    <t xml:space="preserve">paquete</t>
  </si>
  <si>
    <t xml:space="preserve">Panel de lana de roca ROCKWOOL SONOROCK ECO de ROCKWOOL (1350x600x60 mm/panel; 8 paneles/paquete; 9,72 m2/paquete).   Ref. diaterm-sku333886</t>
  </si>
  <si>
    <t xml:space="preserve">Panel de lana de roca ROCKWOOL SONOROCK ECO de ROCKWOOL (1350x600x60 mm/panel; 8 paneles/paquete; 9,72 m2/paquete).   Ref. diaterm-sku333886</t>
  </si>
  <si>
    <t xml:space="preserve">ma-ebay.cintasellado-01</t>
  </si>
  <si>
    <t xml:space="preserve">Material</t>
  </si>
  <si>
    <t xml:space="preserve">rollo</t>
  </si>
  <si>
    <t xml:space="preserve">Junta de goma para protección de bordes de ventana y puerta (9,75 m/rollo).   Ref. ebay.cintasellado-01</t>
  </si>
  <si>
    <t xml:space="preserve">Junta de goma para protección de bordes de ventana y puerta (9,75 m/rollo).   Ref. ebay.cintasellado-01</t>
  </si>
  <si>
    <t xml:space="preserve">ma-isopractic-BD702C</t>
  </si>
  <si>
    <t xml:space="preserve">Material</t>
  </si>
  <si>
    <t xml:space="preserve">rollo</t>
  </si>
  <si>
    <t xml:space="preserve">Banda acústica adhesiva 2 caras ISOPRACTIC BD702C (30 m/rollo).   Ref. isopractic-BD702C</t>
  </si>
  <si>
    <t xml:space="preserve">Banda acústica adhesiva 2 caras ISOPRACTIC BD702C (30 m/rollo).   Ref. isopractic-BD702C</t>
  </si>
  <si>
    <t xml:space="preserve">ma-isopractic-BD502C</t>
  </si>
  <si>
    <t xml:space="preserve">Material</t>
  </si>
  <si>
    <t xml:space="preserve">rollo</t>
  </si>
  <si>
    <t xml:space="preserve">Banda acústica adhesiva 2 caras ISOPRACTIC BD502C (30 m/rollo).   Ref. isopractic-BD502C</t>
  </si>
  <si>
    <t xml:space="preserve">Banda acústica adhesiva 2 caras ISOPRACTIC BD502C (30 m/rollo).   Ref. isopractic-BD502C</t>
  </si>
  <si>
    <t xml:space="preserve">ma-lm-10640840</t>
  </si>
  <si>
    <t xml:space="preserve">Material</t>
  </si>
  <si>
    <t xml:space="preserve">pza</t>
  </si>
  <si>
    <t xml:space="preserve">Bloque de vidrio neutro liso transparente con acabado satinado (19x19x8 cm/pza).   Ref. lm-10640840</t>
  </si>
  <si>
    <t xml:space="preserve">Bloque de vidrio liso transparente con un acabado satinado. Es una solución innovadora que combina diseño y funcionalidad, y además genera privacidad produciendo una luz difusa. Es ideal para dividir una estancia o crear una cabina de ducha con un aspecto suave y contemporáneo. Paquete con 10 unidades. Medidas: 19 x 19 x 8 cm (ancho x alto x espesor).   Ref. lm-10640840.
Una solución innovadora que combina diseño y funcionalidad para garantizar privacidad y luz difusa. ARCTIC ofrece un aspecto suave y contemporáneo con una sutil transmisión de la luz. Además, su innovador diseño evita que su efecto translúcido cambie al entrar en contacto con el agua. El efecto satinado, se encuentra en las caras interiores del vidrio para facilitar la limpieza: la solución ideal para crear duchas modernas y funcionales.</t>
  </si>
  <si>
    <t xml:space="preserve">ma-lm-13593083</t>
  </si>
  <si>
    <t xml:space="preserve">Material</t>
  </si>
  <si>
    <t xml:space="preserve">pza</t>
  </si>
  <si>
    <t xml:space="preserve">Bloque de vidrio moldeado incoloro/transparente (9,4x19 cm/pza).   Ref. lm13593083</t>
  </si>
  <si>
    <t xml:space="preserve">Bloque de vidrio ondulado incoloro, tipo VitraBlock de 190 x 90 x 80 mm. Perfecto para divisiones de espacios, para tapiados o ventanales que permitan una tenue entrada de luz. Válidos para interior y exterior.   Ref. lm13593083.</t>
  </si>
  <si>
    <t xml:space="preserve">ma-lm-14662865</t>
  </si>
  <si>
    <t xml:space="preserve">Material</t>
  </si>
  <si>
    <t xml:space="preserve">saco</t>
  </si>
  <si>
    <t xml:space="preserve">Sustrato universal para todo tipo de plantas (50 litros/saco).   Ref. lm-14662865</t>
  </si>
  <si>
    <t xml:space="preserve">Sustrato universal idóneo para todo tipo de plantas de interior y exterior. Su composición de 100% compost vegetal es rico en materia orgánica, favoreciendo el desarrollo y el crecimiento de raíces y tallos en cualquier tipo de cultivo. Alta calidad para el mejor cuidado de tus plantas. Contenido: 50 litros.   Ref. ma-lm-14662865</t>
  </si>
  <si>
    <t xml:space="preserve">ma-lm-82887291</t>
  </si>
  <si>
    <t xml:space="preserve">Material</t>
  </si>
  <si>
    <t xml:space="preserve">carrete</t>
  </si>
  <si>
    <t xml:space="preserve">Hilo de estaño-cobre STC UNE EB 9453 (250 gr/carrete).   Ref. lm-82887291</t>
  </si>
  <si>
    <t xml:space="preserve">Hilo de estaño de 2 mm de diámetro y aleación 114, STC UNE EB 9453, está compuesto por estaño (40%), plomo (57%) y cobre (3%). Indicado para un uso profesional en soldaduras blandas en instalaciones de agua caliente sanitaria. Contenido: 250 gr/carrete.   Ref. lm-82887291</t>
  </si>
  <si>
    <t xml:space="preserve">ma-lm-83614033</t>
  </si>
  <si>
    <t xml:space="preserve">Material</t>
  </si>
  <si>
    <t xml:space="preserve">placa</t>
  </si>
  <si>
    <t xml:space="preserve">Placa EPS DANOTHERM para Sistema SATE; blanca (1000x500x20 mm/placa).   Ref. lm-83614033</t>
  </si>
  <si>
    <t xml:space="preserve">Panel aislante térmico 0,036 W/m·K de poliestireno expandido estabilizado (EPS) con canto liso y autoextinguible empleado en Sistemas de Aislamiento Térmico por el Exterior (DANOTHERM SATE).   Ref. lm-83614033.</t>
  </si>
  <si>
    <t xml:space="preserve">ma-lm-85692175</t>
  </si>
  <si>
    <t xml:space="preserve">Material</t>
  </si>
  <si>
    <t xml:space="preserve">hoja</t>
  </si>
  <si>
    <t xml:space="preserve">Lija al Agua Grano 120 de TRUPER (230x280 mm/hoja).   Ref. lm-85692175</t>
  </si>
  <si>
    <t xml:space="preserve">Lija TRUPER de óxido de aluminio para trabajar con madera, plástico, lacas, pinturas y material no ferroso. Lima de grano 120. Material principal en la masa total del producto: Aluminio.   Ref. lm-85692175.</t>
  </si>
  <si>
    <t xml:space="preserve">ma-lm-87272580</t>
  </si>
  <si>
    <t xml:space="preserve">Material</t>
  </si>
  <si>
    <t xml:space="preserve">envase</t>
  </si>
  <si>
    <t xml:space="preserve">Gas refrigerante orgánico GASICA V2 (226 gr/envase).   Ref. lm-87272580</t>
  </si>
  <si>
    <t xml:space="preserve">Gas refrigerante orgánico GASICA V2 y eficaz con el R410A sustituto R32/R22/R407/R290 y R410A. Equivalencias: 567g.-R22|462g.-R407|226g.-R290 (Cargar al 40% del gas original)|460g.-R410A y R32 (Cargar al 50%).   Ref. lm-87272580
Recarga el split de tu aire acondicionado con Gasica V2, sustituto del gas R22, R407, R32, R410A Y R290. El nuevo Gasica V2 sella las microfugas que pueda tener su aparato de aire acondicionado y si estas fueran más grandes, su fórmula incluye detector de fugas para que pueda localizarla y repararla. Contiene 1 bombona de Gasica V2 de 226g. Es necesaria la llave de paso de perforación o la manguera para envases Gasica (No incluida). Las ventajas de este Gasica V2 son que se trata de un gas ecológico y orgánico por lo que no daña el medio ambiente ni es necesario carné de instalador para su manipulación. Menor consumo eléctrico, y menor cantidad de gas necesaria para su correcto funcionamiento.
Instrucciones de uso:
1.- Asegúrate de que el compresor se encuentre apagado.
2.-Si necesita revisar si hay fugas recupere el gas refrigerante existente en un recipiente y haga las comprobaciones pertinentes (si no tiene fugas puede mezclar el gas Gasica con el de su máquina que sin ningún problema).
3.- Conecta la manguera con el compresor siempre apagado en el puerto de carga de baja presión. Advertencia: Para pinchar la botella es necesaria la llave compatible, asegurate de que la punta de perforación de la llave está lo más arriba posible para enroscarla en la botella, una vez bien enroscada y con la manguera conectada puede darle al grifo de la llave.
4.- Instala el nuevo producto, invirtiendo la lata o bote.
5.- En caso de que todo funcione correctamente, enciende el compresor y añade refrigerante adicional para lograr la presión correcta.</t>
  </si>
  <si>
    <t xml:space="preserve">ma-lm-88106163</t>
  </si>
  <si>
    <t xml:space="preserve">Material</t>
  </si>
  <si>
    <t xml:space="preserve">und</t>
  </si>
  <si>
    <t xml:space="preserve">Luz de emergencia autotest 100 lúmenes LED permanente IP42 de CEESE.   Ref. lm-88106163</t>
  </si>
  <si>
    <t xml:space="preserve">Luz de emergencia autotest con acabado de color blanco. Incorpora Led con balastro propio e indicador de nivel de carga. Funciona con pilas (suministradas). Ofrece una potencia de 100 lúmenes y una autonomía de funcionamiento de 1 hora. Medidas: 12,4x5,6x26,1 cm (ancho x alto x fondo).   Ref. lm-88106163.</t>
  </si>
  <si>
    <t xml:space="preserve">ma-lm-88455941</t>
  </si>
  <si>
    <t xml:space="preserve">Material</t>
  </si>
  <si>
    <t xml:space="preserve">envase</t>
  </si>
  <si>
    <t xml:space="preserve">Promotor de adhesión basado en solventes para substratos no porosos SIKA AKTIVATOR-205 de SIKA (250 ml/envase).   Ref. lm-88455941</t>
  </si>
  <si>
    <t xml:space="preserve">SIKA AKTIVATOR-205 es un promotor de adhesión transparente incoloro a base de solvente, que reacciona con la humedad y deposita grupos activos sobre el substrato. Estos grupos actúan como un enlace entre substratos y primers o selladores / adhesivos. Está diseñado para el tratamiento de caras de unión antes de la aplicación de adhesivos y selladores SIKAFLEX y SIKASIL. Poder Cubriente: 20 ml/m2 (impregnar toalla de papel sin pelusa).   Ref. lm-88455941.</t>
  </si>
  <si>
    <t xml:space="preserve">ma-lm-88455953</t>
  </si>
  <si>
    <t xml:space="preserve">Material</t>
  </si>
  <si>
    <t xml:space="preserve">envase</t>
  </si>
  <si>
    <t xml:space="preserve">Imprimante para soportes porosos SIKA PRIMER-3 N de SIKA (1 litro/envase).   Ref. lm-88455953</t>
  </si>
  <si>
    <t xml:space="preserve">Sika Primer-3 N es una imprimación de un solo componente en base solvente para sustratos porosos y metales. Está diseñado para usarse con los productos SIKAFLEX, SIKAHYFLEX, SIKABOND y SIKASIL en sustratos porosos (p. ej., hormigón) y metales. Rendimientos por litro: 250 m (5 m2) sobre sustratos porosos; 400 m (8 m2) sobre sustratos no porosos.   Ref. lm-88455953.</t>
  </si>
  <si>
    <t xml:space="preserve">ma-lm-90730659</t>
  </si>
  <si>
    <t xml:space="preserve">Material</t>
  </si>
  <si>
    <t xml:space="preserve">und</t>
  </si>
  <si>
    <t xml:space="preserve">Extintor portátil 6 kg PQS ABC alta eficacia 34A 233B C de VALLE-UNIÓN.   Ref. lm-90730659</t>
  </si>
  <si>
    <t xml:space="preserve">Extintor portátil 6 kg PQS ABC alta eficacia 34A 233B C de VALLE-UNIÓN.   Ref. lm-90730659</t>
  </si>
  <si>
    <t xml:space="preserve">ma-lp-00001290</t>
  </si>
  <si>
    <t xml:space="preserve">Material</t>
  </si>
  <si>
    <t xml:space="preserve">rollo</t>
  </si>
  <si>
    <t xml:space="preserve">Banda acústica autoadhesiva bicapa FONODAN BJ (10000x420x3,9 mm/rollo).   Ref. lp-00001290</t>
  </si>
  <si>
    <t xml:space="preserve">El FONODAN BJ es un producto bicapa formado por una membrana autoadhesiva de alta densidad y un polietileno químicamente reticulado termosoldado al anterior. Acústicamente el FONODAN BJ funciona aportando masa acústica al cuerpo del tubo y quitando las frecuencias de resonancia. Aplicaciones: aisla la zona más ruidosa de la bajante como codos, reduce ruido de tubos sifónicos y tuberías en el interior de falsos techos. Especial para reducir ruidos en las tuberías de evacuación.   Ref. lp-00001290.</t>
  </si>
  <si>
    <t xml:space="preserve">ma-lp-00001291</t>
  </si>
  <si>
    <t xml:space="preserve">Material</t>
  </si>
  <si>
    <t xml:space="preserve">rollo</t>
  </si>
  <si>
    <t xml:space="preserve">Banda acústica autoadhesiva bicapa FONODAN 50 (10000x46x3,9 mm/rollo).   Ref. lp-00001291</t>
  </si>
  <si>
    <t xml:space="preserve">FONODAN 50 es un producto bicapa formado por una membrana autoadhesiva de alta densidad y un polietileno químicamente reticulado termosoldado a la anterior. Acústicamente el FONODAN 50 funciona como amortiguador de la unión rígida entre placa de yeso laminado y perfil, aportando además, una plasticidad al perfil de acero que minimiza su resonancia.   Ref. lp-00001291.</t>
  </si>
  <si>
    <t xml:space="preserve">ma-lp-00001498</t>
  </si>
  <si>
    <t xml:space="preserve">Material</t>
  </si>
  <si>
    <t xml:space="preserve">und</t>
  </si>
  <si>
    <t xml:space="preserve">Junquillo monocapa PVC (2 m/und).   Ref. lp-00001498</t>
  </si>
  <si>
    <t xml:space="preserve">Junquillo Monocapa PVC se utiliza en la aplicación del monocapa en fachadas, para marcar los diferentes paños al proyectar el mortero. Longitud: 2 m.   Ref. lp-00001498</t>
  </si>
  <si>
    <t xml:space="preserve">ma-lp-00001704</t>
  </si>
  <si>
    <t xml:space="preserve">Material</t>
  </si>
  <si>
    <t xml:space="preserve">rollo</t>
  </si>
  <si>
    <t xml:space="preserve">Malla de fibra de vidrio blanca para refuerzo de impermeabilización (rollo 50x1 m)   Ref. lp-00001704</t>
  </si>
  <si>
    <t xml:space="preserve">Malla de fibra de vidrio indicada para el refuerzo en impermeabilización de cubiertas y terrazas, evitando la aparición de fisuras y grietas. Luz de malla de 2x2 mm. Rollo de 50x1 m.   Ref. lp-00001704</t>
  </si>
  <si>
    <t xml:space="preserve">ma-lp-00001705</t>
  </si>
  <si>
    <t xml:space="preserve">Material</t>
  </si>
  <si>
    <t xml:space="preserve">rollo</t>
  </si>
  <si>
    <t xml:space="preserve">Malla de fibra de vidrio azul para refuerzo de morteros y revocos (rollo 50x1 m)   Ref. lp-00001705</t>
  </si>
  <si>
    <t xml:space="preserve">Malla de fibra de vidrio indicada para el refuerzo de todos los tipos de mortero - revoco. Trabajos de construcción de carga y renovación general. Previene la formación de grietas y fisuras. Color azul. Rollo de 50x1 m. Luz de malla 10x10 mm. Excelente adherencia en todos los tipos de mortero-revoco. No corrosivo y altamente resistente a los alcalis.   Ref. lp-00001705
MALLATEX la malla de fibra de vidrio que refuerza y evita las grietas en el mortero; a saber:
Mallas de fibra de vidrio “E” con recubrimiento antialcalino para evitar que le ataquen los álcalis del cemento.
Mallas de fibra de Vidrio “AR” resistente a los álcalis del cemento (recomendadas sobre todo para armados de hormigón).
Para atender necesidades de resistencia, existe una gran variedad de modelos con diferentes gramajes y luz de malla: MALLATEX 10A (azul) de 90 gr; MALLATEX 10B (blanca) de 200 gr; y MALLATEX 10 A / 150.
En relación a su colocación, es muy importante que la malla quede siempre embutida entre 2 capas del material a armar, formando así un solo cuerpo. Sobre todo, prestar especial atención en los puntos más susceptibles a agrietarse, como son la unión de ladrillo con forjado. También los pilares y los encuentros con marcos de puertas y ventanas son proclives a sufrir las grietas en morteros con lo que se deberán reforzar sin duda éstas zonas.</t>
  </si>
  <si>
    <t xml:space="preserve">ma-lp-00001706</t>
  </si>
  <si>
    <t xml:space="preserve">Material</t>
  </si>
  <si>
    <t xml:space="preserve">rollo</t>
  </si>
  <si>
    <t xml:space="preserve">Malla de fibra de vidrio para yeso REGARSA con luz de 5x5 mm (50 m/rollo)   Ref. lp-00001706</t>
  </si>
  <si>
    <t xml:space="preserve">Malla de fibra de vidrio indicada para el refuerzo de superficies de nueva construcción o en reformas de todos los tipos de yesos en interior. Ideal para prevenir la formación de grietas y fisuras en acabados con microcementos. Óptimo refuerzo para su uso en trencadís (tipo de adorno que se emplea en mosaicos elaborados con fragmentos cerámicos unidos con argamasa) y gresite (material cerámico hecho de gres en forma de pequeñas teselas, que se utiliza en decoración para revestimiento de suelos y paredes). Luz de 5x5 mm. Rollo de 50x1 m.   Ref. lp-00001706</t>
  </si>
  <si>
    <t xml:space="preserve">ma-lp-00002184</t>
  </si>
  <si>
    <t xml:space="preserve">Material</t>
  </si>
  <si>
    <t xml:space="preserve">und</t>
  </si>
  <si>
    <t xml:space="preserve">Trampilla BIGMAT en aluminio y placa PPM de ULTIPRO (600x600 mm/und).   Ref. lp-00002184</t>
  </si>
  <si>
    <t xml:space="preserve">Trampilla BIGMAT que facilita el registro interior en los techos de placa de yeso laminado. Muy duradera, por estar hecha con placa de yeso laminado hidrofuga PPM de 12,5 mm y marco en aluminio con accesorios en acero galvanizado. Alta resistencia a la absorción de agua. Medidas: 600x600 mm.   Ref. lp-00002184.</t>
  </si>
  <si>
    <t xml:space="preserve">ma-lp-00005530</t>
  </si>
  <si>
    <t xml:space="preserve">Material</t>
  </si>
  <si>
    <t xml:space="preserve">und</t>
  </si>
  <si>
    <t xml:space="preserve">Puerta cortafuegos EI60 (2 hojas); color blanco lacado (1600x2035 mm/und).   Ref.: lp-00005530</t>
  </si>
  <si>
    <t xml:space="preserve">Puerta cortafuego RF60 con relleno de llanta de acero y lana de roca de alta densidad 180 kg/m3. Encaje trilateral a los 2 lados. Acabado lacado con pintura electrostática al horno similar al RAL 9002.   Ref. lp-00005530.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Peso: 10 kg.</t>
  </si>
  <si>
    <t xml:space="preserve">ma-lp-00016265</t>
  </si>
  <si>
    <t xml:space="preserve">Material</t>
  </si>
  <si>
    <t xml:space="preserve">paquete</t>
  </si>
  <si>
    <t xml:space="preserve">Hojas-Lija Nº 4 escudo EN15; 230x280 mm/hoja (10 hojas/paquete).   Ref. lp-00016265</t>
  </si>
  <si>
    <t xml:space="preserve">Hojas abrasivas de tela esmeril de escudo EN15 con soporte de tela de algodón especial. Pule sin rayar, es perfecto para el acabado de piezas y el esmerilado de todo tipo de materiales. Grano Nº 4. Medidas: 230x280 mm/hoja.   Ref. lp-00016265.</t>
  </si>
  <si>
    <t xml:space="preserve">ma-lp-00018338</t>
  </si>
  <si>
    <t xml:space="preserve">Material</t>
  </si>
  <si>
    <t xml:space="preserve">und</t>
  </si>
  <si>
    <t xml:space="preserve">Guardavivo o esquinero de PVC (2,50 m/und)   Ref.lp-00018338</t>
  </si>
  <si>
    <t xml:space="preserve">El esquinero de PVC se usa para el conformado y refuerzo de esquinas interiores revestidas con yeso o mortero. Color blanco. Longitud de 2,50 m.   Ref. lp-00018338</t>
  </si>
  <si>
    <t xml:space="preserve">ma-lp-00019688</t>
  </si>
  <si>
    <t xml:space="preserve">Material</t>
  </si>
  <si>
    <t xml:space="preserve">und</t>
  </si>
  <si>
    <t xml:space="preserve">Saco de rafia para materiales y escombros; 50x90 cm    Ref. lp-00019688</t>
  </si>
  <si>
    <t xml:space="preserve">Saco flexible tejido en rafia de polipropileno de color blanco para el embalaje a granel de todo tipo de materiales. Fácil de utilizar y almacenar. Resistente a la humedad y tiene la parte superior reforzada para facilitar su apertura. Medidas: 50x90 cm.   Ref. lp-00019688</t>
  </si>
  <si>
    <t xml:space="preserve">ma-lp-00139017</t>
  </si>
  <si>
    <t xml:space="preserve">Material</t>
  </si>
  <si>
    <t xml:space="preserve">rollo</t>
  </si>
  <si>
    <t xml:space="preserve">Cartón ondulado (50x0,90 m/rollo)   Ref. lp-00139017</t>
  </si>
  <si>
    <t xml:space="preserve">El rollo de cartón ondulado marrón tiene 90 cm de ancho y 50 m de largo. Se utiliza en trabajos de pintura, para protección de objetos delicados como muebles o suelos de madera. Peso = 10 kg/rollo.   Ref. lp-00139017</t>
  </si>
  <si>
    <t xml:space="preserve">ma-lp-00018143</t>
  </si>
  <si>
    <t xml:space="preserve">Material</t>
  </si>
  <si>
    <t xml:space="preserve">pza</t>
  </si>
  <si>
    <t xml:space="preserve">Esquinero grande monocapa para carga de 10 mm (2,5 m/pza).   Ref. lp-00018143</t>
  </si>
  <si>
    <t xml:space="preserve">Esquinero grande monocapa para carga de 10 mm y con medida 2,5 m. Se usa para el conformado de esquinas exteriores, quedando el perfil oculto.   Ref. lp-00018143</t>
  </si>
  <si>
    <t xml:space="preserve">ma-lp-00018144</t>
  </si>
  <si>
    <t xml:space="preserve">Material</t>
  </si>
  <si>
    <t xml:space="preserve">pza</t>
  </si>
  <si>
    <t xml:space="preserve">Esquinero pequeño monocapa para carga de 8 mm (2,5 m/pza).   Ref. lp-00018144</t>
  </si>
  <si>
    <t xml:space="preserve">Esquinero pequeño monocapa para carga de 8 mm y con medida 2,5 m. Se usa para el conformado de esquinas exteriores, quedando el perfil oculto.   Ref. lp-00018144</t>
  </si>
  <si>
    <t xml:space="preserve">ma-lp-00136293</t>
  </si>
  <si>
    <t xml:space="preserve">Material</t>
  </si>
  <si>
    <t xml:space="preserve">und</t>
  </si>
  <si>
    <t xml:space="preserve">Puerta metálica reforzada 3P lisa lacada blanca (2100x890 mm/und).   Ref. lp-00136293</t>
  </si>
  <si>
    <t xml:space="preserve">Puerta metálica con interior de malla de nido de abeja de estructura alveolar de 18 mm. Cerradura de tres puntos (5 bulones en total). Con bombillo de seguridad antitaladro. Dos bulones antipalanca. Manivela anti-enganche de polipropileno negro a ambas caras. Junta hermética de goma perimetral. Pomo exterior y manivela interior de color negro. Tres bisagras negras de diseño. Marco de 75 mm. Medidas 2100x890 mm. Apertura a la derecha.   Ref. lp-00136293.</t>
  </si>
  <si>
    <t xml:space="preserve">ma-lp-00136294</t>
  </si>
  <si>
    <t xml:space="preserve">Material</t>
  </si>
  <si>
    <t xml:space="preserve">und</t>
  </si>
  <si>
    <t xml:space="preserve">Puerta metálica reforzada 3P lisa lacada blanca (2100x890 mm/und).   Ref. lp-00136294</t>
  </si>
  <si>
    <t xml:space="preserve">Puerta metálica con interior de malla de nido de abeja de estructura alveolar de 18 mm. Cerradura de tres puntos (5 bulones en total). Con bombillo de seguridad antitaladro. Dos bulones antipalanca. Manivela anti-enganche de polipropileno negro a ambas caras. Junta hermética de goma perimetral. Pomo exterior y manivela interior de color negro. Tres bisagras negras de diseño. Marco de 75 mm. Medidas 2100x890 mm. Apertura a la izquierda.   Ref. lp-00136294.</t>
  </si>
  <si>
    <t xml:space="preserve">ma-lp-00179615</t>
  </si>
  <si>
    <t xml:space="preserve">Material</t>
  </si>
  <si>
    <t xml:space="preserve">rollo</t>
  </si>
  <si>
    <t xml:space="preserve">Lámina geotextil de poliéster ROOFTEX V de SOPREMA; 150 gr/m2 (50x1,1 m/rollo).   Ref. lp-00179615</t>
  </si>
  <si>
    <t xml:space="preserve">Capa separadora filtrante geotextil de poliéster no tejido 150 gr/m2, para sistemas de impermeabilización. Rollo 50x1,1 m.   Ref. lp-00179615
ROOFTEX V de SOPREMA es un geotextil no-tejido de fibras 100% poliéster, punzonado mecánicamente mediante agujas con posterior tratamiento térmico y calandrado, utilizados como capa separadora, filtrante, drenante y protectora en edificación. Se usa como protección de láminas impermeabilizantes, antes de colocar la , así como lámina auxiliar de separación y filtración. Indicado para cubiertas, terraplenes y canalizaciones.</t>
  </si>
  <si>
    <t xml:space="preserve">ma-lp-00184595</t>
  </si>
  <si>
    <t xml:space="preserve">Material</t>
  </si>
  <si>
    <t xml:space="preserve">rollo</t>
  </si>
  <si>
    <t xml:space="preserve">Cuerda trenzada doble polyéster 5 mm (200 m/rollo)   Ref. lp-00184595</t>
  </si>
  <si>
    <t xml:space="preserve">Fibra suave y flexible producida en poliéster 100% alta tenacidad y protección solar. Cuerda trenzada. Gran resistencia a la tracción y al rozamiento, excelente anudabilidad. Uso en invernaderos, albañilería, jardinería, horticultura, bricolaje, manualidades, paquetería, náuticam deporte, toldos, persianas, confección, etc... Diámetro de 5 mm. Color blanco. Longitud de 200 m.   Ref. lp-00184595</t>
  </si>
  <si>
    <t xml:space="preserve">ma-lp-00222892</t>
  </si>
  <si>
    <t xml:space="preserve">Material</t>
  </si>
  <si>
    <t xml:space="preserve">tira</t>
  </si>
  <si>
    <t xml:space="preserve">Tira de poliestireno expandido EPS densidad 10 kg/m3 (1000x100x10 mm/tira).   Ref. lp-00222892</t>
  </si>
  <si>
    <t xml:space="preserve">Tira o lámina de poliestireno expandido EPS con densidad 10 kg/m3 (1000x100x10 mm/tira).   Ref. lp-00222892</t>
  </si>
  <si>
    <t xml:space="preserve">ma-lp-00225432</t>
  </si>
  <si>
    <t xml:space="preserve">Material</t>
  </si>
  <si>
    <t xml:space="preserve">und</t>
  </si>
  <si>
    <t xml:space="preserve">Perfil cantonera de PVC con malla de fibra de vidrio (medida de la malla: 8x12 cm.; longitud: 2,5 m)   Ref. lp-00225432</t>
  </si>
  <si>
    <t xml:space="preserve">Perfil cantonera de PVC con malla de fibra de vidrio álcali-resistente Válida para cualquier espesor de mortero, protege los ángulos horizontales y verticales en aristas, puertas y ventanas, ayudando a la formación de cantos perfectos tanto alineados como perpendiculares. Medidas: 8x12 cm. Longitud: 2,5 m.   Ref. lp-00225432</t>
  </si>
  <si>
    <t xml:space="preserve">ma-lp-00351172</t>
  </si>
  <si>
    <t xml:space="preserve">Material</t>
  </si>
  <si>
    <t xml:space="preserve">caja</t>
  </si>
  <si>
    <t xml:space="preserve">Electrodo Rutilo 6013  2,5x350 mm (5kg o 55 varillas/caja)   Ref. lp-00351172</t>
  </si>
  <si>
    <t xml:space="preserve">Electrodo revestido de rutilo para uso universal en aceros no aleados. 6013 diametro 2,5x350 mm y 5 kg (aprox. 55 Varillas/kg).   Ref. lp-00351172
Los electrodos de rutilo E6011 son barras para acero al carbono con revestimiento rutílico potásico. Posibilidades de soldadura en corriente continua (ambas polaridades) y corriente alterna. Se caracteriza por una escoria fácil de remover y un arco suave y estable.
Aplicaciones: En la industria de la construcción es usado en cordones de vista en fabricación de estructuras de edificios, puentes y conjuntos estructurales en general. Dentro del ramo metal-mecánico es sumamente utilizado en la fabricación de autobuses, cajas de volteo, carrocerías, componentes de maquinaria agrícola, etc. La herrería y la empresa metalmecánica ligera emplean fuertemente este tipo de electrodo ya que se usa sobre lámina negra, lámina galvanizada, perfiles estructurales, soleras, etc., y en general en materiales delgados con buena apariencia y sin quemar el material a soldar.</t>
  </si>
  <si>
    <t xml:space="preserve">ma-lp-00351244</t>
  </si>
  <si>
    <t xml:space="preserve">Material</t>
  </si>
  <si>
    <t xml:space="preserve">caja</t>
  </si>
  <si>
    <t xml:space="preserve">Electrodo básico EUTECTRODE ECB 3218 CASTOLIN EUTECTIC; 3,2x350 mm (5 kg o 150 varillas/caja).   Ref. lp-00351244</t>
  </si>
  <si>
    <t xml:space="preserve">Electrodo básico EUTECTRODE ECB 3218 de CASTOLIN EUTECTIC ideal para todo tipo de uniones sometidas a grandes esfuerzos. Resistencia a temperaturas de servicio de -30 ºC a +400 ºC en aceros no aleados. Excelente resiliencia.   Ref. lp-00351244</t>
  </si>
  <si>
    <t xml:space="preserve">ma-lp-00379536</t>
  </si>
  <si>
    <t xml:space="preserve">Material</t>
  </si>
  <si>
    <t xml:space="preserve">rollo</t>
  </si>
  <si>
    <t xml:space="preserve">Lámina geotextil impermeable para ducha de obra (30x1,5m/rollo).   Ref. lp-00379536</t>
  </si>
  <si>
    <t xml:space="preserve">Lámina geotextil impermeable para ducha de obra (30x1,5m/rollo).   Ref. lp-00379536</t>
  </si>
  <si>
    <t xml:space="preserve">ma-lp-00388436</t>
  </si>
  <si>
    <t xml:space="preserve">Material</t>
  </si>
  <si>
    <t xml:space="preserve">rollo</t>
  </si>
  <si>
    <t xml:space="preserve">Malla impermeabilizante GEOTEXTIL A-154 de JIMTEN (5x1,5 m/rollo).   Ref. lp-00388436</t>
  </si>
  <si>
    <t xml:space="preserve">Lámina impermeabilizante GEOTEXTIL A-154 de JIMTEN para la impermeabilización bajo pavimento. Medidas del rollo: 5x1,5 m. Lámina flexible para la impermeabilización bajo pavimento de baños, paredes y suelos en zonas húmedas interiores. Constituída por una doble hoja de Poliolefina (EVA) en coextrusión y con ambas caras revestidas de fibras de polipropileno para el óptimo agarre con el cemento cola C2 usado en su instalación como lámina adherida. Admite unión y sellado con cemento C2 en interiores o masilla selladora tipo MS.   Ref. lp-00388436</t>
  </si>
  <si>
    <t xml:space="preserve">ma-lp-00511369</t>
  </si>
  <si>
    <t xml:space="preserve">Material</t>
  </si>
  <si>
    <t xml:space="preserve">und</t>
  </si>
  <si>
    <t xml:space="preserve">Perfil goterón VLT de PVC con malla de fibra de vidrio (long.: 2,5 m; ancho: 100x100 mm; espesor 9 mm)   Ref. lp-00511369</t>
  </si>
  <si>
    <t xml:space="preserve">Perfil con goterón de PVC con malla de fibra de vidrio álcali-resistente, empleado en el enlucido final de los dinteles de puertas y ventanas con el fin de evitar escorrentías en los cambios de plano, impidiendo el retorno y filtración de agua al interior de la pared. Este perfil no se cubre con las capas de enlucido, lo que garantiza el drenaje del dintel. Longitud de la malla: 2,5 m. Ancho de la malla: 100x100 mm. Espesor: 9 mm.   Ref. lp-00511369</t>
  </si>
  <si>
    <t xml:space="preserve">ma-lp-00533273</t>
  </si>
  <si>
    <t xml:space="preserve">Material</t>
  </si>
  <si>
    <t xml:space="preserve">rollo</t>
  </si>
  <si>
    <t xml:space="preserve">Lámina de polietileno reticulado IMPACTODAN BT de DANOSA (25000x1060x3 mm/rollo).   Ref. lp-00533273</t>
  </si>
  <si>
    <t xml:space="preserve">Lámina flexible de polietileno químicamente reticulado de celda cerrada que proporciona al producto una estructuración interna elástica. Acústicamente, IMPACTODAN BT funciona como amortiguador aplicado en un sistema masa-resorte-masa.   Ref. lp-00533273.</t>
  </si>
  <si>
    <t xml:space="preserve">ma-lp-00534910</t>
  </si>
  <si>
    <t xml:space="preserve">Material</t>
  </si>
  <si>
    <t xml:space="preserve">rollo</t>
  </si>
  <si>
    <t xml:space="preserve">Cinta pintor KREPP 29 mm (45 m/rollo).   Ref. lp-00534910</t>
  </si>
  <si>
    <t xml:space="preserve">Cinta autoadhesiva con soporte de papel semiencrespado y adhesivo de caucho natural en base disolvente. es una cinta de KREPP con adhesivo de caucho para enmascarar bordes de puertas, paredes, zócalos y ventanas de PVC, aluminio o madera, durante el pintado. Rollo de 29 mm x 45 m. Fácil de desenrollar, se recomienda retirar en 72 horas. Peso 0,12 kg/rollo.   Ref. lp-00534910</t>
  </si>
  <si>
    <t xml:space="preserve">ma-lp-00534911</t>
  </si>
  <si>
    <t xml:space="preserve">Material</t>
  </si>
  <si>
    <t xml:space="preserve">rollo</t>
  </si>
  <si>
    <t xml:space="preserve">Cinta pintor KREPP 36 mm (45 m/rollo).   Ref. lp-00534911</t>
  </si>
  <si>
    <t xml:space="preserve">Cinta autoadhesiva con soporte de papel semiencrespado y adhesivo de caucho natural en base disolvente. es una cinta de KREPP con adhesivo de caucho para enmascarar bordes de puertas, paredes, zócalos y ventanas de PVC, aluminio o madera, durante el pintado. Rollo de 36 mm x 45 m. Fácil de desenrollar, se recomienda retirar en 72 horas. Peso 0,14 kg/rollo.   Ref. lp-00534911</t>
  </si>
  <si>
    <t xml:space="preserve">ma-lp-00534912</t>
  </si>
  <si>
    <t xml:space="preserve">Material</t>
  </si>
  <si>
    <t xml:space="preserve">rollo</t>
  </si>
  <si>
    <t xml:space="preserve">Cinta pintor KREPP 48 mm (45 m/rollo).   Ref. lp-00534912</t>
  </si>
  <si>
    <t xml:space="preserve">Cinta autoadhesiva con soporte de papel semiencrespado y adhesivo de caucho natural en base disolvente. es una cinta de KREPP con adhesivo de caucho para enmascarar bordes de puertas, paredes, zócalos y ventanas de PVC, aluminio o madera, durante el pintado. Rollo de 48 mm x 45 m. Fácil de desenrollar, se recomienda retirar en 72 horas. Peso 0,16 kg/rollo.   Ref. lp-00534912</t>
  </si>
  <si>
    <t xml:space="preserve">ma-lp-00538824</t>
  </si>
  <si>
    <t xml:space="preserve">Material</t>
  </si>
  <si>
    <t xml:space="preserve">rollo</t>
  </si>
  <si>
    <t xml:space="preserve">Banda impermeabilización FORM 9 de caucho EPDM sin vulcanizar (23 cm x 15,25 m/rollo).   Ref. lp-00538824</t>
  </si>
  <si>
    <t xml:space="preserve">Banda moldeable de caucho EPDM sin vulcanizar de medidas 23 cm x 15,25 m, para sellado de puntos singulares: esquinas interiores y exteriores, tuberías, salientes, etc… Ref. lp-00538824.</t>
  </si>
  <si>
    <t xml:space="preserve">ma-lp-00539974</t>
  </si>
  <si>
    <t xml:space="preserve">Material</t>
  </si>
  <si>
    <t xml:space="preserve">manta</t>
  </si>
  <si>
    <t xml:space="preserve">Manta de lana mineral aislante termo-acústica hidrófila MRK 40 de URSA (12500x1200x60 mm/manta).   Ref. lp-00539974</t>
  </si>
  <si>
    <t xml:space="preserve">Manta con 15 m2 de lana mineral URSA aislante termo-acústica MRK 40 hidrófila, recubierta con papel KRAFT como barrera de vapor; indicada para aislamiento entre tabiquillos, bajo cubierta, falsos techos de placa de yeso laminado.   Ref. lp-00539974.</t>
  </si>
  <si>
    <t xml:space="preserve">ma-lp-00539975</t>
  </si>
  <si>
    <t xml:space="preserve">Material</t>
  </si>
  <si>
    <t xml:space="preserve">manta</t>
  </si>
  <si>
    <t xml:space="preserve">Manta de lana mineral aislante termo-acústica no hidrófila MRK 40 de URSA (11000x600x80 mm/manta; 2 mantas/paquete = 13,20 m2).   Ref. lp-00539975</t>
  </si>
  <si>
    <t xml:space="preserve">Manta con 13,2 m2 de lana mineral URSA aislante termo-acústica MRK 40 no hidrófila, recubierta con papel KRAFT como barrera de vapor; indicada para aislamiento entre tabiquillos, bajo cubierta, falsos techos de placa de yeso laminado.   Ref. lp-00539975.</t>
  </si>
  <si>
    <t xml:space="preserve">ma-lp-00540928</t>
  </si>
  <si>
    <t xml:space="preserve">Material</t>
  </si>
  <si>
    <t xml:space="preserve">pza</t>
  </si>
  <si>
    <t xml:space="preserve">Cordón de espuma polietilénica extruida MAPEFOAM de MAPEI (1 m x 25 mm/pza).   Ref. lp-00540928</t>
  </si>
  <si>
    <t xml:space="preserve">Cordón de espuma polietilénica extruida de célula cerrada para soporte a selladores elastoméricos; idóneo para dimensionar correctamente la sección de las juntas de pavimentos industriales, de cerámica y piedra natural, antes del relleno con selladores elastoméricos (masilla).   Ref. lp-00540928.</t>
  </si>
  <si>
    <t xml:space="preserve">ma-lp-00540972</t>
  </si>
  <si>
    <t xml:space="preserve">Material</t>
  </si>
  <si>
    <t xml:space="preserve">pza</t>
  </si>
  <si>
    <t xml:space="preserve">Cordón de espuma polietilénica extruida MAPEFOAM de MAPEI (1 m x 15 mm/pza).   Ref. lp-00540972</t>
  </si>
  <si>
    <t xml:space="preserve">Cordón de espuma polietilénica extruida de célula cerrada para soporte a selladores elastoméricos; idóneo para dimensionar correctamente la sección de las juntas de pavimentos industriales, de cerámica y piedra natural, antes del relleno con selladores elastoméricos (masilla).   Ref. lp-00540972.</t>
  </si>
  <si>
    <t xml:space="preserve">ma-lp-00005606</t>
  </si>
  <si>
    <t xml:space="preserve">Material</t>
  </si>
  <si>
    <t xml:space="preserve">und</t>
  </si>
  <si>
    <t xml:space="preserve">Puerta cortafuegos EI60 antipánico (1 hoja derecha); color blanco lacado (800x2035 mm/und).   Ref.: lp-00005606</t>
  </si>
  <si>
    <t xml:space="preserve">Puerta cortafuego RF60 con relleno de llanta de acero y lana de roca de alta densidad 180 kg/m3. Encaje trilateral a los 2 lados. Acabado lacado con pintura electrostática al horno similar al RAL 9002.   Ref. lp-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Barra antipánico premontada suelta con perforación en la hoja de la puerta para situar y atornillar las bases de la barra antipánico.</t>
  </si>
  <si>
    <t xml:space="preserve">ma-lp-00006002</t>
  </si>
  <si>
    <t xml:space="preserve">Material</t>
  </si>
  <si>
    <t xml:space="preserve">und</t>
  </si>
  <si>
    <t xml:space="preserve">Puerta cortafuegos EI60 (1 hoja derecha); color blanco lacado (800x2035 mm/und).   Ref. lp-00006002</t>
  </si>
  <si>
    <t xml:space="preserve">Puerta cortafuego RF60 con relleno de llanta de acero y lana de roca de alta densidad 180 kg/m3. Encaje trilateral a los 2 lados. Acabado lacado con pintura electrostática al horno similar al RAL 9002.   Ref. lp-00006002.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Peso: 43 kg.</t>
  </si>
  <si>
    <t xml:space="preserve">ma-lp-00006004</t>
  </si>
  <si>
    <t xml:space="preserve">Material</t>
  </si>
  <si>
    <t xml:space="preserve">und</t>
  </si>
  <si>
    <t xml:space="preserve">Puerta cortafuegos EI60 (1 hoja derecha); color blanco lacado (885x2035 mm/und).   Ref.: lp-00006004</t>
  </si>
  <si>
    <t xml:space="preserve">Puerta cortafuego RF60 con relleno de llanta de acero y lana de roca de alta densidad 180 kg/m3. Encaje trilateral a los 2 lados. Acabado lacado con pintura electrostática al horno similar al RAL 9002.   Ref. lp-00006004.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Peso: 47 kg.</t>
  </si>
  <si>
    <t xml:space="preserve">ma-lp-00016841</t>
  </si>
  <si>
    <t xml:space="preserve">Material</t>
  </si>
  <si>
    <t xml:space="preserve">und</t>
  </si>
  <si>
    <t xml:space="preserve">Bisagra piano latón (32x960 mm/und).   Ref. lp-00016841</t>
  </si>
  <si>
    <t xml:space="preserve">Bisagra piano latón (32x960 mm/und).   Ref. lp-00016841</t>
  </si>
  <si>
    <t xml:space="preserve">ma-lp-00016842</t>
  </si>
  <si>
    <t xml:space="preserve">Material</t>
  </si>
  <si>
    <t xml:space="preserve">und</t>
  </si>
  <si>
    <t xml:space="preserve">Bisagra piano níquel (32x960 mm/und).   Ref. lp-00016842</t>
  </si>
  <si>
    <t xml:space="preserve">Bisagra piano níquel (32x960 mm/und).   Ref. lp-00016842</t>
  </si>
  <si>
    <t xml:space="preserve">ma-lp-00196285</t>
  </si>
  <si>
    <t xml:space="preserve">Material</t>
  </si>
  <si>
    <t xml:space="preserve">und</t>
  </si>
  <si>
    <t xml:space="preserve">Trampilla BIGMAT en aluminio y placa PPM de ULTIPRO (1200x600 mm/und).   Ref. lp-00196285</t>
  </si>
  <si>
    <t xml:space="preserve">Trampilla BIGMAT que facilita el registro interior en los techos de placa de yeso laminado. Muy duradera, por estar hecha con placa de yeso laminado hidrofuga PPM de 12,5 mm y marco en aluminio con accesorios en acero galvanizado. Alta resistencia a la absorción de agua. Medidas: 1200x600 mm.   Ref. lp-00196285.</t>
  </si>
  <si>
    <t xml:space="preserve">ma-lp-00317396</t>
  </si>
  <si>
    <t xml:space="preserve">Material</t>
  </si>
  <si>
    <t xml:space="preserve">rollo</t>
  </si>
  <si>
    <t xml:space="preserve">Banda acústica autoadhesiva bicapa FONODAN 70 (10000x66x3,9 mm/rollo).   Ref. lp-00317396</t>
  </si>
  <si>
    <t xml:space="preserve">La FONODAN 70 es un producto bicapa destinado al aislamiento de tuberías, botes sifónicos y elementos rígidos, formado por una membrana autoadhesiva de alta densidad y un polietileno químicamente reticulado termosoldado al anterior. Acústicamente funciona aportando masa acústica al cuerpo del tubo y quitando las frecuencias de resonancia.   Ref. lp-00317396.</t>
  </si>
  <si>
    <t xml:space="preserve">ma-lp-00564157</t>
  </si>
  <si>
    <t xml:space="preserve">Material</t>
  </si>
  <si>
    <t xml:space="preserve">paquete</t>
  </si>
  <si>
    <t xml:space="preserve">Lija al agua Grano 120 de (230x280 mm/hoja; 5 hojas/paquete).   Ref. lp-00564157</t>
  </si>
  <si>
    <t xml:space="preserve">Lija al agua Grano 120 de (230x280 mm/hoja; 5 hojas/paquete).   Ref. lp-00564157.</t>
  </si>
  <si>
    <t xml:space="preserve">ma-lp-00571658</t>
  </si>
  <si>
    <t xml:space="preserve">Material</t>
  </si>
  <si>
    <t xml:space="preserve">rollo</t>
  </si>
  <si>
    <t xml:space="preserve">Plástico burbuja o film alveolar (25x1 m/rollo).   Ref. lp-00571658</t>
  </si>
  <si>
    <t xml:space="preserve">Plástico burbuja o film alveolar (25x1 m/rollo).   Ref. lp-00571658</t>
  </si>
  <si>
    <t xml:space="preserve">ma-om-10579345</t>
  </si>
  <si>
    <t xml:space="preserve">Material</t>
  </si>
  <si>
    <t xml:space="preserve">und</t>
  </si>
  <si>
    <t xml:space="preserve">Persiana Mallorquina de Aluminio con 2 paños practicables (100x100 cm/und).   Ref. om-10579345</t>
  </si>
  <si>
    <t xml:space="preserve">Persiana Mallorquina de Aluminio con 2 paños practicables (100x100 cm/und). Fabricada en aluminio lacado Qualicoat blanco tanto marco (40 mm) como lamas. Cierre de maneta con apertura practicable hacia el exterior.   Ref. om-10579345.</t>
  </si>
  <si>
    <t xml:space="preserve">ma-pp-revisal.liso-15</t>
  </si>
  <si>
    <t xml:space="preserve">Material</t>
  </si>
  <si>
    <t xml:space="preserve">bidón</t>
  </si>
  <si>
    <t xml:space="preserve">Revestimiento liso acrílico REVISAL LISO de ISAVAL (15 litros/bidón).   Ref. pp-revisal.liso-15</t>
  </si>
  <si>
    <t xml:space="preserve">Revestimiento liso acrílico muy resistente a la alcalinidad y a los agentes atmosféricos, especial para protección y decoración de las fachadas en general con excepcionales características de calidad. Perfecta adherencia a los materiales de construcción, impermeable al agua de lluvia y permeable al vapor de agua. Alta opacidad, acabado mate. Rendimiento: 8 a 10 m2/litro.   Ref. pp-revisal.liso-15.
Fondear con: Soporte consolidado: Fixenol Pigmentado. Soporte no consolidado: Isacrílico, Fixenol Fijador Siloxano Alta Penetración, Fixacril Disolvente. Dilución con agua: brocha 0-15%, rodillo 0-15%, pistola 10-25%. Tiempo de secado: Al tacto: 30 min / Repintado: 4-6 h. Total: 15-20 días.</t>
  </si>
  <si>
    <t xml:space="preserve">ma-prolisur-celulosa.periodico</t>
  </si>
  <si>
    <t xml:space="preserve">Material</t>
  </si>
  <si>
    <t xml:space="preserve">palet</t>
  </si>
  <si>
    <t xml:space="preserve">Flóculos de celulosas de UNIVERCELL de papel de periódico triturado; ignífugo y fungicida (palet de 30 sacos; 14 kg/saco).   Ref. prolisur-guata.periodico</t>
  </si>
  <si>
    <t xml:space="preserve">Flóculos de celulosas idóneos para aislamiento térmico de áticos, buhardillas, cubiertas, cubiertas de tabiques palomeros y fachadas. La guata de celulosa UNIVERCELL es un aislante térmico y acústico de papel de periódico triturado y mezclado con sal de bórax. Opera como fungicida e ignífugo (además de actuar contra la putrefacción y los insectos).   Ref. prolisur-guata.periodico.</t>
  </si>
  <si>
    <t xml:space="preserve">ma-rs-184-6803</t>
  </si>
  <si>
    <t xml:space="preserve">Material</t>
  </si>
  <si>
    <t xml:space="preserve">rollo</t>
  </si>
  <si>
    <t xml:space="preserve">Cinta de enmascarar de papel crepé RS PRO (50 mx12 mm/rollo).   Ref. rs-184-6803</t>
  </si>
  <si>
    <t xml:space="preserve">Las cintas aislantes se utilizan para proteger temporalmente áreas al pintar, pulverizar, recubrir o granallar. Nuestra gama de cintas aislantes se suministra en muchos colores, anchuras y longitudes y son fáciles de cortar y aplicar. La extracción de la cinta debe realizarse cuando la cinta haya finalizado su utilidad para evitar que el adhesivo deje residuos o dañe la superficie que se va a proteger.   Ref. rs-184-6803.
El adhesivo de la cinta aislante determina dónde se aplica mejor la cinta:• El material de base de caucho proporciona generalmente la mejor adhesión, pero tiene la menor resistencia de temperatura.• El material acrílico se puede utilizar en un amplio rango de temperaturas.• El material de base de silicona se puede utilizar en el rango de temperatura más alto.</t>
  </si>
  <si>
    <t xml:space="preserve">ma-serveiestacio-barraPP-10</t>
  </si>
  <si>
    <t xml:space="preserve">Material</t>
  </si>
  <si>
    <t xml:space="preserve">barra</t>
  </si>
  <si>
    <t xml:space="preserve">Barra redonda de polipropileno 10 mm; color negro (1 m/barra).   Ref. serveiestacio-barraPP-10</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</si>
  <si>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serveiestacio-barraPP-10.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</si>
  <si>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ma-serveiestacio-barraPP-15</t>
  </si>
  <si>
    <t xml:space="preserve">Material</t>
  </si>
  <si>
    <t xml:space="preserve">barra</t>
  </si>
  <si>
    <t xml:space="preserve">Barra redonda de polipropileno 15 mm; color negro (1 m/barra).   Ref. serveiestacio-barraPP-15</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</si>
  <si>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serveiestacio-barraPP-15.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</si>
  <si>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ma-serveiestacio-barraPP-20</t>
  </si>
  <si>
    <t xml:space="preserve">Material</t>
  </si>
  <si>
    <t xml:space="preserve">barra</t>
  </si>
  <si>
    <t xml:space="preserve">Barra redonda de polipropileno 20 mm; color negro (1 m/barra).   Ref. serveiestacio-barraPP-20</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</si>
  <si>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serveiestacio-barraPP-20.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</si>
  <si>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ma-serveiestacio-barraPP-25</t>
  </si>
  <si>
    <t xml:space="preserve">Material</t>
  </si>
  <si>
    <t xml:space="preserve">barra</t>
  </si>
  <si>
    <t xml:space="preserve">Barra redonda de polipropileno 25 mm; color negro (1 m/barra).   Ref. serveiestacio-barraPP-25</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</si>
  <si>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serveiestacio-barraPP-25.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</si>
  <si>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ma-serveiestacio-barraPP-30</t>
  </si>
  <si>
    <t xml:space="preserve">Material</t>
  </si>
  <si>
    <t xml:space="preserve">barra</t>
  </si>
  <si>
    <t xml:space="preserve">Barra redonda de polipropileno 30 mm; color negro (1 m/barra).   Ref. serveiestacio-barraPP-30</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</si>
  <si>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serveiestacio-barraPP-30.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</si>
  <si>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ma-serveiestacio-barraPP-40</t>
  </si>
  <si>
    <t xml:space="preserve">Material</t>
  </si>
  <si>
    <t xml:space="preserve">barra</t>
  </si>
  <si>
    <t xml:space="preserve">Barra redonda de polipropileno 40 mm; color negro (1 m/barra).   Ref. serveiestacio-barraPP-40</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</si>
  <si>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serveiestacio-barraPP-40.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</si>
  <si>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ma-serveiestacio-barraPP-50</t>
  </si>
  <si>
    <t xml:space="preserve">Material</t>
  </si>
  <si>
    <t xml:space="preserve">barra</t>
  </si>
  <si>
    <t xml:space="preserve">Barra redonda de polipropileno 50 mm; color negro (1 m/barra).   Ref. serveiestacio-barraPP-50</t>
  </si>
  <si>
    <t xml:space="preserve">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serveiestacio-barraPP-50.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</si>
  <si>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 xml:space="preserve">ma-solotrampillas-B800800W</t>
  </si>
  <si>
    <t xml:space="preserve">Material</t>
  </si>
  <si>
    <t xml:space="preserve">und</t>
  </si>
  <si>
    <t xml:space="preserve">Trampilla metálica con cerradura SISTEMA B1 (800x800 mm/und).   Ref. solotrampillas-B800800W</t>
  </si>
  <si>
    <t xml:space="preserve">La trampilla metálica está compuesta por un perfil y una compuerta de acero galvanizado o acero inoxidable con cerradura cuadrada. El color standard es blanco RAL 9016, barnizado posteriormente. Está disponible en otros colores RAL o sin barnizar. El sistema tiene un marco con perfiles redondeados para un cierre más preciso sobre estuco o sobre placa de yeso. Los cuatro anclajes del muro son ajustables y permiten la instalación segura ya sea en paredes o techos. La compuerta puede ser extraíble o inclinable con apertura ya sea a la derecha o la izquierda. La trampilla puede ser aplicada ya sea en paredes que en techos de placa de yeso laminado o sobre muro.   Ref. solotrampillas-B800800W.
https://www.solotrampillas.com/tienda-trampillas/trampilla-system-b1-metalica/296-sistema-b1-800x800-trampilla-metalica-con-cerradura-cuadrada.html</t>
  </si>
  <si>
    <t xml:space="preserve">ma-transglass-MBPP-100</t>
  </si>
  <si>
    <t xml:space="preserve">Material</t>
  </si>
  <si>
    <t xml:space="preserve">barra</t>
  </si>
  <si>
    <t xml:space="preserve">Barra redonda de polipropileno RAL 7032; color gris (1 m/barra 100 mm).   Ref. transglass-MBPP-100</t>
  </si>
  <si>
    <t xml:space="preserve">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transglass-MBPP-100</t>
  </si>
  <si>
    <t xml:space="preserve">ma-transglass-MBPP-040</t>
  </si>
  <si>
    <t xml:space="preserve">Material</t>
  </si>
  <si>
    <t xml:space="preserve">barra</t>
  </si>
  <si>
    <t xml:space="preserve">Barra redonda de polipropileno RAL 7032; color gris (1 m/barra 40 mm).   Ref. transglass-MBPP-40</t>
  </si>
  <si>
    <t xml:space="preserve">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transglass-MBPP-40</t>
  </si>
  <si>
    <t xml:space="preserve">ma-transglass-MBPP-060</t>
  </si>
  <si>
    <t xml:space="preserve">Material</t>
  </si>
  <si>
    <t xml:space="preserve">barra</t>
  </si>
  <si>
    <t xml:space="preserve">Barra redonda de polipropileno RAL 7032; color gris (1 m/barra 60 mm).   Ref. transglass-MBPP-60</t>
  </si>
  <si>
    <t xml:space="preserve">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transglass-MBPP-60.</t>
  </si>
  <si>
    <t xml:space="preserve">ma-transglass-MBPP-080</t>
  </si>
  <si>
    <t xml:space="preserve">Material</t>
  </si>
  <si>
    <t xml:space="preserve">barra</t>
  </si>
  <si>
    <t xml:space="preserve">Barra redonda de polipropileno RAL 7032; color gris (1 m/barra 80 mm).   Ref. transglass-MBPP-80</t>
  </si>
  <si>
    <t xml:space="preserve">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transglass-MBPP-80.</t>
  </si>
  <si>
    <t xml:space="preserve">MATERIALES</t>
  </si>
  <si>
    <t xml:space="preserve">MDO</t>
  </si>
  <si>
    <t xml:space="preserve">Capítulo</t>
  </si>
  <si>
    <t xml:space="preserve">MANO DE OBRA</t>
  </si>
  <si>
    <t xml:space="preserve">MDO-CONTARATADA</t>
  </si>
  <si>
    <t xml:space="preserve">Capítulo</t>
  </si>
  <si>
    <t xml:space="preserve">MDO-CONTARATADA</t>
  </si>
  <si>
    <t xml:space="preserve">MDO-CONTARATADA</t>
  </si>
  <si>
    <t xml:space="preserve">MDO-DIRECTA</t>
  </si>
  <si>
    <t xml:space="preserve">Capítulo</t>
  </si>
  <si>
    <t xml:space="preserve">MDO-DIRECTA</t>
  </si>
  <si>
    <t xml:space="preserve">mo-carpintero-ayudante</t>
  </si>
  <si>
    <t xml:space="preserve">Mano de obra</t>
  </si>
  <si>
    <t xml:space="preserve">h</t>
  </si>
  <si>
    <t xml:space="preserve">Ayudante de Carpintero</t>
  </si>
  <si>
    <t xml:space="preserve">Ayudante de Carpintero</t>
  </si>
  <si>
    <t xml:space="preserve">mo-carpintero-oficial1</t>
  </si>
  <si>
    <t xml:space="preserve">Mano de obra</t>
  </si>
  <si>
    <t xml:space="preserve">h</t>
  </si>
  <si>
    <t xml:space="preserve">Oficial Carpintero de 1ª</t>
  </si>
  <si>
    <t xml:space="preserve">Oficial Carpintero de 1ª</t>
  </si>
  <si>
    <t xml:space="preserve">mo-electricista-ayudante</t>
  </si>
  <si>
    <t xml:space="preserve">Mano de obra</t>
  </si>
  <si>
    <t xml:space="preserve">h</t>
  </si>
  <si>
    <t xml:space="preserve">Ayudante de Electricista</t>
  </si>
  <si>
    <t xml:space="preserve">Ayudante de Electricista</t>
  </si>
  <si>
    <t xml:space="preserve">mo-electricista-oficial1</t>
  </si>
  <si>
    <t xml:space="preserve">Mano de obra</t>
  </si>
  <si>
    <t xml:space="preserve">h</t>
  </si>
  <si>
    <t xml:space="preserve">Oficial Electricista de 1ª</t>
  </si>
  <si>
    <t xml:space="preserve">Oficial Electricista de 1ª</t>
  </si>
  <si>
    <t xml:space="preserve">mo-encofrador-ayudante</t>
  </si>
  <si>
    <t xml:space="preserve">Mano de obra</t>
  </si>
  <si>
    <t xml:space="preserve">h</t>
  </si>
  <si>
    <t xml:space="preserve">Ayudante de Encofrador</t>
  </si>
  <si>
    <t xml:space="preserve">Ayudante de Encofrador</t>
  </si>
  <si>
    <t xml:space="preserve">mo-encofrador-oficial1</t>
  </si>
  <si>
    <t xml:space="preserve">Mano de obra</t>
  </si>
  <si>
    <t xml:space="preserve">h</t>
  </si>
  <si>
    <t xml:space="preserve">Oficial Encofrador de 1ª</t>
  </si>
  <si>
    <t xml:space="preserve">Oficial Encofrador de 1ª</t>
  </si>
  <si>
    <t xml:space="preserve">mo-ferrallista-ayudante</t>
  </si>
  <si>
    <t xml:space="preserve">Mano de obra</t>
  </si>
  <si>
    <t xml:space="preserve">h</t>
  </si>
  <si>
    <t xml:space="preserve">Ayudante de Ferrallista</t>
  </si>
  <si>
    <t xml:space="preserve">Ayudante de Ferrallista</t>
  </si>
  <si>
    <t xml:space="preserve">mo-ferrallista-oficial1</t>
  </si>
  <si>
    <t xml:space="preserve">Mano de obra</t>
  </si>
  <si>
    <t xml:space="preserve">h</t>
  </si>
  <si>
    <t xml:space="preserve">Oficial Ferrallista de 1ª</t>
  </si>
  <si>
    <t xml:space="preserve">Oficial Ferrallista de 1ª</t>
  </si>
  <si>
    <t xml:space="preserve">mo-fontanero-ayudante</t>
  </si>
  <si>
    <t xml:space="preserve">Mano de obra</t>
  </si>
  <si>
    <t xml:space="preserve">h</t>
  </si>
  <si>
    <t xml:space="preserve">Ayudante de Fontanero</t>
  </si>
  <si>
    <t xml:space="preserve">Ayudante de Fontanero</t>
  </si>
  <si>
    <t xml:space="preserve">mo-fontanero-oficial1</t>
  </si>
  <si>
    <t xml:space="preserve">Mano de obra</t>
  </si>
  <si>
    <t xml:space="preserve">h</t>
  </si>
  <si>
    <t xml:space="preserve">Oficial Fontanero</t>
  </si>
  <si>
    <t xml:space="preserve">Oficial Fontanero/Calefactor de 1ª</t>
  </si>
  <si>
    <t xml:space="preserve">mo-herrero-ayudante</t>
  </si>
  <si>
    <t xml:space="preserve">Mano de obra</t>
  </si>
  <si>
    <t xml:space="preserve">h</t>
  </si>
  <si>
    <t xml:space="preserve">Ayudante de Herrero</t>
  </si>
  <si>
    <t xml:space="preserve">Ayudante de Herrero</t>
  </si>
  <si>
    <t xml:space="preserve">mo-herrero-oficial1</t>
  </si>
  <si>
    <t xml:space="preserve">Mano de obra</t>
  </si>
  <si>
    <t xml:space="preserve">h</t>
  </si>
  <si>
    <t xml:space="preserve">Oficial Herrero de 1ª</t>
  </si>
  <si>
    <t xml:space="preserve">Oficial Herrero de 1ª</t>
  </si>
  <si>
    <t xml:space="preserve">mo-pintor-oficial1</t>
  </si>
  <si>
    <t xml:space="preserve">Mano de obra</t>
  </si>
  <si>
    <t xml:space="preserve">h</t>
  </si>
  <si>
    <t xml:space="preserve">Oficial Pintor de 1ª</t>
  </si>
  <si>
    <t xml:space="preserve">Oficial Pintor de 1ª</t>
  </si>
  <si>
    <t xml:space="preserve">mo-salarial-ayudante</t>
  </si>
  <si>
    <t xml:space="preserve">Mano de obra</t>
  </si>
  <si>
    <t xml:space="preserve">h</t>
  </si>
  <si>
    <t xml:space="preserve">Ayudante</t>
  </si>
  <si>
    <t xml:space="preserve">Ayudante</t>
  </si>
  <si>
    <t xml:space="preserve">mo-salarial-capataz</t>
  </si>
  <si>
    <t xml:space="preserve">Mano de obra</t>
  </si>
  <si>
    <t xml:space="preserve">h</t>
  </si>
  <si>
    <t xml:space="preserve">Capataz</t>
  </si>
  <si>
    <t xml:space="preserve">Capataz</t>
  </si>
  <si>
    <t xml:space="preserve">mo-salarial-encargado</t>
  </si>
  <si>
    <t xml:space="preserve">Mano de obra</t>
  </si>
  <si>
    <t xml:space="preserve">h</t>
  </si>
  <si>
    <t xml:space="preserve">Encargado</t>
  </si>
  <si>
    <t xml:space="preserve">Encargado</t>
  </si>
  <si>
    <t xml:space="preserve">mo-salarial-oficial1</t>
  </si>
  <si>
    <t xml:space="preserve">Mano de obra</t>
  </si>
  <si>
    <t xml:space="preserve">h</t>
  </si>
  <si>
    <t xml:space="preserve">Oficial de 1ª</t>
  </si>
  <si>
    <t xml:space="preserve">Oficial de 1ª</t>
  </si>
  <si>
    <t xml:space="preserve">mo-salarial-oficial2</t>
  </si>
  <si>
    <t xml:space="preserve">Mano de obra</t>
  </si>
  <si>
    <t xml:space="preserve">h</t>
  </si>
  <si>
    <t xml:space="preserve">Oficial de 2ª</t>
  </si>
  <si>
    <t xml:space="preserve">Oficial de 2ª</t>
  </si>
  <si>
    <t xml:space="preserve">mo-salarial-peon2</t>
  </si>
  <si>
    <t xml:space="preserve">Mano de obra</t>
  </si>
  <si>
    <t xml:space="preserve">h</t>
  </si>
  <si>
    <t xml:space="preserve">Peón Ordinario</t>
  </si>
  <si>
    <t xml:space="preserve">Peón Ordinario</t>
  </si>
  <si>
    <t xml:space="preserve">mo-seguridad.y.salud-peon</t>
  </si>
  <si>
    <t xml:space="preserve">Mano de obra</t>
  </si>
  <si>
    <t xml:space="preserve">h</t>
  </si>
  <si>
    <t xml:space="preserve">Peón especializado en Seguridad y Salud</t>
  </si>
  <si>
    <t xml:space="preserve">Peón especializado en Seguridad y Salud</t>
  </si>
  <si>
    <t xml:space="preserve">mo-soldador-ayudante</t>
  </si>
  <si>
    <t xml:space="preserve">Mano de obra</t>
  </si>
  <si>
    <t xml:space="preserve">h</t>
  </si>
  <si>
    <t xml:space="preserve">Ayudante de Soldador</t>
  </si>
  <si>
    <t xml:space="preserve">Ayudante de Soldador</t>
  </si>
  <si>
    <t xml:space="preserve">moc-std1-andamio</t>
  </si>
  <si>
    <t xml:space="preserve">Partida</t>
  </si>
  <si>
    <t xml:space="preserve">h</t>
  </si>
  <si>
    <t xml:space="preserve">Cuadrilla Std1 Andamio - 1 Oficial de 1ª y 1 Ayudante</t>
  </si>
  <si>
    <t xml:space="preserve">Cuadrilla Std1 Andamio - 1 Oficial de 1ª y 1 Ayudante</t>
  </si>
  <si>
    <t xml:space="preserve">m.o.And</t>
  </si>
  <si>
    <t xml:space="preserve">Mano de obra</t>
  </si>
  <si>
    <t xml:space="preserve">h</t>
  </si>
  <si>
    <t xml:space="preserve">Mano de Obra de ANDAMIO</t>
  </si>
  <si>
    <t xml:space="preserve">moc-std1-andamio</t>
  </si>
  <si>
    <t xml:space="preserve">moc-std1-electricista</t>
  </si>
  <si>
    <t xml:space="preserve">Partida</t>
  </si>
  <si>
    <t xml:space="preserve">h</t>
  </si>
  <si>
    <t xml:space="preserve">Cuadrilla Std1 Electricidad - 1 Oficial Electricista de 1ª y 1 Ayudante de Electricidad</t>
  </si>
  <si>
    <t xml:space="preserve">Cuadrilla Std1 Electricidad - 1 Oficial Electricista de 1ª y 1 Ayudante de Electricidad</t>
  </si>
  <si>
    <t xml:space="preserve">mo-electricista-oficial1</t>
  </si>
  <si>
    <t xml:space="preserve">Mano de obra</t>
  </si>
  <si>
    <t xml:space="preserve">h</t>
  </si>
  <si>
    <t xml:space="preserve">Oficial Electricista de 1ª</t>
  </si>
  <si>
    <t xml:space="preserve">mo-electricista-ayudante</t>
  </si>
  <si>
    <t xml:space="preserve">Mano de obra</t>
  </si>
  <si>
    <t xml:space="preserve">h</t>
  </si>
  <si>
    <t xml:space="preserve">Ayudante de Electricista</t>
  </si>
  <si>
    <t xml:space="preserve">moc-std1-electricista</t>
  </si>
  <si>
    <t xml:space="preserve">moc-std1-encofrado</t>
  </si>
  <si>
    <t xml:space="preserve">Partida</t>
  </si>
  <si>
    <t xml:space="preserve">h</t>
  </si>
  <si>
    <t xml:space="preserve">Cuadrilla Std1 Encofrador - 1 Oficial Encofrador de 1ª y 1 Ayudante de Encofrador</t>
  </si>
  <si>
    <t xml:space="preserve">Cuadrilla Std1 Encofrador - 1 Oficial Encofrador de 1ª y 1 Ayudante de Encofrador</t>
  </si>
  <si>
    <t xml:space="preserve">mo-encofrador-oficial1</t>
  </si>
  <si>
    <t xml:space="preserve">Mano de obra</t>
  </si>
  <si>
    <t xml:space="preserve">h</t>
  </si>
  <si>
    <t xml:space="preserve">Oficial Encofrador de 1ª</t>
  </si>
  <si>
    <t xml:space="preserve">mo-encofrador-ayudante</t>
  </si>
  <si>
    <t xml:space="preserve">Mano de obra</t>
  </si>
  <si>
    <t xml:space="preserve">h</t>
  </si>
  <si>
    <t xml:space="preserve">Ayudante de Encofrador</t>
  </si>
  <si>
    <t xml:space="preserve">moc-std1-encofrado</t>
  </si>
  <si>
    <t xml:space="preserve">moc-std1-ferralista</t>
  </si>
  <si>
    <t xml:space="preserve">Partida</t>
  </si>
  <si>
    <t xml:space="preserve">h</t>
  </si>
  <si>
    <t xml:space="preserve">Cuadrilla Std1 Ferralista - 1 Oficial Ferralista de 1ª + 1 Ayudante de Ferralista</t>
  </si>
  <si>
    <t xml:space="preserve">Cuadrilla Std1 Ferralista - 1 Oficial Ferralista de 1ª + 1 Ayudante de Ferralista</t>
  </si>
  <si>
    <t xml:space="preserve">mo-ferrallista-oficial1</t>
  </si>
  <si>
    <t xml:space="preserve">Mano de obra</t>
  </si>
  <si>
    <t xml:space="preserve">h</t>
  </si>
  <si>
    <t xml:space="preserve">Oficial Ferrallista de 1ª</t>
  </si>
  <si>
    <t xml:space="preserve">mo-ferrallista-ayudante</t>
  </si>
  <si>
    <t xml:space="preserve">Mano de obra</t>
  </si>
  <si>
    <t xml:space="preserve">h</t>
  </si>
  <si>
    <t xml:space="preserve">Ayudante de Ferrallista</t>
  </si>
  <si>
    <t xml:space="preserve">moc-std1-ferralista</t>
  </si>
  <si>
    <t xml:space="preserve">moc-std1-fontanero</t>
  </si>
  <si>
    <t xml:space="preserve">Partida</t>
  </si>
  <si>
    <t xml:space="preserve">h</t>
  </si>
  <si>
    <t xml:space="preserve">Cuadrilla Std1 Oficial Fontanero/Calefactor de 1ª y Ayudante de Fontanero</t>
  </si>
  <si>
    <t xml:space="preserve">Cuadrilla Std1 Oficial Fontanero/Calefactor de 1ª y Ayudante de Fontanero</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</si>
  <si>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</si>
  <si>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</si>
  <si>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</si>
  <si>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</si>
  <si>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</si>
  <si>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</si>
  <si>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</si>
  <si>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</si>
  <si>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moc-std1-fontanero</t>
  </si>
  <si>
    <t xml:space="preserve">moc-std1-generico</t>
  </si>
  <si>
    <t xml:space="preserve">Partida</t>
  </si>
  <si>
    <t xml:space="preserve">h</t>
  </si>
  <si>
    <t xml:space="preserve">Cuadrilla Std1 - 1 Oficial de 1ª, 1 Ayudante y 1/5 Ayudante</t>
  </si>
  <si>
    <t xml:space="preserve">Cuadrilla Std1 - 1 Oficial de 1ª, 1 Ayudante y 1/2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</si>
  <si>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</si>
  <si>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</si>
  <si>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</si>
  <si>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</si>
  <si>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</si>
  <si>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</si>
  <si>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</si>
  <si>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</si>
  <si>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</si>
  <si>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</si>
  <si>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</si>
  <si>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</si>
  <si>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</si>
  <si>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moc-std1-pintura</t>
  </si>
  <si>
    <t xml:space="preserve">Partida</t>
  </si>
  <si>
    <t xml:space="preserve">h</t>
  </si>
  <si>
    <t xml:space="preserve">Cuadrilla Std1 Pintura - 1 Oficial de 1ª, 1 Ayudante y 1/2 Ayudante</t>
  </si>
  <si>
    <t xml:space="preserve">Cuadrilla Std1 Pintura -1 Oficial Pintor de 1ª y 1 Ayudante de Pintor</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</si>
  <si>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</si>
  <si>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</si>
  <si>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</si>
  <si>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</si>
  <si>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</si>
  <si>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</si>
  <si>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</si>
  <si>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</si>
  <si>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</si>
  <si>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</si>
  <si>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</si>
  <si>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</si>
  <si>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</si>
  <si>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moc-std1-soldador</t>
  </si>
  <si>
    <t xml:space="preserve">Partida</t>
  </si>
  <si>
    <t xml:space="preserve">h</t>
  </si>
  <si>
    <t xml:space="preserve">Cuadrilla Std1 Soldador - 1 Oficial Soldador de 1ª + 1 Ayudante de Soldador</t>
  </si>
  <si>
    <t xml:space="preserve">Cuadrilla Std1 - 1 Oficial Soldador de 1ª + 1 Ayudante Soldador</t>
  </si>
  <si>
    <t xml:space="preserve">moc-std1-soldador</t>
  </si>
  <si>
    <t xml:space="preserve">moc-std1-trabajos.verticales</t>
  </si>
  <si>
    <t xml:space="preserve">Partida</t>
  </si>
  <si>
    <t xml:space="preserve">h</t>
  </si>
  <si>
    <t xml:space="preserve">Cuadrilla Std1 Trabajos Verticales - 1 Oficial de 1ª y 1 Ayudante</t>
  </si>
  <si>
    <t xml:space="preserve">Cuadrilla Std1 Trabajos Verticales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</si>
  <si>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</si>
  <si>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</si>
  <si>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</si>
  <si>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</si>
  <si>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</si>
  <si>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</si>
  <si>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</si>
  <si>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</si>
  <si>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moc-std1-trabajos.verticales</t>
  </si>
  <si>
    <t xml:space="preserve">moc-std2-generico</t>
  </si>
  <si>
    <t xml:space="preserve">Partida</t>
  </si>
  <si>
    <t xml:space="preserve">h</t>
  </si>
  <si>
    <t xml:space="preserve">Cuadrilla Std2 - 1 Oficial de 1ª y 1 Ayudante</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</si>
  <si>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</si>
  <si>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</si>
  <si>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</si>
  <si>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</si>
  <si>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</si>
  <si>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</si>
  <si>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</si>
  <si>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</si>
  <si>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</si>
  <si>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</si>
  <si>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moc-std1-TVERTICAL</t>
  </si>
  <si>
    <t xml:space="preserve">Partida</t>
  </si>
  <si>
    <t xml:space="preserve">h</t>
  </si>
  <si>
    <t xml:space="preserve">Cuadrilla Std2 - VERTICALES - 1 Oficial de 1ª, 2 Ayudante</t>
  </si>
  <si>
    <t xml:space="preserve">Cuadrilla Std2 - 1 Oficial de 1ª y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</si>
  <si>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</si>
  <si>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</si>
  <si>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</si>
  <si>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</si>
  <si>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</si>
  <si>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</si>
  <si>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</si>
  <si>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</si>
  <si>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</si>
  <si>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</si>
  <si>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</si>
  <si>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</si>
  <si>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</si>
  <si>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MDO-DIRECTA</t>
  </si>
  <si>
    <t xml:space="preserve">MDO</t>
  </si>
  <si>
    <t xml:space="preserve">OTV</t>
  </si>
  <si>
    <t xml:space="preserve">Capítulo</t>
  </si>
  <si>
    <t xml:space="preserve">OBRAS Y TRABAJOS VARIOS</t>
  </si>
  <si>
    <t xml:space="preserve">OTV-FACHADAS</t>
  </si>
  <si>
    <t xml:space="preserve">Capítulo</t>
  </si>
  <si>
    <t xml:space="preserve">OBRAS Y TRABAJOS VARIOS EN FACHADAS</t>
  </si>
  <si>
    <t xml:space="preserve">OTV-TENDEDERO-ESCUADRA-02-50-AT</t>
  </si>
  <si>
    <t xml:space="preserve">Partida</t>
  </si>
  <si>
    <t xml:space="preserve">und</t>
  </si>
  <si>
    <t xml:space="preserve">SUMINISTRO E INSTALACIÓN EN ANDAMIO TUBULAR DE TENDEDEROS METÁLICOS PINTADOS TIPO ESCUADRA SIN POLEAS (LARGO APROX. = 50 CM), FIJADOS A BARANDILLAS Y/O PARAMENTOS DE FACHADA; INCLUYENDO CORDAJES</t>
  </si>
  <si>
    <t xml:space="preserve">Suministro e instalación en andamio tubular de tendederos metálicos pintados tipo escuadra sin poleas (Largo aprox. = 50 cm), fijados a barandillas y/o paramentos de fachada (incluyendo cordajes).</t>
  </si>
  <si>
    <t xml:space="preserve">ma-bm-10106705</t>
  </si>
  <si>
    <t xml:space="preserve">Material</t>
  </si>
  <si>
    <t xml:space="preserve">pza</t>
  </si>
  <si>
    <t xml:space="preserve">Soporte metálico pintado tipo escuadra sin poleas para tendedero; 55x2x2 cm   Ref. bm-10106705</t>
  </si>
  <si>
    <t xml:space="preserve">ma-lp-00215083</t>
  </si>
  <si>
    <t xml:space="preserve">Material</t>
  </si>
  <si>
    <t xml:space="preserve">caja</t>
  </si>
  <si>
    <t xml:space="preserve">Taco DUOPOWER de FISCHER (50 pzas/caja).   Ref. lp-00215083</t>
  </si>
  <si>
    <t xml:space="preserve">ma-bd-3663602891192</t>
  </si>
  <si>
    <t xml:space="preserve">Material</t>
  </si>
  <si>
    <t xml:space="preserve">rollo</t>
  </si>
  <si>
    <t xml:space="preserve">Cable de acero plastificado para tendedero (25 m/rollo)   Ref. bd-3663602891192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</si>
  <si>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</si>
  <si>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</si>
  <si>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</si>
  <si>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</si>
  <si>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</si>
  <si>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</si>
  <si>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</si>
  <si>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</si>
  <si>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</si>
  <si>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</si>
  <si>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</si>
  <si>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</si>
  <si>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</si>
  <si>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</si>
  <si>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</si>
  <si>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</si>
  <si>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</si>
  <si>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</si>
  <si>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</si>
  <si>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</si>
  <si>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</si>
  <si>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</si>
  <si>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</si>
  <si>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</si>
  <si>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</si>
  <si>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</si>
  <si>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</si>
  <si>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</si>
  <si>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OTV-TENDEDERO-ESCUADRA-02-50-AT</t>
  </si>
  <si>
    <t xml:space="preserve">OTV-TENDEDERO-ESCUADRA-02-50-MS</t>
  </si>
  <si>
    <t xml:space="preserve">Partida</t>
  </si>
  <si>
    <t xml:space="preserve">und</t>
  </si>
  <si>
    <t xml:space="preserve">SUMINISTRO E INSTALACIÓN EN MEDIO SUSPENDIDO/COLGADO DE TENDEDEROS METÁLICOS PINTADOS TIPO ESCUADRA SIN POLEAS (LARGO APROX. = 50 CM), FIJADOS A BARANDILLAS Y/O PARAMENTOS DE FACHADA; INCLUYENDO CORDAJES</t>
  </si>
  <si>
    <t xml:space="preserve">SUMINISTRO E INSTALACIÓN EN MEDIO SUSPENDIDO/COLGADO DE TENDEDEROS METÁLICOS PINTADOS TIPO ESCUADRA SIN POLEAS (LARGO APROX. = 50 CM), FIJADOS A BARANDILLAS Y/O PARAMENTOS DE FACHADA; INCLUYENDO CORDAJES</t>
  </si>
  <si>
    <t xml:space="preserve">ma-bm-10106705</t>
  </si>
  <si>
    <t xml:space="preserve">Material</t>
  </si>
  <si>
    <t xml:space="preserve">pza</t>
  </si>
  <si>
    <t xml:space="preserve">Soporte metálico pintado tipo escuadra sin poleas para tendedero; 55x2x2 cm   Ref. bm-10106705</t>
  </si>
  <si>
    <t xml:space="preserve">ma-lp-00215083</t>
  </si>
  <si>
    <t xml:space="preserve">Material</t>
  </si>
  <si>
    <t xml:space="preserve">caja</t>
  </si>
  <si>
    <t xml:space="preserve">Taco DUOPOWER de FISCHER (50 pzas/caja).   Ref. lp-00215083</t>
  </si>
  <si>
    <t xml:space="preserve">ma-bd-3663602891192</t>
  </si>
  <si>
    <t xml:space="preserve">Material</t>
  </si>
  <si>
    <t xml:space="preserve">rollo</t>
  </si>
  <si>
    <t xml:space="preserve">Cable de acero plastificado para tendedero (25 m/rollo)   Ref. bd-3663602891192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</si>
  <si>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</si>
  <si>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</si>
  <si>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</si>
  <si>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</si>
  <si>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</si>
  <si>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</si>
  <si>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</si>
  <si>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</si>
  <si>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</si>
  <si>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</si>
  <si>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</si>
  <si>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</si>
  <si>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</si>
  <si>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</si>
  <si>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</si>
  <si>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</si>
  <si>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</si>
  <si>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</si>
  <si>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</si>
  <si>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</si>
  <si>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</si>
  <si>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</si>
  <si>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</si>
  <si>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</si>
  <si>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</si>
  <si>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</si>
  <si>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</si>
  <si>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</si>
  <si>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OTV-TENDEDERO-ESCUADRA-02-50-MS</t>
  </si>
  <si>
    <t xml:space="preserve">OTV-TENDEDERO-ESCUADRA-03-50-AT</t>
  </si>
  <si>
    <t xml:space="preserve">Partida</t>
  </si>
  <si>
    <t xml:space="preserve">und</t>
  </si>
  <si>
    <t xml:space="preserve">SUMINISTRO E INSTALACIÓN EN ANDAMIO TUBULAR DE TENDEDEROS METÁLICOS PINTADOS TIPO ESCUADRA CON POLEAS (LARGO APROX. = 50 CM), FIJADOS A BARANDILLAS Y/O PARAMENTOS DE FACHADA; INCLUYENDO CORDAJES</t>
  </si>
  <si>
    <t xml:space="preserve">SUMINISTRO E INSTALACIÓN EN ANDAMIO TUBULAR DE TENDEDEROS METÁLICOS PINTADOS TIPO ESCUADRA CON POLEAS (LARGO APROX. = 50 CM), FIJADOS A BARANDILLAS Y/O PARAMENTOS DE FACHADA; INCLUYENDO CORDAJES</t>
  </si>
  <si>
    <t xml:space="preserve">ma-bm-10106705</t>
  </si>
  <si>
    <t xml:space="preserve">Material</t>
  </si>
  <si>
    <t xml:space="preserve">pza</t>
  </si>
  <si>
    <t xml:space="preserve">Soporte metálico pintado tipo escuadra sin poleas para tendedero; 55x2x2 cm   Ref. bm-10106705</t>
  </si>
  <si>
    <t xml:space="preserve">ma-bm-10201443</t>
  </si>
  <si>
    <t xml:space="preserve">Material</t>
  </si>
  <si>
    <t xml:space="preserve">par</t>
  </si>
  <si>
    <t xml:space="preserve">Polea para tendedero (montura acero inoxidable y rodamiento zamat); 22x40 mm   Ref. bm-10201443</t>
  </si>
  <si>
    <t xml:space="preserve">ma-lp-00215083</t>
  </si>
  <si>
    <t xml:space="preserve">Material</t>
  </si>
  <si>
    <t xml:space="preserve">caja</t>
  </si>
  <si>
    <t xml:space="preserve">Taco DUOPOWER de FISCHER (50 pzas/caja).   Ref. lp-00215083</t>
  </si>
  <si>
    <t xml:space="preserve">ma-bd-3663602891192</t>
  </si>
  <si>
    <t xml:space="preserve">Material</t>
  </si>
  <si>
    <t xml:space="preserve">rollo</t>
  </si>
  <si>
    <t xml:space="preserve">Cable de acero plastificado para tendedero (25 m/rollo)   Ref. bd-3663602891192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</si>
  <si>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</si>
  <si>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</si>
  <si>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</si>
  <si>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</si>
  <si>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</si>
  <si>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</si>
  <si>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</si>
  <si>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</si>
  <si>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</si>
  <si>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</si>
  <si>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</si>
  <si>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</si>
  <si>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</si>
  <si>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</si>
  <si>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</si>
  <si>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</si>
  <si>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</si>
  <si>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</si>
  <si>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</si>
  <si>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</si>
  <si>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</si>
  <si>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</si>
  <si>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</si>
  <si>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</si>
  <si>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</si>
  <si>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</si>
  <si>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</si>
  <si>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</si>
  <si>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OTV-TENDEDERO-ESCUADRA-03-50-AT</t>
  </si>
  <si>
    <t xml:space="preserve">OTV-TENDEDERO-ESCUADRA-03-50-MS</t>
  </si>
  <si>
    <t xml:space="preserve">Partida</t>
  </si>
  <si>
    <t xml:space="preserve">und</t>
  </si>
  <si>
    <t xml:space="preserve">SUMINISTRO E INSTALACIÓN EN MEDIO SUSPENDIDO/COLGADO DE TENDEDEROS METÁLICOS PINTADOS TIPO ESCUADRA CON POLEAS (LARGO APROX. = 50 CM), FIJADOS A BARANDILLAS Y/O PARAMENTOS DE FACHADA; INCLUYENDO CORDAJES</t>
  </si>
  <si>
    <t xml:space="preserve">ssssssssssss</t>
  </si>
  <si>
    <t xml:space="preserve">ma-bm-10106705</t>
  </si>
  <si>
    <t xml:space="preserve">Material</t>
  </si>
  <si>
    <t xml:space="preserve">pza</t>
  </si>
  <si>
    <t xml:space="preserve">Soporte metálico pintado tipo escuadra sin poleas para tendedero; 55x2x2 cm   Ref. bm-10106705</t>
  </si>
  <si>
    <t xml:space="preserve">ma-bm-10201443</t>
  </si>
  <si>
    <t xml:space="preserve">Material</t>
  </si>
  <si>
    <t xml:space="preserve">par</t>
  </si>
  <si>
    <t xml:space="preserve">Polea para tendedero (montura acero inoxidable y rodamiento zamat); 22x40 mm   Ref. bm-10201443</t>
  </si>
  <si>
    <t xml:space="preserve">ma-lp-00215083</t>
  </si>
  <si>
    <t xml:space="preserve">Material</t>
  </si>
  <si>
    <t xml:space="preserve">caja</t>
  </si>
  <si>
    <t xml:space="preserve">Taco DUOPOWER de FISCHER (50 pzas/caja).   Ref. lp-00215083</t>
  </si>
  <si>
    <t xml:space="preserve">ma-bd-3663602891192</t>
  </si>
  <si>
    <t xml:space="preserve">Material</t>
  </si>
  <si>
    <t xml:space="preserve">rollo</t>
  </si>
  <si>
    <t xml:space="preserve">Cable de acero plastificado para tendedero (25 m/rollo)   Ref. bd-3663602891192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</si>
  <si>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</si>
  <si>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</si>
  <si>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</si>
  <si>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</si>
  <si>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</si>
  <si>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</si>
  <si>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</si>
  <si>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</si>
  <si>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</si>
  <si>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</si>
  <si>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</si>
  <si>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</si>
  <si>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</si>
  <si>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</si>
  <si>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</si>
  <si>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</si>
  <si>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</si>
  <si>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</si>
  <si>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</si>
  <si>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</si>
  <si>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</si>
  <si>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</si>
  <si>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</si>
  <si>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</si>
  <si>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</si>
  <si>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</si>
  <si>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</si>
  <si>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</si>
  <si>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OTV-TENDEDERO-ESCUADRA-03-50-MS</t>
  </si>
  <si>
    <t xml:space="preserve">OTV-TOLDOS-VERTICAL-0a3</t>
  </si>
  <si>
    <t xml:space="preserve">Partida</t>
  </si>
  <si>
    <t xml:space="preserve">und</t>
  </si>
  <si>
    <t xml:space="preserve">INSTALACIÓN DE TOLDO VERTICAL DE LONA (1 m2 &lt; SUPERFICIE &lt;= 3 m2) EN EL EXTERIOR DE FACHADAS, GARANTIZANDO LA CORRECTA COLOCACIÓN Y FUNCIONAMIENTO DE ÉSTOS; INCLUYE LAS CORRESPONDIENTE FIJACIONES, GUÍAS Y MECANISMOS (FCH)</t>
  </si>
  <si>
    <t xml:space="preserve">Instalación de toldo vertical de lona (1 m2 &lt; superficie &lt;= 3 m2) en el exterior de fachadas, garantizando la correcta colocación y funcionamiento de éstos; incluye las correspondiente fijaciones, guías y mecanismos (FCH)</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</si>
  <si>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</si>
  <si>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</si>
  <si>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</si>
  <si>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</si>
  <si>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</si>
  <si>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</si>
  <si>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</si>
  <si>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</si>
  <si>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</si>
  <si>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</si>
  <si>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</si>
  <si>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</si>
  <si>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</si>
  <si>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</si>
  <si>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</si>
  <si>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</si>
  <si>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</si>
  <si>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</si>
  <si>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</si>
  <si>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</si>
  <si>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</si>
  <si>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</si>
  <si>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</si>
  <si>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</si>
  <si>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</si>
  <si>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</si>
  <si>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</si>
  <si>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</si>
  <si>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</si>
  <si>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</si>
  <si>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</si>
  <si>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</si>
  <si>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OTV-TOLDOS-VERTICAL-0a3</t>
  </si>
  <si>
    <t xml:space="preserve">OTV-TOLDOS-VERTICAL-3a6</t>
  </si>
  <si>
    <t xml:space="preserve">Partida</t>
  </si>
  <si>
    <t xml:space="preserve">und</t>
  </si>
  <si>
    <t xml:space="preserve">INSTALACIÓN DE TOLDO VERTICAL DE LONA (3 m2 &lt; SUPERFICIE &lt;= 6 m2) EN EL EXTERIOR DE FACHADAS, GARANTIZANDO LA CORRECTA COLOCACIÓN Y FUNCIONAMIENTO DE ÉSTOS; INCLUYE LAS CORRESPONDIENTE FIJACIONES, GUÍAS Y MECANISMOS (FCH)</t>
  </si>
  <si>
    <t xml:space="preserve">Instalación de toldo vertical de lona (3 m2 &lt; superficie &lt;= 6 m2) en el exterior de fachadas, garantizando la correcta colocación y funcionamiento de éstos; incluye las correspondiente fijaciones, guías y mecanismos (FCH)</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</si>
  <si>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</si>
  <si>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</si>
  <si>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</si>
  <si>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</si>
  <si>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</si>
  <si>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</si>
  <si>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</si>
  <si>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</si>
  <si>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</si>
  <si>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</si>
  <si>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</si>
  <si>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</si>
  <si>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</si>
  <si>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</si>
  <si>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</si>
  <si>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</si>
  <si>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</si>
  <si>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</si>
  <si>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</si>
  <si>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</si>
  <si>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</si>
  <si>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</si>
  <si>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</si>
  <si>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</si>
  <si>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</si>
  <si>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</si>
  <si>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</si>
  <si>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</si>
  <si>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</si>
  <si>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</si>
  <si>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</si>
  <si>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</si>
  <si>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OTV-TOLDOS-VERTICAL-3a6</t>
  </si>
  <si>
    <t xml:space="preserve">OTV-TENDEDERO-PLEGABLE-01-100</t>
  </si>
  <si>
    <t xml:space="preserve">Partida</t>
  </si>
  <si>
    <t xml:space="preserve">pza</t>
  </si>
  <si>
    <t xml:space="preserve">SUMINISTRO E INSTALACIÓN DE TENDEDERO METÁLICO PLEGABLE (LARGO = 100 CM), FIJADOS A BARANDILLAS Y/O PARAMENTOS DE FACHADA (FCH)</t>
  </si>
  <si>
    <t xml:space="preserve">SUMINISTRO E INSTALACIÓN DE TENDEDERO METÁLICO PLEGABLE (LARGO = 100 CM), FIJADOS A BARANDILLAS Y/O PARAMENTOS DE FACHADA (FCH)</t>
  </si>
  <si>
    <t xml:space="preserve">ma-bm-10981733</t>
  </si>
  <si>
    <t xml:space="preserve">Material</t>
  </si>
  <si>
    <t xml:space="preserve">pza</t>
  </si>
  <si>
    <t xml:space="preserve">Tendedero plegable de pared en acero acabado en color blanco AC 100 EPOXI de CUNCIAL (medidas desplegado: 100x23x71 cm) con 5 barras 8 mm espesor.   Ref. bm-10981733</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</si>
  <si>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</si>
  <si>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</si>
  <si>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</si>
  <si>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</si>
  <si>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</si>
  <si>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</si>
  <si>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</si>
  <si>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</si>
  <si>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</si>
  <si>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</si>
  <si>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</si>
  <si>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</si>
  <si>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</si>
  <si>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</si>
  <si>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</si>
  <si>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</si>
  <si>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</si>
  <si>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</si>
  <si>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</si>
  <si>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</si>
  <si>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</si>
  <si>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</si>
  <si>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</si>
  <si>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</si>
  <si>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</si>
  <si>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</si>
  <si>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</si>
  <si>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</si>
  <si>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</si>
  <si>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</si>
  <si>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</si>
  <si>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</si>
  <si>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OTV-TENDEDERO-PLEGABLE-01-100</t>
  </si>
  <si>
    <t xml:space="preserve">OTV-TENDEDERO-PLEGABLE-01-140</t>
  </si>
  <si>
    <t xml:space="preserve">Partida</t>
  </si>
  <si>
    <t xml:space="preserve">pza</t>
  </si>
  <si>
    <t xml:space="preserve">SUMINISTRO E INSTALACIÓN DE TENDEDERO METÁLICO PLEGABLE (LARGO = 140 CM), FIJADOS A BARANDILLAS Y/O PARAMENTOS DE FACHADA (FCH)</t>
  </si>
  <si>
    <t xml:space="preserve">SUMINISTRO E INSTALACIÓN DE TENDEDERO METÁLICO PLEGABLE (LARGO = 140 CM), FIJADOS A BARANDILLAS Y/O PARAMENTOS DE FACHADA (FCH)</t>
  </si>
  <si>
    <t xml:space="preserve">ma-bm-10981775</t>
  </si>
  <si>
    <t xml:space="preserve">Material</t>
  </si>
  <si>
    <t xml:space="preserve">pza</t>
  </si>
  <si>
    <t xml:space="preserve">Tendedero plegable de pared en acero acabado en color blanco AC 140 EPOXI de CUNCIAL (medidas desplegado: 140x23x71 cm) con 5 barras 8 mm espesor.   Ref. bm-10981775</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</si>
  <si>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</si>
  <si>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</si>
  <si>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</si>
  <si>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</si>
  <si>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</si>
  <si>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</si>
  <si>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</si>
  <si>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</si>
  <si>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</si>
  <si>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</si>
  <si>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</si>
  <si>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</si>
  <si>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</si>
  <si>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</si>
  <si>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</si>
  <si>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</si>
  <si>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</si>
  <si>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</si>
  <si>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</si>
  <si>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</si>
  <si>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</si>
  <si>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</si>
  <si>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</si>
  <si>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</si>
  <si>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</si>
  <si>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</si>
  <si>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</si>
  <si>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</si>
  <si>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</si>
  <si>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</si>
  <si>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</si>
  <si>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</si>
  <si>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OTV-TENDEDERO-PLEGABLE-01-140</t>
  </si>
  <si>
    <t xml:space="preserve">OTV-TENDEDERO-PLEGABLE-01-160</t>
  </si>
  <si>
    <t xml:space="preserve">Partida</t>
  </si>
  <si>
    <t xml:space="preserve">pza</t>
  </si>
  <si>
    <t xml:space="preserve">SUMINISTRO E INSTALACIÓN DE TENDEDERO METÁLICO PLEGABLE (LARGO = 160 CM), FIJADOS A BARANDILLAS Y/O PARAMENTOS DE FACHADA (FCH)</t>
  </si>
  <si>
    <t xml:space="preserve">SUMINISTRO E INSTALACIÓN DE TENDEDERO METÁLICO PLEGABLE (LARGO = 160 CM), FIJADOS A BARANDILLAS Y/O PARAMENTOS DE FACHADA (FCH)</t>
  </si>
  <si>
    <t xml:space="preserve">ma-bm-10981712</t>
  </si>
  <si>
    <t xml:space="preserve">Material</t>
  </si>
  <si>
    <t xml:space="preserve">pza</t>
  </si>
  <si>
    <t xml:space="preserve">Tendedero plegable de pared en acero acabado en color blanco AC 160 EPOXI de CUNCIAL (medidas desplegado: 160x23x71 cm) con 5 barras 8 mm espesor.   Ref. bm-10981712</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</si>
  <si>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</si>
  <si>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</si>
  <si>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</si>
  <si>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</si>
  <si>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</si>
  <si>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</si>
  <si>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</si>
  <si>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</si>
  <si>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</si>
  <si>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</si>
  <si>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</si>
  <si>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</si>
  <si>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</si>
  <si>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</si>
  <si>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</si>
  <si>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</si>
  <si>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</si>
  <si>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</si>
  <si>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</si>
  <si>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</si>
  <si>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</si>
  <si>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</si>
  <si>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</si>
  <si>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</si>
  <si>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</si>
  <si>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</si>
  <si>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</si>
  <si>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</si>
  <si>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</si>
  <si>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</si>
  <si>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</si>
  <si>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</si>
  <si>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OTV-TENDEDERO-PLEGABLE-01-160</t>
  </si>
  <si>
    <t xml:space="preserve">OTV-TENDEDERO-PLEGABLE-01-180</t>
  </si>
  <si>
    <t xml:space="preserve">Partida</t>
  </si>
  <si>
    <t xml:space="preserve">pza</t>
  </si>
  <si>
    <t xml:space="preserve">SUMINISTRO E INSTALACIÓN DE TENDEDERO METÁLICO PLEGABLE (LARGO = 180 CM), FIJADOS A BARANDILLAS Y/O PARAMENTOS DE FACHADA (FCH)</t>
  </si>
  <si>
    <t xml:space="preserve">SUMINISTRO E INSTALACIÓN DE TENDEDERO METÁLICO PLEGABLE (LARGO = 180 CM), FIJADOS A BARANDILLAS Y/O PARAMENTOS DE FACHADA (FCH)</t>
  </si>
  <si>
    <t xml:space="preserve">ma-bm-10981782</t>
  </si>
  <si>
    <t xml:space="preserve">Material</t>
  </si>
  <si>
    <t xml:space="preserve">pza</t>
  </si>
  <si>
    <t xml:space="preserve">Tendedero plegable de pared en acero acabado en color blanco AC 180 EPOXI de CUNCIAL (medidas desplegado: 180x23x71 cm) con 5 barras 8 mm espesor.   Ref. bm-10981782</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</si>
  <si>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</si>
  <si>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</si>
  <si>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</si>
  <si>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</si>
  <si>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</si>
  <si>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</si>
  <si>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</si>
  <si>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</si>
  <si>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</si>
  <si>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</si>
  <si>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</si>
  <si>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</si>
  <si>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</si>
  <si>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</si>
  <si>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</si>
  <si>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</si>
  <si>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</si>
  <si>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</si>
  <si>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</si>
  <si>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</si>
  <si>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</si>
  <si>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</si>
  <si>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</si>
  <si>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</si>
  <si>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</si>
  <si>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</si>
  <si>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</si>
  <si>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</si>
  <si>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</si>
  <si>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</si>
  <si>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</si>
  <si>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</si>
  <si>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OTV-TENDEDERO-PLEGABLE-01-180</t>
  </si>
  <si>
    <t xml:space="preserve">OTV-FACHADAS</t>
  </si>
  <si>
    <t xml:space="preserve">OTV-MISCELANEOS</t>
  </si>
  <si>
    <t xml:space="preserve">Capítulo</t>
  </si>
  <si>
    <t xml:space="preserve">OTROS TRABAJOS MISCELÁNEOS</t>
  </si>
  <si>
    <t xml:space="preserve">REPOSICIONES</t>
  </si>
  <si>
    <t xml:space="preserve">Capítulo</t>
  </si>
  <si>
    <t xml:space="preserve">REPOSICIONES</t>
  </si>
  <si>
    <t xml:space="preserve">REP-ARTEFACTOS-EQPS.-ACCESORIOS</t>
  </si>
  <si>
    <t xml:space="preserve">Capítulo</t>
  </si>
  <si>
    <t xml:space="preserve">REPOSICIÓN DE ARTEFACTOS, EQUIPOS Y ACCESORIOS</t>
  </si>
  <si>
    <t xml:space="preserve">REP--ARTEFACTOS</t>
  </si>
  <si>
    <t xml:space="preserve">Capítulo</t>
  </si>
  <si>
    <t xml:space="preserve">REPOSICIÓN DE ARTEFACTOS</t>
  </si>
  <si>
    <t xml:space="preserve">OTV-LAMPARAS.STD-TECHO-01</t>
  </si>
  <si>
    <t xml:space="preserve">Partida</t>
  </si>
  <si>
    <t xml:space="preserve">und</t>
  </si>
  <si>
    <t xml:space="preserve">INSTALACIÓN DE LÁMPARAS CONVENCIONALES EMPOTRADAS O SUPERFICIALES</t>
  </si>
  <si>
    <t xml:space="preserve">Instalación de lámparas convencionales empotradas o superficiales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</si>
  <si>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</si>
  <si>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</si>
  <si>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</si>
  <si>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</si>
  <si>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</si>
  <si>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</si>
  <si>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</si>
  <si>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</si>
  <si>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</si>
  <si>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</si>
  <si>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</si>
  <si>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</si>
  <si>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</si>
  <si>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</si>
  <si>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</si>
  <si>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</si>
  <si>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</si>
  <si>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</si>
  <si>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</si>
  <si>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</si>
  <si>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OTV-LAMPARAS.STD-TECHO-01</t>
  </si>
  <si>
    <t xml:space="preserve">REP--ARTEFACTOS</t>
  </si>
  <si>
    <t xml:space="preserve">REP-EQPS-AA</t>
  </si>
  <si>
    <t xml:space="preserve">Capítulo</t>
  </si>
  <si>
    <t xml:space="preserve">REPOSICIÓN DE EQUIPOS DE AIRE ACONDICIONADO</t>
  </si>
  <si>
    <t xml:space="preserve">REP-EQPS-EAA-01</t>
  </si>
  <si>
    <t xml:space="preserve">Partida</t>
  </si>
  <si>
    <t xml:space="preserve">und</t>
  </si>
  <si>
    <t xml:space="preserve">REPOSICIÓN DE UNIDAD CONDENSADORA DE EQUIPO SPLIT DE A/A DE 1 TON (12000 BTU/HR) HASTA 2 TON (24000 BTU/HR); INCLUYE LA DISPOSICIÓN TEMPORAL DE LA UNIDAD RECUPERADA EN EL ÁREA DE TRABAJO.</t>
  </si>
  <si>
    <t xml:space="preserve">El alcance de la partida consiste en la reinstalación de unidad condensadora de equipo split de A/A de 1 ton (12000 BTU/hr) hasta 2 ton (24000 BTU/hr).</t>
  </si>
  <si>
    <t xml:space="preserve">ma-lm-87272580</t>
  </si>
  <si>
    <t xml:space="preserve">Material</t>
  </si>
  <si>
    <t xml:space="preserve">envase</t>
  </si>
  <si>
    <t xml:space="preserve">Gas refrigerante orgánico GASICA V2 (226 gr/envase).   Ref. lm-87272580</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</si>
  <si>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</si>
  <si>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</si>
  <si>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</si>
  <si>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</si>
  <si>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</si>
  <si>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</si>
  <si>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</si>
  <si>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</si>
  <si>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</si>
  <si>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</si>
  <si>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</si>
  <si>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</si>
  <si>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</si>
  <si>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</si>
  <si>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</si>
  <si>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</si>
  <si>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</si>
  <si>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</si>
  <si>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</si>
  <si>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</si>
  <si>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</si>
  <si>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</si>
  <si>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</si>
  <si>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</si>
  <si>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</si>
  <si>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</si>
  <si>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</si>
  <si>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</si>
  <si>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</si>
  <si>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</si>
  <si>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</si>
  <si>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</si>
  <si>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</si>
  <si>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</si>
  <si>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</si>
  <si>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</si>
  <si>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</si>
  <si>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</si>
  <si>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</si>
  <si>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</si>
  <si>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</si>
  <si>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REP-EQPS-EAA-01</t>
  </si>
  <si>
    <t xml:space="preserve">REP-EQPS-EAA-02</t>
  </si>
  <si>
    <t xml:space="preserve">Partida</t>
  </si>
  <si>
    <t xml:space="preserve">und</t>
  </si>
  <si>
    <t xml:space="preserve">REPOSICIÓN DE UNIDAD CONDENSADORA DE EQUIPO SPLIT DE A/A DE 2,5 TON (30000 BTU/HR) HASTA 4 TON (48000 BTU/HR); INCLUYE LA DISPOSICIÓN TEMPORAL DE LA UNIDAD RECUPERADA EN EL ÁREA DE TRABAJO.</t>
  </si>
  <si>
    <t xml:space="preserve">El alcance de la partida consiste en la reinstalación de unidad condensadora de equipo split de A/A de 2,5 ton (30000 BTU/hr) hasta 4 ton (48000 BTU/hr).</t>
  </si>
  <si>
    <t xml:space="preserve">ma-lm-87272580</t>
  </si>
  <si>
    <t xml:space="preserve">Material</t>
  </si>
  <si>
    <t xml:space="preserve">envase</t>
  </si>
  <si>
    <t xml:space="preserve">Gas refrigerante orgánico GASICA V2 (226 gr/envase).   Ref. lm-87272580</t>
  </si>
  <si>
    <t xml:space="preserve">ma-bm-10282853</t>
  </si>
  <si>
    <t xml:space="preserve">Material</t>
  </si>
  <si>
    <t xml:space="preserve">bolsa</t>
  </si>
  <si>
    <t xml:space="preserve">Espárrago/Varilla de inyección para anclaje químico; 10x165 mm (8 Pzas./Bolsa)   Ref. bm-10282853</t>
  </si>
  <si>
    <t xml:space="preserve">ma-lp-00551136</t>
  </si>
  <si>
    <t xml:space="preserve">Material</t>
  </si>
  <si>
    <t xml:space="preserve">cartucho</t>
  </si>
  <si>
    <t xml:space="preserve">Anclaje/Taco químico resina epoxi sin estireno BIGMAT. cargas medias-altas (410 ml/cartucho)   Ref. lp-00551136</t>
  </si>
  <si>
    <t xml:space="preserve">ma-bm-10003607</t>
  </si>
  <si>
    <t xml:space="preserve">Material</t>
  </si>
  <si>
    <t xml:space="preserve">und</t>
  </si>
  <si>
    <t xml:space="preserve">Broca para hormigón SDS Plus-3 BOSCH CYL-3; 14x260 mm   Ref. bm-10003607</t>
  </si>
  <si>
    <t xml:space="preserve">alq-taladro-lp-00459501</t>
  </si>
  <si>
    <t xml:space="preserve">Partida</t>
  </si>
  <si>
    <t xml:space="preserve">h</t>
  </si>
  <si>
    <t xml:space="preserve">Alquiler de Taladro Percutor BOSCH Modelo GSB-20-2 850 W   Ref. 00469501</t>
  </si>
  <si>
    <t xml:space="preserve">mq-lp-00469501</t>
  </si>
  <si>
    <t xml:space="preserve">Maquinaria</t>
  </si>
  <si>
    <t xml:space="preserve">und</t>
  </si>
  <si>
    <t xml:space="preserve">Taladro Percutor BOSCH Modelo GSB-20-2 850 W   Ref. 00469501</t>
  </si>
  <si>
    <t xml:space="preserve">alq-taladro-lp-00459501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</si>
  <si>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</si>
  <si>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</si>
  <si>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</si>
  <si>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</si>
  <si>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</si>
  <si>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</si>
  <si>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</si>
  <si>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</si>
  <si>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</si>
  <si>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</si>
  <si>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</si>
  <si>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</si>
  <si>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</si>
  <si>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</si>
  <si>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</si>
  <si>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</si>
  <si>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</si>
  <si>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</si>
  <si>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</si>
  <si>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</si>
  <si>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REP-EQPS-EAA-02</t>
  </si>
  <si>
    <t xml:space="preserve">REP-EQPS-AA</t>
  </si>
  <si>
    <t xml:space="preserve">REP-ARTEFACTOS-EQPS.-ACCESORIOS</t>
  </si>
  <si>
    <t xml:space="preserve">REP-CUB.C/BOYA-LAM.VIDRIO-01</t>
  </si>
  <si>
    <t xml:space="preserve">Partida</t>
  </si>
  <si>
    <t xml:space="preserve">m2</t>
  </si>
  <si>
    <t xml:space="preserve">REPOSICIÓN DE LÁMINAS DE VIDRIO O SIMILAR EN ESTRUCTURA EXISTENTE DE CLARABOYA-LUCERNARIO</t>
  </si>
  <si>
    <t xml:space="preserve">REPOSICIÓN DE LÁMINAS DE VIDRIO O SIMILAR EN ESTRUCTURA EXISTENTE DE CLARABOYA-LUCERNARIO</t>
  </si>
  <si>
    <t xml:space="preserve">ma-lp-00541255</t>
  </si>
  <si>
    <t xml:space="preserve">Material</t>
  </si>
  <si>
    <t xml:space="preserve">envase</t>
  </si>
  <si>
    <t xml:space="preserve">Masilla de poliuretano BIGMAT (300 ml/envase); color gris.   Ref. lp-00541255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</si>
  <si>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</si>
  <si>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</si>
  <si>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</si>
  <si>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</si>
  <si>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</si>
  <si>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</si>
  <si>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</si>
  <si>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</si>
  <si>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</si>
  <si>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</si>
  <si>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</si>
  <si>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</si>
  <si>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</si>
  <si>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</si>
  <si>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</si>
  <si>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</si>
  <si>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</si>
  <si>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</si>
  <si>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</si>
  <si>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</si>
  <si>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REP-CUB.C/BOYA-LAM.VIDRIO-01</t>
  </si>
  <si>
    <t xml:space="preserve">REP-MOBILIARIO</t>
  </si>
  <si>
    <t xml:space="preserve">Capítulo</t>
  </si>
  <si>
    <t xml:space="preserve">REPOSICIONES DE MOBILIARIO</t>
  </si>
  <si>
    <t xml:space="preserve">REP-INODOROS-01</t>
  </si>
  <si>
    <t xml:space="preserve">Partida</t>
  </si>
  <si>
    <t xml:space="preserve">und</t>
  </si>
  <si>
    <t xml:space="preserve">INSTALACIÓN DE INODORO DE PORCELANA, INCLUYENDO ACCESORIOS</t>
  </si>
  <si>
    <t xml:space="preserve">INSTALACIÓN DE INODORO DE PORCELANA, INCLUYENDO ACCESORIOS</t>
  </si>
  <si>
    <t xml:space="preserve">ma-lp-00126630</t>
  </si>
  <si>
    <t xml:space="preserve">Material</t>
  </si>
  <si>
    <t xml:space="preserve">pza</t>
  </si>
  <si>
    <t xml:space="preserve">Llave compresión escuadra 1/2”x15.   Ref. lp-00126630</t>
  </si>
  <si>
    <t xml:space="preserve">ma-lp-00407506</t>
  </si>
  <si>
    <t xml:space="preserve">Material</t>
  </si>
  <si>
    <t xml:space="preserve">pza</t>
  </si>
  <si>
    <t xml:space="preserve">Latiguillo flexible 30 cm M-H 1/2” de ALTECH.   Ref. lp-00407506</t>
  </si>
  <si>
    <t xml:space="preserve">ma-lp-00010889</t>
  </si>
  <si>
    <t xml:space="preserve">Material</t>
  </si>
  <si>
    <t xml:space="preserve">rollo</t>
  </si>
  <si>
    <t xml:space="preserve">Cinta Teflón PTFE de GYMCOL 25 mm (25 m/rollo).   Ref. lp-00010889</t>
  </si>
  <si>
    <t xml:space="preserve">ma-lp-00541255</t>
  </si>
  <si>
    <t xml:space="preserve">Material</t>
  </si>
  <si>
    <t xml:space="preserve">envase</t>
  </si>
  <si>
    <t xml:space="preserve">Masilla de poliuretano BIGMAT (300 ml/envase); color gris.   Ref. lp-00541255</t>
  </si>
  <si>
    <t xml:space="preserve">moc-std1-fontanero</t>
  </si>
  <si>
    <t xml:space="preserve">Partida</t>
  </si>
  <si>
    <t xml:space="preserve">h</t>
  </si>
  <si>
    <t xml:space="preserve">Cuadrilla Std1 Oficial Fontanero/Calefactor de 1ª y Ayudante de Fontanero</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</si>
  <si>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</si>
  <si>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</si>
  <si>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</si>
  <si>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</si>
  <si>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</si>
  <si>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</si>
  <si>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</si>
  <si>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</si>
  <si>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moc-std1-fontanero</t>
  </si>
  <si>
    <t xml:space="preserve">mo%</t>
  </si>
  <si>
    <t xml:space="preserve">%</t>
  </si>
  <si>
    <t xml:space="preserve">Herramientas Menores</t>
  </si>
  <si>
    <t xml:space="preserve">REP-INODOROS-01</t>
  </si>
  <si>
    <t xml:space="preserve">REP-JARDINERIA-01</t>
  </si>
  <si>
    <t xml:space="preserve">Partida</t>
  </si>
  <si>
    <t xml:space="preserve">und</t>
  </si>
  <si>
    <t xml:space="preserve">REPOSICIÓN DE VEGETACIÓN (JARDINERAS Y/O MACETAS)</t>
  </si>
  <si>
    <t xml:space="preserve">El alcance de la partida consiste en las actividades propias de reponer las jardineras y macetas previamente removidas como bienes recuperables, a su condición y ubicación originales.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</si>
  <si>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</si>
  <si>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</si>
  <si>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</si>
  <si>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</si>
  <si>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</si>
  <si>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</si>
  <si>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</si>
  <si>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</si>
  <si>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</si>
  <si>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</si>
  <si>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</si>
  <si>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</si>
  <si>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</si>
  <si>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</si>
  <si>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</si>
  <si>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</si>
  <si>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</si>
  <si>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</si>
  <si>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</si>
  <si>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</si>
  <si>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REP-JARDINERIA-01</t>
  </si>
  <si>
    <t xml:space="preserve">REP-LAVABOS-01</t>
  </si>
  <si>
    <t xml:space="preserve">Partida</t>
  </si>
  <si>
    <t xml:space="preserve">und</t>
  </si>
  <si>
    <t xml:space="preserve">INSTALACIÓN DE LAVABO DE PORCELANA, INCLUYENDO ACCESORIOS</t>
  </si>
  <si>
    <t xml:space="preserve">INSTALACIÓN DE LAVABO DE PORCELANA, INCLUYENDO ACCESORIOS</t>
  </si>
  <si>
    <t xml:space="preserve">ma-lp-00126630</t>
  </si>
  <si>
    <t xml:space="preserve">Material</t>
  </si>
  <si>
    <t xml:space="preserve">pza</t>
  </si>
  <si>
    <t xml:space="preserve">Llave compresión escuadra 1/2”x15.   Ref. lp-00126630</t>
  </si>
  <si>
    <t xml:space="preserve">ma-lp-00407506</t>
  </si>
  <si>
    <t xml:space="preserve">Material</t>
  </si>
  <si>
    <t xml:space="preserve">pza</t>
  </si>
  <si>
    <t xml:space="preserve">Latiguillo flexible 30 cm M-H 1/2” de ALTECH.   Ref. lp-00407506</t>
  </si>
  <si>
    <t xml:space="preserve">ma-lp-00010889</t>
  </si>
  <si>
    <t xml:space="preserve">Material</t>
  </si>
  <si>
    <t xml:space="preserve">rollo</t>
  </si>
  <si>
    <t xml:space="preserve">Cinta Teflón PTFE de GYMCOL 25 mm (25 m/rollo).   Ref. lp-00010889</t>
  </si>
  <si>
    <t xml:space="preserve">ma-lp-00541255</t>
  </si>
  <si>
    <t xml:space="preserve">Material</t>
  </si>
  <si>
    <t xml:space="preserve">envase</t>
  </si>
  <si>
    <t xml:space="preserve">Masilla de poliuretano BIGMAT (300 ml/envase); color gris.   Ref. lp-00541255</t>
  </si>
  <si>
    <t xml:space="preserve">moc-std1-fontanero</t>
  </si>
  <si>
    <t xml:space="preserve">Partida</t>
  </si>
  <si>
    <t xml:space="preserve">h</t>
  </si>
  <si>
    <t xml:space="preserve">Cuadrilla Std1 Oficial Fontanero/Calefactor de 1ª y Ayudante de Fontanero</t>
  </si>
  <si>
    <t xml:space="preserve">mo-fontanero-oficial1</t>
  </si>
  <si>
    <t xml:space="preserve">Mano de obra</t>
  </si>
  <si>
    <t xml:space="preserve">h</t>
  </si>
  <si>
    <t xml:space="preserve">Oficial Fontanero</t>
  </si>
  <si>
    <t xml:space="preserve">mo-fontanero-ayudante</t>
  </si>
  <si>
    <t xml:space="preserve">Mano de obra</t>
  </si>
  <si>
    <t xml:space="preserve">h</t>
  </si>
  <si>
    <t xml:space="preserve">Ayudante de Fontanero</t>
  </si>
  <si>
    <t xml:space="preserve">moc-std1-fontanero</t>
  </si>
  <si>
    <t xml:space="preserve">mo%</t>
  </si>
  <si>
    <t xml:space="preserve">%</t>
  </si>
  <si>
    <t xml:space="preserve">Herramientas Menores</t>
  </si>
  <si>
    <t xml:space="preserve">REP-LAVABOS-01</t>
  </si>
  <si>
    <t xml:space="preserve">REP-MUEBLES-01</t>
  </si>
  <si>
    <t xml:space="preserve">Partida</t>
  </si>
  <si>
    <t xml:space="preserve">und</t>
  </si>
  <si>
    <t xml:space="preserve">REPOSICIÓN DE MUEBLES Y ENSERES</t>
  </si>
  <si>
    <t xml:space="preserve">El alcance de la partida consiste en las actividades propias de reponer los muebles y enseres previamente removidos como bienes recuperables, a su condición y ubicación originales.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</si>
  <si>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</si>
  <si>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</si>
  <si>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</si>
  <si>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</si>
  <si>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</si>
  <si>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</si>
  <si>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</si>
  <si>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</si>
  <si>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</si>
  <si>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</si>
  <si>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</si>
  <si>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</si>
  <si>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</si>
  <si>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</si>
  <si>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</si>
  <si>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</si>
  <si>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</si>
  <si>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</si>
  <si>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</si>
  <si>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</si>
  <si>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REP-MUEBLES-01</t>
  </si>
  <si>
    <t xml:space="preserve">REP-MOBILIARIO</t>
  </si>
  <si>
    <t xml:space="preserve">REP-PERSIANA.LIBRILLO.01</t>
  </si>
  <si>
    <t xml:space="preserve">Partida</t>
  </si>
  <si>
    <t xml:space="preserve">m2</t>
  </si>
  <si>
    <t xml:space="preserve">REPOSICIÓN DE PERSIANA DE LIBRILLO O CONTRAVENTANA DE MADERA; NO INCLUYE REPARACIÓN, RECUPERACIÓN Y/O ACABADO DEL ELEMENTO</t>
  </si>
  <si>
    <t xml:space="preserve">Reposición de persiana de librillo o contraventana de madera; no incluye reparación, recuperación y/o acabado del elemento.</t>
  </si>
  <si>
    <t xml:space="preserve">ma-lm-84800726</t>
  </si>
  <si>
    <t xml:space="preserve">Material</t>
  </si>
  <si>
    <t xml:space="preserve">rollo</t>
  </si>
  <si>
    <t xml:space="preserve">Cinta de sellado de juntas de espuma comprimida, flexible e impregnada STO-CINTA DE SELLADO LENTO de STOTHERM (15 m/rollo).   Ref. lm-84800726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</si>
  <si>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</si>
  <si>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</si>
  <si>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</si>
  <si>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</si>
  <si>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</si>
  <si>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</si>
  <si>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</si>
  <si>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</si>
  <si>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</si>
  <si>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</si>
  <si>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</si>
  <si>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</si>
  <si>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</si>
  <si>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</si>
  <si>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</si>
  <si>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</si>
  <si>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</si>
  <si>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</si>
  <si>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</si>
  <si>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</si>
  <si>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REP-PERSIANA.LIBRILLO.01</t>
  </si>
  <si>
    <t xml:space="preserve">REP-VALLADO.OCULTACION-01</t>
  </si>
  <si>
    <t xml:space="preserve">Partida</t>
  </si>
  <si>
    <t xml:space="preserve">m</t>
  </si>
  <si>
    <t xml:space="preserve">REPOSICIÓN DE VALLADO DE SOMBREO/OCULTACIÓN (h &lt;= 2 m) Y DE SUS CORRESPONDIENTES MALLAS, PARALES Y MECANISMOS.</t>
  </si>
  <si>
    <t xml:space="preserve">REPOSICIÓN DE VALLADO DE SOMBREO/OCULTACIÓN (h &lt;= 2 m) Y DE SUS CORRESPONDIENTES MALLAS, PARALES Y MECANISMOS.</t>
  </si>
  <si>
    <t xml:space="preserve">ma-lm-13217890</t>
  </si>
  <si>
    <t xml:space="preserve">Material</t>
  </si>
  <si>
    <t xml:space="preserve">pza</t>
  </si>
  <si>
    <t xml:space="preserve">Soporte metálico para poste (7x7 cm/pza).   Ref. lm-13217890</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</si>
  <si>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</si>
  <si>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</si>
  <si>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</si>
  <si>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</si>
  <si>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</si>
  <si>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</si>
  <si>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</si>
  <si>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</si>
  <si>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</si>
  <si>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</si>
  <si>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</si>
  <si>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</si>
  <si>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</si>
  <si>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</si>
  <si>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</si>
  <si>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</si>
  <si>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</si>
  <si>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</si>
  <si>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</si>
  <si>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</si>
  <si>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</si>
  <si>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</si>
  <si>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</si>
  <si>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</si>
  <si>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</si>
  <si>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</si>
  <si>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</si>
  <si>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</si>
  <si>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REP-VALLADO.OCULTACION-01</t>
  </si>
  <si>
    <t xml:space="preserve">REPOSICIONES</t>
  </si>
  <si>
    <t xml:space="preserve">OTV-MISCELANEOS</t>
  </si>
  <si>
    <t xml:space="preserve">OTV</t>
  </si>
  <si>
    <t xml:space="preserve">PACKS</t>
  </si>
  <si>
    <t xml:space="preserve">Capítulo</t>
  </si>
  <si>
    <t xml:space="preserve">PACKS DE MATERIALES</t>
  </si>
  <si>
    <t xml:space="preserve">pack-limp</t>
  </si>
  <si>
    <t xml:space="preserve">Capítulo</t>
  </si>
  <si>
    <t xml:space="preserve">Pack Limpieza</t>
  </si>
  <si>
    <t xml:space="preserve">ma-lp-00539257</t>
  </si>
  <si>
    <t xml:space="preserve">Material</t>
  </si>
  <si>
    <t xml:space="preserve">u</t>
  </si>
  <si>
    <t xml:space="preserve">Esponja mixta bimaterial para limpieza de medida 20x13x7 cm.</t>
  </si>
  <si>
    <t xml:space="preserve">Detalles:
- Peso: 0,05 Kg.
- Pedido Mínimo: 1 UD
Descripción:
Esponja mixta bimaterial para limpieza de medida 20x13x7 cm. Tienen una capa con capacidad de absorción media y otra abrasiva de poliéster para mayor limpieza. Capacidad de absorción media
Ficha técnica:
- Material: Goma espuma
- Medidas: 20x12,5x7 cm
- Indicado para: Para acabados yeso y microcemento
- Tipo de uso: Limpiar</t>
  </si>
  <si>
    <t xml:space="preserve">BIGBAG01</t>
  </si>
  <si>
    <t xml:space="preserve">Material</t>
  </si>
  <si>
    <t xml:space="preserve">saco</t>
  </si>
  <si>
    <t xml:space="preserve">Big Bag runa 1m3</t>
  </si>
  <si>
    <t xml:space="preserve">Big Bag runa 1m3</t>
  </si>
  <si>
    <t xml:space="preserve">ma-lp-00019688</t>
  </si>
  <si>
    <t xml:space="preserve">Material</t>
  </si>
  <si>
    <t xml:space="preserve">und</t>
  </si>
  <si>
    <t xml:space="preserve">Saco de rafia para materiales y escombros; 50x90 cm    Ref. lp-00019688</t>
  </si>
  <si>
    <t xml:space="preserve">Saco flexible tejido en rafia de polipropileno de color blanco para el embalaje a granel de todo tipo de materiales. Fácil de utilizar y almacenar. Resistente a la humedad y tiene la parte superior reforzada para facilitar su apertura. Medidas: 50x90 cm.   Ref. lp-00019688</t>
  </si>
  <si>
    <t xml:space="preserve">ma-lp-00487127</t>
  </si>
  <si>
    <t xml:space="preserve">Material</t>
  </si>
  <si>
    <t xml:space="preserve">und</t>
  </si>
  <si>
    <t xml:space="preserve">TRAPOS DE LIMPIEZA PENTRILO 1 KG Ref.: 00487127</t>
  </si>
  <si>
    <t xml:space="preserve">TRAPOS DE LIMPIEZA PENTRILO 1 KG Ref.: 00487127</t>
  </si>
  <si>
    <t xml:space="preserve">ma-lp-00540449</t>
  </si>
  <si>
    <t xml:space="preserve">Material</t>
  </si>
  <si>
    <t xml:space="preserve">und</t>
  </si>
  <si>
    <t xml:space="preserve">ESCOBA CURVA SIN MANGO Ref.: 00540449</t>
  </si>
  <si>
    <t xml:space="preserve">ESCOBA CURVA SIN MANGO</t>
  </si>
  <si>
    <t xml:space="preserve">ma-lp-00540458</t>
  </si>
  <si>
    <t xml:space="preserve">Material</t>
  </si>
  <si>
    <t xml:space="preserve">und</t>
  </si>
  <si>
    <t xml:space="preserve">RECOGEDOR METÁLICO CON MANGO Ref.: 00540458</t>
  </si>
  <si>
    <t xml:space="preserve">RECOGEDOR METÁLICO CON MANGO</t>
  </si>
  <si>
    <t xml:space="preserve">ma-lp-00557765</t>
  </si>
  <si>
    <t xml:space="preserve">Material</t>
  </si>
  <si>
    <t xml:space="preserve">und</t>
  </si>
  <si>
    <t xml:space="preserve">MANGO ALUMINIO C/DOBLE ROSCA REFORZADO 1400X22 MM Ref.: 00557765</t>
  </si>
  <si>
    <t xml:space="preserve">MANGO ALUMINIO C/DOBLE ROSCA REFORZADO 1400X22 MM</t>
  </si>
  <si>
    <t xml:space="preserve">pack-limp</t>
  </si>
  <si>
    <t xml:space="preserve">pack-pint</t>
  </si>
  <si>
    <t xml:space="preserve">Capítulo</t>
  </si>
  <si>
    <t xml:space="preserve">Pack Pintura</t>
  </si>
  <si>
    <t xml:space="preserve">125</t>
  </si>
  <si>
    <t xml:space="preserve">Partida</t>
  </si>
  <si>
    <t xml:space="preserve">asd</t>
  </si>
  <si>
    <t xml:space="preserve">s</t>
  </si>
  <si>
    <t xml:space="preserve">s</t>
  </si>
  <si>
    <t xml:space="preserve">FCB</t>
  </si>
  <si>
    <t xml:space="preserve">Partida</t>
  </si>
  <si>
    <t xml:space="preserve">y</t>
  </si>
  <si>
    <t xml:space="preserve">yyyy</t>
  </si>
  <si>
    <t xml:space="preserve">yyyy</t>
  </si>
  <si>
    <t xml:space="preserve">FCMB</t>
  </si>
  <si>
    <t xml:space="preserve">Partida</t>
  </si>
  <si>
    <t xml:space="preserve">s</t>
  </si>
  <si>
    <t xml:space="preserve">ere</t>
  </si>
  <si>
    <t xml:space="preserve">ere</t>
  </si>
  <si>
    <t xml:space="preserve">FGCB</t>
  </si>
  <si>
    <t xml:space="preserve">Partida</t>
  </si>
  <si>
    <t xml:space="preserve">s</t>
  </si>
  <si>
    <t xml:space="preserve">asd</t>
  </si>
  <si>
    <t xml:space="preserve">asd</t>
  </si>
  <si>
    <t xml:space="preserve">P_P_260824_1503_sdfsfsdfsdfsdfsd</t>
  </si>
  <si>
    <t xml:space="preserve">Partida</t>
  </si>
  <si>
    <t xml:space="preserve">s</t>
  </si>
  <si>
    <t xml:space="preserve">s</t>
  </si>
  <si>
    <t xml:space="preserve">s</t>
  </si>
  <si>
    <t xml:space="preserve">P_sdfsd</t>
  </si>
  <si>
    <t xml:space="preserve">Partida</t>
  </si>
  <si>
    <t xml:space="preserve">sdf</t>
  </si>
  <si>
    <t xml:space="preserve">sdfsdf</t>
  </si>
  <si>
    <t xml:space="preserve">sdfsdf</t>
  </si>
  <si>
    <t xml:space="preserve">pack-pint-fc</t>
  </si>
  <si>
    <t xml:space="preserve">Partida</t>
  </si>
  <si>
    <t xml:space="preserve">u</t>
  </si>
  <si>
    <t xml:space="preserve">Pack Pintura Fachadas</t>
  </si>
  <si>
    <t xml:space="preserve">Pack Pintura Fachadas</t>
  </si>
  <si>
    <t xml:space="preserve">pack-pint-var</t>
  </si>
  <si>
    <t xml:space="preserve">Partida</t>
  </si>
  <si>
    <t xml:space="preserve">u</t>
  </si>
  <si>
    <t xml:space="preserve">Pack Pintura Varandillas</t>
  </si>
  <si>
    <t xml:space="preserve">Pack Pintura Varandillas</t>
  </si>
  <si>
    <t xml:space="preserve">pack-pint</t>
  </si>
  <si>
    <t xml:space="preserve">PACKS</t>
  </si>
  <si>
    <t xml:space="preserve">SEG</t>
  </si>
  <si>
    <t xml:space="preserve">Capítulo</t>
  </si>
  <si>
    <t xml:space="preserve">SEGURIDAD Y SALUD</t>
  </si>
  <si>
    <t xml:space="preserve">SEG01</t>
  </si>
  <si>
    <t xml:space="preserve">Partida</t>
  </si>
  <si>
    <t xml:space="preserve">U</t>
  </si>
  <si>
    <t xml:space="preserve">PREVISIÓN DE EQUIPAMIENTOS E INSTALACIONES</t>
  </si>
  <si>
    <t xml:space="preserve">Previsión de equipamientos e instalaciones para la protección a nivel de seguridad y salud necesaria para la realización de la obra, incluida formación del personal e inspecciones del técnico en seguridad a la obra.</t>
  </si>
  <si>
    <t xml:space="preserve">seg1</t>
  </si>
  <si>
    <t xml:space="preserve">Material</t>
  </si>
  <si>
    <t xml:space="preserve">u</t>
  </si>
  <si>
    <t xml:space="preserve">Seguridad y salud</t>
  </si>
  <si>
    <t xml:space="preserve">SEG01</t>
  </si>
  <si>
    <t xml:space="preserve">SEG02</t>
  </si>
  <si>
    <t xml:space="preserve">Partida</t>
  </si>
  <si>
    <t xml:space="preserve">U</t>
  </si>
  <si>
    <t xml:space="preserve">REDACCIÓN DE PLAN DE SEGURIDAD Y SALUD</t>
  </si>
  <si>
    <t xml:space="preserve">Redacción de plan de seguridad y salud, apertura del centro de trabajo, libro de la subcontratación y demás documentación de obligado cumpliento en materia de seguridad.</t>
  </si>
  <si>
    <t xml:space="preserve">seg2</t>
  </si>
  <si>
    <t xml:space="preserve">Material</t>
  </si>
  <si>
    <t xml:space="preserve">u</t>
  </si>
  <si>
    <t xml:space="preserve">Redacción de plan de seguridad y salud</t>
  </si>
  <si>
    <t xml:space="preserve">SEG02</t>
  </si>
  <si>
    <t xml:space="preserve">SEG</t>
  </si>
  <si>
    <t xml:space="preserve">PARNU</t>
  </si>
  <si>
    <t xml:space="preserve">Capítulo</t>
  </si>
  <si>
    <t xml:space="preserve">PARTIDAS NUEVAS</t>
  </si>
  <si>
    <t xml:space="preserve">01.14</t>
  </si>
  <si>
    <t xml:space="preserve">Partida</t>
  </si>
  <si>
    <t xml:space="preserve">ml</t>
  </si>
  <si>
    <t xml:space="preserve">Remat de planxa prelacada, d= 60 cm, remat superior</t>
  </si>
  <si>
    <t xml:space="preserve">Subministrament i col·locació de perfil metàl·lic per a remat superior d’envà pluvial, en trobada amb mur superior de remat de coberta o terrat, de xapa plegada d'alumini lacat en color, amb 60 micres de gruix mínim de pel·lícula seca, espessor 1,5 mm, desenvolupament de fins a 600 mm i 3 plecs formant goteró en la seva cara exterior, fixat mecànicament amb ancoratge mecànic amb tac de niló i cargol d'acer galvanitzat, de cap aixamfranat, per a fixació d'element no estructural sobre fàbrica. Inclou el segellat dels junts entre peces i la col·locació de doble cordó de segellat en la unió amb el mur amb segellador adhesiu monocomponent. Inclús replanteig, execució del forat i neteja amb aire a pressió, col·locació del cargol i cargolat directament en la perforació, aplicació del parell de collada amb clau dinamomètrica i neteja de restes.
NOTA: Trobada amb el ràfec inclinat superior.
Ràfec inclinat: 1 x 1,50 = 1,50</t>
  </si>
  <si>
    <t xml:space="preserve">HRR100</t>
  </si>
  <si>
    <t xml:space="preserve">Partida</t>
  </si>
  <si>
    <t xml:space="preserve">m</t>
  </si>
  <si>
    <t xml:space="preserve">Pieza de remate de aluminio prelacado.</t>
  </si>
  <si>
    <t xml:space="preserve">mt20rca010lw</t>
  </si>
  <si>
    <t xml:space="preserve">Material</t>
  </si>
  <si>
    <t xml:space="preserve">m</t>
  </si>
  <si>
    <t xml:space="preserve">Pieza de remate de chapa plegada de aluminio prelacado, espesor 1.5 mm, desarrollo 600 mm y 3 pliegues.</t>
  </si>
  <si>
    <t xml:space="preserve">ma-manomano-562170</t>
  </si>
  <si>
    <t xml:space="preserve">Material</t>
  </si>
  <si>
    <t xml:space="preserve">caja</t>
  </si>
  <si>
    <t xml:space="preserve">Taco alargado DuoXpand 10x140 mm FISCHER FUS acero (50 pzas/caja).   Ref. manomano-562170</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</si>
  <si>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</si>
  <si>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</si>
  <si>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</si>
  <si>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</si>
  <si>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ma-lm-339080</t>
  </si>
  <si>
    <t xml:space="preserve">Material</t>
  </si>
  <si>
    <t xml:space="preserve">cartucho</t>
  </si>
  <si>
    <t xml:space="preserve">Masilla de poliuretano SIKAFLEX 11FC de SIKA; color marrón (300 cm3/cartucho).   Ref. lm-339080</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</si>
  <si>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</si>
  <si>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</si>
  <si>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</si>
  <si>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</si>
  <si>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</si>
  <si>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</si>
  <si>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</si>
  <si>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</si>
  <si>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</si>
  <si>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</si>
  <si>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</si>
  <si>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</si>
  <si>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t>
  </si>
  <si>
    <t xml:space="preserve">%</t>
  </si>
  <si>
    <t xml:space="preserve">Costes directos complementarios</t>
  </si>
  <si>
    <t xml:space="preserve">HRR100</t>
  </si>
  <si>
    <t xml:space="preserve">01.14</t>
  </si>
  <si>
    <t xml:space="preserve">01.15</t>
  </si>
  <si>
    <t xml:space="preserve">Partida</t>
  </si>
  <si>
    <t xml:space="preserve">ml</t>
  </si>
  <si>
    <t xml:space="preserve">Remat de planxa prelacada, d= 60 cm, remat inferior</t>
  </si>
  <si>
    <t xml:space="preserve">Subministrament i col·locació de remat metàl·lic per a remat inferior d’envà en trobada amb muret de finca veïna, de xapa plegada d'alumini lacat en color, amb 60 micres de gruix mínim de pel·lícula seca, espessor 1,5 mm, desenvolupament 600 mm i 4 plecs, fixat mecànicament amb ancoratge mecànic amb tac de niló i cargol d'acer galvanitzat, de cap aixamfranat, per a fixació d'element no estructural sobre fàbrica. Inclou el segellat dels junts entre peces i la col·locació de doble cordó de segellat en la unió amb el mur amb segellador adhesiu monocomponent. Inclús replanteig, execució del forat i neteja amb aire a pressió, col·locació del cargol i cargolat directament en la perforació, aplicació del parell de collada amb clau dinamomètrica i neteja de restes.
Perfil inferior: 1 x 6,50 = 6,50</t>
  </si>
  <si>
    <t xml:space="preserve">HRR100b</t>
  </si>
  <si>
    <t xml:space="preserve">Partida</t>
  </si>
  <si>
    <t xml:space="preserve">m</t>
  </si>
  <si>
    <t xml:space="preserve">Pieza de remate de aluminio prelacado.</t>
  </si>
  <si>
    <t xml:space="preserve">mt20rca010lx</t>
  </si>
  <si>
    <t xml:space="preserve">Material</t>
  </si>
  <si>
    <t xml:space="preserve">m</t>
  </si>
  <si>
    <t xml:space="preserve">Pieza de remate de chapa plegada de aluminio prelacado, espesor 1.5 mm, desarrollo 600 mm y 4 pliegues.</t>
  </si>
  <si>
    <t xml:space="preserve">ma-manomano-562170</t>
  </si>
  <si>
    <t xml:space="preserve">Material</t>
  </si>
  <si>
    <t xml:space="preserve">caja</t>
  </si>
  <si>
    <t xml:space="preserve">Taco alargado DuoXpand 10x140 mm FISCHER FUS acero (50 pzas/caja).   Ref. manomano-562170</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</si>
  <si>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</si>
  <si>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</si>
  <si>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</si>
  <si>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</si>
  <si>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ma-lm-339080</t>
  </si>
  <si>
    <t xml:space="preserve">Material</t>
  </si>
  <si>
    <t xml:space="preserve">cartucho</t>
  </si>
  <si>
    <t xml:space="preserve">Masilla de poliuretano SIKAFLEX 11FC de SIKA; color marrón (300 cm3/cartucho).   Ref. lm-339080</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</si>
  <si>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</si>
  <si>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</si>
  <si>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</si>
  <si>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</si>
  <si>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</si>
  <si>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</si>
  <si>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</si>
  <si>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</si>
  <si>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</si>
  <si>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</si>
  <si>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</si>
  <si>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</si>
  <si>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t>
  </si>
  <si>
    <t xml:space="preserve">%</t>
  </si>
  <si>
    <t xml:space="preserve">Costes directos complementarios</t>
  </si>
  <si>
    <t xml:space="preserve">HRR100b</t>
  </si>
  <si>
    <t xml:space="preserve">01.15</t>
  </si>
  <si>
    <t xml:space="preserve">01.16</t>
  </si>
  <si>
    <t xml:space="preserve">Partida</t>
  </si>
  <si>
    <t xml:space="preserve">ml</t>
  </si>
  <si>
    <t xml:space="preserve">Remat lateral amb planxa metàl·lica (L)</t>
  </si>
  <si>
    <t xml:space="preserve">Subministrament i col·locació de perfil metàl·lic per a remat superior d’envà pluvial, en trobada amb mur superior de remat de coberta o terrat, de xapa plegada d'alumini lacat en color, amb 60 micres de gruix mínim de pel·lícula seca, espessor 1,5 mm, desenvolupament de fins a 400 mm i 1 plecs, fixat mecànicament amb ancoratge mecànic amb tac de niló i cargol d'acer galvanitzat, de cap aixamfranat, per a fixació d'element no estructural sobre fàbrica. Inclou el segellat dels junts entre peces i la col·locació de doble cordó de segellat en la unió amb el mur i l’envà pluvial amb segellador adhesiu monocomponent. Inclús replanteig, execució del forat i neteja amb aire a pressió, col·locació del cargol i cargolat directament en la perforació, aplicació del parell de collada amb clau dinamomètrica i neteja de restes.
Lateral pilastres: 4 x 3,50 = 14,00
Lateral dret pati: 1 x 4,65 = 4,65
Total: 18,65</t>
  </si>
  <si>
    <t xml:space="preserve">HRR100d</t>
  </si>
  <si>
    <t xml:space="preserve">Partida</t>
  </si>
  <si>
    <t xml:space="preserve">m</t>
  </si>
  <si>
    <t xml:space="preserve">Pieza de remate de aluminio prelacado.</t>
  </si>
  <si>
    <t xml:space="preserve">mt20rca010lu</t>
  </si>
  <si>
    <t xml:space="preserve">Material</t>
  </si>
  <si>
    <t xml:space="preserve">m</t>
  </si>
  <si>
    <t xml:space="preserve">Pieza de remate de chapa plegada de aluminio prelacado, espesor 1.5 mm, desarrollo 400 mm y 1 pliegue.</t>
  </si>
  <si>
    <t xml:space="preserve">ma-manomano-562170</t>
  </si>
  <si>
    <t xml:space="preserve">Material</t>
  </si>
  <si>
    <t xml:space="preserve">caja</t>
  </si>
  <si>
    <t xml:space="preserve">Taco alargado DuoXpand 10x140 mm FISCHER FUS acero (50 pzas/caja).   Ref. manomano-562170</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</si>
  <si>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</si>
  <si>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</si>
  <si>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</si>
  <si>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</si>
  <si>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ma-lm-339080</t>
  </si>
  <si>
    <t xml:space="preserve">Material</t>
  </si>
  <si>
    <t xml:space="preserve">cartucho</t>
  </si>
  <si>
    <t xml:space="preserve">Masilla de poliuretano SIKAFLEX 11FC de SIKA; color marrón (300 cm3/cartucho).   Ref. lm-339080</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</si>
  <si>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</si>
  <si>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</si>
  <si>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</si>
  <si>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</si>
  <si>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</si>
  <si>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</si>
  <si>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</si>
  <si>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</si>
  <si>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</si>
  <si>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</si>
  <si>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</si>
  <si>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</si>
  <si>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t>
  </si>
  <si>
    <t xml:space="preserve">%</t>
  </si>
  <si>
    <t xml:space="preserve">Costes directos complementarios</t>
  </si>
  <si>
    <t xml:space="preserve">HRR100d</t>
  </si>
  <si>
    <t xml:space="preserve">01.16</t>
  </si>
  <si>
    <t xml:space="preserve">APLACADO-PICHOLIN-AT-CERAMICO-01</t>
  </si>
  <si>
    <t xml:space="preserve">Partida</t>
  </si>
  <si>
    <t xml:space="preserve">m2</t>
  </si>
  <si>
    <t xml:space="preserve">APLACADO CON LADRILLO PICHOLÍN CERAMICO (28x5x1,4 cm/pza) MEDIANTE EL USO DE MEDIO SUSPENDIDO/COLGADO (FC)</t>
  </si>
  <si>
    <t xml:space="preserve">APLACADO CON LADRILLO PICHOLÍN CERAMICO (22x5,5x3 cm/pza) MEDIANTE EL USO DE MEDIO SUSPENDIDO/COLGADO</t>
  </si>
  <si>
    <t xml:space="preserve">ma-fl-12110226</t>
  </si>
  <si>
    <t xml:space="preserve">Material</t>
  </si>
  <si>
    <t xml:space="preserve">pza</t>
  </si>
  <si>
    <t xml:space="preserve">Plaqueta/Pichulín PL02 LLISA ; color ton pierre (28x5x1,4 cm/pza).   Ref. fl-12110226</t>
  </si>
  <si>
    <t xml:space="preserve">ma-lm-17553375</t>
  </si>
  <si>
    <t xml:space="preserve">Material</t>
  </si>
  <si>
    <t xml:space="preserve">pack</t>
  </si>
  <si>
    <t xml:space="preserve">Puente de unión epóxico bicomponente para adherencia entre hormigones frescos y endurecidos BETOPOX 93 de PROPAMSA (pack 5 kg de Componentes A y B).   Ref. lm-17553375</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</si>
  <si>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</si>
  <si>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</si>
  <si>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</si>
  <si>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</si>
  <si>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ma-lp-00001704</t>
  </si>
  <si>
    <t xml:space="preserve">Material</t>
  </si>
  <si>
    <t xml:space="preserve">rollo</t>
  </si>
  <si>
    <t xml:space="preserve">Malla de fibra de vidrio blanca para refuerzo de impermeabilización (rollo 50x1 m)   Ref. lp-00001704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</si>
  <si>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</si>
  <si>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</si>
  <si>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</si>
  <si>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</si>
  <si>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</si>
  <si>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</si>
  <si>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</si>
  <si>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</si>
  <si>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</si>
  <si>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</si>
  <si>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</si>
  <si>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</si>
  <si>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</si>
  <si>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</si>
  <si>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</si>
  <si>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</si>
  <si>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</si>
  <si>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</si>
  <si>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</si>
  <si>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</si>
  <si>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APLACADO-PICHOLIN-AT-CERAMICO-01</t>
  </si>
  <si>
    <t xml:space="preserve">COMPLEMENTO.SUPERIOR-BARANDILLA</t>
  </si>
  <si>
    <t xml:space="preserve">Partida</t>
  </si>
  <si>
    <t xml:space="preserve">m</t>
  </si>
  <si>
    <t xml:space="preserve">S/C CON SOLDADURA DE MONTANTE HORIZONTAL METÁLÁLICO 40x20 mm EN BARANDILLA EXISTENTE</t>
  </si>
  <si>
    <t xml:space="preserve">Suministro y colocación mediante soldadura de montante horizontal metálico rectangular 40x20 para complemntar altura a 130cm. Acabado para pintar.</t>
  </si>
  <si>
    <t xml:space="preserve">ma-lp-00122180</t>
  </si>
  <si>
    <t xml:space="preserve">Material</t>
  </si>
  <si>
    <t xml:space="preserve">pza</t>
  </si>
  <si>
    <t xml:space="preserve">Tubo de hierro con sección rectangular 40x30 mm (2 m/pza).   Ref. lp-00122180</t>
  </si>
  <si>
    <t xml:space="preserve">alq-amolador-mym-01</t>
  </si>
  <si>
    <t xml:space="preserve">Maquinaria</t>
  </si>
  <si>
    <t xml:space="preserve">h</t>
  </si>
  <si>
    <t xml:space="preserve">Alquiler de Amolador Radial Eléctrico Portátil Diámetro 115 mm 750 W / 230 V.   Ref. MÁQUINAS Y MÁQUINAS</t>
  </si>
  <si>
    <t xml:space="preserve">alq.soldadora-mym-01</t>
  </si>
  <si>
    <t xml:space="preserve">Maquinaria</t>
  </si>
  <si>
    <t xml:space="preserve">h</t>
  </si>
  <si>
    <t xml:space="preserve">Alquiler de Soldadora Eléctrica Inverter Electrodo 3,25 mm 160A/60% 230 V.   Ref. MÁQUINAS Y MÁQUINAS</t>
  </si>
  <si>
    <t xml:space="preserve">ma-lp-00351172</t>
  </si>
  <si>
    <t xml:space="preserve">Material</t>
  </si>
  <si>
    <t xml:space="preserve">caja</t>
  </si>
  <si>
    <t xml:space="preserve">Electrodo Rutilo 6013  2,5x350 mm (5kg o 55 varillas/caja)   Ref. lp-00351172</t>
  </si>
  <si>
    <t xml:space="preserve">ma-lp-00383509</t>
  </si>
  <si>
    <t xml:space="preserve">Material</t>
  </si>
  <si>
    <t xml:space="preserve">envase</t>
  </si>
  <si>
    <t xml:space="preserve">Esmalte antioxidante metálico de altos sólidos OXIRÓN FORJA de TITANLUX; color negro (4 litros/envase).   Ref. lp-00383509</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</si>
  <si>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</si>
  <si>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</si>
  <si>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</si>
  <si>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</si>
  <si>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</si>
  <si>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</si>
  <si>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</si>
  <si>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</si>
  <si>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COMPLEMENTO.SUPERIOR-BARANDILLA</t>
  </si>
  <si>
    <t xml:space="preserve">DESM-S/R-INST.ELECT-PLURIF-80m2</t>
  </si>
  <si>
    <t xml:space="preserve">Partida</t>
  </si>
  <si>
    <t xml:space="preserve">Ud</t>
  </si>
  <si>
    <t xml:space="preserve">Desmontaje sin recuperación de red eléctrica de distribución interior en Vieinda Plurifamiliar 80 m2</t>
  </si>
  <si>
    <t xml:space="preserve">Desmontaje sin recuperación de red de instalación eléctrica interior bajo tubo protector, en viviendas plurifamiliares de 80 m² de superficie construida por vivienda; con medios manuales, y carga manual sobre camión o contenedor.
Criterio de valoración económica: El precio incluye el desmontaje del cuadro eléctrico, del cableado, de los mecanismos, de las cajas y de los accesorios superficiales.
Incluye: Desmontaje del elemento. Retirada y acopio del material desmontado como escombro.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</si>
  <si>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</si>
  <si>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</si>
  <si>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</si>
  <si>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</si>
  <si>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</si>
  <si>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</si>
  <si>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</si>
  <si>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</si>
  <si>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</si>
  <si>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</si>
  <si>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</si>
  <si>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</si>
  <si>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</si>
  <si>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</si>
  <si>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</si>
  <si>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</si>
  <si>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</si>
  <si>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</si>
  <si>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</si>
  <si>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</si>
  <si>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DESM-S/R-INST.ELECT-PLURIF-80m2</t>
  </si>
  <si>
    <t xml:space="preserve">DESM-S/RECUP-ENCIMERA.COCINA</t>
  </si>
  <si>
    <t xml:space="preserve">Partida</t>
  </si>
  <si>
    <t xml:space="preserve">m2</t>
  </si>
  <si>
    <t xml:space="preserve">DESMONTAJE MANUAL Y SIN RECUPERACIÓN DE ENCIMERA DE COCINA EXISTENTE E INSTALADADA SUPERFICALMENTE</t>
  </si>
  <si>
    <t xml:space="preserve">Incluye suministro y colocación de marco perimetral de sujeción inferior del lucernario, mediante perfiles de acero S275 en forma de L invertida de 5 cm de alto, con angular en forma de T, de 5 cm de alto, ubicado en la parte central del marco para reducir la luz maxima y soldado en sus extremos al marco perimetral. Se ejecutará junta de expansión elastomerica entre el lucernario y el marco, a base de resinas de poliuretano estables a los rayos UV tipo Sikaflex 11 FC o similar.</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</si>
  <si>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</si>
  <si>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</si>
  <si>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</si>
  <si>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</si>
  <si>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</si>
  <si>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</si>
  <si>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</si>
  <si>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</si>
  <si>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ma-lp-00535305</t>
  </si>
  <si>
    <t xml:space="preserve">Material</t>
  </si>
  <si>
    <t xml:space="preserve">und</t>
  </si>
  <si>
    <t xml:space="preserve">Toldo multiusos PROTEX; 2x3 m   Ref. lp-00535305</t>
  </si>
  <si>
    <t xml:space="preserve">ma-lp-00534911</t>
  </si>
  <si>
    <t xml:space="preserve">Material</t>
  </si>
  <si>
    <t xml:space="preserve">rollo</t>
  </si>
  <si>
    <t xml:space="preserve">Cinta pintor KREPP 36 mm (45 m/rollo).   Ref. lp-00534911</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</si>
  <si>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</si>
  <si>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</si>
  <si>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</si>
  <si>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</si>
  <si>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</si>
  <si>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</si>
  <si>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</si>
  <si>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</si>
  <si>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</si>
  <si>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</si>
  <si>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</si>
  <si>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</si>
  <si>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</si>
  <si>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</si>
  <si>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</si>
  <si>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</si>
  <si>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</si>
  <si>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</si>
  <si>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</si>
  <si>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</si>
  <si>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DESM-S/RECUP-ENCIMERA.COCINA</t>
  </si>
  <si>
    <t xml:space="preserve">DESM-S/RECUP.APARATOS.SANITARIOS</t>
  </si>
  <si>
    <t xml:space="preserve">Partida</t>
  </si>
  <si>
    <t xml:space="preserve">U</t>
  </si>
  <si>
    <t xml:space="preserve">DESMONTAJE SIN RECUPERACIÓN DE PIEZAS SANITARIAS (LAVABO, BIDET, EXCUSADO Y ACCESORIOS DE BAÑO)</t>
  </si>
  <si>
    <t xml:space="preserve">Desmontaje, retirada provisional, protección y almacenamiento de toldos existentes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Acopio en zona designada por el inquilino. Posterior montaje una vez realizado los trabajos.</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</si>
  <si>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</si>
  <si>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</si>
  <si>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</si>
  <si>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</si>
  <si>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</si>
  <si>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</si>
  <si>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</si>
  <si>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</si>
  <si>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</si>
  <si>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</si>
  <si>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</si>
  <si>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</si>
  <si>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</si>
  <si>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</si>
  <si>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</si>
  <si>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</si>
  <si>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</si>
  <si>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</si>
  <si>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</si>
  <si>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</si>
  <si>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</si>
  <si>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</si>
  <si>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</si>
  <si>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</si>
  <si>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</si>
  <si>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</si>
  <si>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</si>
  <si>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</si>
  <si>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</si>
  <si>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</si>
  <si>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</si>
  <si>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</si>
  <si>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</si>
  <si>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</si>
  <si>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</si>
  <si>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</si>
  <si>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DESM-S/RECUP.APARATOS.SANITARIOS</t>
  </si>
  <si>
    <t xml:space="preserve">DESM-S/RECUP.INODOROS-01</t>
  </si>
  <si>
    <t xml:space="preserve">Partida</t>
  </si>
  <si>
    <t xml:space="preserve">pza</t>
  </si>
  <si>
    <t xml:space="preserve">DESMONTAJE SIN RECUPERACIÓN DE INODORO EXISTENTE</t>
  </si>
  <si>
    <t xml:space="preserve">DESMONTAJE SIN RECUPERACIÓN DE INODORO EXISTENTE</t>
  </si>
  <si>
    <t xml:space="preserve">ma-lp-00016978</t>
  </si>
  <si>
    <t xml:space="preserve">Material</t>
  </si>
  <si>
    <t xml:space="preserve">envase</t>
  </si>
  <si>
    <t xml:space="preserve">Aflojatodo en Spray WD-40 (200 ml/envase).   Ref. lp-00016978</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</si>
  <si>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</si>
  <si>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</si>
  <si>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</si>
  <si>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</si>
  <si>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</si>
  <si>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</si>
  <si>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</si>
  <si>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</si>
  <si>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</si>
  <si>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</si>
  <si>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</si>
  <si>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</si>
  <si>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</si>
  <si>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</si>
  <si>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</si>
  <si>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</si>
  <si>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</si>
  <si>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</si>
  <si>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</si>
  <si>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</si>
  <si>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</si>
  <si>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</si>
  <si>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</si>
  <si>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</si>
  <si>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</si>
  <si>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</si>
  <si>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</si>
  <si>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</si>
  <si>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DESM-S/RECUP.INODOROS-01</t>
  </si>
  <si>
    <t xml:space="preserve">DESM-TOLDO.PLEGABLE.RETRACTIL.3m</t>
  </si>
  <si>
    <t xml:space="preserve">Partida</t>
  </si>
  <si>
    <t xml:space="preserve">und</t>
  </si>
  <si>
    <t xml:space="preserve">DESMONTAJE CON RECUPERACIÓN DE TOLDO PLEGABLE PÉRGOLA RETRÀCTIL</t>
  </si>
  <si>
    <t xml:space="preserve">Desmontaje de toldo plegable pérgola retráctil, con medios manuales y recuperación del material para su posterior ubicación, sin deteriorar los elementos constructivos a los que está sujeto. El precio incluye el desmontaje de los accesorios y de los elementos de fijación.</t>
  </si>
  <si>
    <t xml:space="preserve">ma-lp-00571658</t>
  </si>
  <si>
    <t xml:space="preserve">Material</t>
  </si>
  <si>
    <t xml:space="preserve">rollo</t>
  </si>
  <si>
    <t xml:space="preserve">Plástico burbuja o film alveolar (25x1 m/rollo).   Ref. lp-00571658</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</si>
  <si>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</si>
  <si>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</si>
  <si>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</si>
  <si>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</si>
  <si>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</si>
  <si>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</si>
  <si>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</si>
  <si>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</si>
  <si>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</si>
  <si>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</si>
  <si>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</si>
  <si>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</si>
  <si>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</si>
  <si>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</si>
  <si>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</si>
  <si>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</si>
  <si>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</si>
  <si>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</si>
  <si>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</si>
  <si>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</si>
  <si>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DESM-TOLDO.PLEGABLE.RETRACTIL.3m</t>
  </si>
  <si>
    <t xml:space="preserve">DESM.-S/RECUP.LAVABOS-01</t>
  </si>
  <si>
    <t xml:space="preserve">Partida</t>
  </si>
  <si>
    <t xml:space="preserve">pza</t>
  </si>
  <si>
    <t xml:space="preserve">DESMONTAJE SIN RECUPERACIÓN DE LAVABO EXISTENTE</t>
  </si>
  <si>
    <t xml:space="preserve">DESMONTAJE SIN RECUPERACIÓN DE LAVABO EXISTENTE</t>
  </si>
  <si>
    <t xml:space="preserve">ma-lp-00016978</t>
  </si>
  <si>
    <t xml:space="preserve">Material</t>
  </si>
  <si>
    <t xml:space="preserve">envase</t>
  </si>
  <si>
    <t xml:space="preserve">Aflojatodo en Spray WD-40 (200 ml/envase).   Ref. lp-00016978</t>
  </si>
  <si>
    <t xml:space="preserve">ma-lp-00012108</t>
  </si>
  <si>
    <t xml:space="preserve">Material</t>
  </si>
  <si>
    <t xml:space="preserve">pza</t>
  </si>
  <si>
    <t xml:space="preserve">Tapón M latón 1/2” (13 mm) de ALTECH.   Ref. lp-00012108</t>
  </si>
  <si>
    <t xml:space="preserve">ma-lp-00010889</t>
  </si>
  <si>
    <t xml:space="preserve">Material</t>
  </si>
  <si>
    <t xml:space="preserve">rollo</t>
  </si>
  <si>
    <t xml:space="preserve">Cinta Teflón PTFE de GYMCOL 25 mm (25 m/rollo).   Ref. lp-00010889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</si>
  <si>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</si>
  <si>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</si>
  <si>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</si>
  <si>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</si>
  <si>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</si>
  <si>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</si>
  <si>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</si>
  <si>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</si>
  <si>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</si>
  <si>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</si>
  <si>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</si>
  <si>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</si>
  <si>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</si>
  <si>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</si>
  <si>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</si>
  <si>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</si>
  <si>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</si>
  <si>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</si>
  <si>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</si>
  <si>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</si>
  <si>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DESM.-S/RECUP.LAVABOS-01</t>
  </si>
  <si>
    <t xml:space="preserve">DESM..Y.REP-CARTEL.PUBLICIDAD</t>
  </si>
  <si>
    <t xml:space="preserve">Partida</t>
  </si>
  <si>
    <t xml:space="preserve">und</t>
  </si>
  <si>
    <t xml:space="preserve">DESMONTAJE Y REPOSICIÓN DE CARTEL/RÓTULO PUBLICITARIO EXTERIOR EN BANDERA</t>
  </si>
  <si>
    <t xml:space="preserve">DESMONTAJE Y REPOSICIÓN DE CARTEL/RÓTULO PUBLICITARIO EXTERIOR EN BANDERA</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</si>
  <si>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</si>
  <si>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</si>
  <si>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</si>
  <si>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</si>
  <si>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</si>
  <si>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</si>
  <si>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</si>
  <si>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</si>
  <si>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ma-lp-00016978</t>
  </si>
  <si>
    <t xml:space="preserve">Material</t>
  </si>
  <si>
    <t xml:space="preserve">envase</t>
  </si>
  <si>
    <t xml:space="preserve">Aflojatodo en Spray WD-40 (200 ml/envase).   Ref. lp-00016978</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</si>
  <si>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</si>
  <si>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</si>
  <si>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</si>
  <si>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</si>
  <si>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</si>
  <si>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</si>
  <si>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</si>
  <si>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</si>
  <si>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</si>
  <si>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</si>
  <si>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</si>
  <si>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</si>
  <si>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</si>
  <si>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</si>
  <si>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</si>
  <si>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</si>
  <si>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</si>
  <si>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</si>
  <si>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</si>
  <si>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</si>
  <si>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</si>
  <si>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</si>
  <si>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</si>
  <si>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</si>
  <si>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</si>
  <si>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</si>
  <si>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</si>
  <si>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</si>
  <si>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</si>
  <si>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</si>
  <si>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</si>
  <si>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</si>
  <si>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DESM..Y.REP-CARTEL.PUBLICIDAD</t>
  </si>
  <si>
    <t xml:space="preserve">DESM..Y.REP-LAMPARA.EXTERIOR</t>
  </si>
  <si>
    <t xml:space="preserve">Partida</t>
  </si>
  <si>
    <t xml:space="preserve">und</t>
  </si>
  <si>
    <t xml:space="preserve">DESMONTAJE Y REPOSICIÓN DE LUMINARIA EXTERIOR TIPO REFLECTOR</t>
  </si>
  <si>
    <t xml:space="preserve">DESMONTAJE Y REPOSICIÓN DE LUMINARIA EXTERIOR TIPO REFLECTOR</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</si>
  <si>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</si>
  <si>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</si>
  <si>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</si>
  <si>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</si>
  <si>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</si>
  <si>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</si>
  <si>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</si>
  <si>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</si>
  <si>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ma-lp-00016978</t>
  </si>
  <si>
    <t xml:space="preserve">Material</t>
  </si>
  <si>
    <t xml:space="preserve">envase</t>
  </si>
  <si>
    <t xml:space="preserve">Aflojatodo en Spray WD-40 (200 ml/envase).   Ref. lp-00016978</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</si>
  <si>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</si>
  <si>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</si>
  <si>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</si>
  <si>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</si>
  <si>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</si>
  <si>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</si>
  <si>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</si>
  <si>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</si>
  <si>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</si>
  <si>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</si>
  <si>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</si>
  <si>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</si>
  <si>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</si>
  <si>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</si>
  <si>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</si>
  <si>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</si>
  <si>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</si>
  <si>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</si>
  <si>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</si>
  <si>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</si>
  <si>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</si>
  <si>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</si>
  <si>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</si>
  <si>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</si>
  <si>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</si>
  <si>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</si>
  <si>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</si>
  <si>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</si>
  <si>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</si>
  <si>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</si>
  <si>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</si>
  <si>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</si>
  <si>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DESM..Y.REP-LAMPARA.EXTERIOR</t>
  </si>
  <si>
    <t xml:space="preserve">DESM.C/R-LAM.CUB-PANEL.SANDWICH</t>
  </si>
  <si>
    <t xml:space="preserve">Partida</t>
  </si>
  <si>
    <t xml:space="preserve">m2</t>
  </si>
  <si>
    <t xml:space="preserve">DESMONTAJE CON RECUPERACIÓN DE LÁMINAS DE CUBIERTA LIVIANA TIPO PANEL SANDWICH</t>
  </si>
  <si>
    <t xml:space="preserve">Suministro y colocación de láminas de polietileno transparente sobre el mobiliario (aproximadamente 1 ud/m³), solapadas entre sí al menos 15 cm y fijadas con cinta adhesiva, para protegerlo frente a la suciedad y el polvo ocasionado por los trabajos de rehabilitación.</t>
  </si>
  <si>
    <t xml:space="preserve">ma-lp-00016978</t>
  </si>
  <si>
    <t xml:space="preserve">Material</t>
  </si>
  <si>
    <t xml:space="preserve">envase</t>
  </si>
  <si>
    <t xml:space="preserve">Aflojatodo en Spray WD-40 (200 ml/envase).   Ref. lp-00016978</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</si>
  <si>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</si>
  <si>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</si>
  <si>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</si>
  <si>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</si>
  <si>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</si>
  <si>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</si>
  <si>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</si>
  <si>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</si>
  <si>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</si>
  <si>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</si>
  <si>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</si>
  <si>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</si>
  <si>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</si>
  <si>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</si>
  <si>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</si>
  <si>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</si>
  <si>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</si>
  <si>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</si>
  <si>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</si>
  <si>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</si>
  <si>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</si>
  <si>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</si>
  <si>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</si>
  <si>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</si>
  <si>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</si>
  <si>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</si>
  <si>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</si>
  <si>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</si>
  <si>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DESM.C/R-LAM.CUB-PANEL.SANDWICH</t>
  </si>
  <si>
    <t xml:space="preserve">DESM.VIDRIO.6mm</t>
  </si>
  <si>
    <t xml:space="preserve">Partida</t>
  </si>
  <si>
    <t xml:space="preserve">m2</t>
  </si>
  <si>
    <t xml:space="preserve">DESMONTAJE A MANO DE VIDRIOS (e &lt;= 6 mm) EN CERRAMIENTOS METÁLICOS; MEDIANTE EL USO DE ANDAMIO TUBULAR</t>
  </si>
  <si>
    <t xml:space="preserve">DESMONTAJE A MANO DE VIDRIOS EN CERRAMIENTOS METÁLICOS; MEDIANTE EL USO DE ANDAMIO TUBULAR</t>
  </si>
  <si>
    <t xml:space="preserve">ma-lp-00016979</t>
  </si>
  <si>
    <t xml:space="preserve">Material</t>
  </si>
  <si>
    <t xml:space="preserve">envase</t>
  </si>
  <si>
    <t xml:space="preserve">Aflojatodo en Spray WD-40 (400 ml/envase).   Ref. lp-00016979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</si>
  <si>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</si>
  <si>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</si>
  <si>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</si>
  <si>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</si>
  <si>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</si>
  <si>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</si>
  <si>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</si>
  <si>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</si>
  <si>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</si>
  <si>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</si>
  <si>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</si>
  <si>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</si>
  <si>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</si>
  <si>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</si>
  <si>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</si>
  <si>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</si>
  <si>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</si>
  <si>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</si>
  <si>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</si>
  <si>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</si>
  <si>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DESM.VIDRIO.6mm</t>
  </si>
  <si>
    <t xml:space="preserve">DESM.Y.REP-NUMEROS</t>
  </si>
  <si>
    <t xml:space="preserve">Partida</t>
  </si>
  <si>
    <t xml:space="preserve">U</t>
  </si>
  <si>
    <t xml:space="preserve">DESMUNTATGE I REPOSICIÓ DE NÚMEROS</t>
  </si>
  <si>
    <t xml:space="preserve">DESMUNTATGE I REPOSICIÓ DE NÚMEROS</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</si>
  <si>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</si>
  <si>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</si>
  <si>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</si>
  <si>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</si>
  <si>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</si>
  <si>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</si>
  <si>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</si>
  <si>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</si>
  <si>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</si>
  <si>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</si>
  <si>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</si>
  <si>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</si>
  <si>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</si>
  <si>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</si>
  <si>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</si>
  <si>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</si>
  <si>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</si>
  <si>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</si>
  <si>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</si>
  <si>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</si>
  <si>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</si>
  <si>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</si>
  <si>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</si>
  <si>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</si>
  <si>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</si>
  <si>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</si>
  <si>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</si>
  <si>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</si>
  <si>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</si>
  <si>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</si>
  <si>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</si>
  <si>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</si>
  <si>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DESM.Y.REP-NUMEROS</t>
  </si>
  <si>
    <t xml:space="preserve">DESM.Y.REP-ROTULO.EN.PARAMENTO</t>
  </si>
  <si>
    <t xml:space="preserve">Partida</t>
  </si>
  <si>
    <t xml:space="preserve">und</t>
  </si>
  <si>
    <t xml:space="preserve">SUMINISTRO E INSTALACIÓN EN ANDAMIO TUBULAR DE TENDEDEROS METÁLICOS PINTADOS TIPO ESCUADRA SIN POLEAS (LARGO APROX. = 50 CM), FIJADOS A BARANDILLAS Y/O PARAMENTOS DE FACHADA; INCLUYENDO CORDAJES</t>
  </si>
  <si>
    <t xml:space="preserve">Suministro e instalación en andamio tubular de tendederos metálicos pintados tipo escuadra sin poleas (Largo aprox. = 50 cm), fijados a barandillas y/o paramentos de fachada (incluyendo cordajes).</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</si>
  <si>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</si>
  <si>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</si>
  <si>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</si>
  <si>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</si>
  <si>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</si>
  <si>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</si>
  <si>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</si>
  <si>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</si>
  <si>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ma-lp-00016978</t>
  </si>
  <si>
    <t xml:space="preserve">Material</t>
  </si>
  <si>
    <t xml:space="preserve">envase</t>
  </si>
  <si>
    <t xml:space="preserve">Aflojatodo en Spray WD-40 (200 ml/envase).   Ref. lp-00016978</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</si>
  <si>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</si>
  <si>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</si>
  <si>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</si>
  <si>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</si>
  <si>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</si>
  <si>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</si>
  <si>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</si>
  <si>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</si>
  <si>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</si>
  <si>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</si>
  <si>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</si>
  <si>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</si>
  <si>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</si>
  <si>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</si>
  <si>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</si>
  <si>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</si>
  <si>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</si>
  <si>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</si>
  <si>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</si>
  <si>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</si>
  <si>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</si>
  <si>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</si>
  <si>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</si>
  <si>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</si>
  <si>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</si>
  <si>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</si>
  <si>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</si>
  <si>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</si>
  <si>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</si>
  <si>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</si>
  <si>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</si>
  <si>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</si>
  <si>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DESM.Y.REP-ROTULO.EN.PARAMENTO</t>
  </si>
  <si>
    <t xml:space="preserve">DLS030</t>
  </si>
  <si>
    <t xml:space="preserve">Partida</t>
  </si>
  <si>
    <t xml:space="preserve">m²</t>
  </si>
  <si>
    <t xml:space="preserve">Desmontaje con recuperación de contraventana.o persiana de librillo de madera</t>
  </si>
  <si>
    <t xml:space="preserve">Desmontaje con recuperación de persiana de librillo o contraventana de madera, con medios manuales, sin deteriorar los elementos constructivos sobre los que se sujeta; incluye la protección con plástico, el acopio y la disposición temporal de la persiana en el área de trabajo.</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</si>
  <si>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</si>
  <si>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</si>
  <si>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</si>
  <si>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</si>
  <si>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</si>
  <si>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</si>
  <si>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</si>
  <si>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</si>
  <si>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</si>
  <si>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</si>
  <si>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</si>
  <si>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</si>
  <si>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</si>
  <si>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</si>
  <si>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</si>
  <si>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</si>
  <si>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</si>
  <si>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</si>
  <si>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</si>
  <si>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</si>
  <si>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</si>
  <si>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</si>
  <si>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</si>
  <si>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</si>
  <si>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</si>
  <si>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</si>
  <si>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</si>
  <si>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</si>
  <si>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DLS030</t>
  </si>
  <si>
    <t xml:space="preserve">DSC030</t>
  </si>
  <si>
    <t xml:space="preserve">Partida</t>
  </si>
  <si>
    <t xml:space="preserve">m</t>
  </si>
  <si>
    <t xml:space="preserve">Desmontaje sin recuperación de encimera.de tablero aglomerado o de piedra natural</t>
  </si>
  <si>
    <t xml:space="preserve">Desmontaje de encimera de piedra natural, con medios manuales, sin afectar a la estabilidad de los elementos constructivos a los que pueda estar sujeta, y carga manual sobre camión o contenedor.
Incluye: Desmontaje del elemento. Retirada y acopio del material desmontado. Limpieza de los restos de obra. Carga manual del material desmontado y restos de obra sobre camión o contenedor.
Criterio de medición de proyecto: Longitud medida según documentación gráfica de Proyecto.
Criterio de medición de obra: Se medirá la longitud realmente desmontada según especificaciones de Proyecto.</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</si>
  <si>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</si>
  <si>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</si>
  <si>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</si>
  <si>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</si>
  <si>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</si>
  <si>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</si>
  <si>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</si>
  <si>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</si>
  <si>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</si>
  <si>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</si>
  <si>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</si>
  <si>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</si>
  <si>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</si>
  <si>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t>
  </si>
  <si>
    <t xml:space="preserve">%</t>
  </si>
  <si>
    <t xml:space="preserve">Costes directos complementarios</t>
  </si>
  <si>
    <t xml:space="preserve">DSC030</t>
  </si>
  <si>
    <t xml:space="preserve">EHY063</t>
  </si>
  <si>
    <t xml:space="preserve">Partida</t>
  </si>
  <si>
    <t xml:space="preserve">m</t>
  </si>
  <si>
    <t xml:space="preserve">Colocación de inyectores externos, en fisura de elemento de hormigón. (FC)</t>
  </si>
  <si>
    <t xml:space="preserve">Colocación de inyectores externos, cada 20 cm, en fisura de elemento de hormigón, con adhesivo tixotrópico de dos componentes a base de resina epoxi, y sellado superficial de la fisura, con el mismo material, a fin de evitar la fuga de la lechada durante el proceso de inyección.
Criterio de valoración económica: El precio no incluye la inyección de la resina.
Incluye: Sellado superficial de la fisura. Replanteo. Fijación de los inyectores. Retirada de los inyectores. Eliminación del material de sellado sobrante.
Criterio de medición de proyecto: Longitud medida según documentación gráfica de Proyecto.
Criterio de medición de obra: Se medirá la longitud realmente ejecutada según especificaciones de Proyecto.</t>
  </si>
  <si>
    <t xml:space="preserve">mt09reh121</t>
  </si>
  <si>
    <t xml:space="preserve">Material</t>
  </si>
  <si>
    <t xml:space="preserve">Ud</t>
  </si>
  <si>
    <t xml:space="preserve">Tapón inyector externo.</t>
  </si>
  <si>
    <t xml:space="preserve">mt09reh122</t>
  </si>
  <si>
    <t xml:space="preserve">Material</t>
  </si>
  <si>
    <t xml:space="preserve">Ud</t>
  </si>
  <si>
    <t xml:space="preserve">Inyector externo.</t>
  </si>
  <si>
    <t xml:space="preserve">mt09reh120a</t>
  </si>
  <si>
    <t xml:space="preserve">Material</t>
  </si>
  <si>
    <t xml:space="preserve">kg</t>
  </si>
  <si>
    <t xml:space="preserve">Adhesivo tixotrópico de dos componentes a base de resina epoxi, para la correcta unión entre el hormigón fresco y el hormigón endurecido o para mejorar la adherencia del hormigón endurecido y el acero, según UNE-EN 1504-7.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</si>
  <si>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</si>
  <si>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</si>
  <si>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</si>
  <si>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</si>
  <si>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</si>
  <si>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</si>
  <si>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</si>
  <si>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</si>
  <si>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</si>
  <si>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</si>
  <si>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</si>
  <si>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</si>
  <si>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</si>
  <si>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</si>
  <si>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</si>
  <si>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</si>
  <si>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</si>
  <si>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</si>
  <si>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</si>
  <si>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</si>
  <si>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EHY063</t>
  </si>
  <si>
    <t xml:space="preserve">EHY065</t>
  </si>
  <si>
    <t xml:space="preserve">Partida</t>
  </si>
  <si>
    <t xml:space="preserve">m</t>
  </si>
  <si>
    <t xml:space="preserve">Inyección de resinas en fisuras, para reparación estructural. (FC)</t>
  </si>
  <si>
    <t xml:space="preserve">Inyección en fisura con lechada fluida de dos componentes a base de resina epoxi, (rendimiento: 0,5 kg/m), aplicada mediante equipo de inyección a baja presión, para reparación estructural en elemento de hormigón.
Criterio de valoración económica: El precio no incluye la limpieza del interior de la fisura ni la colocación de los inyectores.
Incluye: Premezclado de los componentes de la resina. Conexión de la manguera con los inyectores. Inyección mecánica de la lechada. Desconexión de la manguera. Limpieza superficial.
Criterio de medición de proyecto: Longitud medida según documentación gráfica de Proyecto.
Criterio de medición de obra: Se medirá la longitud realmente ejecutada según especificaciones de Proyecto.</t>
  </si>
  <si>
    <t xml:space="preserve">mt09red150b</t>
  </si>
  <si>
    <t xml:space="preserve">Material</t>
  </si>
  <si>
    <t xml:space="preserve">kg</t>
  </si>
  <si>
    <t xml:space="preserve">Lechada fluida de dos componentes a base de resina epoxi.</t>
  </si>
  <si>
    <t xml:space="preserve">mq06eim010</t>
  </si>
  <si>
    <t xml:space="preserve">Maquinaria</t>
  </si>
  <si>
    <t xml:space="preserve">h</t>
  </si>
  <si>
    <t xml:space="preserve">Equipo de inyección manual de morteros fluidos y resinas.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</si>
  <si>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</si>
  <si>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</si>
  <si>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</si>
  <si>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</si>
  <si>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</si>
  <si>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</si>
  <si>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</si>
  <si>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</si>
  <si>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</si>
  <si>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</si>
  <si>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</si>
  <si>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</si>
  <si>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</si>
  <si>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</si>
  <si>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</si>
  <si>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</si>
  <si>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</si>
  <si>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mo020</t>
  </si>
  <si>
    <t xml:space="preserve">Mano de obra</t>
  </si>
  <si>
    <t xml:space="preserve">h</t>
  </si>
  <si>
    <t xml:space="preserve">Oficial 1ª construcción.</t>
  </si>
  <si>
    <t xml:space="preserve">mo112</t>
  </si>
  <si>
    <t xml:space="preserve">Mano de obra</t>
  </si>
  <si>
    <t xml:space="preserve">h</t>
  </si>
  <si>
    <t xml:space="preserve">Peón especializado construcción.</t>
  </si>
  <si>
    <t xml:space="preserve">%</t>
  </si>
  <si>
    <t xml:space="preserve">%</t>
  </si>
  <si>
    <t xml:space="preserve">Costes directos complementarios</t>
  </si>
  <si>
    <t xml:space="preserve">EHY065</t>
  </si>
  <si>
    <t xml:space="preserve">ANTICARCOMA-MADERA-PREVENTIVO</t>
  </si>
  <si>
    <t xml:space="preserve">Partida</t>
  </si>
  <si>
    <t xml:space="preserve">m²</t>
  </si>
  <si>
    <t xml:space="preserve">Tratamiento preventivo contra la carcoma en elemento estructural de madera.</t>
  </si>
  <si>
    <t xml:space="preserve">Tratamiento preventivo contra la carcoma en viga de madera, mediante la aplicación, con brocha, pincel o pistola, de dos manos, de 0,2 l/m² cada una, de líquido protector. Incluso eliminación previa de los materiales que recubren el elemento a tratar, protección de los elementos del entorno.
Incluye: Protección de los elementos del entorno. Aplicación del tratamiento con brocha.
Criterio de medición de proyecto: Superficie medida según documentación gráfica de Proyecto.
Criterio de medición de obra: Se medirá la superficie realmente ejecutada según especificaciones de Proyecto.</t>
  </si>
  <si>
    <t xml:space="preserve">ma-lm-82520305</t>
  </si>
  <si>
    <t xml:space="preserve">Material</t>
  </si>
  <si>
    <t xml:space="preserve">envase</t>
  </si>
  <si>
    <t xml:space="preserve">Líquido para tratamiento carcomas al agua XYLAZEL (750 ml/envase).   Ref. lm-82520305</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</si>
  <si>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</si>
  <si>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</si>
  <si>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</si>
  <si>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</si>
  <si>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</si>
  <si>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</si>
  <si>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</si>
  <si>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</si>
  <si>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</si>
  <si>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</si>
  <si>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</si>
  <si>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</si>
  <si>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</si>
  <si>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t>
  </si>
  <si>
    <t xml:space="preserve">%</t>
  </si>
  <si>
    <t xml:space="preserve">Costes directos complementarios</t>
  </si>
  <si>
    <t xml:space="preserve">ANTICARCOMA-MADERA-PREVENTIVO</t>
  </si>
  <si>
    <t xml:space="preserve">ANTICARCOMA-MADERA-CURATIVO</t>
  </si>
  <si>
    <t xml:space="preserve">Partida</t>
  </si>
  <si>
    <t xml:space="preserve">m²</t>
  </si>
  <si>
    <t xml:space="preserve">Tratamiento curativo contra la carcoma en elemento estructural de madera.</t>
  </si>
  <si>
    <t xml:space="preserve">Tratamiento curativo contra la carcoma en viga de madera, mediante la realización de 3 taladros por metro y línea, con 2 líneas por cara del elemento, practicados al tresbolillo sobre una de sus caras, con una profundidad de taladro de 2/3 del espesor del elemento y 6 mm de diámetro; inyección de líquido protector en cada uno de los taladros efectuados y posterior aplicación, con brocha, pincel o pistola, de dos manos, de 0,3 l/m² cada una, del mismo producto. Incluso eliminación previa de los materiales que recubren el elemento a tratar, protección de los elementos del entorno, desbastado de la madera degradada y montaje del equipo de inyección.
Incluye: Protección de los elementos del entorno. Replanteo de los orificios en el elemento de madera. Realización de taladros. Montaje del equipo de inyección. Inyección del producto antixilófagos. Limpieza de restos. Aplicación del tratamiento con brocha.
Criterio de medición de proyecto: Superficie medida según documentación gráfica de Proyecto.
Criterio de medición de obra: Se medirá la superficie realmente ejecutada según especificaciones de Proyecto.</t>
  </si>
  <si>
    <t xml:space="preserve">ma-lm-82520305</t>
  </si>
  <si>
    <t xml:space="preserve">Material</t>
  </si>
  <si>
    <t xml:space="preserve">envase</t>
  </si>
  <si>
    <t xml:space="preserve">Líquido para tratamiento carcomas al agua XYLAZEL (750 ml/envase).   Ref. lm-82520305</t>
  </si>
  <si>
    <t xml:space="preserve">mt27wav040</t>
  </si>
  <si>
    <t xml:space="preserve">Material</t>
  </si>
  <si>
    <t xml:space="preserve">Ud</t>
  </si>
  <si>
    <t xml:space="preserve">Válvula de retención de plástico, para impedir el retroceso del producto.</t>
  </si>
  <si>
    <t xml:space="preserve">mq08etm010</t>
  </si>
  <si>
    <t xml:space="preserve">Maquinaria</t>
  </si>
  <si>
    <t xml:space="preserve">h</t>
  </si>
  <si>
    <t xml:space="preserve">Equipo de inyección de fungicida en elementos de madera, con boquilla de inyección.</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</si>
  <si>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</si>
  <si>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</si>
  <si>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</si>
  <si>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</si>
  <si>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</si>
  <si>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</si>
  <si>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</si>
  <si>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</si>
  <si>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</si>
  <si>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</si>
  <si>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</si>
  <si>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</si>
  <si>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</si>
  <si>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t>
  </si>
  <si>
    <t xml:space="preserve">%</t>
  </si>
  <si>
    <t xml:space="preserve">Costes directos complementarios</t>
  </si>
  <si>
    <t xml:space="preserve">ANTICARCOMA-MADERA-CURATIVO</t>
  </si>
  <si>
    <t xml:space="preserve">BALIZAMIENTO-OBRA.m2</t>
  </si>
  <si>
    <t xml:space="preserve">Partida</t>
  </si>
  <si>
    <t xml:space="preserve">m2</t>
  </si>
  <si>
    <t xml:space="preserve">BALIZAMIENTO DE OBRA (SUPERFICIAL)</t>
  </si>
  <si>
    <t xml:space="preserve">BALIZAMIENTO DE OBRA (SUPERFICIAL)</t>
  </si>
  <si>
    <t xml:space="preserve">ma-lp-00557162</t>
  </si>
  <si>
    <t xml:space="preserve">Material</t>
  </si>
  <si>
    <t xml:space="preserve">und</t>
  </si>
  <si>
    <t xml:space="preserve">Cono de señalización (2 pzas de 75 cm/und).   Ref. lp-00557162</t>
  </si>
  <si>
    <t xml:space="preserve">ma-lp-00020205</t>
  </si>
  <si>
    <t xml:space="preserve">Material</t>
  </si>
  <si>
    <t xml:space="preserve">und</t>
  </si>
  <si>
    <t xml:space="preserve">Valla metálica 1 pie para obra de ALTRAD; color amarillo.   Ref. lp-00020205</t>
  </si>
  <si>
    <t xml:space="preserve">ma-lp-00017725</t>
  </si>
  <si>
    <t xml:space="preserve">Material</t>
  </si>
  <si>
    <t xml:space="preserve">rollo</t>
  </si>
  <si>
    <t xml:space="preserve">Cinta de señalización para obras; colores rojo y blanco (ancho 70 mm y longitud 200 m/rollo).   Ref. lp-00017725</t>
  </si>
  <si>
    <t xml:space="preserve">ma-lp-00018836</t>
  </si>
  <si>
    <t xml:space="preserve">Material</t>
  </si>
  <si>
    <t xml:space="preserve">und</t>
  </si>
  <si>
    <t xml:space="preserve">Cartel mural para obra de CLIMAX (700x1000 mm/cartel).   Ref. lp-00018836</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</si>
  <si>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</si>
  <si>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</si>
  <si>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</si>
  <si>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</si>
  <si>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</si>
  <si>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</si>
  <si>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</si>
  <si>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</si>
  <si>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</si>
  <si>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</si>
  <si>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</si>
  <si>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</si>
  <si>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</si>
  <si>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</si>
  <si>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</si>
  <si>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</si>
  <si>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</si>
  <si>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</si>
  <si>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</si>
  <si>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</si>
  <si>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BALIZAMIENTO-OBRA.m2</t>
  </si>
  <si>
    <t xml:space="preserve">BALIZAMIENTO-OBRA.ml</t>
  </si>
  <si>
    <t xml:space="preserve">Partida</t>
  </si>
  <si>
    <t xml:space="preserve">m</t>
  </si>
  <si>
    <t xml:space="preserve">BALIZAMIENTO DE OBRA (LONGITUDINAL)</t>
  </si>
  <si>
    <t xml:space="preserve">BALIZAMIENTO DE OBRA (LONGITUDINAL)</t>
  </si>
  <si>
    <t xml:space="preserve">ma-lp-00557162</t>
  </si>
  <si>
    <t xml:space="preserve">Material</t>
  </si>
  <si>
    <t xml:space="preserve">und</t>
  </si>
  <si>
    <t xml:space="preserve">Cono de señalización (2 pzas de 75 cm/und).   Ref. lp-00557162</t>
  </si>
  <si>
    <t xml:space="preserve">ma-lp-00020205</t>
  </si>
  <si>
    <t xml:space="preserve">Material</t>
  </si>
  <si>
    <t xml:space="preserve">und</t>
  </si>
  <si>
    <t xml:space="preserve">Valla metálica 1 pie para obra de ALTRAD; color amarillo.   Ref. lp-00020205</t>
  </si>
  <si>
    <t xml:space="preserve">ma-lp-00017725</t>
  </si>
  <si>
    <t xml:space="preserve">Material</t>
  </si>
  <si>
    <t xml:space="preserve">rollo</t>
  </si>
  <si>
    <t xml:space="preserve">Cinta de señalización para obras; colores rojo y blanco (ancho 70 mm y longitud 200 m/rollo).   Ref. lp-00017725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</si>
  <si>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</si>
  <si>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</si>
  <si>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</si>
  <si>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</si>
  <si>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</si>
  <si>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</si>
  <si>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</si>
  <si>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</si>
  <si>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</si>
  <si>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</si>
  <si>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</si>
  <si>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</si>
  <si>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</si>
  <si>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</si>
  <si>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</si>
  <si>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</si>
  <si>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</si>
  <si>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ma-lp-00018836</t>
  </si>
  <si>
    <t xml:space="preserve">Material</t>
  </si>
  <si>
    <t xml:space="preserve">und</t>
  </si>
  <si>
    <t xml:space="preserve">Cartel mural para obra de CLIMAX (700x1000 mm/cartel).   Ref. lp-00018836</t>
  </si>
  <si>
    <t xml:space="preserve">mo%</t>
  </si>
  <si>
    <t xml:space="preserve">%</t>
  </si>
  <si>
    <t xml:space="preserve">Herramientas Menores</t>
  </si>
  <si>
    <t xml:space="preserve">BALIZAMIENTO-OBRA.ml</t>
  </si>
  <si>
    <t xml:space="preserve">DESM-S/R-FALSO.TECHO.ALUMINIO</t>
  </si>
  <si>
    <t xml:space="preserve">Partida</t>
  </si>
  <si>
    <t xml:space="preserve">m2</t>
  </si>
  <si>
    <t xml:space="preserve">DESMONTAJE SIN RECUPERACIÓN DE FALSO TECHO DE LAMELAS DEALUMINIO; INCLUYE ESTRUCTURA DE SOPORTE</t>
  </si>
  <si>
    <t xml:space="preserve">Desmontaje sin recuperación de falso techo de lamelas dealuminio; incluye estructura de soporte</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</si>
  <si>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</si>
  <si>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</si>
  <si>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</si>
  <si>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</si>
  <si>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</si>
  <si>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</si>
  <si>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</si>
  <si>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</si>
  <si>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</si>
  <si>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</si>
  <si>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</si>
  <si>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</si>
  <si>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</si>
  <si>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</si>
  <si>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</si>
  <si>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</si>
  <si>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DESM-S/R-FALSO.TECHO.ALUMINIO</t>
  </si>
  <si>
    <t xml:space="preserve">ESCARPADO.GRIETA/FISURA-HORM-AT</t>
  </si>
  <si>
    <t xml:space="preserve">Partida</t>
  </si>
  <si>
    <t xml:space="preserve">m</t>
  </si>
  <si>
    <t xml:space="preserve">ESCARPADO DE GRIETA/FISURA EN HORMIGÓN (HASTA 5cm PROFUNDIDAD MÁXIMA), MEDIANTE EL USO DE ANDAMIO TUBULAR</t>
  </si>
  <si>
    <t xml:space="preserve">ESCARPADO DE GRIETA/FISURA EN HORMIGÓN (HASTA 5cm PROFUNDIDAD MÁXIMA), MEDIANTE EL USO DE ANDAMIO TUBULAR</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</si>
  <si>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</si>
  <si>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</si>
  <si>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</si>
  <si>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</si>
  <si>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</si>
  <si>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</si>
  <si>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</si>
  <si>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</si>
  <si>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</si>
  <si>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</si>
  <si>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</si>
  <si>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</si>
  <si>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</si>
  <si>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</si>
  <si>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</si>
  <si>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</si>
  <si>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</si>
  <si>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</si>
  <si>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</si>
  <si>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</si>
  <si>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ESCARPADO.GRIETA/FISURA-HORM-AT</t>
  </si>
  <si>
    <t xml:space="preserve">ESCARPADO.GRIETA/FISURA-HORM-MS</t>
  </si>
  <si>
    <t xml:space="preserve">Partida</t>
  </si>
  <si>
    <t xml:space="preserve">m</t>
  </si>
  <si>
    <t xml:space="preserve">ESCARPADO DE GRIETA/FISURA EN HORMIGÓN (HASTA 5cm PROFUNDIDAD MÁXIMA)</t>
  </si>
  <si>
    <t xml:space="preserve">xxxxxxxxx</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</si>
  <si>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</si>
  <si>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</si>
  <si>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</si>
  <si>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</si>
  <si>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</si>
  <si>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</si>
  <si>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</si>
  <si>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</si>
  <si>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</si>
  <si>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</si>
  <si>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</si>
  <si>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</si>
  <si>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</si>
  <si>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</si>
  <si>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</si>
  <si>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</si>
  <si>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</si>
  <si>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</si>
  <si>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</si>
  <si>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</si>
  <si>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ESCARPADO.GRIETA/FISURA-HORM-MS</t>
  </si>
  <si>
    <t xml:space="preserve">FBY015</t>
  </si>
  <si>
    <t xml:space="preserve">Partida</t>
  </si>
  <si>
    <t xml:space="preserve">m²</t>
  </si>
  <si>
    <t xml:space="preserve">TABIQUE DE PLACAS DE YESO LAMINADO CON SISTEMA "KNAUF" (espesor total = 78 mm)</t>
  </si>
  <si>
    <t xml:space="preserve">Tabique sencillo w111.es "knauf" (15+48+15)/400 (48) lm - (2 impregnada (h1)), de 78 mm de espesor total, con nivel de calidad del acabado q2, formado por una estructura simple de perfiles de chapa de acero galvanizado de 48 mm de anchura, a base de montantes (elementos verticales) separados 400 mm entre sí, con disposición normal "n" y canales (elementos horizontales), a la que se atornillan dos placas en total (una placa tipo impregnada (h1) en cada cara, de 15 mm de espesor cada placa); aislamiento acústico mediante panel semirrígido de lana mineral, espesor 45 mm, según une-en 13162, en el alma. Incluso banda acústica de dilatación autoadhesiva "knauf"; tornillería para la fijación de las placas; cinta de papel con refuerzo metálico "knauf" y pasta de juntas jointfiller 24h "knauf", cinta microperforada de papel "knauf".
Criterio de valoración económica: el precio incluye la resolución de encuentros y puntos singulares.
Incluye: replanteo y trazado en el forjado inferior y en el superior de los tabiques a realizar.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para el cierre de una de las caras del tabique. Colocación de los paneles de lana mineral entre los montantes. Fijación de las placas para el cierre de la segunda cara del tabique. Replanteo de las cajas para alojamiento de mecanismos eléctricos y de paso de instalaciones, y posterior perforación de las placas. Tratamiento de juntas.
Criterio de medición de proyecto: superficie medida según documentación gráfica de proyecto, sin duplicar esquinas ni encuentros, siguiendo los criterios de medición expuestos en la norma une 92305.
Criterio de medición de obra: se medirá la superficie realmente ejecutada según especificaciones de proyecto, sin duplicar esquinas ni encuentros, siguiendo los criterios de medición expuestos en la norma une 92305.</t>
  </si>
  <si>
    <t xml:space="preserve">mt12pck020b</t>
  </si>
  <si>
    <t xml:space="preserve">Material</t>
  </si>
  <si>
    <t xml:space="preserve">m</t>
  </si>
  <si>
    <t xml:space="preserve">Banda acústica de dilatación, autoadhesiva, de espuma de poliuretano de celdas cerradas "KNAUF", de 3,2 mm de espesor y 50 mm de anchura, resistencia térmica 0,10 m²K/W, conductividad térmica 0,032 W/(mK).</t>
  </si>
  <si>
    <t xml:space="preserve">mt12pfk020b</t>
  </si>
  <si>
    <t xml:space="preserve">Material</t>
  </si>
  <si>
    <t xml:space="preserve">m</t>
  </si>
  <si>
    <t xml:space="preserve">Canal 48/30 "KNAUF" de acero galvanizado, según UNE-EN 14195.</t>
  </si>
  <si>
    <t xml:space="preserve">mt12pfk010b</t>
  </si>
  <si>
    <t xml:space="preserve">Material</t>
  </si>
  <si>
    <t xml:space="preserve">m</t>
  </si>
  <si>
    <t xml:space="preserve">Montante 48/35 "KNAUF" de acero galvanizado, según UNE-EN 14195.</t>
  </si>
  <si>
    <t xml:space="preserve">mt16lra060b</t>
  </si>
  <si>
    <t xml:space="preserve">Material</t>
  </si>
  <si>
    <t xml:space="preserve">m²</t>
  </si>
  <si>
    <t xml:space="preserve">Panel semirrígido de lana mineral, espesor 45 mm, según UNE-EN 13162, Euroclase A1 de reacción al fuego según UNE-EN 13501-1 y factor de resistencia a la difusión del vapor de agua 1.</t>
  </si>
  <si>
    <t xml:space="preserve">mt12ppk010gb</t>
  </si>
  <si>
    <t xml:space="preserve">Material</t>
  </si>
  <si>
    <t xml:space="preserve">m²</t>
  </si>
  <si>
    <t xml:space="preserve">Placa de yeso laminado H1 / UNE-EN 520 - 1200 / longitud / 15 / con los bordes longitudinales afinados, impregnada "KNAUF"; Euroclase A2-s1, d0 de reacción al fuego, según UNE-EN 13501-1.</t>
  </si>
  <si>
    <t xml:space="preserve">mt12ptk010cc</t>
  </si>
  <si>
    <t xml:space="preserve">Material</t>
  </si>
  <si>
    <t xml:space="preserve">Ud</t>
  </si>
  <si>
    <t xml:space="preserve">Tornillo autoperforante TN "KNAUF" 3,5x25.</t>
  </si>
  <si>
    <t xml:space="preserve">mt12psg220</t>
  </si>
  <si>
    <t xml:space="preserve">Material</t>
  </si>
  <si>
    <t xml:space="preserve">Ud</t>
  </si>
  <si>
    <t xml:space="preserve">Fijación compuesta por taco y tornillo 5x27.</t>
  </si>
  <si>
    <t xml:space="preserve">mt12pik010e</t>
  </si>
  <si>
    <t xml:space="preserve">Material</t>
  </si>
  <si>
    <t xml:space="preserve">kg</t>
  </si>
  <si>
    <t xml:space="preserve">Pasta de juntas Jointfiller 24H "KNAUF", Euroclase A2-s1, d0 de reacción al fuego, según UNE-EN 13501-1, rango de temperatura de trabajo de 5 a 30°C, para aplicación manual con cinta de juntas, según UNE-EN 13963.</t>
  </si>
  <si>
    <t xml:space="preserve">mt12pck010a</t>
  </si>
  <si>
    <t xml:space="preserve">Material</t>
  </si>
  <si>
    <t xml:space="preserve">m</t>
  </si>
  <si>
    <t xml:space="preserve">Cinta microperforada de papel "KNAUF" de 50 mm de anchura, según UNE-EN 13963.</t>
  </si>
  <si>
    <t xml:space="preserve">mt12pck010d</t>
  </si>
  <si>
    <t xml:space="preserve">Material</t>
  </si>
  <si>
    <t xml:space="preserve">m</t>
  </si>
  <si>
    <t xml:space="preserve">Cinta de papel con refuerzo metálico "KNAUF" de 52 mm de anchura, según UNE-EN 14353.</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</si>
  <si>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</si>
  <si>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</si>
  <si>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</si>
  <si>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</si>
  <si>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</si>
  <si>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</si>
  <si>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</si>
  <si>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</si>
  <si>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</si>
  <si>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</si>
  <si>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</si>
  <si>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</si>
  <si>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</si>
  <si>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</si>
  <si>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</si>
  <si>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</si>
  <si>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</si>
  <si>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</si>
  <si>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</si>
  <si>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</si>
  <si>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</si>
  <si>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</si>
  <si>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</si>
  <si>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</si>
  <si>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FBY015</t>
  </si>
  <si>
    <t xml:space="preserve">HRR100c</t>
  </si>
  <si>
    <t xml:space="preserve">Partida</t>
  </si>
  <si>
    <t xml:space="preserve">m</t>
  </si>
  <si>
    <t xml:space="preserve">Pieza de remate de aluminio prelacado.</t>
  </si>
  <si>
    <t xml:space="preserve">Pieza de remate de chapa plegada de acero prelacado, espesor 1 mm, desarrollo 600 mm y 2 pliegues; fijación con tornillos autotaladrantes de acero galvanizado, y sellado de las juntas entre piezas y, en su caso, de las uniones con los muros con sellador adhesivo monocomponente.
Incluye: Replanteo de las piezas. Corte de las piezas. Colocación, aplomado, nivelación y alineación. Resolución de encuentros y de puntos singulares. Sellado de juntas y limpieza.
Criterio de medición de proyecto: Longitud medida según documentación gráfica de Proyecto.
Criterio de medición de obra: Se medirá la longitud realmente ejecutada según especificaciones de Proyecto.</t>
  </si>
  <si>
    <t xml:space="preserve">mt20rca010lu</t>
  </si>
  <si>
    <t xml:space="preserve">Material</t>
  </si>
  <si>
    <t xml:space="preserve">m</t>
  </si>
  <si>
    <t xml:space="preserve">Pieza de remate de chapa plegada de aluminio prelacado, espesor 1.5 mm, desarrollo 400 mm y 1 pliegue.</t>
  </si>
  <si>
    <t xml:space="preserve">ma-manomano-562170</t>
  </si>
  <si>
    <t xml:space="preserve">Material</t>
  </si>
  <si>
    <t xml:space="preserve">caja</t>
  </si>
  <si>
    <t xml:space="preserve">Taco alargado DuoXpand 10x140 mm FISCHER FUS acero (50 pzas/caja).   Ref. manomano-562170</t>
  </si>
  <si>
    <t xml:space="preserve">ma-s.lucia-sikaflex117metalforce</t>
  </si>
  <si>
    <t xml:space="preserve">Material</t>
  </si>
  <si>
    <t xml:space="preserve">cartucho</t>
  </si>
  <si>
    <t xml:space="preserve">Adhesivo de construcción para pegado de metales SIKAFLEX-117 METAL FORCE (290 ml/cartucho).   Ref. s.lucia-sikaflex117metalforce</t>
  </si>
  <si>
    <t xml:space="preserve">ma-lm-339080</t>
  </si>
  <si>
    <t xml:space="preserve">Material</t>
  </si>
  <si>
    <t xml:space="preserve">cartucho</t>
  </si>
  <si>
    <t xml:space="preserve">Masilla de poliuretano SIKAFLEX 11FC de SIKA; color marrón (300 cm3/cartucho).   Ref. lm-339080</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</si>
  <si>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</si>
  <si>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</si>
  <si>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</si>
  <si>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</si>
  <si>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</si>
  <si>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</si>
  <si>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</si>
  <si>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</si>
  <si>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</si>
  <si>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</si>
  <si>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</si>
  <si>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</si>
  <si>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</si>
  <si>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</si>
  <si>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</si>
  <si>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</si>
  <si>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</si>
  <si>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</si>
  <si>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</si>
  <si>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</si>
  <si>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</si>
  <si>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</si>
  <si>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</si>
  <si>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</si>
  <si>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</si>
  <si>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</si>
  <si>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</si>
  <si>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</si>
  <si>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HRR100c</t>
  </si>
  <si>
    <t xml:space="preserve">INST-TOLDO.PLEGABLE.RETRACTIL.3m</t>
  </si>
  <si>
    <t xml:space="preserve">Partida</t>
  </si>
  <si>
    <t xml:space="preserve">und</t>
  </si>
  <si>
    <t xml:space="preserve">INSTALACIÓN DE TOLDO PLEGABLE PÉRGOLA RETRÀCTIL (L &lt;= 3,00 m)</t>
  </si>
  <si>
    <t xml:space="preserve">INSTALACIÓN DE TOLDO PLEGABLE PÉRGOLA RETRÀCTIL (L &lt;= 3,00 m)</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</si>
  <si>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</si>
  <si>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</si>
  <si>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</si>
  <si>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</si>
  <si>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</si>
  <si>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</si>
  <si>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</si>
  <si>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</si>
  <si>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</si>
  <si>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</si>
  <si>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</si>
  <si>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</si>
  <si>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</si>
  <si>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</si>
  <si>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</si>
  <si>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</si>
  <si>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</si>
  <si>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</si>
  <si>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</si>
  <si>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</si>
  <si>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INST-TOLDO.PLEGABLE.RETRACTIL.3m</t>
  </si>
  <si>
    <t xml:space="preserve">LAMP.EMERGENCIA-LED.100L</t>
  </si>
  <si>
    <t xml:space="preserve">Partida</t>
  </si>
  <si>
    <t xml:space="preserve">Ud</t>
  </si>
  <si>
    <t xml:space="preserve">Luminaria de emergencia con lámpara LED, en zonas comunes.</t>
  </si>
  <si>
    <t xml:space="preserve">Luminaria de emergencia, con autotest, de 1,3 W, con lámpara LED no reemplazable, flujo luminoso 100 lúmenes, carcasa de 210x110x41 mm, aislamiento clase II, grados de protección IP42 e IK07, con baterías de Ni-Cd, autonomía de 1 h, alimentación a 220/240 V y 50-60 Hz y piloto luminoso indicador de carga color verde, en zonas comunes. Instalación en superficie. Incluso accesorios y elementos de fijación.
Incluye: Replanteo. Fijación y nivelación. Montaje, conexionado y comprobación de su correcto funcionamiento.
Criterio de medición de proyecto: Número de unidades previstas, según documentación gráfica de Proyecto.
Criterio de medición de obra: Se medirá el número de unidades realmente ejecutadas según especificaciones de Proyecto.</t>
  </si>
  <si>
    <t xml:space="preserve">mt34aem113e</t>
  </si>
  <si>
    <t xml:space="preserve">Material</t>
  </si>
  <si>
    <t xml:space="preserve">Ud</t>
  </si>
  <si>
    <t xml:space="preserve">Luminaria de emergencia, con autotest, de 1,3 W, con lámpara LED no reemplazable, flujo luminoso 100 lúmenes, carcasa de 210x110x41 mm, aislamiento clase II, grados de protección IP42 e IK07, con baterías de Ni-Cd, autonomía de 1 h, alimentación a 220/240 V y 50-60 Hz y piloto luminoso indicador de carga color verde. Incluso accesorios y elementos de fijación.</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</si>
  <si>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</si>
  <si>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</si>
  <si>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</si>
  <si>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</si>
  <si>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</si>
  <si>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</si>
  <si>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</si>
  <si>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</si>
  <si>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</si>
  <si>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</si>
  <si>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</si>
  <si>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</si>
  <si>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</si>
  <si>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</si>
  <si>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</si>
  <si>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</si>
  <si>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</si>
  <si>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</si>
  <si>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</si>
  <si>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</si>
  <si>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</si>
  <si>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</si>
  <si>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</si>
  <si>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</si>
  <si>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</si>
  <si>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t>
  </si>
  <si>
    <t xml:space="preserve">%</t>
  </si>
  <si>
    <t xml:space="preserve">Costes directos complementarios</t>
  </si>
  <si>
    <t xml:space="preserve">LAMP.EMERGENCIA-LED.100L</t>
  </si>
  <si>
    <t xml:space="preserve">LEVANTADO-PANEL.SANDWICH-S/RECUP</t>
  </si>
  <si>
    <t xml:space="preserve">Partida</t>
  </si>
  <si>
    <t xml:space="preserve">m2</t>
  </si>
  <si>
    <t xml:space="preserve">LEVANTADO MANUAL Y SIN RECUPERACIÓN DE CUBIERTA DE TECHO/FACHADA EXISTENTE EN PANELES TIPO SANDWICH</t>
  </si>
  <si>
    <t xml:space="preserve">Levantado con medios manuales y sin recuperación, de cubiertas de techo/fachada en paneles tipo sandwich, sin deteriorar los elementos constructivos a los que está sujeta.</t>
  </si>
  <si>
    <t xml:space="preserve">ma-lp-00016979</t>
  </si>
  <si>
    <t xml:space="preserve">Material</t>
  </si>
  <si>
    <t xml:space="preserve">envase</t>
  </si>
  <si>
    <t xml:space="preserve">Aflojatodo en Spray WD-40 (400 ml/envase).   Ref. lp-00016979</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</si>
  <si>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</si>
  <si>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</si>
  <si>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</si>
  <si>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</si>
  <si>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</si>
  <si>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</si>
  <si>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</si>
  <si>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</si>
  <si>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</si>
  <si>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</si>
  <si>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</si>
  <si>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</si>
  <si>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</si>
  <si>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</si>
  <si>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</si>
  <si>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</si>
  <si>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</si>
  <si>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</si>
  <si>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</si>
  <si>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</si>
  <si>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LEVANTADO-PANEL.SANDWICH-S/RECUP</t>
  </si>
  <si>
    <t xml:space="preserve">LEVANTADO-PAPEL.TAPIZ-01</t>
  </si>
  <si>
    <t xml:space="preserve">Partida</t>
  </si>
  <si>
    <t xml:space="preserve">m2</t>
  </si>
  <si>
    <t xml:space="preserve">LEVANTADO MANUAL DE PAPEL TAPIZ EN PARAMENTOS INTERIORES</t>
  </si>
  <si>
    <t xml:space="preserve">LIMPIEZA A MANO EN ANDAMIO TUBULAR Y CON DETERGENTE DILUIDO DE ALICATADO CERÁMICO Y/O LADRILLO O.V.-KLINKER</t>
  </si>
  <si>
    <t xml:space="preserve">ma-lp-00394142</t>
  </si>
  <si>
    <t xml:space="preserve">Material</t>
  </si>
  <si>
    <t xml:space="preserve">envase</t>
  </si>
  <si>
    <t xml:space="preserve">Detergente neutro concentrado para limpieza y mantenimiento FILACLEANER (1 litro/envase).   Ref. lp-00394142</t>
  </si>
  <si>
    <t xml:space="preserve">ma-lm-88876532</t>
  </si>
  <si>
    <t xml:space="preserve">Material</t>
  </si>
  <si>
    <t xml:space="preserve">envase</t>
  </si>
  <si>
    <t xml:space="preserve">Eliminador de adhesivos MONESTIR (500 ml/envase).   Ref. lm-88876532</t>
  </si>
  <si>
    <t xml:space="preserve">ma-lp-00007665</t>
  </si>
  <si>
    <t xml:space="preserve">Material</t>
  </si>
  <si>
    <t xml:space="preserve">rollo</t>
  </si>
  <si>
    <t xml:space="preserve">Plástico cubretodo fino polipropileno de MIARCO para protección antes de pintar (2x50 m/rollo; espesor 7 µm).   Ref. lp-00007665</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</si>
  <si>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</si>
  <si>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</si>
  <si>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</si>
  <si>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</si>
  <si>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</si>
  <si>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</si>
  <si>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</si>
  <si>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</si>
  <si>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</si>
  <si>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</si>
  <si>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</si>
  <si>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</si>
  <si>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</si>
  <si>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</si>
  <si>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</si>
  <si>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</si>
  <si>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LEVANTADO-PAPEL.TAPIZ-01</t>
  </si>
  <si>
    <t xml:space="preserve">LEVANTADO-PUERTA-S/RECUP.</t>
  </si>
  <si>
    <t xml:space="preserve">Partida</t>
  </si>
  <si>
    <t xml:space="preserve">m2</t>
  </si>
  <si>
    <t xml:space="preserve">LEVANTADO MANUAL Y SIN RECUPERACIÓN DE PUERTA/BALCONERA DE ALUMINIO Y VIDRIO EXISTENTE</t>
  </si>
  <si>
    <t xml:space="preserve">Levantado con medios manuales y sin recuperación, de puerta o balconera de aluminio y vidrio fijada al paramento mediante recibido en obra de fábrica, sin deteriorar los elementos constructivos a los que está sujeta.</t>
  </si>
  <si>
    <t xml:space="preserve">alq-amolador-mym-01</t>
  </si>
  <si>
    <t xml:space="preserve">Maquinaria</t>
  </si>
  <si>
    <t xml:space="preserve">h</t>
  </si>
  <si>
    <t xml:space="preserve">Alquiler de Amolador Radial Eléctrico Portátil Diámetro 115 mm 750 W / 230 V.   Ref. MÁQUINAS Y MÁQUINAS</t>
  </si>
  <si>
    <t xml:space="preserve">ma-lp-00556678</t>
  </si>
  <si>
    <t xml:space="preserve">Material</t>
  </si>
  <si>
    <t xml:space="preserve">disco</t>
  </si>
  <si>
    <t xml:space="preserve">Disco de corte BIGMAT estándar para metal 115x2,5.   Ref. lp-00556678</t>
  </si>
  <si>
    <t xml:space="preserve">ma-lp-00016979</t>
  </si>
  <si>
    <t xml:space="preserve">Material</t>
  </si>
  <si>
    <t xml:space="preserve">envase</t>
  </si>
  <si>
    <t xml:space="preserve">Aflojatodo en Spray WD-40 (400 ml/envase).   Ref. lp-00016979</t>
  </si>
  <si>
    <t xml:space="preserve">moc1-std1-generico</t>
  </si>
  <si>
    <t xml:space="preserve">Partida</t>
  </si>
  <si>
    <t xml:space="preserve">h</t>
  </si>
  <si>
    <t xml:space="preserve">Cuadrilla Std1 - 1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</si>
  <si>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</si>
  <si>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</si>
  <si>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</si>
  <si>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</si>
  <si>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</si>
  <si>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</si>
  <si>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</si>
  <si>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</si>
  <si>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moc1-std1-generico</t>
  </si>
  <si>
    <t xml:space="preserve">mo%</t>
  </si>
  <si>
    <t xml:space="preserve">%</t>
  </si>
  <si>
    <t xml:space="preserve">Herramientas Menores</t>
  </si>
  <si>
    <t xml:space="preserve">LEVANTADO-PUERTA-S/RECUP.</t>
  </si>
  <si>
    <t xml:space="preserve">LMP-VIDRIOS-TV</t>
  </si>
  <si>
    <t xml:space="preserve">Partida</t>
  </si>
  <si>
    <t xml:space="preserve">M2</t>
  </si>
  <si>
    <t xml:space="preserve">o LIMPIEZA DE VIDRIOS EN VENTANAS/BALCONERAS DE FACHADA</t>
  </si>
  <si>
    <t xml:space="preserve">Limpieza de las superficies con detergente líquido biodegradable, con producto específico para superficies de piedra naturaleza, hormigón u obra vista, tipo KEIM LIMPIADOR DE PIEDRA, con una proporción de 1:10 partes de agua, recomendado por fabricante y adaptante la disolución a las necesidades del paramento. Este detergente es adecuado para limpiar grasas, aceites y polución. Se aplicará con pincel. Posteriormente, las zonas tratadas se limpiarán con agua a presión, de abajo a arriba, finalmente las superficies así limpiadas se aclararán posteriormente con agua.</t>
  </si>
  <si>
    <t xml:space="preserve">ma-farcosa-02050032</t>
  </si>
  <si>
    <t xml:space="preserve">Material</t>
  </si>
  <si>
    <t xml:space="preserve">bidón</t>
  </si>
  <si>
    <t xml:space="preserve">Limpiacristales ECOFLASH-ECOLABEL SORO (5 litros/bidón).   Ref. farcosa-02050032</t>
  </si>
  <si>
    <t xml:space="preserve">moc-std1-trabajos.verticales</t>
  </si>
  <si>
    <t xml:space="preserve">Partida</t>
  </si>
  <si>
    <t xml:space="preserve">h</t>
  </si>
  <si>
    <t xml:space="preserve">Cuadrilla Std1 Trabajos Verticales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</si>
  <si>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</si>
  <si>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</si>
  <si>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</si>
  <si>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</si>
  <si>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</si>
  <si>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</si>
  <si>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</si>
  <si>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</si>
  <si>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moc-std1-trabajos.verticales</t>
  </si>
  <si>
    <t xml:space="preserve">LMP-VIDRIOS-TV</t>
  </si>
  <si>
    <t xml:space="preserve">MAMPARA.DIVISORIA.NUEVA</t>
  </si>
  <si>
    <t xml:space="preserve">Partida</t>
  </si>
  <si>
    <t xml:space="preserve">pza</t>
  </si>
  <si>
    <t xml:space="preserve">SUSTITUCIÓN MAMPARA SEPARADORA DE CERRAJERÍA EN BALCONES</t>
  </si>
  <si>
    <t xml:space="preserve">SUSTITUCIÓN MAMPARA SEPARADORA DE CERRAJERÍA EN BALCONES</t>
  </si>
  <si>
    <t xml:space="preserve">ma-lm-13217904</t>
  </si>
  <si>
    <t xml:space="preserve">Material</t>
  </si>
  <si>
    <t xml:space="preserve">pza</t>
  </si>
  <si>
    <t xml:space="preserve">Soporte metálico para poste (9x9 cm/pza).   Ref. lm-13217904</t>
  </si>
  <si>
    <t xml:space="preserve">ma-lp-00016796</t>
  </si>
  <si>
    <t xml:space="preserve">Material</t>
  </si>
  <si>
    <t xml:space="preserve">pza</t>
  </si>
  <si>
    <t xml:space="preserve">Tubo de hierro con sección cuadrada 10x10 mm (1 m/pza).   Ref. lp-00016796</t>
  </si>
  <si>
    <t xml:space="preserve">ma-bm-10943415</t>
  </si>
  <si>
    <t xml:space="preserve">Material</t>
  </si>
  <si>
    <t xml:space="preserve">bolsa</t>
  </si>
  <si>
    <t xml:space="preserve">Tamiz de nylon para taco/anclaje químico; 16x130 mm FISCHER (20 pzas./bolsa)   Ref. bm-10943415</t>
  </si>
  <si>
    <t xml:space="preserve">ma-lp-00016912</t>
  </si>
  <si>
    <t xml:space="preserve">Material</t>
  </si>
  <si>
    <t xml:space="preserve">bolsa</t>
  </si>
  <si>
    <t xml:space="preserve">Espárrago/Varilla de inyección para anclaje químico FISCHER FIS GS; 10x165 mm (8 pzas/bolsa).   Ref. lp-00016912.</t>
  </si>
  <si>
    <t xml:space="preserve">ma-lp-00016626</t>
  </si>
  <si>
    <t xml:space="preserve">Material</t>
  </si>
  <si>
    <t xml:space="preserve">cartucho</t>
  </si>
  <si>
    <t xml:space="preserve">Anclaje/Taco químico de resina FISCHER FIS VS 300 T (300 ml/cartucho).   Ref. lp-00016626</t>
  </si>
  <si>
    <t xml:space="preserve">ma-manomano-ME87267243</t>
  </si>
  <si>
    <t xml:space="preserve">Material</t>
  </si>
  <si>
    <t xml:space="preserve">pza</t>
  </si>
  <si>
    <t xml:space="preserve">Soporte metálico atornillable para poste TT 90/200/200mm.   Ref. manomano-ME87267243</t>
  </si>
  <si>
    <t xml:space="preserve">ma-lp-00215083</t>
  </si>
  <si>
    <t xml:space="preserve">Material</t>
  </si>
  <si>
    <t xml:space="preserve">caja</t>
  </si>
  <si>
    <t xml:space="preserve">Taco DUOPOWER de FISCHER (50 pzas/caja).   Ref. lp-00215083</t>
  </si>
  <si>
    <t xml:space="preserve">ma-vallano-catedral-armado-6mm</t>
  </si>
  <si>
    <t xml:space="preserve">Material</t>
  </si>
  <si>
    <t xml:space="preserve">m2</t>
  </si>
  <si>
    <t xml:space="preserve">Vidrio catedral armado con malla (espesor 6 mm).   Ref. vallano-catedral-armado-6mm</t>
  </si>
  <si>
    <t xml:space="preserve">ma-construmole-canala0073-UE.100</t>
  </si>
  <si>
    <t xml:space="preserve">Material</t>
  </si>
  <si>
    <t xml:space="preserve">pza</t>
  </si>
  <si>
    <t xml:space="preserve">Pisavidrio aluminio anodizado natural (3/8”x 3/8”x6 m/pza; 0,95x0,95x600 cm/pza).   Ref: construmole-canala0073-UE.100</t>
  </si>
  <si>
    <t xml:space="preserve">ma-lp-00541255</t>
  </si>
  <si>
    <t xml:space="preserve">Material</t>
  </si>
  <si>
    <t xml:space="preserve">envase</t>
  </si>
  <si>
    <t xml:space="preserve">Masilla de poliuretano BIGMAT (300 ml/envase); color gris.   Ref. lp-00541255</t>
  </si>
  <si>
    <t xml:space="preserve">ma-bm-10003607</t>
  </si>
  <si>
    <t xml:space="preserve">Material</t>
  </si>
  <si>
    <t xml:space="preserve">und</t>
  </si>
  <si>
    <t xml:space="preserve">Broca para hormigón SDS Plus-3 BOSCH CYL-3; 14x260 mm   Ref. bm-10003607</t>
  </si>
  <si>
    <t xml:space="preserve">ma-lp-00367910</t>
  </si>
  <si>
    <t xml:space="preserve">Material</t>
  </si>
  <si>
    <t xml:space="preserve">caja</t>
  </si>
  <si>
    <t xml:space="preserve">Juego de brocas metal HSS-CO-DIN 338 (19 brocas/caja).   Ref. lp-00367910</t>
  </si>
  <si>
    <t xml:space="preserve">ma-lp-00556678</t>
  </si>
  <si>
    <t xml:space="preserve">Material</t>
  </si>
  <si>
    <t xml:space="preserve">disco</t>
  </si>
  <si>
    <t xml:space="preserve">Disco de corte BIGMAT estándar para metal 115x2,5.   Ref. lp-00556678</t>
  </si>
  <si>
    <t xml:space="preserve">alq-amolador-mym-01</t>
  </si>
  <si>
    <t xml:space="preserve">Maquinaria</t>
  </si>
  <si>
    <t xml:space="preserve">h</t>
  </si>
  <si>
    <t xml:space="preserve">Alquiler de Amolador Radial Eléctrico Portátil Diámetro 115 mm 750 W / 230 V.   Ref. MÁQUINAS Y MÁQUINAS</t>
  </si>
  <si>
    <t xml:space="preserve">alq-taladro-tq-01</t>
  </si>
  <si>
    <t xml:space="preserve">Maquinaria</t>
  </si>
  <si>
    <t xml:space="preserve">h</t>
  </si>
  <si>
    <t xml:space="preserve">Alquiler de Taladro Percutor (Cable-Batería).   Ref. TOOLQUICK</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</si>
  <si>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</si>
  <si>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</si>
  <si>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</si>
  <si>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</si>
  <si>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</si>
  <si>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</si>
  <si>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</si>
  <si>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</si>
  <si>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</si>
  <si>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</si>
  <si>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</si>
  <si>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</si>
  <si>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</si>
  <si>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</si>
  <si>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</si>
  <si>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</si>
  <si>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</si>
  <si>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</si>
  <si>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</si>
  <si>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</si>
  <si>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MAMPARA.DIVISORIA.NUEVA</t>
  </si>
  <si>
    <t xml:space="preserve">MANILLA</t>
  </si>
  <si>
    <t xml:space="preserve">Partida</t>
  </si>
  <si>
    <t xml:space="preserve">ut</t>
  </si>
  <si>
    <t xml:space="preserve">SUMINISTRO Y COLOCACIÓN DE MANILLA PARA PUERTA BASISC DE FORMANI LBVII-19.INOX</t>
  </si>
  <si>
    <t xml:space="preserve">Suministro y colocación de manilla para puerta basisc de formani lbvii-19.inox</t>
  </si>
  <si>
    <t xml:space="preserve">ma-d.herrajes-sku.1501D150INXX0</t>
  </si>
  <si>
    <t xml:space="preserve">Material</t>
  </si>
  <si>
    <t xml:space="preserve">pza</t>
  </si>
  <si>
    <t xml:space="preserve">Manilla para puerta serie BASICS de FORMANI LBVII-19, acabado inox. mate.   Ref. d.herrajes-sku.1501D150INXX0</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</si>
  <si>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</si>
  <si>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</si>
  <si>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</si>
  <si>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</si>
  <si>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</si>
  <si>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</si>
  <si>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</si>
  <si>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</si>
  <si>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</si>
  <si>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</si>
  <si>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</si>
  <si>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</si>
  <si>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</si>
  <si>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</si>
  <si>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</si>
  <si>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</si>
  <si>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MANILLA</t>
  </si>
  <si>
    <t xml:space="preserve">MANIPULACION-CANALIZACIONES</t>
  </si>
  <si>
    <t xml:space="preserve">Partida</t>
  </si>
  <si>
    <t xml:space="preserve">m</t>
  </si>
  <si>
    <t xml:space="preserve">MANIPULACIÓN DE INSTALACIONES EN PARAMENTO VERTICAL</t>
  </si>
  <si>
    <t xml:space="preserve">Aplicación manual de dos manos de pintura plastica en interior, color a elegir, acabado mate, textura lisa, a dos manos previa aplicación de una mano de imprimación. El precio incluye la protección de los elementos del entorno que puedan verse afectados durante los trabajos.</t>
  </si>
  <si>
    <t xml:space="preserve">ma-lp-00015438</t>
  </si>
  <si>
    <t xml:space="preserve">Material</t>
  </si>
  <si>
    <t xml:space="preserve">bolsa</t>
  </si>
  <si>
    <t xml:space="preserve">Taco fijación presión 8 mm de SOLERA con pasador para bridas; color negro (100 pzas/bolsa).   Ref. lp-00015438</t>
  </si>
  <si>
    <t xml:space="preserve">ma-lp-00514905</t>
  </si>
  <si>
    <t xml:space="preserve">Material</t>
  </si>
  <si>
    <t xml:space="preserve">bolsa</t>
  </si>
  <si>
    <t xml:space="preserve">Bridas plásticas 300x4,8 mm (100 pzas/bolsa)   Ref. lp-00514905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</si>
  <si>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</si>
  <si>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</si>
  <si>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</si>
  <si>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</si>
  <si>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</si>
  <si>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</si>
  <si>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</si>
  <si>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</si>
  <si>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</si>
  <si>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</si>
  <si>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</si>
  <si>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</si>
  <si>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</si>
  <si>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</si>
  <si>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</si>
  <si>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</si>
  <si>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</si>
  <si>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</si>
  <si>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</si>
  <si>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</si>
  <si>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MANIPULACION-CANALIZACIONES</t>
  </si>
  <si>
    <t xml:space="preserve">MONTANTE-MULTICAPA-AT-25mm</t>
  </si>
  <si>
    <t xml:space="preserve">Partida</t>
  </si>
  <si>
    <t xml:space="preserve">m</t>
  </si>
  <si>
    <t xml:space="preserve">SUMINISTRO Y COLOCACIÓN DE MONTANTE MULTICAPA 25mm EN INSTALACIÓN SUPERFICIAL, MEDIANTE EL USO DE ANDAMIO TUBULAR</t>
  </si>
  <si>
    <t xml:space="preserve">Suministro y colocación de montante multicapa 25mm en instalación superficial, mediante el uso de andamio tubular</t>
  </si>
  <si>
    <t xml:space="preserve">ma-bm-10286310</t>
  </si>
  <si>
    <t xml:space="preserve">Material</t>
  </si>
  <si>
    <t xml:space="preserve">rollo</t>
  </si>
  <si>
    <t xml:space="preserve">Tubo MULTICAPA PERT-AL-PERT 25 mm; espesor 2,5 mm (25 m/rollo).   Ref. bm-10286310</t>
  </si>
  <si>
    <t xml:space="preserve">ma-bm-10269665</t>
  </si>
  <si>
    <t xml:space="preserve">Material</t>
  </si>
  <si>
    <t xml:space="preserve">pza</t>
  </si>
  <si>
    <t xml:space="preserve">Válvula esfera MULTICAPA MULTIPEX 25 mm.   Ref. bm-10269665</t>
  </si>
  <si>
    <t xml:space="preserve">ma-bm-10269385</t>
  </si>
  <si>
    <t xml:space="preserve">Material</t>
  </si>
  <si>
    <t xml:space="preserve">pza</t>
  </si>
  <si>
    <t xml:space="preserve">Codo 90º MULTICAPA MULTIPEX 25 mm.   Ref. bm-10269385</t>
  </si>
  <si>
    <t xml:space="preserve">ma-lp-00099522</t>
  </si>
  <si>
    <t xml:space="preserve">Material</t>
  </si>
  <si>
    <t xml:space="preserve">pza</t>
  </si>
  <si>
    <t xml:space="preserve">Manguito reducido MULTICAPA MULTIPEX 25-20 mm.   Ref. lp-00099522</t>
  </si>
  <si>
    <t xml:space="preserve">ma-lp-00099533</t>
  </si>
  <si>
    <t xml:space="preserve">Material</t>
  </si>
  <si>
    <t xml:space="preserve">pza</t>
  </si>
  <si>
    <t xml:space="preserve">Te MULTICAPA MULTIPEX 25 mm.   Ref. lp-00099533</t>
  </si>
  <si>
    <t xml:space="preserve">ma-lp-00017555</t>
  </si>
  <si>
    <t xml:space="preserve">Material</t>
  </si>
  <si>
    <t xml:space="preserve">pza</t>
  </si>
  <si>
    <t xml:space="preserve">Carril de montaje FISCHER SAMONTEC FUS 41/21/2 (2 m/pza).   Ref. lp-00017555</t>
  </si>
  <si>
    <t xml:space="preserve">ma-lp-00094317</t>
  </si>
  <si>
    <t xml:space="preserve">Material</t>
  </si>
  <si>
    <t xml:space="preserve">pza</t>
  </si>
  <si>
    <t xml:space="preserve">Abrazadera FISCHER CLIP FT para la fijación de cables y tubos IEC 32 mm.   Ref. lp-00094317</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</si>
  <si>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</si>
  <si>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</si>
  <si>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</si>
  <si>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</si>
  <si>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</si>
  <si>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</si>
  <si>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</si>
  <si>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</si>
  <si>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</si>
  <si>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</si>
  <si>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</si>
  <si>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</si>
  <si>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</si>
  <si>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</si>
  <si>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</si>
  <si>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</si>
  <si>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</si>
  <si>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</si>
  <si>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</si>
  <si>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</si>
  <si>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</si>
  <si>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</si>
  <si>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</si>
  <si>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</si>
  <si>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</si>
  <si>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</si>
  <si>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</si>
  <si>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</si>
  <si>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</si>
  <si>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</si>
  <si>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</si>
  <si>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</si>
  <si>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MONTANTE-MULTICAPA-AT-25mm</t>
  </si>
  <si>
    <t xml:space="preserve">MORCAL002</t>
  </si>
  <si>
    <t xml:space="preserve">Partida</t>
  </si>
  <si>
    <t xml:space="preserve">M2</t>
  </si>
  <si>
    <t xml:space="preserve">o CAPA BASE DE MORTERO DE CAL WEBERCAL BASIC 15 mm</t>
  </si>
  <si>
    <t xml:space="preserve">Capa base de mortero de cal, WEBERCAL BASIC, color blanco, de 15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</si>
  <si>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ma-manau-32952500</t>
  </si>
  <si>
    <t xml:space="preserve">Material</t>
  </si>
  <si>
    <t xml:space="preserve">saco</t>
  </si>
  <si>
    <t xml:space="preserve">Mortero para enfoscado de cal en capa gruesa WEBERCAL BASIC de WEBER; color gris (25 kg/saco).   Ref. prolisur-07</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</si>
  <si>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</si>
  <si>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</si>
  <si>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</si>
  <si>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</si>
  <si>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</si>
  <si>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</si>
  <si>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</si>
  <si>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</si>
  <si>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ma-dp-02145587</t>
  </si>
  <si>
    <t xml:space="preserve">Material</t>
  </si>
  <si>
    <t xml:space="preserve">perfil</t>
  </si>
  <si>
    <t xml:space="preserve">Perfil cantonera WEBERTHERM de PVC con malla de fibra de vidrio (2,5 m/perfil).   Ref. dp-02145587</t>
  </si>
  <si>
    <t xml:space="preserve">ma-dp-79291497</t>
  </si>
  <si>
    <t xml:space="preserve">Material</t>
  </si>
  <si>
    <t xml:space="preserve">perfil</t>
  </si>
  <si>
    <t xml:space="preserve">Perfil goterón WEBERTHERM CF de PVC con malla de fibra de vidrio (2,5 m/perfil).   Ref. dp-79291497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</si>
  <si>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</si>
  <si>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</si>
  <si>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</si>
  <si>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</si>
  <si>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</si>
  <si>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</si>
  <si>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</si>
  <si>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</si>
  <si>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</si>
  <si>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</si>
  <si>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</si>
  <si>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</si>
  <si>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</si>
  <si>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</si>
  <si>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</si>
  <si>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</si>
  <si>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</si>
  <si>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</si>
  <si>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</si>
  <si>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</si>
  <si>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MORCAL002</t>
  </si>
  <si>
    <t xml:space="preserve">MORCAL003</t>
  </si>
  <si>
    <t xml:space="preserve">Partida</t>
  </si>
  <si>
    <t xml:space="preserve">M2</t>
  </si>
  <si>
    <t xml:space="preserve">o CAPA DE TERMINACION DE MORTERO DE CAL WEBERCAL LISO 5 mm</t>
  </si>
  <si>
    <t xml:space="preserve">Capa de terminacion de mortero de cal, WEBERCAL LISO, de 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</si>
  <si>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 xml:space="preserve">ma-prolisur-05</t>
  </si>
  <si>
    <t xml:space="preserve">Material</t>
  </si>
  <si>
    <t xml:space="preserve">saco</t>
  </si>
  <si>
    <t xml:space="preserve">Mortero de revoco WEBERCAL LISO de WEBER a base de cal en capa fina para sistemas bicapa (25 kg/saco).   Ref. prolisur-05</t>
  </si>
  <si>
    <t xml:space="preserve">ma-lp-00001705</t>
  </si>
  <si>
    <t xml:space="preserve">Material</t>
  </si>
  <si>
    <t xml:space="preserve">rollo</t>
  </si>
  <si>
    <t xml:space="preserve">Malla de fibra de vidrio azul para refuerzo de morteros y revocos (rollo 50x1 m)   Ref. lp-00001705</t>
  </si>
  <si>
    <t xml:space="preserve">ma-lp-00001498</t>
  </si>
  <si>
    <t xml:space="preserve">Material</t>
  </si>
  <si>
    <t xml:space="preserve">und</t>
  </si>
  <si>
    <t xml:space="preserve">Junquillo monocapa PVC (2 m/und).   Ref. lp-00001498</t>
  </si>
  <si>
    <t xml:space="preserve">ma-dp-02145587</t>
  </si>
  <si>
    <t xml:space="preserve">Material</t>
  </si>
  <si>
    <t xml:space="preserve">perfil</t>
  </si>
  <si>
    <t xml:space="preserve">Perfil cantonera WEBERTHERM de PVC con malla de fibra de vidrio (2,5 m/perfil).   Ref. dp-02145587</t>
  </si>
  <si>
    <t xml:space="preserve">ma-dp-79291497</t>
  </si>
  <si>
    <t xml:space="preserve">Material</t>
  </si>
  <si>
    <t xml:space="preserve">perfil</t>
  </si>
  <si>
    <t xml:space="preserve">Perfil goterón WEBERTHERM CF de PVC con malla de fibra de vidrio (2,5 m/perfil).   Ref. dp-79291497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</si>
  <si>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</si>
  <si>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</si>
  <si>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</si>
  <si>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</si>
  <si>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</si>
  <si>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</si>
  <si>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</si>
  <si>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</si>
  <si>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</si>
  <si>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</si>
  <si>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</si>
  <si>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</si>
  <si>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</si>
  <si>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</si>
  <si>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</si>
  <si>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</si>
  <si>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</si>
  <si>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</si>
  <si>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</si>
  <si>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</si>
  <si>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MORCAL003</t>
  </si>
  <si>
    <t xml:space="preserve">NIT020</t>
  </si>
  <si>
    <t xml:space="preserve">Partida</t>
  </si>
  <si>
    <t xml:space="preserve">m²</t>
  </si>
  <si>
    <t xml:space="preserve">Impermeabilización de pared medianera con tabique pluvial de placas conformadas.</t>
  </si>
  <si>
    <t xml:space="preserve">Impermeabilización de pared medianera de hasta 12 m de altura con tabique pluvial de placas grecadas de acero galvanizado, de 0,6 mm de espesor, con nervios cada 20 a 24 cm, inercia entre 5 y 6 cm4 y masa superficial entre 5,4 y 5,7 kg/m², acabado prelacado en color estándar, disposición de las placas en hiladas solapadas, fijadas a la pared medianera sobre rastreles metálicos con tornillos rosca-chapa; y remate perimetral de plancha galvanizada esmaltada, de varios colores.
Incluye: Preparación y limpieza del soporte. Replanteo del entramado de rastreles metálicos. Fijación de los rastreles al soporte. Corte y presentación de las placas del tabique pluvial. Colocación de las placas. Resolución del perímetro interior y exterior del elemento. Sujeción de las placas. Repasos y limpieza.
Criterio de medición de proyecto: Superficie medida según documentación gráfica de Proyecto.
Criterio de medición de obra: Se medirá la superficie realmente ejecutada según especificaciones de Proyecto.</t>
  </si>
  <si>
    <t xml:space="preserve">mt13lpw020</t>
  </si>
  <si>
    <t xml:space="preserve">Material</t>
  </si>
  <si>
    <t xml:space="preserve">m</t>
  </si>
  <si>
    <t xml:space="preserve">Rastrel de chapa galvanizada, para fijación de placas en tabiques pluviales.</t>
  </si>
  <si>
    <t xml:space="preserve">ma-lp-00215083</t>
  </si>
  <si>
    <t xml:space="preserve">Material</t>
  </si>
  <si>
    <t xml:space="preserve">caja</t>
  </si>
  <si>
    <t xml:space="preserve">Taco DUOPOWER de FISCHER (50 pzas/caja).   Ref. lp-00215083</t>
  </si>
  <si>
    <t xml:space="preserve">ma-lp-00275683</t>
  </si>
  <si>
    <t xml:space="preserve">Material</t>
  </si>
  <si>
    <t xml:space="preserve">paquete</t>
  </si>
  <si>
    <t xml:space="preserve">Placa XPS SL para Sistema SATE; 1250x600x60 mm/panel (5,25 m2/paquete).   Ref. lp-00275683</t>
  </si>
  <si>
    <t xml:space="preserve">ma-lp-00558747</t>
  </si>
  <si>
    <t xml:space="preserve">Material</t>
  </si>
  <si>
    <t xml:space="preserve">caja</t>
  </si>
  <si>
    <t xml:space="preserve">Taco con plato para fijación mecánica de placa aislante por golpeo REDARTHERM H2 ECO 095 (100 pzas/caja).   Ref. lp-00558747</t>
  </si>
  <si>
    <t xml:space="preserve">ma-diaterm-C30-206B</t>
  </si>
  <si>
    <t xml:space="preserve">Material</t>
  </si>
  <si>
    <t xml:space="preserve">m2</t>
  </si>
  <si>
    <t xml:space="preserve">Chapa pluvial grecada 0,6 mm; acabado prelacado (perfil P/30/206/1030).   Ref. diaterm-C30-206B</t>
  </si>
  <si>
    <t xml:space="preserve">mt13lpw030</t>
  </si>
  <si>
    <t xml:space="preserve">Material</t>
  </si>
  <si>
    <t xml:space="preserve">Ud</t>
  </si>
  <si>
    <t xml:space="preserve">Tornillo rosca-chapa, para fijación de placas sobre rastreles metálicos.</t>
  </si>
  <si>
    <t xml:space="preserve">mt13lps020</t>
  </si>
  <si>
    <t xml:space="preserve">Material</t>
  </si>
  <si>
    <t xml:space="preserve">m</t>
  </si>
  <si>
    <t xml:space="preserve">Remate perimetral de plancha galvanizada esmaltada, de varios colores.</t>
  </si>
  <si>
    <t xml:space="preserve">ma-lm-322182</t>
  </si>
  <si>
    <t xml:space="preserve">Material</t>
  </si>
  <si>
    <t xml:space="preserve">cartucho</t>
  </si>
  <si>
    <t xml:space="preserve">Masilla de poliuretano SIKAFLEX 11FC de SIKA; color gris (300 cm3/cartucho).   Ref. lm-322182</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</si>
  <si>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</si>
  <si>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</si>
  <si>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</si>
  <si>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</si>
  <si>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</si>
  <si>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</si>
  <si>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</si>
  <si>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</si>
  <si>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</si>
  <si>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</si>
  <si>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</si>
  <si>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</si>
  <si>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</si>
  <si>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</si>
  <si>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</si>
  <si>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</si>
  <si>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</si>
  <si>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t>
  </si>
  <si>
    <t xml:space="preserve">%</t>
  </si>
  <si>
    <t xml:space="preserve">Costes directos complementarios</t>
  </si>
  <si>
    <t xml:space="preserve">NIT020</t>
  </si>
  <si>
    <t xml:space="preserve">PARED.INT-LADRILLO.HUECO.P/R-7cm</t>
  </si>
  <si>
    <t xml:space="preserve">Partida</t>
  </si>
  <si>
    <t xml:space="preserve">m2</t>
  </si>
  <si>
    <t xml:space="preserve">HOJA DE PARTICIÓN INTERIOR DE FÁBRICA DE LADRILLO CERÁMICO HUECO PARA REVESTIR (ESPESOR 7 CM)</t>
  </si>
  <si>
    <t xml:space="preserve">Hoja de partición interior, de 7 cm de espesor, de fábrica de ladrillo cerámico hueco (tochana), para revestir, 29x14x7 cm, con juntas horizontales y verticales de 10 mm de espesor, recibida con mortero de cemento confeccionado en obra, con 250 kg/m³ de cemento, color gris, dosificación 1:6, suministrado en sacos.
Incluye: Replanteo y trazado en el forjado de los tabiques a realizar. Marcado en los pilares de los niveles de referencia general de planta y de nivel de pavimento. Colocación y aplomado de miras de referencia. Colocación, aplomado y nivelación de cercos y precercos de puertas y armarios. Tendido de hilos entre miras. Preparación del mortero. Colocación de las piezas por hiladas a nivel. Recibido a la obra de cercos y precercos. Encuentros de la fábrica con fachadas, pilares y tabiques. Encuentro de la fábrica con el forjado superior. Limpieza del paramento.
Criterio de medición de proyecto: Superficie medida según documentación gráfica de Proyecto, sin duplicar esquinas ni encuentros, deduciendo los huecos de superficie mayor de 3 m². En los huecos que no se deduzcan, están incluidos los trabajos de realizar la superficie interior del hueco.
Criterio de medición de obra: Se medirá la superficie realmente ejecutada según especificaciones de Proyecto, sin duplicar esquinas ni encuentros, deduciendo los huecos de superficie mayor de 3 m². En los huecos que no se deduzcan, están incluidos los trabajos de realizar la superficie interior del hueco.</t>
  </si>
  <si>
    <t xml:space="preserve">mt04lcc010b</t>
  </si>
  <si>
    <t xml:space="preserve">Material</t>
  </si>
  <si>
    <t xml:space="preserve">Ud</t>
  </si>
  <si>
    <t xml:space="preserve">Ladrillo cerámico hueco (tochana), para revestir, 29x14x7 cm, para uso en fábrica protegida (pieza P), densidad 805 kg/m³, según UNE-EN 771-1.</t>
  </si>
  <si>
    <t xml:space="preserve">ma-lp-00001603A</t>
  </si>
  <si>
    <t xml:space="preserve">Material</t>
  </si>
  <si>
    <t xml:space="preserve">saco</t>
  </si>
  <si>
    <t xml:space="preserve">Mortero seco para aplicaciones en albañilería M-7,5 VALSEC; color gris (25 kg/saco)   Ref. lp-00001603</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</si>
  <si>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</si>
  <si>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</si>
  <si>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</si>
  <si>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</si>
  <si>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</si>
  <si>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</si>
  <si>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</si>
  <si>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</si>
  <si>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</si>
  <si>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</si>
  <si>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</si>
  <si>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</si>
  <si>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</si>
  <si>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</si>
  <si>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</si>
  <si>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</si>
  <si>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</si>
  <si>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</si>
  <si>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</si>
  <si>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</si>
  <si>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PARED.INT-LADRILLO.HUECO.P/R-7cm</t>
  </si>
  <si>
    <t xml:space="preserve">PINT-SILICONADA.PROEXIL-H-AT</t>
  </si>
  <si>
    <t xml:space="preserve">Partida</t>
  </si>
  <si>
    <t xml:space="preserve">m2</t>
  </si>
  <si>
    <t xml:space="preserve">XXXXXX PINTURA ACRÍLICA SILICONADA "PROCOLOR/PROEXIL" EN PARAMENTOS HORIZONTALES (FCH)</t>
  </si>
  <si>
    <t xml:space="preserve">PINTURA ACRÍLICA SILICONADA "PROCOLOR/PROEXIL" EN PARAMENTOS HORIZONTALES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</si>
  <si>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</si>
  <si>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</si>
  <si>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</si>
  <si>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</si>
  <si>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ma-imcasa-01-B</t>
  </si>
  <si>
    <t xml:space="preserve">Material</t>
  </si>
  <si>
    <t xml:space="preserve">bidón</t>
  </si>
  <si>
    <t xml:space="preserve">Pintura acrílica siliconada PROEXIL LISO MATE de PROCOLOR (15 litros/bidón).   Ref. imcasa-01-B</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</si>
  <si>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</si>
  <si>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</si>
  <si>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</si>
  <si>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</si>
  <si>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</si>
  <si>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</si>
  <si>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</si>
  <si>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</si>
  <si>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</si>
  <si>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</si>
  <si>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</si>
  <si>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</si>
  <si>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</si>
  <si>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</si>
  <si>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</si>
  <si>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</si>
  <si>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</si>
  <si>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</si>
  <si>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</si>
  <si>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</si>
  <si>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PINT-SILICONADA.PROEXIL-H-AT</t>
  </si>
  <si>
    <t xml:space="preserve">PINT-SILICONADA.PROSILOX-V-AT</t>
  </si>
  <si>
    <t xml:space="preserve">Partida</t>
  </si>
  <si>
    <t xml:space="preserve">m2</t>
  </si>
  <si>
    <t xml:space="preserve">PINTURA ACRÍLICA SILICONADA "PROSILOX/PROCOLOR" EN PARAMENTOS VERTICALES (FCH)</t>
  </si>
  <si>
    <t xml:space="preserve">PINTURA ACRÍLICA SILICONADA "PROSILOX/PROCOLOR" EN PARAMENTOS VERTICALES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</si>
  <si>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</si>
  <si>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</si>
  <si>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</si>
  <si>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</si>
  <si>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ma-pinturasalejo-prosilox.liso.m</t>
  </si>
  <si>
    <t xml:space="preserve">Material</t>
  </si>
  <si>
    <t xml:space="preserve">bidón</t>
  </si>
  <si>
    <t xml:space="preserve">Pintura al siloxano para fachadas PROSILOX LISO MIX de PROCOLOR (15 litros/bidón).   Ref. pinturasalejo-prosilox.liso.mix-15</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</si>
  <si>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</si>
  <si>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</si>
  <si>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</si>
  <si>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</si>
  <si>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</si>
  <si>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</si>
  <si>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</si>
  <si>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</si>
  <si>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</si>
  <si>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</si>
  <si>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</si>
  <si>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</si>
  <si>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</si>
  <si>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</si>
  <si>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</si>
  <si>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</si>
  <si>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</si>
  <si>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</si>
  <si>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</si>
  <si>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</si>
  <si>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PINT-SILICONADA.PROSILOX-V-AT</t>
  </si>
  <si>
    <t xml:space="preserve">PRE-KIT.EQUIPOS-001</t>
  </si>
  <si>
    <t xml:space="preserve">Partida</t>
  </si>
  <si>
    <t xml:space="preserve">und</t>
  </si>
  <si>
    <t xml:space="preserve">KIT DE EQUIPOS MENORES TRANSPORTABLES PARA TRABAJOS EN ALTURA</t>
  </si>
  <si>
    <t xml:space="preserve">KIT DE EQUIPOS MENORES TRANSPORTABLES PARA TRABAJOS EN ALTURA</t>
  </si>
  <si>
    <t xml:space="preserve">ma-lp-00559942</t>
  </si>
  <si>
    <t xml:space="preserve">Material</t>
  </si>
  <si>
    <t xml:space="preserve">und</t>
  </si>
  <si>
    <t xml:space="preserve">Andamio móvil 1,8 metros (h plataforma = 90 cm).   Ref. lp-00559942</t>
  </si>
  <si>
    <t xml:space="preserve">ma-lp-00145530</t>
  </si>
  <si>
    <t xml:space="preserve">Material</t>
  </si>
  <si>
    <t xml:space="preserve">pack</t>
  </si>
  <si>
    <t xml:space="preserve">Caballete/Borriqueta plegable JUNIOR de STANLEY (2 pzas/pack).   Ref. lp-00145530</t>
  </si>
  <si>
    <t xml:space="preserve">ma-bauhaus-14416274</t>
  </si>
  <si>
    <t xml:space="preserve">Material</t>
  </si>
  <si>
    <t xml:space="preserve">pza</t>
  </si>
  <si>
    <t xml:space="preserve">Tablero aserrado de madera sin pulir de abeto rojo (300 x 20 x 4 cm/pza).   Ref. bauhaus-14416274</t>
  </si>
  <si>
    <t xml:space="preserve">ma-lp-00461515</t>
  </si>
  <si>
    <t xml:space="preserve">Material</t>
  </si>
  <si>
    <t xml:space="preserve">und</t>
  </si>
  <si>
    <t xml:space="preserve">Escalera tijera de aluminio STEPPY 3 tramos de TENDO (h trabajo = 2,68 m).   Ref. lp-00461515</t>
  </si>
  <si>
    <t xml:space="preserve">ma-lp-00556967</t>
  </si>
  <si>
    <t xml:space="preserve">Material</t>
  </si>
  <si>
    <t xml:space="preserve">und</t>
  </si>
  <si>
    <t xml:space="preserve">Escalera multiposición de aluminio 4x4 BIGMAT de LITAN (h = 3,83 m).   Ref. lp-00556967</t>
  </si>
  <si>
    <t xml:space="preserve">PRE-KIT.EQUIPOS-001</t>
  </si>
  <si>
    <t xml:space="preserve">PROT.CUB.VECINA</t>
  </si>
  <si>
    <t xml:space="preserve">Partida</t>
  </si>
  <si>
    <t xml:space="preserve">m2</t>
  </si>
  <si>
    <t xml:space="preserve">PROTECCIÓN PROVISIONAL DE CUBIERTA VECINA</t>
  </si>
  <si>
    <t xml:space="preserve">Suministro y colocación de solera de mostradores de madera y lona de protección, sobre cubierta plana o inclinada de edificación vecina, para protegerlo frente a la suciedad y el polvo generados durante los trabajos de rehabilitación o reforma. También vigilancia y mantenimiento de la protección mientras duren los trabajos, fijación de la protección con cinta adhesiva, posterior retirada, recogida y carga manual sobre camión o contenedor.</t>
  </si>
  <si>
    <t xml:space="preserve">ma-lp-00006257</t>
  </si>
  <si>
    <t xml:space="preserve">Material</t>
  </si>
  <si>
    <t xml:space="preserve">und</t>
  </si>
  <si>
    <t xml:space="preserve">Tablero MDF 2440x1220x10 mm   Ref. lp-00006257</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</si>
  <si>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</si>
  <si>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</si>
  <si>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</si>
  <si>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</si>
  <si>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</si>
  <si>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</si>
  <si>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</si>
  <si>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</si>
  <si>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</si>
  <si>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</si>
  <si>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</si>
  <si>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</si>
  <si>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</si>
  <si>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</si>
  <si>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</si>
  <si>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</si>
  <si>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</si>
  <si>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</si>
  <si>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</si>
  <si>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</si>
  <si>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</si>
  <si>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</si>
  <si>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</si>
  <si>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</si>
  <si>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</si>
  <si>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</si>
  <si>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</si>
  <si>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</si>
  <si>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PROT.CUB.VECINA</t>
  </si>
  <si>
    <t xml:space="preserve">PROT.ELEMENTOS.PRIV.-FIJOS-m2</t>
  </si>
  <si>
    <t xml:space="preserve">Partida</t>
  </si>
  <si>
    <t xml:space="preserve">m2</t>
  </si>
  <si>
    <t xml:space="preserve">PROTECCIÓN ELEMENTOS PRIVATIVOS FIJOS (VENTANAS, BALCONERAS, PUERTAS Y OTROS CERRAMIENTOS)</t>
  </si>
  <si>
    <t xml:space="preserve">PROTECCIÓN ELEMENTOS PRIVATIVOS FIJOS (VENTANAS, BALCONERAS, PUERTAS Y OTROS CERRAMIENTOS)</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</si>
  <si>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</si>
  <si>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</si>
  <si>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</si>
  <si>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</si>
  <si>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</si>
  <si>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</si>
  <si>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</si>
  <si>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</si>
  <si>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</si>
  <si>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</si>
  <si>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</si>
  <si>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</si>
  <si>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</si>
  <si>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</si>
  <si>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</si>
  <si>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</si>
  <si>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</si>
  <si>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</si>
  <si>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</si>
  <si>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</si>
  <si>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</si>
  <si>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</si>
  <si>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</si>
  <si>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</si>
  <si>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</si>
  <si>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</si>
  <si>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</si>
  <si>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</si>
  <si>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PROT.ELEMENTOS.PRIV.-FIJOS-m2</t>
  </si>
  <si>
    <t xml:space="preserve">PROT.ELEMENTOS.PRIV.-FIJOS-und</t>
  </si>
  <si>
    <t xml:space="preserve">Partida</t>
  </si>
  <si>
    <t xml:space="preserve">und</t>
  </si>
  <si>
    <t xml:space="preserve">PROTECCIÓN ELEMENTOS PRIVATIVOS FIJOS (VENTANAS Y BALCONERAS)</t>
  </si>
  <si>
    <t xml:space="preserve">PROTECCIÓN ELEMENTOS PRIVATIVOS FIJOS (VENTANAS Y BALCONERAS)</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</si>
  <si>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</si>
  <si>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</si>
  <si>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</si>
  <si>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</si>
  <si>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</si>
  <si>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</si>
  <si>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</si>
  <si>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</si>
  <si>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</si>
  <si>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</si>
  <si>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</si>
  <si>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</si>
  <si>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</si>
  <si>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</si>
  <si>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</si>
  <si>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</si>
  <si>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</si>
  <si>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</si>
  <si>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</si>
  <si>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</si>
  <si>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</si>
  <si>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</si>
  <si>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</si>
  <si>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</si>
  <si>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</si>
  <si>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</si>
  <si>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</si>
  <si>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</si>
  <si>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PROT.ELEMENTOS.PRIV.-FIJOS-und</t>
  </si>
  <si>
    <t xml:space="preserve">PROTECCION-ANTENA-TV</t>
  </si>
  <si>
    <t xml:space="preserve">Partida</t>
  </si>
  <si>
    <t xml:space="preserve">U</t>
  </si>
  <si>
    <t xml:space="preserve">PROTECCION ANTENA DE T.V.</t>
  </si>
  <si>
    <t xml:space="preserve">PROTECCION ANTENA DE T.V.</t>
  </si>
  <si>
    <t xml:space="preserve">ma-lp-00535305</t>
  </si>
  <si>
    <t xml:space="preserve">Material</t>
  </si>
  <si>
    <t xml:space="preserve">und</t>
  </si>
  <si>
    <t xml:space="preserve">Toldo multiusos PROTEX; 2x3 m   Ref. lp-00535305</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</si>
  <si>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</si>
  <si>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</si>
  <si>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</si>
  <si>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</si>
  <si>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</si>
  <si>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</si>
  <si>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</si>
  <si>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</si>
  <si>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</si>
  <si>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</si>
  <si>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</si>
  <si>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</si>
  <si>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</si>
  <si>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</si>
  <si>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</si>
  <si>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</si>
  <si>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</si>
  <si>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</si>
  <si>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</si>
  <si>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</si>
  <si>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</si>
  <si>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</si>
  <si>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</si>
  <si>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</si>
  <si>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PROTECCION-ANTENA-TV</t>
  </si>
  <si>
    <t xml:space="preserve">PROTECCION-TUBO/CABLE-01</t>
  </si>
  <si>
    <t xml:space="preserve">Partida</t>
  </si>
  <si>
    <t xml:space="preserve">m</t>
  </si>
  <si>
    <t xml:space="preserve">PROTECCIÓN DE TUBERÍA/CABLE CON CHAPA GALVANIZADA (ancho = 290 mm)</t>
  </si>
  <si>
    <t xml:space="preserve">REVOCO CON MORTERO DE REPARACIÓN R3 MONOCAPA EN PARAMENTO VERTICAL MEDIANTE EL USO DE MEDIO SUSPENDIDO/COLGADO</t>
  </si>
  <si>
    <t xml:space="preserve">ma-denios-219744W</t>
  </si>
  <si>
    <t xml:space="preserve">Material</t>
  </si>
  <si>
    <t xml:space="preserve">pza</t>
  </si>
  <si>
    <t xml:space="preserve">Protector galvanizado para tubos/cables tipo VZ-2 de MORAVIA (ancho 292 x profundidad 230 x 500 mm/pza).   Ref. denios-219744W</t>
  </si>
  <si>
    <t xml:space="preserve">ma-lp-00215083</t>
  </si>
  <si>
    <t xml:space="preserve">Material</t>
  </si>
  <si>
    <t xml:space="preserve">caja</t>
  </si>
  <si>
    <t xml:space="preserve">Taco DUOPOWER de FISCHER (50 pzas/caja).   Ref. lp-00215083</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</si>
  <si>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</si>
  <si>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</si>
  <si>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</si>
  <si>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</si>
  <si>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</si>
  <si>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</si>
  <si>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</si>
  <si>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</si>
  <si>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</si>
  <si>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</si>
  <si>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</si>
  <si>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</si>
  <si>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</si>
  <si>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</si>
  <si>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</si>
  <si>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</si>
  <si>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</si>
  <si>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</si>
  <si>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</si>
  <si>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</si>
  <si>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</si>
  <si>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</si>
  <si>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</si>
  <si>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</si>
  <si>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</si>
  <si>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</si>
  <si>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</si>
  <si>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</si>
  <si>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PROTECCION-TUBO/CABLE-01</t>
  </si>
  <si>
    <t xml:space="preserve">PTO.EMP.LATERAL-BARAND-MORTERO</t>
  </si>
  <si>
    <t xml:space="preserve">Partida</t>
  </si>
  <si>
    <t xml:space="preserve">und</t>
  </si>
  <si>
    <t xml:space="preserve">RESTAURACIÓN DE PUNTO DE EMPOTRAMIENTO LATERAL DE BARANDILLA A PARAMENTO DE MORTERO</t>
  </si>
  <si>
    <t xml:space="preserve">Saneamiento de los anclajes de barandillas de terrazas anclados al paramento vertical de fachada acabado a base de mortero, mediante descubrimiento de la totalidad del anclaje metálico, saneamiento a través del cepillado superficial manual con cepillo de púas acero y aplicación de dos manos de imprimación anticorrosiva a base de resinas epoxi y fosfato de zinc tipo SIKA PRIMER EG y posterior retacado con mortero de reparación estructural sin retracción clase R3 tipo SIKA MONOTOP-612 y acabado con mortero de nivelación y sellador de poro tipo SIKA MONOTOP-620. Imitando textura y molduras existentes. Incluye pp de aristas y rincones.</t>
  </si>
  <si>
    <t xml:space="preserve">ma-s.lucia-sikadurprimer.eg</t>
  </si>
  <si>
    <t xml:space="preserve">Material</t>
  </si>
  <si>
    <t xml:space="preserve">kit</t>
  </si>
  <si>
    <t xml:space="preserve">Imprimante anticorrosivo bicomponente a base de resinas epoxi y fosfato de zinc SIKADUR PRIMER EG (PHOSPHATE) de SIKA (5 kg/kit).   Ref. s.lucia-sikadurprimer.eg</t>
  </si>
  <si>
    <t xml:space="preserve">ma-manau-92339</t>
  </si>
  <si>
    <t xml:space="preserve">Material</t>
  </si>
  <si>
    <t xml:space="preserve">saco</t>
  </si>
  <si>
    <t xml:space="preserve">Mortero de Reparación Clase R3 SIKA MONOTOP-612 de SIKA (25 kg/saco).</t>
  </si>
  <si>
    <t xml:space="preserve">ma-s.lucia-sikamonotop-620-blanc</t>
  </si>
  <si>
    <t xml:space="preserve">Material</t>
  </si>
  <si>
    <t xml:space="preserve">saco</t>
  </si>
  <si>
    <t xml:space="preserve">Mortero de Reparación R3 en Capa Fina, Alisado y Regularización de Superficies de Hormigón SIKA MONOTOP-620 de SIKA (25 kg/saco).   Ref. s.lucia-sikamonotop-620-blanco</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</si>
  <si>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</si>
  <si>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</si>
  <si>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</si>
  <si>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</si>
  <si>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</si>
  <si>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</si>
  <si>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</si>
  <si>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</si>
  <si>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</si>
  <si>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</si>
  <si>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</si>
  <si>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</si>
  <si>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</si>
  <si>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</si>
  <si>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</si>
  <si>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</si>
  <si>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</si>
  <si>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</si>
  <si>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</si>
  <si>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</si>
  <si>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</si>
  <si>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</si>
  <si>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</si>
  <si>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</si>
  <si>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PTO.EMP.LATERAL-BARAND-MORTERO</t>
  </si>
  <si>
    <t xml:space="preserve">BAR002</t>
  </si>
  <si>
    <t xml:space="preserve">Partida</t>
  </si>
  <si>
    <t xml:space="preserve">U</t>
  </si>
  <si>
    <t xml:space="preserve">o RESTAURACIÓN DE PUNTO DE EMPOTRAMIENTO LATERAL DE BARANDILLA A PARAMENTO DE PIEDRA</t>
  </si>
  <si>
    <t xml:space="preserve">Trabajos de pasivado de empotramiento metálico de barandilla existente en buen estado en losa de balcón, mediante el repicado del soporte en la zona de empotramiento hasta descubrir el soporte metálico llegando a base firme. Pasivado de empotramientos con protección anti corrosiva del tipo SIKA TOP ARMATEC 110 EPOCEM. Cumplimentado de los agujeros del empotramiento a base de cemento mejorado con resinas sintéticas, humo de sílice y fibras minerales tipo SIKA MONOTOP 612/618. La superficie quedará preparada para la aplicación del revestimiento de acabado</t>
  </si>
  <si>
    <t xml:space="preserve">ma-manau-92355</t>
  </si>
  <si>
    <t xml:space="preserve">Material</t>
  </si>
  <si>
    <t xml:space="preserve">envase</t>
  </si>
  <si>
    <t xml:space="preserve">SIKA TOP ARMATEC 110 EPOCEM. (4kg)</t>
  </si>
  <si>
    <t xml:space="preserve">ma-manau-92339</t>
  </si>
  <si>
    <t xml:space="preserve">Material</t>
  </si>
  <si>
    <t xml:space="preserve">saco</t>
  </si>
  <si>
    <t xml:space="preserve">Mortero de Reparación Clase R3 SIKA MONOTOP-612 de SIKA (25 kg/saco).</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</si>
  <si>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</si>
  <si>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</si>
  <si>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</si>
  <si>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</si>
  <si>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</si>
  <si>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</si>
  <si>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</si>
  <si>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</si>
  <si>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</si>
  <si>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</si>
  <si>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</si>
  <si>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</si>
  <si>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</si>
  <si>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</si>
  <si>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</si>
  <si>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</si>
  <si>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</si>
  <si>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</si>
  <si>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</si>
  <si>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</si>
  <si>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</si>
  <si>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</si>
  <si>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</si>
  <si>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</si>
  <si>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BAR002</t>
  </si>
  <si>
    <t xml:space="preserve">PTO.EMP.LATERAL-BARANDILLAS</t>
  </si>
  <si>
    <t xml:space="preserve">Partida</t>
  </si>
  <si>
    <t xml:space="preserve">und</t>
  </si>
  <si>
    <t xml:space="preserve">RESTAURACIÓN DE PUNTO DE EMPOTRAMIENTO LATERAL DE BARANDILLA A PARAMENTO</t>
  </si>
  <si>
    <t xml:space="preserve">Trabajos para restauración de punto de empotramiento de barandilla metálica existente en buen estado, mediante el repicado del soporte en la zona de empotramiento hasta descubrir el soporte metálico llegando a base firme. Pasividad de empotramientos con protección anti corrosiva del tipo SIKA TOP ARMATEC 110 EPOCEM o similar. Restitución de los agujeros del empotramiento a base de cemento mejorado con resinas sintéticas, humo de sílice y fibras minerales tipo SIKA MONOTOP 612/618 o similar. La superficie quedará preparada para la aplicación del revestimiento de acabado.</t>
  </si>
  <si>
    <t xml:space="preserve">ma-lp-00540914</t>
  </si>
  <si>
    <t xml:space="preserve">Material</t>
  </si>
  <si>
    <t xml:space="preserve">saco</t>
  </si>
  <si>
    <t xml:space="preserve">Mortero de reparación y pasivante MAPEFER 1K (5 kg/saco)   Ref. lp-00540914</t>
  </si>
  <si>
    <t xml:space="preserve">ma-prolisur-P1631</t>
  </si>
  <si>
    <t xml:space="preserve">Material</t>
  </si>
  <si>
    <t xml:space="preserve">saco</t>
  </si>
  <si>
    <t xml:space="preserve">Mortero de reparación estructural R3 PROPAM REPAR 30 - equivalente a SIKA MONOTOP 612 (25kg/saco).   Ref. prolisur-P1631</t>
  </si>
  <si>
    <t xml:space="preserve">ma-lp-00001705</t>
  </si>
  <si>
    <t xml:space="preserve">Material</t>
  </si>
  <si>
    <t xml:space="preserve">rollo</t>
  </si>
  <si>
    <t xml:space="preserve">Malla de fibra de vidrio azul para refuerzo de morteros y revocos (rollo 50x1 m)   Ref. lp-00001705</t>
  </si>
  <si>
    <t xml:space="preserve">moc-std1-soldador</t>
  </si>
  <si>
    <t xml:space="preserve">Partida</t>
  </si>
  <si>
    <t xml:space="preserve">h</t>
  </si>
  <si>
    <t xml:space="preserve">Cuadrilla Std1 Soldador - 1 Oficial Soldador de 1ª + 1 Ayudante de Soldador</t>
  </si>
  <si>
    <t xml:space="preserve">moc-std1-soldador</t>
  </si>
  <si>
    <t xml:space="preserve">mo%</t>
  </si>
  <si>
    <t xml:space="preserve">%</t>
  </si>
  <si>
    <t xml:space="preserve">Herramientas Menores</t>
  </si>
  <si>
    <t xml:space="preserve">PTO.EMP.LATERAL-BARANDILLAS</t>
  </si>
  <si>
    <t xml:space="preserve">RECUP.PERSIANA.LIBRETO</t>
  </si>
  <si>
    <t xml:space="preserve">Partida</t>
  </si>
  <si>
    <t xml:space="preserve">M2</t>
  </si>
  <si>
    <t xml:space="preserve">RECUPERACIÓN TOTAL DE PERSIANAS DE LIBRETO</t>
  </si>
  <si>
    <t xml:space="preserve">RECUPERACIÓN TOTAL DE PERSIANAS DE LIBRETO</t>
  </si>
  <si>
    <t xml:space="preserve">ma-lp-00016979</t>
  </si>
  <si>
    <t xml:space="preserve">Material</t>
  </si>
  <si>
    <t xml:space="preserve">envase</t>
  </si>
  <si>
    <t xml:space="preserve">Aflojatodo en Spray WD-40 (400 ml/envase).   Ref. lp-00016979</t>
  </si>
  <si>
    <t xml:space="preserve">ma-lp-00016788</t>
  </si>
  <si>
    <t xml:space="preserve">Material</t>
  </si>
  <si>
    <t xml:space="preserve">paquete</t>
  </si>
  <si>
    <t xml:space="preserve">Bandas de lija en tela de óxido de aluminio de RESINFLEX 100x610 mm grano P150 (10 lijas/paquete).   Ref. lp-00016788</t>
  </si>
  <si>
    <t xml:space="preserve">ma-lm-88673523</t>
  </si>
  <si>
    <t xml:space="preserve">Material</t>
  </si>
  <si>
    <t xml:space="preserve">envase</t>
  </si>
  <si>
    <t xml:space="preserve">Masilla para reparación de madera TOUPRET (1 kg/envase).   Ref. lm-88673523</t>
  </si>
  <si>
    <t xml:space="preserve">ma-lp-00564134</t>
  </si>
  <si>
    <t xml:space="preserve">Material</t>
  </si>
  <si>
    <t xml:space="preserve">caja</t>
  </si>
  <si>
    <t xml:space="preserve">Bandas de lija KL de KLINSPOR 100x610 mm grano P100 (3 lijas/caja).   Ref. lp-00564134</t>
  </si>
  <si>
    <t xml:space="preserve">ma-lp-00016265</t>
  </si>
  <si>
    <t xml:space="preserve">Material</t>
  </si>
  <si>
    <t xml:space="preserve">paquete</t>
  </si>
  <si>
    <t xml:space="preserve">Hojas-Lija Nº 4 escudo EN15; 230x280 mm/hoja (10 hojas/paquete).   Ref. lp-00016265</t>
  </si>
  <si>
    <t xml:space="preserve">ma-lp-00538824</t>
  </si>
  <si>
    <t xml:space="preserve">Material</t>
  </si>
  <si>
    <t xml:space="preserve">rollo</t>
  </si>
  <si>
    <t xml:space="preserve">Banda impermeabilización FORM 9 de caucho EPDM sin vulcanizar (23 cm x 15,25 m/rollo).   Ref. lp-00538824</t>
  </si>
  <si>
    <t xml:space="preserve">ma-lp-00016842</t>
  </si>
  <si>
    <t xml:space="preserve">Material</t>
  </si>
  <si>
    <t xml:space="preserve">und</t>
  </si>
  <si>
    <t xml:space="preserve">Bisagra piano níquel (32x960 mm/und).   Ref. lp-00016842</t>
  </si>
  <si>
    <t xml:space="preserve">ma-notermite-antitermite-05</t>
  </si>
  <si>
    <t xml:space="preserve">Material</t>
  </si>
  <si>
    <t xml:space="preserve">envase</t>
  </si>
  <si>
    <t xml:space="preserve">Tratamiento Antitermitas de NO TERMITE (5 litros/envase).   Ref. notermite-antitermite-05</t>
  </si>
  <si>
    <t xml:space="preserve">alq-taladro-tq-01</t>
  </si>
  <si>
    <t xml:space="preserve">Maquinaria</t>
  </si>
  <si>
    <t xml:space="preserve">h</t>
  </si>
  <si>
    <t xml:space="preserve">Alquiler de Taladro Percutor (Cable-Batería).   Ref. TOOLQUICK</t>
  </si>
  <si>
    <t xml:space="preserve">alq-lijadora.banda-mym-01</t>
  </si>
  <si>
    <t xml:space="preserve">Maquinaria</t>
  </si>
  <si>
    <t xml:space="preserve">h</t>
  </si>
  <si>
    <t xml:space="preserve">Alquiler de Lijadora Eléctrica de Banda 100x610 mm 1.200 W</t>
  </si>
  <si>
    <t xml:space="preserve">m.o.1</t>
  </si>
  <si>
    <t xml:space="preserve">Mano de obra</t>
  </si>
  <si>
    <t xml:space="preserve">h</t>
  </si>
  <si>
    <t xml:space="preserve">Mano de Obra: 1 Oficial de 1ª, 1 Ayudante y 1/2 Ayudante</t>
  </si>
  <si>
    <t xml:space="preserve">m.o.%</t>
  </si>
  <si>
    <t xml:space="preserve">%</t>
  </si>
  <si>
    <t xml:space="preserve">Herramientas Menores</t>
  </si>
  <si>
    <t xml:space="preserve">RECUP.PERSIANA.LIBRETO</t>
  </si>
  <si>
    <t xml:space="preserve">REP-APLACADO.PIEDRA/M2-AT</t>
  </si>
  <si>
    <t xml:space="preserve">Partida</t>
  </si>
  <si>
    <t xml:space="preserve">m2</t>
  </si>
  <si>
    <t xml:space="preserve">REPARACION DE APLACADO DE PIEDRA EN PARAMENTO VERTICAL, MEDIENTE EL USO DE ANDAMIO TUBULAR</t>
  </si>
  <si>
    <t xml:space="preserve">REPARACION DE APLACADO DE PIEDRA EN PARAMENTO VERTICAL, MEDIENTE EL USO DE ANDAMIO TUBULAR.
Reparación de paramento vertical, acabado con aplacado de piedra, mediante repicado con medios
manuales y/o mecánicos de la zona afectada hasta llegar a base firme, sólida y estable. Aplicación de KEIM Restauro-Top como mortero mineral con lazos hidráulicos para restauración de piedra natural como capa final de acabado con profundidad inferior a 1cm de espesor o equivalente, igualando textura y molduras existentes (según ficha técnica del fabricante). 
En caso de aparecer elementos metálicos se pasivarán con tres capas de producto a base de cemento y resinas epoxi modificadas, de tres componentes, tipo SIKA TOP ARMATEC 110 EPOCEM, que protege de la corrosión y sirve de puente de agarre.</t>
  </si>
  <si>
    <t xml:space="preserve">ma-colorsan-keim.restauro-top</t>
  </si>
  <si>
    <t xml:space="preserve">Material</t>
  </si>
  <si>
    <t xml:space="preserve">saco</t>
  </si>
  <si>
    <t xml:space="preserve">Mortero seco mineral con ligantes hidráulicos para restaurar piedra natural en zonas cercanas a la superficie KEIM RESTAURO-TOP de KEIM (30 kg/saco).   Ref. colorsan-keim.restauro-top</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</si>
  <si>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</si>
  <si>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</si>
  <si>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</si>
  <si>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</si>
  <si>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</si>
  <si>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</si>
  <si>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</si>
  <si>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</si>
  <si>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</si>
  <si>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</si>
  <si>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</si>
  <si>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</si>
  <si>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</si>
  <si>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</si>
  <si>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</si>
  <si>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</si>
  <si>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</si>
  <si>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</si>
  <si>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</si>
  <si>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</si>
  <si>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REP-APLACADO.PIEDRA/M2-AT</t>
  </si>
  <si>
    <t xml:space="preserve">REP-APLACADO.PIEDRA/M2-MS</t>
  </si>
  <si>
    <t xml:space="preserve">Partida</t>
  </si>
  <si>
    <t xml:space="preserve">m2</t>
  </si>
  <si>
    <t xml:space="preserve">REPARACION DE APLACADO DE PIEDRA EN PARAMENTO VERTICAL, MEDIENTE EL USO DE MEDIO SUSPENDIO/COLGADO</t>
  </si>
  <si>
    <t xml:space="preserve">REPARACION DE APLACADO DE PIEDRA EN PARAMENTO VERTICAL, MEDIENTE EL USO DE MEDIO SUSPENDIO/COLGADO</t>
  </si>
  <si>
    <t xml:space="preserve">ma-colorsan-keim.restauro-top</t>
  </si>
  <si>
    <t xml:space="preserve">Material</t>
  </si>
  <si>
    <t xml:space="preserve">saco</t>
  </si>
  <si>
    <t xml:space="preserve">Mortero seco mineral con ligantes hidráulicos para restaurar piedra natural en zonas cercanas a la superficie KEIM RESTAURO-TOP de KEIM (30 kg/saco).   Ref. colorsan-keim.restauro-top</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</si>
  <si>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</si>
  <si>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</si>
  <si>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</si>
  <si>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</si>
  <si>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</si>
  <si>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</si>
  <si>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</si>
  <si>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</si>
  <si>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</si>
  <si>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</si>
  <si>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</si>
  <si>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</si>
  <si>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</si>
  <si>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</si>
  <si>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</si>
  <si>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</si>
  <si>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</si>
  <si>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</si>
  <si>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</si>
  <si>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</si>
  <si>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REP-APLACADO.PIEDRA/M2-MS</t>
  </si>
  <si>
    <t xml:space="preserve">REP-FISURAS.AT</t>
  </si>
  <si>
    <t xml:space="preserve">Partida</t>
  </si>
  <si>
    <t xml:space="preserve">m2</t>
  </si>
  <si>
    <t xml:space="preserve">REPARACIÓN DE FISURAS MENORES EN PARAMENTOS CON USO DE MORTERO MASTEREMACO N 205 FC de BASF; MEDIANTE EL USO DE ANDAMIO TUBULAR</t>
  </si>
  <si>
    <t xml:space="preserve">La actividad requiere un repicado en profundidad, así como el relleno del espacio abierto con mortero de reparación reforzado con malla de fibra de vidrio antiálcali;</t>
  </si>
  <si>
    <t xml:space="preserve">ma-manau-92355</t>
  </si>
  <si>
    <t xml:space="preserve">Material</t>
  </si>
  <si>
    <t xml:space="preserve">envase</t>
  </si>
  <si>
    <t xml:space="preserve">SIKA TOP ARMATEC 110 EPOCEM. (4kg)</t>
  </si>
  <si>
    <t xml:space="preserve">ma-briconstruccion-2001</t>
  </si>
  <si>
    <t xml:space="preserve">Material</t>
  </si>
  <si>
    <t xml:space="preserve">saco</t>
  </si>
  <si>
    <t xml:space="preserve">Mortero R2 de reparación cosmética del hormigón MASTEREMACO N 205 FC de BASF (25 kg/saco).   Ref. briconstruccion-2001</t>
  </si>
  <si>
    <t xml:space="preserve">ma-lp-00001705</t>
  </si>
  <si>
    <t xml:space="preserve">Material</t>
  </si>
  <si>
    <t xml:space="preserve">rollo</t>
  </si>
  <si>
    <t xml:space="preserve">Malla de fibra de vidrio azul para refuerzo de morteros y revocos (rollo 50x1 m)   Ref. lp-00001705</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</si>
  <si>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</si>
  <si>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</si>
  <si>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</si>
  <si>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</si>
  <si>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</si>
  <si>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</si>
  <si>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</si>
  <si>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</si>
  <si>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</si>
  <si>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</si>
  <si>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</si>
  <si>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</si>
  <si>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</si>
  <si>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</si>
  <si>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</si>
  <si>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</si>
  <si>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</si>
  <si>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</si>
  <si>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</si>
  <si>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</si>
  <si>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REP-FISURAS.AT</t>
  </si>
  <si>
    <t xml:space="preserve">RET-C/R-PUERTA-01</t>
  </si>
  <si>
    <t xml:space="preserve">Partida</t>
  </si>
  <si>
    <t xml:space="preserve">und</t>
  </si>
  <si>
    <t xml:space="preserve">RETIRO CON RECUPERACIÓN DE PUERTA Y MARCO EXISTENTES</t>
  </si>
  <si>
    <t xml:space="preserve">RETIRO CON RECUPERACIÓN DE PUERTA Y MARCO EXISTENTES</t>
  </si>
  <si>
    <t xml:space="preserve">ma-lp-00007667</t>
  </si>
  <si>
    <t xml:space="preserve">Material</t>
  </si>
  <si>
    <t xml:space="preserve">und</t>
  </si>
  <si>
    <t xml:space="preserve">Plástico cubretodo grueso MIARCO; 4x5 m/und   Ref. lp-00007667</t>
  </si>
  <si>
    <t xml:space="preserve">ma-lp-00534912</t>
  </si>
  <si>
    <t xml:space="preserve">Material</t>
  </si>
  <si>
    <t xml:space="preserve">rollo</t>
  </si>
  <si>
    <t xml:space="preserve">Cinta pintor KREPP 48 mm (45 m/rollo).   Ref. lp-00534912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</si>
  <si>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</si>
  <si>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</si>
  <si>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</si>
  <si>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</si>
  <si>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</si>
  <si>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</si>
  <si>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</si>
  <si>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</si>
  <si>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</si>
  <si>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</si>
  <si>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</si>
  <si>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</si>
  <si>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</si>
  <si>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</si>
  <si>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</si>
  <si>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</si>
  <si>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</si>
  <si>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</si>
  <si>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</si>
  <si>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</si>
  <si>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RET-C/R-PUERTA-01</t>
  </si>
  <si>
    <t xml:space="preserve">RETACADO-MORTERO.GROUT</t>
  </si>
  <si>
    <t xml:space="preserve">Partida</t>
  </si>
  <si>
    <t xml:space="preserve">m3</t>
  </si>
  <si>
    <t xml:space="preserve">RETACADO CON INYECCIÓN DE MORTERO EXPANSIVO SIN RETRACCIÓN</t>
  </si>
  <si>
    <t xml:space="preserve">Retacado con inyección de mortero expansivo sin retracción, hasta colmatar el espacio resultante entre perfil de nuevo envigado y paramento existente, así como oquedades resultantes de hormigonado durante trabajos de recalce; incluye pasta de yeso y masilla para sellado del espacio retacado.</t>
  </si>
  <si>
    <t xml:space="preserve">ma-lp-00540841</t>
  </si>
  <si>
    <t xml:space="preserve">Material</t>
  </si>
  <si>
    <t xml:space="preserve">saco</t>
  </si>
  <si>
    <t xml:space="preserve">Mortero de reparación PROPAM GROUT Mortero Fluido sin Retracción (25 kg/saco)   Ref. lp-00540841</t>
  </si>
  <si>
    <t xml:space="preserve">alq-inyector.mortero.manual-01</t>
  </si>
  <si>
    <t xml:space="preserve">Maquinaria</t>
  </si>
  <si>
    <t xml:space="preserve">m3</t>
  </si>
  <si>
    <t xml:space="preserve">Alquiler de Equipo de Inyección Manual de Morteros Fluidos y Resinas</t>
  </si>
  <si>
    <t xml:space="preserve">ma-lm-322182</t>
  </si>
  <si>
    <t xml:space="preserve">Material</t>
  </si>
  <si>
    <t xml:space="preserve">cartucho</t>
  </si>
  <si>
    <t xml:space="preserve">Masilla de poliuretano SIKAFLEX 11FC de SIKA; color gris (300 cm3/cartucho).   Ref. lm-322182</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</si>
  <si>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</si>
  <si>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</si>
  <si>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</si>
  <si>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</si>
  <si>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</si>
  <si>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</si>
  <si>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</si>
  <si>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</si>
  <si>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</si>
  <si>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</si>
  <si>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</si>
  <si>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</si>
  <si>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</si>
  <si>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</si>
  <si>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</si>
  <si>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</si>
  <si>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RETACADO-MORTERO.GROUT</t>
  </si>
  <si>
    <t xml:space="preserve">REVPAV-PARQUET.COMPACTO.ROBLE</t>
  </si>
  <si>
    <t xml:space="preserve">Partida</t>
  </si>
  <si>
    <t xml:space="preserve">m²</t>
  </si>
  <si>
    <t xml:space="preserve">Parquet mosaico.</t>
  </si>
  <si>
    <t xml:space="preserve">Parquet mosaico taraceado, formado por tablillas de madera de roble, de 120x24x8 mm, adosadas unas a otras pero no unidas entre sí, colocadas con adhesivo a base de poliuretano a rompejuntas. Incluso acuchillado, lijado, plastecido, aplicación de fondos y barnizado final con tres manos de barniz de poliuretano de dos componentes P-6/8.
Incluye: Vertido y extendido sobre el soporte del adhesivo. Colocación de las tablas de parquet. Limpieza del adhesivo sobrante. Acuchillado y lijado de la superficie. Plastecido y aplicación de fondos. Barnizado.
Criterio de medición de proyecto: Superficie útil, medida según documentación gráfica de Proyecto. No se ha incrementado la medición por roturas y recortes, ya que en la descomposición se ha considerado un 5% más de piezas.
Criterio de medición de obra: Se medirá la superficie realmente ejecutada según especificaciones de Proyecto.</t>
  </si>
  <si>
    <t xml:space="preserve">mt18mva040</t>
  </si>
  <si>
    <t xml:space="preserve">Material</t>
  </si>
  <si>
    <t xml:space="preserve">kg</t>
  </si>
  <si>
    <t xml:space="preserve">Adhesivo de reacción de poliuretano, para pegado de madera.</t>
  </si>
  <si>
    <t xml:space="preserve">ma-lm-81876875</t>
  </si>
  <si>
    <t xml:space="preserve">Material</t>
  </si>
  <si>
    <t xml:space="preserve">m2</t>
  </si>
  <si>
    <t xml:space="preserve">Parquet Multicapa TRILAMA FORTE Roble Natural Brillo 108x19.8 cm.   Ref. lm-81876875</t>
  </si>
  <si>
    <t xml:space="preserve">ma-bauhaus-28391335</t>
  </si>
  <si>
    <t xml:space="preserve">Material</t>
  </si>
  <si>
    <t xml:space="preserve">m2</t>
  </si>
  <si>
    <t xml:space="preserve">Parquet Compact Roble Natural 1.200x145x10 mm.   Ref. bauhaus-28391335</t>
  </si>
  <si>
    <t xml:space="preserve">mt18mpm010a</t>
  </si>
  <si>
    <t xml:space="preserve">Material</t>
  </si>
  <si>
    <t xml:space="preserve">m²</t>
  </si>
  <si>
    <t xml:space="preserve">Tablilla de taraceado, madera maciza de roble, 120x24x8 mm.</t>
  </si>
  <si>
    <t xml:space="preserve">mt27tmp010</t>
  </si>
  <si>
    <t xml:space="preserve">Material</t>
  </si>
  <si>
    <t xml:space="preserve">l</t>
  </si>
  <si>
    <t xml:space="preserve">Barniz de poliuretano de dos componentes P-6/8.</t>
  </si>
  <si>
    <t xml:space="preserve">mq08war160</t>
  </si>
  <si>
    <t xml:space="preserve">Maquinaria</t>
  </si>
  <si>
    <t xml:space="preserve">h</t>
  </si>
  <si>
    <t xml:space="preserve">Lijadora de aplicación en pavimentos de madera, equipada con rodillos para lija y sistema de aspiración.</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</si>
  <si>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</si>
  <si>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</si>
  <si>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</si>
  <si>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</si>
  <si>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</si>
  <si>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</si>
  <si>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</si>
  <si>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</si>
  <si>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</si>
  <si>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</si>
  <si>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</si>
  <si>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</si>
  <si>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</si>
  <si>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</si>
  <si>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</si>
  <si>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</si>
  <si>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</si>
  <si>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</si>
  <si>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</si>
  <si>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</si>
  <si>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REVPAV-PARQUET.COMPACTO.ROBLE</t>
  </si>
  <si>
    <t xml:space="preserve">REVPINT-ACRIL.SILOXANO-V-AT-03</t>
  </si>
  <si>
    <t xml:space="preserve">Partida</t>
  </si>
  <si>
    <t xml:space="preserve">m2</t>
  </si>
  <si>
    <t xml:space="preserve">PINTURA A BASE DE RESINAS ACRIL-SOLOXÁNICAS EN PARAMENTOS VERTICALES MEDIANTE EL USO DE ANDAMIO TUBULAR (FCH)</t>
  </si>
  <si>
    <t xml:space="preserve">PINTURA A BASE DE RESINAS ACRIL-SOLOXÁNICAS EN PARAMENTOS VERTICALES MEDIANTE EL USO DE ANDAMIO TUBULAR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</si>
  <si>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</si>
  <si>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</si>
  <si>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</si>
  <si>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</si>
  <si>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ma-pinturasmata-008108060</t>
  </si>
  <si>
    <t xml:space="preserve">Material</t>
  </si>
  <si>
    <t xml:space="preserve">bidón</t>
  </si>
  <si>
    <t xml:space="preserve">Revestimiento mate liso en fase acuosa a base de resinas acrílicas y de polisiloxanos de PROCOLOR (15 litros/bidón).   Ref. pinturasmata-008108060</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</si>
  <si>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</si>
  <si>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</si>
  <si>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</si>
  <si>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</si>
  <si>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</si>
  <si>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</si>
  <si>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</si>
  <si>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</si>
  <si>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</si>
  <si>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</si>
  <si>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</si>
  <si>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</si>
  <si>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</si>
  <si>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</si>
  <si>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</si>
  <si>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</si>
  <si>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</si>
  <si>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</si>
  <si>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</si>
  <si>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</si>
  <si>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REVPINT-ACRIL.SILOXANO-V-AT-03</t>
  </si>
  <si>
    <t xml:space="preserve">REVPINT-ACRIL.SILOXANO-V-AT-03</t>
  </si>
  <si>
    <t xml:space="preserve">Partida</t>
  </si>
  <si>
    <t xml:space="preserve">m2</t>
  </si>
  <si>
    <t xml:space="preserve">PINTURA A BASE DE RESINAS ACRIL-SOLOXÁNICAS EN PARAMENTOS VERTICALES MEDIANTE EL USO DE ANDAMIO TUBULAR (FCH)</t>
  </si>
  <si>
    <t xml:space="preserve">PINTURA A BASE DE RESINAS ACRIL-SOLOXÁNICAS EN PARAMENTOS VERTICALES MEDIANTE EL USO DE ANDAMIO TUBULAR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</si>
  <si>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</si>
  <si>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</si>
  <si>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</si>
  <si>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</si>
  <si>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ma-pinturasmata-008108060</t>
  </si>
  <si>
    <t xml:space="preserve">Material</t>
  </si>
  <si>
    <t xml:space="preserve">bidón</t>
  </si>
  <si>
    <t xml:space="preserve">Revestimiento mate liso en fase acuosa a base de resinas acrílicas y de polisiloxanos de PROCOLOR (15 litros/bidón).   Ref. pinturasmata-008108060</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</si>
  <si>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</si>
  <si>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</si>
  <si>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</si>
  <si>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</si>
  <si>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</si>
  <si>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</si>
  <si>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</si>
  <si>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</si>
  <si>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</si>
  <si>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</si>
  <si>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</si>
  <si>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</si>
  <si>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</si>
  <si>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</si>
  <si>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</si>
  <si>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</si>
  <si>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</si>
  <si>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</si>
  <si>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</si>
  <si>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</si>
  <si>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REVPINT-ACRIL.SILOXANO-V-AT-03</t>
  </si>
  <si>
    <t xml:space="preserve">REVPINT-ACRIL.SILOXANO-V-MS-03</t>
  </si>
  <si>
    <t xml:space="preserve">Partida</t>
  </si>
  <si>
    <t xml:space="preserve">m2</t>
  </si>
  <si>
    <t xml:space="preserve">PINTURA A BASE DE RESINAS ACRIL-SOLOXÁNICAS EN PARAMENTOS VERTICALES MEDIANTE EL USO DE MEDIO  SUSPENDIDO/COLGADO (FCH)</t>
  </si>
  <si>
    <t xml:space="preserve">PINTURA A BASE DE RESINAS ACRIL-SOLOXÁNICAS EN PARAMENTOS VERTICALES MEDIANTE EL USO DE MEDIO  SUSPENDIDO/COLGADO (FCH)</t>
  </si>
  <si>
    <t xml:space="preserve">ma-pinturasmata-008696015</t>
  </si>
  <si>
    <t xml:space="preserve">Material</t>
  </si>
  <si>
    <t xml:space="preserve">envase</t>
  </si>
  <si>
    <t xml:space="preserve">Imprimante incoloro al disolvente PROCOLITE FONDO PENETRANTE de PROCOLOR (10 litros/envase).   Ref. pinturasmata-008696015</t>
  </si>
  <si>
    <t xml:space="preserve">ma-pinturasmata-008108060</t>
  </si>
  <si>
    <t xml:space="preserve">Material</t>
  </si>
  <si>
    <t xml:space="preserve">bidón</t>
  </si>
  <si>
    <t xml:space="preserve">Revestimiento mate liso en fase acuosa a base de resinas acrílicas y de polisiloxanos de PROCOLOR (15 litros/bidón).   Ref. pinturasmata-008108060</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</si>
  <si>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</si>
  <si>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</si>
  <si>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</si>
  <si>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</si>
  <si>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</si>
  <si>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</si>
  <si>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</si>
  <si>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</si>
  <si>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</si>
  <si>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</si>
  <si>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</si>
  <si>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</si>
  <si>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</si>
  <si>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</si>
  <si>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</si>
  <si>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</si>
  <si>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</si>
  <si>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</si>
  <si>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</si>
  <si>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</si>
  <si>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REVPINT-ACRIL.SILOXANO-V-MS-03</t>
  </si>
  <si>
    <t xml:space="preserve">REVPINT-B.STD-HAMMERITE-AT</t>
  </si>
  <si>
    <t xml:space="preserve">Partida</t>
  </si>
  <si>
    <t xml:space="preserve">m2</t>
  </si>
  <si>
    <t xml:space="preserve">PINTURA AL ESMALTE EN BARANDILLA STD (HAMMERITE); MEDIANTE USO DE MEDIO USO DE ANDAMIO TUBULAR</t>
  </si>
  <si>
    <t xml:space="preserve">PINTURA AL ESMALTE EN BARANDILLA STD (HAMMERITE); MEDIANTE USO DE MEDIO USO DE ANDAMIO TUBULAR</t>
  </si>
  <si>
    <t xml:space="preserve">ma-bauhaus-24164085</t>
  </si>
  <si>
    <t xml:space="preserve">Material</t>
  </si>
  <si>
    <t xml:space="preserve">envase</t>
  </si>
  <si>
    <t xml:space="preserve">Esmalte para metal hierro y óxido liso de HAMMERITE; color negro (2,5 litros/envase).   Ref. bauhaus-24164085</t>
  </si>
  <si>
    <t xml:space="preserve">ma-bauhaus-24164252</t>
  </si>
  <si>
    <t xml:space="preserve">Material</t>
  </si>
  <si>
    <t xml:space="preserve">envase</t>
  </si>
  <si>
    <t xml:space="preserve">Disolvente HAMMERITE (1 litro/envase).   Ref. bauhaus-24164252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</si>
  <si>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</si>
  <si>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</si>
  <si>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</si>
  <si>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</si>
  <si>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</si>
  <si>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</si>
  <si>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</si>
  <si>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</si>
  <si>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</si>
  <si>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</si>
  <si>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</si>
  <si>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</si>
  <si>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</si>
  <si>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</si>
  <si>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</si>
  <si>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</si>
  <si>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</si>
  <si>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</si>
  <si>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</si>
  <si>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</si>
  <si>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REVPINT-B.STD-HAMMERITE-AT</t>
  </si>
  <si>
    <t xml:space="preserve">REVPINT-B.STD-HAMMERITE-MS</t>
  </si>
  <si>
    <t xml:space="preserve">Partida</t>
  </si>
  <si>
    <t xml:space="preserve">m</t>
  </si>
  <si>
    <t xml:space="preserve">PINTURA AL ESMALTE EN BARANDILLA STD (HAMMERITE); MEDIANTE USO DE MEDIO USO DE SUSPENDIDO/COLGADO</t>
  </si>
  <si>
    <t xml:space="preserve">PINTURA AL ESMALTE EN BARANDILLA STD (HAMMERITE); MEDIANTE USO DE MEDIO USO DE SUSPENDIDO/COLGADO</t>
  </si>
  <si>
    <t xml:space="preserve">ma-bauhaus-24164085</t>
  </si>
  <si>
    <t xml:space="preserve">Material</t>
  </si>
  <si>
    <t xml:space="preserve">envase</t>
  </si>
  <si>
    <t xml:space="preserve">Esmalte para metal hierro y óxido liso de HAMMERITE; color negro (2,5 litros/envase).   Ref. bauhaus-24164085</t>
  </si>
  <si>
    <t xml:space="preserve">ma-bauhaus-24164252</t>
  </si>
  <si>
    <t xml:space="preserve">Material</t>
  </si>
  <si>
    <t xml:space="preserve">envase</t>
  </si>
  <si>
    <t xml:space="preserve">Disolvente HAMMERITE (1 litro/envase).   Ref. bauhaus-24164252</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</si>
  <si>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</si>
  <si>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</si>
  <si>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</si>
  <si>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</si>
  <si>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</si>
  <si>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</si>
  <si>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</si>
  <si>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</si>
  <si>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</si>
  <si>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</si>
  <si>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</si>
  <si>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</si>
  <si>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</si>
  <si>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</si>
  <si>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</si>
  <si>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</si>
  <si>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</si>
  <si>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</si>
  <si>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</si>
  <si>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</si>
  <si>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REVPINT-B.STD-HAMMERITE-MS</t>
  </si>
  <si>
    <t xml:space="preserve">REVPINT-PASAMANO-HAMMERITE-AT</t>
  </si>
  <si>
    <t xml:space="preserve">Partida</t>
  </si>
  <si>
    <t xml:space="preserve">m</t>
  </si>
  <si>
    <t xml:space="preserve">PINTURA AL ESMALTE EN PASAMANO BARANDILLA (HAMMERITE); MEDIANTE USO DE MEDIO DE ANDAMIO TUBULAR</t>
  </si>
  <si>
    <t xml:space="preserve">PINTURA AL ESMALTE EN PASAMANO BARANDILLA (HAMMERITE); MEDIANTE USO DE MEDIO DE ANDAMIO TUBULAR</t>
  </si>
  <si>
    <t xml:space="preserve">ma-bauhaus-24164085</t>
  </si>
  <si>
    <t xml:space="preserve">Material</t>
  </si>
  <si>
    <t xml:space="preserve">envase</t>
  </si>
  <si>
    <t xml:space="preserve">Esmalte para metal hierro y óxido liso de HAMMERITE; color negro (2,5 litros/envase).   Ref. bauhaus-24164085</t>
  </si>
  <si>
    <t xml:space="preserve">ma-bauhaus-24164252</t>
  </si>
  <si>
    <t xml:space="preserve">Material</t>
  </si>
  <si>
    <t xml:space="preserve">envase</t>
  </si>
  <si>
    <t xml:space="preserve">Disolvente HAMMERITE (1 litro/envase).   Ref. bauhaus-24164252</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</si>
  <si>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</si>
  <si>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</si>
  <si>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</si>
  <si>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</si>
  <si>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</si>
  <si>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</si>
  <si>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</si>
  <si>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</si>
  <si>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</si>
  <si>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</si>
  <si>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</si>
  <si>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</si>
  <si>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</si>
  <si>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</si>
  <si>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</si>
  <si>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</si>
  <si>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</si>
  <si>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mo%</t>
  </si>
  <si>
    <t xml:space="preserve">%</t>
  </si>
  <si>
    <t xml:space="preserve">Herramientas Menores</t>
  </si>
  <si>
    <t xml:space="preserve">REVPINT-PASAMANO-HAMMERITE-AT</t>
  </si>
  <si>
    <t xml:space="preserve">REVPINT-PASAMANO-HAMMERITE-MS</t>
  </si>
  <si>
    <t xml:space="preserve">Partida</t>
  </si>
  <si>
    <t xml:space="preserve">m</t>
  </si>
  <si>
    <t xml:space="preserve">PINTURA AL ESMALTE EN PASAMANO BARANDILLA (HAMMERITE); MEDIANTE EL USO DE MEDIO SUSPENDIDO/COLGADO</t>
  </si>
  <si>
    <t xml:space="preserve">PINTURA AL ESMALTE EN PASAMANO BARANDILLA (HAMMERITE); MEDIANTE EL USO DE MEDIO SUSPENDIDO/COLGADO</t>
  </si>
  <si>
    <t xml:space="preserve">ma-bauhaus-24164085</t>
  </si>
  <si>
    <t xml:space="preserve">Material</t>
  </si>
  <si>
    <t xml:space="preserve">envase</t>
  </si>
  <si>
    <t xml:space="preserve">Esmalte para metal hierro y óxido liso de HAMMERITE; color negro (2,5 litros/envase).   Ref. bauhaus-24164085</t>
  </si>
  <si>
    <t xml:space="preserve">ma-bauhaus-24164252</t>
  </si>
  <si>
    <t xml:space="preserve">Material</t>
  </si>
  <si>
    <t xml:space="preserve">envase</t>
  </si>
  <si>
    <t xml:space="preserve">Disolvente HAMMERITE (1 litro/envase).   Ref. bauhaus-24164252</t>
  </si>
  <si>
    <t xml:space="preserve">moc-std1-TVERTICAL</t>
  </si>
  <si>
    <t xml:space="preserve">Partida</t>
  </si>
  <si>
    <t xml:space="preserve">h</t>
  </si>
  <si>
    <t xml:space="preserve">Cuadrilla Std2 - VERTICALES - 1 Oficial de 1ª, 2 Ayudante</t>
  </si>
  <si>
    <t xml:space="preserve">mo-ofi-TV</t>
  </si>
  <si>
    <t xml:space="preserve">Mano de obra</t>
  </si>
  <si>
    <t xml:space="preserve">h</t>
  </si>
  <si>
    <t xml:space="preserve">Oficial de 1ª con trabajos verticales</t>
  </si>
  <si>
    <t xml:space="preserve">mo-ayu-TV</t>
  </si>
  <si>
    <t xml:space="preserve">Mano de obra</t>
  </si>
  <si>
    <t xml:space="preserve">h</t>
  </si>
  <si>
    <t xml:space="preserve">Ayudante de trabajos verticales</t>
  </si>
  <si>
    <t xml:space="preserve">mo-1_4-ayu-TV</t>
  </si>
  <si>
    <t xml:space="preserve">Mano de obra</t>
  </si>
  <si>
    <t xml:space="preserve">h</t>
  </si>
  <si>
    <t xml:space="preserve">1/2 Ayudante de trabajos verticales</t>
  </si>
  <si>
    <t xml:space="preserve">moc-std1-TVERTICAL</t>
  </si>
  <si>
    <t xml:space="preserve">mo%</t>
  </si>
  <si>
    <t xml:space="preserve">%</t>
  </si>
  <si>
    <t xml:space="preserve">Herramientas Menores</t>
  </si>
  <si>
    <t xml:space="preserve">REVPINT-PASAMANO-HAMMERITE-MS</t>
  </si>
  <si>
    <t xml:space="preserve">STR-DINTEL-IPE120</t>
  </si>
  <si>
    <t xml:space="preserve">Partida</t>
  </si>
  <si>
    <t xml:space="preserve">m</t>
  </si>
  <si>
    <t xml:space="preserve">Formación de dintel con perfil de acero IPE120; incluyendo apertura de roza/surco en pared para empotramiento</t>
  </si>
  <si>
    <t xml:space="preserve">Suministro y colocación de perfil laminado en caliente IPE120 como dintel; incluyendo apertura de surco/ranura en pared, mortero de recatado y recuperación de volumen, y aplicación de anticorrosivo en elemento metálico.</t>
  </si>
  <si>
    <t xml:space="preserve">ma-c.vilaseca-IPE120</t>
  </si>
  <si>
    <t xml:space="preserve">Material</t>
  </si>
  <si>
    <t xml:space="preserve">kg</t>
  </si>
  <si>
    <t xml:space="preserve">Perfil de acero estructural tipo IPE 120 (10,40 kg/m).   Ref. c.vilaseca-IPE120</t>
  </si>
  <si>
    <t xml:space="preserve">ma-colorsan-minio.titan-g</t>
  </si>
  <si>
    <t xml:space="preserve">Material</t>
  </si>
  <si>
    <t xml:space="preserve">envase</t>
  </si>
  <si>
    <t xml:space="preserve">Imprimante sintético graso para hierro y madera TITÁN de TITANLUX (4 litros/envase).   Ref. colorsan-minio.titan-g</t>
  </si>
  <si>
    <t xml:space="preserve">ma-lp-00539164</t>
  </si>
  <si>
    <t xml:space="preserve">Material</t>
  </si>
  <si>
    <t xml:space="preserve">saco</t>
  </si>
  <si>
    <t xml:space="preserve">Mortero seco para aplicaciones en albañilería M-7,5 SAGRASEC; color blanco (25 kg/saco)   Ref. lp-00539164</t>
  </si>
  <si>
    <t xml:space="preserve">alq-martillo-mym-32kg</t>
  </si>
  <si>
    <t xml:space="preserve">Maquinaria</t>
  </si>
  <si>
    <t xml:space="preserve">h</t>
  </si>
  <si>
    <t xml:space="preserve">Alquiler de Martillo Eléctrico Picador-Demoledor 32 kg.   Ref. MÁQUINAS Y MÁQUINAS</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</si>
  <si>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</si>
  <si>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</si>
  <si>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</si>
  <si>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</si>
  <si>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</si>
  <si>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</si>
  <si>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</si>
  <si>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</si>
  <si>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</si>
  <si>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</si>
  <si>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</si>
  <si>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</si>
  <si>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</si>
  <si>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</si>
  <si>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</si>
  <si>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</si>
  <si>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</si>
  <si>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</si>
  <si>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</si>
  <si>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</si>
  <si>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STR-DINTEL-IPE120</t>
  </si>
  <si>
    <t xml:space="preserve">STR-PLACA.ACERO-250x250x10</t>
  </si>
  <si>
    <t xml:space="preserve">Partida</t>
  </si>
  <si>
    <t xml:space="preserve">ud</t>
  </si>
  <si>
    <t xml:space="preserve">SUMINISTRO Y COLOCACIÓN DE PLACA DE ACERO PARA ANCLAJE DE ESTRUCTURA METÁLICA (250X250X8 MM/PZA)</t>
  </si>
  <si>
    <t xml:space="preserve">Suministro y colocación de placa de acero para anclaje de estructura metálica (250x250x8 mm/pza); incluye aplicación de anticorrosivo y aplicación de perforaciones.</t>
  </si>
  <si>
    <t xml:space="preserve">ma-lp-00253732</t>
  </si>
  <si>
    <t xml:space="preserve">Material</t>
  </si>
  <si>
    <t xml:space="preserve">und</t>
  </si>
  <si>
    <t xml:space="preserve">Placa de acero para anclaje de estructura metálica (250x250x8 mm/pza).   Ref. lp-00253732</t>
  </si>
  <si>
    <t xml:space="preserve">ma-colorsan-minio.titan-g</t>
  </si>
  <si>
    <t xml:space="preserve">Material</t>
  </si>
  <si>
    <t xml:space="preserve">envase</t>
  </si>
  <si>
    <t xml:space="preserve">Imprimante sintético graso para hierro y madera TITÁN de TITANLUX (4 litros/envase).   Ref. colorsan-minio.titan-g</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</si>
  <si>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</si>
  <si>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</si>
  <si>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</si>
  <si>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</si>
  <si>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</si>
  <si>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</si>
  <si>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</si>
  <si>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</si>
  <si>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</si>
  <si>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</si>
  <si>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</si>
  <si>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</si>
  <si>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</si>
  <si>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</si>
  <si>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</si>
  <si>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</si>
  <si>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</si>
  <si>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</si>
  <si>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</si>
  <si>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</si>
  <si>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</si>
  <si>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</si>
  <si>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</si>
  <si>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</si>
  <si>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STR-PLACA.ACERO-250x250x10</t>
  </si>
  <si>
    <t xml:space="preserve">STR-PLACA.ACERO-250x250x12</t>
  </si>
  <si>
    <t xml:space="preserve">Partida</t>
  </si>
  <si>
    <t xml:space="preserve">und</t>
  </si>
  <si>
    <t xml:space="preserve">SUMINISTRO Y COLOCACIÓN DE PLACA DE ACERO PARA ANCLAJE DE ESTRUCTURA METÁLICA (250X250X12 MM/PZA)</t>
  </si>
  <si>
    <t xml:space="preserve">Suministro y colocación de placa de acero para anclaje de estructura metálica (250x250x12 mm/pza)</t>
  </si>
  <si>
    <t xml:space="preserve">ma-hierromiguel-placa.250x250x12</t>
  </si>
  <si>
    <t xml:space="preserve">Material</t>
  </si>
  <si>
    <t xml:space="preserve">und</t>
  </si>
  <si>
    <t xml:space="preserve">Placa de acero para anclaje de estructura metálica 250x250x12 mm   Ref. hierromiguel-placa.250x250x12</t>
  </si>
  <si>
    <t xml:space="preserve">ma-colorsan-minio.titan-g</t>
  </si>
  <si>
    <t xml:space="preserve">Material</t>
  </si>
  <si>
    <t xml:space="preserve">envase</t>
  </si>
  <si>
    <t xml:space="preserve">Imprimante sintético graso para hierro y madera TITÁN de TITANLUX (4 litros/envase).   Ref. colorsan-minio.titan-g</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</si>
  <si>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</si>
  <si>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</si>
  <si>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</si>
  <si>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</si>
  <si>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</si>
  <si>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</si>
  <si>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</si>
  <si>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</si>
  <si>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</si>
  <si>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</si>
  <si>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</si>
  <si>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</si>
  <si>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</si>
  <si>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</si>
  <si>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</si>
  <si>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</si>
  <si>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</si>
  <si>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</si>
  <si>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</si>
  <si>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</si>
  <si>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</si>
  <si>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</si>
  <si>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</si>
  <si>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</si>
  <si>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STR-PLACA.ACERO-250x250x12</t>
  </si>
  <si>
    <t xml:space="preserve">STR-PLACA.ACERO-300x200x10</t>
  </si>
  <si>
    <t xml:space="preserve">Partida</t>
  </si>
  <si>
    <t xml:space="preserve">ML</t>
  </si>
  <si>
    <t xml:space="preserve">SUMINISTRO Y COLOCACIÓN DE PLACA DE ACERO PARA ANCLAJE DE ESTRUCTURA METÁLICA (300X200X10 MM/PZA)</t>
  </si>
  <si>
    <t xml:space="preserve">Suministro y colocación de placa de acero para anclaje de estructura metálica (300x200x10 mm/pza); incluye aplicación de anticorrosivo y aplicación de perforaciones.</t>
  </si>
  <si>
    <t xml:space="preserve">ma-hierromiguel-placa.300x200x10</t>
  </si>
  <si>
    <t xml:space="preserve">Material</t>
  </si>
  <si>
    <t xml:space="preserve">und</t>
  </si>
  <si>
    <t xml:space="preserve">Placa de acero para anclaje de estructura metálica 300x200x10 mm   Ref. hierromiguel-placa.300x200x10</t>
  </si>
  <si>
    <t xml:space="preserve">ma-colorsan-minio.titan-g</t>
  </si>
  <si>
    <t xml:space="preserve">Material</t>
  </si>
  <si>
    <t xml:space="preserve">envase</t>
  </si>
  <si>
    <t xml:space="preserve">Imprimante sintético graso para hierro y madera TITÁN de TITANLUX (4 litros/envase).   Ref. colorsan-minio.titan-g</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</si>
  <si>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</si>
  <si>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</si>
  <si>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</si>
  <si>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</si>
  <si>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</si>
  <si>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</si>
  <si>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</si>
  <si>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</si>
  <si>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</si>
  <si>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</si>
  <si>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</si>
  <si>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</si>
  <si>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</si>
  <si>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</si>
  <si>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</si>
  <si>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</si>
  <si>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</si>
  <si>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</si>
  <si>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</si>
  <si>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</si>
  <si>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</si>
  <si>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</si>
  <si>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</si>
  <si>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</si>
  <si>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STR-PLACA.ACERO-300x200x10</t>
  </si>
  <si>
    <t xml:space="preserve">STR-PLACA.ACERO.C/E-250x250x12</t>
  </si>
  <si>
    <t xml:space="preserve">Partida</t>
  </si>
  <si>
    <t xml:space="preserve">und</t>
  </si>
  <si>
    <t xml:space="preserve">SUMINISTRO Y COLOCACIÓN DE PLACA DE ACERO PARA ANCLAJE DE ESTRUCTURA METÁLICA (250X250X12 MM/PZA); INCLUYE PERNOS Y TACO QUÍMICO</t>
  </si>
  <si>
    <t xml:space="preserve">Suministro y colocación de placa de acero para anclaje de estructura metálica (250x250x12 mm/pza); incluye pernos y taco químico</t>
  </si>
  <si>
    <t xml:space="preserve">ma-hierromiguel-placa.250x250x12</t>
  </si>
  <si>
    <t xml:space="preserve">Material</t>
  </si>
  <si>
    <t xml:space="preserve">und</t>
  </si>
  <si>
    <t xml:space="preserve">Placa de acero para anclaje de estructura metálica 250x250x12 mm   Ref. hierromiguel-placa.250x250x12</t>
  </si>
  <si>
    <t xml:space="preserve">ma-colorsan-minio.titan-g</t>
  </si>
  <si>
    <t xml:space="preserve">Material</t>
  </si>
  <si>
    <t xml:space="preserve">envase</t>
  </si>
  <si>
    <t xml:space="preserve">Imprimante sintético graso para hierro y madera TITÁN de TITANLUX (4 litros/envase).   Ref. colorsan-minio.titan-g</t>
  </si>
  <si>
    <t xml:space="preserve">ma-lp-00016913</t>
  </si>
  <si>
    <t xml:space="preserve">Material</t>
  </si>
  <si>
    <t xml:space="preserve">bolsa</t>
  </si>
  <si>
    <t xml:space="preserve">Espárrago/Varilla de inyección para anclaje químico FISCHER FIS GS; 12x120 mm (8 pzas/bolsa).   Ref. lp-00016913.</t>
  </si>
  <si>
    <t xml:space="preserve">ma-bm-10943415</t>
  </si>
  <si>
    <t xml:space="preserve">Material</t>
  </si>
  <si>
    <t xml:space="preserve">bolsa</t>
  </si>
  <si>
    <t xml:space="preserve">Tamiz de nylon para taco/anclaje químico; 16x130 mm FISCHER (20 pzas./bolsa)   Ref. bm-10943415</t>
  </si>
  <si>
    <t xml:space="preserve">ma-lp-00016626</t>
  </si>
  <si>
    <t xml:space="preserve">Material</t>
  </si>
  <si>
    <t xml:space="preserve">cartucho</t>
  </si>
  <si>
    <t xml:space="preserve">Anclaje/Taco químico de resina FISCHER FIS VS 300 T (300 ml/cartucho).   Ref. lp-00016626</t>
  </si>
  <si>
    <t xml:space="preserve">alq-taladro-tq-01</t>
  </si>
  <si>
    <t xml:space="preserve">Maquinaria</t>
  </si>
  <si>
    <t xml:space="preserve">h</t>
  </si>
  <si>
    <t xml:space="preserve">Alquiler de Taladro Percutor (Cable-Batería).   Ref. TOOLQUICK</t>
  </si>
  <si>
    <t xml:space="preserve">ma-lp-00017168</t>
  </si>
  <si>
    <t xml:space="preserve">Material</t>
  </si>
  <si>
    <t xml:space="preserve">und</t>
  </si>
  <si>
    <t xml:space="preserve">Broca para metal BOSCH HSS-G; 12x134x205 mm   Ref. lp-00017168</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</si>
  <si>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</si>
  <si>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</si>
  <si>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</si>
  <si>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</si>
  <si>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</si>
  <si>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</si>
  <si>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</si>
  <si>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</si>
  <si>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</si>
  <si>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</si>
  <si>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</si>
  <si>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</si>
  <si>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</si>
  <si>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</si>
  <si>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</si>
  <si>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</si>
  <si>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STR-PLACA.ACERO.C/E-250x250x12</t>
  </si>
  <si>
    <t xml:space="preserve">STR-TACO.QUIMICO-16mm.M</t>
  </si>
  <si>
    <t xml:space="preserve">Partida</t>
  </si>
  <si>
    <t xml:space="preserve">ud</t>
  </si>
  <si>
    <t xml:space="preserve">S/C ESPÁRRAGO DE ANCLAJE 16 mm CON TACO QUÍMICO EN MAMPOSTERÍA</t>
  </si>
  <si>
    <t xml:space="preserve">REVOCO PÉTREO DECORATIVO AL SILOXANO APLICADO SOBRE ENFOSCADO DE PARAMENTO VERTICAL, MEDIANTE EL USO DE ANDAMIO TUBULAR</t>
  </si>
  <si>
    <t xml:space="preserve">ma-lp-00300152</t>
  </si>
  <si>
    <t xml:space="preserve">Material</t>
  </si>
  <si>
    <t xml:space="preserve">pza</t>
  </si>
  <si>
    <t xml:space="preserve">Varilla roscada de acero cincado M-16 de HYDRAFIX (1 m/pza).   Ref. lp-00300152</t>
  </si>
  <si>
    <t xml:space="preserve">alq-taladro-tq-01</t>
  </si>
  <si>
    <t xml:space="preserve">Maquinaria</t>
  </si>
  <si>
    <t xml:space="preserve">h</t>
  </si>
  <si>
    <t xml:space="preserve">Alquiler de Taladro Percutor (Cable-Batería).   Ref. TOOLQUICK</t>
  </si>
  <si>
    <t xml:space="preserve">ma-bm-10003607</t>
  </si>
  <si>
    <t xml:space="preserve">Material</t>
  </si>
  <si>
    <t xml:space="preserve">und</t>
  </si>
  <si>
    <t xml:space="preserve">Broca para hormigón SDS Plus-3 BOSCH CYL-3; 14x260 mm   Ref. bm-10003607</t>
  </si>
  <si>
    <t xml:space="preserve">moc-std2-generico</t>
  </si>
  <si>
    <t xml:space="preserve">Partida</t>
  </si>
  <si>
    <t xml:space="preserve">h</t>
  </si>
  <si>
    <t xml:space="preserve">Cuadrilla Std2 - 1 Oficial de 1ª y 1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</si>
  <si>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</si>
  <si>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</si>
  <si>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</si>
  <si>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</si>
  <si>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</si>
  <si>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</si>
  <si>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</si>
  <si>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</si>
  <si>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moc-std2-generico</t>
  </si>
  <si>
    <t xml:space="preserve">mo%</t>
  </si>
  <si>
    <t xml:space="preserve">%</t>
  </si>
  <si>
    <t xml:space="preserve">Herramientas Menores</t>
  </si>
  <si>
    <t xml:space="preserve">STR-TACO.QUIMICO-16mm.M</t>
  </si>
  <si>
    <t xml:space="preserve">TRANSPORTE-IDA.Y.VUELTA</t>
  </si>
  <si>
    <t xml:space="preserve">Partida</t>
  </si>
  <si>
    <t xml:space="preserve">und</t>
  </si>
  <si>
    <t xml:space="preserve">TRANSPORTE IDA Y VUELTA DE EQUIPOS MENORES Y HERRAMIENTAS</t>
  </si>
  <si>
    <t xml:space="preserve">TRANSPORTE IDA Y VUELTA DE EQUIPOS MENORES Y HERRAMIENTAS</t>
  </si>
  <si>
    <t xml:space="preserve">ENTRG1</t>
  </si>
  <si>
    <t xml:space="preserve">Material</t>
  </si>
  <si>
    <t xml:space="preserve">PAR</t>
  </si>
  <si>
    <t xml:space="preserve">PORTES DE ENTREGA</t>
  </si>
  <si>
    <t xml:space="preserve">RECO1</t>
  </si>
  <si>
    <t xml:space="preserve">Material</t>
  </si>
  <si>
    <t xml:space="preserve">PAR</t>
  </si>
  <si>
    <t xml:space="preserve">PORTE DE RECOGIDA</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</si>
  <si>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</si>
  <si>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</si>
  <si>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</si>
  <si>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</si>
  <si>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</si>
  <si>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</si>
  <si>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</si>
  <si>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</si>
  <si>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</si>
  <si>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</si>
  <si>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</si>
  <si>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</si>
  <si>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</si>
  <si>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</si>
  <si>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</si>
  <si>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</si>
  <si>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</si>
  <si>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TRANSPORTE-IDA.Y.VUELTA</t>
  </si>
  <si>
    <t xml:space="preserve">TRASDOSADO-AUTOPORTANTE-C/FUEGO</t>
  </si>
  <si>
    <t xml:space="preserve">Partida</t>
  </si>
  <si>
    <t xml:space="preserve">m²</t>
  </si>
  <si>
    <t xml:space="preserve">TRASDOSADO AUTOPORTANTE DE PLACAS DE YESO LAMINADO. SISTEMA "PLADUR".</t>
  </si>
  <si>
    <t xml:space="preserve">Trasdosado autoportante, con resistencia al fuego EI 60, sistema 78 (48-35) MW "PLADUR", de 88 mm de espesor, con nivel de calidad del acabado Q2, formado por placa de yeso laminado tipo con resistencia al fuego de 15 mm de espesor, formando sándwich con una placa tipo con resistencia al fuego de 15 mm de espesor, atornilladas directamente a una estructura autoportante de acero galvanizado formada por canales horizontales, sólidamente fijados al suelo y al techo y montantes verticales de 48 mm y 0,6 mm de espesor con una modulación de 400 mm y con disposición normal "N", montados sobre canales junto al paramento vertical creando una cámara de aire de 10 mm de espesor mínimo. Incluso banda estanca autoadhesiva "PLADUR"; fijaciones para el anclaje de canales y montantes metálicos; tornillería para la fijación de las placas; cinta microperforada de papel con refuerzo metálico "PLADUR" y pasta de secado en polvo JN "PLADUR", cinta microperforada de papel "PLADUR".
Criterio de valoración económica: El precio incluye la resolución de encuentros y puntos singulares, pero no incluye el aislamiento a colocar entre las placas y el paramento.
Incluye: Replanteo y trazado en el forjado inferior y en el superior de los perfiles.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Replanteo de las cajas para alojamiento de mecanismos eléctricos y de paso de instalaciones, y posterior perforación de las placas. Tratamiento de juntas.
Criterio de medición de proyecto: Superficie medida según documentación gráfica de Proyecto, sin duplicar esquinas ni encuentros, siguiendo los criterios de medición expuestos en la norma UNE 92305.
Criterio de medición de obra: Se medirá la superficie realmente ejecutada según especificaciones de Proyecto, sin duplicar esquinas ni encuentros, siguiendo los criterios de medición expuestos en la norma UNE 92305.</t>
  </si>
  <si>
    <t xml:space="preserve">mt12pfp010ab</t>
  </si>
  <si>
    <t xml:space="preserve">Material</t>
  </si>
  <si>
    <t xml:space="preserve">m</t>
  </si>
  <si>
    <t xml:space="preserve">Canal C 48/30 "PLADUR", de 48 mm de anchura, de acero galvanizado Z1 (Z140), según UNE-EN 14195.</t>
  </si>
  <si>
    <t xml:space="preserve">mt12pfp020b</t>
  </si>
  <si>
    <t xml:space="preserve">Material</t>
  </si>
  <si>
    <t xml:space="preserve">m</t>
  </si>
  <si>
    <t xml:space="preserve">Montante M 48/35 "PLADUR", de 48 mm de anchura, de acero galvanizado Z1 (Z140), según UNE-EN 14195.</t>
  </si>
  <si>
    <t xml:space="preserve">mt12pip020b</t>
  </si>
  <si>
    <t xml:space="preserve">Material</t>
  </si>
  <si>
    <t xml:space="preserve">m</t>
  </si>
  <si>
    <t xml:space="preserve">Banda estanca autoadhesiva de espuma de poliuretano de celdas cerradas "PLADUR", de 3 mm de espesor y 46 mm de anchura, resistencia térmica 0,10 m²K/W, conductividad térmica 0,034 W/(mK).</t>
  </si>
  <si>
    <t xml:space="preserve">mt12psp010cwd</t>
  </si>
  <si>
    <t xml:space="preserve">Material</t>
  </si>
  <si>
    <t xml:space="preserve">m²</t>
  </si>
  <si>
    <t xml:space="preserve">Placa de yeso laminado F / UNE-EN 520 - 1200 / 3000 / 15 / con los bordes longitudinales afinados, con resistencia al fuego F "PLADUR", Euroclase A2-s1, d0 de reacción al fuego, según UNE-EN 13501-1.</t>
  </si>
  <si>
    <t xml:space="preserve">mt12ptp010ch</t>
  </si>
  <si>
    <t xml:space="preserve">Material</t>
  </si>
  <si>
    <t xml:space="preserve">Ud</t>
  </si>
  <si>
    <t xml:space="preserve">Tornillo autoperforante de acero cincado, MM 3,5x9,5 "PLADUR", de cabeza redonda y punta de broca; para la unión de perfiles metálicos de hasta 2,25 mm de espesor.</t>
  </si>
  <si>
    <t xml:space="preserve">mt12ptp010ag</t>
  </si>
  <si>
    <t xml:space="preserve">Material</t>
  </si>
  <si>
    <t xml:space="preserve">Ud</t>
  </si>
  <si>
    <t xml:space="preserve">Tornillo autorroscante de acero revestido con fosfatos, PM 3,5x25 "PLADUR", con cabeza de trompeta y punta afilada; para la fijación de placas de yeso laminado a perfiles metálicos de hasta 0,75 mm de espesor.</t>
  </si>
  <si>
    <t xml:space="preserve">mt12ptp010ae</t>
  </si>
  <si>
    <t xml:space="preserve">Material</t>
  </si>
  <si>
    <t xml:space="preserve">Ud</t>
  </si>
  <si>
    <t xml:space="preserve">Tornillo autorroscante de acero revestido con fosfatos, PM 3,5x45 "PLADUR", con cabeza de trompeta y punta afilada; para la fijación de placas de yeso laminado a perfiles metálicos de hasta 0,75 mm de espesor.</t>
  </si>
  <si>
    <t xml:space="preserve">mt12pep010pa</t>
  </si>
  <si>
    <t xml:space="preserve">Material</t>
  </si>
  <si>
    <t xml:space="preserve">kg</t>
  </si>
  <si>
    <t xml:space="preserve">Pasta de secado en polvo JN "PLADUR", 3A, color blanco, Euroclase A2-s1, d0 de reacción al fuego, según UNE-EN 13501-1, rango de temperatura de trabajo de 5 a 35°C, para aplicación manual con cinta de juntas, según UNE-EN 13963.</t>
  </si>
  <si>
    <t xml:space="preserve">mt12pip010aa</t>
  </si>
  <si>
    <t xml:space="preserve">Material</t>
  </si>
  <si>
    <t xml:space="preserve">m</t>
  </si>
  <si>
    <t xml:space="preserve">Cinta microperforada de papel "PLADUR", de 51 mm de anchura y 0,215 mm de espesor, según UNE-EN 13963.</t>
  </si>
  <si>
    <t xml:space="preserve">mt12pip010ea</t>
  </si>
  <si>
    <t xml:space="preserve">Material</t>
  </si>
  <si>
    <t xml:space="preserve">m</t>
  </si>
  <si>
    <t xml:space="preserve">Cinta microperforada de papel con refuerzo metálico "PLADUR", de 50 mm de anchura y 0,215 mm de espesor, según UNE-EN 14353.</t>
  </si>
  <si>
    <t xml:space="preserve">moc-std1-pintura</t>
  </si>
  <si>
    <t xml:space="preserve">Partida</t>
  </si>
  <si>
    <t xml:space="preserve">h</t>
  </si>
  <si>
    <t xml:space="preserve">Cuadrilla Std1 Pintura - 1 Oficial de 1ª, 1 Ayudante y 1/2 Ayudante</t>
  </si>
  <si>
    <t xml:space="preserve">mo-pintor-oficial1</t>
  </si>
  <si>
    <t xml:space="preserve">Mano de obra</t>
  </si>
  <si>
    <t xml:space="preserve">h</t>
  </si>
  <si>
    <t xml:space="preserve">Oficial Pintor de 1ª</t>
  </si>
  <si>
    <t xml:space="preserve">mo-pintor-ayudante</t>
  </si>
  <si>
    <t xml:space="preserve">Mano de obra</t>
  </si>
  <si>
    <t xml:space="preserve">h</t>
  </si>
  <si>
    <t xml:space="preserve">Ayudante de Pintor</t>
  </si>
  <si>
    <t xml:space="preserve">mo-salarial-1/2ayudante</t>
  </si>
  <si>
    <t xml:space="preserve">Mano de obra</t>
  </si>
  <si>
    <t xml:space="preserve">h</t>
  </si>
  <si>
    <t xml:space="preserve">1/5 Ayudante</t>
  </si>
  <si>
    <t xml:space="preserve">moc-std1-pintura</t>
  </si>
  <si>
    <t xml:space="preserve">%</t>
  </si>
  <si>
    <t xml:space="preserve">%</t>
  </si>
  <si>
    <t xml:space="preserve">Costes directos complementarios</t>
  </si>
  <si>
    <t xml:space="preserve">TRASDOSADO-AUTOPORTANTE-C/FUEGO</t>
  </si>
  <si>
    <t xml:space="preserve">VISERA-ALUMINIO-20.40</t>
  </si>
  <si>
    <t xml:space="preserve">Partida</t>
  </si>
  <si>
    <t xml:space="preserve">m</t>
  </si>
  <si>
    <t xml:space="preserve">SUMINISTRO Y COLOCACIÓN DE VISERA DE ALUMINIO LACADO EN CHAPA CORTADA-DOBLADA (Longitud Desarrollo = 70 cm)</t>
  </si>
  <si>
    <t xml:space="preserve">Suministro y colocación de visera de aluminio lacado en chapa cortada-doblada (longitud desarrollo = 70 cm)</t>
  </si>
  <si>
    <t xml:space="preserve">ma-chapasyperfiles-T3-20.40</t>
  </si>
  <si>
    <t xml:space="preserve">Material</t>
  </si>
  <si>
    <t xml:space="preserve">m</t>
  </si>
  <si>
    <t xml:space="preserve">Visera de aluminio lacado en chapa plegada-cortada; tipo 3 (A:B::20:40 mm).   Ref. chapasyperfiles-T3-20.40</t>
  </si>
  <si>
    <t xml:space="preserve">ma-manomano-562170</t>
  </si>
  <si>
    <t xml:space="preserve">Material</t>
  </si>
  <si>
    <t xml:space="preserve">caja</t>
  </si>
  <si>
    <t xml:space="preserve">Taco alargado DuoXpand 10x140 mm FISCHER FUS acero (50 pzas/caja).   Ref. manomano-562170</t>
  </si>
  <si>
    <t xml:space="preserve">ma-lm-322182</t>
  </si>
  <si>
    <t xml:space="preserve">Material</t>
  </si>
  <si>
    <t xml:space="preserve">cartucho</t>
  </si>
  <si>
    <t xml:space="preserve">Masilla de poliuretano SIKAFLEX 11FC de SIKA; color gris (300 cm3/cartucho).   Ref. lm-322182</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</si>
  <si>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</si>
  <si>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</si>
  <si>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</si>
  <si>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</si>
  <si>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</si>
  <si>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</si>
  <si>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</si>
  <si>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</si>
  <si>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</si>
  <si>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</si>
  <si>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</si>
  <si>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</si>
  <si>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</si>
  <si>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</si>
  <si>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</si>
  <si>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</si>
  <si>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</si>
  <si>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mo%</t>
  </si>
  <si>
    <t xml:space="preserve">%</t>
  </si>
  <si>
    <t xml:space="preserve">Herramientas Menores</t>
  </si>
  <si>
    <t xml:space="preserve">VISERA-ALUMINIO-20.40</t>
  </si>
  <si>
    <t xml:space="preserve">ZOCALO-MADERA.ROBLE-7cm</t>
  </si>
  <si>
    <t xml:space="preserve">Partida</t>
  </si>
  <si>
    <t xml:space="preserve">m</t>
  </si>
  <si>
    <t xml:space="preserve">RODAPIÉ DE MADERA DE ROBLE 7 cm</t>
  </si>
  <si>
    <t xml:space="preserve">Rodapié de madera maciza de roble, de 70x12 mm, acabado barnizado en taller, fijado al paramento mediante adhesivo.
Incluye: Replanteo. Corte de las piezas. Fijación de las piezas sobre el paramento. Resolución de esquinas y encuentros.
Criterio de medición de proyecto: Longitud medida según documentación gráfica de Proyecto, sin incluir huecos de puertas. No se ha incrementado la medición por roturas y recortes, ya que en la descomposición se ha considerado un 5% más de piezas.
Criterio de medición de obra: Se medirá la longitud realmente ejecutada según especificaciones de Proyecto.</t>
  </si>
  <si>
    <t xml:space="preserve">mt18rma010zc</t>
  </si>
  <si>
    <t xml:space="preserve">Material</t>
  </si>
  <si>
    <t xml:space="preserve">m</t>
  </si>
  <si>
    <t xml:space="preserve">Rodapié de madera maciza de roble, de 70x12 mm, acabado barnizado en taller.</t>
  </si>
  <si>
    <t xml:space="preserve">mt18mva070</t>
  </si>
  <si>
    <t xml:space="preserve">Material</t>
  </si>
  <si>
    <t xml:space="preserve">l</t>
  </si>
  <si>
    <t xml:space="preserve">Adhesivo, con clase de durabilidad D3 según UNE-EN 204.</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</si>
  <si>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</si>
  <si>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</si>
  <si>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</si>
  <si>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</si>
  <si>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</si>
  <si>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</si>
  <si>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</si>
  <si>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</si>
  <si>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</si>
  <si>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</si>
  <si>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</si>
  <si>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</si>
  <si>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</si>
  <si>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</si>
  <si>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</si>
  <si>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</si>
  <si>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</si>
  <si>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</si>
  <si>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</si>
  <si>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</si>
  <si>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ZOCALO-MADERA.ROBLE-7cm</t>
  </si>
  <si>
    <t xml:space="preserve">PARNU</t>
  </si>
  <si>
    <t xml:space="preserve">SEGYS</t>
  </si>
  <si>
    <t xml:space="preserve">Capítulo</t>
  </si>
  <si>
    <t xml:space="preserve">SEGURIDAD Y SALUD</t>
  </si>
  <si>
    <t xml:space="preserve">SEG01</t>
  </si>
  <si>
    <t xml:space="preserve">Partida</t>
  </si>
  <si>
    <t xml:space="preserve">U</t>
  </si>
  <si>
    <t xml:space="preserve">PREVISIÓN DE EQUIPAMIENTOS E INSTALACIONES</t>
  </si>
  <si>
    <t xml:space="preserve">Previsión de equipamientos e instalaciones para la protección a nivel de seguridad y salud necesaria para la realización de la obra, incluida formación del personal e inspecciones del técnico en seguridad a la obra.</t>
  </si>
  <si>
    <t xml:space="preserve">seg1</t>
  </si>
  <si>
    <t xml:space="preserve">Material</t>
  </si>
  <si>
    <t xml:space="preserve">u</t>
  </si>
  <si>
    <t xml:space="preserve">Seguridad y salud</t>
  </si>
  <si>
    <t xml:space="preserve">SEG01</t>
  </si>
  <si>
    <t xml:space="preserve">SEG02</t>
  </si>
  <si>
    <t xml:space="preserve">Partida</t>
  </si>
  <si>
    <t xml:space="preserve">U</t>
  </si>
  <si>
    <t xml:space="preserve">REDACCIÓN DE PLAN DE SEGURIDAD Y SALUD</t>
  </si>
  <si>
    <t xml:space="preserve">Redacción de plan de seguridad y salud, apertura del centro de trabajo, libro de la subcontratación y demás documentación de obligado cumpliento en materia de seguridad.</t>
  </si>
  <si>
    <t xml:space="preserve">seg2</t>
  </si>
  <si>
    <t xml:space="preserve">Material</t>
  </si>
  <si>
    <t xml:space="preserve">u</t>
  </si>
  <si>
    <t xml:space="preserve">Redacción de plan de seguridad y salud</t>
  </si>
  <si>
    <t xml:space="preserve">SEG02</t>
  </si>
  <si>
    <t xml:space="preserve">SEG03</t>
  </si>
  <si>
    <t xml:space="preserve">Partida</t>
  </si>
  <si>
    <t xml:space="preserve">M</t>
  </si>
  <si>
    <t xml:space="preserve">BOTIQUÍN DE URGENCIA</t>
  </si>
  <si>
    <t xml:space="preserve">Botiquín de urgencia para caseta de obra, provisto de desinfectantes y antisépticos autorizados, gasas estériles, algodón hidrófilo, venda, esparadrapo, apósitos adhesivos, un par de tijeras, pinzas, guantes desechables, bolsa de goma para agua y hielo, antiespasmódicos, analgésicos, tónicos cardíacos de urgencia, un torniquete, un termómetro clínico y jeringuillas desechables, fijado al paramento con tornillos y tacos.</t>
  </si>
  <si>
    <t xml:space="preserve">mt50eca010</t>
  </si>
  <si>
    <t xml:space="preserve">Material</t>
  </si>
  <si>
    <t xml:space="preserve">Ud</t>
  </si>
  <si>
    <t xml:space="preserve">Botiquín de urgencia provisto de desinfectantes y antisépticos autorizados, gasas estériles, algodón hidrófilo, venda, esparadrapo, apósitos adhesivos, un par de tijeras, pinzas, guantes desechables, bolsa de goma para agua y hielo, antiespasmódicos, analgésicos, tónicos cardíacos de urgencia, un torniquete, un termómetro clínico y jeringuillas desechables, con tornillos y tacos para fijar al paramento.</t>
  </si>
  <si>
    <t xml:space="preserve">moc-std1-generico</t>
  </si>
  <si>
    <t xml:space="preserve">Partida</t>
  </si>
  <si>
    <t xml:space="preserve">h</t>
  </si>
  <si>
    <t xml:space="preserve">Cuadrilla Std1 - 1 Oficial de 1ª, 1 Ayudante y 1/5 Ayudante</t>
  </si>
  <si>
    <t xml:space="preserve">mo-salarial-oficial1</t>
  </si>
  <si>
    <t xml:space="preserve">Mano de obra</t>
  </si>
  <si>
    <t xml:space="preserve">h</t>
  </si>
  <si>
    <t xml:space="preserve">Oficial de 1ª</t>
  </si>
  <si>
    <t xml:space="preserve">mo-salarial-ayudante</t>
  </si>
  <si>
    <t xml:space="preserve">Mano de obra</t>
  </si>
  <si>
    <t xml:space="preserve">h</t>
  </si>
  <si>
    <t xml:space="preserve">Ayudante</t>
  </si>
  <si>
    <t xml:space="preserve">mo-salarial-1/2ayudante</t>
  </si>
  <si>
    <t xml:space="preserve">Mano de obra</t>
  </si>
  <si>
    <t xml:space="preserve">h</t>
  </si>
  <si>
    <t xml:space="preserve">1/5 Ayudante</t>
  </si>
  <si>
    <t xml:space="preserve">moc-std1-generico</t>
  </si>
  <si>
    <t xml:space="preserve">%</t>
  </si>
  <si>
    <t xml:space="preserve">%</t>
  </si>
  <si>
    <t xml:space="preserve">Costes directos complementarios</t>
  </si>
  <si>
    <t xml:space="preserve">SEG03</t>
  </si>
  <si>
    <t xml:space="preserve">SEGYS</t>
  </si>
  <si>
    <t xml:space="preserve">BASE DE DATOS IRES</t>
  </si>
</sst>
</file>

<file path=xl/styles.xml><?xml version="1.0" encoding="utf-8"?>
<styleSheet xmlns="http://schemas.openxmlformats.org/spreadsheetml/2006/main">
  <numFmts count="3">
    <numFmt numFmtId="200" formatCode="#,##0.00"/>
    <numFmt numFmtId="201" formatCode="#,##0.00000"/>
    <numFmt numFmtId="202" formatCode="#,##0.000"/>
  </numFmts>
  <fonts count="5">
    <font>
      <sz val="12.00"/>
      <color rgb="FF000000"/>
      <name val="Verdana"/>
      <family val="2"/>
    </font>
    <font>
      <b/>
      <sz val="9.96"/>
      <color rgb="FF000000"/>
      <name val="Arial"/>
      <family val="2"/>
    </font>
    <font>
      <b/>
      <sz val="9.00"/>
      <color rgb="FF000000"/>
      <name val="Arial"/>
      <family val="2"/>
    </font>
    <font>
      <b/>
      <sz val="8.04"/>
      <color rgb="FF000000"/>
      <name val="Arial"/>
      <family val="2"/>
    </font>
    <font>
      <sz val="8.04"/>
      <color rgb="FF000000"/>
      <name val="Arial"/>
      <family val="2"/>
    </font>
  </fonts>
  <fills count="9">
    <fill>
      <patternFill patternType="none"/>
    </fill>
    <fill>
      <patternFill patternType="gray125"/>
    </fill>
    <fill>
      <patternFill patternType="solid">
        <fgColor rgb="FFFFBF7F"/>
      </patternFill>
    </fill>
    <fill>
      <patternFill patternType="solid">
        <fgColor rgb="FFCC6600"/>
      </patternFill>
    </fill>
    <fill>
      <patternFill patternType="solid">
        <fgColor rgb="FFE57F19"/>
      </patternFill>
    </fill>
    <fill>
      <patternFill patternType="solid">
        <fgColor rgb="FFFE9832"/>
      </patternFill>
    </fill>
    <fill>
      <patternFill patternType="solid">
        <fgColor rgb="FFFFB14B"/>
      </patternFill>
    </fill>
    <fill>
      <patternFill patternType="solid">
        <fgColor rgb="FFFFCA64"/>
      </patternFill>
    </fill>
    <fill>
      <patternFill patternType="solid">
        <fgColor rgb="FFFFE37D"/>
      </patternFill>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88">
    <xf numFmtId="0" fontId="0" fillId="0" borderId="0" xfId="0" applyFont="1" applyAlignment="1">
      <alignment horizontal="left" vertical="center" wrapText="0"/>
    </xf>
    <xf numFmtId="0" fontId="1" fillId="0" borderId="0" xfId="0" applyFont="1" applyAlignment="1">
      <alignment horizontal="right" vertical="top" wrapText="1"/>
    </xf>
    <xf numFmtId="0" fontId="1" fillId="2" borderId="0" xfId="0" applyFont="1" applyAlignment="1">
      <alignment horizontal="right" vertical="top" wrapText="1"/>
    </xf>
    <xf numFmtId="0" fontId="1" fillId="0" borderId="0" xfId="0" applyFont="1" applyAlignment="1">
      <alignment horizontal="left" vertical="top" wrapText="1"/>
    </xf>
    <xf numFmtId="0" fontId="1" fillId="2" borderId="0" xfId="0" applyFont="1" applyAlignment="1">
      <alignment horizontal="left" vertical="top" wrapText="1"/>
    </xf>
    <xf numFmtId="0" fontId="0" fillId="2" borderId="0" xfId="0" applyFont="1" applyAlignment="1">
      <alignment horizontal="left" vertical="top" wrapText="1"/>
    </xf>
    <xf numFmtId="0" fontId="2" fillId="0" borderId="0" xfId="0" applyFont="1" applyAlignment="1">
      <alignment horizontal="left" vertical="top" wrapText="1"/>
    </xf>
    <xf numFmtId="0" fontId="2" fillId="2" borderId="1" xfId="0" applyFont="1" applyAlignment="1">
      <alignment horizontal="left" vertical="top" wrapText="1"/>
    </xf>
    <xf numFmtId="0" fontId="2" fillId="0" borderId="0" xfId="0" applyFont="1" applyAlignment="1">
      <alignment horizontal="right" vertical="top" wrapText="1"/>
    </xf>
    <xf numFmtId="0" fontId="2" fillId="2" borderId="1" xfId="0" applyFont="1" applyAlignment="1">
      <alignment horizontal="right" vertical="top" wrapText="1"/>
    </xf>
    <xf numFmtId="0" fontId="3" fillId="0" borderId="0" xfId="0" applyFont="1" applyAlignment="1">
      <alignment horizontal="left" vertical="top" wrapText="1"/>
    </xf>
    <xf numFmtId="0" fontId="3" fillId="3" borderId="2" xfId="0" applyFont="1" applyAlignment="1">
      <alignment horizontal="left" vertical="top" wrapText="1"/>
    </xf>
    <xf numFmtId="0" fontId="0" fillId="3" borderId="2" xfId="0" applyFont="1" applyAlignment="1">
      <alignment horizontal="left" vertical="top" wrapText="1"/>
    </xf>
    <xf numFmtId="0" fontId="3" fillId="3" borderId="2" xfId="0" applyFont="1" applyAlignment="1">
      <alignment horizontal="justify" vertical="top" wrapText="1"/>
    </xf>
    <xf numFmtId="0" fontId="3" fillId="4" borderId="0" xfId="0" applyFont="1" applyAlignment="1">
      <alignment horizontal="left" vertical="top" wrapText="1"/>
    </xf>
    <xf numFmtId="0" fontId="0" fillId="4" borderId="0" xfId="0" applyFont="1" applyAlignment="1">
      <alignment horizontal="left" vertical="top" wrapText="1"/>
    </xf>
    <xf numFmtId="0" fontId="3" fillId="0" borderId="0" xfId="0" applyFont="1" applyAlignment="1">
      <alignment horizontal="justify" vertical="top" wrapText="1"/>
    </xf>
    <xf numFmtId="0" fontId="3" fillId="4" borderId="0" xfId="0" applyFont="1" applyAlignment="1">
      <alignment horizontal="justify" vertical="top" wrapText="1"/>
    </xf>
    <xf numFmtId="0" fontId="3" fillId="5" borderId="0" xfId="0" applyFont="1" applyAlignment="1">
      <alignment horizontal="left" vertical="top" wrapText="1"/>
    </xf>
    <xf numFmtId="0" fontId="0" fillId="5" borderId="0" xfId="0" applyFont="1" applyAlignment="1">
      <alignment horizontal="left" vertical="top" wrapText="1"/>
    </xf>
    <xf numFmtId="0" fontId="3" fillId="5" borderId="0" xfId="0" applyFont="1" applyAlignment="1">
      <alignment horizontal="justify" vertical="top" wrapText="1"/>
    </xf>
    <xf numFmtId="0" fontId="3" fillId="6" borderId="0" xfId="0" applyFont="1" applyAlignment="1">
      <alignment horizontal="left" vertical="top" wrapText="1"/>
    </xf>
    <xf numFmtId="0" fontId="0" fillId="6" borderId="0" xfId="0" applyFont="1" applyAlignment="1">
      <alignment horizontal="left" vertical="top" wrapText="1"/>
    </xf>
    <xf numFmtId="0" fontId="3" fillId="6" borderId="0" xfId="0" applyFont="1" applyAlignment="1">
      <alignment horizontal="justify" vertical="top" wrapText="1"/>
    </xf>
    <xf numFmtId="0" fontId="4" fillId="0" borderId="0" xfId="0" applyFont="1" applyAlignment="1">
      <alignment horizontal="left" vertical="top" wrapText="1"/>
    </xf>
    <xf numFmtId="0" fontId="4" fillId="0" borderId="0" xfId="0" applyFont="1" applyAlignment="1">
      <alignment horizontal="justify" vertical="top" wrapText="1"/>
    </xf>
    <xf numFmtId="0" fontId="0" fillId="0" borderId="0" xfId="0" applyFont="1" applyAlignment="1">
      <alignment horizontal="center" vertical="center" wrapText="1"/>
    </xf>
    <xf numFmtId="200" fontId="4" fillId="0" borderId="0" xfId="0" applyFont="1" applyAlignment="1">
      <alignment horizontal="right" vertical="top" wrapText="1"/>
    </xf>
    <xf numFmtId="201" fontId="4" fillId="0" borderId="0" xfId="0" applyFont="1" applyAlignment="1">
      <alignment horizontal="right" vertical="top" wrapText="1"/>
    </xf>
    <xf numFmtId="202" fontId="4" fillId="0" borderId="0" xfId="0" applyFont="1" applyAlignment="1">
      <alignment horizontal="right" vertical="top" wrapText="1"/>
    </xf>
    <xf numFmtId="0" fontId="0" fillId="0" borderId="1" xfId="0" applyFont="1" applyAlignment="1">
      <alignment horizontal="center" vertical="center" wrapText="1"/>
    </xf>
    <xf numFmtId="0" fontId="3" fillId="0" borderId="1" xfId="0" applyFont="1" applyAlignment="1">
      <alignment horizontal="left" vertical="top" wrapText="1"/>
    </xf>
    <xf numFmtId="200" fontId="3" fillId="0" borderId="0" xfId="0" applyFont="1" applyAlignment="1">
      <alignment horizontal="right" vertical="top" wrapText="1"/>
    </xf>
    <xf numFmtId="200" fontId="3" fillId="0" borderId="1" xfId="0" applyFont="1" applyAlignment="1">
      <alignment horizontal="right" vertical="top" wrapText="1"/>
    </xf>
    <xf numFmtId="0" fontId="3" fillId="0" borderId="2" xfId="0" applyFont="1" applyAlignment="1">
      <alignment horizontal="left" vertical="top" wrapText="1"/>
    </xf>
    <xf numFmtId="0" fontId="4" fillId="0" borderId="2" xfId="0" applyFont="1" applyAlignment="1">
      <alignment horizontal="left" vertical="top" wrapText="1"/>
    </xf>
    <xf numFmtId="0" fontId="4" fillId="0" borderId="2" xfId="0" applyFont="1" applyAlignment="1">
      <alignment horizontal="justify" vertical="top" wrapText="1"/>
    </xf>
    <xf numFmtId="0" fontId="0" fillId="0" borderId="2" xfId="0" applyFont="1" applyAlignment="1">
      <alignment horizontal="center" vertical="center" wrapText="1"/>
    </xf>
    <xf numFmtId="200" fontId="4" fillId="0" borderId="2" xfId="0" applyFont="1" applyAlignment="1">
      <alignment horizontal="right" vertical="top" wrapText="1"/>
    </xf>
    <xf numFmtId="0" fontId="0" fillId="0" borderId="3" xfId="0" applyFont="1" applyAlignment="1">
      <alignment horizontal="center" vertical="center" wrapText="1"/>
    </xf>
    <xf numFmtId="0" fontId="3" fillId="6" borderId="3" xfId="0" applyFont="1" applyAlignment="1">
      <alignment horizontal="left" vertical="top" wrapText="1"/>
    </xf>
    <xf numFmtId="0" fontId="0" fillId="6" borderId="3" xfId="0" applyFont="1" applyAlignment="1">
      <alignment horizontal="left" vertical="top" wrapText="1"/>
    </xf>
    <xf numFmtId="0" fontId="3" fillId="6" borderId="2" xfId="0" applyFont="1" applyAlignment="1">
      <alignment horizontal="left" vertical="top" wrapText="1"/>
    </xf>
    <xf numFmtId="0" fontId="0" fillId="6" borderId="2" xfId="0" applyFont="1" applyAlignment="1">
      <alignment horizontal="left" vertical="top" wrapText="1"/>
    </xf>
    <xf numFmtId="0" fontId="3" fillId="6" borderId="2" xfId="0" applyFont="1" applyAlignment="1">
      <alignment horizontal="justify" vertical="top" wrapText="1"/>
    </xf>
    <xf numFmtId="0" fontId="3" fillId="7" borderId="0" xfId="0" applyFont="1" applyAlignment="1">
      <alignment horizontal="left" vertical="top" wrapText="1"/>
    </xf>
    <xf numFmtId="0" fontId="0" fillId="7" borderId="0" xfId="0" applyFont="1" applyAlignment="1">
      <alignment horizontal="left" vertical="top" wrapText="1"/>
    </xf>
    <xf numFmtId="0" fontId="3" fillId="7" borderId="0" xfId="0" applyFont="1" applyAlignment="1">
      <alignment horizontal="justify" vertical="top" wrapText="1"/>
    </xf>
    <xf numFmtId="0" fontId="3" fillId="7" borderId="3" xfId="0" applyFont="1" applyAlignment="1">
      <alignment horizontal="left" vertical="top" wrapText="1"/>
    </xf>
    <xf numFmtId="0" fontId="0" fillId="7" borderId="3" xfId="0" applyFont="1" applyAlignment="1">
      <alignment horizontal="left" vertical="top" wrapText="1"/>
    </xf>
    <xf numFmtId="0" fontId="3" fillId="5" borderId="3" xfId="0" applyFont="1" applyAlignment="1">
      <alignment horizontal="left" vertical="top" wrapText="1"/>
    </xf>
    <xf numFmtId="0" fontId="0" fillId="5" borderId="3" xfId="0" applyFont="1" applyAlignment="1">
      <alignment horizontal="left" vertical="top" wrapText="1"/>
    </xf>
    <xf numFmtId="0" fontId="3" fillId="5" borderId="2" xfId="0" applyFont="1" applyAlignment="1">
      <alignment horizontal="left" vertical="top" wrapText="1"/>
    </xf>
    <xf numFmtId="0" fontId="0" fillId="5" borderId="2" xfId="0" applyFont="1" applyAlignment="1">
      <alignment horizontal="left" vertical="top" wrapText="1"/>
    </xf>
    <xf numFmtId="0" fontId="3" fillId="5" borderId="2" xfId="0" applyFont="1" applyAlignment="1">
      <alignment horizontal="justify" vertical="top" wrapText="1"/>
    </xf>
    <xf numFmtId="0" fontId="3" fillId="4" borderId="3" xfId="0" applyFont="1" applyAlignment="1">
      <alignment horizontal="left" vertical="top" wrapText="1"/>
    </xf>
    <xf numFmtId="0" fontId="0" fillId="4" borderId="3" xfId="0" applyFont="1" applyAlignment="1">
      <alignment horizontal="left" vertical="top" wrapText="1"/>
    </xf>
    <xf numFmtId="0" fontId="3" fillId="4" borderId="2" xfId="0" applyFont="1" applyAlignment="1">
      <alignment horizontal="left" vertical="top" wrapText="1"/>
    </xf>
    <xf numFmtId="0" fontId="0" fillId="4" borderId="2" xfId="0" applyFont="1" applyAlignment="1">
      <alignment horizontal="left" vertical="top" wrapText="1"/>
    </xf>
    <xf numFmtId="0" fontId="3" fillId="4" borderId="2" xfId="0" applyFont="1" applyAlignment="1">
      <alignment horizontal="justify" vertical="top" wrapText="1"/>
    </xf>
    <xf numFmtId="200" fontId="3" fillId="6" borderId="2" xfId="0" applyFont="1" applyAlignment="1">
      <alignment horizontal="right" vertical="top" wrapText="1"/>
    </xf>
    <xf numFmtId="0" fontId="3" fillId="6" borderId="1" xfId="0" applyFont="1" applyAlignment="1">
      <alignment horizontal="left" vertical="top" wrapText="1"/>
    </xf>
    <xf numFmtId="0" fontId="0" fillId="6" borderId="1" xfId="0" applyFont="1" applyAlignment="1">
      <alignment horizontal="left" vertical="top" wrapText="1"/>
    </xf>
    <xf numFmtId="200" fontId="3" fillId="7" borderId="0" xfId="0" applyFont="1" applyAlignment="1">
      <alignment horizontal="right" vertical="top" wrapText="1"/>
    </xf>
    <xf numFmtId="0" fontId="3" fillId="7" borderId="1" xfId="0" applyFont="1" applyAlignment="1">
      <alignment horizontal="left" vertical="top" wrapText="1"/>
    </xf>
    <xf numFmtId="0" fontId="0" fillId="7" borderId="1" xfId="0" applyFont="1" applyAlignment="1">
      <alignment horizontal="left" vertical="top" wrapText="1"/>
    </xf>
    <xf numFmtId="0" fontId="3" fillId="7" borderId="2" xfId="0" applyFont="1" applyAlignment="1">
      <alignment horizontal="left" vertical="top" wrapText="1"/>
    </xf>
    <xf numFmtId="0" fontId="0" fillId="7" borderId="2" xfId="0" applyFont="1" applyAlignment="1">
      <alignment horizontal="left" vertical="top" wrapText="1"/>
    </xf>
    <xf numFmtId="0" fontId="3" fillId="7" borderId="2" xfId="0" applyFont="1" applyAlignment="1">
      <alignment horizontal="justify" vertical="top" wrapText="1"/>
    </xf>
    <xf numFmtId="200" fontId="3" fillId="7" borderId="2" xfId="0" applyFont="1" applyAlignment="1">
      <alignment horizontal="right" vertical="top" wrapText="1"/>
    </xf>
    <xf numFmtId="0" fontId="3" fillId="8" borderId="0" xfId="0" applyFont="1" applyAlignment="1">
      <alignment horizontal="left" vertical="top" wrapText="1"/>
    </xf>
    <xf numFmtId="0" fontId="0" fillId="8" borderId="0" xfId="0" applyFont="1" applyAlignment="1">
      <alignment horizontal="left" vertical="top" wrapText="1"/>
    </xf>
    <xf numFmtId="0" fontId="3" fillId="8" borderId="0" xfId="0" applyFont="1" applyAlignment="1">
      <alignment horizontal="justify" vertical="top" wrapText="1"/>
    </xf>
    <xf numFmtId="0" fontId="3" fillId="8" borderId="3" xfId="0" applyFont="1" applyAlignment="1">
      <alignment horizontal="left" vertical="top" wrapText="1"/>
    </xf>
    <xf numFmtId="0" fontId="0" fillId="8" borderId="3" xfId="0" applyFont="1" applyAlignment="1">
      <alignment horizontal="left" vertical="top" wrapText="1"/>
    </xf>
    <xf numFmtId="200" fontId="3" fillId="6" borderId="0" xfId="0" applyFont="1" applyAlignment="1">
      <alignment horizontal="right" vertical="top" wrapText="1"/>
    </xf>
    <xf numFmtId="0" fontId="3" fillId="4" borderId="1" xfId="0" applyFont="1" applyAlignment="1">
      <alignment horizontal="left" vertical="top" wrapText="1"/>
    </xf>
    <xf numFmtId="0" fontId="0" fillId="4" borderId="1" xfId="0" applyFont="1" applyAlignment="1">
      <alignment horizontal="left" vertical="top" wrapText="1"/>
    </xf>
    <xf numFmtId="200" fontId="3" fillId="4" borderId="2" xfId="0" applyFont="1" applyAlignment="1">
      <alignment horizontal="right" vertical="top" wrapText="1"/>
    </xf>
    <xf numFmtId="0" fontId="3" fillId="5" borderId="1" xfId="0" applyFont="1" applyAlignment="1">
      <alignment horizontal="left" vertical="top" wrapText="1"/>
    </xf>
    <xf numFmtId="0" fontId="0" fillId="5" borderId="1" xfId="0" applyFont="1" applyAlignment="1">
      <alignment horizontal="left" vertical="top" wrapText="1"/>
    </xf>
    <xf numFmtId="200" fontId="3" fillId="5" borderId="2" xfId="0" applyFont="1" applyAlignment="1">
      <alignment horizontal="right" vertical="top" wrapText="1"/>
    </xf>
    <xf numFmtId="200" fontId="3" fillId="5" borderId="0" xfId="0" applyFont="1" applyAlignment="1">
      <alignment horizontal="right" vertical="top" wrapText="1"/>
    </xf>
    <xf numFmtId="0" fontId="3" fillId="8" borderId="2" xfId="0" applyFont="1" applyAlignment="1">
      <alignment horizontal="left" vertical="top" wrapText="1"/>
    </xf>
    <xf numFmtId="0" fontId="0" fillId="8" borderId="2" xfId="0" applyFont="1" applyAlignment="1">
      <alignment horizontal="left" vertical="top" wrapText="1"/>
    </xf>
    <xf numFmtId="0" fontId="3" fillId="8" borderId="2" xfId="0" applyFont="1" applyAlignment="1">
      <alignment horizontal="justify" vertical="top" wrapText="1"/>
    </xf>
    <xf numFmtId="0" fontId="3" fillId="3" borderId="3" xfId="0" applyFont="1" applyAlignment="1">
      <alignment horizontal="left" vertical="top" wrapText="1"/>
    </xf>
    <xf numFmtId="0" fontId="0" fillId="3" borderId="3" xfId="0" applyFon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1" Type="http://schemas.openxmlformats.org/officeDocument/2006/relationships/worksheet" Target="worksheets/sheet1.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E200"/>
  <sheetViews>
    <sheetView tabSelected="1" view="pageLayout" workbookViewId="0">
      <selection activeCell="A1" sqref="A1"/>
    </sheetView>
  </sheetViews>
  <sheetFormatPr baseColWidth="10" defaultRowHeight="15"/>
  <cols>
    <col min="1" max="1" width="10.17" customWidth="1"/>
    <col min="2" max="2" width="6.74" customWidth="1"/>
    <col min="3" max="3" width="3.36" customWidth="1"/>
    <col min="4" max="4" width="18.87" customWidth="1"/>
    <col min="5" max="5" width="9.10" customWidth="1"/>
    <col min="6" max="6" width="8.38" customWidth="1"/>
    <col min="7" max="7" width="8.38" customWidth="1"/>
  </cols>
  <sheetData>
    <row r="1" spans="1:7" ht="17.76" thickBot="1" customHeight="1">
      <c r="A1" s="2" t="s">
        <v>0</v>
      </c>
      <c r="B1" s="4" t="s">
        <v>1</v>
      </c>
      <c r="C1" s="4"/>
      <c r="D1" s="4"/>
      <c r="E1" s="4"/>
      <c r="F1" s="4"/>
      <c r="G1" s="4"/>
    </row>
    <row r="2" spans="1:7" ht="17.76" thickBot="1" customHeight="1">
      <c r="A2" s="4" t="s">
        <v>2</v>
      </c>
      <c r="B2" s="4"/>
      <c r="C2" s="4"/>
      <c r="D2" s="4"/>
      <c r="E2" s="5"/>
      <c r="F2" s="5"/>
      <c r="G2" s="5"/>
    </row>
    <row r="3" spans="1:7" ht="16.68" thickBot="1" customHeight="1">
      <c r="A3" s="7" t="s">
        <v>3</v>
      </c>
      <c r="B3" s="7" t="s">
        <v>4</v>
      </c>
      <c r="C3" s="7" t="s">
        <v>5</v>
      </c>
      <c r="D3" s="7" t="s">
        <v>6</v>
      </c>
      <c r="E3" s="9" t="s">
        <v>7</v>
      </c>
      <c r="F3" s="9" t="s">
        <v>8</v>
      </c>
      <c r="G3" s="9" t="s">
        <v>9</v>
      </c>
    </row>
    <row r="4" spans="1:7" ht="25.08" thickBot="1" customHeight="1">
      <c r="A4" s="11" t="s">
        <v>10</v>
      </c>
      <c r="B4" s="11" t="s">
        <v>11</v>
      </c>
      <c r="C4" s="12"/>
      <c r="D4" s="13"/>
      <c r="E4" s="12"/>
      <c r="F4" s="12"/>
      <c r="G4" s="12"/>
    </row>
    <row r="5" spans="1:7" ht="15.48" thickBot="1" customHeight="1">
      <c r="A5" s="14" t="s">
        <v>12</v>
      </c>
      <c r="B5" s="14" t="s">
        <v>13</v>
      </c>
      <c r="C5" s="15"/>
      <c r="D5" s="17" t="s">
        <v>14</v>
      </c>
      <c r="E5" s="15"/>
      <c r="F5" s="15"/>
      <c r="G5" s="15"/>
    </row>
    <row r="6" spans="1:7" ht="15.48" thickBot="1" customHeight="1">
      <c r="A6" s="18" t="s">
        <v>15</v>
      </c>
      <c r="B6" s="18" t="s">
        <v>16</v>
      </c>
      <c r="C6" s="19"/>
      <c r="D6" s="20" t="s">
        <v>17</v>
      </c>
      <c r="E6" s="19"/>
      <c r="F6" s="19"/>
      <c r="G6" s="19"/>
    </row>
    <row r="7" spans="1:7" ht="25.08" thickBot="1" customHeight="1">
      <c r="A7" s="21" t="s">
        <v>18</v>
      </c>
      <c r="B7" s="21" t="s">
        <v>19</v>
      </c>
      <c r="C7" s="22"/>
      <c r="D7" s="23" t="s">
        <v>20</v>
      </c>
      <c r="E7" s="22"/>
      <c r="F7" s="22"/>
      <c r="G7" s="22"/>
    </row>
    <row r="8" spans="1:7" ht="39.84" thickBot="1" customHeight="1">
      <c r="A8" s="10" t="s">
        <v>21</v>
      </c>
      <c r="B8" s="24" t="s">
        <v>22</v>
      </c>
      <c r="C8" s="24" t="s">
        <v>23</v>
      </c>
      <c r="D8" s="25" t="s">
        <v>24</v>
      </c>
      <c r="E8" s="26"/>
      <c r="F8" s="27">
        <f ca="1">F16</f>
        <v>0</v>
      </c>
      <c r="G8" s="26"/>
    </row>
    <row r="9" spans="1:7" ht="21.36" thickBot="1" customHeight="1">
      <c r="A9" s="26"/>
      <c r="B9" s="26"/>
      <c r="C9" s="26"/>
      <c r="D9" s="25" t="s">
        <v>25</v>
      </c>
      <c r="E9" s="25"/>
      <c r="F9" s="25"/>
      <c r="G9" s="25"/>
    </row>
    <row r="10" spans="1:7" ht="21.36" thickBot="1" customHeight="1">
      <c r="A10" s="24" t="s">
        <v>26</v>
      </c>
      <c r="B10" s="24" t="s">
        <v>27</v>
      </c>
      <c r="C10" s="24" t="s">
        <v>28</v>
      </c>
      <c r="D10" s="25" t="s">
        <v>29</v>
      </c>
      <c r="E10" s="28">
        <v>0.16000</v>
      </c>
      <c r="F10" s="29">
        <f ca="1">F14</f>
        <v>0</v>
      </c>
      <c r="G10" s="27">
        <f ca="1">ROUND(E10*F10,2)</f>
        <v>0</v>
      </c>
    </row>
    <row r="11" spans="1:7" ht="24.36" thickBot="1" customHeight="1">
      <c r="A11" s="24" t="s">
        <v>30</v>
      </c>
      <c r="B11" s="24" t="s">
        <v>31</v>
      </c>
      <c r="C11" s="24" t="s">
        <v>32</v>
      </c>
      <c r="D11" s="25" t="s">
        <v>33</v>
      </c>
      <c r="E11" s="28">
        <v>1.00000</v>
      </c>
      <c r="F11" s="29">
        <f ca="1">ROUND(21.000,3)</f>
        <v>0</v>
      </c>
      <c r="G11" s="27">
        <f ca="1">ROUND(E11*F11,2)</f>
        <v>0</v>
      </c>
    </row>
    <row r="12" spans="1:7" ht="24.36" thickBot="1" customHeight="1">
      <c r="A12" s="24" t="s">
        <v>34</v>
      </c>
      <c r="B12" s="24" t="s">
        <v>35</v>
      </c>
      <c r="C12" s="24" t="s">
        <v>36</v>
      </c>
      <c r="D12" s="25" t="s">
        <v>37</v>
      </c>
      <c r="E12" s="28">
        <v>1.00000</v>
      </c>
      <c r="F12" s="29">
        <f ca="1">ROUND(19.000,3)</f>
        <v>0</v>
      </c>
      <c r="G12" s="27">
        <f ca="1">ROUND(E12*F12,2)</f>
        <v>0</v>
      </c>
    </row>
    <row r="13" spans="1:7" ht="24.36" thickBot="1" customHeight="1">
      <c r="A13" s="24" t="s">
        <v>38</v>
      </c>
      <c r="B13" s="24" t="s">
        <v>39</v>
      </c>
      <c r="C13" s="24" t="s">
        <v>40</v>
      </c>
      <c r="D13" s="25" t="s">
        <v>41</v>
      </c>
      <c r="E13" s="28">
        <v>0.20000</v>
      </c>
      <c r="F13" s="29">
        <f ca="1">ROUND(19.000,3)</f>
        <v>0</v>
      </c>
      <c r="G13" s="27">
        <f ca="1">ROUND(E13*F13,2)</f>
        <v>0</v>
      </c>
    </row>
    <row r="14" spans="1:7" ht="15.12" thickBot="1" customHeight="1">
      <c r="A14" s="26"/>
      <c r="B14" s="26"/>
      <c r="C14" s="26"/>
      <c r="D14" s="24" t="s">
        <v>42</v>
      </c>
      <c r="E14" s="28">
        <v>0.16000</v>
      </c>
      <c r="F14" s="29">
        <f ca="1">ROUND((G11+G12+G13),3)</f>
        <v>0</v>
      </c>
      <c r="G14" s="27">
        <f ca="1">ROUND(E14*F14,2)</f>
        <v>0</v>
      </c>
    </row>
    <row r="15" spans="1:7" ht="15.12" thickBot="1" customHeight="1">
      <c r="A15" s="24" t="s">
        <v>43</v>
      </c>
      <c r="B15" s="24"/>
      <c r="C15" s="24" t="s">
        <v>44</v>
      </c>
      <c r="D15" s="25" t="s">
        <v>45</v>
      </c>
      <c r="E15" s="28">
        <v>3.00000</v>
      </c>
      <c r="F15" s="29">
        <f ca="1">ROUND(7.010,3)</f>
        <v>0</v>
      </c>
      <c r="G15" s="27">
        <f ca="1">ROUND((E15*F15)/100,2)</f>
        <v>0</v>
      </c>
    </row>
    <row r="16" spans="1:7" ht="15.48" thickBot="1" customHeight="1">
      <c r="A16" s="30"/>
      <c r="B16" s="30"/>
      <c r="C16" s="30"/>
      <c r="D16" s="31" t="s">
        <v>46</v>
      </c>
      <c r="E16" s="30"/>
      <c r="F16" s="33">
        <f ca="1">ROUND((G10+G15)*(1+G2/100),2)</f>
        <v>0</v>
      </c>
      <c r="G16" s="30"/>
    </row>
    <row r="17" spans="1:7" ht="39.84" thickBot="1" customHeight="1">
      <c r="A17" s="34" t="s">
        <v>47</v>
      </c>
      <c r="B17" s="35" t="s">
        <v>48</v>
      </c>
      <c r="C17" s="35" t="s">
        <v>49</v>
      </c>
      <c r="D17" s="36" t="s">
        <v>50</v>
      </c>
      <c r="E17" s="37"/>
      <c r="F17" s="38">
        <f ca="1">F25</f>
        <v>0</v>
      </c>
      <c r="G17" s="37"/>
    </row>
    <row r="18" spans="1:7" ht="21.36" thickBot="1" customHeight="1">
      <c r="A18" s="26"/>
      <c r="B18" s="26"/>
      <c r="C18" s="26"/>
      <c r="D18" s="25" t="s">
        <v>51</v>
      </c>
      <c r="E18" s="25"/>
      <c r="F18" s="25"/>
      <c r="G18" s="25"/>
    </row>
    <row r="19" spans="1:7" ht="21.36" thickBot="1" customHeight="1">
      <c r="A19" s="24" t="s">
        <v>52</v>
      </c>
      <c r="B19" s="24" t="s">
        <v>53</v>
      </c>
      <c r="C19" s="24" t="s">
        <v>54</v>
      </c>
      <c r="D19" s="25" t="s">
        <v>55</v>
      </c>
      <c r="E19" s="28">
        <v>0.26667</v>
      </c>
      <c r="F19" s="29">
        <f ca="1">F23</f>
        <v>0</v>
      </c>
      <c r="G19" s="27">
        <f ca="1">ROUND(E19*F19,2)</f>
        <v>0</v>
      </c>
    </row>
    <row r="20" spans="1:7" ht="24.36" thickBot="1" customHeight="1">
      <c r="A20" s="24" t="s">
        <v>56</v>
      </c>
      <c r="B20" s="24" t="s">
        <v>57</v>
      </c>
      <c r="C20" s="24" t="s">
        <v>58</v>
      </c>
      <c r="D20" s="25" t="s">
        <v>59</v>
      </c>
      <c r="E20" s="28">
        <v>1.00000</v>
      </c>
      <c r="F20" s="29">
        <f ca="1">ROUND(21.000,3)</f>
        <v>0</v>
      </c>
      <c r="G20" s="27">
        <f ca="1">ROUND(E20*F20,2)</f>
        <v>0</v>
      </c>
    </row>
    <row r="21" spans="1:7" ht="24.36" thickBot="1" customHeight="1">
      <c r="A21" s="24" t="s">
        <v>60</v>
      </c>
      <c r="B21" s="24" t="s">
        <v>61</v>
      </c>
      <c r="C21" s="24" t="s">
        <v>62</v>
      </c>
      <c r="D21" s="25" t="s">
        <v>63</v>
      </c>
      <c r="E21" s="28">
        <v>1.00000</v>
      </c>
      <c r="F21" s="29">
        <f ca="1">ROUND(19.000,3)</f>
        <v>0</v>
      </c>
      <c r="G21" s="27">
        <f ca="1">ROUND(E21*F21,2)</f>
        <v>0</v>
      </c>
    </row>
    <row r="22" spans="1:7" ht="24.36" thickBot="1" customHeight="1">
      <c r="A22" s="24" t="s">
        <v>64</v>
      </c>
      <c r="B22" s="24" t="s">
        <v>65</v>
      </c>
      <c r="C22" s="24" t="s">
        <v>66</v>
      </c>
      <c r="D22" s="25" t="s">
        <v>67</v>
      </c>
      <c r="E22" s="28">
        <v>0.20000</v>
      </c>
      <c r="F22" s="29">
        <f ca="1">ROUND(19.000,3)</f>
        <v>0</v>
      </c>
      <c r="G22" s="27">
        <f ca="1">ROUND(E22*F22,2)</f>
        <v>0</v>
      </c>
    </row>
    <row r="23" spans="1:7" ht="15.12" thickBot="1" customHeight="1">
      <c r="A23" s="26"/>
      <c r="B23" s="26"/>
      <c r="C23" s="26"/>
      <c r="D23" s="24" t="s">
        <v>68</v>
      </c>
      <c r="E23" s="28">
        <v>0.26667</v>
      </c>
      <c r="F23" s="29">
        <f ca="1">ROUND((G20+G21+G22),3)</f>
        <v>0</v>
      </c>
      <c r="G23" s="27">
        <f ca="1">ROUND(E23*F23,2)</f>
        <v>0</v>
      </c>
    </row>
    <row r="24" spans="1:7" ht="15.12" thickBot="1" customHeight="1">
      <c r="A24" s="24" t="s">
        <v>69</v>
      </c>
      <c r="B24" s="24"/>
      <c r="C24" s="24" t="s">
        <v>70</v>
      </c>
      <c r="D24" s="25" t="s">
        <v>71</v>
      </c>
      <c r="E24" s="28">
        <v>3.00000</v>
      </c>
      <c r="F24" s="29">
        <f ca="1">ROUND(11.680,3)</f>
        <v>0</v>
      </c>
      <c r="G24" s="27">
        <f ca="1">ROUND((E24*F24)/100,2)</f>
        <v>0</v>
      </c>
    </row>
    <row r="25" spans="1:7" ht="15.48" thickBot="1" customHeight="1">
      <c r="A25" s="30"/>
      <c r="B25" s="30"/>
      <c r="C25" s="30"/>
      <c r="D25" s="31" t="s">
        <v>72</v>
      </c>
      <c r="E25" s="30"/>
      <c r="F25" s="33">
        <f ca="1">ROUND((G19+G24)*(1+G2/100),2)</f>
        <v>0</v>
      </c>
      <c r="G25" s="30"/>
    </row>
    <row r="26" spans="1:7" ht="49.08" thickBot="1" customHeight="1">
      <c r="A26" s="34" t="s">
        <v>73</v>
      </c>
      <c r="B26" s="35" t="s">
        <v>74</v>
      </c>
      <c r="C26" s="35" t="s">
        <v>75</v>
      </c>
      <c r="D26" s="36" t="s">
        <v>76</v>
      </c>
      <c r="E26" s="37"/>
      <c r="F26" s="38">
        <f ca="1">F35</f>
        <v>0</v>
      </c>
      <c r="G26" s="37"/>
    </row>
    <row r="27" spans="1:7" ht="21.36" thickBot="1" customHeight="1">
      <c r="A27" s="26"/>
      <c r="B27" s="26"/>
      <c r="C27" s="26"/>
      <c r="D27" s="25" t="s">
        <v>77</v>
      </c>
      <c r="E27" s="25"/>
      <c r="F27" s="25"/>
      <c r="G27" s="25"/>
    </row>
    <row r="28" spans="1:7" ht="39.84" thickBot="1" customHeight="1">
      <c r="A28" s="24" t="s">
        <v>78</v>
      </c>
      <c r="B28" s="24" t="s">
        <v>79</v>
      </c>
      <c r="C28" s="24" t="s">
        <v>80</v>
      </c>
      <c r="D28" s="25" t="s">
        <v>81</v>
      </c>
      <c r="E28" s="28">
        <v>0.02100</v>
      </c>
      <c r="F28" s="29">
        <f ca="1">ROUND(9.130,3)</f>
        <v>0</v>
      </c>
      <c r="G28" s="27">
        <f ca="1">ROUND(E28*F28,2)</f>
        <v>0</v>
      </c>
    </row>
    <row r="29" spans="1:7" ht="21.36" thickBot="1" customHeight="1">
      <c r="A29" s="24" t="s">
        <v>82</v>
      </c>
      <c r="B29" s="24" t="s">
        <v>83</v>
      </c>
      <c r="C29" s="24" t="s">
        <v>84</v>
      </c>
      <c r="D29" s="25" t="s">
        <v>85</v>
      </c>
      <c r="E29" s="28">
        <v>0.17600</v>
      </c>
      <c r="F29" s="29">
        <f ca="1">F33</f>
        <v>0</v>
      </c>
      <c r="G29" s="27">
        <f ca="1">ROUND(E29*F29,2)</f>
        <v>0</v>
      </c>
    </row>
    <row r="30" spans="1:7" ht="24.36" thickBot="1" customHeight="1">
      <c r="A30" s="24" t="s">
        <v>86</v>
      </c>
      <c r="B30" s="24" t="s">
        <v>87</v>
      </c>
      <c r="C30" s="24" t="s">
        <v>88</v>
      </c>
      <c r="D30" s="25" t="s">
        <v>89</v>
      </c>
      <c r="E30" s="28">
        <v>1.00000</v>
      </c>
      <c r="F30" s="29">
        <f ca="1">ROUND(21.000,3)</f>
        <v>0</v>
      </c>
      <c r="G30" s="27">
        <f ca="1">ROUND(E30*F30,2)</f>
        <v>0</v>
      </c>
    </row>
    <row r="31" spans="1:7" ht="24.36" thickBot="1" customHeight="1">
      <c r="A31" s="24" t="s">
        <v>90</v>
      </c>
      <c r="B31" s="24" t="s">
        <v>91</v>
      </c>
      <c r="C31" s="24" t="s">
        <v>92</v>
      </c>
      <c r="D31" s="25" t="s">
        <v>93</v>
      </c>
      <c r="E31" s="28">
        <v>1.00000</v>
      </c>
      <c r="F31" s="29">
        <f ca="1">ROUND(19.000,3)</f>
        <v>0</v>
      </c>
      <c r="G31" s="27">
        <f ca="1">ROUND(E31*F31,2)</f>
        <v>0</v>
      </c>
    </row>
    <row r="32" spans="1:7" ht="24.36" thickBot="1" customHeight="1">
      <c r="A32" s="24" t="s">
        <v>94</v>
      </c>
      <c r="B32" s="24" t="s">
        <v>95</v>
      </c>
      <c r="C32" s="24" t="s">
        <v>96</v>
      </c>
      <c r="D32" s="25" t="s">
        <v>97</v>
      </c>
      <c r="E32" s="28">
        <v>0.20000</v>
      </c>
      <c r="F32" s="29">
        <f ca="1">ROUND(19.000,3)</f>
        <v>0</v>
      </c>
      <c r="G32" s="27">
        <f ca="1">ROUND(E32*F32,2)</f>
        <v>0</v>
      </c>
    </row>
    <row r="33" spans="1:7" ht="15.12" thickBot="1" customHeight="1">
      <c r="A33" s="26"/>
      <c r="B33" s="26"/>
      <c r="C33" s="26"/>
      <c r="D33" s="24" t="s">
        <v>98</v>
      </c>
      <c r="E33" s="28">
        <v>0.17600</v>
      </c>
      <c r="F33" s="29">
        <f ca="1">ROUND((G30+G31+G32),3)</f>
        <v>0</v>
      </c>
      <c r="G33" s="27">
        <f ca="1">ROUND(E33*F33,2)</f>
        <v>0</v>
      </c>
    </row>
    <row r="34" spans="1:7" ht="15.12" thickBot="1" customHeight="1">
      <c r="A34" s="24" t="s">
        <v>99</v>
      </c>
      <c r="B34" s="24"/>
      <c r="C34" s="24" t="s">
        <v>100</v>
      </c>
      <c r="D34" s="25" t="s">
        <v>101</v>
      </c>
      <c r="E34" s="28">
        <v>3.00000</v>
      </c>
      <c r="F34" s="29">
        <f ca="1">ROUND(7.710,3)</f>
        <v>0</v>
      </c>
      <c r="G34" s="27">
        <f ca="1">ROUND((E34*F34)/100,2)</f>
        <v>0</v>
      </c>
    </row>
    <row r="35" spans="1:7" ht="15.48" thickBot="1" customHeight="1">
      <c r="A35" s="30"/>
      <c r="B35" s="30"/>
      <c r="C35" s="30"/>
      <c r="D35" s="31" t="s">
        <v>102</v>
      </c>
      <c r="E35" s="30"/>
      <c r="F35" s="33">
        <f ca="1">ROUND((G28+G29+G34)*(1+G2/100),2)</f>
        <v>0</v>
      </c>
      <c r="G35" s="30"/>
    </row>
    <row r="36" spans="1:7" ht="49.08" thickBot="1" customHeight="1">
      <c r="A36" s="34" t="s">
        <v>103</v>
      </c>
      <c r="B36" s="35" t="s">
        <v>104</v>
      </c>
      <c r="C36" s="35" t="s">
        <v>105</v>
      </c>
      <c r="D36" s="36" t="s">
        <v>106</v>
      </c>
      <c r="E36" s="37"/>
      <c r="F36" s="38">
        <f ca="1">F45</f>
        <v>0</v>
      </c>
      <c r="G36" s="37"/>
    </row>
    <row r="37" spans="1:7" ht="21.36" thickBot="1" customHeight="1">
      <c r="A37" s="26"/>
      <c r="B37" s="26"/>
      <c r="C37" s="26"/>
      <c r="D37" s="25" t="s">
        <v>107</v>
      </c>
      <c r="E37" s="25"/>
      <c r="F37" s="25"/>
      <c r="G37" s="25"/>
    </row>
    <row r="38" spans="1:7" ht="39.84" thickBot="1" customHeight="1">
      <c r="A38" s="24" t="s">
        <v>108</v>
      </c>
      <c r="B38" s="24" t="s">
        <v>109</v>
      </c>
      <c r="C38" s="24" t="s">
        <v>110</v>
      </c>
      <c r="D38" s="25" t="s">
        <v>111</v>
      </c>
      <c r="E38" s="28">
        <v>0.02100</v>
      </c>
      <c r="F38" s="29">
        <f ca="1">ROUND(9.130,3)</f>
        <v>0</v>
      </c>
      <c r="G38" s="27">
        <f ca="1">ROUND(E38*F38,2)</f>
        <v>0</v>
      </c>
    </row>
    <row r="39" spans="1:7" ht="21.36" thickBot="1" customHeight="1">
      <c r="A39" s="24" t="s">
        <v>112</v>
      </c>
      <c r="B39" s="24" t="s">
        <v>113</v>
      </c>
      <c r="C39" s="24" t="s">
        <v>114</v>
      </c>
      <c r="D39" s="25" t="s">
        <v>115</v>
      </c>
      <c r="E39" s="28">
        <v>0.28000</v>
      </c>
      <c r="F39" s="29">
        <f ca="1">F43</f>
        <v>0</v>
      </c>
      <c r="G39" s="27">
        <f ca="1">ROUND(E39*F39,2)</f>
        <v>0</v>
      </c>
    </row>
    <row r="40" spans="1:7" ht="24.36" thickBot="1" customHeight="1">
      <c r="A40" s="24" t="s">
        <v>116</v>
      </c>
      <c r="B40" s="24" t="s">
        <v>117</v>
      </c>
      <c r="C40" s="24" t="s">
        <v>118</v>
      </c>
      <c r="D40" s="25" t="s">
        <v>119</v>
      </c>
      <c r="E40" s="28">
        <v>1.00000</v>
      </c>
      <c r="F40" s="29">
        <f ca="1">ROUND(21.000,3)</f>
        <v>0</v>
      </c>
      <c r="G40" s="27">
        <f ca="1">ROUND(E40*F40,2)</f>
        <v>0</v>
      </c>
    </row>
    <row r="41" spans="1:7" ht="24.36" thickBot="1" customHeight="1">
      <c r="A41" s="24" t="s">
        <v>120</v>
      </c>
      <c r="B41" s="24" t="s">
        <v>121</v>
      </c>
      <c r="C41" s="24" t="s">
        <v>122</v>
      </c>
      <c r="D41" s="25" t="s">
        <v>123</v>
      </c>
      <c r="E41" s="28">
        <v>1.00000</v>
      </c>
      <c r="F41" s="29">
        <f ca="1">ROUND(19.000,3)</f>
        <v>0</v>
      </c>
      <c r="G41" s="27">
        <f ca="1">ROUND(E41*F41,2)</f>
        <v>0</v>
      </c>
    </row>
    <row r="42" spans="1:7" ht="24.36" thickBot="1" customHeight="1">
      <c r="A42" s="24" t="s">
        <v>124</v>
      </c>
      <c r="B42" s="24" t="s">
        <v>125</v>
      </c>
      <c r="C42" s="24" t="s">
        <v>126</v>
      </c>
      <c r="D42" s="25" t="s">
        <v>127</v>
      </c>
      <c r="E42" s="28">
        <v>0.20000</v>
      </c>
      <c r="F42" s="29">
        <f ca="1">ROUND(19.000,3)</f>
        <v>0</v>
      </c>
      <c r="G42" s="27">
        <f ca="1">ROUND(E42*F42,2)</f>
        <v>0</v>
      </c>
    </row>
    <row r="43" spans="1:7" ht="15.12" thickBot="1" customHeight="1">
      <c r="A43" s="26"/>
      <c r="B43" s="26"/>
      <c r="C43" s="26"/>
      <c r="D43" s="24" t="s">
        <v>128</v>
      </c>
      <c r="E43" s="28">
        <v>0.28000</v>
      </c>
      <c r="F43" s="29">
        <f ca="1">ROUND((G40+G41+G42),3)</f>
        <v>0</v>
      </c>
      <c r="G43" s="27">
        <f ca="1">ROUND(E43*F43,2)</f>
        <v>0</v>
      </c>
    </row>
    <row r="44" spans="1:7" ht="15.12" thickBot="1" customHeight="1">
      <c r="A44" s="24" t="s">
        <v>129</v>
      </c>
      <c r="B44" s="24"/>
      <c r="C44" s="24" t="s">
        <v>130</v>
      </c>
      <c r="D44" s="25" t="s">
        <v>131</v>
      </c>
      <c r="E44" s="28">
        <v>3.00000</v>
      </c>
      <c r="F44" s="29">
        <f ca="1">ROUND(12.260,3)</f>
        <v>0</v>
      </c>
      <c r="G44" s="27">
        <f ca="1">ROUND((E44*F44)/100,2)</f>
        <v>0</v>
      </c>
    </row>
    <row r="45" spans="1:7" ht="15.48" thickBot="1" customHeight="1">
      <c r="A45" s="30"/>
      <c r="B45" s="30"/>
      <c r="C45" s="30"/>
      <c r="D45" s="31" t="s">
        <v>132</v>
      </c>
      <c r="E45" s="30"/>
      <c r="F45" s="33">
        <f ca="1">ROUND((G38+G39+G44)*(1+G2/100),2)</f>
        <v>0</v>
      </c>
      <c r="G45" s="30"/>
    </row>
    <row r="46" spans="1:7" ht="49.08" thickBot="1" customHeight="1">
      <c r="A46" s="34" t="s">
        <v>133</v>
      </c>
      <c r="B46" s="35" t="s">
        <v>134</v>
      </c>
      <c r="C46" s="35" t="s">
        <v>135</v>
      </c>
      <c r="D46" s="36" t="s">
        <v>136</v>
      </c>
      <c r="E46" s="37"/>
      <c r="F46" s="38">
        <f ca="1">F55</f>
        <v>0</v>
      </c>
      <c r="G46" s="37"/>
    </row>
    <row r="47" spans="1:7" ht="21.36" thickBot="1" customHeight="1">
      <c r="A47" s="26"/>
      <c r="B47" s="26"/>
      <c r="C47" s="26"/>
      <c r="D47" s="25" t="s">
        <v>137</v>
      </c>
      <c r="E47" s="25"/>
      <c r="F47" s="25"/>
      <c r="G47" s="25"/>
    </row>
    <row r="48" spans="1:7" ht="30.60" thickBot="1" customHeight="1">
      <c r="A48" s="24" t="s">
        <v>138</v>
      </c>
      <c r="B48" s="24" t="s">
        <v>139</v>
      </c>
      <c r="C48" s="24" t="s">
        <v>140</v>
      </c>
      <c r="D48" s="25" t="s">
        <v>141</v>
      </c>
      <c r="E48" s="28">
        <v>0.06600</v>
      </c>
      <c r="F48" s="29">
        <f ca="1">ROUND(2.560,3)</f>
        <v>0</v>
      </c>
      <c r="G48" s="27">
        <f ca="1">ROUND(E48*F48,2)</f>
        <v>0</v>
      </c>
    </row>
    <row r="49" spans="1:7" ht="21.36" thickBot="1" customHeight="1">
      <c r="A49" s="24" t="s">
        <v>142</v>
      </c>
      <c r="B49" s="24" t="s">
        <v>143</v>
      </c>
      <c r="C49" s="24" t="s">
        <v>144</v>
      </c>
      <c r="D49" s="25" t="s">
        <v>145</v>
      </c>
      <c r="E49" s="28">
        <v>0.17600</v>
      </c>
      <c r="F49" s="29">
        <f ca="1">F53</f>
        <v>0</v>
      </c>
      <c r="G49" s="27">
        <f ca="1">ROUND(E49*F49,2)</f>
        <v>0</v>
      </c>
    </row>
    <row r="50" spans="1:7" ht="24.36" thickBot="1" customHeight="1">
      <c r="A50" s="24" t="s">
        <v>146</v>
      </c>
      <c r="B50" s="24" t="s">
        <v>147</v>
      </c>
      <c r="C50" s="24" t="s">
        <v>148</v>
      </c>
      <c r="D50" s="25" t="s">
        <v>149</v>
      </c>
      <c r="E50" s="28">
        <v>1.00000</v>
      </c>
      <c r="F50" s="29">
        <f ca="1">ROUND(21.000,3)</f>
        <v>0</v>
      </c>
      <c r="G50" s="27">
        <f ca="1">ROUND(E50*F50,2)</f>
        <v>0</v>
      </c>
    </row>
    <row r="51" spans="1:7" ht="24.36" thickBot="1" customHeight="1">
      <c r="A51" s="24" t="s">
        <v>150</v>
      </c>
      <c r="B51" s="24" t="s">
        <v>151</v>
      </c>
      <c r="C51" s="24" t="s">
        <v>152</v>
      </c>
      <c r="D51" s="25" t="s">
        <v>153</v>
      </c>
      <c r="E51" s="28">
        <v>1.00000</v>
      </c>
      <c r="F51" s="29">
        <f ca="1">ROUND(19.000,3)</f>
        <v>0</v>
      </c>
      <c r="G51" s="27">
        <f ca="1">ROUND(E51*F51,2)</f>
        <v>0</v>
      </c>
    </row>
    <row r="52" spans="1:7" ht="24.36" thickBot="1" customHeight="1">
      <c r="A52" s="24" t="s">
        <v>154</v>
      </c>
      <c r="B52" s="24" t="s">
        <v>155</v>
      </c>
      <c r="C52" s="24" t="s">
        <v>156</v>
      </c>
      <c r="D52" s="25" t="s">
        <v>157</v>
      </c>
      <c r="E52" s="28">
        <v>0.20000</v>
      </c>
      <c r="F52" s="29">
        <f ca="1">ROUND(19.000,3)</f>
        <v>0</v>
      </c>
      <c r="G52" s="27">
        <f ca="1">ROUND(E52*F52,2)</f>
        <v>0</v>
      </c>
    </row>
    <row r="53" spans="1:7" ht="15.12" thickBot="1" customHeight="1">
      <c r="A53" s="26"/>
      <c r="B53" s="26"/>
      <c r="C53" s="26"/>
      <c r="D53" s="24" t="s">
        <v>158</v>
      </c>
      <c r="E53" s="28">
        <v>0.17600</v>
      </c>
      <c r="F53" s="29">
        <f ca="1">ROUND((G50+G51+G52),3)</f>
        <v>0</v>
      </c>
      <c r="G53" s="27">
        <f ca="1">ROUND(E53*F53,2)</f>
        <v>0</v>
      </c>
    </row>
    <row r="54" spans="1:7" ht="15.12" thickBot="1" customHeight="1">
      <c r="A54" s="24" t="s">
        <v>159</v>
      </c>
      <c r="B54" s="24"/>
      <c r="C54" s="24" t="s">
        <v>160</v>
      </c>
      <c r="D54" s="25" t="s">
        <v>161</v>
      </c>
      <c r="E54" s="28">
        <v>3.00000</v>
      </c>
      <c r="F54" s="29">
        <f ca="1">ROUND(7.710,3)</f>
        <v>0</v>
      </c>
      <c r="G54" s="27">
        <f ca="1">ROUND((E54*F54)/100,2)</f>
        <v>0</v>
      </c>
    </row>
    <row r="55" spans="1:7" ht="15.48" thickBot="1" customHeight="1">
      <c r="A55" s="30"/>
      <c r="B55" s="30"/>
      <c r="C55" s="30"/>
      <c r="D55" s="31" t="s">
        <v>162</v>
      </c>
      <c r="E55" s="30"/>
      <c r="F55" s="33">
        <f ca="1">ROUND((G48+G49+G54)*(1+G2/100),2)</f>
        <v>0</v>
      </c>
      <c r="G55" s="30"/>
    </row>
    <row r="56" spans="1:7" ht="49.08" thickBot="1" customHeight="1">
      <c r="A56" s="34" t="s">
        <v>163</v>
      </c>
      <c r="B56" s="35" t="s">
        <v>164</v>
      </c>
      <c r="C56" s="35" t="s">
        <v>165</v>
      </c>
      <c r="D56" s="36" t="s">
        <v>166</v>
      </c>
      <c r="E56" s="37"/>
      <c r="F56" s="38">
        <f ca="1">F65</f>
        <v>0</v>
      </c>
      <c r="G56" s="37"/>
    </row>
    <row r="57" spans="1:7" ht="21.36" thickBot="1" customHeight="1">
      <c r="A57" s="26"/>
      <c r="B57" s="26"/>
      <c r="C57" s="26"/>
      <c r="D57" s="25" t="s">
        <v>167</v>
      </c>
      <c r="E57" s="25"/>
      <c r="F57" s="25"/>
      <c r="G57" s="25"/>
    </row>
    <row r="58" spans="1:7" ht="30.60" thickBot="1" customHeight="1">
      <c r="A58" s="24" t="s">
        <v>168</v>
      </c>
      <c r="B58" s="24" t="s">
        <v>169</v>
      </c>
      <c r="C58" s="24" t="s">
        <v>170</v>
      </c>
      <c r="D58" s="25" t="s">
        <v>171</v>
      </c>
      <c r="E58" s="28">
        <v>0.06600</v>
      </c>
      <c r="F58" s="29">
        <f ca="1">ROUND(2.560,3)</f>
        <v>0</v>
      </c>
      <c r="G58" s="27">
        <f ca="1">ROUND(E58*F58,2)</f>
        <v>0</v>
      </c>
    </row>
    <row r="59" spans="1:7" ht="21.36" thickBot="1" customHeight="1">
      <c r="A59" s="24" t="s">
        <v>172</v>
      </c>
      <c r="B59" s="24" t="s">
        <v>173</v>
      </c>
      <c r="C59" s="24" t="s">
        <v>174</v>
      </c>
      <c r="D59" s="25" t="s">
        <v>175</v>
      </c>
      <c r="E59" s="28">
        <v>0.28000</v>
      </c>
      <c r="F59" s="29">
        <f ca="1">F63</f>
        <v>0</v>
      </c>
      <c r="G59" s="27">
        <f ca="1">ROUND(E59*F59,2)</f>
        <v>0</v>
      </c>
    </row>
    <row r="60" spans="1:7" ht="24.36" thickBot="1" customHeight="1">
      <c r="A60" s="24" t="s">
        <v>176</v>
      </c>
      <c r="B60" s="24" t="s">
        <v>177</v>
      </c>
      <c r="C60" s="24" t="s">
        <v>178</v>
      </c>
      <c r="D60" s="25" t="s">
        <v>179</v>
      </c>
      <c r="E60" s="28">
        <v>1.00000</v>
      </c>
      <c r="F60" s="29">
        <f ca="1">ROUND(21.000,3)</f>
        <v>0</v>
      </c>
      <c r="G60" s="27">
        <f ca="1">ROUND(E60*F60,2)</f>
        <v>0</v>
      </c>
    </row>
    <row r="61" spans="1:7" ht="24.36" thickBot="1" customHeight="1">
      <c r="A61" s="24" t="s">
        <v>180</v>
      </c>
      <c r="B61" s="24" t="s">
        <v>181</v>
      </c>
      <c r="C61" s="24" t="s">
        <v>182</v>
      </c>
      <c r="D61" s="25" t="s">
        <v>183</v>
      </c>
      <c r="E61" s="28">
        <v>1.00000</v>
      </c>
      <c r="F61" s="29">
        <f ca="1">ROUND(19.000,3)</f>
        <v>0</v>
      </c>
      <c r="G61" s="27">
        <f ca="1">ROUND(E61*F61,2)</f>
        <v>0</v>
      </c>
    </row>
    <row r="62" spans="1:7" ht="24.36" thickBot="1" customHeight="1">
      <c r="A62" s="24" t="s">
        <v>184</v>
      </c>
      <c r="B62" s="24" t="s">
        <v>185</v>
      </c>
      <c r="C62" s="24" t="s">
        <v>186</v>
      </c>
      <c r="D62" s="25" t="s">
        <v>187</v>
      </c>
      <c r="E62" s="28">
        <v>0.20000</v>
      </c>
      <c r="F62" s="29">
        <f ca="1">ROUND(19.000,3)</f>
        <v>0</v>
      </c>
      <c r="G62" s="27">
        <f ca="1">ROUND(E62*F62,2)</f>
        <v>0</v>
      </c>
    </row>
    <row r="63" spans="1:7" ht="15.12" thickBot="1" customHeight="1">
      <c r="A63" s="26"/>
      <c r="B63" s="26"/>
      <c r="C63" s="26"/>
      <c r="D63" s="24" t="s">
        <v>188</v>
      </c>
      <c r="E63" s="28">
        <v>0.28000</v>
      </c>
      <c r="F63" s="29">
        <f ca="1">ROUND((G60+G61+G62),3)</f>
        <v>0</v>
      </c>
      <c r="G63" s="27">
        <f ca="1">ROUND(E63*F63,2)</f>
        <v>0</v>
      </c>
    </row>
    <row r="64" spans="1:7" ht="15.12" thickBot="1" customHeight="1">
      <c r="A64" s="24" t="s">
        <v>189</v>
      </c>
      <c r="B64" s="24"/>
      <c r="C64" s="24" t="s">
        <v>190</v>
      </c>
      <c r="D64" s="25" t="s">
        <v>191</v>
      </c>
      <c r="E64" s="28">
        <v>3.00000</v>
      </c>
      <c r="F64" s="29">
        <f ca="1">ROUND(12.260,3)</f>
        <v>0</v>
      </c>
      <c r="G64" s="27">
        <f ca="1">ROUND((E64*F64)/100,2)</f>
        <v>0</v>
      </c>
    </row>
    <row r="65" spans="1:7" ht="15.48" thickBot="1" customHeight="1">
      <c r="A65" s="30"/>
      <c r="B65" s="30"/>
      <c r="C65" s="30"/>
      <c r="D65" s="31" t="s">
        <v>192</v>
      </c>
      <c r="E65" s="30"/>
      <c r="F65" s="33">
        <f ca="1">ROUND((G58+G59+G64)*(1+G2/100),2)</f>
        <v>0</v>
      </c>
      <c r="G65" s="30"/>
    </row>
    <row r="66" spans="1:7" ht="39.84" thickBot="1" customHeight="1">
      <c r="A66" s="34" t="s">
        <v>193</v>
      </c>
      <c r="B66" s="35" t="s">
        <v>194</v>
      </c>
      <c r="C66" s="35" t="s">
        <v>195</v>
      </c>
      <c r="D66" s="36" t="s">
        <v>196</v>
      </c>
      <c r="E66" s="37"/>
      <c r="F66" s="38">
        <f ca="1">F74</f>
        <v>0</v>
      </c>
      <c r="G66" s="37"/>
    </row>
    <row r="67" spans="1:7" ht="21.36" thickBot="1" customHeight="1">
      <c r="A67" s="26"/>
      <c r="B67" s="26"/>
      <c r="C67" s="26"/>
      <c r="D67" s="25" t="s">
        <v>197</v>
      </c>
      <c r="E67" s="25"/>
      <c r="F67" s="25"/>
      <c r="G67" s="25"/>
    </row>
    <row r="68" spans="1:7" ht="21.36" thickBot="1" customHeight="1">
      <c r="A68" s="24" t="s">
        <v>198</v>
      </c>
      <c r="B68" s="24" t="s">
        <v>199</v>
      </c>
      <c r="C68" s="24" t="s">
        <v>200</v>
      </c>
      <c r="D68" s="25" t="s">
        <v>201</v>
      </c>
      <c r="E68" s="28">
        <v>0.20000</v>
      </c>
      <c r="F68" s="29">
        <f ca="1">F72</f>
        <v>0</v>
      </c>
      <c r="G68" s="27">
        <f ca="1">ROUND(E68*F68,2)</f>
        <v>0</v>
      </c>
    </row>
    <row r="69" spans="1:7" ht="24.36" thickBot="1" customHeight="1">
      <c r="A69" s="24" t="s">
        <v>202</v>
      </c>
      <c r="B69" s="24" t="s">
        <v>203</v>
      </c>
      <c r="C69" s="24" t="s">
        <v>204</v>
      </c>
      <c r="D69" s="25" t="s">
        <v>205</v>
      </c>
      <c r="E69" s="28">
        <v>1.00000</v>
      </c>
      <c r="F69" s="29">
        <f ca="1">ROUND(21.000,3)</f>
        <v>0</v>
      </c>
      <c r="G69" s="27">
        <f ca="1">ROUND(E69*F69,2)</f>
        <v>0</v>
      </c>
    </row>
    <row r="70" spans="1:7" ht="24.36" thickBot="1" customHeight="1">
      <c r="A70" s="24" t="s">
        <v>206</v>
      </c>
      <c r="B70" s="24" t="s">
        <v>207</v>
      </c>
      <c r="C70" s="24" t="s">
        <v>208</v>
      </c>
      <c r="D70" s="25" t="s">
        <v>209</v>
      </c>
      <c r="E70" s="28">
        <v>1.00000</v>
      </c>
      <c r="F70" s="29">
        <f ca="1">ROUND(19.000,3)</f>
        <v>0</v>
      </c>
      <c r="G70" s="27">
        <f ca="1">ROUND(E70*F70,2)</f>
        <v>0</v>
      </c>
    </row>
    <row r="71" spans="1:7" ht="24.36" thickBot="1" customHeight="1">
      <c r="A71" s="24" t="s">
        <v>210</v>
      </c>
      <c r="B71" s="24" t="s">
        <v>211</v>
      </c>
      <c r="C71" s="24" t="s">
        <v>212</v>
      </c>
      <c r="D71" s="25" t="s">
        <v>213</v>
      </c>
      <c r="E71" s="28">
        <v>0.20000</v>
      </c>
      <c r="F71" s="29">
        <f ca="1">ROUND(19.000,3)</f>
        <v>0</v>
      </c>
      <c r="G71" s="27">
        <f ca="1">ROUND(E71*F71,2)</f>
        <v>0</v>
      </c>
    </row>
    <row r="72" spans="1:7" ht="15.12" thickBot="1" customHeight="1">
      <c r="A72" s="26"/>
      <c r="B72" s="26"/>
      <c r="C72" s="26"/>
      <c r="D72" s="24" t="s">
        <v>214</v>
      </c>
      <c r="E72" s="28">
        <v>0.20000</v>
      </c>
      <c r="F72" s="29">
        <f ca="1">ROUND((G69+G70+G71),3)</f>
        <v>0</v>
      </c>
      <c r="G72" s="27">
        <f ca="1">ROUND(E72*F72,2)</f>
        <v>0</v>
      </c>
    </row>
    <row r="73" spans="1:7" ht="15.12" thickBot="1" customHeight="1">
      <c r="A73" s="24" t="s">
        <v>215</v>
      </c>
      <c r="B73" s="24"/>
      <c r="C73" s="24" t="s">
        <v>216</v>
      </c>
      <c r="D73" s="25" t="s">
        <v>217</v>
      </c>
      <c r="E73" s="28">
        <v>3.00000</v>
      </c>
      <c r="F73" s="29">
        <f ca="1">ROUND(8.760,3)</f>
        <v>0</v>
      </c>
      <c r="G73" s="27">
        <f ca="1">ROUND((E73*F73)/100,2)</f>
        <v>0</v>
      </c>
    </row>
    <row r="74" spans="1:7" ht="25.08" thickBot="1" customHeight="1">
      <c r="A74" s="30"/>
      <c r="B74" s="30"/>
      <c r="C74" s="30"/>
      <c r="D74" s="31" t="s">
        <v>218</v>
      </c>
      <c r="E74" s="30"/>
      <c r="F74" s="33">
        <f ca="1">ROUND((G68+G73)*(1+G2/100),2)</f>
        <v>0</v>
      </c>
      <c r="G74" s="30"/>
    </row>
    <row r="75" spans="1:7" ht="39.84" thickBot="1" customHeight="1">
      <c r="A75" s="34" t="s">
        <v>219</v>
      </c>
      <c r="B75" s="35" t="s">
        <v>220</v>
      </c>
      <c r="C75" s="35" t="s">
        <v>221</v>
      </c>
      <c r="D75" s="36" t="s">
        <v>222</v>
      </c>
      <c r="E75" s="37"/>
      <c r="F75" s="38">
        <f ca="1">F83</f>
        <v>0</v>
      </c>
      <c r="G75" s="37"/>
    </row>
    <row r="76" spans="1:7" ht="21.36" thickBot="1" customHeight="1">
      <c r="A76" s="26"/>
      <c r="B76" s="26"/>
      <c r="C76" s="26"/>
      <c r="D76" s="25" t="s">
        <v>223</v>
      </c>
      <c r="E76" s="25"/>
      <c r="F76" s="25"/>
      <c r="G76" s="25"/>
    </row>
    <row r="77" spans="1:7" ht="21.36" thickBot="1" customHeight="1">
      <c r="A77" s="24" t="s">
        <v>224</v>
      </c>
      <c r="B77" s="24" t="s">
        <v>225</v>
      </c>
      <c r="C77" s="24" t="s">
        <v>226</v>
      </c>
      <c r="D77" s="25" t="s">
        <v>227</v>
      </c>
      <c r="E77" s="28">
        <v>0.33333</v>
      </c>
      <c r="F77" s="29">
        <f ca="1">F81</f>
        <v>0</v>
      </c>
      <c r="G77" s="27">
        <f ca="1">ROUND(E77*F77,2)</f>
        <v>0</v>
      </c>
    </row>
    <row r="78" spans="1:7" ht="24.36" thickBot="1" customHeight="1">
      <c r="A78" s="24" t="s">
        <v>228</v>
      </c>
      <c r="B78" s="24" t="s">
        <v>229</v>
      </c>
      <c r="C78" s="24" t="s">
        <v>230</v>
      </c>
      <c r="D78" s="25" t="s">
        <v>231</v>
      </c>
      <c r="E78" s="28">
        <v>1.00000</v>
      </c>
      <c r="F78" s="29">
        <f ca="1">ROUND(21.000,3)</f>
        <v>0</v>
      </c>
      <c r="G78" s="27">
        <f ca="1">ROUND(E78*F78,2)</f>
        <v>0</v>
      </c>
    </row>
    <row r="79" spans="1:7" ht="24.36" thickBot="1" customHeight="1">
      <c r="A79" s="24" t="s">
        <v>232</v>
      </c>
      <c r="B79" s="24" t="s">
        <v>233</v>
      </c>
      <c r="C79" s="24" t="s">
        <v>234</v>
      </c>
      <c r="D79" s="25" t="s">
        <v>235</v>
      </c>
      <c r="E79" s="28">
        <v>1.00000</v>
      </c>
      <c r="F79" s="29">
        <f ca="1">ROUND(19.000,3)</f>
        <v>0</v>
      </c>
      <c r="G79" s="27">
        <f ca="1">ROUND(E79*F79,2)</f>
        <v>0</v>
      </c>
    </row>
    <row r="80" spans="1:7" ht="24.36" thickBot="1" customHeight="1">
      <c r="A80" s="24" t="s">
        <v>236</v>
      </c>
      <c r="B80" s="24" t="s">
        <v>237</v>
      </c>
      <c r="C80" s="24" t="s">
        <v>238</v>
      </c>
      <c r="D80" s="25" t="s">
        <v>239</v>
      </c>
      <c r="E80" s="28">
        <v>0.20000</v>
      </c>
      <c r="F80" s="29">
        <f ca="1">ROUND(19.000,3)</f>
        <v>0</v>
      </c>
      <c r="G80" s="27">
        <f ca="1">ROUND(E80*F80,2)</f>
        <v>0</v>
      </c>
    </row>
    <row r="81" spans="1:7" ht="15.12" thickBot="1" customHeight="1">
      <c r="A81" s="26"/>
      <c r="B81" s="26"/>
      <c r="C81" s="26"/>
      <c r="D81" s="24" t="s">
        <v>240</v>
      </c>
      <c r="E81" s="28">
        <v>0.33333</v>
      </c>
      <c r="F81" s="29">
        <f ca="1">ROUND((G78+G79+G80),3)</f>
        <v>0</v>
      </c>
      <c r="G81" s="27">
        <f ca="1">ROUND(E81*F81,2)</f>
        <v>0</v>
      </c>
    </row>
    <row r="82" spans="1:7" ht="15.12" thickBot="1" customHeight="1">
      <c r="A82" s="24" t="s">
        <v>241</v>
      </c>
      <c r="B82" s="24"/>
      <c r="C82" s="24" t="s">
        <v>242</v>
      </c>
      <c r="D82" s="25" t="s">
        <v>243</v>
      </c>
      <c r="E82" s="28">
        <v>3.00000</v>
      </c>
      <c r="F82" s="29">
        <f ca="1">ROUND(14.600,3)</f>
        <v>0</v>
      </c>
      <c r="G82" s="27">
        <f ca="1">ROUND((E82*F82)/100,2)</f>
        <v>0</v>
      </c>
    </row>
    <row r="83" spans="1:7" ht="25.08" thickBot="1" customHeight="1">
      <c r="A83" s="30"/>
      <c r="B83" s="30"/>
      <c r="C83" s="30"/>
      <c r="D83" s="31" t="s">
        <v>244</v>
      </c>
      <c r="E83" s="30"/>
      <c r="F83" s="33">
        <f ca="1">ROUND((G77+G82)*(1+G2/100),2)</f>
        <v>0</v>
      </c>
      <c r="G83" s="30"/>
    </row>
    <row r="84" spans="1:7" ht="49.08" thickBot="1" customHeight="1">
      <c r="A84" s="34" t="s">
        <v>245</v>
      </c>
      <c r="B84" s="35" t="s">
        <v>246</v>
      </c>
      <c r="C84" s="35" t="s">
        <v>247</v>
      </c>
      <c r="D84" s="36" t="s">
        <v>248</v>
      </c>
      <c r="E84" s="37"/>
      <c r="F84" s="38">
        <f ca="1">F93</f>
        <v>0</v>
      </c>
      <c r="G84" s="37"/>
    </row>
    <row r="85" spans="1:7" ht="21.36" thickBot="1" customHeight="1">
      <c r="A85" s="26"/>
      <c r="B85" s="26"/>
      <c r="C85" s="26"/>
      <c r="D85" s="25" t="s">
        <v>249</v>
      </c>
      <c r="E85" s="25"/>
      <c r="F85" s="25"/>
      <c r="G85" s="25"/>
    </row>
    <row r="86" spans="1:7" ht="39.84" thickBot="1" customHeight="1">
      <c r="A86" s="24" t="s">
        <v>250</v>
      </c>
      <c r="B86" s="24" t="s">
        <v>251</v>
      </c>
      <c r="C86" s="24" t="s">
        <v>252</v>
      </c>
      <c r="D86" s="25" t="s">
        <v>253</v>
      </c>
      <c r="E86" s="28">
        <v>0.02100</v>
      </c>
      <c r="F86" s="29">
        <f ca="1">ROUND(9.130,3)</f>
        <v>0</v>
      </c>
      <c r="G86" s="27">
        <f ca="1">ROUND(E86*F86,2)</f>
        <v>0</v>
      </c>
    </row>
    <row r="87" spans="1:7" ht="21.36" thickBot="1" customHeight="1">
      <c r="A87" s="24" t="s">
        <v>254</v>
      </c>
      <c r="B87" s="24" t="s">
        <v>255</v>
      </c>
      <c r="C87" s="24" t="s">
        <v>256</v>
      </c>
      <c r="D87" s="25" t="s">
        <v>257</v>
      </c>
      <c r="E87" s="28">
        <v>0.22000</v>
      </c>
      <c r="F87" s="29">
        <f ca="1">F91</f>
        <v>0</v>
      </c>
      <c r="G87" s="27">
        <f ca="1">ROUND(E87*F87,2)</f>
        <v>0</v>
      </c>
    </row>
    <row r="88" spans="1:7" ht="24.36" thickBot="1" customHeight="1">
      <c r="A88" s="24" t="s">
        <v>258</v>
      </c>
      <c r="B88" s="24" t="s">
        <v>259</v>
      </c>
      <c r="C88" s="24" t="s">
        <v>260</v>
      </c>
      <c r="D88" s="25" t="s">
        <v>261</v>
      </c>
      <c r="E88" s="28">
        <v>1.00000</v>
      </c>
      <c r="F88" s="29">
        <f ca="1">ROUND(21.000,3)</f>
        <v>0</v>
      </c>
      <c r="G88" s="27">
        <f ca="1">ROUND(E88*F88,2)</f>
        <v>0</v>
      </c>
    </row>
    <row r="89" spans="1:7" ht="24.36" thickBot="1" customHeight="1">
      <c r="A89" s="24" t="s">
        <v>262</v>
      </c>
      <c r="B89" s="24" t="s">
        <v>263</v>
      </c>
      <c r="C89" s="24" t="s">
        <v>264</v>
      </c>
      <c r="D89" s="25" t="s">
        <v>265</v>
      </c>
      <c r="E89" s="28">
        <v>1.00000</v>
      </c>
      <c r="F89" s="29">
        <f ca="1">ROUND(19.000,3)</f>
        <v>0</v>
      </c>
      <c r="G89" s="27">
        <f ca="1">ROUND(E89*F89,2)</f>
        <v>0</v>
      </c>
    </row>
    <row r="90" spans="1:7" ht="24.36" thickBot="1" customHeight="1">
      <c r="A90" s="24" t="s">
        <v>266</v>
      </c>
      <c r="B90" s="24" t="s">
        <v>267</v>
      </c>
      <c r="C90" s="24" t="s">
        <v>268</v>
      </c>
      <c r="D90" s="25" t="s">
        <v>269</v>
      </c>
      <c r="E90" s="28">
        <v>0.20000</v>
      </c>
      <c r="F90" s="29">
        <f ca="1">ROUND(19.000,3)</f>
        <v>0</v>
      </c>
      <c r="G90" s="27">
        <f ca="1">ROUND(E90*F90,2)</f>
        <v>0</v>
      </c>
    </row>
    <row r="91" spans="1:7" ht="15.12" thickBot="1" customHeight="1">
      <c r="A91" s="26"/>
      <c r="B91" s="26"/>
      <c r="C91" s="26"/>
      <c r="D91" s="24" t="s">
        <v>270</v>
      </c>
      <c r="E91" s="28">
        <v>0.22000</v>
      </c>
      <c r="F91" s="29">
        <f ca="1">ROUND((G88+G89+G90),3)</f>
        <v>0</v>
      </c>
      <c r="G91" s="27">
        <f ca="1">ROUND(E91*F91,2)</f>
        <v>0</v>
      </c>
    </row>
    <row r="92" spans="1:7" ht="15.12" thickBot="1" customHeight="1">
      <c r="A92" s="24" t="s">
        <v>271</v>
      </c>
      <c r="B92" s="24"/>
      <c r="C92" s="24" t="s">
        <v>272</v>
      </c>
      <c r="D92" s="25" t="s">
        <v>273</v>
      </c>
      <c r="E92" s="28">
        <v>3.00000</v>
      </c>
      <c r="F92" s="29">
        <f ca="1">ROUND(9.640,3)</f>
        <v>0</v>
      </c>
      <c r="G92" s="27">
        <f ca="1">ROUND((E92*F92)/100,2)</f>
        <v>0</v>
      </c>
    </row>
    <row r="93" spans="1:7" ht="25.08" thickBot="1" customHeight="1">
      <c r="A93" s="30"/>
      <c r="B93" s="30"/>
      <c r="C93" s="30"/>
      <c r="D93" s="31" t="s">
        <v>274</v>
      </c>
      <c r="E93" s="30"/>
      <c r="F93" s="33">
        <f ca="1">ROUND((G86+G87+G92)*(1+G2/100),2)</f>
        <v>0</v>
      </c>
      <c r="G93" s="30"/>
    </row>
    <row r="94" spans="1:7" ht="49.08" thickBot="1" customHeight="1">
      <c r="A94" s="34" t="s">
        <v>275</v>
      </c>
      <c r="B94" s="35" t="s">
        <v>276</v>
      </c>
      <c r="C94" s="35" t="s">
        <v>277</v>
      </c>
      <c r="D94" s="36" t="s">
        <v>278</v>
      </c>
      <c r="E94" s="37"/>
      <c r="F94" s="38">
        <f ca="1">F103</f>
        <v>0</v>
      </c>
      <c r="G94" s="37"/>
    </row>
    <row r="95" spans="1:7" ht="21.36" thickBot="1" customHeight="1">
      <c r="A95" s="26"/>
      <c r="B95" s="26"/>
      <c r="C95" s="26"/>
      <c r="D95" s="25" t="s">
        <v>279</v>
      </c>
      <c r="E95" s="25"/>
      <c r="F95" s="25"/>
      <c r="G95" s="25"/>
    </row>
    <row r="96" spans="1:7" ht="39.84" thickBot="1" customHeight="1">
      <c r="A96" s="24" t="s">
        <v>280</v>
      </c>
      <c r="B96" s="24" t="s">
        <v>281</v>
      </c>
      <c r="C96" s="24" t="s">
        <v>282</v>
      </c>
      <c r="D96" s="25" t="s">
        <v>283</v>
      </c>
      <c r="E96" s="28">
        <v>0.02100</v>
      </c>
      <c r="F96" s="29">
        <f ca="1">ROUND(9.130,3)</f>
        <v>0</v>
      </c>
      <c r="G96" s="27">
        <f ca="1">ROUND(E96*F96,2)</f>
        <v>0</v>
      </c>
    </row>
    <row r="97" spans="1:7" ht="21.36" thickBot="1" customHeight="1">
      <c r="A97" s="24" t="s">
        <v>284</v>
      </c>
      <c r="B97" s="24" t="s">
        <v>285</v>
      </c>
      <c r="C97" s="24" t="s">
        <v>286</v>
      </c>
      <c r="D97" s="25" t="s">
        <v>287</v>
      </c>
      <c r="E97" s="28">
        <v>0.35000</v>
      </c>
      <c r="F97" s="29">
        <f ca="1">F101</f>
        <v>0</v>
      </c>
      <c r="G97" s="27">
        <f ca="1">ROUND(E97*F97,2)</f>
        <v>0</v>
      </c>
    </row>
    <row r="98" spans="1:7" ht="24.36" thickBot="1" customHeight="1">
      <c r="A98" s="24" t="s">
        <v>288</v>
      </c>
      <c r="B98" s="24" t="s">
        <v>289</v>
      </c>
      <c r="C98" s="24" t="s">
        <v>290</v>
      </c>
      <c r="D98" s="25" t="s">
        <v>291</v>
      </c>
      <c r="E98" s="28">
        <v>1.00000</v>
      </c>
      <c r="F98" s="29">
        <f ca="1">ROUND(21.000,3)</f>
        <v>0</v>
      </c>
      <c r="G98" s="27">
        <f ca="1">ROUND(E98*F98,2)</f>
        <v>0</v>
      </c>
    </row>
    <row r="99" spans="1:7" ht="24.36" thickBot="1" customHeight="1">
      <c r="A99" s="24" t="s">
        <v>292</v>
      </c>
      <c r="B99" s="24" t="s">
        <v>293</v>
      </c>
      <c r="C99" s="24" t="s">
        <v>294</v>
      </c>
      <c r="D99" s="25" t="s">
        <v>295</v>
      </c>
      <c r="E99" s="28">
        <v>1.00000</v>
      </c>
      <c r="F99" s="29">
        <f ca="1">ROUND(19.000,3)</f>
        <v>0</v>
      </c>
      <c r="G99" s="27">
        <f ca="1">ROUND(E99*F99,2)</f>
        <v>0</v>
      </c>
    </row>
    <row r="100" spans="1:7" ht="24.36" thickBot="1" customHeight="1">
      <c r="A100" s="24" t="s">
        <v>296</v>
      </c>
      <c r="B100" s="24" t="s">
        <v>297</v>
      </c>
      <c r="C100" s="24" t="s">
        <v>298</v>
      </c>
      <c r="D100" s="25" t="s">
        <v>299</v>
      </c>
      <c r="E100" s="28">
        <v>0.20000</v>
      </c>
      <c r="F100" s="29">
        <f ca="1">ROUND(19.000,3)</f>
        <v>0</v>
      </c>
      <c r="G100" s="27">
        <f ca="1">ROUND(E100*F100,2)</f>
        <v>0</v>
      </c>
    </row>
    <row r="101" spans="1:7" ht="15.12" thickBot="1" customHeight="1">
      <c r="A101" s="26"/>
      <c r="B101" s="26"/>
      <c r="C101" s="26"/>
      <c r="D101" s="24" t="s">
        <v>300</v>
      </c>
      <c r="E101" s="28">
        <v>0.35000</v>
      </c>
      <c r="F101" s="29">
        <f ca="1">ROUND((G98+G99+G100),3)</f>
        <v>0</v>
      </c>
      <c r="G101" s="27">
        <f ca="1">ROUND(E101*F101,2)</f>
        <v>0</v>
      </c>
    </row>
    <row r="102" spans="1:7" ht="15.12" thickBot="1" customHeight="1">
      <c r="A102" s="24" t="s">
        <v>301</v>
      </c>
      <c r="B102" s="24"/>
      <c r="C102" s="24" t="s">
        <v>302</v>
      </c>
      <c r="D102" s="25" t="s">
        <v>303</v>
      </c>
      <c r="E102" s="28">
        <v>3.00000</v>
      </c>
      <c r="F102" s="29">
        <f ca="1">ROUND(15.330,3)</f>
        <v>0</v>
      </c>
      <c r="G102" s="27">
        <f ca="1">ROUND((E102*F102)/100,2)</f>
        <v>0</v>
      </c>
    </row>
    <row r="103" spans="1:7" ht="25.08" thickBot="1" customHeight="1">
      <c r="A103" s="30"/>
      <c r="B103" s="30"/>
      <c r="C103" s="30"/>
      <c r="D103" s="31" t="s">
        <v>304</v>
      </c>
      <c r="E103" s="30"/>
      <c r="F103" s="33">
        <f ca="1">ROUND((G96+G97+G102)*(1+G2/100),2)</f>
        <v>0</v>
      </c>
      <c r="G103" s="30"/>
    </row>
    <row r="104" spans="1:7" ht="49.08" thickBot="1" customHeight="1">
      <c r="A104" s="34" t="s">
        <v>305</v>
      </c>
      <c r="B104" s="35" t="s">
        <v>306</v>
      </c>
      <c r="C104" s="35" t="s">
        <v>307</v>
      </c>
      <c r="D104" s="36" t="s">
        <v>308</v>
      </c>
      <c r="E104" s="37"/>
      <c r="F104" s="38">
        <f ca="1">F113</f>
        <v>0</v>
      </c>
      <c r="G104" s="37"/>
    </row>
    <row r="105" spans="1:7" ht="21.36" thickBot="1" customHeight="1">
      <c r="A105" s="26"/>
      <c r="B105" s="26"/>
      <c r="C105" s="26"/>
      <c r="D105" s="25" t="s">
        <v>309</v>
      </c>
      <c r="E105" s="25"/>
      <c r="F105" s="25"/>
      <c r="G105" s="25"/>
    </row>
    <row r="106" spans="1:7" ht="30.60" thickBot="1" customHeight="1">
      <c r="A106" s="24" t="s">
        <v>310</v>
      </c>
      <c r="B106" s="24" t="s">
        <v>311</v>
      </c>
      <c r="C106" s="24" t="s">
        <v>312</v>
      </c>
      <c r="D106" s="25" t="s">
        <v>313</v>
      </c>
      <c r="E106" s="28">
        <v>0.06600</v>
      </c>
      <c r="F106" s="29">
        <f ca="1">ROUND(2.560,3)</f>
        <v>0</v>
      </c>
      <c r="G106" s="27">
        <f ca="1">ROUND(E106*F106,2)</f>
        <v>0</v>
      </c>
    </row>
    <row r="107" spans="1:7" ht="21.36" thickBot="1" customHeight="1">
      <c r="A107" s="24" t="s">
        <v>314</v>
      </c>
      <c r="B107" s="24" t="s">
        <v>315</v>
      </c>
      <c r="C107" s="24" t="s">
        <v>316</v>
      </c>
      <c r="D107" s="25" t="s">
        <v>317</v>
      </c>
      <c r="E107" s="28">
        <v>0.22000</v>
      </c>
      <c r="F107" s="29">
        <f ca="1">F111</f>
        <v>0</v>
      </c>
      <c r="G107" s="27">
        <f ca="1">ROUND(E107*F107,2)</f>
        <v>0</v>
      </c>
    </row>
    <row r="108" spans="1:7" ht="24.36" thickBot="1" customHeight="1">
      <c r="A108" s="24" t="s">
        <v>318</v>
      </c>
      <c r="B108" s="24" t="s">
        <v>319</v>
      </c>
      <c r="C108" s="24" t="s">
        <v>320</v>
      </c>
      <c r="D108" s="25" t="s">
        <v>321</v>
      </c>
      <c r="E108" s="28">
        <v>1.00000</v>
      </c>
      <c r="F108" s="29">
        <f ca="1">ROUND(21.000,3)</f>
        <v>0</v>
      </c>
      <c r="G108" s="27">
        <f ca="1">ROUND(E108*F108,2)</f>
        <v>0</v>
      </c>
    </row>
    <row r="109" spans="1:7" ht="24.36" thickBot="1" customHeight="1">
      <c r="A109" s="24" t="s">
        <v>322</v>
      </c>
      <c r="B109" s="24" t="s">
        <v>323</v>
      </c>
      <c r="C109" s="24" t="s">
        <v>324</v>
      </c>
      <c r="D109" s="25" t="s">
        <v>325</v>
      </c>
      <c r="E109" s="28">
        <v>1.00000</v>
      </c>
      <c r="F109" s="29">
        <f ca="1">ROUND(19.000,3)</f>
        <v>0</v>
      </c>
      <c r="G109" s="27">
        <f ca="1">ROUND(E109*F109,2)</f>
        <v>0</v>
      </c>
    </row>
    <row r="110" spans="1:7" ht="24.36" thickBot="1" customHeight="1">
      <c r="A110" s="24" t="s">
        <v>326</v>
      </c>
      <c r="B110" s="24" t="s">
        <v>327</v>
      </c>
      <c r="C110" s="24" t="s">
        <v>328</v>
      </c>
      <c r="D110" s="25" t="s">
        <v>329</v>
      </c>
      <c r="E110" s="28">
        <v>0.20000</v>
      </c>
      <c r="F110" s="29">
        <f ca="1">ROUND(19.000,3)</f>
        <v>0</v>
      </c>
      <c r="G110" s="27">
        <f ca="1">ROUND(E110*F110,2)</f>
        <v>0</v>
      </c>
    </row>
    <row r="111" spans="1:7" ht="15.12" thickBot="1" customHeight="1">
      <c r="A111" s="26"/>
      <c r="B111" s="26"/>
      <c r="C111" s="26"/>
      <c r="D111" s="24" t="s">
        <v>330</v>
      </c>
      <c r="E111" s="28">
        <v>0.22000</v>
      </c>
      <c r="F111" s="29">
        <f ca="1">ROUND((G108+G109+G110),3)</f>
        <v>0</v>
      </c>
      <c r="G111" s="27">
        <f ca="1">ROUND(E111*F111,2)</f>
        <v>0</v>
      </c>
    </row>
    <row r="112" spans="1:7" ht="15.12" thickBot="1" customHeight="1">
      <c r="A112" s="24" t="s">
        <v>331</v>
      </c>
      <c r="B112" s="24"/>
      <c r="C112" s="24" t="s">
        <v>332</v>
      </c>
      <c r="D112" s="25" t="s">
        <v>333</v>
      </c>
      <c r="E112" s="28">
        <v>3.00000</v>
      </c>
      <c r="F112" s="29">
        <f ca="1">ROUND(9.640,3)</f>
        <v>0</v>
      </c>
      <c r="G112" s="27">
        <f ca="1">ROUND((E112*F112)/100,2)</f>
        <v>0</v>
      </c>
    </row>
    <row r="113" spans="1:7" ht="25.08" thickBot="1" customHeight="1">
      <c r="A113" s="30"/>
      <c r="B113" s="30"/>
      <c r="C113" s="30"/>
      <c r="D113" s="31" t="s">
        <v>334</v>
      </c>
      <c r="E113" s="30"/>
      <c r="F113" s="33">
        <f ca="1">ROUND((G106+G107+G112)*(1+G2/100),2)</f>
        <v>0</v>
      </c>
      <c r="G113" s="30"/>
    </row>
    <row r="114" spans="1:7" ht="49.08" thickBot="1" customHeight="1">
      <c r="A114" s="34" t="s">
        <v>335</v>
      </c>
      <c r="B114" s="35" t="s">
        <v>336</v>
      </c>
      <c r="C114" s="35" t="s">
        <v>337</v>
      </c>
      <c r="D114" s="36" t="s">
        <v>338</v>
      </c>
      <c r="E114" s="37"/>
      <c r="F114" s="38">
        <f ca="1">F123</f>
        <v>0</v>
      </c>
      <c r="G114" s="37"/>
    </row>
    <row r="115" spans="1:7" ht="21.36" thickBot="1" customHeight="1">
      <c r="A115" s="26"/>
      <c r="B115" s="26"/>
      <c r="C115" s="26"/>
      <c r="D115" s="25" t="s">
        <v>339</v>
      </c>
      <c r="E115" s="25"/>
      <c r="F115" s="25"/>
      <c r="G115" s="25"/>
    </row>
    <row r="116" spans="1:7" ht="30.60" thickBot="1" customHeight="1">
      <c r="A116" s="24" t="s">
        <v>340</v>
      </c>
      <c r="B116" s="24" t="s">
        <v>341</v>
      </c>
      <c r="C116" s="24" t="s">
        <v>342</v>
      </c>
      <c r="D116" s="25" t="s">
        <v>343</v>
      </c>
      <c r="E116" s="28">
        <v>0.06600</v>
      </c>
      <c r="F116" s="29">
        <f ca="1">ROUND(2.560,3)</f>
        <v>0</v>
      </c>
      <c r="G116" s="27">
        <f ca="1">ROUND(E116*F116,2)</f>
        <v>0</v>
      </c>
    </row>
    <row r="117" spans="1:7" ht="21.36" thickBot="1" customHeight="1">
      <c r="A117" s="24" t="s">
        <v>344</v>
      </c>
      <c r="B117" s="24" t="s">
        <v>345</v>
      </c>
      <c r="C117" s="24" t="s">
        <v>346</v>
      </c>
      <c r="D117" s="25" t="s">
        <v>347</v>
      </c>
      <c r="E117" s="28">
        <v>0.35000</v>
      </c>
      <c r="F117" s="29">
        <f ca="1">F121</f>
        <v>0</v>
      </c>
      <c r="G117" s="27">
        <f ca="1">ROUND(E117*F117,2)</f>
        <v>0</v>
      </c>
    </row>
    <row r="118" spans="1:7" ht="24.36" thickBot="1" customHeight="1">
      <c r="A118" s="24" t="s">
        <v>348</v>
      </c>
      <c r="B118" s="24" t="s">
        <v>349</v>
      </c>
      <c r="C118" s="24" t="s">
        <v>350</v>
      </c>
      <c r="D118" s="25" t="s">
        <v>351</v>
      </c>
      <c r="E118" s="28">
        <v>1.00000</v>
      </c>
      <c r="F118" s="29">
        <f ca="1">ROUND(21.000,3)</f>
        <v>0</v>
      </c>
      <c r="G118" s="27">
        <f ca="1">ROUND(E118*F118,2)</f>
        <v>0</v>
      </c>
    </row>
    <row r="119" spans="1:7" ht="24.36" thickBot="1" customHeight="1">
      <c r="A119" s="24" t="s">
        <v>352</v>
      </c>
      <c r="B119" s="24" t="s">
        <v>353</v>
      </c>
      <c r="C119" s="24" t="s">
        <v>354</v>
      </c>
      <c r="D119" s="25" t="s">
        <v>355</v>
      </c>
      <c r="E119" s="28">
        <v>1.00000</v>
      </c>
      <c r="F119" s="29">
        <f ca="1">ROUND(19.000,3)</f>
        <v>0</v>
      </c>
      <c r="G119" s="27">
        <f ca="1">ROUND(E119*F119,2)</f>
        <v>0</v>
      </c>
    </row>
    <row r="120" spans="1:7" ht="24.36" thickBot="1" customHeight="1">
      <c r="A120" s="24" t="s">
        <v>356</v>
      </c>
      <c r="B120" s="24" t="s">
        <v>357</v>
      </c>
      <c r="C120" s="24" t="s">
        <v>358</v>
      </c>
      <c r="D120" s="25" t="s">
        <v>359</v>
      </c>
      <c r="E120" s="28">
        <v>0.20000</v>
      </c>
      <c r="F120" s="29">
        <f ca="1">ROUND(19.000,3)</f>
        <v>0</v>
      </c>
      <c r="G120" s="27">
        <f ca="1">ROUND(E120*F120,2)</f>
        <v>0</v>
      </c>
    </row>
    <row r="121" spans="1:7" ht="15.12" thickBot="1" customHeight="1">
      <c r="A121" s="26"/>
      <c r="B121" s="26"/>
      <c r="C121" s="26"/>
      <c r="D121" s="24" t="s">
        <v>360</v>
      </c>
      <c r="E121" s="28">
        <v>0.35000</v>
      </c>
      <c r="F121" s="29">
        <f ca="1">ROUND((G118+G119+G120),3)</f>
        <v>0</v>
      </c>
      <c r="G121" s="27">
        <f ca="1">ROUND(E121*F121,2)</f>
        <v>0</v>
      </c>
    </row>
    <row r="122" spans="1:7" ht="15.12" thickBot="1" customHeight="1">
      <c r="A122" s="24" t="s">
        <v>361</v>
      </c>
      <c r="B122" s="24"/>
      <c r="C122" s="24" t="s">
        <v>362</v>
      </c>
      <c r="D122" s="25" t="s">
        <v>363</v>
      </c>
      <c r="E122" s="28">
        <v>3.00000</v>
      </c>
      <c r="F122" s="29">
        <f ca="1">ROUND(15.330,3)</f>
        <v>0</v>
      </c>
      <c r="G122" s="27">
        <f ca="1">ROUND((E122*F122)/100,2)</f>
        <v>0</v>
      </c>
    </row>
    <row r="123" spans="1:7" ht="25.08" thickBot="1" customHeight="1">
      <c r="A123" s="30"/>
      <c r="B123" s="30"/>
      <c r="C123" s="30"/>
      <c r="D123" s="31" t="s">
        <v>364</v>
      </c>
      <c r="E123" s="30"/>
      <c r="F123" s="33">
        <f ca="1">ROUND((G116+G117+G122)*(1+G2/100),2)</f>
        <v>0</v>
      </c>
      <c r="G123" s="30"/>
    </row>
    <row r="124" spans="1:7" ht="34.68" thickBot="1" customHeight="1">
      <c r="A124" s="34" t="s">
        <v>365</v>
      </c>
      <c r="B124" s="35" t="s">
        <v>366</v>
      </c>
      <c r="C124" s="35" t="s">
        <v>367</v>
      </c>
      <c r="D124" s="36" t="s">
        <v>368</v>
      </c>
      <c r="E124" s="37"/>
      <c r="F124" s="38">
        <f ca="1">F132</f>
        <v>0</v>
      </c>
      <c r="G124" s="37"/>
    </row>
    <row r="125" spans="1:7" ht="12.12" thickBot="1" customHeight="1">
      <c r="A125" s="26"/>
      <c r="B125" s="26"/>
      <c r="C125" s="26"/>
      <c r="D125" s="25" t="s">
        <v>369</v>
      </c>
      <c r="E125" s="25"/>
      <c r="F125" s="25"/>
      <c r="G125" s="25"/>
    </row>
    <row r="126" spans="1:7" ht="21.36" thickBot="1" customHeight="1">
      <c r="A126" s="24" t="s">
        <v>370</v>
      </c>
      <c r="B126" s="24" t="s">
        <v>371</v>
      </c>
      <c r="C126" s="24" t="s">
        <v>372</v>
      </c>
      <c r="D126" s="25" t="s">
        <v>373</v>
      </c>
      <c r="E126" s="28">
        <v>0.22860</v>
      </c>
      <c r="F126" s="29">
        <f ca="1">F130</f>
        <v>0</v>
      </c>
      <c r="G126" s="27">
        <f ca="1">ROUND(E126*F126,2)</f>
        <v>0</v>
      </c>
    </row>
    <row r="127" spans="1:7" ht="24.36" thickBot="1" customHeight="1">
      <c r="A127" s="24" t="s">
        <v>374</v>
      </c>
      <c r="B127" s="24" t="s">
        <v>375</v>
      </c>
      <c r="C127" s="24" t="s">
        <v>376</v>
      </c>
      <c r="D127" s="25" t="s">
        <v>377</v>
      </c>
      <c r="E127" s="28">
        <v>1.00000</v>
      </c>
      <c r="F127" s="29">
        <f ca="1">ROUND(21.000,3)</f>
        <v>0</v>
      </c>
      <c r="G127" s="27">
        <f ca="1">ROUND(E127*F127,2)</f>
        <v>0</v>
      </c>
    </row>
    <row r="128" spans="1:7" ht="24.36" thickBot="1" customHeight="1">
      <c r="A128" s="24" t="s">
        <v>378</v>
      </c>
      <c r="B128" s="24" t="s">
        <v>379</v>
      </c>
      <c r="C128" s="24" t="s">
        <v>380</v>
      </c>
      <c r="D128" s="25" t="s">
        <v>381</v>
      </c>
      <c r="E128" s="28">
        <v>1.00000</v>
      </c>
      <c r="F128" s="29">
        <f ca="1">ROUND(19.000,3)</f>
        <v>0</v>
      </c>
      <c r="G128" s="27">
        <f ca="1">ROUND(E128*F128,2)</f>
        <v>0</v>
      </c>
    </row>
    <row r="129" spans="1:7" ht="24.36" thickBot="1" customHeight="1">
      <c r="A129" s="24" t="s">
        <v>382</v>
      </c>
      <c r="B129" s="24" t="s">
        <v>383</v>
      </c>
      <c r="C129" s="24" t="s">
        <v>384</v>
      </c>
      <c r="D129" s="25" t="s">
        <v>385</v>
      </c>
      <c r="E129" s="28">
        <v>0.20000</v>
      </c>
      <c r="F129" s="29">
        <f ca="1">ROUND(19.000,3)</f>
        <v>0</v>
      </c>
      <c r="G129" s="27">
        <f ca="1">ROUND(E129*F129,2)</f>
        <v>0</v>
      </c>
    </row>
    <row r="130" spans="1:7" ht="15.12" thickBot="1" customHeight="1">
      <c r="A130" s="26"/>
      <c r="B130" s="26"/>
      <c r="C130" s="26"/>
      <c r="D130" s="24" t="s">
        <v>386</v>
      </c>
      <c r="E130" s="28">
        <v>0.22860</v>
      </c>
      <c r="F130" s="29">
        <f ca="1">ROUND((G127+G128+G129),3)</f>
        <v>0</v>
      </c>
      <c r="G130" s="27">
        <f ca="1">ROUND(E130*F130,2)</f>
        <v>0</v>
      </c>
    </row>
    <row r="131" spans="1:7" ht="15.12" thickBot="1" customHeight="1">
      <c r="A131" s="24" t="s">
        <v>387</v>
      </c>
      <c r="B131" s="24"/>
      <c r="C131" s="24" t="s">
        <v>388</v>
      </c>
      <c r="D131" s="25" t="s">
        <v>389</v>
      </c>
      <c r="E131" s="28">
        <v>3.00000</v>
      </c>
      <c r="F131" s="29">
        <f ca="1">ROUND(10.010,3)</f>
        <v>0</v>
      </c>
      <c r="G131" s="27">
        <f ca="1">ROUND((E131*F131)/100,2)</f>
        <v>0</v>
      </c>
    </row>
    <row r="132" spans="1:7" ht="25.08" thickBot="1" customHeight="1">
      <c r="A132" s="30"/>
      <c r="B132" s="30"/>
      <c r="C132" s="30"/>
      <c r="D132" s="31" t="s">
        <v>390</v>
      </c>
      <c r="E132" s="30"/>
      <c r="F132" s="33">
        <f ca="1">ROUND((G126+G131)*(1+G2/100),2)</f>
        <v>0</v>
      </c>
      <c r="G132" s="30"/>
    </row>
    <row r="133" spans="1:7" ht="34.68" thickBot="1" customHeight="1">
      <c r="A133" s="34" t="s">
        <v>391</v>
      </c>
      <c r="B133" s="35" t="s">
        <v>392</v>
      </c>
      <c r="C133" s="35" t="s">
        <v>393</v>
      </c>
      <c r="D133" s="36" t="s">
        <v>394</v>
      </c>
      <c r="E133" s="37"/>
      <c r="F133" s="38">
        <f ca="1">F141</f>
        <v>0</v>
      </c>
      <c r="G133" s="37"/>
    </row>
    <row r="134" spans="1:7" ht="12.12" thickBot="1" customHeight="1">
      <c r="A134" s="26"/>
      <c r="B134" s="26"/>
      <c r="C134" s="26"/>
      <c r="D134" s="25" t="s">
        <v>395</v>
      </c>
      <c r="E134" s="25"/>
      <c r="F134" s="25"/>
      <c r="G134" s="25"/>
    </row>
    <row r="135" spans="1:7" ht="21.36" thickBot="1" customHeight="1">
      <c r="A135" s="24" t="s">
        <v>396</v>
      </c>
      <c r="B135" s="24" t="s">
        <v>397</v>
      </c>
      <c r="C135" s="24" t="s">
        <v>398</v>
      </c>
      <c r="D135" s="25" t="s">
        <v>399</v>
      </c>
      <c r="E135" s="28">
        <v>0.38100</v>
      </c>
      <c r="F135" s="29">
        <f ca="1">F139</f>
        <v>0</v>
      </c>
      <c r="G135" s="27">
        <f ca="1">ROUND(E135*F135,2)</f>
        <v>0</v>
      </c>
    </row>
    <row r="136" spans="1:7" ht="24.36" thickBot="1" customHeight="1">
      <c r="A136" s="24" t="s">
        <v>400</v>
      </c>
      <c r="B136" s="24" t="s">
        <v>401</v>
      </c>
      <c r="C136" s="24" t="s">
        <v>402</v>
      </c>
      <c r="D136" s="25" t="s">
        <v>403</v>
      </c>
      <c r="E136" s="28">
        <v>1.00000</v>
      </c>
      <c r="F136" s="29">
        <f ca="1">ROUND(21.000,3)</f>
        <v>0</v>
      </c>
      <c r="G136" s="27">
        <f ca="1">ROUND(E136*F136,2)</f>
        <v>0</v>
      </c>
    </row>
    <row r="137" spans="1:7" ht="24.36" thickBot="1" customHeight="1">
      <c r="A137" s="24" t="s">
        <v>404</v>
      </c>
      <c r="B137" s="24" t="s">
        <v>405</v>
      </c>
      <c r="C137" s="24" t="s">
        <v>406</v>
      </c>
      <c r="D137" s="25" t="s">
        <v>407</v>
      </c>
      <c r="E137" s="28">
        <v>1.00000</v>
      </c>
      <c r="F137" s="29">
        <f ca="1">ROUND(19.000,3)</f>
        <v>0</v>
      </c>
      <c r="G137" s="27">
        <f ca="1">ROUND(E137*F137,2)</f>
        <v>0</v>
      </c>
    </row>
    <row r="138" spans="1:7" ht="24.36" thickBot="1" customHeight="1">
      <c r="A138" s="24" t="s">
        <v>408</v>
      </c>
      <c r="B138" s="24" t="s">
        <v>409</v>
      </c>
      <c r="C138" s="24" t="s">
        <v>410</v>
      </c>
      <c r="D138" s="25" t="s">
        <v>411</v>
      </c>
      <c r="E138" s="28">
        <v>0.20000</v>
      </c>
      <c r="F138" s="29">
        <f ca="1">ROUND(19.000,3)</f>
        <v>0</v>
      </c>
      <c r="G138" s="27">
        <f ca="1">ROUND(E138*F138,2)</f>
        <v>0</v>
      </c>
    </row>
    <row r="139" spans="1:7" ht="15.12" thickBot="1" customHeight="1">
      <c r="A139" s="26"/>
      <c r="B139" s="26"/>
      <c r="C139" s="26"/>
      <c r="D139" s="24" t="s">
        <v>412</v>
      </c>
      <c r="E139" s="28">
        <v>0.38100</v>
      </c>
      <c r="F139" s="29">
        <f ca="1">ROUND((G136+G137+G138),3)</f>
        <v>0</v>
      </c>
      <c r="G139" s="27">
        <f ca="1">ROUND(E139*F139,2)</f>
        <v>0</v>
      </c>
    </row>
    <row r="140" spans="1:7" ht="15.12" thickBot="1" customHeight="1">
      <c r="A140" s="24" t="s">
        <v>413</v>
      </c>
      <c r="B140" s="24"/>
      <c r="C140" s="24" t="s">
        <v>414</v>
      </c>
      <c r="D140" s="25" t="s">
        <v>415</v>
      </c>
      <c r="E140" s="28">
        <v>3.00000</v>
      </c>
      <c r="F140" s="29">
        <f ca="1">ROUND(16.690,3)</f>
        <v>0</v>
      </c>
      <c r="G140" s="27">
        <f ca="1">ROUND((E140*F140)/100,2)</f>
        <v>0</v>
      </c>
    </row>
    <row r="141" spans="1:7" ht="25.08" thickBot="1" customHeight="1">
      <c r="A141" s="30"/>
      <c r="B141" s="30"/>
      <c r="C141" s="30"/>
      <c r="D141" s="31" t="s">
        <v>416</v>
      </c>
      <c r="E141" s="30"/>
      <c r="F141" s="33">
        <f ca="1">ROUND((G135+G140)*(1+G2/100),2)</f>
        <v>0</v>
      </c>
      <c r="G141" s="30"/>
    </row>
    <row r="142" spans="1:7" ht="39.84" thickBot="1" customHeight="1">
      <c r="A142" s="34" t="s">
        <v>417</v>
      </c>
      <c r="B142" s="35" t="s">
        <v>418</v>
      </c>
      <c r="C142" s="35" t="s">
        <v>419</v>
      </c>
      <c r="D142" s="36" t="s">
        <v>420</v>
      </c>
      <c r="E142" s="37"/>
      <c r="F142" s="38">
        <f ca="1">F151</f>
        <v>0</v>
      </c>
      <c r="G142" s="37"/>
    </row>
    <row r="143" spans="1:7" ht="21.36" thickBot="1" customHeight="1">
      <c r="A143" s="26"/>
      <c r="B143" s="26"/>
      <c r="C143" s="26"/>
      <c r="D143" s="25" t="s">
        <v>421</v>
      </c>
      <c r="E143" s="25"/>
      <c r="F143" s="25"/>
      <c r="G143" s="25"/>
    </row>
    <row r="144" spans="1:7" ht="39.84" thickBot="1" customHeight="1">
      <c r="A144" s="24" t="s">
        <v>422</v>
      </c>
      <c r="B144" s="24" t="s">
        <v>423</v>
      </c>
      <c r="C144" s="24" t="s">
        <v>424</v>
      </c>
      <c r="D144" s="25" t="s">
        <v>425</v>
      </c>
      <c r="E144" s="28">
        <v>0.02100</v>
      </c>
      <c r="F144" s="29">
        <f ca="1">ROUND(9.130,3)</f>
        <v>0</v>
      </c>
      <c r="G144" s="27">
        <f ca="1">ROUND(E144*F144,2)</f>
        <v>0</v>
      </c>
    </row>
    <row r="145" spans="1:7" ht="21.36" thickBot="1" customHeight="1">
      <c r="A145" s="24" t="s">
        <v>426</v>
      </c>
      <c r="B145" s="24" t="s">
        <v>427</v>
      </c>
      <c r="C145" s="24" t="s">
        <v>428</v>
      </c>
      <c r="D145" s="25" t="s">
        <v>429</v>
      </c>
      <c r="E145" s="28">
        <v>0.24000</v>
      </c>
      <c r="F145" s="29">
        <f ca="1">F149</f>
        <v>0</v>
      </c>
      <c r="G145" s="27">
        <f ca="1">ROUND(E145*F145,2)</f>
        <v>0</v>
      </c>
    </row>
    <row r="146" spans="1:7" ht="24.36" thickBot="1" customHeight="1">
      <c r="A146" s="24" t="s">
        <v>430</v>
      </c>
      <c r="B146" s="24" t="s">
        <v>431</v>
      </c>
      <c r="C146" s="24" t="s">
        <v>432</v>
      </c>
      <c r="D146" s="25" t="s">
        <v>433</v>
      </c>
      <c r="E146" s="28">
        <v>1.00000</v>
      </c>
      <c r="F146" s="29">
        <f ca="1">ROUND(21.000,3)</f>
        <v>0</v>
      </c>
      <c r="G146" s="27">
        <f ca="1">ROUND(E146*F146,2)</f>
        <v>0</v>
      </c>
    </row>
    <row r="147" spans="1:7" ht="24.36" thickBot="1" customHeight="1">
      <c r="A147" s="24" t="s">
        <v>434</v>
      </c>
      <c r="B147" s="24" t="s">
        <v>435</v>
      </c>
      <c r="C147" s="24" t="s">
        <v>436</v>
      </c>
      <c r="D147" s="25" t="s">
        <v>437</v>
      </c>
      <c r="E147" s="28">
        <v>1.00000</v>
      </c>
      <c r="F147" s="29">
        <f ca="1">ROUND(19.000,3)</f>
        <v>0</v>
      </c>
      <c r="G147" s="27">
        <f ca="1">ROUND(E147*F147,2)</f>
        <v>0</v>
      </c>
    </row>
    <row r="148" spans="1:7" ht="24.36" thickBot="1" customHeight="1">
      <c r="A148" s="24" t="s">
        <v>438</v>
      </c>
      <c r="B148" s="24" t="s">
        <v>439</v>
      </c>
      <c r="C148" s="24" t="s">
        <v>440</v>
      </c>
      <c r="D148" s="25" t="s">
        <v>441</v>
      </c>
      <c r="E148" s="28">
        <v>0.20000</v>
      </c>
      <c r="F148" s="29">
        <f ca="1">ROUND(19.000,3)</f>
        <v>0</v>
      </c>
      <c r="G148" s="27">
        <f ca="1">ROUND(E148*F148,2)</f>
        <v>0</v>
      </c>
    </row>
    <row r="149" spans="1:7" ht="15.12" thickBot="1" customHeight="1">
      <c r="A149" s="26"/>
      <c r="B149" s="26"/>
      <c r="C149" s="26"/>
      <c r="D149" s="24" t="s">
        <v>442</v>
      </c>
      <c r="E149" s="28">
        <v>0.24000</v>
      </c>
      <c r="F149" s="29">
        <f ca="1">ROUND((G146+G147+G148),3)</f>
        <v>0</v>
      </c>
      <c r="G149" s="27">
        <f ca="1">ROUND(E149*F149,2)</f>
        <v>0</v>
      </c>
    </row>
    <row r="150" spans="1:7" ht="15.12" thickBot="1" customHeight="1">
      <c r="A150" s="24" t="s">
        <v>443</v>
      </c>
      <c r="B150" s="24"/>
      <c r="C150" s="24" t="s">
        <v>444</v>
      </c>
      <c r="D150" s="25" t="s">
        <v>445</v>
      </c>
      <c r="E150" s="28">
        <v>3.00000</v>
      </c>
      <c r="F150" s="29">
        <f ca="1">ROUND(10.510,3)</f>
        <v>0</v>
      </c>
      <c r="G150" s="27">
        <f ca="1">ROUND((E150*F150)/100,2)</f>
        <v>0</v>
      </c>
    </row>
    <row r="151" spans="1:7" ht="25.08" thickBot="1" customHeight="1">
      <c r="A151" s="30"/>
      <c r="B151" s="30"/>
      <c r="C151" s="30"/>
      <c r="D151" s="31" t="s">
        <v>446</v>
      </c>
      <c r="E151" s="30"/>
      <c r="F151" s="33">
        <f ca="1">ROUND((G144+G145+G150)*(1+G2/100),2)</f>
        <v>0</v>
      </c>
      <c r="G151" s="30"/>
    </row>
    <row r="152" spans="1:7" ht="39.84" thickBot="1" customHeight="1">
      <c r="A152" s="34" t="s">
        <v>447</v>
      </c>
      <c r="B152" s="35" t="s">
        <v>448</v>
      </c>
      <c r="C152" s="35" t="s">
        <v>449</v>
      </c>
      <c r="D152" s="36" t="s">
        <v>450</v>
      </c>
      <c r="E152" s="37"/>
      <c r="F152" s="38">
        <f ca="1">F161</f>
        <v>0</v>
      </c>
      <c r="G152" s="37"/>
    </row>
    <row r="153" spans="1:7" ht="21.36" thickBot="1" customHeight="1">
      <c r="A153" s="26"/>
      <c r="B153" s="26"/>
      <c r="C153" s="26"/>
      <c r="D153" s="25" t="s">
        <v>451</v>
      </c>
      <c r="E153" s="25"/>
      <c r="F153" s="25"/>
      <c r="G153" s="25"/>
    </row>
    <row r="154" spans="1:7" ht="39.84" thickBot="1" customHeight="1">
      <c r="A154" s="24" t="s">
        <v>452</v>
      </c>
      <c r="B154" s="24" t="s">
        <v>453</v>
      </c>
      <c r="C154" s="24" t="s">
        <v>454</v>
      </c>
      <c r="D154" s="25" t="s">
        <v>455</v>
      </c>
      <c r="E154" s="28">
        <v>0.02100</v>
      </c>
      <c r="F154" s="29">
        <f ca="1">ROUND(9.130,3)</f>
        <v>0</v>
      </c>
      <c r="G154" s="27">
        <f ca="1">ROUND(E154*F154,2)</f>
        <v>0</v>
      </c>
    </row>
    <row r="155" spans="1:7" ht="21.36" thickBot="1" customHeight="1">
      <c r="A155" s="24" t="s">
        <v>456</v>
      </c>
      <c r="B155" s="24" t="s">
        <v>457</v>
      </c>
      <c r="C155" s="24" t="s">
        <v>458</v>
      </c>
      <c r="D155" s="25" t="s">
        <v>459</v>
      </c>
      <c r="E155" s="28">
        <v>0.40000</v>
      </c>
      <c r="F155" s="29">
        <f ca="1">F159</f>
        <v>0</v>
      </c>
      <c r="G155" s="27">
        <f ca="1">ROUND(E155*F155,2)</f>
        <v>0</v>
      </c>
    </row>
    <row r="156" spans="1:7" ht="24.36" thickBot="1" customHeight="1">
      <c r="A156" s="24" t="s">
        <v>460</v>
      </c>
      <c r="B156" s="24" t="s">
        <v>461</v>
      </c>
      <c r="C156" s="24" t="s">
        <v>462</v>
      </c>
      <c r="D156" s="25" t="s">
        <v>463</v>
      </c>
      <c r="E156" s="28">
        <v>1.00000</v>
      </c>
      <c r="F156" s="29">
        <f ca="1">ROUND(21.000,3)</f>
        <v>0</v>
      </c>
      <c r="G156" s="27">
        <f ca="1">ROUND(E156*F156,2)</f>
        <v>0</v>
      </c>
    </row>
    <row r="157" spans="1:7" ht="24.36" thickBot="1" customHeight="1">
      <c r="A157" s="24" t="s">
        <v>464</v>
      </c>
      <c r="B157" s="24" t="s">
        <v>465</v>
      </c>
      <c r="C157" s="24" t="s">
        <v>466</v>
      </c>
      <c r="D157" s="25" t="s">
        <v>467</v>
      </c>
      <c r="E157" s="28">
        <v>1.00000</v>
      </c>
      <c r="F157" s="29">
        <f ca="1">ROUND(19.000,3)</f>
        <v>0</v>
      </c>
      <c r="G157" s="27">
        <f ca="1">ROUND(E157*F157,2)</f>
        <v>0</v>
      </c>
    </row>
    <row r="158" spans="1:7" ht="24.36" thickBot="1" customHeight="1">
      <c r="A158" s="24" t="s">
        <v>468</v>
      </c>
      <c r="B158" s="24" t="s">
        <v>469</v>
      </c>
      <c r="C158" s="24" t="s">
        <v>470</v>
      </c>
      <c r="D158" s="25" t="s">
        <v>471</v>
      </c>
      <c r="E158" s="28">
        <v>0.20000</v>
      </c>
      <c r="F158" s="29">
        <f ca="1">ROUND(19.000,3)</f>
        <v>0</v>
      </c>
      <c r="G158" s="27">
        <f ca="1">ROUND(E158*F158,2)</f>
        <v>0</v>
      </c>
    </row>
    <row r="159" spans="1:7" ht="15.12" thickBot="1" customHeight="1">
      <c r="A159" s="26"/>
      <c r="B159" s="26"/>
      <c r="C159" s="26"/>
      <c r="D159" s="24" t="s">
        <v>472</v>
      </c>
      <c r="E159" s="28">
        <v>0.40000</v>
      </c>
      <c r="F159" s="29">
        <f ca="1">ROUND((G156+G157+G158),3)</f>
        <v>0</v>
      </c>
      <c r="G159" s="27">
        <f ca="1">ROUND(E159*F159,2)</f>
        <v>0</v>
      </c>
    </row>
    <row r="160" spans="1:7" ht="15.12" thickBot="1" customHeight="1">
      <c r="A160" s="24" t="s">
        <v>473</v>
      </c>
      <c r="B160" s="24"/>
      <c r="C160" s="24" t="s">
        <v>474</v>
      </c>
      <c r="D160" s="25" t="s">
        <v>475</v>
      </c>
      <c r="E160" s="28">
        <v>3.00000</v>
      </c>
      <c r="F160" s="29">
        <f ca="1">ROUND(17.520,3)</f>
        <v>0</v>
      </c>
      <c r="G160" s="27">
        <f ca="1">ROUND((E160*F160)/100,2)</f>
        <v>0</v>
      </c>
    </row>
    <row r="161" spans="1:7" ht="25.08" thickBot="1" customHeight="1">
      <c r="A161" s="30"/>
      <c r="B161" s="30"/>
      <c r="C161" s="30"/>
      <c r="D161" s="31" t="s">
        <v>476</v>
      </c>
      <c r="E161" s="30"/>
      <c r="F161" s="33">
        <f ca="1">ROUND((G154+G155+G160)*(1+G2/100),2)</f>
        <v>0</v>
      </c>
      <c r="G161" s="30"/>
    </row>
    <row r="162" spans="1:7" ht="39.84" thickBot="1" customHeight="1">
      <c r="A162" s="34" t="s">
        <v>477</v>
      </c>
      <c r="B162" s="35" t="s">
        <v>478</v>
      </c>
      <c r="C162" s="35" t="s">
        <v>479</v>
      </c>
      <c r="D162" s="36" t="s">
        <v>480</v>
      </c>
      <c r="E162" s="37"/>
      <c r="F162" s="38">
        <f ca="1">F171</f>
        <v>0</v>
      </c>
      <c r="G162" s="37"/>
    </row>
    <row r="163" spans="1:7" ht="21.36" thickBot="1" customHeight="1">
      <c r="A163" s="26"/>
      <c r="B163" s="26"/>
      <c r="C163" s="26"/>
      <c r="D163" s="25" t="s">
        <v>481</v>
      </c>
      <c r="E163" s="25"/>
      <c r="F163" s="25"/>
      <c r="G163" s="25"/>
    </row>
    <row r="164" spans="1:7" ht="30.60" thickBot="1" customHeight="1">
      <c r="A164" s="24" t="s">
        <v>482</v>
      </c>
      <c r="B164" s="24" t="s">
        <v>483</v>
      </c>
      <c r="C164" s="24" t="s">
        <v>484</v>
      </c>
      <c r="D164" s="25" t="s">
        <v>485</v>
      </c>
      <c r="E164" s="28">
        <v>0.06600</v>
      </c>
      <c r="F164" s="29">
        <f ca="1">ROUND(2.560,3)</f>
        <v>0</v>
      </c>
      <c r="G164" s="27">
        <f ca="1">ROUND(E164*F164,2)</f>
        <v>0</v>
      </c>
    </row>
    <row r="165" spans="1:7" ht="21.36" thickBot="1" customHeight="1">
      <c r="A165" s="24" t="s">
        <v>486</v>
      </c>
      <c r="B165" s="24" t="s">
        <v>487</v>
      </c>
      <c r="C165" s="24" t="s">
        <v>488</v>
      </c>
      <c r="D165" s="25" t="s">
        <v>489</v>
      </c>
      <c r="E165" s="28">
        <v>0.24000</v>
      </c>
      <c r="F165" s="29">
        <f ca="1">F169</f>
        <v>0</v>
      </c>
      <c r="G165" s="27">
        <f ca="1">ROUND(E165*F165,2)</f>
        <v>0</v>
      </c>
    </row>
    <row r="166" spans="1:7" ht="24.36" thickBot="1" customHeight="1">
      <c r="A166" s="24" t="s">
        <v>490</v>
      </c>
      <c r="B166" s="24" t="s">
        <v>491</v>
      </c>
      <c r="C166" s="24" t="s">
        <v>492</v>
      </c>
      <c r="D166" s="25" t="s">
        <v>493</v>
      </c>
      <c r="E166" s="28">
        <v>1.00000</v>
      </c>
      <c r="F166" s="29">
        <f ca="1">ROUND(21.000,3)</f>
        <v>0</v>
      </c>
      <c r="G166" s="27">
        <f ca="1">ROUND(E166*F166,2)</f>
        <v>0</v>
      </c>
    </row>
    <row r="167" spans="1:7" ht="24.36" thickBot="1" customHeight="1">
      <c r="A167" s="24" t="s">
        <v>494</v>
      </c>
      <c r="B167" s="24" t="s">
        <v>495</v>
      </c>
      <c r="C167" s="24" t="s">
        <v>496</v>
      </c>
      <c r="D167" s="25" t="s">
        <v>497</v>
      </c>
      <c r="E167" s="28">
        <v>1.00000</v>
      </c>
      <c r="F167" s="29">
        <f ca="1">ROUND(19.000,3)</f>
        <v>0</v>
      </c>
      <c r="G167" s="27">
        <f ca="1">ROUND(E167*F167,2)</f>
        <v>0</v>
      </c>
    </row>
    <row r="168" spans="1:7" ht="24.36" thickBot="1" customHeight="1">
      <c r="A168" s="24" t="s">
        <v>498</v>
      </c>
      <c r="B168" s="24" t="s">
        <v>499</v>
      </c>
      <c r="C168" s="24" t="s">
        <v>500</v>
      </c>
      <c r="D168" s="25" t="s">
        <v>501</v>
      </c>
      <c r="E168" s="28">
        <v>0.20000</v>
      </c>
      <c r="F168" s="29">
        <f ca="1">ROUND(19.000,3)</f>
        <v>0</v>
      </c>
      <c r="G168" s="27">
        <f ca="1">ROUND(E168*F168,2)</f>
        <v>0</v>
      </c>
    </row>
    <row r="169" spans="1:7" ht="15.12" thickBot="1" customHeight="1">
      <c r="A169" s="26"/>
      <c r="B169" s="26"/>
      <c r="C169" s="26"/>
      <c r="D169" s="24" t="s">
        <v>502</v>
      </c>
      <c r="E169" s="28">
        <v>0.24000</v>
      </c>
      <c r="F169" s="29">
        <f ca="1">ROUND((G166+G167+G168),3)</f>
        <v>0</v>
      </c>
      <c r="G169" s="27">
        <f ca="1">ROUND(E169*F169,2)</f>
        <v>0</v>
      </c>
    </row>
    <row r="170" spans="1:7" ht="15.12" thickBot="1" customHeight="1">
      <c r="A170" s="24" t="s">
        <v>503</v>
      </c>
      <c r="B170" s="24"/>
      <c r="C170" s="24" t="s">
        <v>504</v>
      </c>
      <c r="D170" s="25" t="s">
        <v>505</v>
      </c>
      <c r="E170" s="28">
        <v>3.00000</v>
      </c>
      <c r="F170" s="29">
        <f ca="1">ROUND(10.510,3)</f>
        <v>0</v>
      </c>
      <c r="G170" s="27">
        <f ca="1">ROUND((E170*F170)/100,2)</f>
        <v>0</v>
      </c>
    </row>
    <row r="171" spans="1:7" ht="25.08" thickBot="1" customHeight="1">
      <c r="A171" s="30"/>
      <c r="B171" s="30"/>
      <c r="C171" s="30"/>
      <c r="D171" s="31" t="s">
        <v>506</v>
      </c>
      <c r="E171" s="30"/>
      <c r="F171" s="33">
        <f ca="1">ROUND((G164+G165+G170)*(1+G2/100),2)</f>
        <v>0</v>
      </c>
      <c r="G171" s="30"/>
    </row>
    <row r="172" spans="1:7" ht="39.84" thickBot="1" customHeight="1">
      <c r="A172" s="34" t="s">
        <v>507</v>
      </c>
      <c r="B172" s="35" t="s">
        <v>508</v>
      </c>
      <c r="C172" s="35" t="s">
        <v>509</v>
      </c>
      <c r="D172" s="36" t="s">
        <v>510</v>
      </c>
      <c r="E172" s="37"/>
      <c r="F172" s="38">
        <f ca="1">F181</f>
        <v>0</v>
      </c>
      <c r="G172" s="37"/>
    </row>
    <row r="173" spans="1:7" ht="21.36" thickBot="1" customHeight="1">
      <c r="A173" s="26"/>
      <c r="B173" s="26"/>
      <c r="C173" s="26"/>
      <c r="D173" s="25" t="s">
        <v>511</v>
      </c>
      <c r="E173" s="25"/>
      <c r="F173" s="25"/>
      <c r="G173" s="25"/>
    </row>
    <row r="174" spans="1:7" ht="30.60" thickBot="1" customHeight="1">
      <c r="A174" s="24" t="s">
        <v>512</v>
      </c>
      <c r="B174" s="24" t="s">
        <v>513</v>
      </c>
      <c r="C174" s="24" t="s">
        <v>514</v>
      </c>
      <c r="D174" s="25" t="s">
        <v>515</v>
      </c>
      <c r="E174" s="28">
        <v>0.06600</v>
      </c>
      <c r="F174" s="29">
        <f ca="1">ROUND(2.560,3)</f>
        <v>0</v>
      </c>
      <c r="G174" s="27">
        <f ca="1">ROUND(E174*F174,2)</f>
        <v>0</v>
      </c>
    </row>
    <row r="175" spans="1:7" ht="21.36" thickBot="1" customHeight="1">
      <c r="A175" s="24" t="s">
        <v>516</v>
      </c>
      <c r="B175" s="24" t="s">
        <v>517</v>
      </c>
      <c r="C175" s="24" t="s">
        <v>518</v>
      </c>
      <c r="D175" s="25" t="s">
        <v>519</v>
      </c>
      <c r="E175" s="28">
        <v>0.40000</v>
      </c>
      <c r="F175" s="29">
        <f ca="1">F179</f>
        <v>0</v>
      </c>
      <c r="G175" s="27">
        <f ca="1">ROUND(E175*F175,2)</f>
        <v>0</v>
      </c>
    </row>
    <row r="176" spans="1:7" ht="24.36" thickBot="1" customHeight="1">
      <c r="A176" s="24" t="s">
        <v>520</v>
      </c>
      <c r="B176" s="24" t="s">
        <v>521</v>
      </c>
      <c r="C176" s="24" t="s">
        <v>522</v>
      </c>
      <c r="D176" s="25" t="s">
        <v>523</v>
      </c>
      <c r="E176" s="28">
        <v>1.00000</v>
      </c>
      <c r="F176" s="29">
        <f ca="1">ROUND(21.000,3)</f>
        <v>0</v>
      </c>
      <c r="G176" s="27">
        <f ca="1">ROUND(E176*F176,2)</f>
        <v>0</v>
      </c>
    </row>
    <row r="177" spans="1:7" ht="24.36" thickBot="1" customHeight="1">
      <c r="A177" s="24" t="s">
        <v>524</v>
      </c>
      <c r="B177" s="24" t="s">
        <v>525</v>
      </c>
      <c r="C177" s="24" t="s">
        <v>526</v>
      </c>
      <c r="D177" s="25" t="s">
        <v>527</v>
      </c>
      <c r="E177" s="28">
        <v>1.00000</v>
      </c>
      <c r="F177" s="29">
        <f ca="1">ROUND(19.000,3)</f>
        <v>0</v>
      </c>
      <c r="G177" s="27">
        <f ca="1">ROUND(E177*F177,2)</f>
        <v>0</v>
      </c>
    </row>
    <row r="178" spans="1:7" ht="24.36" thickBot="1" customHeight="1">
      <c r="A178" s="24" t="s">
        <v>528</v>
      </c>
      <c r="B178" s="24" t="s">
        <v>529</v>
      </c>
      <c r="C178" s="24" t="s">
        <v>530</v>
      </c>
      <c r="D178" s="25" t="s">
        <v>531</v>
      </c>
      <c r="E178" s="28">
        <v>0.20000</v>
      </c>
      <c r="F178" s="29">
        <f ca="1">ROUND(19.000,3)</f>
        <v>0</v>
      </c>
      <c r="G178" s="27">
        <f ca="1">ROUND(E178*F178,2)</f>
        <v>0</v>
      </c>
    </row>
    <row r="179" spans="1:7" ht="15.12" thickBot="1" customHeight="1">
      <c r="A179" s="26"/>
      <c r="B179" s="26"/>
      <c r="C179" s="26"/>
      <c r="D179" s="24" t="s">
        <v>532</v>
      </c>
      <c r="E179" s="28">
        <v>0.40000</v>
      </c>
      <c r="F179" s="29">
        <f ca="1">ROUND((G176+G177+G178),3)</f>
        <v>0</v>
      </c>
      <c r="G179" s="27">
        <f ca="1">ROUND(E179*F179,2)</f>
        <v>0</v>
      </c>
    </row>
    <row r="180" spans="1:7" ht="15.12" thickBot="1" customHeight="1">
      <c r="A180" s="24" t="s">
        <v>533</v>
      </c>
      <c r="B180" s="24"/>
      <c r="C180" s="24" t="s">
        <v>534</v>
      </c>
      <c r="D180" s="25" t="s">
        <v>535</v>
      </c>
      <c r="E180" s="28">
        <v>3.00000</v>
      </c>
      <c r="F180" s="29">
        <f ca="1">ROUND(17.520,3)</f>
        <v>0</v>
      </c>
      <c r="G180" s="27">
        <f ca="1">ROUND((E180*F180)/100,2)</f>
        <v>0</v>
      </c>
    </row>
    <row r="181" spans="1:7" ht="25.08" thickBot="1" customHeight="1">
      <c r="A181" s="30"/>
      <c r="B181" s="30"/>
      <c r="C181" s="30"/>
      <c r="D181" s="31" t="s">
        <v>536</v>
      </c>
      <c r="E181" s="30"/>
      <c r="F181" s="33">
        <f ca="1">ROUND((G174+G175+G180)*(1+G2/100),2)</f>
        <v>0</v>
      </c>
      <c r="G181" s="30"/>
    </row>
    <row r="182" spans="1:7" ht="30.60" thickBot="1" customHeight="1">
      <c r="A182" s="34" t="s">
        <v>537</v>
      </c>
      <c r="B182" s="35" t="s">
        <v>538</v>
      </c>
      <c r="C182" s="35" t="s">
        <v>539</v>
      </c>
      <c r="D182" s="36" t="s">
        <v>540</v>
      </c>
      <c r="E182" s="37"/>
      <c r="F182" s="38">
        <f ca="1">F190</f>
        <v>0</v>
      </c>
      <c r="G182" s="37"/>
    </row>
    <row r="183" spans="1:7" ht="12.12" thickBot="1" customHeight="1">
      <c r="A183" s="26"/>
      <c r="B183" s="26"/>
      <c r="C183" s="26"/>
      <c r="D183" s="25" t="s">
        <v>541</v>
      </c>
      <c r="E183" s="25"/>
      <c r="F183" s="25"/>
      <c r="G183" s="25"/>
    </row>
    <row r="184" spans="1:7" ht="21.36" thickBot="1" customHeight="1">
      <c r="A184" s="24" t="s">
        <v>542</v>
      </c>
      <c r="B184" s="24" t="s">
        <v>543</v>
      </c>
      <c r="C184" s="24" t="s">
        <v>544</v>
      </c>
      <c r="D184" s="25" t="s">
        <v>545</v>
      </c>
      <c r="E184" s="28">
        <v>0.44444</v>
      </c>
      <c r="F184" s="29">
        <f ca="1">F188</f>
        <v>0</v>
      </c>
      <c r="G184" s="27">
        <f ca="1">ROUND(E184*F184,2)</f>
        <v>0</v>
      </c>
    </row>
    <row r="185" spans="1:7" ht="24.36" thickBot="1" customHeight="1">
      <c r="A185" s="24" t="s">
        <v>546</v>
      </c>
      <c r="B185" s="24" t="s">
        <v>547</v>
      </c>
      <c r="C185" s="24" t="s">
        <v>548</v>
      </c>
      <c r="D185" s="25" t="s">
        <v>549</v>
      </c>
      <c r="E185" s="28">
        <v>1.00000</v>
      </c>
      <c r="F185" s="29">
        <f ca="1">ROUND(21.000,3)</f>
        <v>0</v>
      </c>
      <c r="G185" s="27">
        <f ca="1">ROUND(E185*F185,2)</f>
        <v>0</v>
      </c>
    </row>
    <row r="186" spans="1:7" ht="24.36" thickBot="1" customHeight="1">
      <c r="A186" s="24" t="s">
        <v>550</v>
      </c>
      <c r="B186" s="24" t="s">
        <v>551</v>
      </c>
      <c r="C186" s="24" t="s">
        <v>552</v>
      </c>
      <c r="D186" s="25" t="s">
        <v>553</v>
      </c>
      <c r="E186" s="28">
        <v>1.00000</v>
      </c>
      <c r="F186" s="29">
        <f ca="1">ROUND(19.000,3)</f>
        <v>0</v>
      </c>
      <c r="G186" s="27">
        <f ca="1">ROUND(E186*F186,2)</f>
        <v>0</v>
      </c>
    </row>
    <row r="187" spans="1:7" ht="24.36" thickBot="1" customHeight="1">
      <c r="A187" s="24" t="s">
        <v>554</v>
      </c>
      <c r="B187" s="24" t="s">
        <v>555</v>
      </c>
      <c r="C187" s="24" t="s">
        <v>556</v>
      </c>
      <c r="D187" s="25" t="s">
        <v>557</v>
      </c>
      <c r="E187" s="28">
        <v>0.20000</v>
      </c>
      <c r="F187" s="29">
        <f ca="1">ROUND(19.000,3)</f>
        <v>0</v>
      </c>
      <c r="G187" s="27">
        <f ca="1">ROUND(E187*F187,2)</f>
        <v>0</v>
      </c>
    </row>
    <row r="188" spans="1:7" ht="15.12" thickBot="1" customHeight="1">
      <c r="A188" s="26"/>
      <c r="B188" s="26"/>
      <c r="C188" s="26"/>
      <c r="D188" s="24" t="s">
        <v>558</v>
      </c>
      <c r="E188" s="28">
        <v>0.44444</v>
      </c>
      <c r="F188" s="29">
        <f ca="1">ROUND((G185+G186+G187),3)</f>
        <v>0</v>
      </c>
      <c r="G188" s="27">
        <f ca="1">ROUND(E188*F188,2)</f>
        <v>0</v>
      </c>
    </row>
    <row r="189" spans="1:7" ht="15.12" thickBot="1" customHeight="1">
      <c r="A189" s="24" t="s">
        <v>559</v>
      </c>
      <c r="B189" s="24"/>
      <c r="C189" s="24" t="s">
        <v>560</v>
      </c>
      <c r="D189" s="25" t="s">
        <v>561</v>
      </c>
      <c r="E189" s="28">
        <v>3.00000</v>
      </c>
      <c r="F189" s="29">
        <f ca="1">ROUND(19.470,3)</f>
        <v>0</v>
      </c>
      <c r="G189" s="27">
        <f ca="1">ROUND((E189*F189)/100,2)</f>
        <v>0</v>
      </c>
    </row>
    <row r="190" spans="1:7" ht="15.48" thickBot="1" customHeight="1">
      <c r="A190" s="30"/>
      <c r="B190" s="30"/>
      <c r="C190" s="30"/>
      <c r="D190" s="31" t="s">
        <v>562</v>
      </c>
      <c r="E190" s="30"/>
      <c r="F190" s="33">
        <f ca="1">ROUND((G184+G189)*(1+G2/100),2)</f>
        <v>0</v>
      </c>
      <c r="G190" s="30"/>
    </row>
    <row r="191" spans="1:7" ht="30.60" thickBot="1" customHeight="1">
      <c r="A191" s="34" t="s">
        <v>563</v>
      </c>
      <c r="B191" s="35" t="s">
        <v>564</v>
      </c>
      <c r="C191" s="35" t="s">
        <v>565</v>
      </c>
      <c r="D191" s="36" t="s">
        <v>566</v>
      </c>
      <c r="E191" s="37"/>
      <c r="F191" s="38">
        <f ca="1">F199</f>
        <v>0</v>
      </c>
      <c r="G191" s="37"/>
    </row>
    <row r="192" spans="1:7" ht="12.12" thickBot="1" customHeight="1">
      <c r="A192" s="26"/>
      <c r="B192" s="26"/>
      <c r="C192" s="26"/>
      <c r="D192" s="25" t="s">
        <v>567</v>
      </c>
      <c r="E192" s="25"/>
      <c r="F192" s="25"/>
      <c r="G192" s="25"/>
    </row>
    <row r="193" spans="1:7" ht="21.36" thickBot="1" customHeight="1">
      <c r="A193" s="24" t="s">
        <v>568</v>
      </c>
      <c r="B193" s="24" t="s">
        <v>569</v>
      </c>
      <c r="C193" s="24" t="s">
        <v>570</v>
      </c>
      <c r="D193" s="25" t="s">
        <v>571</v>
      </c>
      <c r="E193" s="28">
        <v>0.26667</v>
      </c>
      <c r="F193" s="29">
        <f ca="1">F197</f>
        <v>0</v>
      </c>
      <c r="G193" s="27">
        <f ca="1">ROUND(E193*F193,2)</f>
        <v>0</v>
      </c>
    </row>
    <row r="194" spans="1:7" ht="24.36" thickBot="1" customHeight="1">
      <c r="A194" s="24" t="s">
        <v>572</v>
      </c>
      <c r="B194" s="24" t="s">
        <v>573</v>
      </c>
      <c r="C194" s="24" t="s">
        <v>574</v>
      </c>
      <c r="D194" s="25" t="s">
        <v>575</v>
      </c>
      <c r="E194" s="28">
        <v>1.00000</v>
      </c>
      <c r="F194" s="29">
        <f ca="1">ROUND(21.000,3)</f>
        <v>0</v>
      </c>
      <c r="G194" s="27">
        <f ca="1">ROUND(E194*F194,2)</f>
        <v>0</v>
      </c>
    </row>
    <row r="195" spans="1:7" ht="24.36" thickBot="1" customHeight="1">
      <c r="A195" s="24" t="s">
        <v>576</v>
      </c>
      <c r="B195" s="24" t="s">
        <v>577</v>
      </c>
      <c r="C195" s="24" t="s">
        <v>578</v>
      </c>
      <c r="D195" s="25" t="s">
        <v>579</v>
      </c>
      <c r="E195" s="28">
        <v>1.00000</v>
      </c>
      <c r="F195" s="29">
        <f ca="1">ROUND(19.000,3)</f>
        <v>0</v>
      </c>
      <c r="G195" s="27">
        <f ca="1">ROUND(E195*F195,2)</f>
        <v>0</v>
      </c>
    </row>
    <row r="196" spans="1:7" ht="24.36" thickBot="1" customHeight="1">
      <c r="A196" s="24" t="s">
        <v>580</v>
      </c>
      <c r="B196" s="24" t="s">
        <v>581</v>
      </c>
      <c r="C196" s="24" t="s">
        <v>582</v>
      </c>
      <c r="D196" s="25" t="s">
        <v>583</v>
      </c>
      <c r="E196" s="28">
        <v>0.20000</v>
      </c>
      <c r="F196" s="29">
        <f ca="1">ROUND(19.000,3)</f>
        <v>0</v>
      </c>
      <c r="G196" s="27">
        <f ca="1">ROUND(E196*F196,2)</f>
        <v>0</v>
      </c>
    </row>
    <row r="197" spans="1:7" ht="15.12" thickBot="1" customHeight="1">
      <c r="A197" s="26"/>
      <c r="B197" s="26"/>
      <c r="C197" s="26"/>
      <c r="D197" s="24" t="s">
        <v>584</v>
      </c>
      <c r="E197" s="28">
        <v>0.26667</v>
      </c>
      <c r="F197" s="29">
        <f ca="1">ROUND((G194+G195+G196),3)</f>
        <v>0</v>
      </c>
      <c r="G197" s="27">
        <f ca="1">ROUND(E197*F197,2)</f>
        <v>0</v>
      </c>
    </row>
    <row r="198" spans="1:7" ht="15.12" thickBot="1" customHeight="1">
      <c r="A198" s="24" t="s">
        <v>585</v>
      </c>
      <c r="B198" s="24"/>
      <c r="C198" s="24" t="s">
        <v>586</v>
      </c>
      <c r="D198" s="25" t="s">
        <v>587</v>
      </c>
      <c r="E198" s="28">
        <v>3.00000</v>
      </c>
      <c r="F198" s="29">
        <f ca="1">ROUND(11.680,3)</f>
        <v>0</v>
      </c>
      <c r="G198" s="27">
        <f ca="1">ROUND((E198*F198)/100,2)</f>
        <v>0</v>
      </c>
    </row>
    <row r="199" spans="1:7" ht="15.48" thickBot="1" customHeight="1">
      <c r="A199" s="30"/>
      <c r="B199" s="30"/>
      <c r="C199" s="30"/>
      <c r="D199" s="31" t="s">
        <v>588</v>
      </c>
      <c r="E199" s="30"/>
      <c r="F199" s="33">
        <f ca="1">ROUND((G193+G198)*(1+G2/100),2)</f>
        <v>0</v>
      </c>
      <c r="G199" s="30"/>
    </row>
    <row r="200" spans="1:7" ht="49.08" thickBot="1" customHeight="1">
      <c r="A200" s="34" t="s">
        <v>589</v>
      </c>
      <c r="B200" s="35" t="s">
        <v>590</v>
      </c>
      <c r="C200" s="35" t="s">
        <v>591</v>
      </c>
      <c r="D200" s="36" t="s">
        <v>592</v>
      </c>
      <c r="E200" s="37"/>
      <c r="F200" s="38">
        <f ca="1">F209</f>
        <v>0</v>
      </c>
      <c r="G200" s="37"/>
    </row>
    <row r="201" spans="1:7" ht="21.36" thickBot="1" customHeight="1">
      <c r="A201" s="26"/>
      <c r="B201" s="26"/>
      <c r="C201" s="26"/>
      <c r="D201" s="25" t="s">
        <v>593</v>
      </c>
      <c r="E201" s="25"/>
      <c r="F201" s="25"/>
      <c r="G201" s="25"/>
    </row>
    <row r="202" spans="1:7" ht="39.84" thickBot="1" customHeight="1">
      <c r="A202" s="24" t="s">
        <v>594</v>
      </c>
      <c r="B202" s="24" t="s">
        <v>595</v>
      </c>
      <c r="C202" s="24" t="s">
        <v>596</v>
      </c>
      <c r="D202" s="25" t="s">
        <v>597</v>
      </c>
      <c r="E202" s="28">
        <v>0.02100</v>
      </c>
      <c r="F202" s="29">
        <f ca="1">ROUND(9.130,3)</f>
        <v>0</v>
      </c>
      <c r="G202" s="27">
        <f ca="1">ROUND(E202*F202,2)</f>
        <v>0</v>
      </c>
    </row>
    <row r="203" spans="1:7" ht="21.36" thickBot="1" customHeight="1">
      <c r="A203" s="24" t="s">
        <v>598</v>
      </c>
      <c r="B203" s="24" t="s">
        <v>599</v>
      </c>
      <c r="C203" s="24" t="s">
        <v>600</v>
      </c>
      <c r="D203" s="25" t="s">
        <v>601</v>
      </c>
      <c r="E203" s="28">
        <v>0.28000</v>
      </c>
      <c r="F203" s="29">
        <f ca="1">F207</f>
        <v>0</v>
      </c>
      <c r="G203" s="27">
        <f ca="1">ROUND(E203*F203,2)</f>
        <v>0</v>
      </c>
    </row>
    <row r="204" spans="1:7" ht="24.36" thickBot="1" customHeight="1">
      <c r="A204" s="24" t="s">
        <v>602</v>
      </c>
      <c r="B204" s="24" t="s">
        <v>603</v>
      </c>
      <c r="C204" s="24" t="s">
        <v>604</v>
      </c>
      <c r="D204" s="25" t="s">
        <v>605</v>
      </c>
      <c r="E204" s="28">
        <v>1.00000</v>
      </c>
      <c r="F204" s="29">
        <f ca="1">ROUND(21.000,3)</f>
        <v>0</v>
      </c>
      <c r="G204" s="27">
        <f ca="1">ROUND(E204*F204,2)</f>
        <v>0</v>
      </c>
    </row>
    <row r="205" spans="1:7" ht="24.36" thickBot="1" customHeight="1">
      <c r="A205" s="24" t="s">
        <v>606</v>
      </c>
      <c r="B205" s="24" t="s">
        <v>607</v>
      </c>
      <c r="C205" s="24" t="s">
        <v>608</v>
      </c>
      <c r="D205" s="25" t="s">
        <v>609</v>
      </c>
      <c r="E205" s="28">
        <v>1.00000</v>
      </c>
      <c r="F205" s="29">
        <f ca="1">ROUND(19.000,3)</f>
        <v>0</v>
      </c>
      <c r="G205" s="27">
        <f ca="1">ROUND(E205*F205,2)</f>
        <v>0</v>
      </c>
    </row>
    <row r="206" spans="1:7" ht="24.36" thickBot="1" customHeight="1">
      <c r="A206" s="24" t="s">
        <v>610</v>
      </c>
      <c r="B206" s="24" t="s">
        <v>611</v>
      </c>
      <c r="C206" s="24" t="s">
        <v>612</v>
      </c>
      <c r="D206" s="25" t="s">
        <v>613</v>
      </c>
      <c r="E206" s="28">
        <v>0.20000</v>
      </c>
      <c r="F206" s="29">
        <f ca="1">ROUND(19.000,3)</f>
        <v>0</v>
      </c>
      <c r="G206" s="27">
        <f ca="1">ROUND(E206*F206,2)</f>
        <v>0</v>
      </c>
    </row>
    <row r="207" spans="1:7" ht="15.12" thickBot="1" customHeight="1">
      <c r="A207" s="26"/>
      <c r="B207" s="26"/>
      <c r="C207" s="26"/>
      <c r="D207" s="24" t="s">
        <v>614</v>
      </c>
      <c r="E207" s="28">
        <v>0.28000</v>
      </c>
      <c r="F207" s="29">
        <f ca="1">ROUND((G204+G205+G206),3)</f>
        <v>0</v>
      </c>
      <c r="G207" s="27">
        <f ca="1">ROUND(E207*F207,2)</f>
        <v>0</v>
      </c>
    </row>
    <row r="208" spans="1:7" ht="15.12" thickBot="1" customHeight="1">
      <c r="A208" s="24" t="s">
        <v>615</v>
      </c>
      <c r="B208" s="24"/>
      <c r="C208" s="24" t="s">
        <v>616</v>
      </c>
      <c r="D208" s="25" t="s">
        <v>617</v>
      </c>
      <c r="E208" s="28">
        <v>3.00000</v>
      </c>
      <c r="F208" s="29">
        <f ca="1">ROUND(12.260,3)</f>
        <v>0</v>
      </c>
      <c r="G208" s="27">
        <f ca="1">ROUND((E208*F208)/100,2)</f>
        <v>0</v>
      </c>
    </row>
    <row r="209" spans="1:7" ht="15.48" thickBot="1" customHeight="1">
      <c r="A209" s="30"/>
      <c r="B209" s="30"/>
      <c r="C209" s="30"/>
      <c r="D209" s="31" t="s">
        <v>618</v>
      </c>
      <c r="E209" s="30"/>
      <c r="F209" s="33">
        <f ca="1">ROUND((G202+G203+G208)*(1+G2/100),2)</f>
        <v>0</v>
      </c>
      <c r="G209" s="30"/>
    </row>
    <row r="210" spans="1:7" ht="49.08" thickBot="1" customHeight="1">
      <c r="A210" s="34" t="s">
        <v>619</v>
      </c>
      <c r="B210" s="35" t="s">
        <v>620</v>
      </c>
      <c r="C210" s="35" t="s">
        <v>621</v>
      </c>
      <c r="D210" s="36" t="s">
        <v>622</v>
      </c>
      <c r="E210" s="37"/>
      <c r="F210" s="38">
        <f ca="1">F219</f>
        <v>0</v>
      </c>
      <c r="G210" s="37"/>
    </row>
    <row r="211" spans="1:7" ht="21.36" thickBot="1" customHeight="1">
      <c r="A211" s="26"/>
      <c r="B211" s="26"/>
      <c r="C211" s="26"/>
      <c r="D211" s="25" t="s">
        <v>623</v>
      </c>
      <c r="E211" s="25"/>
      <c r="F211" s="25"/>
      <c r="G211" s="25"/>
    </row>
    <row r="212" spans="1:7" ht="39.84" thickBot="1" customHeight="1">
      <c r="A212" s="24" t="s">
        <v>624</v>
      </c>
      <c r="B212" s="24" t="s">
        <v>625</v>
      </c>
      <c r="C212" s="24" t="s">
        <v>626</v>
      </c>
      <c r="D212" s="25" t="s">
        <v>627</v>
      </c>
      <c r="E212" s="28">
        <v>0.02100</v>
      </c>
      <c r="F212" s="29">
        <f ca="1">ROUND(9.130,3)</f>
        <v>0</v>
      </c>
      <c r="G212" s="27">
        <f ca="1">ROUND(E212*F212,2)</f>
        <v>0</v>
      </c>
    </row>
    <row r="213" spans="1:7" ht="21.36" thickBot="1" customHeight="1">
      <c r="A213" s="24" t="s">
        <v>628</v>
      </c>
      <c r="B213" s="24" t="s">
        <v>629</v>
      </c>
      <c r="C213" s="24" t="s">
        <v>630</v>
      </c>
      <c r="D213" s="25" t="s">
        <v>631</v>
      </c>
      <c r="E213" s="28">
        <v>0.47000</v>
      </c>
      <c r="F213" s="29">
        <f ca="1">F217</f>
        <v>0</v>
      </c>
      <c r="G213" s="27">
        <f ca="1">ROUND(E213*F213,2)</f>
        <v>0</v>
      </c>
    </row>
    <row r="214" spans="1:7" ht="24.36" thickBot="1" customHeight="1">
      <c r="A214" s="24" t="s">
        <v>632</v>
      </c>
      <c r="B214" s="24" t="s">
        <v>633</v>
      </c>
      <c r="C214" s="24" t="s">
        <v>634</v>
      </c>
      <c r="D214" s="25" t="s">
        <v>635</v>
      </c>
      <c r="E214" s="28">
        <v>1.00000</v>
      </c>
      <c r="F214" s="29">
        <f ca="1">ROUND(21.000,3)</f>
        <v>0</v>
      </c>
      <c r="G214" s="27">
        <f ca="1">ROUND(E214*F214,2)</f>
        <v>0</v>
      </c>
    </row>
    <row r="215" spans="1:7" ht="24.36" thickBot="1" customHeight="1">
      <c r="A215" s="24" t="s">
        <v>636</v>
      </c>
      <c r="B215" s="24" t="s">
        <v>637</v>
      </c>
      <c r="C215" s="24" t="s">
        <v>638</v>
      </c>
      <c r="D215" s="25" t="s">
        <v>639</v>
      </c>
      <c r="E215" s="28">
        <v>1.00000</v>
      </c>
      <c r="F215" s="29">
        <f ca="1">ROUND(19.000,3)</f>
        <v>0</v>
      </c>
      <c r="G215" s="27">
        <f ca="1">ROUND(E215*F215,2)</f>
        <v>0</v>
      </c>
    </row>
    <row r="216" spans="1:7" ht="24.36" thickBot="1" customHeight="1">
      <c r="A216" s="24" t="s">
        <v>640</v>
      </c>
      <c r="B216" s="24" t="s">
        <v>641</v>
      </c>
      <c r="C216" s="24" t="s">
        <v>642</v>
      </c>
      <c r="D216" s="25" t="s">
        <v>643</v>
      </c>
      <c r="E216" s="28">
        <v>0.20000</v>
      </c>
      <c r="F216" s="29">
        <f ca="1">ROUND(19.000,3)</f>
        <v>0</v>
      </c>
      <c r="G216" s="27">
        <f ca="1">ROUND(E216*F216,2)</f>
        <v>0</v>
      </c>
    </row>
    <row r="217" spans="1:7" ht="15.12" thickBot="1" customHeight="1">
      <c r="A217" s="26"/>
      <c r="B217" s="26"/>
      <c r="C217" s="26"/>
      <c r="D217" s="24" t="s">
        <v>644</v>
      </c>
      <c r="E217" s="28">
        <v>0.47000</v>
      </c>
      <c r="F217" s="29">
        <f ca="1">ROUND((G214+G215+G216),3)</f>
        <v>0</v>
      </c>
      <c r="G217" s="27">
        <f ca="1">ROUND(E217*F217,2)</f>
        <v>0</v>
      </c>
    </row>
    <row r="218" spans="1:7" ht="15.12" thickBot="1" customHeight="1">
      <c r="A218" s="24" t="s">
        <v>645</v>
      </c>
      <c r="B218" s="24"/>
      <c r="C218" s="24" t="s">
        <v>646</v>
      </c>
      <c r="D218" s="25" t="s">
        <v>647</v>
      </c>
      <c r="E218" s="28">
        <v>3.00000</v>
      </c>
      <c r="F218" s="29">
        <f ca="1">ROUND(20.590,3)</f>
        <v>0</v>
      </c>
      <c r="G218" s="27">
        <f ca="1">ROUND((E218*F218)/100,2)</f>
        <v>0</v>
      </c>
    </row>
    <row r="219" spans="1:7" ht="15.48" thickBot="1" customHeight="1">
      <c r="A219" s="30"/>
      <c r="B219" s="30"/>
      <c r="C219" s="30"/>
      <c r="D219" s="31" t="s">
        <v>648</v>
      </c>
      <c r="E219" s="30"/>
      <c r="F219" s="33">
        <f ca="1">ROUND((G212+G213+G218)*(1+G2/100),2)</f>
        <v>0</v>
      </c>
      <c r="G219" s="30"/>
    </row>
    <row r="220" spans="1:7" ht="39.84" thickBot="1" customHeight="1">
      <c r="A220" s="34" t="s">
        <v>649</v>
      </c>
      <c r="B220" s="35" t="s">
        <v>650</v>
      </c>
      <c r="C220" s="35" t="s">
        <v>651</v>
      </c>
      <c r="D220" s="36" t="s">
        <v>652</v>
      </c>
      <c r="E220" s="37"/>
      <c r="F220" s="38">
        <f ca="1">F229</f>
        <v>0</v>
      </c>
      <c r="G220" s="37"/>
    </row>
    <row r="221" spans="1:7" ht="21.36" thickBot="1" customHeight="1">
      <c r="A221" s="26"/>
      <c r="B221" s="26"/>
      <c r="C221" s="26"/>
      <c r="D221" s="25" t="s">
        <v>653</v>
      </c>
      <c r="E221" s="25"/>
      <c r="F221" s="25"/>
      <c r="G221" s="25"/>
    </row>
    <row r="222" spans="1:7" ht="30.60" thickBot="1" customHeight="1">
      <c r="A222" s="24" t="s">
        <v>654</v>
      </c>
      <c r="B222" s="24" t="s">
        <v>655</v>
      </c>
      <c r="C222" s="24" t="s">
        <v>656</v>
      </c>
      <c r="D222" s="25" t="s">
        <v>657</v>
      </c>
      <c r="E222" s="28">
        <v>0.06600</v>
      </c>
      <c r="F222" s="29">
        <f ca="1">ROUND(2.560,3)</f>
        <v>0</v>
      </c>
      <c r="G222" s="27">
        <f ca="1">ROUND(E222*F222,2)</f>
        <v>0</v>
      </c>
    </row>
    <row r="223" spans="1:7" ht="21.36" thickBot="1" customHeight="1">
      <c r="A223" s="24" t="s">
        <v>658</v>
      </c>
      <c r="B223" s="24" t="s">
        <v>659</v>
      </c>
      <c r="C223" s="24" t="s">
        <v>660</v>
      </c>
      <c r="D223" s="25" t="s">
        <v>661</v>
      </c>
      <c r="E223" s="28">
        <v>0.28000</v>
      </c>
      <c r="F223" s="29">
        <f ca="1">F227</f>
        <v>0</v>
      </c>
      <c r="G223" s="27">
        <f ca="1">ROUND(E223*F223,2)</f>
        <v>0</v>
      </c>
    </row>
    <row r="224" spans="1:7" ht="24.36" thickBot="1" customHeight="1">
      <c r="A224" s="24" t="s">
        <v>662</v>
      </c>
      <c r="B224" s="24" t="s">
        <v>663</v>
      </c>
      <c r="C224" s="24" t="s">
        <v>664</v>
      </c>
      <c r="D224" s="25" t="s">
        <v>665</v>
      </c>
      <c r="E224" s="28">
        <v>1.00000</v>
      </c>
      <c r="F224" s="29">
        <f ca="1">ROUND(21.000,3)</f>
        <v>0</v>
      </c>
      <c r="G224" s="27">
        <f ca="1">ROUND(E224*F224,2)</f>
        <v>0</v>
      </c>
    </row>
    <row r="225" spans="1:7" ht="24.36" thickBot="1" customHeight="1">
      <c r="A225" s="24" t="s">
        <v>666</v>
      </c>
      <c r="B225" s="24" t="s">
        <v>667</v>
      </c>
      <c r="C225" s="24" t="s">
        <v>668</v>
      </c>
      <c r="D225" s="25" t="s">
        <v>669</v>
      </c>
      <c r="E225" s="28">
        <v>1.00000</v>
      </c>
      <c r="F225" s="29">
        <f ca="1">ROUND(19.000,3)</f>
        <v>0</v>
      </c>
      <c r="G225" s="27">
        <f ca="1">ROUND(E225*F225,2)</f>
        <v>0</v>
      </c>
    </row>
    <row r="226" spans="1:7" ht="24.36" thickBot="1" customHeight="1">
      <c r="A226" s="24" t="s">
        <v>670</v>
      </c>
      <c r="B226" s="24" t="s">
        <v>671</v>
      </c>
      <c r="C226" s="24" t="s">
        <v>672</v>
      </c>
      <c r="D226" s="25" t="s">
        <v>673</v>
      </c>
      <c r="E226" s="28">
        <v>0.20000</v>
      </c>
      <c r="F226" s="29">
        <f ca="1">ROUND(19.000,3)</f>
        <v>0</v>
      </c>
      <c r="G226" s="27">
        <f ca="1">ROUND(E226*F226,2)</f>
        <v>0</v>
      </c>
    </row>
    <row r="227" spans="1:7" ht="15.12" thickBot="1" customHeight="1">
      <c r="A227" s="26"/>
      <c r="B227" s="26"/>
      <c r="C227" s="26"/>
      <c r="D227" s="24" t="s">
        <v>674</v>
      </c>
      <c r="E227" s="28">
        <v>0.28000</v>
      </c>
      <c r="F227" s="29">
        <f ca="1">ROUND((G224+G225+G226),3)</f>
        <v>0</v>
      </c>
      <c r="G227" s="27">
        <f ca="1">ROUND(E227*F227,2)</f>
        <v>0</v>
      </c>
    </row>
    <row r="228" spans="1:7" ht="15.12" thickBot="1" customHeight="1">
      <c r="A228" s="24" t="s">
        <v>675</v>
      </c>
      <c r="B228" s="24"/>
      <c r="C228" s="24" t="s">
        <v>676</v>
      </c>
      <c r="D228" s="25" t="s">
        <v>677</v>
      </c>
      <c r="E228" s="28">
        <v>3.00000</v>
      </c>
      <c r="F228" s="29">
        <f ca="1">ROUND(12.260,3)</f>
        <v>0</v>
      </c>
      <c r="G228" s="27">
        <f ca="1">ROUND((E228*F228)/100,2)</f>
        <v>0</v>
      </c>
    </row>
    <row r="229" spans="1:7" ht="15.48" thickBot="1" customHeight="1">
      <c r="A229" s="30"/>
      <c r="B229" s="30"/>
      <c r="C229" s="30"/>
      <c r="D229" s="31" t="s">
        <v>678</v>
      </c>
      <c r="E229" s="30"/>
      <c r="F229" s="33">
        <f ca="1">ROUND((G222+G223+G228)*(1+G2/100),2)</f>
        <v>0</v>
      </c>
      <c r="G229" s="30"/>
    </row>
    <row r="230" spans="1:7" ht="39.84" thickBot="1" customHeight="1">
      <c r="A230" s="34" t="s">
        <v>679</v>
      </c>
      <c r="B230" s="35" t="s">
        <v>680</v>
      </c>
      <c r="C230" s="35" t="s">
        <v>681</v>
      </c>
      <c r="D230" s="36" t="s">
        <v>682</v>
      </c>
      <c r="E230" s="37"/>
      <c r="F230" s="38">
        <f ca="1">F239</f>
        <v>0</v>
      </c>
      <c r="G230" s="37"/>
    </row>
    <row r="231" spans="1:7" ht="21.36" thickBot="1" customHeight="1">
      <c r="A231" s="26"/>
      <c r="B231" s="26"/>
      <c r="C231" s="26"/>
      <c r="D231" s="25" t="s">
        <v>683</v>
      </c>
      <c r="E231" s="25"/>
      <c r="F231" s="25"/>
      <c r="G231" s="25"/>
    </row>
    <row r="232" spans="1:7" ht="30.60" thickBot="1" customHeight="1">
      <c r="A232" s="24" t="s">
        <v>684</v>
      </c>
      <c r="B232" s="24" t="s">
        <v>685</v>
      </c>
      <c r="C232" s="24" t="s">
        <v>686</v>
      </c>
      <c r="D232" s="25" t="s">
        <v>687</v>
      </c>
      <c r="E232" s="28">
        <v>0.06600</v>
      </c>
      <c r="F232" s="29">
        <f ca="1">ROUND(2.560,3)</f>
        <v>0</v>
      </c>
      <c r="G232" s="27">
        <f ca="1">ROUND(E232*F232,2)</f>
        <v>0</v>
      </c>
    </row>
    <row r="233" spans="1:7" ht="21.36" thickBot="1" customHeight="1">
      <c r="A233" s="24" t="s">
        <v>688</v>
      </c>
      <c r="B233" s="24" t="s">
        <v>689</v>
      </c>
      <c r="C233" s="24" t="s">
        <v>690</v>
      </c>
      <c r="D233" s="25" t="s">
        <v>691</v>
      </c>
      <c r="E233" s="28">
        <v>0.47000</v>
      </c>
      <c r="F233" s="29">
        <f ca="1">F237</f>
        <v>0</v>
      </c>
      <c r="G233" s="27">
        <f ca="1">ROUND(E233*F233,2)</f>
        <v>0</v>
      </c>
    </row>
    <row r="234" spans="1:7" ht="24.36" thickBot="1" customHeight="1">
      <c r="A234" s="24" t="s">
        <v>692</v>
      </c>
      <c r="B234" s="24" t="s">
        <v>693</v>
      </c>
      <c r="C234" s="24" t="s">
        <v>694</v>
      </c>
      <c r="D234" s="25" t="s">
        <v>695</v>
      </c>
      <c r="E234" s="28">
        <v>1.00000</v>
      </c>
      <c r="F234" s="29">
        <f ca="1">ROUND(21.000,3)</f>
        <v>0</v>
      </c>
      <c r="G234" s="27">
        <f ca="1">ROUND(E234*F234,2)</f>
        <v>0</v>
      </c>
    </row>
    <row r="235" spans="1:7" ht="24.36" thickBot="1" customHeight="1">
      <c r="A235" s="24" t="s">
        <v>696</v>
      </c>
      <c r="B235" s="24" t="s">
        <v>697</v>
      </c>
      <c r="C235" s="24" t="s">
        <v>698</v>
      </c>
      <c r="D235" s="25" t="s">
        <v>699</v>
      </c>
      <c r="E235" s="28">
        <v>1.00000</v>
      </c>
      <c r="F235" s="29">
        <f ca="1">ROUND(19.000,3)</f>
        <v>0</v>
      </c>
      <c r="G235" s="27">
        <f ca="1">ROUND(E235*F235,2)</f>
        <v>0</v>
      </c>
    </row>
    <row r="236" spans="1:7" ht="24.36" thickBot="1" customHeight="1">
      <c r="A236" s="24" t="s">
        <v>700</v>
      </c>
      <c r="B236" s="24" t="s">
        <v>701</v>
      </c>
      <c r="C236" s="24" t="s">
        <v>702</v>
      </c>
      <c r="D236" s="25" t="s">
        <v>703</v>
      </c>
      <c r="E236" s="28">
        <v>0.20000</v>
      </c>
      <c r="F236" s="29">
        <f ca="1">ROUND(19.000,3)</f>
        <v>0</v>
      </c>
      <c r="G236" s="27">
        <f ca="1">ROUND(E236*F236,2)</f>
        <v>0</v>
      </c>
    </row>
    <row r="237" spans="1:7" ht="15.12" thickBot="1" customHeight="1">
      <c r="A237" s="26"/>
      <c r="B237" s="26"/>
      <c r="C237" s="26"/>
      <c r="D237" s="24" t="s">
        <v>704</v>
      </c>
      <c r="E237" s="28">
        <v>0.47000</v>
      </c>
      <c r="F237" s="29">
        <f ca="1">ROUND((G234+G235+G236),3)</f>
        <v>0</v>
      </c>
      <c r="G237" s="27">
        <f ca="1">ROUND(E237*F237,2)</f>
        <v>0</v>
      </c>
    </row>
    <row r="238" spans="1:7" ht="15.12" thickBot="1" customHeight="1">
      <c r="A238" s="24" t="s">
        <v>705</v>
      </c>
      <c r="B238" s="24"/>
      <c r="C238" s="24" t="s">
        <v>706</v>
      </c>
      <c r="D238" s="25" t="s">
        <v>707</v>
      </c>
      <c r="E238" s="28">
        <v>3.00000</v>
      </c>
      <c r="F238" s="29">
        <f ca="1">ROUND(20.590,3)</f>
        <v>0</v>
      </c>
      <c r="G238" s="27">
        <f ca="1">ROUND((E238*F238)/100,2)</f>
        <v>0</v>
      </c>
    </row>
    <row r="239" spans="1:7" ht="15.48" thickBot="1" customHeight="1">
      <c r="A239" s="30"/>
      <c r="B239" s="30"/>
      <c r="C239" s="30"/>
      <c r="D239" s="31" t="s">
        <v>708</v>
      </c>
      <c r="E239" s="30"/>
      <c r="F239" s="33">
        <f ca="1">ROUND((G232+G233+G238)*(1+G2/100),2)</f>
        <v>0</v>
      </c>
      <c r="G239" s="30"/>
    </row>
    <row r="240" spans="1:7" ht="39.84" thickBot="1" customHeight="1">
      <c r="A240" s="34" t="s">
        <v>709</v>
      </c>
      <c r="B240" s="35" t="s">
        <v>710</v>
      </c>
      <c r="C240" s="35" t="s">
        <v>711</v>
      </c>
      <c r="D240" s="36" t="s">
        <v>712</v>
      </c>
      <c r="E240" s="37"/>
      <c r="F240" s="38">
        <f ca="1">F249</f>
        <v>0</v>
      </c>
      <c r="G240" s="37"/>
    </row>
    <row r="241" spans="1:7" ht="21.36" thickBot="1" customHeight="1">
      <c r="A241" s="26"/>
      <c r="B241" s="26"/>
      <c r="C241" s="26"/>
      <c r="D241" s="25" t="s">
        <v>713</v>
      </c>
      <c r="E241" s="25"/>
      <c r="F241" s="25"/>
      <c r="G241" s="25"/>
    </row>
    <row r="242" spans="1:7" ht="24.36" thickBot="1" customHeight="1">
      <c r="A242" s="24" t="s">
        <v>714</v>
      </c>
      <c r="B242" s="24" t="s">
        <v>715</v>
      </c>
      <c r="C242" s="24" t="s">
        <v>716</v>
      </c>
      <c r="D242" s="25" t="s">
        <v>717</v>
      </c>
      <c r="E242" s="28">
        <v>0.11430</v>
      </c>
      <c r="F242" s="29">
        <f ca="1">ROUND(7.526,3)</f>
        <v>0</v>
      </c>
      <c r="G242" s="27">
        <f ca="1">ROUND(E242*F242,2)</f>
        <v>0</v>
      </c>
    </row>
    <row r="243" spans="1:7" ht="21.36" thickBot="1" customHeight="1">
      <c r="A243" s="24" t="s">
        <v>718</v>
      </c>
      <c r="B243" s="24" t="s">
        <v>719</v>
      </c>
      <c r="C243" s="24" t="s">
        <v>720</v>
      </c>
      <c r="D243" s="25" t="s">
        <v>721</v>
      </c>
      <c r="E243" s="28">
        <v>0.11430</v>
      </c>
      <c r="F243" s="29">
        <f ca="1">F247</f>
        <v>0</v>
      </c>
      <c r="G243" s="27">
        <f ca="1">ROUND(E243*F243,2)</f>
        <v>0</v>
      </c>
    </row>
    <row r="244" spans="1:7" ht="24.36" thickBot="1" customHeight="1">
      <c r="A244" s="24" t="s">
        <v>722</v>
      </c>
      <c r="B244" s="24" t="s">
        <v>723</v>
      </c>
      <c r="C244" s="24" t="s">
        <v>724</v>
      </c>
      <c r="D244" s="25" t="s">
        <v>725</v>
      </c>
      <c r="E244" s="28">
        <v>1.00000</v>
      </c>
      <c r="F244" s="29">
        <f ca="1">ROUND(21.000,3)</f>
        <v>0</v>
      </c>
      <c r="G244" s="27">
        <f ca="1">ROUND(E244*F244,2)</f>
        <v>0</v>
      </c>
    </row>
    <row r="245" spans="1:7" ht="24.36" thickBot="1" customHeight="1">
      <c r="A245" s="24" t="s">
        <v>726</v>
      </c>
      <c r="B245" s="24" t="s">
        <v>727</v>
      </c>
      <c r="C245" s="24" t="s">
        <v>728</v>
      </c>
      <c r="D245" s="25" t="s">
        <v>729</v>
      </c>
      <c r="E245" s="28">
        <v>1.00000</v>
      </c>
      <c r="F245" s="29">
        <f ca="1">ROUND(19.000,3)</f>
        <v>0</v>
      </c>
      <c r="G245" s="27">
        <f ca="1">ROUND(E245*F245,2)</f>
        <v>0</v>
      </c>
    </row>
    <row r="246" spans="1:7" ht="24.36" thickBot="1" customHeight="1">
      <c r="A246" s="24" t="s">
        <v>730</v>
      </c>
      <c r="B246" s="24" t="s">
        <v>731</v>
      </c>
      <c r="C246" s="24" t="s">
        <v>732</v>
      </c>
      <c r="D246" s="25" t="s">
        <v>733</v>
      </c>
      <c r="E246" s="28">
        <v>0.20000</v>
      </c>
      <c r="F246" s="29">
        <f ca="1">ROUND(19.000,3)</f>
        <v>0</v>
      </c>
      <c r="G246" s="27">
        <f ca="1">ROUND(E246*F246,2)</f>
        <v>0</v>
      </c>
    </row>
    <row r="247" spans="1:7" ht="15.12" thickBot="1" customHeight="1">
      <c r="A247" s="26"/>
      <c r="B247" s="26"/>
      <c r="C247" s="26"/>
      <c r="D247" s="24" t="s">
        <v>734</v>
      </c>
      <c r="E247" s="28">
        <v>0.11430</v>
      </c>
      <c r="F247" s="29">
        <f ca="1">ROUND((G244+G245+G246),3)</f>
        <v>0</v>
      </c>
      <c r="G247" s="27">
        <f ca="1">ROUND(E247*F247,2)</f>
        <v>0</v>
      </c>
    </row>
    <row r="248" spans="1:7" ht="15.12" thickBot="1" customHeight="1">
      <c r="A248" s="24" t="s">
        <v>735</v>
      </c>
      <c r="B248" s="24"/>
      <c r="C248" s="24" t="s">
        <v>736</v>
      </c>
      <c r="D248" s="25" t="s">
        <v>737</v>
      </c>
      <c r="E248" s="28">
        <v>2.00000</v>
      </c>
      <c r="F248" s="29">
        <f ca="1">ROUND(5.010,3)</f>
        <v>0</v>
      </c>
      <c r="G248" s="27">
        <f ca="1">ROUND((E248*F248)/100,2)</f>
        <v>0</v>
      </c>
    </row>
    <row r="249" spans="1:7" ht="15.48" thickBot="1" customHeight="1">
      <c r="A249" s="30"/>
      <c r="B249" s="30"/>
      <c r="C249" s="30"/>
      <c r="D249" s="31" t="s">
        <v>738</v>
      </c>
      <c r="E249" s="30"/>
      <c r="F249" s="33">
        <f ca="1">ROUND((G242+G243+G248)*(1+G2/100),2)</f>
        <v>0</v>
      </c>
      <c r="G249" s="30"/>
    </row>
    <row r="250" spans="1:7" ht="39.84" thickBot="1" customHeight="1">
      <c r="A250" s="34" t="s">
        <v>739</v>
      </c>
      <c r="B250" s="35" t="s">
        <v>740</v>
      </c>
      <c r="C250" s="35" t="s">
        <v>741</v>
      </c>
      <c r="D250" s="36" t="s">
        <v>742</v>
      </c>
      <c r="E250" s="37"/>
      <c r="F250" s="38">
        <f ca="1">F259</f>
        <v>0</v>
      </c>
      <c r="G250" s="37"/>
    </row>
    <row r="251" spans="1:7" ht="21.36" thickBot="1" customHeight="1">
      <c r="A251" s="26"/>
      <c r="B251" s="26"/>
      <c r="C251" s="26"/>
      <c r="D251" s="25" t="s">
        <v>743</v>
      </c>
      <c r="E251" s="25"/>
      <c r="F251" s="25"/>
      <c r="G251" s="25"/>
    </row>
    <row r="252" spans="1:7" ht="24.36" thickBot="1" customHeight="1">
      <c r="A252" s="24" t="s">
        <v>744</v>
      </c>
      <c r="B252" s="24" t="s">
        <v>745</v>
      </c>
      <c r="C252" s="24" t="s">
        <v>746</v>
      </c>
      <c r="D252" s="25" t="s">
        <v>747</v>
      </c>
      <c r="E252" s="28">
        <v>0.19050</v>
      </c>
      <c r="F252" s="29">
        <f ca="1">ROUND(7.526,3)</f>
        <v>0</v>
      </c>
      <c r="G252" s="27">
        <f ca="1">ROUND(E252*F252,2)</f>
        <v>0</v>
      </c>
    </row>
    <row r="253" spans="1:7" ht="21.36" thickBot="1" customHeight="1">
      <c r="A253" s="24" t="s">
        <v>748</v>
      </c>
      <c r="B253" s="24" t="s">
        <v>749</v>
      </c>
      <c r="C253" s="24" t="s">
        <v>750</v>
      </c>
      <c r="D253" s="25" t="s">
        <v>751</v>
      </c>
      <c r="E253" s="28">
        <v>0.19050</v>
      </c>
      <c r="F253" s="29">
        <f ca="1">F257</f>
        <v>0</v>
      </c>
      <c r="G253" s="27">
        <f ca="1">ROUND(E253*F253,2)</f>
        <v>0</v>
      </c>
    </row>
    <row r="254" spans="1:7" ht="24.36" thickBot="1" customHeight="1">
      <c r="A254" s="24" t="s">
        <v>752</v>
      </c>
      <c r="B254" s="24" t="s">
        <v>753</v>
      </c>
      <c r="C254" s="24" t="s">
        <v>754</v>
      </c>
      <c r="D254" s="25" t="s">
        <v>755</v>
      </c>
      <c r="E254" s="28">
        <v>1.00000</v>
      </c>
      <c r="F254" s="29">
        <f ca="1">ROUND(21.000,3)</f>
        <v>0</v>
      </c>
      <c r="G254" s="27">
        <f ca="1">ROUND(E254*F254,2)</f>
        <v>0</v>
      </c>
    </row>
    <row r="255" spans="1:7" ht="24.36" thickBot="1" customHeight="1">
      <c r="A255" s="24" t="s">
        <v>756</v>
      </c>
      <c r="B255" s="24" t="s">
        <v>757</v>
      </c>
      <c r="C255" s="24" t="s">
        <v>758</v>
      </c>
      <c r="D255" s="25" t="s">
        <v>759</v>
      </c>
      <c r="E255" s="28">
        <v>1.00000</v>
      </c>
      <c r="F255" s="29">
        <f ca="1">ROUND(19.000,3)</f>
        <v>0</v>
      </c>
      <c r="G255" s="27">
        <f ca="1">ROUND(E255*F255,2)</f>
        <v>0</v>
      </c>
    </row>
    <row r="256" spans="1:7" ht="24.36" thickBot="1" customHeight="1">
      <c r="A256" s="24" t="s">
        <v>760</v>
      </c>
      <c r="B256" s="24" t="s">
        <v>761</v>
      </c>
      <c r="C256" s="24" t="s">
        <v>762</v>
      </c>
      <c r="D256" s="25" t="s">
        <v>763</v>
      </c>
      <c r="E256" s="28">
        <v>0.20000</v>
      </c>
      <c r="F256" s="29">
        <f ca="1">ROUND(19.000,3)</f>
        <v>0</v>
      </c>
      <c r="G256" s="27">
        <f ca="1">ROUND(E256*F256,2)</f>
        <v>0</v>
      </c>
    </row>
    <row r="257" spans="1:7" ht="15.12" thickBot="1" customHeight="1">
      <c r="A257" s="26"/>
      <c r="B257" s="26"/>
      <c r="C257" s="26"/>
      <c r="D257" s="24" t="s">
        <v>764</v>
      </c>
      <c r="E257" s="28">
        <v>0.19050</v>
      </c>
      <c r="F257" s="29">
        <f ca="1">ROUND((G254+G255+G256),3)</f>
        <v>0</v>
      </c>
      <c r="G257" s="27">
        <f ca="1">ROUND(E257*F257,2)</f>
        <v>0</v>
      </c>
    </row>
    <row r="258" spans="1:7" ht="15.12" thickBot="1" customHeight="1">
      <c r="A258" s="24" t="s">
        <v>765</v>
      </c>
      <c r="B258" s="24"/>
      <c r="C258" s="24" t="s">
        <v>766</v>
      </c>
      <c r="D258" s="25" t="s">
        <v>767</v>
      </c>
      <c r="E258" s="28">
        <v>2.00000</v>
      </c>
      <c r="F258" s="29">
        <f ca="1">ROUND(8.340,3)</f>
        <v>0</v>
      </c>
      <c r="G258" s="27">
        <f ca="1">ROUND((E258*F258)/100,2)</f>
        <v>0</v>
      </c>
    </row>
    <row r="259" spans="1:7" ht="15.48" thickBot="1" customHeight="1">
      <c r="A259" s="30"/>
      <c r="B259" s="30"/>
      <c r="C259" s="30"/>
      <c r="D259" s="31" t="s">
        <v>768</v>
      </c>
      <c r="E259" s="30"/>
      <c r="F259" s="33">
        <f ca="1">ROUND((G252+G253+G258)*(1+G2/100),2)</f>
        <v>0</v>
      </c>
      <c r="G259" s="30"/>
    </row>
    <row r="260" spans="1:7" ht="49.08" thickBot="1" customHeight="1">
      <c r="A260" s="34" t="s">
        <v>769</v>
      </c>
      <c r="B260" s="35" t="s">
        <v>770</v>
      </c>
      <c r="C260" s="35" t="s">
        <v>771</v>
      </c>
      <c r="D260" s="36" t="s">
        <v>772</v>
      </c>
      <c r="E260" s="37"/>
      <c r="F260" s="38">
        <f ca="1">F270</f>
        <v>0</v>
      </c>
      <c r="G260" s="37"/>
    </row>
    <row r="261" spans="1:7" ht="21.36" thickBot="1" customHeight="1">
      <c r="A261" s="26"/>
      <c r="B261" s="26"/>
      <c r="C261" s="26"/>
      <c r="D261" s="25" t="s">
        <v>773</v>
      </c>
      <c r="E261" s="25"/>
      <c r="F261" s="25"/>
      <c r="G261" s="25"/>
    </row>
    <row r="262" spans="1:7" ht="39.84" thickBot="1" customHeight="1">
      <c r="A262" s="24" t="s">
        <v>774</v>
      </c>
      <c r="B262" s="24" t="s">
        <v>775</v>
      </c>
      <c r="C262" s="24" t="s">
        <v>776</v>
      </c>
      <c r="D262" s="25" t="s">
        <v>777</v>
      </c>
      <c r="E262" s="28">
        <v>0.02100</v>
      </c>
      <c r="F262" s="29">
        <f ca="1">ROUND(9.130,3)</f>
        <v>0</v>
      </c>
      <c r="G262" s="27">
        <f ca="1">ROUND(E262*F262,2)</f>
        <v>0</v>
      </c>
    </row>
    <row r="263" spans="1:7" ht="24.36" thickBot="1" customHeight="1">
      <c r="A263" s="24" t="s">
        <v>778</v>
      </c>
      <c r="B263" s="24" t="s">
        <v>779</v>
      </c>
      <c r="C263" s="24" t="s">
        <v>780</v>
      </c>
      <c r="D263" s="25" t="s">
        <v>781</v>
      </c>
      <c r="E263" s="28">
        <v>0.12000</v>
      </c>
      <c r="F263" s="29">
        <f ca="1">ROUND(7.526,3)</f>
        <v>0</v>
      </c>
      <c r="G263" s="27">
        <f ca="1">ROUND(E263*F263,2)</f>
        <v>0</v>
      </c>
    </row>
    <row r="264" spans="1:7" ht="21.36" thickBot="1" customHeight="1">
      <c r="A264" s="24" t="s">
        <v>782</v>
      </c>
      <c r="B264" s="24" t="s">
        <v>783</v>
      </c>
      <c r="C264" s="24" t="s">
        <v>784</v>
      </c>
      <c r="D264" s="25" t="s">
        <v>785</v>
      </c>
      <c r="E264" s="28">
        <v>0.12000</v>
      </c>
      <c r="F264" s="29">
        <f ca="1">F268</f>
        <v>0</v>
      </c>
      <c r="G264" s="27">
        <f ca="1">ROUND(E264*F264,2)</f>
        <v>0</v>
      </c>
    </row>
    <row r="265" spans="1:7" ht="24.36" thickBot="1" customHeight="1">
      <c r="A265" s="24" t="s">
        <v>786</v>
      </c>
      <c r="B265" s="24" t="s">
        <v>787</v>
      </c>
      <c r="C265" s="24" t="s">
        <v>788</v>
      </c>
      <c r="D265" s="25" t="s">
        <v>789</v>
      </c>
      <c r="E265" s="28">
        <v>1.00000</v>
      </c>
      <c r="F265" s="29">
        <f ca="1">ROUND(21.000,3)</f>
        <v>0</v>
      </c>
      <c r="G265" s="27">
        <f ca="1">ROUND(E265*F265,2)</f>
        <v>0</v>
      </c>
    </row>
    <row r="266" spans="1:7" ht="24.36" thickBot="1" customHeight="1">
      <c r="A266" s="24" t="s">
        <v>790</v>
      </c>
      <c r="B266" s="24" t="s">
        <v>791</v>
      </c>
      <c r="C266" s="24" t="s">
        <v>792</v>
      </c>
      <c r="D266" s="25" t="s">
        <v>793</v>
      </c>
      <c r="E266" s="28">
        <v>1.00000</v>
      </c>
      <c r="F266" s="29">
        <f ca="1">ROUND(19.000,3)</f>
        <v>0</v>
      </c>
      <c r="G266" s="27">
        <f ca="1">ROUND(E266*F266,2)</f>
        <v>0</v>
      </c>
    </row>
    <row r="267" spans="1:7" ht="24.36" thickBot="1" customHeight="1">
      <c r="A267" s="24" t="s">
        <v>794</v>
      </c>
      <c r="B267" s="24" t="s">
        <v>795</v>
      </c>
      <c r="C267" s="24" t="s">
        <v>796</v>
      </c>
      <c r="D267" s="25" t="s">
        <v>797</v>
      </c>
      <c r="E267" s="28">
        <v>0.20000</v>
      </c>
      <c r="F267" s="29">
        <f ca="1">ROUND(19.000,3)</f>
        <v>0</v>
      </c>
      <c r="G267" s="27">
        <f ca="1">ROUND(E267*F267,2)</f>
        <v>0</v>
      </c>
    </row>
    <row r="268" spans="1:7" ht="15.12" thickBot="1" customHeight="1">
      <c r="A268" s="26"/>
      <c r="B268" s="26"/>
      <c r="C268" s="26"/>
      <c r="D268" s="24" t="s">
        <v>798</v>
      </c>
      <c r="E268" s="28">
        <v>0.12000</v>
      </c>
      <c r="F268" s="29">
        <f ca="1">ROUND((G265+G266+G267),3)</f>
        <v>0</v>
      </c>
      <c r="G268" s="27">
        <f ca="1">ROUND(E268*F268,2)</f>
        <v>0</v>
      </c>
    </row>
    <row r="269" spans="1:7" ht="15.12" thickBot="1" customHeight="1">
      <c r="A269" s="24" t="s">
        <v>799</v>
      </c>
      <c r="B269" s="24"/>
      <c r="C269" s="24" t="s">
        <v>800</v>
      </c>
      <c r="D269" s="25" t="s">
        <v>801</v>
      </c>
      <c r="E269" s="28">
        <v>2.00000</v>
      </c>
      <c r="F269" s="29">
        <f ca="1">ROUND(5.260,3)</f>
        <v>0</v>
      </c>
      <c r="G269" s="27">
        <f ca="1">ROUND((E269*F269)/100,2)</f>
        <v>0</v>
      </c>
    </row>
    <row r="270" spans="1:7" ht="15.48" thickBot="1" customHeight="1">
      <c r="A270" s="30"/>
      <c r="B270" s="30"/>
      <c r="C270" s="30"/>
      <c r="D270" s="31" t="s">
        <v>802</v>
      </c>
      <c r="E270" s="30"/>
      <c r="F270" s="33">
        <f ca="1">ROUND((G262+G263+G264+G269)*(1+G2/100),2)</f>
        <v>0</v>
      </c>
      <c r="G270" s="30"/>
    </row>
    <row r="271" spans="1:7" ht="49.08" thickBot="1" customHeight="1">
      <c r="A271" s="34" t="s">
        <v>803</v>
      </c>
      <c r="B271" s="35" t="s">
        <v>804</v>
      </c>
      <c r="C271" s="35" t="s">
        <v>805</v>
      </c>
      <c r="D271" s="36" t="s">
        <v>806</v>
      </c>
      <c r="E271" s="37"/>
      <c r="F271" s="38">
        <f ca="1">F281</f>
        <v>0</v>
      </c>
      <c r="G271" s="37"/>
    </row>
    <row r="272" spans="1:7" ht="21.36" thickBot="1" customHeight="1">
      <c r="A272" s="26"/>
      <c r="B272" s="26"/>
      <c r="C272" s="26"/>
      <c r="D272" s="25" t="s">
        <v>807</v>
      </c>
      <c r="E272" s="25"/>
      <c r="F272" s="25"/>
      <c r="G272" s="25"/>
    </row>
    <row r="273" spans="1:7" ht="39.84" thickBot="1" customHeight="1">
      <c r="A273" s="24" t="s">
        <v>808</v>
      </c>
      <c r="B273" s="24" t="s">
        <v>809</v>
      </c>
      <c r="C273" s="24" t="s">
        <v>810</v>
      </c>
      <c r="D273" s="25" t="s">
        <v>811</v>
      </c>
      <c r="E273" s="28">
        <v>0.02100</v>
      </c>
      <c r="F273" s="29">
        <f ca="1">ROUND(9.130,3)</f>
        <v>0</v>
      </c>
      <c r="G273" s="27">
        <f ca="1">ROUND(E273*F273,2)</f>
        <v>0</v>
      </c>
    </row>
    <row r="274" spans="1:7" ht="24.36" thickBot="1" customHeight="1">
      <c r="A274" s="24" t="s">
        <v>812</v>
      </c>
      <c r="B274" s="24" t="s">
        <v>813</v>
      </c>
      <c r="C274" s="24" t="s">
        <v>814</v>
      </c>
      <c r="D274" s="25" t="s">
        <v>815</v>
      </c>
      <c r="E274" s="28">
        <v>0.21000</v>
      </c>
      <c r="F274" s="29">
        <f ca="1">ROUND(7.526,3)</f>
        <v>0</v>
      </c>
      <c r="G274" s="27">
        <f ca="1">ROUND(E274*F274,2)</f>
        <v>0</v>
      </c>
    </row>
    <row r="275" spans="1:7" ht="21.36" thickBot="1" customHeight="1">
      <c r="A275" s="24" t="s">
        <v>816</v>
      </c>
      <c r="B275" s="24" t="s">
        <v>817</v>
      </c>
      <c r="C275" s="24" t="s">
        <v>818</v>
      </c>
      <c r="D275" s="25" t="s">
        <v>819</v>
      </c>
      <c r="E275" s="28">
        <v>0.21000</v>
      </c>
      <c r="F275" s="29">
        <f ca="1">F279</f>
        <v>0</v>
      </c>
      <c r="G275" s="27">
        <f ca="1">ROUND(E275*F275,2)</f>
        <v>0</v>
      </c>
    </row>
    <row r="276" spans="1:7" ht="24.36" thickBot="1" customHeight="1">
      <c r="A276" s="24" t="s">
        <v>820</v>
      </c>
      <c r="B276" s="24" t="s">
        <v>821</v>
      </c>
      <c r="C276" s="24" t="s">
        <v>822</v>
      </c>
      <c r="D276" s="25" t="s">
        <v>823</v>
      </c>
      <c r="E276" s="28">
        <v>1.00000</v>
      </c>
      <c r="F276" s="29">
        <f ca="1">ROUND(21.000,3)</f>
        <v>0</v>
      </c>
      <c r="G276" s="27">
        <f ca="1">ROUND(E276*F276,2)</f>
        <v>0</v>
      </c>
    </row>
    <row r="277" spans="1:7" ht="24.36" thickBot="1" customHeight="1">
      <c r="A277" s="24" t="s">
        <v>824</v>
      </c>
      <c r="B277" s="24" t="s">
        <v>825</v>
      </c>
      <c r="C277" s="24" t="s">
        <v>826</v>
      </c>
      <c r="D277" s="25" t="s">
        <v>827</v>
      </c>
      <c r="E277" s="28">
        <v>1.00000</v>
      </c>
      <c r="F277" s="29">
        <f ca="1">ROUND(19.000,3)</f>
        <v>0</v>
      </c>
      <c r="G277" s="27">
        <f ca="1">ROUND(E277*F277,2)</f>
        <v>0</v>
      </c>
    </row>
    <row r="278" spans="1:7" ht="24.36" thickBot="1" customHeight="1">
      <c r="A278" s="24" t="s">
        <v>828</v>
      </c>
      <c r="B278" s="24" t="s">
        <v>829</v>
      </c>
      <c r="C278" s="24" t="s">
        <v>830</v>
      </c>
      <c r="D278" s="25" t="s">
        <v>831</v>
      </c>
      <c r="E278" s="28">
        <v>0.20000</v>
      </c>
      <c r="F278" s="29">
        <f ca="1">ROUND(19.000,3)</f>
        <v>0</v>
      </c>
      <c r="G278" s="27">
        <f ca="1">ROUND(E278*F278,2)</f>
        <v>0</v>
      </c>
    </row>
    <row r="279" spans="1:7" ht="15.12" thickBot="1" customHeight="1">
      <c r="A279" s="26"/>
      <c r="B279" s="26"/>
      <c r="C279" s="26"/>
      <c r="D279" s="24" t="s">
        <v>832</v>
      </c>
      <c r="E279" s="28">
        <v>0.21000</v>
      </c>
      <c r="F279" s="29">
        <f ca="1">ROUND((G276+G277+G278),3)</f>
        <v>0</v>
      </c>
      <c r="G279" s="27">
        <f ca="1">ROUND(E279*F279,2)</f>
        <v>0</v>
      </c>
    </row>
    <row r="280" spans="1:7" ht="15.12" thickBot="1" customHeight="1">
      <c r="A280" s="24" t="s">
        <v>833</v>
      </c>
      <c r="B280" s="24"/>
      <c r="C280" s="24" t="s">
        <v>834</v>
      </c>
      <c r="D280" s="25" t="s">
        <v>835</v>
      </c>
      <c r="E280" s="28">
        <v>2.00000</v>
      </c>
      <c r="F280" s="29">
        <f ca="1">ROUND(9.200,3)</f>
        <v>0</v>
      </c>
      <c r="G280" s="27">
        <f ca="1">ROUND((E280*F280)/100,2)</f>
        <v>0</v>
      </c>
    </row>
    <row r="281" spans="1:7" ht="15.48" thickBot="1" customHeight="1">
      <c r="A281" s="30"/>
      <c r="B281" s="30"/>
      <c r="C281" s="30"/>
      <c r="D281" s="31" t="s">
        <v>836</v>
      </c>
      <c r="E281" s="30"/>
      <c r="F281" s="33">
        <f ca="1">ROUND((G273+G274+G275+G280)*(1+G2/100),2)</f>
        <v>0</v>
      </c>
      <c r="G281" s="30"/>
    </row>
    <row r="282" spans="1:7" ht="49.08" thickBot="1" customHeight="1">
      <c r="A282" s="34" t="s">
        <v>837</v>
      </c>
      <c r="B282" s="35" t="s">
        <v>838</v>
      </c>
      <c r="C282" s="35" t="s">
        <v>839</v>
      </c>
      <c r="D282" s="36" t="s">
        <v>840</v>
      </c>
      <c r="E282" s="37"/>
      <c r="F282" s="38">
        <f ca="1">F292</f>
        <v>0</v>
      </c>
      <c r="G282" s="37"/>
    </row>
    <row r="283" spans="1:7" ht="21.36" thickBot="1" customHeight="1">
      <c r="A283" s="26"/>
      <c r="B283" s="26"/>
      <c r="C283" s="26"/>
      <c r="D283" s="25" t="s">
        <v>841</v>
      </c>
      <c r="E283" s="25"/>
      <c r="F283" s="25"/>
      <c r="G283" s="25"/>
    </row>
    <row r="284" spans="1:7" ht="30.60" thickBot="1" customHeight="1">
      <c r="A284" s="24" t="s">
        <v>842</v>
      </c>
      <c r="B284" s="24" t="s">
        <v>843</v>
      </c>
      <c r="C284" s="24" t="s">
        <v>844</v>
      </c>
      <c r="D284" s="25" t="s">
        <v>845</v>
      </c>
      <c r="E284" s="28">
        <v>0.06600</v>
      </c>
      <c r="F284" s="29">
        <f ca="1">ROUND(2.560,3)</f>
        <v>0</v>
      </c>
      <c r="G284" s="27">
        <f ca="1">ROUND(E284*F284,2)</f>
        <v>0</v>
      </c>
    </row>
    <row r="285" spans="1:7" ht="24.36" thickBot="1" customHeight="1">
      <c r="A285" s="24" t="s">
        <v>846</v>
      </c>
      <c r="B285" s="24" t="s">
        <v>847</v>
      </c>
      <c r="C285" s="24" t="s">
        <v>848</v>
      </c>
      <c r="D285" s="25" t="s">
        <v>849</v>
      </c>
      <c r="E285" s="28">
        <v>0.12000</v>
      </c>
      <c r="F285" s="29">
        <f ca="1">ROUND(7.526,3)</f>
        <v>0</v>
      </c>
      <c r="G285" s="27">
        <f ca="1">ROUND(E285*F285,2)</f>
        <v>0</v>
      </c>
    </row>
    <row r="286" spans="1:7" ht="21.36" thickBot="1" customHeight="1">
      <c r="A286" s="24" t="s">
        <v>850</v>
      </c>
      <c r="B286" s="24" t="s">
        <v>851</v>
      </c>
      <c r="C286" s="24" t="s">
        <v>852</v>
      </c>
      <c r="D286" s="25" t="s">
        <v>853</v>
      </c>
      <c r="E286" s="28">
        <v>0.12000</v>
      </c>
      <c r="F286" s="29">
        <f ca="1">F290</f>
        <v>0</v>
      </c>
      <c r="G286" s="27">
        <f ca="1">ROUND(E286*F286,2)</f>
        <v>0</v>
      </c>
    </row>
    <row r="287" spans="1:7" ht="24.36" thickBot="1" customHeight="1">
      <c r="A287" s="24" t="s">
        <v>854</v>
      </c>
      <c r="B287" s="24" t="s">
        <v>855</v>
      </c>
      <c r="C287" s="24" t="s">
        <v>856</v>
      </c>
      <c r="D287" s="25" t="s">
        <v>857</v>
      </c>
      <c r="E287" s="28">
        <v>1.00000</v>
      </c>
      <c r="F287" s="29">
        <f ca="1">ROUND(21.000,3)</f>
        <v>0</v>
      </c>
      <c r="G287" s="27">
        <f ca="1">ROUND(E287*F287,2)</f>
        <v>0</v>
      </c>
    </row>
    <row r="288" spans="1:7" ht="24.36" thickBot="1" customHeight="1">
      <c r="A288" s="24" t="s">
        <v>858</v>
      </c>
      <c r="B288" s="24" t="s">
        <v>859</v>
      </c>
      <c r="C288" s="24" t="s">
        <v>860</v>
      </c>
      <c r="D288" s="25" t="s">
        <v>861</v>
      </c>
      <c r="E288" s="28">
        <v>1.00000</v>
      </c>
      <c r="F288" s="29">
        <f ca="1">ROUND(19.000,3)</f>
        <v>0</v>
      </c>
      <c r="G288" s="27">
        <f ca="1">ROUND(E288*F288,2)</f>
        <v>0</v>
      </c>
    </row>
    <row r="289" spans="1:7" ht="24.36" thickBot="1" customHeight="1">
      <c r="A289" s="24" t="s">
        <v>862</v>
      </c>
      <c r="B289" s="24" t="s">
        <v>863</v>
      </c>
      <c r="C289" s="24" t="s">
        <v>864</v>
      </c>
      <c r="D289" s="25" t="s">
        <v>865</v>
      </c>
      <c r="E289" s="28">
        <v>0.20000</v>
      </c>
      <c r="F289" s="29">
        <f ca="1">ROUND(19.000,3)</f>
        <v>0</v>
      </c>
      <c r="G289" s="27">
        <f ca="1">ROUND(E289*F289,2)</f>
        <v>0</v>
      </c>
    </row>
    <row r="290" spans="1:7" ht="15.12" thickBot="1" customHeight="1">
      <c r="A290" s="26"/>
      <c r="B290" s="26"/>
      <c r="C290" s="26"/>
      <c r="D290" s="24" t="s">
        <v>866</v>
      </c>
      <c r="E290" s="28">
        <v>0.12000</v>
      </c>
      <c r="F290" s="29">
        <f ca="1">ROUND((G287+G288+G289),3)</f>
        <v>0</v>
      </c>
      <c r="G290" s="27">
        <f ca="1">ROUND(E290*F290,2)</f>
        <v>0</v>
      </c>
    </row>
    <row r="291" spans="1:7" ht="15.12" thickBot="1" customHeight="1">
      <c r="A291" s="24" t="s">
        <v>867</v>
      </c>
      <c r="B291" s="24"/>
      <c r="C291" s="24" t="s">
        <v>868</v>
      </c>
      <c r="D291" s="25" t="s">
        <v>869</v>
      </c>
      <c r="E291" s="28">
        <v>2.00000</v>
      </c>
      <c r="F291" s="29">
        <f ca="1">ROUND(5.260,3)</f>
        <v>0</v>
      </c>
      <c r="G291" s="27">
        <f ca="1">ROUND((E291*F291)/100,2)</f>
        <v>0</v>
      </c>
    </row>
    <row r="292" spans="1:7" ht="15.48" thickBot="1" customHeight="1">
      <c r="A292" s="30"/>
      <c r="B292" s="30"/>
      <c r="C292" s="30"/>
      <c r="D292" s="31" t="s">
        <v>870</v>
      </c>
      <c r="E292" s="30"/>
      <c r="F292" s="33">
        <f ca="1">ROUND((G284+G285+G286+G291)*(1+G2/100),2)</f>
        <v>0</v>
      </c>
      <c r="G292" s="30"/>
    </row>
    <row r="293" spans="1:7" ht="49.08" thickBot="1" customHeight="1">
      <c r="A293" s="34" t="s">
        <v>871</v>
      </c>
      <c r="B293" s="35" t="s">
        <v>872</v>
      </c>
      <c r="C293" s="35" t="s">
        <v>873</v>
      </c>
      <c r="D293" s="36" t="s">
        <v>874</v>
      </c>
      <c r="E293" s="37"/>
      <c r="F293" s="38">
        <f ca="1">F303</f>
        <v>0</v>
      </c>
      <c r="G293" s="37"/>
    </row>
    <row r="294" spans="1:7" ht="21.36" thickBot="1" customHeight="1">
      <c r="A294" s="26"/>
      <c r="B294" s="26"/>
      <c r="C294" s="26"/>
      <c r="D294" s="25" t="s">
        <v>875</v>
      </c>
      <c r="E294" s="25"/>
      <c r="F294" s="25"/>
      <c r="G294" s="25"/>
    </row>
    <row r="295" spans="1:7" ht="30.60" thickBot="1" customHeight="1">
      <c r="A295" s="24" t="s">
        <v>876</v>
      </c>
      <c r="B295" s="24" t="s">
        <v>877</v>
      </c>
      <c r="C295" s="24" t="s">
        <v>878</v>
      </c>
      <c r="D295" s="25" t="s">
        <v>879</v>
      </c>
      <c r="E295" s="28">
        <v>0.06600</v>
      </c>
      <c r="F295" s="29">
        <f ca="1">ROUND(2.560,3)</f>
        <v>0</v>
      </c>
      <c r="G295" s="27">
        <f ca="1">ROUND(E295*F295,2)</f>
        <v>0</v>
      </c>
    </row>
    <row r="296" spans="1:7" ht="24.36" thickBot="1" customHeight="1">
      <c r="A296" s="24" t="s">
        <v>880</v>
      </c>
      <c r="B296" s="24" t="s">
        <v>881</v>
      </c>
      <c r="C296" s="24" t="s">
        <v>882</v>
      </c>
      <c r="D296" s="25" t="s">
        <v>883</v>
      </c>
      <c r="E296" s="28">
        <v>0.21000</v>
      </c>
      <c r="F296" s="29">
        <f ca="1">ROUND(7.526,3)</f>
        <v>0</v>
      </c>
      <c r="G296" s="27">
        <f ca="1">ROUND(E296*F296,2)</f>
        <v>0</v>
      </c>
    </row>
    <row r="297" spans="1:7" ht="21.36" thickBot="1" customHeight="1">
      <c r="A297" s="24" t="s">
        <v>884</v>
      </c>
      <c r="B297" s="24" t="s">
        <v>885</v>
      </c>
      <c r="C297" s="24" t="s">
        <v>886</v>
      </c>
      <c r="D297" s="25" t="s">
        <v>887</v>
      </c>
      <c r="E297" s="28">
        <v>0.21000</v>
      </c>
      <c r="F297" s="29">
        <f ca="1">F301</f>
        <v>0</v>
      </c>
      <c r="G297" s="27">
        <f ca="1">ROUND(E297*F297,2)</f>
        <v>0</v>
      </c>
    </row>
    <row r="298" spans="1:7" ht="24.36" thickBot="1" customHeight="1">
      <c r="A298" s="24" t="s">
        <v>888</v>
      </c>
      <c r="B298" s="24" t="s">
        <v>889</v>
      </c>
      <c r="C298" s="24" t="s">
        <v>890</v>
      </c>
      <c r="D298" s="25" t="s">
        <v>891</v>
      </c>
      <c r="E298" s="28">
        <v>1.00000</v>
      </c>
      <c r="F298" s="29">
        <f ca="1">ROUND(21.000,3)</f>
        <v>0</v>
      </c>
      <c r="G298" s="27">
        <f ca="1">ROUND(E298*F298,2)</f>
        <v>0</v>
      </c>
    </row>
    <row r="299" spans="1:7" ht="24.36" thickBot="1" customHeight="1">
      <c r="A299" s="24" t="s">
        <v>892</v>
      </c>
      <c r="B299" s="24" t="s">
        <v>893</v>
      </c>
      <c r="C299" s="24" t="s">
        <v>894</v>
      </c>
      <c r="D299" s="25" t="s">
        <v>895</v>
      </c>
      <c r="E299" s="28">
        <v>1.00000</v>
      </c>
      <c r="F299" s="29">
        <f ca="1">ROUND(19.000,3)</f>
        <v>0</v>
      </c>
      <c r="G299" s="27">
        <f ca="1">ROUND(E299*F299,2)</f>
        <v>0</v>
      </c>
    </row>
    <row r="300" spans="1:7" ht="24.36" thickBot="1" customHeight="1">
      <c r="A300" s="24" t="s">
        <v>896</v>
      </c>
      <c r="B300" s="24" t="s">
        <v>897</v>
      </c>
      <c r="C300" s="24" t="s">
        <v>898</v>
      </c>
      <c r="D300" s="25" t="s">
        <v>899</v>
      </c>
      <c r="E300" s="28">
        <v>0.20000</v>
      </c>
      <c r="F300" s="29">
        <f ca="1">ROUND(19.000,3)</f>
        <v>0</v>
      </c>
      <c r="G300" s="27">
        <f ca="1">ROUND(E300*F300,2)</f>
        <v>0</v>
      </c>
    </row>
    <row r="301" spans="1:7" ht="15.12" thickBot="1" customHeight="1">
      <c r="A301" s="26"/>
      <c r="B301" s="26"/>
      <c r="C301" s="26"/>
      <c r="D301" s="24" t="s">
        <v>900</v>
      </c>
      <c r="E301" s="28">
        <v>0.21000</v>
      </c>
      <c r="F301" s="29">
        <f ca="1">ROUND((G298+G299+G300),3)</f>
        <v>0</v>
      </c>
      <c r="G301" s="27">
        <f ca="1">ROUND(E301*F301,2)</f>
        <v>0</v>
      </c>
    </row>
    <row r="302" spans="1:7" ht="15.12" thickBot="1" customHeight="1">
      <c r="A302" s="24" t="s">
        <v>901</v>
      </c>
      <c r="B302" s="24"/>
      <c r="C302" s="24" t="s">
        <v>902</v>
      </c>
      <c r="D302" s="25" t="s">
        <v>903</v>
      </c>
      <c r="E302" s="28">
        <v>2.00000</v>
      </c>
      <c r="F302" s="29">
        <f ca="1">ROUND(9.200,3)</f>
        <v>0</v>
      </c>
      <c r="G302" s="27">
        <f ca="1">ROUND((E302*F302)/100,2)</f>
        <v>0</v>
      </c>
    </row>
    <row r="303" spans="1:7" ht="15.48" thickBot="1" customHeight="1">
      <c r="A303" s="30"/>
      <c r="B303" s="30"/>
      <c r="C303" s="30"/>
      <c r="D303" s="31" t="s">
        <v>904</v>
      </c>
      <c r="E303" s="30"/>
      <c r="F303" s="33">
        <f ca="1">ROUND((G295+G296+G297+G302)*(1+G2/100),2)</f>
        <v>0</v>
      </c>
      <c r="G303" s="30"/>
    </row>
    <row r="304" spans="1:7" ht="39.84" thickBot="1" customHeight="1">
      <c r="A304" s="34" t="s">
        <v>905</v>
      </c>
      <c r="B304" s="35" t="s">
        <v>906</v>
      </c>
      <c r="C304" s="35" t="s">
        <v>907</v>
      </c>
      <c r="D304" s="36" t="s">
        <v>908</v>
      </c>
      <c r="E304" s="37"/>
      <c r="F304" s="38">
        <f ca="1">F313</f>
        <v>0</v>
      </c>
      <c r="G304" s="37"/>
    </row>
    <row r="305" spans="1:7" ht="12.12" thickBot="1" customHeight="1">
      <c r="A305" s="26"/>
      <c r="B305" s="26"/>
      <c r="C305" s="26"/>
      <c r="D305" s="25" t="s">
        <v>909</v>
      </c>
      <c r="E305" s="25"/>
      <c r="F305" s="25"/>
      <c r="G305" s="25"/>
    </row>
    <row r="306" spans="1:7" ht="24.36" thickBot="1" customHeight="1">
      <c r="A306" s="24" t="s">
        <v>910</v>
      </c>
      <c r="B306" s="24" t="s">
        <v>911</v>
      </c>
      <c r="C306" s="24" t="s">
        <v>912</v>
      </c>
      <c r="D306" s="25" t="s">
        <v>913</v>
      </c>
      <c r="E306" s="28">
        <v>0.14290</v>
      </c>
      <c r="F306" s="29">
        <f ca="1">ROUND(7.526,3)</f>
        <v>0</v>
      </c>
      <c r="G306" s="27">
        <f ca="1">ROUND(E306*F306,2)</f>
        <v>0</v>
      </c>
    </row>
    <row r="307" spans="1:7" ht="21.36" thickBot="1" customHeight="1">
      <c r="A307" s="24" t="s">
        <v>914</v>
      </c>
      <c r="B307" s="24" t="s">
        <v>915</v>
      </c>
      <c r="C307" s="24" t="s">
        <v>916</v>
      </c>
      <c r="D307" s="25" t="s">
        <v>917</v>
      </c>
      <c r="E307" s="28">
        <v>0.14290</v>
      </c>
      <c r="F307" s="29">
        <f ca="1">F311</f>
        <v>0</v>
      </c>
      <c r="G307" s="27">
        <f ca="1">ROUND(E307*F307,2)</f>
        <v>0</v>
      </c>
    </row>
    <row r="308" spans="1:7" ht="24.36" thickBot="1" customHeight="1">
      <c r="A308" s="24" t="s">
        <v>918</v>
      </c>
      <c r="B308" s="24" t="s">
        <v>919</v>
      </c>
      <c r="C308" s="24" t="s">
        <v>920</v>
      </c>
      <c r="D308" s="25" t="s">
        <v>921</v>
      </c>
      <c r="E308" s="28">
        <v>1.00000</v>
      </c>
      <c r="F308" s="29">
        <f ca="1">ROUND(21.000,3)</f>
        <v>0</v>
      </c>
      <c r="G308" s="27">
        <f ca="1">ROUND(E308*F308,2)</f>
        <v>0</v>
      </c>
    </row>
    <row r="309" spans="1:7" ht="24.36" thickBot="1" customHeight="1">
      <c r="A309" s="24" t="s">
        <v>922</v>
      </c>
      <c r="B309" s="24" t="s">
        <v>923</v>
      </c>
      <c r="C309" s="24" t="s">
        <v>924</v>
      </c>
      <c r="D309" s="25" t="s">
        <v>925</v>
      </c>
      <c r="E309" s="28">
        <v>1.00000</v>
      </c>
      <c r="F309" s="29">
        <f ca="1">ROUND(19.000,3)</f>
        <v>0</v>
      </c>
      <c r="G309" s="27">
        <f ca="1">ROUND(E309*F309,2)</f>
        <v>0</v>
      </c>
    </row>
    <row r="310" spans="1:7" ht="24.36" thickBot="1" customHeight="1">
      <c r="A310" s="24" t="s">
        <v>926</v>
      </c>
      <c r="B310" s="24" t="s">
        <v>927</v>
      </c>
      <c r="C310" s="24" t="s">
        <v>928</v>
      </c>
      <c r="D310" s="25" t="s">
        <v>929</v>
      </c>
      <c r="E310" s="28">
        <v>0.20000</v>
      </c>
      <c r="F310" s="29">
        <f ca="1">ROUND(19.000,3)</f>
        <v>0</v>
      </c>
      <c r="G310" s="27">
        <f ca="1">ROUND(E310*F310,2)</f>
        <v>0</v>
      </c>
    </row>
    <row r="311" spans="1:7" ht="15.12" thickBot="1" customHeight="1">
      <c r="A311" s="26"/>
      <c r="B311" s="26"/>
      <c r="C311" s="26"/>
      <c r="D311" s="24" t="s">
        <v>930</v>
      </c>
      <c r="E311" s="28">
        <v>0.14290</v>
      </c>
      <c r="F311" s="29">
        <f ca="1">ROUND((G308+G309+G310),3)</f>
        <v>0</v>
      </c>
      <c r="G311" s="27">
        <f ca="1">ROUND(E311*F311,2)</f>
        <v>0</v>
      </c>
    </row>
    <row r="312" spans="1:7" ht="15.12" thickBot="1" customHeight="1">
      <c r="A312" s="24" t="s">
        <v>931</v>
      </c>
      <c r="B312" s="24"/>
      <c r="C312" s="24" t="s">
        <v>932</v>
      </c>
      <c r="D312" s="25" t="s">
        <v>933</v>
      </c>
      <c r="E312" s="28">
        <v>2.00000</v>
      </c>
      <c r="F312" s="29">
        <f ca="1">ROUND(6.260,3)</f>
        <v>0</v>
      </c>
      <c r="G312" s="27">
        <f ca="1">ROUND((E312*F312)/100,2)</f>
        <v>0</v>
      </c>
    </row>
    <row r="313" spans="1:7" ht="25.08" thickBot="1" customHeight="1">
      <c r="A313" s="30"/>
      <c r="B313" s="30"/>
      <c r="C313" s="30"/>
      <c r="D313" s="31" t="s">
        <v>934</v>
      </c>
      <c r="E313" s="30"/>
      <c r="F313" s="33">
        <f ca="1">ROUND((G306+G307+G312)*(1+G2/100),2)</f>
        <v>0</v>
      </c>
      <c r="G313" s="30"/>
    </row>
    <row r="314" spans="1:7" ht="39.84" thickBot="1" customHeight="1">
      <c r="A314" s="34" t="s">
        <v>935</v>
      </c>
      <c r="B314" s="35" t="s">
        <v>936</v>
      </c>
      <c r="C314" s="35" t="s">
        <v>937</v>
      </c>
      <c r="D314" s="36" t="s">
        <v>938</v>
      </c>
      <c r="E314" s="37"/>
      <c r="F314" s="38">
        <f ca="1">F323</f>
        <v>0</v>
      </c>
      <c r="G314" s="37"/>
    </row>
    <row r="315" spans="1:7" ht="21.36" thickBot="1" customHeight="1">
      <c r="A315" s="26"/>
      <c r="B315" s="26"/>
      <c r="C315" s="26"/>
      <c r="D315" s="25" t="s">
        <v>939</v>
      </c>
      <c r="E315" s="25"/>
      <c r="F315" s="25"/>
      <c r="G315" s="25"/>
    </row>
    <row r="316" spans="1:7" ht="24.36" thickBot="1" customHeight="1">
      <c r="A316" s="24" t="s">
        <v>940</v>
      </c>
      <c r="B316" s="24" t="s">
        <v>941</v>
      </c>
      <c r="C316" s="24" t="s">
        <v>942</v>
      </c>
      <c r="D316" s="25" t="s">
        <v>943</v>
      </c>
      <c r="E316" s="28">
        <v>0.23810</v>
      </c>
      <c r="F316" s="29">
        <f ca="1">ROUND(7.526,3)</f>
        <v>0</v>
      </c>
      <c r="G316" s="27">
        <f ca="1">ROUND(E316*F316,2)</f>
        <v>0</v>
      </c>
    </row>
    <row r="317" spans="1:7" ht="21.36" thickBot="1" customHeight="1">
      <c r="A317" s="24" t="s">
        <v>944</v>
      </c>
      <c r="B317" s="24" t="s">
        <v>945</v>
      </c>
      <c r="C317" s="24" t="s">
        <v>946</v>
      </c>
      <c r="D317" s="25" t="s">
        <v>947</v>
      </c>
      <c r="E317" s="28">
        <v>0.23810</v>
      </c>
      <c r="F317" s="29">
        <f ca="1">F321</f>
        <v>0</v>
      </c>
      <c r="G317" s="27">
        <f ca="1">ROUND(E317*F317,2)</f>
        <v>0</v>
      </c>
    </row>
    <row r="318" spans="1:7" ht="24.36" thickBot="1" customHeight="1">
      <c r="A318" s="24" t="s">
        <v>948</v>
      </c>
      <c r="B318" s="24" t="s">
        <v>949</v>
      </c>
      <c r="C318" s="24" t="s">
        <v>950</v>
      </c>
      <c r="D318" s="25" t="s">
        <v>951</v>
      </c>
      <c r="E318" s="28">
        <v>1.00000</v>
      </c>
      <c r="F318" s="29">
        <f ca="1">ROUND(21.000,3)</f>
        <v>0</v>
      </c>
      <c r="G318" s="27">
        <f ca="1">ROUND(E318*F318,2)</f>
        <v>0</v>
      </c>
    </row>
    <row r="319" spans="1:7" ht="24.36" thickBot="1" customHeight="1">
      <c r="A319" s="24" t="s">
        <v>952</v>
      </c>
      <c r="B319" s="24" t="s">
        <v>953</v>
      </c>
      <c r="C319" s="24" t="s">
        <v>954</v>
      </c>
      <c r="D319" s="25" t="s">
        <v>955</v>
      </c>
      <c r="E319" s="28">
        <v>1.00000</v>
      </c>
      <c r="F319" s="29">
        <f ca="1">ROUND(19.000,3)</f>
        <v>0</v>
      </c>
      <c r="G319" s="27">
        <f ca="1">ROUND(E319*F319,2)</f>
        <v>0</v>
      </c>
    </row>
    <row r="320" spans="1:7" ht="24.36" thickBot="1" customHeight="1">
      <c r="A320" s="24" t="s">
        <v>956</v>
      </c>
      <c r="B320" s="24" t="s">
        <v>957</v>
      </c>
      <c r="C320" s="24" t="s">
        <v>958</v>
      </c>
      <c r="D320" s="25" t="s">
        <v>959</v>
      </c>
      <c r="E320" s="28">
        <v>0.20000</v>
      </c>
      <c r="F320" s="29">
        <f ca="1">ROUND(19.000,3)</f>
        <v>0</v>
      </c>
      <c r="G320" s="27">
        <f ca="1">ROUND(E320*F320,2)</f>
        <v>0</v>
      </c>
    </row>
    <row r="321" spans="1:7" ht="15.12" thickBot="1" customHeight="1">
      <c r="A321" s="26"/>
      <c r="B321" s="26"/>
      <c r="C321" s="26"/>
      <c r="D321" s="24" t="s">
        <v>960</v>
      </c>
      <c r="E321" s="28">
        <v>0.23810</v>
      </c>
      <c r="F321" s="29">
        <f ca="1">ROUND((G318+G319+G320),3)</f>
        <v>0</v>
      </c>
      <c r="G321" s="27">
        <f ca="1">ROUND(E321*F321,2)</f>
        <v>0</v>
      </c>
    </row>
    <row r="322" spans="1:7" ht="15.12" thickBot="1" customHeight="1">
      <c r="A322" s="24" t="s">
        <v>961</v>
      </c>
      <c r="B322" s="24"/>
      <c r="C322" s="24" t="s">
        <v>962</v>
      </c>
      <c r="D322" s="25" t="s">
        <v>963</v>
      </c>
      <c r="E322" s="28">
        <v>2.00000</v>
      </c>
      <c r="F322" s="29">
        <f ca="1">ROUND(10.430,3)</f>
        <v>0</v>
      </c>
      <c r="G322" s="27">
        <f ca="1">ROUND((E322*F322)/100,2)</f>
        <v>0</v>
      </c>
    </row>
    <row r="323" spans="1:7" ht="25.08" thickBot="1" customHeight="1">
      <c r="A323" s="30"/>
      <c r="B323" s="30"/>
      <c r="C323" s="30"/>
      <c r="D323" s="31" t="s">
        <v>964</v>
      </c>
      <c r="E323" s="30"/>
      <c r="F323" s="33">
        <f ca="1">ROUND((G316+G317+G322)*(1+G2/100),2)</f>
        <v>0</v>
      </c>
      <c r="G323" s="30"/>
    </row>
    <row r="324" spans="1:7" ht="49.08" thickBot="1" customHeight="1">
      <c r="A324" s="34" t="s">
        <v>965</v>
      </c>
      <c r="B324" s="35" t="s">
        <v>966</v>
      </c>
      <c r="C324" s="35" t="s">
        <v>967</v>
      </c>
      <c r="D324" s="36" t="s">
        <v>968</v>
      </c>
      <c r="E324" s="37"/>
      <c r="F324" s="38">
        <f ca="1">F334</f>
        <v>0</v>
      </c>
      <c r="G324" s="37"/>
    </row>
    <row r="325" spans="1:7" ht="21.36" thickBot="1" customHeight="1">
      <c r="A325" s="26"/>
      <c r="B325" s="26"/>
      <c r="C325" s="26"/>
      <c r="D325" s="25" t="s">
        <v>969</v>
      </c>
      <c r="E325" s="25"/>
      <c r="F325" s="25"/>
      <c r="G325" s="25"/>
    </row>
    <row r="326" spans="1:7" ht="39.84" thickBot="1" customHeight="1">
      <c r="A326" s="24" t="s">
        <v>970</v>
      </c>
      <c r="B326" s="24" t="s">
        <v>971</v>
      </c>
      <c r="C326" s="24" t="s">
        <v>972</v>
      </c>
      <c r="D326" s="25" t="s">
        <v>973</v>
      </c>
      <c r="E326" s="28">
        <v>0.02100</v>
      </c>
      <c r="F326" s="29">
        <f ca="1">ROUND(9.130,3)</f>
        <v>0</v>
      </c>
      <c r="G326" s="27">
        <f ca="1">ROUND(E326*F326,2)</f>
        <v>0</v>
      </c>
    </row>
    <row r="327" spans="1:7" ht="24.36" thickBot="1" customHeight="1">
      <c r="A327" s="24" t="s">
        <v>974</v>
      </c>
      <c r="B327" s="24" t="s">
        <v>975</v>
      </c>
      <c r="C327" s="24" t="s">
        <v>976</v>
      </c>
      <c r="D327" s="25" t="s">
        <v>977</v>
      </c>
      <c r="E327" s="28">
        <v>0.15000</v>
      </c>
      <c r="F327" s="29">
        <f ca="1">ROUND(7.526,3)</f>
        <v>0</v>
      </c>
      <c r="G327" s="27">
        <f ca="1">ROUND(E327*F327,2)</f>
        <v>0</v>
      </c>
    </row>
    <row r="328" spans="1:7" ht="21.36" thickBot="1" customHeight="1">
      <c r="A328" s="24" t="s">
        <v>978</v>
      </c>
      <c r="B328" s="24" t="s">
        <v>979</v>
      </c>
      <c r="C328" s="24" t="s">
        <v>980</v>
      </c>
      <c r="D328" s="25" t="s">
        <v>981</v>
      </c>
      <c r="E328" s="28">
        <v>0.15000</v>
      </c>
      <c r="F328" s="29">
        <f ca="1">F332</f>
        <v>0</v>
      </c>
      <c r="G328" s="27">
        <f ca="1">ROUND(E328*F328,2)</f>
        <v>0</v>
      </c>
    </row>
    <row r="329" spans="1:7" ht="24.36" thickBot="1" customHeight="1">
      <c r="A329" s="24" t="s">
        <v>982</v>
      </c>
      <c r="B329" s="24" t="s">
        <v>983</v>
      </c>
      <c r="C329" s="24" t="s">
        <v>984</v>
      </c>
      <c r="D329" s="25" t="s">
        <v>985</v>
      </c>
      <c r="E329" s="28">
        <v>1.00000</v>
      </c>
      <c r="F329" s="29">
        <f ca="1">ROUND(21.000,3)</f>
        <v>0</v>
      </c>
      <c r="G329" s="27">
        <f ca="1">ROUND(E329*F329,2)</f>
        <v>0</v>
      </c>
    </row>
    <row r="330" spans="1:7" ht="24.36" thickBot="1" customHeight="1">
      <c r="A330" s="24" t="s">
        <v>986</v>
      </c>
      <c r="B330" s="24" t="s">
        <v>987</v>
      </c>
      <c r="C330" s="24" t="s">
        <v>988</v>
      </c>
      <c r="D330" s="25" t="s">
        <v>989</v>
      </c>
      <c r="E330" s="28">
        <v>1.00000</v>
      </c>
      <c r="F330" s="29">
        <f ca="1">ROUND(19.000,3)</f>
        <v>0</v>
      </c>
      <c r="G330" s="27">
        <f ca="1">ROUND(E330*F330,2)</f>
        <v>0</v>
      </c>
    </row>
    <row r="331" spans="1:7" ht="24.36" thickBot="1" customHeight="1">
      <c r="A331" s="24" t="s">
        <v>990</v>
      </c>
      <c r="B331" s="24" t="s">
        <v>991</v>
      </c>
      <c r="C331" s="24" t="s">
        <v>992</v>
      </c>
      <c r="D331" s="25" t="s">
        <v>993</v>
      </c>
      <c r="E331" s="28">
        <v>0.20000</v>
      </c>
      <c r="F331" s="29">
        <f ca="1">ROUND(19.000,3)</f>
        <v>0</v>
      </c>
      <c r="G331" s="27">
        <f ca="1">ROUND(E331*F331,2)</f>
        <v>0</v>
      </c>
    </row>
    <row r="332" spans="1:7" ht="15.12" thickBot="1" customHeight="1">
      <c r="A332" s="26"/>
      <c r="B332" s="26"/>
      <c r="C332" s="26"/>
      <c r="D332" s="24" t="s">
        <v>994</v>
      </c>
      <c r="E332" s="28">
        <v>0.15000</v>
      </c>
      <c r="F332" s="29">
        <f ca="1">ROUND((G329+G330+G331),3)</f>
        <v>0</v>
      </c>
      <c r="G332" s="27">
        <f ca="1">ROUND(E332*F332,2)</f>
        <v>0</v>
      </c>
    </row>
    <row r="333" spans="1:7" ht="15.12" thickBot="1" customHeight="1">
      <c r="A333" s="24" t="s">
        <v>995</v>
      </c>
      <c r="B333" s="24"/>
      <c r="C333" s="24" t="s">
        <v>996</v>
      </c>
      <c r="D333" s="25" t="s">
        <v>997</v>
      </c>
      <c r="E333" s="28">
        <v>2.00000</v>
      </c>
      <c r="F333" s="29">
        <f ca="1">ROUND(6.570,3)</f>
        <v>0</v>
      </c>
      <c r="G333" s="27">
        <f ca="1">ROUND((E333*F333)/100,2)</f>
        <v>0</v>
      </c>
    </row>
    <row r="334" spans="1:7" ht="25.08" thickBot="1" customHeight="1">
      <c r="A334" s="30"/>
      <c r="B334" s="30"/>
      <c r="C334" s="30"/>
      <c r="D334" s="31" t="s">
        <v>998</v>
      </c>
      <c r="E334" s="30"/>
      <c r="F334" s="33">
        <f ca="1">ROUND((G326+G327+G328+G333)*(1+G2/100),2)</f>
        <v>0</v>
      </c>
      <c r="G334" s="30"/>
    </row>
    <row r="335" spans="1:7" ht="49.08" thickBot="1" customHeight="1">
      <c r="A335" s="34" t="s">
        <v>999</v>
      </c>
      <c r="B335" s="35" t="s">
        <v>1000</v>
      </c>
      <c r="C335" s="35" t="s">
        <v>1001</v>
      </c>
      <c r="D335" s="36" t="s">
        <v>1002</v>
      </c>
      <c r="E335" s="37"/>
      <c r="F335" s="38">
        <f ca="1">F345</f>
        <v>0</v>
      </c>
      <c r="G335" s="37"/>
    </row>
    <row r="336" spans="1:7" ht="21.36" thickBot="1" customHeight="1">
      <c r="A336" s="26"/>
      <c r="B336" s="26"/>
      <c r="C336" s="26"/>
      <c r="D336" s="25" t="s">
        <v>1003</v>
      </c>
      <c r="E336" s="25"/>
      <c r="F336" s="25"/>
      <c r="G336" s="25"/>
    </row>
    <row r="337" spans="1:7" ht="39.84" thickBot="1" customHeight="1">
      <c r="A337" s="24" t="s">
        <v>1004</v>
      </c>
      <c r="B337" s="24" t="s">
        <v>1005</v>
      </c>
      <c r="C337" s="24" t="s">
        <v>1006</v>
      </c>
      <c r="D337" s="25" t="s">
        <v>1007</v>
      </c>
      <c r="E337" s="28">
        <v>0.02100</v>
      </c>
      <c r="F337" s="29">
        <f ca="1">ROUND(9.130,3)</f>
        <v>0</v>
      </c>
      <c r="G337" s="27">
        <f ca="1">ROUND(E337*F337,2)</f>
        <v>0</v>
      </c>
    </row>
    <row r="338" spans="1:7" ht="24.36" thickBot="1" customHeight="1">
      <c r="A338" s="24" t="s">
        <v>1008</v>
      </c>
      <c r="B338" s="24" t="s">
        <v>1009</v>
      </c>
      <c r="C338" s="24" t="s">
        <v>1010</v>
      </c>
      <c r="D338" s="25" t="s">
        <v>1011</v>
      </c>
      <c r="E338" s="28">
        <v>0.25000</v>
      </c>
      <c r="F338" s="29">
        <f ca="1">ROUND(7.526,3)</f>
        <v>0</v>
      </c>
      <c r="G338" s="27">
        <f ca="1">ROUND(E338*F338,2)</f>
        <v>0</v>
      </c>
    </row>
    <row r="339" spans="1:7" ht="21.36" thickBot="1" customHeight="1">
      <c r="A339" s="24" t="s">
        <v>1012</v>
      </c>
      <c r="B339" s="24" t="s">
        <v>1013</v>
      </c>
      <c r="C339" s="24" t="s">
        <v>1014</v>
      </c>
      <c r="D339" s="25" t="s">
        <v>1015</v>
      </c>
      <c r="E339" s="28">
        <v>0.25000</v>
      </c>
      <c r="F339" s="29">
        <f ca="1">F343</f>
        <v>0</v>
      </c>
      <c r="G339" s="27">
        <f ca="1">ROUND(E339*F339,2)</f>
        <v>0</v>
      </c>
    </row>
    <row r="340" spans="1:7" ht="24.36" thickBot="1" customHeight="1">
      <c r="A340" s="24" t="s">
        <v>1016</v>
      </c>
      <c r="B340" s="24" t="s">
        <v>1017</v>
      </c>
      <c r="C340" s="24" t="s">
        <v>1018</v>
      </c>
      <c r="D340" s="25" t="s">
        <v>1019</v>
      </c>
      <c r="E340" s="28">
        <v>1.00000</v>
      </c>
      <c r="F340" s="29">
        <f ca="1">ROUND(21.000,3)</f>
        <v>0</v>
      </c>
      <c r="G340" s="27">
        <f ca="1">ROUND(E340*F340,2)</f>
        <v>0</v>
      </c>
    </row>
    <row r="341" spans="1:7" ht="24.36" thickBot="1" customHeight="1">
      <c r="A341" s="24" t="s">
        <v>1020</v>
      </c>
      <c r="B341" s="24" t="s">
        <v>1021</v>
      </c>
      <c r="C341" s="24" t="s">
        <v>1022</v>
      </c>
      <c r="D341" s="25" t="s">
        <v>1023</v>
      </c>
      <c r="E341" s="28">
        <v>1.00000</v>
      </c>
      <c r="F341" s="29">
        <f ca="1">ROUND(19.000,3)</f>
        <v>0</v>
      </c>
      <c r="G341" s="27">
        <f ca="1">ROUND(E341*F341,2)</f>
        <v>0</v>
      </c>
    </row>
    <row r="342" spans="1:7" ht="24.36" thickBot="1" customHeight="1">
      <c r="A342" s="24" t="s">
        <v>1024</v>
      </c>
      <c r="B342" s="24" t="s">
        <v>1025</v>
      </c>
      <c r="C342" s="24" t="s">
        <v>1026</v>
      </c>
      <c r="D342" s="25" t="s">
        <v>1027</v>
      </c>
      <c r="E342" s="28">
        <v>0.20000</v>
      </c>
      <c r="F342" s="29">
        <f ca="1">ROUND(19.000,3)</f>
        <v>0</v>
      </c>
      <c r="G342" s="27">
        <f ca="1">ROUND(E342*F342,2)</f>
        <v>0</v>
      </c>
    </row>
    <row r="343" spans="1:7" ht="15.12" thickBot="1" customHeight="1">
      <c r="A343" s="26"/>
      <c r="B343" s="26"/>
      <c r="C343" s="26"/>
      <c r="D343" s="24" t="s">
        <v>1028</v>
      </c>
      <c r="E343" s="28">
        <v>0.25000</v>
      </c>
      <c r="F343" s="29">
        <f ca="1">ROUND((G340+G341+G342),3)</f>
        <v>0</v>
      </c>
      <c r="G343" s="27">
        <f ca="1">ROUND(E343*F343,2)</f>
        <v>0</v>
      </c>
    </row>
    <row r="344" spans="1:7" ht="15.12" thickBot="1" customHeight="1">
      <c r="A344" s="24" t="s">
        <v>1029</v>
      </c>
      <c r="B344" s="24"/>
      <c r="C344" s="24" t="s">
        <v>1030</v>
      </c>
      <c r="D344" s="25" t="s">
        <v>1031</v>
      </c>
      <c r="E344" s="28">
        <v>2.00000</v>
      </c>
      <c r="F344" s="29">
        <f ca="1">ROUND(10.950,3)</f>
        <v>0</v>
      </c>
      <c r="G344" s="27">
        <f ca="1">ROUND((E344*F344)/100,2)</f>
        <v>0</v>
      </c>
    </row>
    <row r="345" spans="1:7" ht="25.08" thickBot="1" customHeight="1">
      <c r="A345" s="30"/>
      <c r="B345" s="30"/>
      <c r="C345" s="30"/>
      <c r="D345" s="31" t="s">
        <v>1032</v>
      </c>
      <c r="E345" s="30"/>
      <c r="F345" s="33">
        <f ca="1">ROUND((G337+G338+G339+G344)*(1+G2/100),2)</f>
        <v>0</v>
      </c>
      <c r="G345" s="30"/>
    </row>
    <row r="346" spans="1:7" ht="49.08" thickBot="1" customHeight="1">
      <c r="A346" s="34" t="s">
        <v>1033</v>
      </c>
      <c r="B346" s="35" t="s">
        <v>1034</v>
      </c>
      <c r="C346" s="35" t="s">
        <v>1035</v>
      </c>
      <c r="D346" s="36" t="s">
        <v>1036</v>
      </c>
      <c r="E346" s="37"/>
      <c r="F346" s="38">
        <f ca="1">F356</f>
        <v>0</v>
      </c>
      <c r="G346" s="37"/>
    </row>
    <row r="347" spans="1:7" ht="21.36" thickBot="1" customHeight="1">
      <c r="A347" s="26"/>
      <c r="B347" s="26"/>
      <c r="C347" s="26"/>
      <c r="D347" s="25" t="s">
        <v>1037</v>
      </c>
      <c r="E347" s="25"/>
      <c r="F347" s="25"/>
      <c r="G347" s="25"/>
    </row>
    <row r="348" spans="1:7" ht="30.60" thickBot="1" customHeight="1">
      <c r="A348" s="24" t="s">
        <v>1038</v>
      </c>
      <c r="B348" s="24" t="s">
        <v>1039</v>
      </c>
      <c r="C348" s="24" t="s">
        <v>1040</v>
      </c>
      <c r="D348" s="25" t="s">
        <v>1041</v>
      </c>
      <c r="E348" s="28">
        <v>0.06600</v>
      </c>
      <c r="F348" s="29">
        <f ca="1">ROUND(2.560,3)</f>
        <v>0</v>
      </c>
      <c r="G348" s="27">
        <f ca="1">ROUND(E348*F348,2)</f>
        <v>0</v>
      </c>
    </row>
    <row r="349" spans="1:7" ht="24.36" thickBot="1" customHeight="1">
      <c r="A349" s="24" t="s">
        <v>1042</v>
      </c>
      <c r="B349" s="24" t="s">
        <v>1043</v>
      </c>
      <c r="C349" s="24" t="s">
        <v>1044</v>
      </c>
      <c r="D349" s="25" t="s">
        <v>1045</v>
      </c>
      <c r="E349" s="28">
        <v>0.15000</v>
      </c>
      <c r="F349" s="29">
        <f ca="1">ROUND(7.526,3)</f>
        <v>0</v>
      </c>
      <c r="G349" s="27">
        <f ca="1">ROUND(E349*F349,2)</f>
        <v>0</v>
      </c>
    </row>
    <row r="350" spans="1:7" ht="21.36" thickBot="1" customHeight="1">
      <c r="A350" s="24" t="s">
        <v>1046</v>
      </c>
      <c r="B350" s="24" t="s">
        <v>1047</v>
      </c>
      <c r="C350" s="24" t="s">
        <v>1048</v>
      </c>
      <c r="D350" s="25" t="s">
        <v>1049</v>
      </c>
      <c r="E350" s="28">
        <v>0.15000</v>
      </c>
      <c r="F350" s="29">
        <f ca="1">F354</f>
        <v>0</v>
      </c>
      <c r="G350" s="27">
        <f ca="1">ROUND(E350*F350,2)</f>
        <v>0</v>
      </c>
    </row>
    <row r="351" spans="1:7" ht="24.36" thickBot="1" customHeight="1">
      <c r="A351" s="24" t="s">
        <v>1050</v>
      </c>
      <c r="B351" s="24" t="s">
        <v>1051</v>
      </c>
      <c r="C351" s="24" t="s">
        <v>1052</v>
      </c>
      <c r="D351" s="25" t="s">
        <v>1053</v>
      </c>
      <c r="E351" s="28">
        <v>1.00000</v>
      </c>
      <c r="F351" s="29">
        <f ca="1">ROUND(21.000,3)</f>
        <v>0</v>
      </c>
      <c r="G351" s="27">
        <f ca="1">ROUND(E351*F351,2)</f>
        <v>0</v>
      </c>
    </row>
    <row r="352" spans="1:7" ht="24.36" thickBot="1" customHeight="1">
      <c r="A352" s="24" t="s">
        <v>1054</v>
      </c>
      <c r="B352" s="24" t="s">
        <v>1055</v>
      </c>
      <c r="C352" s="24" t="s">
        <v>1056</v>
      </c>
      <c r="D352" s="25" t="s">
        <v>1057</v>
      </c>
      <c r="E352" s="28">
        <v>1.00000</v>
      </c>
      <c r="F352" s="29">
        <f ca="1">ROUND(19.000,3)</f>
        <v>0</v>
      </c>
      <c r="G352" s="27">
        <f ca="1">ROUND(E352*F352,2)</f>
        <v>0</v>
      </c>
    </row>
    <row r="353" spans="1:7" ht="24.36" thickBot="1" customHeight="1">
      <c r="A353" s="24" t="s">
        <v>1058</v>
      </c>
      <c r="B353" s="24" t="s">
        <v>1059</v>
      </c>
      <c r="C353" s="24" t="s">
        <v>1060</v>
      </c>
      <c r="D353" s="25" t="s">
        <v>1061</v>
      </c>
      <c r="E353" s="28">
        <v>0.20000</v>
      </c>
      <c r="F353" s="29">
        <f ca="1">ROUND(19.000,3)</f>
        <v>0</v>
      </c>
      <c r="G353" s="27">
        <f ca="1">ROUND(E353*F353,2)</f>
        <v>0</v>
      </c>
    </row>
    <row r="354" spans="1:7" ht="15.12" thickBot="1" customHeight="1">
      <c r="A354" s="26"/>
      <c r="B354" s="26"/>
      <c r="C354" s="26"/>
      <c r="D354" s="24" t="s">
        <v>1062</v>
      </c>
      <c r="E354" s="28">
        <v>0.15000</v>
      </c>
      <c r="F354" s="29">
        <f ca="1">ROUND((G351+G352+G353),3)</f>
        <v>0</v>
      </c>
      <c r="G354" s="27">
        <f ca="1">ROUND(E354*F354,2)</f>
        <v>0</v>
      </c>
    </row>
    <row r="355" spans="1:7" ht="15.12" thickBot="1" customHeight="1">
      <c r="A355" s="24" t="s">
        <v>1063</v>
      </c>
      <c r="B355" s="24"/>
      <c r="C355" s="24" t="s">
        <v>1064</v>
      </c>
      <c r="D355" s="25" t="s">
        <v>1065</v>
      </c>
      <c r="E355" s="28">
        <v>2.00000</v>
      </c>
      <c r="F355" s="29">
        <f ca="1">ROUND(6.570,3)</f>
        <v>0</v>
      </c>
      <c r="G355" s="27">
        <f ca="1">ROUND((E355*F355)/100,2)</f>
        <v>0</v>
      </c>
    </row>
    <row r="356" spans="1:7" ht="25.08" thickBot="1" customHeight="1">
      <c r="A356" s="30"/>
      <c r="B356" s="30"/>
      <c r="C356" s="30"/>
      <c r="D356" s="31" t="s">
        <v>1066</v>
      </c>
      <c r="E356" s="30"/>
      <c r="F356" s="33">
        <f ca="1">ROUND((G348+G349+G350+G355)*(1+G2/100),2)</f>
        <v>0</v>
      </c>
      <c r="G356" s="30"/>
    </row>
    <row r="357" spans="1:7" ht="49.08" thickBot="1" customHeight="1">
      <c r="A357" s="34" t="s">
        <v>1067</v>
      </c>
      <c r="B357" s="35" t="s">
        <v>1068</v>
      </c>
      <c r="C357" s="35" t="s">
        <v>1069</v>
      </c>
      <c r="D357" s="36" t="s">
        <v>1070</v>
      </c>
      <c r="E357" s="37"/>
      <c r="F357" s="38">
        <f ca="1">F367</f>
        <v>0</v>
      </c>
      <c r="G357" s="37"/>
    </row>
    <row r="358" spans="1:7" ht="21.36" thickBot="1" customHeight="1">
      <c r="A358" s="26"/>
      <c r="B358" s="26"/>
      <c r="C358" s="26"/>
      <c r="D358" s="25" t="s">
        <v>1071</v>
      </c>
      <c r="E358" s="25"/>
      <c r="F358" s="25"/>
      <c r="G358" s="25"/>
    </row>
    <row r="359" spans="1:7" ht="30.60" thickBot="1" customHeight="1">
      <c r="A359" s="24" t="s">
        <v>1072</v>
      </c>
      <c r="B359" s="24" t="s">
        <v>1073</v>
      </c>
      <c r="C359" s="24" t="s">
        <v>1074</v>
      </c>
      <c r="D359" s="25" t="s">
        <v>1075</v>
      </c>
      <c r="E359" s="28">
        <v>0.06600</v>
      </c>
      <c r="F359" s="29">
        <f ca="1">ROUND(2.560,3)</f>
        <v>0</v>
      </c>
      <c r="G359" s="27">
        <f ca="1">ROUND(E359*F359,2)</f>
        <v>0</v>
      </c>
    </row>
    <row r="360" spans="1:7" ht="24.36" thickBot="1" customHeight="1">
      <c r="A360" s="24" t="s">
        <v>1076</v>
      </c>
      <c r="B360" s="24" t="s">
        <v>1077</v>
      </c>
      <c r="C360" s="24" t="s">
        <v>1078</v>
      </c>
      <c r="D360" s="25" t="s">
        <v>1079</v>
      </c>
      <c r="E360" s="28">
        <v>0.25000</v>
      </c>
      <c r="F360" s="29">
        <f ca="1">ROUND(7.526,3)</f>
        <v>0</v>
      </c>
      <c r="G360" s="27">
        <f ca="1">ROUND(E360*F360,2)</f>
        <v>0</v>
      </c>
    </row>
    <row r="361" spans="1:7" ht="21.36" thickBot="1" customHeight="1">
      <c r="A361" s="24" t="s">
        <v>1080</v>
      </c>
      <c r="B361" s="24" t="s">
        <v>1081</v>
      </c>
      <c r="C361" s="24" t="s">
        <v>1082</v>
      </c>
      <c r="D361" s="25" t="s">
        <v>1083</v>
      </c>
      <c r="E361" s="28">
        <v>0.25000</v>
      </c>
      <c r="F361" s="29">
        <f ca="1">F365</f>
        <v>0</v>
      </c>
      <c r="G361" s="27">
        <f ca="1">ROUND(E361*F361,2)</f>
        <v>0</v>
      </c>
    </row>
    <row r="362" spans="1:7" ht="24.36" thickBot="1" customHeight="1">
      <c r="A362" s="24" t="s">
        <v>1084</v>
      </c>
      <c r="B362" s="24" t="s">
        <v>1085</v>
      </c>
      <c r="C362" s="24" t="s">
        <v>1086</v>
      </c>
      <c r="D362" s="25" t="s">
        <v>1087</v>
      </c>
      <c r="E362" s="28">
        <v>1.00000</v>
      </c>
      <c r="F362" s="29">
        <f ca="1">ROUND(21.000,3)</f>
        <v>0</v>
      </c>
      <c r="G362" s="27">
        <f ca="1">ROUND(E362*F362,2)</f>
        <v>0</v>
      </c>
    </row>
    <row r="363" spans="1:7" ht="24.36" thickBot="1" customHeight="1">
      <c r="A363" s="24" t="s">
        <v>1088</v>
      </c>
      <c r="B363" s="24" t="s">
        <v>1089</v>
      </c>
      <c r="C363" s="24" t="s">
        <v>1090</v>
      </c>
      <c r="D363" s="25" t="s">
        <v>1091</v>
      </c>
      <c r="E363" s="28">
        <v>1.00000</v>
      </c>
      <c r="F363" s="29">
        <f ca="1">ROUND(19.000,3)</f>
        <v>0</v>
      </c>
      <c r="G363" s="27">
        <f ca="1">ROUND(E363*F363,2)</f>
        <v>0</v>
      </c>
    </row>
    <row r="364" spans="1:7" ht="24.36" thickBot="1" customHeight="1">
      <c r="A364" s="24" t="s">
        <v>1092</v>
      </c>
      <c r="B364" s="24" t="s">
        <v>1093</v>
      </c>
      <c r="C364" s="24" t="s">
        <v>1094</v>
      </c>
      <c r="D364" s="25" t="s">
        <v>1095</v>
      </c>
      <c r="E364" s="28">
        <v>0.20000</v>
      </c>
      <c r="F364" s="29">
        <f ca="1">ROUND(19.000,3)</f>
        <v>0</v>
      </c>
      <c r="G364" s="27">
        <f ca="1">ROUND(E364*F364,2)</f>
        <v>0</v>
      </c>
    </row>
    <row r="365" spans="1:7" ht="15.12" thickBot="1" customHeight="1">
      <c r="A365" s="26"/>
      <c r="B365" s="26"/>
      <c r="C365" s="26"/>
      <c r="D365" s="24" t="s">
        <v>1096</v>
      </c>
      <c r="E365" s="28">
        <v>0.25000</v>
      </c>
      <c r="F365" s="29">
        <f ca="1">ROUND((G362+G363+G364),3)</f>
        <v>0</v>
      </c>
      <c r="G365" s="27">
        <f ca="1">ROUND(E365*F365,2)</f>
        <v>0</v>
      </c>
    </row>
    <row r="366" spans="1:7" ht="15.12" thickBot="1" customHeight="1">
      <c r="A366" s="24" t="s">
        <v>1097</v>
      </c>
      <c r="B366" s="24"/>
      <c r="C366" s="24" t="s">
        <v>1098</v>
      </c>
      <c r="D366" s="25" t="s">
        <v>1099</v>
      </c>
      <c r="E366" s="28">
        <v>2.00000</v>
      </c>
      <c r="F366" s="29">
        <f ca="1">ROUND(10.950,3)</f>
        <v>0</v>
      </c>
      <c r="G366" s="27">
        <f ca="1">ROUND((E366*F366)/100,2)</f>
        <v>0</v>
      </c>
    </row>
    <row r="367" spans="1:7" ht="25.08" thickBot="1" customHeight="1">
      <c r="A367" s="30"/>
      <c r="B367" s="30"/>
      <c r="C367" s="30"/>
      <c r="D367" s="31" t="s">
        <v>1100</v>
      </c>
      <c r="E367" s="30"/>
      <c r="F367" s="33">
        <f ca="1">ROUND((G359+G360+G361+G366)*(1+G2/100),2)</f>
        <v>0</v>
      </c>
      <c r="G367" s="30"/>
    </row>
    <row r="368" spans="1:7" ht="34.68" thickBot="1" customHeight="1">
      <c r="A368" s="34" t="s">
        <v>1101</v>
      </c>
      <c r="B368" s="35" t="s">
        <v>1102</v>
      </c>
      <c r="C368" s="35" t="s">
        <v>1103</v>
      </c>
      <c r="D368" s="36" t="s">
        <v>1104</v>
      </c>
      <c r="E368" s="37"/>
      <c r="F368" s="38">
        <f ca="1">F377</f>
        <v>0</v>
      </c>
      <c r="G368" s="37"/>
    </row>
    <row r="369" spans="1:7" ht="12.12" thickBot="1" customHeight="1">
      <c r="A369" s="26"/>
      <c r="B369" s="26"/>
      <c r="C369" s="26"/>
      <c r="D369" s="25" t="s">
        <v>1105</v>
      </c>
      <c r="E369" s="25"/>
      <c r="F369" s="25"/>
      <c r="G369" s="25"/>
    </row>
    <row r="370" spans="1:7" ht="24.36" thickBot="1" customHeight="1">
      <c r="A370" s="24" t="s">
        <v>1106</v>
      </c>
      <c r="B370" s="24" t="s">
        <v>1107</v>
      </c>
      <c r="C370" s="24" t="s">
        <v>1108</v>
      </c>
      <c r="D370" s="25" t="s">
        <v>1109</v>
      </c>
      <c r="E370" s="28">
        <v>0.16330</v>
      </c>
      <c r="F370" s="29">
        <f ca="1">ROUND(7.526,3)</f>
        <v>0</v>
      </c>
      <c r="G370" s="27">
        <f ca="1">ROUND(E370*F370,2)</f>
        <v>0</v>
      </c>
    </row>
    <row r="371" spans="1:7" ht="21.36" thickBot="1" customHeight="1">
      <c r="A371" s="24" t="s">
        <v>1110</v>
      </c>
      <c r="B371" s="24" t="s">
        <v>1111</v>
      </c>
      <c r="C371" s="24" t="s">
        <v>1112</v>
      </c>
      <c r="D371" s="25" t="s">
        <v>1113</v>
      </c>
      <c r="E371" s="28">
        <v>0.16330</v>
      </c>
      <c r="F371" s="29">
        <f ca="1">F375</f>
        <v>0</v>
      </c>
      <c r="G371" s="27">
        <f ca="1">ROUND(E371*F371,2)</f>
        <v>0</v>
      </c>
    </row>
    <row r="372" spans="1:7" ht="24.36" thickBot="1" customHeight="1">
      <c r="A372" s="24" t="s">
        <v>1114</v>
      </c>
      <c r="B372" s="24" t="s">
        <v>1115</v>
      </c>
      <c r="C372" s="24" t="s">
        <v>1116</v>
      </c>
      <c r="D372" s="25" t="s">
        <v>1117</v>
      </c>
      <c r="E372" s="28">
        <v>1.00000</v>
      </c>
      <c r="F372" s="29">
        <f ca="1">ROUND(21.000,3)</f>
        <v>0</v>
      </c>
      <c r="G372" s="27">
        <f ca="1">ROUND(E372*F372,2)</f>
        <v>0</v>
      </c>
    </row>
    <row r="373" spans="1:7" ht="24.36" thickBot="1" customHeight="1">
      <c r="A373" s="24" t="s">
        <v>1118</v>
      </c>
      <c r="B373" s="24" t="s">
        <v>1119</v>
      </c>
      <c r="C373" s="24" t="s">
        <v>1120</v>
      </c>
      <c r="D373" s="25" t="s">
        <v>1121</v>
      </c>
      <c r="E373" s="28">
        <v>1.00000</v>
      </c>
      <c r="F373" s="29">
        <f ca="1">ROUND(19.000,3)</f>
        <v>0</v>
      </c>
      <c r="G373" s="27">
        <f ca="1">ROUND(E373*F373,2)</f>
        <v>0</v>
      </c>
    </row>
    <row r="374" spans="1:7" ht="24.36" thickBot="1" customHeight="1">
      <c r="A374" s="24" t="s">
        <v>1122</v>
      </c>
      <c r="B374" s="24" t="s">
        <v>1123</v>
      </c>
      <c r="C374" s="24" t="s">
        <v>1124</v>
      </c>
      <c r="D374" s="25" t="s">
        <v>1125</v>
      </c>
      <c r="E374" s="28">
        <v>0.20000</v>
      </c>
      <c r="F374" s="29">
        <f ca="1">ROUND(19.000,3)</f>
        <v>0</v>
      </c>
      <c r="G374" s="27">
        <f ca="1">ROUND(E374*F374,2)</f>
        <v>0</v>
      </c>
    </row>
    <row r="375" spans="1:7" ht="15.12" thickBot="1" customHeight="1">
      <c r="A375" s="26"/>
      <c r="B375" s="26"/>
      <c r="C375" s="26"/>
      <c r="D375" s="24" t="s">
        <v>1126</v>
      </c>
      <c r="E375" s="28">
        <v>0.16330</v>
      </c>
      <c r="F375" s="29">
        <f ca="1">ROUND((G372+G373+G374),3)</f>
        <v>0</v>
      </c>
      <c r="G375" s="27">
        <f ca="1">ROUND(E375*F375,2)</f>
        <v>0</v>
      </c>
    </row>
    <row r="376" spans="1:7" ht="15.12" thickBot="1" customHeight="1">
      <c r="A376" s="24" t="s">
        <v>1127</v>
      </c>
      <c r="B376" s="24"/>
      <c r="C376" s="24" t="s">
        <v>1128</v>
      </c>
      <c r="D376" s="25" t="s">
        <v>1129</v>
      </c>
      <c r="E376" s="28">
        <v>2.00000</v>
      </c>
      <c r="F376" s="29">
        <f ca="1">ROUND(7.150,3)</f>
        <v>0</v>
      </c>
      <c r="G376" s="27">
        <f ca="1">ROUND((E376*F376)/100,2)</f>
        <v>0</v>
      </c>
    </row>
    <row r="377" spans="1:7" ht="25.08" thickBot="1" customHeight="1">
      <c r="A377" s="30"/>
      <c r="B377" s="30"/>
      <c r="C377" s="30"/>
      <c r="D377" s="31" t="s">
        <v>1130</v>
      </c>
      <c r="E377" s="30"/>
      <c r="F377" s="33">
        <f ca="1">ROUND((G370+G371+G376)*(1+G2/100),2)</f>
        <v>0</v>
      </c>
      <c r="G377" s="30"/>
    </row>
    <row r="378" spans="1:7" ht="34.68" thickBot="1" customHeight="1">
      <c r="A378" s="34" t="s">
        <v>1131</v>
      </c>
      <c r="B378" s="35" t="s">
        <v>1132</v>
      </c>
      <c r="C378" s="35" t="s">
        <v>1133</v>
      </c>
      <c r="D378" s="36" t="s">
        <v>1134</v>
      </c>
      <c r="E378" s="37"/>
      <c r="F378" s="38">
        <f ca="1">F387</f>
        <v>0</v>
      </c>
      <c r="G378" s="37"/>
    </row>
    <row r="379" spans="1:7" ht="21.36" thickBot="1" customHeight="1">
      <c r="A379" s="26"/>
      <c r="B379" s="26"/>
      <c r="C379" s="26"/>
      <c r="D379" s="25" t="s">
        <v>1135</v>
      </c>
      <c r="E379" s="25"/>
      <c r="F379" s="25"/>
      <c r="G379" s="25"/>
    </row>
    <row r="380" spans="1:7" ht="24.36" thickBot="1" customHeight="1">
      <c r="A380" s="24" t="s">
        <v>1136</v>
      </c>
      <c r="B380" s="24" t="s">
        <v>1137</v>
      </c>
      <c r="C380" s="24" t="s">
        <v>1138</v>
      </c>
      <c r="D380" s="25" t="s">
        <v>1139</v>
      </c>
      <c r="E380" s="28">
        <v>0.27210</v>
      </c>
      <c r="F380" s="29">
        <f ca="1">ROUND(7.526,3)</f>
        <v>0</v>
      </c>
      <c r="G380" s="27">
        <f ca="1">ROUND(E380*F380,2)</f>
        <v>0</v>
      </c>
    </row>
    <row r="381" spans="1:7" ht="21.36" thickBot="1" customHeight="1">
      <c r="A381" s="24" t="s">
        <v>1140</v>
      </c>
      <c r="B381" s="24" t="s">
        <v>1141</v>
      </c>
      <c r="C381" s="24" t="s">
        <v>1142</v>
      </c>
      <c r="D381" s="25" t="s">
        <v>1143</v>
      </c>
      <c r="E381" s="28">
        <v>0.27210</v>
      </c>
      <c r="F381" s="29">
        <f ca="1">F385</f>
        <v>0</v>
      </c>
      <c r="G381" s="27">
        <f ca="1">ROUND(E381*F381,2)</f>
        <v>0</v>
      </c>
    </row>
    <row r="382" spans="1:7" ht="24.36" thickBot="1" customHeight="1">
      <c r="A382" s="24" t="s">
        <v>1144</v>
      </c>
      <c r="B382" s="24" t="s">
        <v>1145</v>
      </c>
      <c r="C382" s="24" t="s">
        <v>1146</v>
      </c>
      <c r="D382" s="25" t="s">
        <v>1147</v>
      </c>
      <c r="E382" s="28">
        <v>1.00000</v>
      </c>
      <c r="F382" s="29">
        <f ca="1">ROUND(21.000,3)</f>
        <v>0</v>
      </c>
      <c r="G382" s="27">
        <f ca="1">ROUND(E382*F382,2)</f>
        <v>0</v>
      </c>
    </row>
    <row r="383" spans="1:7" ht="24.36" thickBot="1" customHeight="1">
      <c r="A383" s="24" t="s">
        <v>1148</v>
      </c>
      <c r="B383" s="24" t="s">
        <v>1149</v>
      </c>
      <c r="C383" s="24" t="s">
        <v>1150</v>
      </c>
      <c r="D383" s="25" t="s">
        <v>1151</v>
      </c>
      <c r="E383" s="28">
        <v>1.00000</v>
      </c>
      <c r="F383" s="29">
        <f ca="1">ROUND(19.000,3)</f>
        <v>0</v>
      </c>
      <c r="G383" s="27">
        <f ca="1">ROUND(E383*F383,2)</f>
        <v>0</v>
      </c>
    </row>
    <row r="384" spans="1:7" ht="24.36" thickBot="1" customHeight="1">
      <c r="A384" s="24" t="s">
        <v>1152</v>
      </c>
      <c r="B384" s="24" t="s">
        <v>1153</v>
      </c>
      <c r="C384" s="24" t="s">
        <v>1154</v>
      </c>
      <c r="D384" s="25" t="s">
        <v>1155</v>
      </c>
      <c r="E384" s="28">
        <v>0.20000</v>
      </c>
      <c r="F384" s="29">
        <f ca="1">ROUND(19.000,3)</f>
        <v>0</v>
      </c>
      <c r="G384" s="27">
        <f ca="1">ROUND(E384*F384,2)</f>
        <v>0</v>
      </c>
    </row>
    <row r="385" spans="1:7" ht="15.12" thickBot="1" customHeight="1">
      <c r="A385" s="26"/>
      <c r="B385" s="26"/>
      <c r="C385" s="26"/>
      <c r="D385" s="24" t="s">
        <v>1156</v>
      </c>
      <c r="E385" s="28">
        <v>0.27210</v>
      </c>
      <c r="F385" s="29">
        <f ca="1">ROUND((G382+G383+G384),3)</f>
        <v>0</v>
      </c>
      <c r="G385" s="27">
        <f ca="1">ROUND(E385*F385,2)</f>
        <v>0</v>
      </c>
    </row>
    <row r="386" spans="1:7" ht="15.12" thickBot="1" customHeight="1">
      <c r="A386" s="24" t="s">
        <v>1157</v>
      </c>
      <c r="B386" s="24"/>
      <c r="C386" s="24" t="s">
        <v>1158</v>
      </c>
      <c r="D386" s="25" t="s">
        <v>1159</v>
      </c>
      <c r="E386" s="28">
        <v>2.00000</v>
      </c>
      <c r="F386" s="29">
        <f ca="1">ROUND(11.920,3)</f>
        <v>0</v>
      </c>
      <c r="G386" s="27">
        <f ca="1">ROUND((E386*F386)/100,2)</f>
        <v>0</v>
      </c>
    </row>
    <row r="387" spans="1:7" ht="25.08" thickBot="1" customHeight="1">
      <c r="A387" s="30"/>
      <c r="B387" s="30"/>
      <c r="C387" s="30"/>
      <c r="D387" s="31" t="s">
        <v>1160</v>
      </c>
      <c r="E387" s="30"/>
      <c r="F387" s="33">
        <f ca="1">ROUND((G380+G381+G386)*(1+G2/100),2)</f>
        <v>0</v>
      </c>
      <c r="G387" s="30"/>
    </row>
    <row r="388" spans="1:7" ht="39.84" thickBot="1" customHeight="1">
      <c r="A388" s="34" t="s">
        <v>1161</v>
      </c>
      <c r="B388" s="35" t="s">
        <v>1162</v>
      </c>
      <c r="C388" s="35" t="s">
        <v>1163</v>
      </c>
      <c r="D388" s="36" t="s">
        <v>1164</v>
      </c>
      <c r="E388" s="37"/>
      <c r="F388" s="38">
        <f ca="1">F398</f>
        <v>0</v>
      </c>
      <c r="G388" s="37"/>
    </row>
    <row r="389" spans="1:7" ht="21.36" thickBot="1" customHeight="1">
      <c r="A389" s="26"/>
      <c r="B389" s="26"/>
      <c r="C389" s="26"/>
      <c r="D389" s="25" t="s">
        <v>1165</v>
      </c>
      <c r="E389" s="25"/>
      <c r="F389" s="25"/>
      <c r="G389" s="25"/>
    </row>
    <row r="390" spans="1:7" ht="39.84" thickBot="1" customHeight="1">
      <c r="A390" s="24" t="s">
        <v>1166</v>
      </c>
      <c r="B390" s="24" t="s">
        <v>1167</v>
      </c>
      <c r="C390" s="24" t="s">
        <v>1168</v>
      </c>
      <c r="D390" s="25" t="s">
        <v>1169</v>
      </c>
      <c r="E390" s="28">
        <v>0.02100</v>
      </c>
      <c r="F390" s="29">
        <f ca="1">ROUND(9.130,3)</f>
        <v>0</v>
      </c>
      <c r="G390" s="27">
        <f ca="1">ROUND(E390*F390,2)</f>
        <v>0</v>
      </c>
    </row>
    <row r="391" spans="1:7" ht="24.36" thickBot="1" customHeight="1">
      <c r="A391" s="24" t="s">
        <v>1170</v>
      </c>
      <c r="B391" s="24" t="s">
        <v>1171</v>
      </c>
      <c r="C391" s="24" t="s">
        <v>1172</v>
      </c>
      <c r="D391" s="25" t="s">
        <v>1173</v>
      </c>
      <c r="E391" s="28">
        <v>0.17150</v>
      </c>
      <c r="F391" s="29">
        <f ca="1">ROUND(7.526,3)</f>
        <v>0</v>
      </c>
      <c r="G391" s="27">
        <f ca="1">ROUND(E391*F391,2)</f>
        <v>0</v>
      </c>
    </row>
    <row r="392" spans="1:7" ht="21.36" thickBot="1" customHeight="1">
      <c r="A392" s="24" t="s">
        <v>1174</v>
      </c>
      <c r="B392" s="24" t="s">
        <v>1175</v>
      </c>
      <c r="C392" s="24" t="s">
        <v>1176</v>
      </c>
      <c r="D392" s="25" t="s">
        <v>1177</v>
      </c>
      <c r="E392" s="28">
        <v>0.17150</v>
      </c>
      <c r="F392" s="29">
        <f ca="1">F396</f>
        <v>0</v>
      </c>
      <c r="G392" s="27">
        <f ca="1">ROUND(E392*F392,2)</f>
        <v>0</v>
      </c>
    </row>
    <row r="393" spans="1:7" ht="24.36" thickBot="1" customHeight="1">
      <c r="A393" s="24" t="s">
        <v>1178</v>
      </c>
      <c r="B393" s="24" t="s">
        <v>1179</v>
      </c>
      <c r="C393" s="24" t="s">
        <v>1180</v>
      </c>
      <c r="D393" s="25" t="s">
        <v>1181</v>
      </c>
      <c r="E393" s="28">
        <v>1.00000</v>
      </c>
      <c r="F393" s="29">
        <f ca="1">ROUND(21.000,3)</f>
        <v>0</v>
      </c>
      <c r="G393" s="27">
        <f ca="1">ROUND(E393*F393,2)</f>
        <v>0</v>
      </c>
    </row>
    <row r="394" spans="1:7" ht="24.36" thickBot="1" customHeight="1">
      <c r="A394" s="24" t="s">
        <v>1182</v>
      </c>
      <c r="B394" s="24" t="s">
        <v>1183</v>
      </c>
      <c r="C394" s="24" t="s">
        <v>1184</v>
      </c>
      <c r="D394" s="25" t="s">
        <v>1185</v>
      </c>
      <c r="E394" s="28">
        <v>1.00000</v>
      </c>
      <c r="F394" s="29">
        <f ca="1">ROUND(19.000,3)</f>
        <v>0</v>
      </c>
      <c r="G394" s="27">
        <f ca="1">ROUND(E394*F394,2)</f>
        <v>0</v>
      </c>
    </row>
    <row r="395" spans="1:7" ht="24.36" thickBot="1" customHeight="1">
      <c r="A395" s="24" t="s">
        <v>1186</v>
      </c>
      <c r="B395" s="24" t="s">
        <v>1187</v>
      </c>
      <c r="C395" s="24" t="s">
        <v>1188</v>
      </c>
      <c r="D395" s="25" t="s">
        <v>1189</v>
      </c>
      <c r="E395" s="28">
        <v>0.20000</v>
      </c>
      <c r="F395" s="29">
        <f ca="1">ROUND(19.000,3)</f>
        <v>0</v>
      </c>
      <c r="G395" s="27">
        <f ca="1">ROUND(E395*F395,2)</f>
        <v>0</v>
      </c>
    </row>
    <row r="396" spans="1:7" ht="15.12" thickBot="1" customHeight="1">
      <c r="A396" s="26"/>
      <c r="B396" s="26"/>
      <c r="C396" s="26"/>
      <c r="D396" s="24" t="s">
        <v>1190</v>
      </c>
      <c r="E396" s="28">
        <v>0.17150</v>
      </c>
      <c r="F396" s="29">
        <f ca="1">ROUND((G393+G394+G395),3)</f>
        <v>0</v>
      </c>
      <c r="G396" s="27">
        <f ca="1">ROUND(E396*F396,2)</f>
        <v>0</v>
      </c>
    </row>
    <row r="397" spans="1:7" ht="15.12" thickBot="1" customHeight="1">
      <c r="A397" s="24" t="s">
        <v>1191</v>
      </c>
      <c r="B397" s="24"/>
      <c r="C397" s="24" t="s">
        <v>1192</v>
      </c>
      <c r="D397" s="25" t="s">
        <v>1193</v>
      </c>
      <c r="E397" s="28">
        <v>2.00000</v>
      </c>
      <c r="F397" s="29">
        <f ca="1">ROUND(7.510,3)</f>
        <v>0</v>
      </c>
      <c r="G397" s="27">
        <f ca="1">ROUND((E397*F397)/100,2)</f>
        <v>0</v>
      </c>
    </row>
    <row r="398" spans="1:7" ht="25.08" thickBot="1" customHeight="1">
      <c r="A398" s="30"/>
      <c r="B398" s="30"/>
      <c r="C398" s="30"/>
      <c r="D398" s="31" t="s">
        <v>1194</v>
      </c>
      <c r="E398" s="30"/>
      <c r="F398" s="33">
        <f ca="1">ROUND((G390+G391+G392+G397)*(1+G2/100),2)</f>
        <v>0</v>
      </c>
      <c r="G398" s="30"/>
    </row>
    <row r="399" spans="1:7" ht="39.84" thickBot="1" customHeight="1">
      <c r="A399" s="34" t="s">
        <v>1195</v>
      </c>
      <c r="B399" s="35" t="s">
        <v>1196</v>
      </c>
      <c r="C399" s="35" t="s">
        <v>1197</v>
      </c>
      <c r="D399" s="36" t="s">
        <v>1198</v>
      </c>
      <c r="E399" s="37"/>
      <c r="F399" s="38">
        <f ca="1">F409</f>
        <v>0</v>
      </c>
      <c r="G399" s="37"/>
    </row>
    <row r="400" spans="1:7" ht="21.36" thickBot="1" customHeight="1">
      <c r="A400" s="26"/>
      <c r="B400" s="26"/>
      <c r="C400" s="26"/>
      <c r="D400" s="25" t="s">
        <v>1199</v>
      </c>
      <c r="E400" s="25"/>
      <c r="F400" s="25"/>
      <c r="G400" s="25"/>
    </row>
    <row r="401" spans="1:7" ht="39.84" thickBot="1" customHeight="1">
      <c r="A401" s="24" t="s">
        <v>1200</v>
      </c>
      <c r="B401" s="24" t="s">
        <v>1201</v>
      </c>
      <c r="C401" s="24" t="s">
        <v>1202</v>
      </c>
      <c r="D401" s="25" t="s">
        <v>1203</v>
      </c>
      <c r="E401" s="28">
        <v>0.02100</v>
      </c>
      <c r="F401" s="29">
        <f ca="1">ROUND(9.130,3)</f>
        <v>0</v>
      </c>
      <c r="G401" s="27">
        <f ca="1">ROUND(E401*F401,2)</f>
        <v>0</v>
      </c>
    </row>
    <row r="402" spans="1:7" ht="24.36" thickBot="1" customHeight="1">
      <c r="A402" s="24" t="s">
        <v>1204</v>
      </c>
      <c r="B402" s="24" t="s">
        <v>1205</v>
      </c>
      <c r="C402" s="24" t="s">
        <v>1206</v>
      </c>
      <c r="D402" s="25" t="s">
        <v>1207</v>
      </c>
      <c r="E402" s="28">
        <v>0.28570</v>
      </c>
      <c r="F402" s="29">
        <f ca="1">ROUND(7.526,3)</f>
        <v>0</v>
      </c>
      <c r="G402" s="27">
        <f ca="1">ROUND(E402*F402,2)</f>
        <v>0</v>
      </c>
    </row>
    <row r="403" spans="1:7" ht="21.36" thickBot="1" customHeight="1">
      <c r="A403" s="24" t="s">
        <v>1208</v>
      </c>
      <c r="B403" s="24" t="s">
        <v>1209</v>
      </c>
      <c r="C403" s="24" t="s">
        <v>1210</v>
      </c>
      <c r="D403" s="25" t="s">
        <v>1211</v>
      </c>
      <c r="E403" s="28">
        <v>0.28570</v>
      </c>
      <c r="F403" s="29">
        <f ca="1">F407</f>
        <v>0</v>
      </c>
      <c r="G403" s="27">
        <f ca="1">ROUND(E403*F403,2)</f>
        <v>0</v>
      </c>
    </row>
    <row r="404" spans="1:7" ht="24.36" thickBot="1" customHeight="1">
      <c r="A404" s="24" t="s">
        <v>1212</v>
      </c>
      <c r="B404" s="24" t="s">
        <v>1213</v>
      </c>
      <c r="C404" s="24" t="s">
        <v>1214</v>
      </c>
      <c r="D404" s="25" t="s">
        <v>1215</v>
      </c>
      <c r="E404" s="28">
        <v>1.00000</v>
      </c>
      <c r="F404" s="29">
        <f ca="1">ROUND(21.000,3)</f>
        <v>0</v>
      </c>
      <c r="G404" s="27">
        <f ca="1">ROUND(E404*F404,2)</f>
        <v>0</v>
      </c>
    </row>
    <row r="405" spans="1:7" ht="24.36" thickBot="1" customHeight="1">
      <c r="A405" s="24" t="s">
        <v>1216</v>
      </c>
      <c r="B405" s="24" t="s">
        <v>1217</v>
      </c>
      <c r="C405" s="24" t="s">
        <v>1218</v>
      </c>
      <c r="D405" s="25" t="s">
        <v>1219</v>
      </c>
      <c r="E405" s="28">
        <v>1.00000</v>
      </c>
      <c r="F405" s="29">
        <f ca="1">ROUND(19.000,3)</f>
        <v>0</v>
      </c>
      <c r="G405" s="27">
        <f ca="1">ROUND(E405*F405,2)</f>
        <v>0</v>
      </c>
    </row>
    <row r="406" spans="1:7" ht="24.36" thickBot="1" customHeight="1">
      <c r="A406" s="24" t="s">
        <v>1220</v>
      </c>
      <c r="B406" s="24" t="s">
        <v>1221</v>
      </c>
      <c r="C406" s="24" t="s">
        <v>1222</v>
      </c>
      <c r="D406" s="25" t="s">
        <v>1223</v>
      </c>
      <c r="E406" s="28">
        <v>0.20000</v>
      </c>
      <c r="F406" s="29">
        <f ca="1">ROUND(19.000,3)</f>
        <v>0</v>
      </c>
      <c r="G406" s="27">
        <f ca="1">ROUND(E406*F406,2)</f>
        <v>0</v>
      </c>
    </row>
    <row r="407" spans="1:7" ht="15.12" thickBot="1" customHeight="1">
      <c r="A407" s="26"/>
      <c r="B407" s="26"/>
      <c r="C407" s="26"/>
      <c r="D407" s="24" t="s">
        <v>1224</v>
      </c>
      <c r="E407" s="28">
        <v>0.28570</v>
      </c>
      <c r="F407" s="29">
        <f ca="1">ROUND((G404+G405+G406),3)</f>
        <v>0</v>
      </c>
      <c r="G407" s="27">
        <f ca="1">ROUND(E407*F407,2)</f>
        <v>0</v>
      </c>
    </row>
    <row r="408" spans="1:7" ht="15.12" thickBot="1" customHeight="1">
      <c r="A408" s="24" t="s">
        <v>1225</v>
      </c>
      <c r="B408" s="24"/>
      <c r="C408" s="24" t="s">
        <v>1226</v>
      </c>
      <c r="D408" s="25" t="s">
        <v>1227</v>
      </c>
      <c r="E408" s="28">
        <v>2.00000</v>
      </c>
      <c r="F408" s="29">
        <f ca="1">ROUND(12.510,3)</f>
        <v>0</v>
      </c>
      <c r="G408" s="27">
        <f ca="1">ROUND((E408*F408)/100,2)</f>
        <v>0</v>
      </c>
    </row>
    <row r="409" spans="1:7" ht="25.08" thickBot="1" customHeight="1">
      <c r="A409" s="30"/>
      <c r="B409" s="30"/>
      <c r="C409" s="30"/>
      <c r="D409" s="31" t="s">
        <v>1228</v>
      </c>
      <c r="E409" s="30"/>
      <c r="F409" s="33">
        <f ca="1">ROUND((G401+G402+G403+G408)*(1+G2/100),2)</f>
        <v>0</v>
      </c>
      <c r="G409" s="30"/>
    </row>
    <row r="410" spans="1:7" ht="39.84" thickBot="1" customHeight="1">
      <c r="A410" s="34" t="s">
        <v>1229</v>
      </c>
      <c r="B410" s="35" t="s">
        <v>1230</v>
      </c>
      <c r="C410" s="35" t="s">
        <v>1231</v>
      </c>
      <c r="D410" s="36" t="s">
        <v>1232</v>
      </c>
      <c r="E410" s="37"/>
      <c r="F410" s="38">
        <f ca="1">F420</f>
        <v>0</v>
      </c>
      <c r="G410" s="37"/>
    </row>
    <row r="411" spans="1:7" ht="21.36" thickBot="1" customHeight="1">
      <c r="A411" s="26"/>
      <c r="B411" s="26"/>
      <c r="C411" s="26"/>
      <c r="D411" s="25" t="s">
        <v>1233</v>
      </c>
      <c r="E411" s="25"/>
      <c r="F411" s="25"/>
      <c r="G411" s="25"/>
    </row>
    <row r="412" spans="1:7" ht="30.60" thickBot="1" customHeight="1">
      <c r="A412" s="24" t="s">
        <v>1234</v>
      </c>
      <c r="B412" s="24" t="s">
        <v>1235</v>
      </c>
      <c r="C412" s="24" t="s">
        <v>1236</v>
      </c>
      <c r="D412" s="25" t="s">
        <v>1237</v>
      </c>
      <c r="E412" s="28">
        <v>0.06600</v>
      </c>
      <c r="F412" s="29">
        <f ca="1">ROUND(2.560,3)</f>
        <v>0</v>
      </c>
      <c r="G412" s="27">
        <f ca="1">ROUND(E412*F412,2)</f>
        <v>0</v>
      </c>
    </row>
    <row r="413" spans="1:7" ht="24.36" thickBot="1" customHeight="1">
      <c r="A413" s="24" t="s">
        <v>1238</v>
      </c>
      <c r="B413" s="24" t="s">
        <v>1239</v>
      </c>
      <c r="C413" s="24" t="s">
        <v>1240</v>
      </c>
      <c r="D413" s="25" t="s">
        <v>1241</v>
      </c>
      <c r="E413" s="28">
        <v>0.17150</v>
      </c>
      <c r="F413" s="29">
        <f ca="1">ROUND(7.526,3)</f>
        <v>0</v>
      </c>
      <c r="G413" s="27">
        <f ca="1">ROUND(E413*F413,2)</f>
        <v>0</v>
      </c>
    </row>
    <row r="414" spans="1:7" ht="21.36" thickBot="1" customHeight="1">
      <c r="A414" s="24" t="s">
        <v>1242</v>
      </c>
      <c r="B414" s="24" t="s">
        <v>1243</v>
      </c>
      <c r="C414" s="24" t="s">
        <v>1244</v>
      </c>
      <c r="D414" s="25" t="s">
        <v>1245</v>
      </c>
      <c r="E414" s="28">
        <v>0.17150</v>
      </c>
      <c r="F414" s="29">
        <f ca="1">F418</f>
        <v>0</v>
      </c>
      <c r="G414" s="27">
        <f ca="1">ROUND(E414*F414,2)</f>
        <v>0</v>
      </c>
    </row>
    <row r="415" spans="1:7" ht="24.36" thickBot="1" customHeight="1">
      <c r="A415" s="24" t="s">
        <v>1246</v>
      </c>
      <c r="B415" s="24" t="s">
        <v>1247</v>
      </c>
      <c r="C415" s="24" t="s">
        <v>1248</v>
      </c>
      <c r="D415" s="25" t="s">
        <v>1249</v>
      </c>
      <c r="E415" s="28">
        <v>1.00000</v>
      </c>
      <c r="F415" s="29">
        <f ca="1">ROUND(21.000,3)</f>
        <v>0</v>
      </c>
      <c r="G415" s="27">
        <f ca="1">ROUND(E415*F415,2)</f>
        <v>0</v>
      </c>
    </row>
    <row r="416" spans="1:7" ht="24.36" thickBot="1" customHeight="1">
      <c r="A416" s="24" t="s">
        <v>1250</v>
      </c>
      <c r="B416" s="24" t="s">
        <v>1251</v>
      </c>
      <c r="C416" s="24" t="s">
        <v>1252</v>
      </c>
      <c r="D416" s="25" t="s">
        <v>1253</v>
      </c>
      <c r="E416" s="28">
        <v>1.00000</v>
      </c>
      <c r="F416" s="29">
        <f ca="1">ROUND(19.000,3)</f>
        <v>0</v>
      </c>
      <c r="G416" s="27">
        <f ca="1">ROUND(E416*F416,2)</f>
        <v>0</v>
      </c>
    </row>
    <row r="417" spans="1:7" ht="24.36" thickBot="1" customHeight="1">
      <c r="A417" s="24" t="s">
        <v>1254</v>
      </c>
      <c r="B417" s="24" t="s">
        <v>1255</v>
      </c>
      <c r="C417" s="24" t="s">
        <v>1256</v>
      </c>
      <c r="D417" s="25" t="s">
        <v>1257</v>
      </c>
      <c r="E417" s="28">
        <v>0.20000</v>
      </c>
      <c r="F417" s="29">
        <f ca="1">ROUND(19.000,3)</f>
        <v>0</v>
      </c>
      <c r="G417" s="27">
        <f ca="1">ROUND(E417*F417,2)</f>
        <v>0</v>
      </c>
    </row>
    <row r="418" spans="1:7" ht="15.12" thickBot="1" customHeight="1">
      <c r="A418" s="26"/>
      <c r="B418" s="26"/>
      <c r="C418" s="26"/>
      <c r="D418" s="24" t="s">
        <v>1258</v>
      </c>
      <c r="E418" s="28">
        <v>0.17150</v>
      </c>
      <c r="F418" s="29">
        <f ca="1">ROUND((G415+G416+G417),3)</f>
        <v>0</v>
      </c>
      <c r="G418" s="27">
        <f ca="1">ROUND(E418*F418,2)</f>
        <v>0</v>
      </c>
    </row>
    <row r="419" spans="1:7" ht="15.12" thickBot="1" customHeight="1">
      <c r="A419" s="24" t="s">
        <v>1259</v>
      </c>
      <c r="B419" s="24"/>
      <c r="C419" s="24" t="s">
        <v>1260</v>
      </c>
      <c r="D419" s="25" t="s">
        <v>1261</v>
      </c>
      <c r="E419" s="28">
        <v>2.00000</v>
      </c>
      <c r="F419" s="29">
        <f ca="1">ROUND(7.510,3)</f>
        <v>0</v>
      </c>
      <c r="G419" s="27">
        <f ca="1">ROUND((E419*F419)/100,2)</f>
        <v>0</v>
      </c>
    </row>
    <row r="420" spans="1:7" ht="25.08" thickBot="1" customHeight="1">
      <c r="A420" s="30"/>
      <c r="B420" s="30"/>
      <c r="C420" s="30"/>
      <c r="D420" s="31" t="s">
        <v>1262</v>
      </c>
      <c r="E420" s="30"/>
      <c r="F420" s="33">
        <f ca="1">ROUND((G412+G413+G414+G419)*(1+G2/100),2)</f>
        <v>0</v>
      </c>
      <c r="G420" s="30"/>
    </row>
    <row r="421" spans="1:7" ht="39.84" thickBot="1" customHeight="1">
      <c r="A421" s="34" t="s">
        <v>1263</v>
      </c>
      <c r="B421" s="35" t="s">
        <v>1264</v>
      </c>
      <c r="C421" s="35" t="s">
        <v>1265</v>
      </c>
      <c r="D421" s="36" t="s">
        <v>1266</v>
      </c>
      <c r="E421" s="37"/>
      <c r="F421" s="38">
        <f ca="1">F431</f>
        <v>0</v>
      </c>
      <c r="G421" s="37"/>
    </row>
    <row r="422" spans="1:7" ht="21.36" thickBot="1" customHeight="1">
      <c r="A422" s="26"/>
      <c r="B422" s="26"/>
      <c r="C422" s="26"/>
      <c r="D422" s="25" t="s">
        <v>1267</v>
      </c>
      <c r="E422" s="25"/>
      <c r="F422" s="25"/>
      <c r="G422" s="25"/>
    </row>
    <row r="423" spans="1:7" ht="30.60" thickBot="1" customHeight="1">
      <c r="A423" s="24" t="s">
        <v>1268</v>
      </c>
      <c r="B423" s="24" t="s">
        <v>1269</v>
      </c>
      <c r="C423" s="24" t="s">
        <v>1270</v>
      </c>
      <c r="D423" s="25" t="s">
        <v>1271</v>
      </c>
      <c r="E423" s="28">
        <v>0.06600</v>
      </c>
      <c r="F423" s="29">
        <f ca="1">ROUND(2.560,3)</f>
        <v>0</v>
      </c>
      <c r="G423" s="27">
        <f ca="1">ROUND(E423*F423,2)</f>
        <v>0</v>
      </c>
    </row>
    <row r="424" spans="1:7" ht="24.36" thickBot="1" customHeight="1">
      <c r="A424" s="24" t="s">
        <v>1272</v>
      </c>
      <c r="B424" s="24" t="s">
        <v>1273</v>
      </c>
      <c r="C424" s="24" t="s">
        <v>1274</v>
      </c>
      <c r="D424" s="25" t="s">
        <v>1275</v>
      </c>
      <c r="E424" s="28">
        <v>0.28570</v>
      </c>
      <c r="F424" s="29">
        <f ca="1">ROUND(7.526,3)</f>
        <v>0</v>
      </c>
      <c r="G424" s="27">
        <f ca="1">ROUND(E424*F424,2)</f>
        <v>0</v>
      </c>
    </row>
    <row r="425" spans="1:7" ht="21.36" thickBot="1" customHeight="1">
      <c r="A425" s="24" t="s">
        <v>1276</v>
      </c>
      <c r="B425" s="24" t="s">
        <v>1277</v>
      </c>
      <c r="C425" s="24" t="s">
        <v>1278</v>
      </c>
      <c r="D425" s="25" t="s">
        <v>1279</v>
      </c>
      <c r="E425" s="28">
        <v>0.28570</v>
      </c>
      <c r="F425" s="29">
        <f ca="1">F429</f>
        <v>0</v>
      </c>
      <c r="G425" s="27">
        <f ca="1">ROUND(E425*F425,2)</f>
        <v>0</v>
      </c>
    </row>
    <row r="426" spans="1:7" ht="24.36" thickBot="1" customHeight="1">
      <c r="A426" s="24" t="s">
        <v>1280</v>
      </c>
      <c r="B426" s="24" t="s">
        <v>1281</v>
      </c>
      <c r="C426" s="24" t="s">
        <v>1282</v>
      </c>
      <c r="D426" s="25" t="s">
        <v>1283</v>
      </c>
      <c r="E426" s="28">
        <v>1.00000</v>
      </c>
      <c r="F426" s="29">
        <f ca="1">ROUND(21.000,3)</f>
        <v>0</v>
      </c>
      <c r="G426" s="27">
        <f ca="1">ROUND(E426*F426,2)</f>
        <v>0</v>
      </c>
    </row>
    <row r="427" spans="1:7" ht="24.36" thickBot="1" customHeight="1">
      <c r="A427" s="24" t="s">
        <v>1284</v>
      </c>
      <c r="B427" s="24" t="s">
        <v>1285</v>
      </c>
      <c r="C427" s="24" t="s">
        <v>1286</v>
      </c>
      <c r="D427" s="25" t="s">
        <v>1287</v>
      </c>
      <c r="E427" s="28">
        <v>1.00000</v>
      </c>
      <c r="F427" s="29">
        <f ca="1">ROUND(19.000,3)</f>
        <v>0</v>
      </c>
      <c r="G427" s="27">
        <f ca="1">ROUND(E427*F427,2)</f>
        <v>0</v>
      </c>
    </row>
    <row r="428" spans="1:7" ht="24.36" thickBot="1" customHeight="1">
      <c r="A428" s="24" t="s">
        <v>1288</v>
      </c>
      <c r="B428" s="24" t="s">
        <v>1289</v>
      </c>
      <c r="C428" s="24" t="s">
        <v>1290</v>
      </c>
      <c r="D428" s="25" t="s">
        <v>1291</v>
      </c>
      <c r="E428" s="28">
        <v>0.20000</v>
      </c>
      <c r="F428" s="29">
        <f ca="1">ROUND(19.000,3)</f>
        <v>0</v>
      </c>
      <c r="G428" s="27">
        <f ca="1">ROUND(E428*F428,2)</f>
        <v>0</v>
      </c>
    </row>
    <row r="429" spans="1:7" ht="15.12" thickBot="1" customHeight="1">
      <c r="A429" s="26"/>
      <c r="B429" s="26"/>
      <c r="C429" s="26"/>
      <c r="D429" s="24" t="s">
        <v>1292</v>
      </c>
      <c r="E429" s="28">
        <v>0.28570</v>
      </c>
      <c r="F429" s="29">
        <f ca="1">ROUND((G426+G427+G428),3)</f>
        <v>0</v>
      </c>
      <c r="G429" s="27">
        <f ca="1">ROUND(E429*F429,2)</f>
        <v>0</v>
      </c>
    </row>
    <row r="430" spans="1:7" ht="15.12" thickBot="1" customHeight="1">
      <c r="A430" s="24" t="s">
        <v>1293</v>
      </c>
      <c r="B430" s="24"/>
      <c r="C430" s="24" t="s">
        <v>1294</v>
      </c>
      <c r="D430" s="25" t="s">
        <v>1295</v>
      </c>
      <c r="E430" s="28">
        <v>2.00000</v>
      </c>
      <c r="F430" s="29">
        <f ca="1">ROUND(12.510,3)</f>
        <v>0</v>
      </c>
      <c r="G430" s="27">
        <f ca="1">ROUND((E430*F430)/100,2)</f>
        <v>0</v>
      </c>
    </row>
    <row r="431" spans="1:7" ht="25.08" thickBot="1" customHeight="1">
      <c r="A431" s="30"/>
      <c r="B431" s="30"/>
      <c r="C431" s="30"/>
      <c r="D431" s="31" t="s">
        <v>1296</v>
      </c>
      <c r="E431" s="30"/>
      <c r="F431" s="33">
        <f ca="1">ROUND((G423+G424+G425+G430)*(1+G2/100),2)</f>
        <v>0</v>
      </c>
      <c r="G431" s="30"/>
    </row>
    <row r="432" spans="1:7" ht="30.60" thickBot="1" customHeight="1">
      <c r="A432" s="34" t="s">
        <v>1297</v>
      </c>
      <c r="B432" s="35" t="s">
        <v>1298</v>
      </c>
      <c r="C432" s="35" t="s">
        <v>1299</v>
      </c>
      <c r="D432" s="36" t="s">
        <v>1300</v>
      </c>
      <c r="E432" s="37"/>
      <c r="F432" s="38">
        <f ca="1">F441</f>
        <v>0</v>
      </c>
      <c r="G432" s="37"/>
    </row>
    <row r="433" spans="1:7" ht="21.36" thickBot="1" customHeight="1">
      <c r="A433" s="26"/>
      <c r="B433" s="26"/>
      <c r="C433" s="26"/>
      <c r="D433" s="25" t="s">
        <v>1301</v>
      </c>
      <c r="E433" s="25"/>
      <c r="F433" s="25"/>
      <c r="G433" s="25"/>
    </row>
    <row r="434" spans="1:7" ht="24.36" thickBot="1" customHeight="1">
      <c r="A434" s="24" t="s">
        <v>1302</v>
      </c>
      <c r="B434" s="24" t="s">
        <v>1303</v>
      </c>
      <c r="C434" s="24" t="s">
        <v>1304</v>
      </c>
      <c r="D434" s="25" t="s">
        <v>1305</v>
      </c>
      <c r="E434" s="28">
        <v>0.19050</v>
      </c>
      <c r="F434" s="29">
        <f ca="1">ROUND(7.526,3)</f>
        <v>0</v>
      </c>
      <c r="G434" s="27">
        <f ca="1">ROUND(E434*F434,2)</f>
        <v>0</v>
      </c>
    </row>
    <row r="435" spans="1:7" ht="21.36" thickBot="1" customHeight="1">
      <c r="A435" s="24" t="s">
        <v>1306</v>
      </c>
      <c r="B435" s="24" t="s">
        <v>1307</v>
      </c>
      <c r="C435" s="24" t="s">
        <v>1308</v>
      </c>
      <c r="D435" s="25" t="s">
        <v>1309</v>
      </c>
      <c r="E435" s="28">
        <v>0.19050</v>
      </c>
      <c r="F435" s="29">
        <f ca="1">F439</f>
        <v>0</v>
      </c>
      <c r="G435" s="27">
        <f ca="1">ROUND(E435*F435,2)</f>
        <v>0</v>
      </c>
    </row>
    <row r="436" spans="1:7" ht="24.36" thickBot="1" customHeight="1">
      <c r="A436" s="24" t="s">
        <v>1310</v>
      </c>
      <c r="B436" s="24" t="s">
        <v>1311</v>
      </c>
      <c r="C436" s="24" t="s">
        <v>1312</v>
      </c>
      <c r="D436" s="25" t="s">
        <v>1313</v>
      </c>
      <c r="E436" s="28">
        <v>1.00000</v>
      </c>
      <c r="F436" s="29">
        <f ca="1">ROUND(21.000,3)</f>
        <v>0</v>
      </c>
      <c r="G436" s="27">
        <f ca="1">ROUND(E436*F436,2)</f>
        <v>0</v>
      </c>
    </row>
    <row r="437" spans="1:7" ht="24.36" thickBot="1" customHeight="1">
      <c r="A437" s="24" t="s">
        <v>1314</v>
      </c>
      <c r="B437" s="24" t="s">
        <v>1315</v>
      </c>
      <c r="C437" s="24" t="s">
        <v>1316</v>
      </c>
      <c r="D437" s="25" t="s">
        <v>1317</v>
      </c>
      <c r="E437" s="28">
        <v>1.00000</v>
      </c>
      <c r="F437" s="29">
        <f ca="1">ROUND(19.000,3)</f>
        <v>0</v>
      </c>
      <c r="G437" s="27">
        <f ca="1">ROUND(E437*F437,2)</f>
        <v>0</v>
      </c>
    </row>
    <row r="438" spans="1:7" ht="24.36" thickBot="1" customHeight="1">
      <c r="A438" s="24" t="s">
        <v>1318</v>
      </c>
      <c r="B438" s="24" t="s">
        <v>1319</v>
      </c>
      <c r="C438" s="24" t="s">
        <v>1320</v>
      </c>
      <c r="D438" s="25" t="s">
        <v>1321</v>
      </c>
      <c r="E438" s="28">
        <v>0.20000</v>
      </c>
      <c r="F438" s="29">
        <f ca="1">ROUND(19.000,3)</f>
        <v>0</v>
      </c>
      <c r="G438" s="27">
        <f ca="1">ROUND(E438*F438,2)</f>
        <v>0</v>
      </c>
    </row>
    <row r="439" spans="1:7" ht="15.12" thickBot="1" customHeight="1">
      <c r="A439" s="26"/>
      <c r="B439" s="26"/>
      <c r="C439" s="26"/>
      <c r="D439" s="24" t="s">
        <v>1322</v>
      </c>
      <c r="E439" s="28">
        <v>0.19050</v>
      </c>
      <c r="F439" s="29">
        <f ca="1">ROUND((G436+G437+G438),3)</f>
        <v>0</v>
      </c>
      <c r="G439" s="27">
        <f ca="1">ROUND(E439*F439,2)</f>
        <v>0</v>
      </c>
    </row>
    <row r="440" spans="1:7" ht="15.12" thickBot="1" customHeight="1">
      <c r="A440" s="24" t="s">
        <v>1323</v>
      </c>
      <c r="B440" s="24"/>
      <c r="C440" s="24" t="s">
        <v>1324</v>
      </c>
      <c r="D440" s="25" t="s">
        <v>1325</v>
      </c>
      <c r="E440" s="28">
        <v>2.00000</v>
      </c>
      <c r="F440" s="29">
        <f ca="1">ROUND(8.340,3)</f>
        <v>0</v>
      </c>
      <c r="G440" s="27">
        <f ca="1">ROUND((E440*F440)/100,2)</f>
        <v>0</v>
      </c>
    </row>
    <row r="441" spans="1:7" ht="15.48" thickBot="1" customHeight="1">
      <c r="A441" s="30"/>
      <c r="B441" s="30"/>
      <c r="C441" s="30"/>
      <c r="D441" s="31" t="s">
        <v>1326</v>
      </c>
      <c r="E441" s="30"/>
      <c r="F441" s="33">
        <f ca="1">ROUND((G434+G435+G440)*(1+G2/100),2)</f>
        <v>0</v>
      </c>
      <c r="G441" s="30"/>
    </row>
    <row r="442" spans="1:7" ht="39.84" thickBot="1" customHeight="1">
      <c r="A442" s="34" t="s">
        <v>1327</v>
      </c>
      <c r="B442" s="35" t="s">
        <v>1328</v>
      </c>
      <c r="C442" s="35" t="s">
        <v>1329</v>
      </c>
      <c r="D442" s="36" t="s">
        <v>1330</v>
      </c>
      <c r="E442" s="37"/>
      <c r="F442" s="38">
        <f ca="1">F451</f>
        <v>0</v>
      </c>
      <c r="G442" s="37"/>
    </row>
    <row r="443" spans="1:7" ht="21.36" thickBot="1" customHeight="1">
      <c r="A443" s="26"/>
      <c r="B443" s="26"/>
      <c r="C443" s="26"/>
      <c r="D443" s="25" t="s">
        <v>1331</v>
      </c>
      <c r="E443" s="25"/>
      <c r="F443" s="25"/>
      <c r="G443" s="25"/>
    </row>
    <row r="444" spans="1:7" ht="24.36" thickBot="1" customHeight="1">
      <c r="A444" s="24" t="s">
        <v>1332</v>
      </c>
      <c r="B444" s="24" t="s">
        <v>1333</v>
      </c>
      <c r="C444" s="24" t="s">
        <v>1334</v>
      </c>
      <c r="D444" s="25" t="s">
        <v>1335</v>
      </c>
      <c r="E444" s="28">
        <v>0.31750</v>
      </c>
      <c r="F444" s="29">
        <f ca="1">ROUND(7.526,3)</f>
        <v>0</v>
      </c>
      <c r="G444" s="27">
        <f ca="1">ROUND(E444*F444,2)</f>
        <v>0</v>
      </c>
    </row>
    <row r="445" spans="1:7" ht="21.36" thickBot="1" customHeight="1">
      <c r="A445" s="24" t="s">
        <v>1336</v>
      </c>
      <c r="B445" s="24" t="s">
        <v>1337</v>
      </c>
      <c r="C445" s="24" t="s">
        <v>1338</v>
      </c>
      <c r="D445" s="25" t="s">
        <v>1339</v>
      </c>
      <c r="E445" s="28">
        <v>0.31750</v>
      </c>
      <c r="F445" s="29">
        <f ca="1">F449</f>
        <v>0</v>
      </c>
      <c r="G445" s="27">
        <f ca="1">ROUND(E445*F445,2)</f>
        <v>0</v>
      </c>
    </row>
    <row r="446" spans="1:7" ht="24.36" thickBot="1" customHeight="1">
      <c r="A446" s="24" t="s">
        <v>1340</v>
      </c>
      <c r="B446" s="24" t="s">
        <v>1341</v>
      </c>
      <c r="C446" s="24" t="s">
        <v>1342</v>
      </c>
      <c r="D446" s="25" t="s">
        <v>1343</v>
      </c>
      <c r="E446" s="28">
        <v>1.00000</v>
      </c>
      <c r="F446" s="29">
        <f ca="1">ROUND(21.000,3)</f>
        <v>0</v>
      </c>
      <c r="G446" s="27">
        <f ca="1">ROUND(E446*F446,2)</f>
        <v>0</v>
      </c>
    </row>
    <row r="447" spans="1:7" ht="24.36" thickBot="1" customHeight="1">
      <c r="A447" s="24" t="s">
        <v>1344</v>
      </c>
      <c r="B447" s="24" t="s">
        <v>1345</v>
      </c>
      <c r="C447" s="24" t="s">
        <v>1346</v>
      </c>
      <c r="D447" s="25" t="s">
        <v>1347</v>
      </c>
      <c r="E447" s="28">
        <v>1.00000</v>
      </c>
      <c r="F447" s="29">
        <f ca="1">ROUND(19.000,3)</f>
        <v>0</v>
      </c>
      <c r="G447" s="27">
        <f ca="1">ROUND(E447*F447,2)</f>
        <v>0</v>
      </c>
    </row>
    <row r="448" spans="1:7" ht="24.36" thickBot="1" customHeight="1">
      <c r="A448" s="24" t="s">
        <v>1348</v>
      </c>
      <c r="B448" s="24" t="s">
        <v>1349</v>
      </c>
      <c r="C448" s="24" t="s">
        <v>1350</v>
      </c>
      <c r="D448" s="25" t="s">
        <v>1351</v>
      </c>
      <c r="E448" s="28">
        <v>0.20000</v>
      </c>
      <c r="F448" s="29">
        <f ca="1">ROUND(19.000,3)</f>
        <v>0</v>
      </c>
      <c r="G448" s="27">
        <f ca="1">ROUND(E448*F448,2)</f>
        <v>0</v>
      </c>
    </row>
    <row r="449" spans="1:7" ht="15.12" thickBot="1" customHeight="1">
      <c r="A449" s="26"/>
      <c r="B449" s="26"/>
      <c r="C449" s="26"/>
      <c r="D449" s="24" t="s">
        <v>1352</v>
      </c>
      <c r="E449" s="28">
        <v>0.31750</v>
      </c>
      <c r="F449" s="29">
        <f ca="1">ROUND((G446+G447+G448),3)</f>
        <v>0</v>
      </c>
      <c r="G449" s="27">
        <f ca="1">ROUND(E449*F449,2)</f>
        <v>0</v>
      </c>
    </row>
    <row r="450" spans="1:7" ht="15.12" thickBot="1" customHeight="1">
      <c r="A450" s="24" t="s">
        <v>1353</v>
      </c>
      <c r="B450" s="24"/>
      <c r="C450" s="24" t="s">
        <v>1354</v>
      </c>
      <c r="D450" s="25" t="s">
        <v>1355</v>
      </c>
      <c r="E450" s="28">
        <v>2.00000</v>
      </c>
      <c r="F450" s="29">
        <f ca="1">ROUND(13.910,3)</f>
        <v>0</v>
      </c>
      <c r="G450" s="27">
        <f ca="1">ROUND((E450*F450)/100,2)</f>
        <v>0</v>
      </c>
    </row>
    <row r="451" spans="1:7" ht="15.48" thickBot="1" customHeight="1">
      <c r="A451" s="30"/>
      <c r="B451" s="30"/>
      <c r="C451" s="30"/>
      <c r="D451" s="31" t="s">
        <v>1356</v>
      </c>
      <c r="E451" s="30"/>
      <c r="F451" s="33">
        <f ca="1">ROUND((G444+G445+G450)*(1+G2/100),2)</f>
        <v>0</v>
      </c>
      <c r="G451" s="30"/>
    </row>
    <row r="452" spans="1:7" ht="49.08" thickBot="1" customHeight="1">
      <c r="A452" s="34" t="s">
        <v>1357</v>
      </c>
      <c r="B452" s="35" t="s">
        <v>1358</v>
      </c>
      <c r="C452" s="35" t="s">
        <v>1359</v>
      </c>
      <c r="D452" s="36" t="s">
        <v>1360</v>
      </c>
      <c r="E452" s="37"/>
      <c r="F452" s="38">
        <f ca="1">F462</f>
        <v>0</v>
      </c>
      <c r="G452" s="37"/>
    </row>
    <row r="453" spans="1:7" ht="21.36" thickBot="1" customHeight="1">
      <c r="A453" s="26"/>
      <c r="B453" s="26"/>
      <c r="C453" s="26"/>
      <c r="D453" s="25" t="s">
        <v>1361</v>
      </c>
      <c r="E453" s="25"/>
      <c r="F453" s="25"/>
      <c r="G453" s="25"/>
    </row>
    <row r="454" spans="1:7" ht="39.84" thickBot="1" customHeight="1">
      <c r="A454" s="24" t="s">
        <v>1362</v>
      </c>
      <c r="B454" s="24" t="s">
        <v>1363</v>
      </c>
      <c r="C454" s="24" t="s">
        <v>1364</v>
      </c>
      <c r="D454" s="25" t="s">
        <v>1365</v>
      </c>
      <c r="E454" s="28">
        <v>0.02100</v>
      </c>
      <c r="F454" s="29">
        <f ca="1">ROUND(9.130,3)</f>
        <v>0</v>
      </c>
      <c r="G454" s="27">
        <f ca="1">ROUND(E454*F454,2)</f>
        <v>0</v>
      </c>
    </row>
    <row r="455" spans="1:7" ht="24.36" thickBot="1" customHeight="1">
      <c r="A455" s="24" t="s">
        <v>1366</v>
      </c>
      <c r="B455" s="24" t="s">
        <v>1367</v>
      </c>
      <c r="C455" s="24" t="s">
        <v>1368</v>
      </c>
      <c r="D455" s="25" t="s">
        <v>1369</v>
      </c>
      <c r="E455" s="28">
        <v>0.20000</v>
      </c>
      <c r="F455" s="29">
        <f ca="1">ROUND(7.526,3)</f>
        <v>0</v>
      </c>
      <c r="G455" s="27">
        <f ca="1">ROUND(E455*F455,2)</f>
        <v>0</v>
      </c>
    </row>
    <row r="456" spans="1:7" ht="21.36" thickBot="1" customHeight="1">
      <c r="A456" s="24" t="s">
        <v>1370</v>
      </c>
      <c r="B456" s="24" t="s">
        <v>1371</v>
      </c>
      <c r="C456" s="24" t="s">
        <v>1372</v>
      </c>
      <c r="D456" s="25" t="s">
        <v>1373</v>
      </c>
      <c r="E456" s="28">
        <v>0.20000</v>
      </c>
      <c r="F456" s="29">
        <f ca="1">F460</f>
        <v>0</v>
      </c>
      <c r="G456" s="27">
        <f ca="1">ROUND(E456*F456,2)</f>
        <v>0</v>
      </c>
    </row>
    <row r="457" spans="1:7" ht="24.36" thickBot="1" customHeight="1">
      <c r="A457" s="24" t="s">
        <v>1374</v>
      </c>
      <c r="B457" s="24" t="s">
        <v>1375</v>
      </c>
      <c r="C457" s="24" t="s">
        <v>1376</v>
      </c>
      <c r="D457" s="25" t="s">
        <v>1377</v>
      </c>
      <c r="E457" s="28">
        <v>1.00000</v>
      </c>
      <c r="F457" s="29">
        <f ca="1">ROUND(21.000,3)</f>
        <v>0</v>
      </c>
      <c r="G457" s="27">
        <f ca="1">ROUND(E457*F457,2)</f>
        <v>0</v>
      </c>
    </row>
    <row r="458" spans="1:7" ht="24.36" thickBot="1" customHeight="1">
      <c r="A458" s="24" t="s">
        <v>1378</v>
      </c>
      <c r="B458" s="24" t="s">
        <v>1379</v>
      </c>
      <c r="C458" s="24" t="s">
        <v>1380</v>
      </c>
      <c r="D458" s="25" t="s">
        <v>1381</v>
      </c>
      <c r="E458" s="28">
        <v>1.00000</v>
      </c>
      <c r="F458" s="29">
        <f ca="1">ROUND(19.000,3)</f>
        <v>0</v>
      </c>
      <c r="G458" s="27">
        <f ca="1">ROUND(E458*F458,2)</f>
        <v>0</v>
      </c>
    </row>
    <row r="459" spans="1:7" ht="24.36" thickBot="1" customHeight="1">
      <c r="A459" s="24" t="s">
        <v>1382</v>
      </c>
      <c r="B459" s="24" t="s">
        <v>1383</v>
      </c>
      <c r="C459" s="24" t="s">
        <v>1384</v>
      </c>
      <c r="D459" s="25" t="s">
        <v>1385</v>
      </c>
      <c r="E459" s="28">
        <v>0.20000</v>
      </c>
      <c r="F459" s="29">
        <f ca="1">ROUND(19.000,3)</f>
        <v>0</v>
      </c>
      <c r="G459" s="27">
        <f ca="1">ROUND(E459*F459,2)</f>
        <v>0</v>
      </c>
    </row>
    <row r="460" spans="1:7" ht="15.12" thickBot="1" customHeight="1">
      <c r="A460" s="26"/>
      <c r="B460" s="26"/>
      <c r="C460" s="26"/>
      <c r="D460" s="24" t="s">
        <v>1386</v>
      </c>
      <c r="E460" s="28">
        <v>0.20000</v>
      </c>
      <c r="F460" s="29">
        <f ca="1">ROUND((G457+G458+G459),3)</f>
        <v>0</v>
      </c>
      <c r="G460" s="27">
        <f ca="1">ROUND(E460*F460,2)</f>
        <v>0</v>
      </c>
    </row>
    <row r="461" spans="1:7" ht="15.12" thickBot="1" customHeight="1">
      <c r="A461" s="24" t="s">
        <v>1387</v>
      </c>
      <c r="B461" s="24"/>
      <c r="C461" s="24" t="s">
        <v>1388</v>
      </c>
      <c r="D461" s="25" t="s">
        <v>1389</v>
      </c>
      <c r="E461" s="28">
        <v>2.00000</v>
      </c>
      <c r="F461" s="29">
        <f ca="1">ROUND(8.760,3)</f>
        <v>0</v>
      </c>
      <c r="G461" s="27">
        <f ca="1">ROUND((E461*F461)/100,2)</f>
        <v>0</v>
      </c>
    </row>
    <row r="462" spans="1:7" ht="15.48" thickBot="1" customHeight="1">
      <c r="A462" s="30"/>
      <c r="B462" s="30"/>
      <c r="C462" s="30"/>
      <c r="D462" s="31" t="s">
        <v>1390</v>
      </c>
      <c r="E462" s="30"/>
      <c r="F462" s="33">
        <f ca="1">ROUND((G454+G455+G456+G461)*(1+G2/100),2)</f>
        <v>0</v>
      </c>
      <c r="G462" s="30"/>
    </row>
    <row r="463" spans="1:7" ht="49.08" thickBot="1" customHeight="1">
      <c r="A463" s="34" t="s">
        <v>1391</v>
      </c>
      <c r="B463" s="35" t="s">
        <v>1392</v>
      </c>
      <c r="C463" s="35" t="s">
        <v>1393</v>
      </c>
      <c r="D463" s="36" t="s">
        <v>1394</v>
      </c>
      <c r="E463" s="37"/>
      <c r="F463" s="38">
        <f ca="1">F473</f>
        <v>0</v>
      </c>
      <c r="G463" s="37"/>
    </row>
    <row r="464" spans="1:7" ht="21.36" thickBot="1" customHeight="1">
      <c r="A464" s="26"/>
      <c r="B464" s="26"/>
      <c r="C464" s="26"/>
      <c r="D464" s="25" t="s">
        <v>1395</v>
      </c>
      <c r="E464" s="25"/>
      <c r="F464" s="25"/>
      <c r="G464" s="25"/>
    </row>
    <row r="465" spans="1:7" ht="39.84" thickBot="1" customHeight="1">
      <c r="A465" s="24" t="s">
        <v>1396</v>
      </c>
      <c r="B465" s="24" t="s">
        <v>1397</v>
      </c>
      <c r="C465" s="24" t="s">
        <v>1398</v>
      </c>
      <c r="D465" s="25" t="s">
        <v>1399</v>
      </c>
      <c r="E465" s="28">
        <v>0.02100</v>
      </c>
      <c r="F465" s="29">
        <f ca="1">ROUND(9.130,3)</f>
        <v>0</v>
      </c>
      <c r="G465" s="27">
        <f ca="1">ROUND(E465*F465,2)</f>
        <v>0</v>
      </c>
    </row>
    <row r="466" spans="1:7" ht="24.36" thickBot="1" customHeight="1">
      <c r="A466" s="24" t="s">
        <v>1400</v>
      </c>
      <c r="B466" s="24" t="s">
        <v>1401</v>
      </c>
      <c r="C466" s="24" t="s">
        <v>1402</v>
      </c>
      <c r="D466" s="25" t="s">
        <v>1403</v>
      </c>
      <c r="E466" s="28">
        <v>0.33333</v>
      </c>
      <c r="F466" s="29">
        <f ca="1">ROUND(7.526,3)</f>
        <v>0</v>
      </c>
      <c r="G466" s="27">
        <f ca="1">ROUND(E466*F466,2)</f>
        <v>0</v>
      </c>
    </row>
    <row r="467" spans="1:7" ht="21.36" thickBot="1" customHeight="1">
      <c r="A467" s="24" t="s">
        <v>1404</v>
      </c>
      <c r="B467" s="24" t="s">
        <v>1405</v>
      </c>
      <c r="C467" s="24" t="s">
        <v>1406</v>
      </c>
      <c r="D467" s="25" t="s">
        <v>1407</v>
      </c>
      <c r="E467" s="28">
        <v>0.33333</v>
      </c>
      <c r="F467" s="29">
        <f ca="1">F471</f>
        <v>0</v>
      </c>
      <c r="G467" s="27">
        <f ca="1">ROUND(E467*F467,2)</f>
        <v>0</v>
      </c>
    </row>
    <row r="468" spans="1:7" ht="24.36" thickBot="1" customHeight="1">
      <c r="A468" s="24" t="s">
        <v>1408</v>
      </c>
      <c r="B468" s="24" t="s">
        <v>1409</v>
      </c>
      <c r="C468" s="24" t="s">
        <v>1410</v>
      </c>
      <c r="D468" s="25" t="s">
        <v>1411</v>
      </c>
      <c r="E468" s="28">
        <v>1.00000</v>
      </c>
      <c r="F468" s="29">
        <f ca="1">ROUND(21.000,3)</f>
        <v>0</v>
      </c>
      <c r="G468" s="27">
        <f ca="1">ROUND(E468*F468,2)</f>
        <v>0</v>
      </c>
    </row>
    <row r="469" spans="1:7" ht="24.36" thickBot="1" customHeight="1">
      <c r="A469" s="24" t="s">
        <v>1412</v>
      </c>
      <c r="B469" s="24" t="s">
        <v>1413</v>
      </c>
      <c r="C469" s="24" t="s">
        <v>1414</v>
      </c>
      <c r="D469" s="25" t="s">
        <v>1415</v>
      </c>
      <c r="E469" s="28">
        <v>1.00000</v>
      </c>
      <c r="F469" s="29">
        <f ca="1">ROUND(19.000,3)</f>
        <v>0</v>
      </c>
      <c r="G469" s="27">
        <f ca="1">ROUND(E469*F469,2)</f>
        <v>0</v>
      </c>
    </row>
    <row r="470" spans="1:7" ht="24.36" thickBot="1" customHeight="1">
      <c r="A470" s="24" t="s">
        <v>1416</v>
      </c>
      <c r="B470" s="24" t="s">
        <v>1417</v>
      </c>
      <c r="C470" s="24" t="s">
        <v>1418</v>
      </c>
      <c r="D470" s="25" t="s">
        <v>1419</v>
      </c>
      <c r="E470" s="28">
        <v>0.20000</v>
      </c>
      <c r="F470" s="29">
        <f ca="1">ROUND(19.000,3)</f>
        <v>0</v>
      </c>
      <c r="G470" s="27">
        <f ca="1">ROUND(E470*F470,2)</f>
        <v>0</v>
      </c>
    </row>
    <row r="471" spans="1:7" ht="15.12" thickBot="1" customHeight="1">
      <c r="A471" s="26"/>
      <c r="B471" s="26"/>
      <c r="C471" s="26"/>
      <c r="D471" s="24" t="s">
        <v>1420</v>
      </c>
      <c r="E471" s="28">
        <v>0.33333</v>
      </c>
      <c r="F471" s="29">
        <f ca="1">ROUND((G468+G469+G470),3)</f>
        <v>0</v>
      </c>
      <c r="G471" s="27">
        <f ca="1">ROUND(E471*F471,2)</f>
        <v>0</v>
      </c>
    </row>
    <row r="472" spans="1:7" ht="15.12" thickBot="1" customHeight="1">
      <c r="A472" s="24" t="s">
        <v>1421</v>
      </c>
      <c r="B472" s="24"/>
      <c r="C472" s="24" t="s">
        <v>1422</v>
      </c>
      <c r="D472" s="25" t="s">
        <v>1423</v>
      </c>
      <c r="E472" s="28">
        <v>2.00000</v>
      </c>
      <c r="F472" s="29">
        <f ca="1">ROUND(14.600,3)</f>
        <v>0</v>
      </c>
      <c r="G472" s="27">
        <f ca="1">ROUND((E472*F472)/100,2)</f>
        <v>0</v>
      </c>
    </row>
    <row r="473" spans="1:7" ht="15.48" thickBot="1" customHeight="1">
      <c r="A473" s="30"/>
      <c r="B473" s="30"/>
      <c r="C473" s="30"/>
      <c r="D473" s="31" t="s">
        <v>1424</v>
      </c>
      <c r="E473" s="30"/>
      <c r="F473" s="33">
        <f ca="1">ROUND((G465+G466+G467+G472)*(1+G2/100),2)</f>
        <v>0</v>
      </c>
      <c r="G473" s="30"/>
    </row>
    <row r="474" spans="1:7" ht="39.84" thickBot="1" customHeight="1">
      <c r="A474" s="34" t="s">
        <v>1425</v>
      </c>
      <c r="B474" s="35" t="s">
        <v>1426</v>
      </c>
      <c r="C474" s="35" t="s">
        <v>1427</v>
      </c>
      <c r="D474" s="36" t="s">
        <v>1428</v>
      </c>
      <c r="E474" s="37"/>
      <c r="F474" s="38">
        <f ca="1">F484</f>
        <v>0</v>
      </c>
      <c r="G474" s="37"/>
    </row>
    <row r="475" spans="1:7" ht="21.36" thickBot="1" customHeight="1">
      <c r="A475" s="26"/>
      <c r="B475" s="26"/>
      <c r="C475" s="26"/>
      <c r="D475" s="25" t="s">
        <v>1429</v>
      </c>
      <c r="E475" s="25"/>
      <c r="F475" s="25"/>
      <c r="G475" s="25"/>
    </row>
    <row r="476" spans="1:7" ht="30.60" thickBot="1" customHeight="1">
      <c r="A476" s="24" t="s">
        <v>1430</v>
      </c>
      <c r="B476" s="24" t="s">
        <v>1431</v>
      </c>
      <c r="C476" s="24" t="s">
        <v>1432</v>
      </c>
      <c r="D476" s="25" t="s">
        <v>1433</v>
      </c>
      <c r="E476" s="28">
        <v>0.06600</v>
      </c>
      <c r="F476" s="29">
        <f ca="1">ROUND(2.560,3)</f>
        <v>0</v>
      </c>
      <c r="G476" s="27">
        <f ca="1">ROUND(E476*F476,2)</f>
        <v>0</v>
      </c>
    </row>
    <row r="477" spans="1:7" ht="24.36" thickBot="1" customHeight="1">
      <c r="A477" s="24" t="s">
        <v>1434</v>
      </c>
      <c r="B477" s="24" t="s">
        <v>1435</v>
      </c>
      <c r="C477" s="24" t="s">
        <v>1436</v>
      </c>
      <c r="D477" s="25" t="s">
        <v>1437</v>
      </c>
      <c r="E477" s="28">
        <v>0.20000</v>
      </c>
      <c r="F477" s="29">
        <f ca="1">ROUND(7.526,3)</f>
        <v>0</v>
      </c>
      <c r="G477" s="27">
        <f ca="1">ROUND(E477*F477,2)</f>
        <v>0</v>
      </c>
    </row>
    <row r="478" spans="1:7" ht="21.36" thickBot="1" customHeight="1">
      <c r="A478" s="24" t="s">
        <v>1438</v>
      </c>
      <c r="B478" s="24" t="s">
        <v>1439</v>
      </c>
      <c r="C478" s="24" t="s">
        <v>1440</v>
      </c>
      <c r="D478" s="25" t="s">
        <v>1441</v>
      </c>
      <c r="E478" s="28">
        <v>0.20000</v>
      </c>
      <c r="F478" s="29">
        <f ca="1">F482</f>
        <v>0</v>
      </c>
      <c r="G478" s="27">
        <f ca="1">ROUND(E478*F478,2)</f>
        <v>0</v>
      </c>
    </row>
    <row r="479" spans="1:7" ht="24.36" thickBot="1" customHeight="1">
      <c r="A479" s="24" t="s">
        <v>1442</v>
      </c>
      <c r="B479" s="24" t="s">
        <v>1443</v>
      </c>
      <c r="C479" s="24" t="s">
        <v>1444</v>
      </c>
      <c r="D479" s="25" t="s">
        <v>1445</v>
      </c>
      <c r="E479" s="28">
        <v>1.00000</v>
      </c>
      <c r="F479" s="29">
        <f ca="1">ROUND(21.000,3)</f>
        <v>0</v>
      </c>
      <c r="G479" s="27">
        <f ca="1">ROUND(E479*F479,2)</f>
        <v>0</v>
      </c>
    </row>
    <row r="480" spans="1:7" ht="24.36" thickBot="1" customHeight="1">
      <c r="A480" s="24" t="s">
        <v>1446</v>
      </c>
      <c r="B480" s="24" t="s">
        <v>1447</v>
      </c>
      <c r="C480" s="24" t="s">
        <v>1448</v>
      </c>
      <c r="D480" s="25" t="s">
        <v>1449</v>
      </c>
      <c r="E480" s="28">
        <v>1.00000</v>
      </c>
      <c r="F480" s="29">
        <f ca="1">ROUND(19.000,3)</f>
        <v>0</v>
      </c>
      <c r="G480" s="27">
        <f ca="1">ROUND(E480*F480,2)</f>
        <v>0</v>
      </c>
    </row>
    <row r="481" spans="1:7" ht="24.36" thickBot="1" customHeight="1">
      <c r="A481" s="24" t="s">
        <v>1450</v>
      </c>
      <c r="B481" s="24" t="s">
        <v>1451</v>
      </c>
      <c r="C481" s="24" t="s">
        <v>1452</v>
      </c>
      <c r="D481" s="25" t="s">
        <v>1453</v>
      </c>
      <c r="E481" s="28">
        <v>0.20000</v>
      </c>
      <c r="F481" s="29">
        <f ca="1">ROUND(19.000,3)</f>
        <v>0</v>
      </c>
      <c r="G481" s="27">
        <f ca="1">ROUND(E481*F481,2)</f>
        <v>0</v>
      </c>
    </row>
    <row r="482" spans="1:7" ht="15.12" thickBot="1" customHeight="1">
      <c r="A482" s="26"/>
      <c r="B482" s="26"/>
      <c r="C482" s="26"/>
      <c r="D482" s="24" t="s">
        <v>1454</v>
      </c>
      <c r="E482" s="28">
        <v>0.20000</v>
      </c>
      <c r="F482" s="29">
        <f ca="1">ROUND((G479+G480+G481),3)</f>
        <v>0</v>
      </c>
      <c r="G482" s="27">
        <f ca="1">ROUND(E482*F482,2)</f>
        <v>0</v>
      </c>
    </row>
    <row r="483" spans="1:7" ht="15.12" thickBot="1" customHeight="1">
      <c r="A483" s="24" t="s">
        <v>1455</v>
      </c>
      <c r="B483" s="24"/>
      <c r="C483" s="24" t="s">
        <v>1456</v>
      </c>
      <c r="D483" s="25" t="s">
        <v>1457</v>
      </c>
      <c r="E483" s="28">
        <v>2.00000</v>
      </c>
      <c r="F483" s="29">
        <f ca="1">ROUND(8.760,3)</f>
        <v>0</v>
      </c>
      <c r="G483" s="27">
        <f ca="1">ROUND((E483*F483)/100,2)</f>
        <v>0</v>
      </c>
    </row>
    <row r="484" spans="1:7" ht="15.48" thickBot="1" customHeight="1">
      <c r="A484" s="30"/>
      <c r="B484" s="30"/>
      <c r="C484" s="30"/>
      <c r="D484" s="31" t="s">
        <v>1458</v>
      </c>
      <c r="E484" s="30"/>
      <c r="F484" s="33">
        <f ca="1">ROUND((G476+G477+G478+G483)*(1+G2/100),2)</f>
        <v>0</v>
      </c>
      <c r="G484" s="30"/>
    </row>
    <row r="485" spans="1:7" ht="39.84" thickBot="1" customHeight="1">
      <c r="A485" s="34" t="s">
        <v>1459</v>
      </c>
      <c r="B485" s="35" t="s">
        <v>1460</v>
      </c>
      <c r="C485" s="35" t="s">
        <v>1461</v>
      </c>
      <c r="D485" s="36" t="s">
        <v>1462</v>
      </c>
      <c r="E485" s="37"/>
      <c r="F485" s="38">
        <f ca="1">F495</f>
        <v>0</v>
      </c>
      <c r="G485" s="37"/>
    </row>
    <row r="486" spans="1:7" ht="21.36" thickBot="1" customHeight="1">
      <c r="A486" s="26"/>
      <c r="B486" s="26"/>
      <c r="C486" s="26"/>
      <c r="D486" s="25" t="s">
        <v>1463</v>
      </c>
      <c r="E486" s="25"/>
      <c r="F486" s="25"/>
      <c r="G486" s="25"/>
    </row>
    <row r="487" spans="1:7" ht="30.60" thickBot="1" customHeight="1">
      <c r="A487" s="24" t="s">
        <v>1464</v>
      </c>
      <c r="B487" s="24" t="s">
        <v>1465</v>
      </c>
      <c r="C487" s="24" t="s">
        <v>1466</v>
      </c>
      <c r="D487" s="25" t="s">
        <v>1467</v>
      </c>
      <c r="E487" s="28">
        <v>0.06600</v>
      </c>
      <c r="F487" s="29">
        <f ca="1">ROUND(2.560,3)</f>
        <v>0</v>
      </c>
      <c r="G487" s="27">
        <f ca="1">ROUND(E487*F487,2)</f>
        <v>0</v>
      </c>
    </row>
    <row r="488" spans="1:7" ht="24.36" thickBot="1" customHeight="1">
      <c r="A488" s="24" t="s">
        <v>1468</v>
      </c>
      <c r="B488" s="24" t="s">
        <v>1469</v>
      </c>
      <c r="C488" s="24" t="s">
        <v>1470</v>
      </c>
      <c r="D488" s="25" t="s">
        <v>1471</v>
      </c>
      <c r="E488" s="28">
        <v>0.33333</v>
      </c>
      <c r="F488" s="29">
        <f ca="1">ROUND(7.526,3)</f>
        <v>0</v>
      </c>
      <c r="G488" s="27">
        <f ca="1">ROUND(E488*F488,2)</f>
        <v>0</v>
      </c>
    </row>
    <row r="489" spans="1:7" ht="21.36" thickBot="1" customHeight="1">
      <c r="A489" s="24" t="s">
        <v>1472</v>
      </c>
      <c r="B489" s="24" t="s">
        <v>1473</v>
      </c>
      <c r="C489" s="24" t="s">
        <v>1474</v>
      </c>
      <c r="D489" s="25" t="s">
        <v>1475</v>
      </c>
      <c r="E489" s="28">
        <v>0.33333</v>
      </c>
      <c r="F489" s="29">
        <f ca="1">F493</f>
        <v>0</v>
      </c>
      <c r="G489" s="27">
        <f ca="1">ROUND(E489*F489,2)</f>
        <v>0</v>
      </c>
    </row>
    <row r="490" spans="1:7" ht="24.36" thickBot="1" customHeight="1">
      <c r="A490" s="24" t="s">
        <v>1476</v>
      </c>
      <c r="B490" s="24" t="s">
        <v>1477</v>
      </c>
      <c r="C490" s="24" t="s">
        <v>1478</v>
      </c>
      <c r="D490" s="25" t="s">
        <v>1479</v>
      </c>
      <c r="E490" s="28">
        <v>1.00000</v>
      </c>
      <c r="F490" s="29">
        <f ca="1">ROUND(21.000,3)</f>
        <v>0</v>
      </c>
      <c r="G490" s="27">
        <f ca="1">ROUND(E490*F490,2)</f>
        <v>0</v>
      </c>
    </row>
    <row r="491" spans="1:7" ht="24.36" thickBot="1" customHeight="1">
      <c r="A491" s="24" t="s">
        <v>1480</v>
      </c>
      <c r="B491" s="24" t="s">
        <v>1481</v>
      </c>
      <c r="C491" s="24" t="s">
        <v>1482</v>
      </c>
      <c r="D491" s="25" t="s">
        <v>1483</v>
      </c>
      <c r="E491" s="28">
        <v>1.00000</v>
      </c>
      <c r="F491" s="29">
        <f ca="1">ROUND(19.000,3)</f>
        <v>0</v>
      </c>
      <c r="G491" s="27">
        <f ca="1">ROUND(E491*F491,2)</f>
        <v>0</v>
      </c>
    </row>
    <row r="492" spans="1:7" ht="24.36" thickBot="1" customHeight="1">
      <c r="A492" s="24" t="s">
        <v>1484</v>
      </c>
      <c r="B492" s="24" t="s">
        <v>1485</v>
      </c>
      <c r="C492" s="24" t="s">
        <v>1486</v>
      </c>
      <c r="D492" s="25" t="s">
        <v>1487</v>
      </c>
      <c r="E492" s="28">
        <v>0.20000</v>
      </c>
      <c r="F492" s="29">
        <f ca="1">ROUND(19.000,3)</f>
        <v>0</v>
      </c>
      <c r="G492" s="27">
        <f ca="1">ROUND(E492*F492,2)</f>
        <v>0</v>
      </c>
    </row>
    <row r="493" spans="1:7" ht="15.12" thickBot="1" customHeight="1">
      <c r="A493" s="26"/>
      <c r="B493" s="26"/>
      <c r="C493" s="26"/>
      <c r="D493" s="24" t="s">
        <v>1488</v>
      </c>
      <c r="E493" s="28">
        <v>0.33333</v>
      </c>
      <c r="F493" s="29">
        <f ca="1">ROUND((G490+G491+G492),3)</f>
        <v>0</v>
      </c>
      <c r="G493" s="27">
        <f ca="1">ROUND(E493*F493,2)</f>
        <v>0</v>
      </c>
    </row>
    <row r="494" spans="1:7" ht="15.12" thickBot="1" customHeight="1">
      <c r="A494" s="24" t="s">
        <v>1489</v>
      </c>
      <c r="B494" s="24"/>
      <c r="C494" s="24" t="s">
        <v>1490</v>
      </c>
      <c r="D494" s="25" t="s">
        <v>1491</v>
      </c>
      <c r="E494" s="28">
        <v>2.00000</v>
      </c>
      <c r="F494" s="29">
        <f ca="1">ROUND(14.600,3)</f>
        <v>0</v>
      </c>
      <c r="G494" s="27">
        <f ca="1">ROUND((E494*F494)/100,2)</f>
        <v>0</v>
      </c>
    </row>
    <row r="495" spans="1:7" ht="15.48" thickBot="1" customHeight="1">
      <c r="A495" s="30"/>
      <c r="B495" s="30"/>
      <c r="C495" s="30"/>
      <c r="D495" s="31" t="s">
        <v>1492</v>
      </c>
      <c r="E495" s="30"/>
      <c r="F495" s="33">
        <f ca="1">ROUND((G487+G488+G489+G494)*(1+G2/100),2)</f>
        <v>0</v>
      </c>
      <c r="G495" s="30"/>
    </row>
    <row r="496" spans="1:7" ht="58.32" thickBot="1" customHeight="1">
      <c r="A496" s="34" t="s">
        <v>1493</v>
      </c>
      <c r="B496" s="35" t="s">
        <v>1494</v>
      </c>
      <c r="C496" s="35" t="s">
        <v>1495</v>
      </c>
      <c r="D496" s="36" t="s">
        <v>1496</v>
      </c>
      <c r="E496" s="37"/>
      <c r="F496" s="38">
        <f ca="1">F507</f>
        <v>0</v>
      </c>
      <c r="G496" s="37"/>
    </row>
    <row r="497" spans="1:7" ht="30.60" thickBot="1" customHeight="1">
      <c r="A497" s="26"/>
      <c r="B497" s="26"/>
      <c r="C497" s="26"/>
      <c r="D497" s="25" t="s">
        <v>1497</v>
      </c>
      <c r="E497" s="25"/>
      <c r="F497" s="25"/>
      <c r="G497" s="25"/>
    </row>
    <row r="498" spans="1:7" ht="30.60" thickBot="1" customHeight="1">
      <c r="A498" s="24" t="s">
        <v>1498</v>
      </c>
      <c r="B498" s="24" t="s">
        <v>1499</v>
      </c>
      <c r="C498" s="24" t="s">
        <v>1500</v>
      </c>
      <c r="D498" s="25" t="s">
        <v>1501</v>
      </c>
      <c r="E498" s="28">
        <v>0.16000</v>
      </c>
      <c r="F498" s="29">
        <f ca="1">ROUND(18.760,3)</f>
        <v>0</v>
      </c>
      <c r="G498" s="27">
        <f ca="1">ROUND(E498*F498,2)</f>
        <v>0</v>
      </c>
    </row>
    <row r="499" spans="1:7" ht="30.60" thickBot="1" customHeight="1">
      <c r="A499" s="24" t="s">
        <v>1502</v>
      </c>
      <c r="B499" s="24" t="s">
        <v>1503</v>
      </c>
      <c r="C499" s="24" t="s">
        <v>1504</v>
      </c>
      <c r="D499" s="25" t="s">
        <v>1505</v>
      </c>
      <c r="E499" s="28">
        <v>0.30000</v>
      </c>
      <c r="F499" s="29">
        <f ca="1">ROUND(5.280,3)</f>
        <v>0</v>
      </c>
      <c r="G499" s="27">
        <f ca="1">ROUND(E499*F499,2)</f>
        <v>0</v>
      </c>
    </row>
    <row r="500" spans="1:7" ht="39.84" thickBot="1" customHeight="1">
      <c r="A500" s="24" t="s">
        <v>1506</v>
      </c>
      <c r="B500" s="24" t="s">
        <v>1507</v>
      </c>
      <c r="C500" s="24" t="s">
        <v>1508</v>
      </c>
      <c r="D500" s="25" t="s">
        <v>1509</v>
      </c>
      <c r="E500" s="28">
        <v>0.30000</v>
      </c>
      <c r="F500" s="29">
        <f ca="1">ROUND(7.565,3)</f>
        <v>0</v>
      </c>
      <c r="G500" s="27">
        <f ca="1">ROUND(E500*F500,2)</f>
        <v>0</v>
      </c>
    </row>
    <row r="501" spans="1:7" ht="21.36" thickBot="1" customHeight="1">
      <c r="A501" s="24" t="s">
        <v>1510</v>
      </c>
      <c r="B501" s="24" t="s">
        <v>1511</v>
      </c>
      <c r="C501" s="24" t="s">
        <v>1512</v>
      </c>
      <c r="D501" s="25" t="s">
        <v>1513</v>
      </c>
      <c r="E501" s="28">
        <v>0.30000</v>
      </c>
      <c r="F501" s="29">
        <f ca="1">F505</f>
        <v>0</v>
      </c>
      <c r="G501" s="27">
        <f ca="1">ROUND(E501*F501,2)</f>
        <v>0</v>
      </c>
    </row>
    <row r="502" spans="1:7" ht="24.36" thickBot="1" customHeight="1">
      <c r="A502" s="24" t="s">
        <v>1514</v>
      </c>
      <c r="B502" s="24" t="s">
        <v>1515</v>
      </c>
      <c r="C502" s="24" t="s">
        <v>1516</v>
      </c>
      <c r="D502" s="25" t="s">
        <v>1517</v>
      </c>
      <c r="E502" s="28">
        <v>1.00000</v>
      </c>
      <c r="F502" s="29">
        <f ca="1">ROUND(21.000,3)</f>
        <v>0</v>
      </c>
      <c r="G502" s="27">
        <f ca="1">ROUND(E502*F502,2)</f>
        <v>0</v>
      </c>
    </row>
    <row r="503" spans="1:7" ht="24.36" thickBot="1" customHeight="1">
      <c r="A503" s="24" t="s">
        <v>1518</v>
      </c>
      <c r="B503" s="24" t="s">
        <v>1519</v>
      </c>
      <c r="C503" s="24" t="s">
        <v>1520</v>
      </c>
      <c r="D503" s="25" t="s">
        <v>1521</v>
      </c>
      <c r="E503" s="28">
        <v>1.00000</v>
      </c>
      <c r="F503" s="29">
        <f ca="1">ROUND(19.000,3)</f>
        <v>0</v>
      </c>
      <c r="G503" s="27">
        <f ca="1">ROUND(E503*F503,2)</f>
        <v>0</v>
      </c>
    </row>
    <row r="504" spans="1:7" ht="24.36" thickBot="1" customHeight="1">
      <c r="A504" s="24" t="s">
        <v>1522</v>
      </c>
      <c r="B504" s="24" t="s">
        <v>1523</v>
      </c>
      <c r="C504" s="24" t="s">
        <v>1524</v>
      </c>
      <c r="D504" s="25" t="s">
        <v>1525</v>
      </c>
      <c r="E504" s="28">
        <v>0.20000</v>
      </c>
      <c r="F504" s="29">
        <f ca="1">ROUND(19.000,3)</f>
        <v>0</v>
      </c>
      <c r="G504" s="27">
        <f ca="1">ROUND(E504*F504,2)</f>
        <v>0</v>
      </c>
    </row>
    <row r="505" spans="1:7" ht="15.12" thickBot="1" customHeight="1">
      <c r="A505" s="26"/>
      <c r="B505" s="26"/>
      <c r="C505" s="26"/>
      <c r="D505" s="24" t="s">
        <v>1526</v>
      </c>
      <c r="E505" s="28">
        <v>0.30000</v>
      </c>
      <c r="F505" s="29">
        <f ca="1">ROUND((G502+G503+G504),3)</f>
        <v>0</v>
      </c>
      <c r="G505" s="27">
        <f ca="1">ROUND(E505*F505,2)</f>
        <v>0</v>
      </c>
    </row>
    <row r="506" spans="1:7" ht="15.12" thickBot="1" customHeight="1">
      <c r="A506" s="24" t="s">
        <v>1527</v>
      </c>
      <c r="B506" s="24"/>
      <c r="C506" s="24" t="s">
        <v>1528</v>
      </c>
      <c r="D506" s="25" t="s">
        <v>1529</v>
      </c>
      <c r="E506" s="28">
        <v>5.00000</v>
      </c>
      <c r="F506" s="29">
        <f ca="1">ROUND(13.140,3)</f>
        <v>0</v>
      </c>
      <c r="G506" s="27">
        <f ca="1">ROUND((E506*F506)/100,2)</f>
        <v>0</v>
      </c>
    </row>
    <row r="507" spans="1:7" ht="25.08" thickBot="1" customHeight="1">
      <c r="A507" s="30"/>
      <c r="B507" s="30"/>
      <c r="C507" s="30"/>
      <c r="D507" s="31" t="s">
        <v>1530</v>
      </c>
      <c r="E507" s="30"/>
      <c r="F507" s="33">
        <f ca="1">ROUND((G498+G499+G500+G501+G506)*(1+G2/100),2)</f>
        <v>0</v>
      </c>
      <c r="G507" s="30"/>
    </row>
    <row r="508" spans="1:7" ht="58.32" thickBot="1" customHeight="1">
      <c r="A508" s="34" t="s">
        <v>1531</v>
      </c>
      <c r="B508" s="35" t="s">
        <v>1532</v>
      </c>
      <c r="C508" s="35" t="s">
        <v>1533</v>
      </c>
      <c r="D508" s="36" t="s">
        <v>1534</v>
      </c>
      <c r="E508" s="37"/>
      <c r="F508" s="38">
        <f ca="1">F519</f>
        <v>0</v>
      </c>
      <c r="G508" s="37"/>
    </row>
    <row r="509" spans="1:7" ht="30.60" thickBot="1" customHeight="1">
      <c r="A509" s="26"/>
      <c r="B509" s="26"/>
      <c r="C509" s="26"/>
      <c r="D509" s="25" t="s">
        <v>1535</v>
      </c>
      <c r="E509" s="25"/>
      <c r="F509" s="25"/>
      <c r="G509" s="25"/>
    </row>
    <row r="510" spans="1:7" ht="30.60" thickBot="1" customHeight="1">
      <c r="A510" s="24" t="s">
        <v>1536</v>
      </c>
      <c r="B510" s="24" t="s">
        <v>1537</v>
      </c>
      <c r="C510" s="24" t="s">
        <v>1538</v>
      </c>
      <c r="D510" s="25" t="s">
        <v>1539</v>
      </c>
      <c r="E510" s="28">
        <v>0.16000</v>
      </c>
      <c r="F510" s="29">
        <f ca="1">ROUND(18.760,3)</f>
        <v>0</v>
      </c>
      <c r="G510" s="27">
        <f ca="1">ROUND(E510*F510,2)</f>
        <v>0</v>
      </c>
    </row>
    <row r="511" spans="1:7" ht="30.60" thickBot="1" customHeight="1">
      <c r="A511" s="24" t="s">
        <v>1540</v>
      </c>
      <c r="B511" s="24" t="s">
        <v>1541</v>
      </c>
      <c r="C511" s="24" t="s">
        <v>1542</v>
      </c>
      <c r="D511" s="25" t="s">
        <v>1543</v>
      </c>
      <c r="E511" s="28">
        <v>0.58000</v>
      </c>
      <c r="F511" s="29">
        <f ca="1">ROUND(5.280,3)</f>
        <v>0</v>
      </c>
      <c r="G511" s="27">
        <f ca="1">ROUND(E511*F511,2)</f>
        <v>0</v>
      </c>
    </row>
    <row r="512" spans="1:7" ht="39.84" thickBot="1" customHeight="1">
      <c r="A512" s="24" t="s">
        <v>1544</v>
      </c>
      <c r="B512" s="24" t="s">
        <v>1545</v>
      </c>
      <c r="C512" s="24" t="s">
        <v>1546</v>
      </c>
      <c r="D512" s="25" t="s">
        <v>1547</v>
      </c>
      <c r="E512" s="28">
        <v>0.58000</v>
      </c>
      <c r="F512" s="29">
        <f ca="1">ROUND(7.565,3)</f>
        <v>0</v>
      </c>
      <c r="G512" s="27">
        <f ca="1">ROUND(E512*F512,2)</f>
        <v>0</v>
      </c>
    </row>
    <row r="513" spans="1:7" ht="21.36" thickBot="1" customHeight="1">
      <c r="A513" s="24" t="s">
        <v>1548</v>
      </c>
      <c r="B513" s="24" t="s">
        <v>1549</v>
      </c>
      <c r="C513" s="24" t="s">
        <v>1550</v>
      </c>
      <c r="D513" s="25" t="s">
        <v>1551</v>
      </c>
      <c r="E513" s="28">
        <v>0.58000</v>
      </c>
      <c r="F513" s="29">
        <f ca="1">F517</f>
        <v>0</v>
      </c>
      <c r="G513" s="27">
        <f ca="1">ROUND(E513*F513,2)</f>
        <v>0</v>
      </c>
    </row>
    <row r="514" spans="1:7" ht="24.36" thickBot="1" customHeight="1">
      <c r="A514" s="24" t="s">
        <v>1552</v>
      </c>
      <c r="B514" s="24" t="s">
        <v>1553</v>
      </c>
      <c r="C514" s="24" t="s">
        <v>1554</v>
      </c>
      <c r="D514" s="25" t="s">
        <v>1555</v>
      </c>
      <c r="E514" s="28">
        <v>1.00000</v>
      </c>
      <c r="F514" s="29">
        <f ca="1">ROUND(21.000,3)</f>
        <v>0</v>
      </c>
      <c r="G514" s="27">
        <f ca="1">ROUND(E514*F514,2)</f>
        <v>0</v>
      </c>
    </row>
    <row r="515" spans="1:7" ht="24.36" thickBot="1" customHeight="1">
      <c r="A515" s="24" t="s">
        <v>1556</v>
      </c>
      <c r="B515" s="24" t="s">
        <v>1557</v>
      </c>
      <c r="C515" s="24" t="s">
        <v>1558</v>
      </c>
      <c r="D515" s="25" t="s">
        <v>1559</v>
      </c>
      <c r="E515" s="28">
        <v>1.00000</v>
      </c>
      <c r="F515" s="29">
        <f ca="1">ROUND(19.000,3)</f>
        <v>0</v>
      </c>
      <c r="G515" s="27">
        <f ca="1">ROUND(E515*F515,2)</f>
        <v>0</v>
      </c>
    </row>
    <row r="516" spans="1:7" ht="24.36" thickBot="1" customHeight="1">
      <c r="A516" s="24" t="s">
        <v>1560</v>
      </c>
      <c r="B516" s="24" t="s">
        <v>1561</v>
      </c>
      <c r="C516" s="24" t="s">
        <v>1562</v>
      </c>
      <c r="D516" s="25" t="s">
        <v>1563</v>
      </c>
      <c r="E516" s="28">
        <v>0.20000</v>
      </c>
      <c r="F516" s="29">
        <f ca="1">ROUND(19.000,3)</f>
        <v>0</v>
      </c>
      <c r="G516" s="27">
        <f ca="1">ROUND(E516*F516,2)</f>
        <v>0</v>
      </c>
    </row>
    <row r="517" spans="1:7" ht="15.12" thickBot="1" customHeight="1">
      <c r="A517" s="26"/>
      <c r="B517" s="26"/>
      <c r="C517" s="26"/>
      <c r="D517" s="24" t="s">
        <v>1564</v>
      </c>
      <c r="E517" s="28">
        <v>0.58000</v>
      </c>
      <c r="F517" s="29">
        <f ca="1">ROUND((G514+G515+G516),3)</f>
        <v>0</v>
      </c>
      <c r="G517" s="27">
        <f ca="1">ROUND(E517*F517,2)</f>
        <v>0</v>
      </c>
    </row>
    <row r="518" spans="1:7" ht="15.12" thickBot="1" customHeight="1">
      <c r="A518" s="24" t="s">
        <v>1565</v>
      </c>
      <c r="B518" s="24"/>
      <c r="C518" s="24" t="s">
        <v>1566</v>
      </c>
      <c r="D518" s="25" t="s">
        <v>1567</v>
      </c>
      <c r="E518" s="28">
        <v>5.00000</v>
      </c>
      <c r="F518" s="29">
        <f ca="1">ROUND(25.400,3)</f>
        <v>0</v>
      </c>
      <c r="G518" s="27">
        <f ca="1">ROUND((E518*F518)/100,2)</f>
        <v>0</v>
      </c>
    </row>
    <row r="519" spans="1:7" ht="25.08" thickBot="1" customHeight="1">
      <c r="A519" s="30"/>
      <c r="B519" s="30"/>
      <c r="C519" s="30"/>
      <c r="D519" s="31" t="s">
        <v>1568</v>
      </c>
      <c r="E519" s="30"/>
      <c r="F519" s="33">
        <f ca="1">ROUND((G510+G511+G512+G513+G518)*(1+G2/100),2)</f>
        <v>0</v>
      </c>
      <c r="G519" s="30"/>
    </row>
    <row r="520" spans="1:7" ht="58.32" thickBot="1" customHeight="1">
      <c r="A520" s="34" t="s">
        <v>1569</v>
      </c>
      <c r="B520" s="35" t="s">
        <v>1570</v>
      </c>
      <c r="C520" s="35" t="s">
        <v>1571</v>
      </c>
      <c r="D520" s="36" t="s">
        <v>1572</v>
      </c>
      <c r="E520" s="37"/>
      <c r="F520" s="38">
        <f ca="1">F531</f>
        <v>0</v>
      </c>
      <c r="G520" s="37"/>
    </row>
    <row r="521" spans="1:7" ht="30.60" thickBot="1" customHeight="1">
      <c r="A521" s="26"/>
      <c r="B521" s="26"/>
      <c r="C521" s="26"/>
      <c r="D521" s="25" t="s">
        <v>1573</v>
      </c>
      <c r="E521" s="25"/>
      <c r="F521" s="25"/>
      <c r="G521" s="25"/>
    </row>
    <row r="522" spans="1:7" ht="30.60" thickBot="1" customHeight="1">
      <c r="A522" s="24" t="s">
        <v>1574</v>
      </c>
      <c r="B522" s="24" t="s">
        <v>1575</v>
      </c>
      <c r="C522" s="24" t="s">
        <v>1576</v>
      </c>
      <c r="D522" s="25" t="s">
        <v>1577</v>
      </c>
      <c r="E522" s="28">
        <v>0.16000</v>
      </c>
      <c r="F522" s="29">
        <f ca="1">ROUND(18.760,3)</f>
        <v>0</v>
      </c>
      <c r="G522" s="27">
        <f ca="1">ROUND(E522*F522,2)</f>
        <v>0</v>
      </c>
    </row>
    <row r="523" spans="1:7" ht="30.60" thickBot="1" customHeight="1">
      <c r="A523" s="24" t="s">
        <v>1578</v>
      </c>
      <c r="B523" s="24" t="s">
        <v>1579</v>
      </c>
      <c r="C523" s="24" t="s">
        <v>1580</v>
      </c>
      <c r="D523" s="25" t="s">
        <v>1581</v>
      </c>
      <c r="E523" s="28">
        <v>0.36000</v>
      </c>
      <c r="F523" s="29">
        <f ca="1">ROUND(5.280,3)</f>
        <v>0</v>
      </c>
      <c r="G523" s="27">
        <f ca="1">ROUND(E523*F523,2)</f>
        <v>0</v>
      </c>
    </row>
    <row r="524" spans="1:7" ht="39.84" thickBot="1" customHeight="1">
      <c r="A524" s="24" t="s">
        <v>1582</v>
      </c>
      <c r="B524" s="24" t="s">
        <v>1583</v>
      </c>
      <c r="C524" s="24" t="s">
        <v>1584</v>
      </c>
      <c r="D524" s="25" t="s">
        <v>1585</v>
      </c>
      <c r="E524" s="28">
        <v>0.36000</v>
      </c>
      <c r="F524" s="29">
        <f ca="1">ROUND(7.565,3)</f>
        <v>0</v>
      </c>
      <c r="G524" s="27">
        <f ca="1">ROUND(E524*F524,2)</f>
        <v>0</v>
      </c>
    </row>
    <row r="525" spans="1:7" ht="21.36" thickBot="1" customHeight="1">
      <c r="A525" s="24" t="s">
        <v>1586</v>
      </c>
      <c r="B525" s="24" t="s">
        <v>1587</v>
      </c>
      <c r="C525" s="24" t="s">
        <v>1588</v>
      </c>
      <c r="D525" s="25" t="s">
        <v>1589</v>
      </c>
      <c r="E525" s="28">
        <v>0.36000</v>
      </c>
      <c r="F525" s="29">
        <f ca="1">F529</f>
        <v>0</v>
      </c>
      <c r="G525" s="27">
        <f ca="1">ROUND(E525*F525,2)</f>
        <v>0</v>
      </c>
    </row>
    <row r="526" spans="1:7" ht="24.36" thickBot="1" customHeight="1">
      <c r="A526" s="24" t="s">
        <v>1590</v>
      </c>
      <c r="B526" s="24" t="s">
        <v>1591</v>
      </c>
      <c r="C526" s="24" t="s">
        <v>1592</v>
      </c>
      <c r="D526" s="25" t="s">
        <v>1593</v>
      </c>
      <c r="E526" s="28">
        <v>1.00000</v>
      </c>
      <c r="F526" s="29">
        <f ca="1">ROUND(21.000,3)</f>
        <v>0</v>
      </c>
      <c r="G526" s="27">
        <f ca="1">ROUND(E526*F526,2)</f>
        <v>0</v>
      </c>
    </row>
    <row r="527" spans="1:7" ht="24.36" thickBot="1" customHeight="1">
      <c r="A527" s="24" t="s">
        <v>1594</v>
      </c>
      <c r="B527" s="24" t="s">
        <v>1595</v>
      </c>
      <c r="C527" s="24" t="s">
        <v>1596</v>
      </c>
      <c r="D527" s="25" t="s">
        <v>1597</v>
      </c>
      <c r="E527" s="28">
        <v>1.00000</v>
      </c>
      <c r="F527" s="29">
        <f ca="1">ROUND(19.000,3)</f>
        <v>0</v>
      </c>
      <c r="G527" s="27">
        <f ca="1">ROUND(E527*F527,2)</f>
        <v>0</v>
      </c>
    </row>
    <row r="528" spans="1:7" ht="24.36" thickBot="1" customHeight="1">
      <c r="A528" s="24" t="s">
        <v>1598</v>
      </c>
      <c r="B528" s="24" t="s">
        <v>1599</v>
      </c>
      <c r="C528" s="24" t="s">
        <v>1600</v>
      </c>
      <c r="D528" s="25" t="s">
        <v>1601</v>
      </c>
      <c r="E528" s="28">
        <v>0.20000</v>
      </c>
      <c r="F528" s="29">
        <f ca="1">ROUND(19.000,3)</f>
        <v>0</v>
      </c>
      <c r="G528" s="27">
        <f ca="1">ROUND(E528*F528,2)</f>
        <v>0</v>
      </c>
    </row>
    <row r="529" spans="1:7" ht="15.12" thickBot="1" customHeight="1">
      <c r="A529" s="26"/>
      <c r="B529" s="26"/>
      <c r="C529" s="26"/>
      <c r="D529" s="24" t="s">
        <v>1602</v>
      </c>
      <c r="E529" s="28">
        <v>0.36000</v>
      </c>
      <c r="F529" s="29">
        <f ca="1">ROUND((G526+G527+G528),3)</f>
        <v>0</v>
      </c>
      <c r="G529" s="27">
        <f ca="1">ROUND(E529*F529,2)</f>
        <v>0</v>
      </c>
    </row>
    <row r="530" spans="1:7" ht="15.12" thickBot="1" customHeight="1">
      <c r="A530" s="24" t="s">
        <v>1603</v>
      </c>
      <c r="B530" s="24"/>
      <c r="C530" s="24" t="s">
        <v>1604</v>
      </c>
      <c r="D530" s="25" t="s">
        <v>1605</v>
      </c>
      <c r="E530" s="28">
        <v>5.00000</v>
      </c>
      <c r="F530" s="29">
        <f ca="1">ROUND(15.770,3)</f>
        <v>0</v>
      </c>
      <c r="G530" s="27">
        <f ca="1">ROUND((E530*F530)/100,2)</f>
        <v>0</v>
      </c>
    </row>
    <row r="531" spans="1:7" ht="25.08" thickBot="1" customHeight="1">
      <c r="A531" s="30"/>
      <c r="B531" s="30"/>
      <c r="C531" s="30"/>
      <c r="D531" s="31" t="s">
        <v>1606</v>
      </c>
      <c r="E531" s="30"/>
      <c r="F531" s="33">
        <f ca="1">ROUND((G522+G523+G524+G525+G530)*(1+G2/100),2)</f>
        <v>0</v>
      </c>
      <c r="G531" s="30"/>
    </row>
    <row r="532" spans="1:7" ht="15.48" thickBot="1" customHeight="1">
      <c r="A532" s="39"/>
      <c r="B532" s="39"/>
      <c r="C532" s="39"/>
      <c r="D532" s="40" t="s">
        <v>1607</v>
      </c>
      <c r="E532" s="41"/>
      <c r="F532" s="41"/>
      <c r="G532" s="41"/>
    </row>
    <row r="533" spans="1:7" ht="25.08" thickBot="1" customHeight="1">
      <c r="A533" s="42" t="s">
        <v>1608</v>
      </c>
      <c r="B533" s="42" t="s">
        <v>1609</v>
      </c>
      <c r="C533" s="43"/>
      <c r="D533" s="44" t="s">
        <v>1610</v>
      </c>
      <c r="E533" s="43"/>
      <c r="F533" s="43"/>
      <c r="G533" s="43"/>
    </row>
    <row r="534" spans="1:7" ht="25.08" thickBot="1" customHeight="1">
      <c r="A534" s="10" t="s">
        <v>1611</v>
      </c>
      <c r="B534" s="24" t="s">
        <v>1612</v>
      </c>
      <c r="C534" s="24" t="s">
        <v>1613</v>
      </c>
      <c r="D534" s="25" t="s">
        <v>1614</v>
      </c>
      <c r="E534" s="26"/>
      <c r="F534" s="27">
        <f ca="1">F544</f>
        <v>0</v>
      </c>
      <c r="G534" s="26"/>
    </row>
    <row r="535" spans="1:7" ht="12.12" thickBot="1" customHeight="1">
      <c r="A535" s="26"/>
      <c r="B535" s="26"/>
      <c r="C535" s="26"/>
      <c r="D535" s="25" t="s">
        <v>1615</v>
      </c>
      <c r="E535" s="25"/>
      <c r="F535" s="25"/>
      <c r="G535" s="25"/>
    </row>
    <row r="536" spans="1:7" ht="39.84" thickBot="1" customHeight="1">
      <c r="A536" s="24" t="s">
        <v>1616</v>
      </c>
      <c r="B536" s="24" t="s">
        <v>1617</v>
      </c>
      <c r="C536" s="24" t="s">
        <v>1618</v>
      </c>
      <c r="D536" s="25" t="s">
        <v>1619</v>
      </c>
      <c r="E536" s="28">
        <v>0.02000</v>
      </c>
      <c r="F536" s="29">
        <f ca="1">ROUND(9.130,3)</f>
        <v>0</v>
      </c>
      <c r="G536" s="27">
        <f ca="1">ROUND(E536*F536,2)</f>
        <v>0</v>
      </c>
    </row>
    <row r="537" spans="1:7" ht="24.36" thickBot="1" customHeight="1">
      <c r="A537" s="24" t="s">
        <v>1620</v>
      </c>
      <c r="B537" s="24" t="s">
        <v>1621</v>
      </c>
      <c r="C537" s="24" t="s">
        <v>1622</v>
      </c>
      <c r="D537" s="25" t="s">
        <v>1623</v>
      </c>
      <c r="E537" s="28">
        <v>0.16000</v>
      </c>
      <c r="F537" s="29">
        <f ca="1">ROUND(7.526,3)</f>
        <v>0</v>
      </c>
      <c r="G537" s="27">
        <f ca="1">ROUND(E537*F537,2)</f>
        <v>0</v>
      </c>
    </row>
    <row r="538" spans="1:7" ht="21.36" thickBot="1" customHeight="1">
      <c r="A538" s="24" t="s">
        <v>1624</v>
      </c>
      <c r="B538" s="24" t="s">
        <v>1625</v>
      </c>
      <c r="C538" s="24" t="s">
        <v>1626</v>
      </c>
      <c r="D538" s="25" t="s">
        <v>1627</v>
      </c>
      <c r="E538" s="28">
        <v>0.30000</v>
      </c>
      <c r="F538" s="29">
        <f ca="1">F542</f>
        <v>0</v>
      </c>
      <c r="G538" s="27">
        <f ca="1">ROUND(E538*F538,2)</f>
        <v>0</v>
      </c>
    </row>
    <row r="539" spans="1:7" ht="24.36" thickBot="1" customHeight="1">
      <c r="A539" s="24" t="s">
        <v>1628</v>
      </c>
      <c r="B539" s="24" t="s">
        <v>1629</v>
      </c>
      <c r="C539" s="24" t="s">
        <v>1630</v>
      </c>
      <c r="D539" s="25" t="s">
        <v>1631</v>
      </c>
      <c r="E539" s="28">
        <v>1.00000</v>
      </c>
      <c r="F539" s="29">
        <f ca="1">ROUND(21.000,3)</f>
        <v>0</v>
      </c>
      <c r="G539" s="27">
        <f ca="1">ROUND(E539*F539,2)</f>
        <v>0</v>
      </c>
    </row>
    <row r="540" spans="1:7" ht="24.36" thickBot="1" customHeight="1">
      <c r="A540" s="24" t="s">
        <v>1632</v>
      </c>
      <c r="B540" s="24" t="s">
        <v>1633</v>
      </c>
      <c r="C540" s="24" t="s">
        <v>1634</v>
      </c>
      <c r="D540" s="25" t="s">
        <v>1635</v>
      </c>
      <c r="E540" s="28">
        <v>1.00000</v>
      </c>
      <c r="F540" s="29">
        <f ca="1">ROUND(19.000,3)</f>
        <v>0</v>
      </c>
      <c r="G540" s="27">
        <f ca="1">ROUND(E540*F540,2)</f>
        <v>0</v>
      </c>
    </row>
    <row r="541" spans="1:7" ht="24.36" thickBot="1" customHeight="1">
      <c r="A541" s="24" t="s">
        <v>1636</v>
      </c>
      <c r="B541" s="24" t="s">
        <v>1637</v>
      </c>
      <c r="C541" s="24" t="s">
        <v>1638</v>
      </c>
      <c r="D541" s="25" t="s">
        <v>1639</v>
      </c>
      <c r="E541" s="28">
        <v>0.20000</v>
      </c>
      <c r="F541" s="29">
        <f ca="1">ROUND(19.000,3)</f>
        <v>0</v>
      </c>
      <c r="G541" s="27">
        <f ca="1">ROUND(E541*F541,2)</f>
        <v>0</v>
      </c>
    </row>
    <row r="542" spans="1:7" ht="15.12" thickBot="1" customHeight="1">
      <c r="A542" s="26"/>
      <c r="B542" s="26"/>
      <c r="C542" s="26"/>
      <c r="D542" s="24" t="s">
        <v>1640</v>
      </c>
      <c r="E542" s="28">
        <v>0.30000</v>
      </c>
      <c r="F542" s="29">
        <f ca="1">ROUND((G539+G540+G541),3)</f>
        <v>0</v>
      </c>
      <c r="G542" s="27">
        <f ca="1">ROUND(E542*F542,2)</f>
        <v>0</v>
      </c>
    </row>
    <row r="543" spans="1:7" ht="15.12" thickBot="1" customHeight="1">
      <c r="A543" s="24" t="s">
        <v>1641</v>
      </c>
      <c r="B543" s="24"/>
      <c r="C543" s="24" t="s">
        <v>1642</v>
      </c>
      <c r="D543" s="25" t="s">
        <v>1643</v>
      </c>
      <c r="E543" s="28">
        <v>5.00000</v>
      </c>
      <c r="F543" s="29">
        <f ca="1">ROUND(13.140,3)</f>
        <v>0</v>
      </c>
      <c r="G543" s="27">
        <f ca="1">ROUND((E543*F543)/100,2)</f>
        <v>0</v>
      </c>
    </row>
    <row r="544" spans="1:7" ht="15.48" thickBot="1" customHeight="1">
      <c r="A544" s="30"/>
      <c r="B544" s="30"/>
      <c r="C544" s="30"/>
      <c r="D544" s="31" t="s">
        <v>1644</v>
      </c>
      <c r="E544" s="30"/>
      <c r="F544" s="33">
        <f ca="1">ROUND((G536+G537+G538+G543)*(1+G2/100),2)</f>
        <v>0</v>
      </c>
      <c r="G544" s="30"/>
    </row>
    <row r="545" spans="1:7" ht="15.48" thickBot="1" customHeight="1">
      <c r="A545" s="39"/>
      <c r="B545" s="39"/>
      <c r="C545" s="39"/>
      <c r="D545" s="40" t="s">
        <v>1645</v>
      </c>
      <c r="E545" s="41"/>
      <c r="F545" s="41"/>
      <c r="G545" s="41"/>
    </row>
    <row r="546" spans="1:7" ht="25.08" thickBot="1" customHeight="1">
      <c r="A546" s="42" t="s">
        <v>1646</v>
      </c>
      <c r="B546" s="42" t="s">
        <v>1647</v>
      </c>
      <c r="C546" s="43"/>
      <c r="D546" s="44" t="s">
        <v>1648</v>
      </c>
      <c r="E546" s="43"/>
      <c r="F546" s="43"/>
      <c r="G546" s="43"/>
    </row>
    <row r="547" spans="1:7" ht="34.68" thickBot="1" customHeight="1">
      <c r="A547" s="45" t="s">
        <v>1649</v>
      </c>
      <c r="B547" s="45" t="s">
        <v>1650</v>
      </c>
      <c r="C547" s="46"/>
      <c r="D547" s="47" t="s">
        <v>1651</v>
      </c>
      <c r="E547" s="46"/>
      <c r="F547" s="46"/>
      <c r="G547" s="46"/>
    </row>
    <row r="548" spans="1:7" ht="49.08" thickBot="1" customHeight="1">
      <c r="A548" s="10" t="s">
        <v>1652</v>
      </c>
      <c r="B548" s="24" t="s">
        <v>1653</v>
      </c>
      <c r="C548" s="24" t="s">
        <v>1654</v>
      </c>
      <c r="D548" s="25" t="s">
        <v>1655</v>
      </c>
      <c r="E548" s="26"/>
      <c r="F548" s="27">
        <f ca="1">F558</f>
        <v>0</v>
      </c>
      <c r="G548" s="26"/>
    </row>
    <row r="549" spans="1:7" ht="21.36" thickBot="1" customHeight="1">
      <c r="A549" s="26"/>
      <c r="B549" s="26"/>
      <c r="C549" s="26"/>
      <c r="D549" s="25" t="s">
        <v>1656</v>
      </c>
      <c r="E549" s="25"/>
      <c r="F549" s="25"/>
      <c r="G549" s="25"/>
    </row>
    <row r="550" spans="1:7" ht="30.60" thickBot="1" customHeight="1">
      <c r="A550" s="24" t="s">
        <v>1657</v>
      </c>
      <c r="B550" s="24" t="s">
        <v>1658</v>
      </c>
      <c r="C550" s="24" t="s">
        <v>1659</v>
      </c>
      <c r="D550" s="25" t="s">
        <v>1660</v>
      </c>
      <c r="E550" s="28">
        <v>0.02500</v>
      </c>
      <c r="F550" s="29">
        <f ca="1">ROUND(14.290,3)</f>
        <v>0</v>
      </c>
      <c r="G550" s="27">
        <f ca="1">ROUND(E550*F550,2)</f>
        <v>0</v>
      </c>
    </row>
    <row r="551" spans="1:7" ht="24.36" thickBot="1" customHeight="1">
      <c r="A551" s="24" t="s">
        <v>1661</v>
      </c>
      <c r="B551" s="24" t="s">
        <v>1662</v>
      </c>
      <c r="C551" s="24" t="s">
        <v>1663</v>
      </c>
      <c r="D551" s="25" t="s">
        <v>1664</v>
      </c>
      <c r="E551" s="28">
        <v>0.30000</v>
      </c>
      <c r="F551" s="29">
        <f ca="1">ROUND(7.526,3)</f>
        <v>0</v>
      </c>
      <c r="G551" s="27">
        <f ca="1">ROUND(E551*F551,2)</f>
        <v>0</v>
      </c>
    </row>
    <row r="552" spans="1:7" ht="21.36" thickBot="1" customHeight="1">
      <c r="A552" s="24" t="s">
        <v>1665</v>
      </c>
      <c r="B552" s="24" t="s">
        <v>1666</v>
      </c>
      <c r="C552" s="24" t="s">
        <v>1667</v>
      </c>
      <c r="D552" s="25" t="s">
        <v>1668</v>
      </c>
      <c r="E552" s="28">
        <v>0.30000</v>
      </c>
      <c r="F552" s="29">
        <f ca="1">F556</f>
        <v>0</v>
      </c>
      <c r="G552" s="27">
        <f ca="1">ROUND(E552*F552,2)</f>
        <v>0</v>
      </c>
    </row>
    <row r="553" spans="1:7" ht="24.36" thickBot="1" customHeight="1">
      <c r="A553" s="24" t="s">
        <v>1669</v>
      </c>
      <c r="B553" s="24" t="s">
        <v>1670</v>
      </c>
      <c r="C553" s="24" t="s">
        <v>1671</v>
      </c>
      <c r="D553" s="25" t="s">
        <v>1672</v>
      </c>
      <c r="E553" s="28">
        <v>1.00000</v>
      </c>
      <c r="F553" s="29">
        <f ca="1">ROUND(21.000,3)</f>
        <v>0</v>
      </c>
      <c r="G553" s="27">
        <f ca="1">ROUND(E553*F553,2)</f>
        <v>0</v>
      </c>
    </row>
    <row r="554" spans="1:7" ht="24.36" thickBot="1" customHeight="1">
      <c r="A554" s="24" t="s">
        <v>1673</v>
      </c>
      <c r="B554" s="24" t="s">
        <v>1674</v>
      </c>
      <c r="C554" s="24" t="s">
        <v>1675</v>
      </c>
      <c r="D554" s="25" t="s">
        <v>1676</v>
      </c>
      <c r="E554" s="28">
        <v>1.00000</v>
      </c>
      <c r="F554" s="29">
        <f ca="1">ROUND(19.000,3)</f>
        <v>0</v>
      </c>
      <c r="G554" s="27">
        <f ca="1">ROUND(E554*F554,2)</f>
        <v>0</v>
      </c>
    </row>
    <row r="555" spans="1:7" ht="24.36" thickBot="1" customHeight="1">
      <c r="A555" s="24" t="s">
        <v>1677</v>
      </c>
      <c r="B555" s="24" t="s">
        <v>1678</v>
      </c>
      <c r="C555" s="24" t="s">
        <v>1679</v>
      </c>
      <c r="D555" s="25" t="s">
        <v>1680</v>
      </c>
      <c r="E555" s="28">
        <v>0.20000</v>
      </c>
      <c r="F555" s="29">
        <f ca="1">ROUND(19.000,3)</f>
        <v>0</v>
      </c>
      <c r="G555" s="27">
        <f ca="1">ROUND(E555*F555,2)</f>
        <v>0</v>
      </c>
    </row>
    <row r="556" spans="1:7" ht="15.12" thickBot="1" customHeight="1">
      <c r="A556" s="26"/>
      <c r="B556" s="26"/>
      <c r="C556" s="26"/>
      <c r="D556" s="24" t="s">
        <v>1681</v>
      </c>
      <c r="E556" s="28">
        <v>0.30000</v>
      </c>
      <c r="F556" s="29">
        <f ca="1">ROUND((G553+G554+G555),3)</f>
        <v>0</v>
      </c>
      <c r="G556" s="27">
        <f ca="1">ROUND(E556*F556,2)</f>
        <v>0</v>
      </c>
    </row>
    <row r="557" spans="1:7" ht="15.12" thickBot="1" customHeight="1">
      <c r="A557" s="24" t="s">
        <v>1682</v>
      </c>
      <c r="B557" s="24"/>
      <c r="C557" s="24" t="s">
        <v>1683</v>
      </c>
      <c r="D557" s="25" t="s">
        <v>1684</v>
      </c>
      <c r="E557" s="28">
        <v>5.00000</v>
      </c>
      <c r="F557" s="29">
        <f ca="1">ROUND(13.140,3)</f>
        <v>0</v>
      </c>
      <c r="G557" s="27">
        <f ca="1">ROUND((E557*F557)/100,2)</f>
        <v>0</v>
      </c>
    </row>
    <row r="558" spans="1:7" ht="15.48" thickBot="1" customHeight="1">
      <c r="A558" s="30"/>
      <c r="B558" s="30"/>
      <c r="C558" s="30"/>
      <c r="D558" s="31" t="s">
        <v>1685</v>
      </c>
      <c r="E558" s="30"/>
      <c r="F558" s="33">
        <f ca="1">ROUND((G550+G551+G552+G557)*(1+G2/100),2)</f>
        <v>0</v>
      </c>
      <c r="G558" s="30"/>
    </row>
    <row r="559" spans="1:7" ht="49.08" thickBot="1" customHeight="1">
      <c r="A559" s="34" t="s">
        <v>1686</v>
      </c>
      <c r="B559" s="35" t="s">
        <v>1687</v>
      </c>
      <c r="C559" s="35" t="s">
        <v>1688</v>
      </c>
      <c r="D559" s="36" t="s">
        <v>1689</v>
      </c>
      <c r="E559" s="37"/>
      <c r="F559" s="38">
        <f ca="1">F569</f>
        <v>0</v>
      </c>
      <c r="G559" s="37"/>
    </row>
    <row r="560" spans="1:7" ht="21.36" thickBot="1" customHeight="1">
      <c r="A560" s="26"/>
      <c r="B560" s="26"/>
      <c r="C560" s="26"/>
      <c r="D560" s="25" t="s">
        <v>1690</v>
      </c>
      <c r="E560" s="25"/>
      <c r="F560" s="25"/>
      <c r="G560" s="25"/>
    </row>
    <row r="561" spans="1:7" ht="30.60" thickBot="1" customHeight="1">
      <c r="A561" s="24" t="s">
        <v>1691</v>
      </c>
      <c r="B561" s="24" t="s">
        <v>1692</v>
      </c>
      <c r="C561" s="24" t="s">
        <v>1693</v>
      </c>
      <c r="D561" s="25" t="s">
        <v>1694</v>
      </c>
      <c r="E561" s="28">
        <v>0.02500</v>
      </c>
      <c r="F561" s="29">
        <f ca="1">ROUND(14.290,3)</f>
        <v>0</v>
      </c>
      <c r="G561" s="27">
        <f ca="1">ROUND(E561*F561,2)</f>
        <v>0</v>
      </c>
    </row>
    <row r="562" spans="1:7" ht="24.36" thickBot="1" customHeight="1">
      <c r="A562" s="24" t="s">
        <v>1695</v>
      </c>
      <c r="B562" s="24" t="s">
        <v>1696</v>
      </c>
      <c r="C562" s="24" t="s">
        <v>1697</v>
      </c>
      <c r="D562" s="25" t="s">
        <v>1698</v>
      </c>
      <c r="E562" s="28">
        <v>0.45000</v>
      </c>
      <c r="F562" s="29">
        <f ca="1">ROUND(7.526,3)</f>
        <v>0</v>
      </c>
      <c r="G562" s="27">
        <f ca="1">ROUND(E562*F562,2)</f>
        <v>0</v>
      </c>
    </row>
    <row r="563" spans="1:7" ht="21.36" thickBot="1" customHeight="1">
      <c r="A563" s="24" t="s">
        <v>1699</v>
      </c>
      <c r="B563" s="24" t="s">
        <v>1700</v>
      </c>
      <c r="C563" s="24" t="s">
        <v>1701</v>
      </c>
      <c r="D563" s="25" t="s">
        <v>1702</v>
      </c>
      <c r="E563" s="28">
        <v>0.45000</v>
      </c>
      <c r="F563" s="29">
        <f ca="1">F567</f>
        <v>0</v>
      </c>
      <c r="G563" s="27">
        <f ca="1">ROUND(E563*F563,2)</f>
        <v>0</v>
      </c>
    </row>
    <row r="564" spans="1:7" ht="24.36" thickBot="1" customHeight="1">
      <c r="A564" s="24" t="s">
        <v>1703</v>
      </c>
      <c r="B564" s="24" t="s">
        <v>1704</v>
      </c>
      <c r="C564" s="24" t="s">
        <v>1705</v>
      </c>
      <c r="D564" s="25" t="s">
        <v>1706</v>
      </c>
      <c r="E564" s="28">
        <v>1.00000</v>
      </c>
      <c r="F564" s="29">
        <f ca="1">ROUND(21.000,3)</f>
        <v>0</v>
      </c>
      <c r="G564" s="27">
        <f ca="1">ROUND(E564*F564,2)</f>
        <v>0</v>
      </c>
    </row>
    <row r="565" spans="1:7" ht="24.36" thickBot="1" customHeight="1">
      <c r="A565" s="24" t="s">
        <v>1707</v>
      </c>
      <c r="B565" s="24" t="s">
        <v>1708</v>
      </c>
      <c r="C565" s="24" t="s">
        <v>1709</v>
      </c>
      <c r="D565" s="25" t="s">
        <v>1710</v>
      </c>
      <c r="E565" s="28">
        <v>1.00000</v>
      </c>
      <c r="F565" s="29">
        <f ca="1">ROUND(19.000,3)</f>
        <v>0</v>
      </c>
      <c r="G565" s="27">
        <f ca="1">ROUND(E565*F565,2)</f>
        <v>0</v>
      </c>
    </row>
    <row r="566" spans="1:7" ht="24.36" thickBot="1" customHeight="1">
      <c r="A566" s="24" t="s">
        <v>1711</v>
      </c>
      <c r="B566" s="24" t="s">
        <v>1712</v>
      </c>
      <c r="C566" s="24" t="s">
        <v>1713</v>
      </c>
      <c r="D566" s="25" t="s">
        <v>1714</v>
      </c>
      <c r="E566" s="28">
        <v>0.20000</v>
      </c>
      <c r="F566" s="29">
        <f ca="1">ROUND(19.000,3)</f>
        <v>0</v>
      </c>
      <c r="G566" s="27">
        <f ca="1">ROUND(E566*F566,2)</f>
        <v>0</v>
      </c>
    </row>
    <row r="567" spans="1:7" ht="15.12" thickBot="1" customHeight="1">
      <c r="A567" s="26"/>
      <c r="B567" s="26"/>
      <c r="C567" s="26"/>
      <c r="D567" s="24" t="s">
        <v>1715</v>
      </c>
      <c r="E567" s="28">
        <v>0.45000</v>
      </c>
      <c r="F567" s="29">
        <f ca="1">ROUND((G564+G565+G566),3)</f>
        <v>0</v>
      </c>
      <c r="G567" s="27">
        <f ca="1">ROUND(E567*F567,2)</f>
        <v>0</v>
      </c>
    </row>
    <row r="568" spans="1:7" ht="15.12" thickBot="1" customHeight="1">
      <c r="A568" s="24" t="s">
        <v>1716</v>
      </c>
      <c r="B568" s="24"/>
      <c r="C568" s="24" t="s">
        <v>1717</v>
      </c>
      <c r="D568" s="25" t="s">
        <v>1718</v>
      </c>
      <c r="E568" s="28">
        <v>5.00000</v>
      </c>
      <c r="F568" s="29">
        <f ca="1">ROUND(19.710,3)</f>
        <v>0</v>
      </c>
      <c r="G568" s="27">
        <f ca="1">ROUND((E568*F568)/100,2)</f>
        <v>0</v>
      </c>
    </row>
    <row r="569" spans="1:7" ht="15.48" thickBot="1" customHeight="1">
      <c r="A569" s="30"/>
      <c r="B569" s="30"/>
      <c r="C569" s="30"/>
      <c r="D569" s="31" t="s">
        <v>1719</v>
      </c>
      <c r="E569" s="30"/>
      <c r="F569" s="33">
        <f ca="1">ROUND((G561+G562+G563+G568)*(1+G2/100),2)</f>
        <v>0</v>
      </c>
      <c r="G569" s="30"/>
    </row>
    <row r="570" spans="1:7" ht="25.08" thickBot="1" customHeight="1">
      <c r="A570" s="39"/>
      <c r="B570" s="39"/>
      <c r="C570" s="39"/>
      <c r="D570" s="48" t="s">
        <v>1720</v>
      </c>
      <c r="E570" s="49"/>
      <c r="F570" s="49"/>
      <c r="G570" s="49"/>
    </row>
    <row r="571" spans="1:7" ht="15.48" thickBot="1" customHeight="1">
      <c r="A571" s="39"/>
      <c r="B571" s="39"/>
      <c r="C571" s="39"/>
      <c r="D571" s="40" t="s">
        <v>1721</v>
      </c>
      <c r="E571" s="41"/>
      <c r="F571" s="41"/>
      <c r="G571" s="41"/>
    </row>
    <row r="572" spans="1:7" ht="15.48" thickBot="1" customHeight="1">
      <c r="A572" s="39"/>
      <c r="B572" s="39"/>
      <c r="C572" s="39"/>
      <c r="D572" s="50" t="s">
        <v>1722</v>
      </c>
      <c r="E572" s="51"/>
      <c r="F572" s="51"/>
      <c r="G572" s="51"/>
    </row>
    <row r="573" spans="1:7" ht="15.48" thickBot="1" customHeight="1">
      <c r="A573" s="52" t="s">
        <v>1723</v>
      </c>
      <c r="B573" s="52" t="s">
        <v>1724</v>
      </c>
      <c r="C573" s="53"/>
      <c r="D573" s="54" t="s">
        <v>1725</v>
      </c>
      <c r="E573" s="53"/>
      <c r="F573" s="53"/>
      <c r="G573" s="53"/>
    </row>
    <row r="574" spans="1:7" ht="30.60" thickBot="1" customHeight="1">
      <c r="A574" s="10" t="s">
        <v>1726</v>
      </c>
      <c r="B574" s="24" t="s">
        <v>1727</v>
      </c>
      <c r="C574" s="24"/>
      <c r="D574" s="25" t="s">
        <v>1728</v>
      </c>
      <c r="E574" s="26"/>
      <c r="F574" s="27">
        <f ca="1">ROUND(0.000*(1+G2/100),2)</f>
        <v>0</v>
      </c>
      <c r="G574" s="26"/>
    </row>
    <row r="575" spans="1:7" ht="49.08" thickBot="1" customHeight="1">
      <c r="A575" s="26"/>
      <c r="B575" s="26"/>
      <c r="C575" s="26"/>
      <c r="D575" s="25" t="s">
        <v>1729</v>
      </c>
      <c r="E575" s="25"/>
      <c r="F575" s="25"/>
      <c r="G575" s="25"/>
    </row>
    <row r="576" spans="1:7" ht="21.36" thickBot="1" customHeight="1">
      <c r="A576" s="10" t="s">
        <v>1730</v>
      </c>
      <c r="B576" s="24" t="s">
        <v>1731</v>
      </c>
      <c r="C576" s="24"/>
      <c r="D576" s="25" t="s">
        <v>1732</v>
      </c>
      <c r="E576" s="26"/>
      <c r="F576" s="27">
        <f ca="1">ROUND(0.000*(1+G2/100),2)</f>
        <v>0</v>
      </c>
      <c r="G576" s="26"/>
    </row>
    <row r="577" spans="1:7" ht="132.24" thickBot="1" customHeight="1">
      <c r="A577" s="26"/>
      <c r="B577" s="26"/>
      <c r="C577" s="26"/>
      <c r="D577" s="25" t="s">
        <v>1733</v>
      </c>
      <c r="E577" s="25"/>
      <c r="F577" s="25"/>
      <c r="G577" s="25"/>
    </row>
    <row r="578" spans="1:7" ht="21.36" thickBot="1" customHeight="1">
      <c r="A578" s="10" t="s">
        <v>1734</v>
      </c>
      <c r="B578" s="24" t="s">
        <v>1735</v>
      </c>
      <c r="C578" s="24" t="s">
        <v>1736</v>
      </c>
      <c r="D578" s="25" t="s">
        <v>1737</v>
      </c>
      <c r="E578" s="26"/>
      <c r="F578" s="27">
        <f ca="1">F592</f>
        <v>0</v>
      </c>
      <c r="G578" s="26"/>
    </row>
    <row r="579" spans="1:7" ht="30.60" thickBot="1" customHeight="1">
      <c r="A579" s="26"/>
      <c r="B579" s="26"/>
      <c r="C579" s="26"/>
      <c r="D579" s="25" t="s">
        <v>1738</v>
      </c>
      <c r="E579" s="25"/>
      <c r="F579" s="25"/>
      <c r="G579" s="25"/>
    </row>
    <row r="580" spans="1:7" ht="21.36" thickBot="1" customHeight="1">
      <c r="A580" s="24" t="s">
        <v>1739</v>
      </c>
      <c r="B580" s="24" t="s">
        <v>1740</v>
      </c>
      <c r="C580" s="24" t="s">
        <v>1741</v>
      </c>
      <c r="D580" s="25" t="s">
        <v>1742</v>
      </c>
      <c r="E580" s="28">
        <v>2.00000</v>
      </c>
      <c r="F580" s="29">
        <f ca="1">ROUND(13.140,3)</f>
        <v>0</v>
      </c>
      <c r="G580" s="27">
        <f ca="1">ROUND(E580*F580,2)</f>
        <v>0</v>
      </c>
    </row>
    <row r="581" spans="1:7" ht="21.36" thickBot="1" customHeight="1">
      <c r="A581" s="24" t="s">
        <v>1743</v>
      </c>
      <c r="B581" s="24" t="s">
        <v>1744</v>
      </c>
      <c r="C581" s="24" t="s">
        <v>1745</v>
      </c>
      <c r="D581" s="25" t="s">
        <v>1746</v>
      </c>
      <c r="E581" s="28">
        <v>5.00000</v>
      </c>
      <c r="F581" s="29">
        <f ca="1">ROUND(1.320,3)</f>
        <v>0</v>
      </c>
      <c r="G581" s="27">
        <f ca="1">ROUND(E581*F581,2)</f>
        <v>0</v>
      </c>
    </row>
    <row r="582" spans="1:7" ht="21.36" thickBot="1" customHeight="1">
      <c r="A582" s="24" t="s">
        <v>1747</v>
      </c>
      <c r="B582" s="24" t="s">
        <v>1748</v>
      </c>
      <c r="C582" s="24" t="s">
        <v>1749</v>
      </c>
      <c r="D582" s="25" t="s">
        <v>1750</v>
      </c>
      <c r="E582" s="28">
        <v>5.00000</v>
      </c>
      <c r="F582" s="29">
        <f ca="1">ROUND(3.470,3)</f>
        <v>0</v>
      </c>
      <c r="G582" s="27">
        <f ca="1">ROUND(E582*F582,2)</f>
        <v>0</v>
      </c>
    </row>
    <row r="583" spans="1:7" ht="30.60" thickBot="1" customHeight="1">
      <c r="A583" s="24" t="s">
        <v>1751</v>
      </c>
      <c r="B583" s="24" t="s">
        <v>1752</v>
      </c>
      <c r="C583" s="24" t="s">
        <v>1753</v>
      </c>
      <c r="D583" s="25" t="s">
        <v>1754</v>
      </c>
      <c r="E583" s="28">
        <v>0.33333</v>
      </c>
      <c r="F583" s="29">
        <f ca="1">ROUND(23.460,3)</f>
        <v>0</v>
      </c>
      <c r="G583" s="27">
        <f ca="1">ROUND(E583*F583,2)</f>
        <v>0</v>
      </c>
    </row>
    <row r="584" spans="1:7" ht="21.36" thickBot="1" customHeight="1">
      <c r="A584" s="24" t="s">
        <v>1755</v>
      </c>
      <c r="B584" s="24" t="s">
        <v>1756</v>
      </c>
      <c r="C584" s="24" t="s">
        <v>1757</v>
      </c>
      <c r="D584" s="25" t="s">
        <v>1758</v>
      </c>
      <c r="E584" s="28">
        <v>0.33333</v>
      </c>
      <c r="F584" s="29">
        <f ca="1">ROUND(30.170,3)</f>
        <v>0</v>
      </c>
      <c r="G584" s="27">
        <f ca="1">ROUND(E584*F584,2)</f>
        <v>0</v>
      </c>
    </row>
    <row r="585" spans="1:7" ht="21.36" thickBot="1" customHeight="1">
      <c r="A585" s="24" t="s">
        <v>1759</v>
      </c>
      <c r="B585" s="24" t="s">
        <v>1760</v>
      </c>
      <c r="C585" s="24" t="s">
        <v>1761</v>
      </c>
      <c r="D585" s="25" t="s">
        <v>1762</v>
      </c>
      <c r="E585" s="28">
        <v>2.00000</v>
      </c>
      <c r="F585" s="29">
        <f ca="1">ROUND(6.320,3)</f>
        <v>0</v>
      </c>
      <c r="G585" s="27">
        <f ca="1">ROUND(E585*F585,2)</f>
        <v>0</v>
      </c>
    </row>
    <row r="586" spans="1:7" ht="21.36" thickBot="1" customHeight="1">
      <c r="A586" s="24" t="s">
        <v>1763</v>
      </c>
      <c r="B586" s="24" t="s">
        <v>1764</v>
      </c>
      <c r="C586" s="24" t="s">
        <v>1765</v>
      </c>
      <c r="D586" s="25" t="s">
        <v>1766</v>
      </c>
      <c r="E586" s="28">
        <v>6.00000</v>
      </c>
      <c r="F586" s="29">
        <f ca="1">F590</f>
        <v>0</v>
      </c>
      <c r="G586" s="27">
        <f ca="1">ROUND(E586*F586,2)</f>
        <v>0</v>
      </c>
    </row>
    <row r="587" spans="1:7" ht="24.36" thickBot="1" customHeight="1">
      <c r="A587" s="24" t="s">
        <v>1767</v>
      </c>
      <c r="B587" s="24" t="s">
        <v>1768</v>
      </c>
      <c r="C587" s="24" t="s">
        <v>1769</v>
      </c>
      <c r="D587" s="25" t="s">
        <v>1770</v>
      </c>
      <c r="E587" s="28">
        <v>1.00000</v>
      </c>
      <c r="F587" s="29">
        <f ca="1">ROUND(21.000,3)</f>
        <v>0</v>
      </c>
      <c r="G587" s="27">
        <f ca="1">ROUND(E587*F587,2)</f>
        <v>0</v>
      </c>
    </row>
    <row r="588" spans="1:7" ht="24.36" thickBot="1" customHeight="1">
      <c r="A588" s="24" t="s">
        <v>1771</v>
      </c>
      <c r="B588" s="24" t="s">
        <v>1772</v>
      </c>
      <c r="C588" s="24" t="s">
        <v>1773</v>
      </c>
      <c r="D588" s="25" t="s">
        <v>1774</v>
      </c>
      <c r="E588" s="28">
        <v>1.00000</v>
      </c>
      <c r="F588" s="29">
        <f ca="1">ROUND(19.000,3)</f>
        <v>0</v>
      </c>
      <c r="G588" s="27">
        <f ca="1">ROUND(E588*F588,2)</f>
        <v>0</v>
      </c>
    </row>
    <row r="589" spans="1:7" ht="24.36" thickBot="1" customHeight="1">
      <c r="A589" s="24" t="s">
        <v>1775</v>
      </c>
      <c r="B589" s="24" t="s">
        <v>1776</v>
      </c>
      <c r="C589" s="24" t="s">
        <v>1777</v>
      </c>
      <c r="D589" s="25" t="s">
        <v>1778</v>
      </c>
      <c r="E589" s="28">
        <v>0.20000</v>
      </c>
      <c r="F589" s="29">
        <f ca="1">ROUND(19.000,3)</f>
        <v>0</v>
      </c>
      <c r="G589" s="27">
        <f ca="1">ROUND(E589*F589,2)</f>
        <v>0</v>
      </c>
    </row>
    <row r="590" spans="1:7" ht="15.12" thickBot="1" customHeight="1">
      <c r="A590" s="26"/>
      <c r="B590" s="26"/>
      <c r="C590" s="26"/>
      <c r="D590" s="24" t="s">
        <v>1779</v>
      </c>
      <c r="E590" s="28">
        <v>6.00000</v>
      </c>
      <c r="F590" s="29">
        <f ca="1">ROUND((G587+G588+G589),3)</f>
        <v>0</v>
      </c>
      <c r="G590" s="27">
        <f ca="1">ROUND(E590*F590,2)</f>
        <v>0</v>
      </c>
    </row>
    <row r="591" spans="1:7" ht="15.12" thickBot="1" customHeight="1">
      <c r="A591" s="24" t="s">
        <v>1780</v>
      </c>
      <c r="B591" s="24"/>
      <c r="C591" s="24" t="s">
        <v>1781</v>
      </c>
      <c r="D591" s="25" t="s">
        <v>1782</v>
      </c>
      <c r="E591" s="28">
        <v>3.00000</v>
      </c>
      <c r="F591" s="29">
        <f ca="1">ROUND(262.800,3)</f>
        <v>0</v>
      </c>
      <c r="G591" s="27">
        <f ca="1">ROUND((E591*F591)/100,2)</f>
        <v>0</v>
      </c>
    </row>
    <row r="592" spans="1:7" ht="15.48" thickBot="1" customHeight="1">
      <c r="A592" s="30"/>
      <c r="B592" s="30"/>
      <c r="C592" s="30"/>
      <c r="D592" s="31" t="s">
        <v>1783</v>
      </c>
      <c r="E592" s="30"/>
      <c r="F592" s="33">
        <f ca="1">ROUND((G580+G581+G582+G583+G584+G585+G586+G591)*(1+G2/100),2)</f>
        <v>0</v>
      </c>
      <c r="G592" s="30"/>
    </row>
    <row r="593" spans="1:7" ht="15.48" thickBot="1" customHeight="1">
      <c r="A593" s="34" t="s">
        <v>1784</v>
      </c>
      <c r="B593" s="35" t="s">
        <v>1785</v>
      </c>
      <c r="C593" s="35" t="s">
        <v>1786</v>
      </c>
      <c r="D593" s="36" t="s">
        <v>1787</v>
      </c>
      <c r="E593" s="37"/>
      <c r="F593" s="38">
        <f ca="1">F605</f>
        <v>0</v>
      </c>
      <c r="G593" s="37"/>
    </row>
    <row r="594" spans="1:7" ht="39.84" thickBot="1" customHeight="1">
      <c r="A594" s="26"/>
      <c r="B594" s="26"/>
      <c r="C594" s="26"/>
      <c r="D594" s="25" t="s">
        <v>1788</v>
      </c>
      <c r="E594" s="25"/>
      <c r="F594" s="25"/>
      <c r="G594" s="25"/>
    </row>
    <row r="595" spans="1:7" ht="21.36" thickBot="1" customHeight="1">
      <c r="A595" s="24" t="s">
        <v>1789</v>
      </c>
      <c r="B595" s="24" t="s">
        <v>1790</v>
      </c>
      <c r="C595" s="24" t="s">
        <v>1791</v>
      </c>
      <c r="D595" s="25" t="s">
        <v>1792</v>
      </c>
      <c r="E595" s="28">
        <v>1.50000</v>
      </c>
      <c r="F595" s="29">
        <f ca="1">ROUND(30.170,3)</f>
        <v>0</v>
      </c>
      <c r="G595" s="27">
        <f ca="1">ROUND(E595*F595,2)</f>
        <v>0</v>
      </c>
    </row>
    <row r="596" spans="1:7" ht="21.36" thickBot="1" customHeight="1">
      <c r="A596" s="24" t="s">
        <v>1793</v>
      </c>
      <c r="B596" s="24" t="s">
        <v>1794</v>
      </c>
      <c r="C596" s="24" t="s">
        <v>1795</v>
      </c>
      <c r="D596" s="25" t="s">
        <v>1796</v>
      </c>
      <c r="E596" s="28">
        <v>0.33120</v>
      </c>
      <c r="F596" s="29">
        <f ca="1">ROUND(3.470,3)</f>
        <v>0</v>
      </c>
      <c r="G596" s="27">
        <f ca="1">ROUND(E596*F596,2)</f>
        <v>0</v>
      </c>
    </row>
    <row r="597" spans="1:7" ht="21.36" thickBot="1" customHeight="1">
      <c r="A597" s="24" t="s">
        <v>1797</v>
      </c>
      <c r="B597" s="24" t="s">
        <v>1798</v>
      </c>
      <c r="C597" s="24" t="s">
        <v>1799</v>
      </c>
      <c r="D597" s="25" t="s">
        <v>1800</v>
      </c>
      <c r="E597" s="28">
        <v>0.06667</v>
      </c>
      <c r="F597" s="29">
        <f ca="1">ROUND(13.140,3)</f>
        <v>0</v>
      </c>
      <c r="G597" s="27">
        <f ca="1">ROUND(E597*F597,2)</f>
        <v>0</v>
      </c>
    </row>
    <row r="598" spans="1:7" ht="21.36" thickBot="1" customHeight="1">
      <c r="A598" s="24" t="s">
        <v>1801</v>
      </c>
      <c r="B598" s="24" t="s">
        <v>1802</v>
      </c>
      <c r="C598" s="24" t="s">
        <v>1803</v>
      </c>
      <c r="D598" s="25" t="s">
        <v>1804</v>
      </c>
      <c r="E598" s="28">
        <v>0.33333</v>
      </c>
      <c r="F598" s="29">
        <f ca="1">ROUND(1.320,3)</f>
        <v>0</v>
      </c>
      <c r="G598" s="27">
        <f ca="1">ROUND(E598*F598,2)</f>
        <v>0</v>
      </c>
    </row>
    <row r="599" spans="1:7" ht="21.36" thickBot="1" customHeight="1">
      <c r="A599" s="24" t="s">
        <v>1805</v>
      </c>
      <c r="B599" s="24" t="s">
        <v>1806</v>
      </c>
      <c r="C599" s="24" t="s">
        <v>1807</v>
      </c>
      <c r="D599" s="25" t="s">
        <v>1808</v>
      </c>
      <c r="E599" s="28">
        <v>0.05000</v>
      </c>
      <c r="F599" s="29">
        <f ca="1">F603</f>
        <v>0</v>
      </c>
      <c r="G599" s="27">
        <f ca="1">ROUND(E599*F599,2)</f>
        <v>0</v>
      </c>
    </row>
    <row r="600" spans="1:7" ht="24.36" thickBot="1" customHeight="1">
      <c r="A600" s="24" t="s">
        <v>1809</v>
      </c>
      <c r="B600" s="24" t="s">
        <v>1810</v>
      </c>
      <c r="C600" s="24" t="s">
        <v>1811</v>
      </c>
      <c r="D600" s="25" t="s">
        <v>1812</v>
      </c>
      <c r="E600" s="28">
        <v>1.00000</v>
      </c>
      <c r="F600" s="29">
        <f ca="1">ROUND(21.000,3)</f>
        <v>0</v>
      </c>
      <c r="G600" s="27">
        <f ca="1">ROUND(E600*F600,2)</f>
        <v>0</v>
      </c>
    </row>
    <row r="601" spans="1:7" ht="24.36" thickBot="1" customHeight="1">
      <c r="A601" s="24" t="s">
        <v>1813</v>
      </c>
      <c r="B601" s="24" t="s">
        <v>1814</v>
      </c>
      <c r="C601" s="24" t="s">
        <v>1815</v>
      </c>
      <c r="D601" s="25" t="s">
        <v>1816</v>
      </c>
      <c r="E601" s="28">
        <v>1.00000</v>
      </c>
      <c r="F601" s="29">
        <f ca="1">ROUND(19.000,3)</f>
        <v>0</v>
      </c>
      <c r="G601" s="27">
        <f ca="1">ROUND(E601*F601,2)</f>
        <v>0</v>
      </c>
    </row>
    <row r="602" spans="1:7" ht="24.36" thickBot="1" customHeight="1">
      <c r="A602" s="24" t="s">
        <v>1817</v>
      </c>
      <c r="B602" s="24" t="s">
        <v>1818</v>
      </c>
      <c r="C602" s="24" t="s">
        <v>1819</v>
      </c>
      <c r="D602" s="25" t="s">
        <v>1820</v>
      </c>
      <c r="E602" s="28">
        <v>0.20000</v>
      </c>
      <c r="F602" s="29">
        <f ca="1">ROUND(19.000,3)</f>
        <v>0</v>
      </c>
      <c r="G602" s="27">
        <f ca="1">ROUND(E602*F602,2)</f>
        <v>0</v>
      </c>
    </row>
    <row r="603" spans="1:7" ht="15.12" thickBot="1" customHeight="1">
      <c r="A603" s="26"/>
      <c r="B603" s="26"/>
      <c r="C603" s="26"/>
      <c r="D603" s="24" t="s">
        <v>1821</v>
      </c>
      <c r="E603" s="28">
        <v>0.05000</v>
      </c>
      <c r="F603" s="29">
        <f ca="1">ROUND((G600+G601+G602),3)</f>
        <v>0</v>
      </c>
      <c r="G603" s="27">
        <f ca="1">ROUND(E603*F603,2)</f>
        <v>0</v>
      </c>
    </row>
    <row r="604" spans="1:7" ht="15.12" thickBot="1" customHeight="1">
      <c r="A604" s="24" t="s">
        <v>1822</v>
      </c>
      <c r="B604" s="24"/>
      <c r="C604" s="24" t="s">
        <v>1823</v>
      </c>
      <c r="D604" s="25" t="s">
        <v>1824</v>
      </c>
      <c r="E604" s="28">
        <v>4.00000</v>
      </c>
      <c r="F604" s="29">
        <f ca="1">ROUND(2.190,3)</f>
        <v>0</v>
      </c>
      <c r="G604" s="27">
        <f ca="1">ROUND((E604*F604)/100,2)</f>
        <v>0</v>
      </c>
    </row>
    <row r="605" spans="1:7" ht="15.48" thickBot="1" customHeight="1">
      <c r="A605" s="30"/>
      <c r="B605" s="30"/>
      <c r="C605" s="30"/>
      <c r="D605" s="31" t="s">
        <v>1825</v>
      </c>
      <c r="E605" s="30"/>
      <c r="F605" s="33">
        <f ca="1">ROUND((G595+G596+G597+G598+G599+G604)*(1+G2/100),2)</f>
        <v>0</v>
      </c>
      <c r="G605" s="30"/>
    </row>
    <row r="606" spans="1:7" ht="21.36" thickBot="1" customHeight="1">
      <c r="A606" s="34" t="s">
        <v>1826</v>
      </c>
      <c r="B606" s="35" t="s">
        <v>1827</v>
      </c>
      <c r="C606" s="35" t="s">
        <v>1828</v>
      </c>
      <c r="D606" s="36" t="s">
        <v>1829</v>
      </c>
      <c r="E606" s="37"/>
      <c r="F606" s="38">
        <f ca="1">F614</f>
        <v>0</v>
      </c>
      <c r="G606" s="37"/>
    </row>
    <row r="607" spans="1:7" ht="21.36" thickBot="1" customHeight="1">
      <c r="A607" s="26"/>
      <c r="B607" s="26"/>
      <c r="C607" s="26"/>
      <c r="D607" s="25" t="s">
        <v>1830</v>
      </c>
      <c r="E607" s="25"/>
      <c r="F607" s="25"/>
      <c r="G607" s="25"/>
    </row>
    <row r="608" spans="1:7" ht="21.36" thickBot="1" customHeight="1">
      <c r="A608" s="24" t="s">
        <v>1831</v>
      </c>
      <c r="B608" s="24" t="s">
        <v>1832</v>
      </c>
      <c r="C608" s="24" t="s">
        <v>1833</v>
      </c>
      <c r="D608" s="25" t="s">
        <v>1834</v>
      </c>
      <c r="E608" s="28">
        <v>4.00000</v>
      </c>
      <c r="F608" s="29">
        <f ca="1">F612</f>
        <v>0</v>
      </c>
      <c r="G608" s="27">
        <f ca="1">ROUND(E608*F608,2)</f>
        <v>0</v>
      </c>
    </row>
    <row r="609" spans="1:7" ht="24.36" thickBot="1" customHeight="1">
      <c r="A609" s="24" t="s">
        <v>1835</v>
      </c>
      <c r="B609" s="24" t="s">
        <v>1836</v>
      </c>
      <c r="C609" s="24" t="s">
        <v>1837</v>
      </c>
      <c r="D609" s="25" t="s">
        <v>1838</v>
      </c>
      <c r="E609" s="28">
        <v>1.00000</v>
      </c>
      <c r="F609" s="29">
        <f ca="1">ROUND(21.000,3)</f>
        <v>0</v>
      </c>
      <c r="G609" s="27">
        <f ca="1">ROUND(E609*F609,2)</f>
        <v>0</v>
      </c>
    </row>
    <row r="610" spans="1:7" ht="24.36" thickBot="1" customHeight="1">
      <c r="A610" s="24" t="s">
        <v>1839</v>
      </c>
      <c r="B610" s="24" t="s">
        <v>1840</v>
      </c>
      <c r="C610" s="24" t="s">
        <v>1841</v>
      </c>
      <c r="D610" s="25" t="s">
        <v>1842</v>
      </c>
      <c r="E610" s="28">
        <v>1.00000</v>
      </c>
      <c r="F610" s="29">
        <f ca="1">ROUND(19.000,3)</f>
        <v>0</v>
      </c>
      <c r="G610" s="27">
        <f ca="1">ROUND(E610*F610,2)</f>
        <v>0</v>
      </c>
    </row>
    <row r="611" spans="1:7" ht="24.36" thickBot="1" customHeight="1">
      <c r="A611" s="24" t="s">
        <v>1843</v>
      </c>
      <c r="B611" s="24" t="s">
        <v>1844</v>
      </c>
      <c r="C611" s="24" t="s">
        <v>1845</v>
      </c>
      <c r="D611" s="25" t="s">
        <v>1846</v>
      </c>
      <c r="E611" s="28">
        <v>0.20000</v>
      </c>
      <c r="F611" s="29">
        <f ca="1">ROUND(19.000,3)</f>
        <v>0</v>
      </c>
      <c r="G611" s="27">
        <f ca="1">ROUND(E611*F611,2)</f>
        <v>0</v>
      </c>
    </row>
    <row r="612" spans="1:7" ht="15.12" thickBot="1" customHeight="1">
      <c r="A612" s="26"/>
      <c r="B612" s="26"/>
      <c r="C612" s="26"/>
      <c r="D612" s="24" t="s">
        <v>1847</v>
      </c>
      <c r="E612" s="28">
        <v>4.00000</v>
      </c>
      <c r="F612" s="29">
        <f ca="1">ROUND((G609+G610+G611),3)</f>
        <v>0</v>
      </c>
      <c r="G612" s="27">
        <f ca="1">ROUND(E612*F612,2)</f>
        <v>0</v>
      </c>
    </row>
    <row r="613" spans="1:7" ht="15.12" thickBot="1" customHeight="1">
      <c r="A613" s="24" t="s">
        <v>1848</v>
      </c>
      <c r="B613" s="24"/>
      <c r="C613" s="24" t="s">
        <v>1849</v>
      </c>
      <c r="D613" s="25" t="s">
        <v>1850</v>
      </c>
      <c r="E613" s="28">
        <v>3.00000</v>
      </c>
      <c r="F613" s="29">
        <f ca="1">ROUND(175.200,3)</f>
        <v>0</v>
      </c>
      <c r="G613" s="27">
        <f ca="1">ROUND((E613*F613)/100,2)</f>
        <v>0</v>
      </c>
    </row>
    <row r="614" spans="1:7" ht="15.48" thickBot="1" customHeight="1">
      <c r="A614" s="30"/>
      <c r="B614" s="30"/>
      <c r="C614" s="30"/>
      <c r="D614" s="31" t="s">
        <v>1851</v>
      </c>
      <c r="E614" s="30"/>
      <c r="F614" s="33">
        <f ca="1">ROUND((G608+G613)*(1+G2/100),2)</f>
        <v>0</v>
      </c>
      <c r="G614" s="30"/>
    </row>
    <row r="615" spans="1:7" ht="58.32" thickBot="1" customHeight="1">
      <c r="A615" s="34" t="s">
        <v>1852</v>
      </c>
      <c r="B615" s="35" t="s">
        <v>1853</v>
      </c>
      <c r="C615" s="35" t="s">
        <v>1854</v>
      </c>
      <c r="D615" s="36" t="s">
        <v>1855</v>
      </c>
      <c r="E615" s="37"/>
      <c r="F615" s="38">
        <f ca="1">F627</f>
        <v>0</v>
      </c>
      <c r="G615" s="37"/>
    </row>
    <row r="616" spans="1:7" ht="30.60" thickBot="1" customHeight="1">
      <c r="A616" s="26"/>
      <c r="B616" s="26"/>
      <c r="C616" s="26"/>
      <c r="D616" s="25" t="s">
        <v>1856</v>
      </c>
      <c r="E616" s="25"/>
      <c r="F616" s="25"/>
      <c r="G616" s="25"/>
    </row>
    <row r="617" spans="1:7" ht="21.36" thickBot="1" customHeight="1">
      <c r="A617" s="24" t="s">
        <v>1857</v>
      </c>
      <c r="B617" s="24" t="s">
        <v>1858</v>
      </c>
      <c r="C617" s="24" t="s">
        <v>1859</v>
      </c>
      <c r="D617" s="25" t="s">
        <v>1860</v>
      </c>
      <c r="E617" s="28">
        <v>0.50000</v>
      </c>
      <c r="F617" s="29">
        <f ca="1">ROUND(30.170,3)</f>
        <v>0</v>
      </c>
      <c r="G617" s="27">
        <f ca="1">ROUND(E617*F617,2)</f>
        <v>0</v>
      </c>
    </row>
    <row r="618" spans="1:7" ht="21.36" thickBot="1" customHeight="1">
      <c r="A618" s="24" t="s">
        <v>1861</v>
      </c>
      <c r="B618" s="24" t="s">
        <v>1862</v>
      </c>
      <c r="C618" s="24" t="s">
        <v>1863</v>
      </c>
      <c r="D618" s="25" t="s">
        <v>1864</v>
      </c>
      <c r="E618" s="28">
        <v>0.05000</v>
      </c>
      <c r="F618" s="29">
        <f ca="1">ROUND(13.140,3)</f>
        <v>0</v>
      </c>
      <c r="G618" s="27">
        <f ca="1">ROUND(E618*F618,2)</f>
        <v>0</v>
      </c>
    </row>
    <row r="619" spans="1:7" ht="21.36" thickBot="1" customHeight="1">
      <c r="A619" s="24" t="s">
        <v>1865</v>
      </c>
      <c r="B619" s="24" t="s">
        <v>1866</v>
      </c>
      <c r="C619" s="24" t="s">
        <v>1867</v>
      </c>
      <c r="D619" s="25" t="s">
        <v>1868</v>
      </c>
      <c r="E619" s="28">
        <v>0.10000</v>
      </c>
      <c r="F619" s="29">
        <f ca="1">ROUND(3.470,3)</f>
        <v>0</v>
      </c>
      <c r="G619" s="27">
        <f ca="1">ROUND(E619*F619,2)</f>
        <v>0</v>
      </c>
    </row>
    <row r="620" spans="1:7" ht="21.36" thickBot="1" customHeight="1">
      <c r="A620" s="24" t="s">
        <v>1869</v>
      </c>
      <c r="B620" s="24" t="s">
        <v>1870</v>
      </c>
      <c r="C620" s="24" t="s">
        <v>1871</v>
      </c>
      <c r="D620" s="25" t="s">
        <v>1872</v>
      </c>
      <c r="E620" s="28">
        <v>0.08000</v>
      </c>
      <c r="F620" s="29">
        <f ca="1">ROUND(1.320,3)</f>
        <v>0</v>
      </c>
      <c r="G620" s="27">
        <f ca="1">ROUND(E620*F620,2)</f>
        <v>0</v>
      </c>
    </row>
    <row r="621" spans="1:7" ht="21.36" thickBot="1" customHeight="1">
      <c r="A621" s="24" t="s">
        <v>1873</v>
      </c>
      <c r="B621" s="24" t="s">
        <v>1874</v>
      </c>
      <c r="C621" s="24" t="s">
        <v>1875</v>
      </c>
      <c r="D621" s="25" t="s">
        <v>1876</v>
      </c>
      <c r="E621" s="28">
        <v>0.46667</v>
      </c>
      <c r="F621" s="29">
        <f ca="1">F625</f>
        <v>0</v>
      </c>
      <c r="G621" s="27">
        <f ca="1">ROUND(E621*F621,2)</f>
        <v>0</v>
      </c>
    </row>
    <row r="622" spans="1:7" ht="24.36" thickBot="1" customHeight="1">
      <c r="A622" s="24" t="s">
        <v>1877</v>
      </c>
      <c r="B622" s="24" t="s">
        <v>1878</v>
      </c>
      <c r="C622" s="24" t="s">
        <v>1879</v>
      </c>
      <c r="D622" s="25" t="s">
        <v>1880</v>
      </c>
      <c r="E622" s="28">
        <v>1.00000</v>
      </c>
      <c r="F622" s="29">
        <f ca="1">ROUND(21.000,3)</f>
        <v>0</v>
      </c>
      <c r="G622" s="27">
        <f ca="1">ROUND(E622*F622,2)</f>
        <v>0</v>
      </c>
    </row>
    <row r="623" spans="1:7" ht="24.36" thickBot="1" customHeight="1">
      <c r="A623" s="24" t="s">
        <v>1881</v>
      </c>
      <c r="B623" s="24" t="s">
        <v>1882</v>
      </c>
      <c r="C623" s="24" t="s">
        <v>1883</v>
      </c>
      <c r="D623" s="25" t="s">
        <v>1884</v>
      </c>
      <c r="E623" s="28">
        <v>1.00000</v>
      </c>
      <c r="F623" s="29">
        <f ca="1">ROUND(19.000,3)</f>
        <v>0</v>
      </c>
      <c r="G623" s="27">
        <f ca="1">ROUND(E623*F623,2)</f>
        <v>0</v>
      </c>
    </row>
    <row r="624" spans="1:7" ht="24.36" thickBot="1" customHeight="1">
      <c r="A624" s="24" t="s">
        <v>1885</v>
      </c>
      <c r="B624" s="24" t="s">
        <v>1886</v>
      </c>
      <c r="C624" s="24" t="s">
        <v>1887</v>
      </c>
      <c r="D624" s="25" t="s">
        <v>1888</v>
      </c>
      <c r="E624" s="28">
        <v>0.20000</v>
      </c>
      <c r="F624" s="29">
        <f ca="1">ROUND(19.000,3)</f>
        <v>0</v>
      </c>
      <c r="G624" s="27">
        <f ca="1">ROUND(E624*F624,2)</f>
        <v>0</v>
      </c>
    </row>
    <row r="625" spans="1:7" ht="15.12" thickBot="1" customHeight="1">
      <c r="A625" s="26"/>
      <c r="B625" s="26"/>
      <c r="C625" s="26"/>
      <c r="D625" s="24" t="s">
        <v>1889</v>
      </c>
      <c r="E625" s="28">
        <v>0.46667</v>
      </c>
      <c r="F625" s="29">
        <f ca="1">ROUND((G622+G623+G624),3)</f>
        <v>0</v>
      </c>
      <c r="G625" s="27">
        <f ca="1">ROUND(E625*F625,2)</f>
        <v>0</v>
      </c>
    </row>
    <row r="626" spans="1:7" ht="15.12" thickBot="1" customHeight="1">
      <c r="A626" s="24" t="s">
        <v>1890</v>
      </c>
      <c r="B626" s="24"/>
      <c r="C626" s="24" t="s">
        <v>1891</v>
      </c>
      <c r="D626" s="25" t="s">
        <v>1892</v>
      </c>
      <c r="E626" s="28">
        <v>3.00000</v>
      </c>
      <c r="F626" s="29">
        <f ca="1">ROUND(20.440,3)</f>
        <v>0</v>
      </c>
      <c r="G626" s="27">
        <f ca="1">ROUND((E626*F626)/100,2)</f>
        <v>0</v>
      </c>
    </row>
    <row r="627" spans="1:7" ht="15.48" thickBot="1" customHeight="1">
      <c r="A627" s="30"/>
      <c r="B627" s="30"/>
      <c r="C627" s="30"/>
      <c r="D627" s="31" t="s">
        <v>1893</v>
      </c>
      <c r="E627" s="30"/>
      <c r="F627" s="33">
        <f ca="1">ROUND((G617+G618+G619+G620+G621+G626)*(1+G2/100),2)</f>
        <v>0</v>
      </c>
      <c r="G627" s="30"/>
    </row>
    <row r="628" spans="1:7" ht="30.60" thickBot="1" customHeight="1">
      <c r="A628" s="34" t="s">
        <v>1894</v>
      </c>
      <c r="B628" s="35" t="s">
        <v>1895</v>
      </c>
      <c r="C628" s="35" t="s">
        <v>1896</v>
      </c>
      <c r="D628" s="36" t="s">
        <v>1897</v>
      </c>
      <c r="E628" s="37"/>
      <c r="F628" s="38">
        <f ca="1">F639</f>
        <v>0</v>
      </c>
      <c r="G628" s="37"/>
    </row>
    <row r="629" spans="1:7" ht="39.84" thickBot="1" customHeight="1">
      <c r="A629" s="26"/>
      <c r="B629" s="26"/>
      <c r="C629" s="26"/>
      <c r="D629" s="25" t="s">
        <v>1898</v>
      </c>
      <c r="E629" s="25"/>
      <c r="F629" s="25"/>
      <c r="G629" s="25"/>
    </row>
    <row r="630" spans="1:7" ht="39.84" thickBot="1" customHeight="1">
      <c r="A630" s="24" t="s">
        <v>1899</v>
      </c>
      <c r="B630" s="24" t="s">
        <v>1900</v>
      </c>
      <c r="C630" s="24" t="s">
        <v>1901</v>
      </c>
      <c r="D630" s="25" t="s">
        <v>1902</v>
      </c>
      <c r="E630" s="28">
        <v>0.04000</v>
      </c>
      <c r="F630" s="29">
        <f ca="1">ROUND(9.130,3)</f>
        <v>0</v>
      </c>
      <c r="G630" s="27">
        <f ca="1">ROUND(E630*F630,2)</f>
        <v>0</v>
      </c>
    </row>
    <row r="631" spans="1:7" ht="15.12" thickBot="1" customHeight="1">
      <c r="A631" s="24" t="s">
        <v>1903</v>
      </c>
      <c r="B631" s="24" t="s">
        <v>1904</v>
      </c>
      <c r="C631" s="24" t="s">
        <v>1905</v>
      </c>
      <c r="D631" s="25" t="s">
        <v>1906</v>
      </c>
      <c r="E631" s="28">
        <v>0.04000</v>
      </c>
      <c r="F631" s="29">
        <f ca="1">ROUND(5.950,3)</f>
        <v>0</v>
      </c>
      <c r="G631" s="27">
        <f ca="1">ROUND(E631*F631,2)</f>
        <v>0</v>
      </c>
    </row>
    <row r="632" spans="1:7" ht="24.36" thickBot="1" customHeight="1">
      <c r="A632" s="24" t="s">
        <v>1907</v>
      </c>
      <c r="B632" s="24" t="s">
        <v>1908</v>
      </c>
      <c r="C632" s="24" t="s">
        <v>1909</v>
      </c>
      <c r="D632" s="25" t="s">
        <v>1910</v>
      </c>
      <c r="E632" s="28">
        <v>0.08000</v>
      </c>
      <c r="F632" s="29">
        <f ca="1">ROUND(7.526,3)</f>
        <v>0</v>
      </c>
      <c r="G632" s="27">
        <f ca="1">ROUND(E632*F632,2)</f>
        <v>0</v>
      </c>
    </row>
    <row r="633" spans="1:7" ht="21.36" thickBot="1" customHeight="1">
      <c r="A633" s="24" t="s">
        <v>1911</v>
      </c>
      <c r="B633" s="24" t="s">
        <v>1912</v>
      </c>
      <c r="C633" s="24" t="s">
        <v>1913</v>
      </c>
      <c r="D633" s="25" t="s">
        <v>1914</v>
      </c>
      <c r="E633" s="28">
        <v>0.08000</v>
      </c>
      <c r="F633" s="29">
        <f ca="1">F637</f>
        <v>0</v>
      </c>
      <c r="G633" s="27">
        <f ca="1">ROUND(E633*F633,2)</f>
        <v>0</v>
      </c>
    </row>
    <row r="634" spans="1:7" ht="24.36" thickBot="1" customHeight="1">
      <c r="A634" s="24" t="s">
        <v>1915</v>
      </c>
      <c r="B634" s="24" t="s">
        <v>1916</v>
      </c>
      <c r="C634" s="24" t="s">
        <v>1917</v>
      </c>
      <c r="D634" s="25" t="s">
        <v>1918</v>
      </c>
      <c r="E634" s="28">
        <v>1.00000</v>
      </c>
      <c r="F634" s="29">
        <f ca="1">ROUND(21.000,3)</f>
        <v>0</v>
      </c>
      <c r="G634" s="27">
        <f ca="1">ROUND(E634*F634,2)</f>
        <v>0</v>
      </c>
    </row>
    <row r="635" spans="1:7" ht="24.36" thickBot="1" customHeight="1">
      <c r="A635" s="24" t="s">
        <v>1919</v>
      </c>
      <c r="B635" s="24" t="s">
        <v>1920</v>
      </c>
      <c r="C635" s="24" t="s">
        <v>1921</v>
      </c>
      <c r="D635" s="25" t="s">
        <v>1922</v>
      </c>
      <c r="E635" s="28">
        <v>1.00000</v>
      </c>
      <c r="F635" s="29">
        <f ca="1">ROUND(19.000,3)</f>
        <v>0</v>
      </c>
      <c r="G635" s="27">
        <f ca="1">ROUND(E635*F635,2)</f>
        <v>0</v>
      </c>
    </row>
    <row r="636" spans="1:7" ht="24.36" thickBot="1" customHeight="1">
      <c r="A636" s="24" t="s">
        <v>1923</v>
      </c>
      <c r="B636" s="24" t="s">
        <v>1924</v>
      </c>
      <c r="C636" s="24" t="s">
        <v>1925</v>
      </c>
      <c r="D636" s="25" t="s">
        <v>1926</v>
      </c>
      <c r="E636" s="28">
        <v>0.20000</v>
      </c>
      <c r="F636" s="29">
        <f ca="1">ROUND(19.000,3)</f>
        <v>0</v>
      </c>
      <c r="G636" s="27">
        <f ca="1">ROUND(E636*F636,2)</f>
        <v>0</v>
      </c>
    </row>
    <row r="637" spans="1:7" ht="15.12" thickBot="1" customHeight="1">
      <c r="A637" s="26"/>
      <c r="B637" s="26"/>
      <c r="C637" s="26"/>
      <c r="D637" s="24" t="s">
        <v>1927</v>
      </c>
      <c r="E637" s="28">
        <v>0.08000</v>
      </c>
      <c r="F637" s="29">
        <f ca="1">ROUND((G634+G635+G636),3)</f>
        <v>0</v>
      </c>
      <c r="G637" s="27">
        <f ca="1">ROUND(E637*F637,2)</f>
        <v>0</v>
      </c>
    </row>
    <row r="638" spans="1:7" ht="15.12" thickBot="1" customHeight="1">
      <c r="A638" s="24" t="s">
        <v>1928</v>
      </c>
      <c r="B638" s="24"/>
      <c r="C638" s="24" t="s">
        <v>1929</v>
      </c>
      <c r="D638" s="25" t="s">
        <v>1930</v>
      </c>
      <c r="E638" s="28">
        <v>3.00000</v>
      </c>
      <c r="F638" s="29">
        <f ca="1">ROUND(3.500,3)</f>
        <v>0</v>
      </c>
      <c r="G638" s="27">
        <f ca="1">ROUND((E638*F638)/100,2)</f>
        <v>0</v>
      </c>
    </row>
    <row r="639" spans="1:7" ht="15.48" thickBot="1" customHeight="1">
      <c r="A639" s="30"/>
      <c r="B639" s="30"/>
      <c r="C639" s="30"/>
      <c r="D639" s="31" t="s">
        <v>1931</v>
      </c>
      <c r="E639" s="30"/>
      <c r="F639" s="33">
        <f ca="1">ROUND((G630+G631+G632+G633+G638)*(1+G2/100),2)</f>
        <v>0</v>
      </c>
      <c r="G639" s="30"/>
    </row>
    <row r="640" spans="1:7" ht="21.36" thickBot="1" customHeight="1">
      <c r="A640" s="34" t="s">
        <v>1932</v>
      </c>
      <c r="B640" s="35" t="s">
        <v>1933</v>
      </c>
      <c r="C640" s="35" t="s">
        <v>1934</v>
      </c>
      <c r="D640" s="36" t="s">
        <v>1935</v>
      </c>
      <c r="E640" s="37"/>
      <c r="F640" s="38">
        <f ca="1">F649</f>
        <v>0</v>
      </c>
      <c r="G640" s="37"/>
    </row>
    <row r="641" spans="1:7" ht="30.60" thickBot="1" customHeight="1">
      <c r="A641" s="26"/>
      <c r="B641" s="26"/>
      <c r="C641" s="26"/>
      <c r="D641" s="25" t="s">
        <v>1936</v>
      </c>
      <c r="E641" s="25"/>
      <c r="F641" s="25"/>
      <c r="G641" s="25"/>
    </row>
    <row r="642" spans="1:7" ht="30.60" thickBot="1" customHeight="1">
      <c r="A642" s="24" t="s">
        <v>1937</v>
      </c>
      <c r="B642" s="24" t="s">
        <v>1938</v>
      </c>
      <c r="C642" s="24" t="s">
        <v>1939</v>
      </c>
      <c r="D642" s="25" t="s">
        <v>1940</v>
      </c>
      <c r="E642" s="28">
        <v>0.10000</v>
      </c>
      <c r="F642" s="29">
        <f ca="1">ROUND(24.470,3)</f>
        <v>0</v>
      </c>
      <c r="G642" s="27">
        <f ca="1">ROUND(E642*F642,2)</f>
        <v>0</v>
      </c>
    </row>
    <row r="643" spans="1:7" ht="39.84" thickBot="1" customHeight="1">
      <c r="A643" s="24" t="s">
        <v>1941</v>
      </c>
      <c r="B643" s="24" t="s">
        <v>1942</v>
      </c>
      <c r="C643" s="24" t="s">
        <v>1943</v>
      </c>
      <c r="D643" s="25" t="s">
        <v>1944</v>
      </c>
      <c r="E643" s="28">
        <v>0.20000</v>
      </c>
      <c r="F643" s="29">
        <f ca="1">ROUND(9.130,3)</f>
        <v>0</v>
      </c>
      <c r="G643" s="27">
        <f ca="1">ROUND(E643*F643,2)</f>
        <v>0</v>
      </c>
    </row>
    <row r="644" spans="1:7" ht="21.36" thickBot="1" customHeight="1">
      <c r="A644" s="24" t="s">
        <v>1945</v>
      </c>
      <c r="B644" s="24" t="s">
        <v>1946</v>
      </c>
      <c r="C644" s="24" t="s">
        <v>1947</v>
      </c>
      <c r="D644" s="25" t="s">
        <v>1948</v>
      </c>
      <c r="E644" s="28">
        <v>0.20000</v>
      </c>
      <c r="F644" s="29">
        <f ca="1">F648</f>
        <v>0</v>
      </c>
      <c r="G644" s="27">
        <f ca="1">ROUND(E644*F644,2)</f>
        <v>0</v>
      </c>
    </row>
    <row r="645" spans="1:7" ht="24.36" thickBot="1" customHeight="1">
      <c r="A645" s="24" t="s">
        <v>1949</v>
      </c>
      <c r="B645" s="24" t="s">
        <v>1950</v>
      </c>
      <c r="C645" s="24" t="s">
        <v>1951</v>
      </c>
      <c r="D645" s="25" t="s">
        <v>1952</v>
      </c>
      <c r="E645" s="28">
        <v>1.00000</v>
      </c>
      <c r="F645" s="29">
        <f ca="1">ROUND(21.000,3)</f>
        <v>0</v>
      </c>
      <c r="G645" s="27">
        <f ca="1">ROUND(E645*F645,2)</f>
        <v>0</v>
      </c>
    </row>
    <row r="646" spans="1:7" ht="24.36" thickBot="1" customHeight="1">
      <c r="A646" s="24" t="s">
        <v>1953</v>
      </c>
      <c r="B646" s="24" t="s">
        <v>1954</v>
      </c>
      <c r="C646" s="24" t="s">
        <v>1955</v>
      </c>
      <c r="D646" s="25" t="s">
        <v>1956</v>
      </c>
      <c r="E646" s="28">
        <v>1.00000</v>
      </c>
      <c r="F646" s="29">
        <f ca="1">ROUND(19.000,3)</f>
        <v>0</v>
      </c>
      <c r="G646" s="27">
        <f ca="1">ROUND(E646*F646,2)</f>
        <v>0</v>
      </c>
    </row>
    <row r="647" spans="1:7" ht="24.36" thickBot="1" customHeight="1">
      <c r="A647" s="24" t="s">
        <v>1957</v>
      </c>
      <c r="B647" s="24" t="s">
        <v>1958</v>
      </c>
      <c r="C647" s="24" t="s">
        <v>1959</v>
      </c>
      <c r="D647" s="25" t="s">
        <v>1960</v>
      </c>
      <c r="E647" s="28">
        <v>0.20000</v>
      </c>
      <c r="F647" s="29">
        <f ca="1">ROUND(19.000,3)</f>
        <v>0</v>
      </c>
      <c r="G647" s="27">
        <f ca="1">ROUND(E647*F647,2)</f>
        <v>0</v>
      </c>
    </row>
    <row r="648" spans="1:7" ht="15.12" thickBot="1" customHeight="1">
      <c r="A648" s="26"/>
      <c r="B648" s="26"/>
      <c r="C648" s="26"/>
      <c r="D648" s="24" t="s">
        <v>1961</v>
      </c>
      <c r="E648" s="28">
        <v>0.20000</v>
      </c>
      <c r="F648" s="29">
        <f ca="1">ROUND((G645+G646+G647),3)</f>
        <v>0</v>
      </c>
      <c r="G648" s="27">
        <f ca="1">ROUND(E648*F648,2)</f>
        <v>0</v>
      </c>
    </row>
    <row r="649" spans="1:7" ht="15.48" thickBot="1" customHeight="1">
      <c r="A649" s="30"/>
      <c r="B649" s="30"/>
      <c r="C649" s="30"/>
      <c r="D649" s="31" t="s">
        <v>1962</v>
      </c>
      <c r="E649" s="30"/>
      <c r="F649" s="33">
        <f ca="1">ROUND((G642+G643+G644)*(1+G2/100),2)</f>
        <v>0</v>
      </c>
      <c r="G649" s="30"/>
    </row>
    <row r="650" spans="1:7" ht="21.36" thickBot="1" customHeight="1">
      <c r="A650" s="34" t="s">
        <v>1963</v>
      </c>
      <c r="B650" s="35" t="s">
        <v>1964</v>
      </c>
      <c r="C650" s="35" t="s">
        <v>1965</v>
      </c>
      <c r="D650" s="36" t="s">
        <v>1966</v>
      </c>
      <c r="E650" s="37"/>
      <c r="F650" s="38">
        <f ca="1">F660</f>
        <v>0</v>
      </c>
      <c r="G650" s="37"/>
    </row>
    <row r="651" spans="1:7" ht="49.08" thickBot="1" customHeight="1">
      <c r="A651" s="26"/>
      <c r="B651" s="26"/>
      <c r="C651" s="26"/>
      <c r="D651" s="25" t="s">
        <v>1967</v>
      </c>
      <c r="E651" s="25"/>
      <c r="F651" s="25"/>
      <c r="G651" s="25"/>
    </row>
    <row r="652" spans="1:7" ht="30.60" thickBot="1" customHeight="1">
      <c r="A652" s="24" t="s">
        <v>1968</v>
      </c>
      <c r="B652" s="24" t="s">
        <v>1969</v>
      </c>
      <c r="C652" s="24" t="s">
        <v>1970</v>
      </c>
      <c r="D652" s="25" t="s">
        <v>1971</v>
      </c>
      <c r="E652" s="28">
        <v>0.01500</v>
      </c>
      <c r="F652" s="29">
        <f ca="1">ROUND(48.900,3)</f>
        <v>0</v>
      </c>
      <c r="G652" s="27">
        <f ca="1">ROUND(E652*F652,2)</f>
        <v>0</v>
      </c>
    </row>
    <row r="653" spans="1:7" ht="24.36" thickBot="1" customHeight="1">
      <c r="A653" s="24" t="s">
        <v>1972</v>
      </c>
      <c r="B653" s="24" t="s">
        <v>1973</v>
      </c>
      <c r="C653" s="24" t="s">
        <v>1974</v>
      </c>
      <c r="D653" s="25" t="s">
        <v>1975</v>
      </c>
      <c r="E653" s="28">
        <v>0.12000</v>
      </c>
      <c r="F653" s="29">
        <f ca="1">ROUND(7.526,3)</f>
        <v>0</v>
      </c>
      <c r="G653" s="27">
        <f ca="1">ROUND(E653*F653,2)</f>
        <v>0</v>
      </c>
    </row>
    <row r="654" spans="1:7" ht="21.36" thickBot="1" customHeight="1">
      <c r="A654" s="24" t="s">
        <v>1976</v>
      </c>
      <c r="B654" s="24" t="s">
        <v>1977</v>
      </c>
      <c r="C654" s="24" t="s">
        <v>1978</v>
      </c>
      <c r="D654" s="25" t="s">
        <v>1979</v>
      </c>
      <c r="E654" s="28">
        <v>0.12000</v>
      </c>
      <c r="F654" s="29">
        <f ca="1">F658</f>
        <v>0</v>
      </c>
      <c r="G654" s="27">
        <f ca="1">ROUND(E654*F654,2)</f>
        <v>0</v>
      </c>
    </row>
    <row r="655" spans="1:7" ht="24.36" thickBot="1" customHeight="1">
      <c r="A655" s="24" t="s">
        <v>1980</v>
      </c>
      <c r="B655" s="24" t="s">
        <v>1981</v>
      </c>
      <c r="C655" s="24" t="s">
        <v>1982</v>
      </c>
      <c r="D655" s="25" t="s">
        <v>1983</v>
      </c>
      <c r="E655" s="28">
        <v>1.00000</v>
      </c>
      <c r="F655" s="29">
        <f ca="1">ROUND(21.000,3)</f>
        <v>0</v>
      </c>
      <c r="G655" s="27">
        <f ca="1">ROUND(E655*F655,2)</f>
        <v>0</v>
      </c>
    </row>
    <row r="656" spans="1:7" ht="24.36" thickBot="1" customHeight="1">
      <c r="A656" s="24" t="s">
        <v>1984</v>
      </c>
      <c r="B656" s="24" t="s">
        <v>1985</v>
      </c>
      <c r="C656" s="24" t="s">
        <v>1986</v>
      </c>
      <c r="D656" s="25" t="s">
        <v>1987</v>
      </c>
      <c r="E656" s="28">
        <v>1.00000</v>
      </c>
      <c r="F656" s="29">
        <f ca="1">ROUND(19.000,3)</f>
        <v>0</v>
      </c>
      <c r="G656" s="27">
        <f ca="1">ROUND(E656*F656,2)</f>
        <v>0</v>
      </c>
    </row>
    <row r="657" spans="1:7" ht="24.36" thickBot="1" customHeight="1">
      <c r="A657" s="24" t="s">
        <v>1988</v>
      </c>
      <c r="B657" s="24" t="s">
        <v>1989</v>
      </c>
      <c r="C657" s="24" t="s">
        <v>1990</v>
      </c>
      <c r="D657" s="25" t="s">
        <v>1991</v>
      </c>
      <c r="E657" s="28">
        <v>0.20000</v>
      </c>
      <c r="F657" s="29">
        <f ca="1">ROUND(19.000,3)</f>
        <v>0</v>
      </c>
      <c r="G657" s="27">
        <f ca="1">ROUND(E657*F657,2)</f>
        <v>0</v>
      </c>
    </row>
    <row r="658" spans="1:7" ht="15.12" thickBot="1" customHeight="1">
      <c r="A658" s="26"/>
      <c r="B658" s="26"/>
      <c r="C658" s="26"/>
      <c r="D658" s="24" t="s">
        <v>1992</v>
      </c>
      <c r="E658" s="28">
        <v>0.12000</v>
      </c>
      <c r="F658" s="29">
        <f ca="1">ROUND((G655+G656+G657),3)</f>
        <v>0</v>
      </c>
      <c r="G658" s="27">
        <f ca="1">ROUND(E658*F658,2)</f>
        <v>0</v>
      </c>
    </row>
    <row r="659" spans="1:7" ht="15.12" thickBot="1" customHeight="1">
      <c r="A659" s="24" t="s">
        <v>1993</v>
      </c>
      <c r="B659" s="24"/>
      <c r="C659" s="24" t="s">
        <v>1994</v>
      </c>
      <c r="D659" s="25" t="s">
        <v>1995</v>
      </c>
      <c r="E659" s="28">
        <v>3.00000</v>
      </c>
      <c r="F659" s="29">
        <f ca="1">ROUND(5.260,3)</f>
        <v>0</v>
      </c>
      <c r="G659" s="27">
        <f ca="1">ROUND((E659*F659)/100,2)</f>
        <v>0</v>
      </c>
    </row>
    <row r="660" spans="1:7" ht="15.48" thickBot="1" customHeight="1">
      <c r="A660" s="30"/>
      <c r="B660" s="30"/>
      <c r="C660" s="30"/>
      <c r="D660" s="31" t="s">
        <v>1996</v>
      </c>
      <c r="E660" s="30"/>
      <c r="F660" s="33">
        <f ca="1">ROUND((G652+G653+G654+G659)*(1+G2/100),2)</f>
        <v>0</v>
      </c>
      <c r="G660" s="30"/>
    </row>
    <row r="661" spans="1:7" ht="21.36" thickBot="1" customHeight="1">
      <c r="A661" s="34" t="s">
        <v>1997</v>
      </c>
      <c r="B661" s="35" t="s">
        <v>1998</v>
      </c>
      <c r="C661" s="35" t="s">
        <v>1999</v>
      </c>
      <c r="D661" s="36" t="s">
        <v>2000</v>
      </c>
      <c r="E661" s="37"/>
      <c r="F661" s="38">
        <f ca="1">F670</f>
        <v>0</v>
      </c>
      <c r="G661" s="37"/>
    </row>
    <row r="662" spans="1:7" ht="49.08" thickBot="1" customHeight="1">
      <c r="A662" s="26"/>
      <c r="B662" s="26"/>
      <c r="C662" s="26"/>
      <c r="D662" s="25" t="s">
        <v>2001</v>
      </c>
      <c r="E662" s="25"/>
      <c r="F662" s="25"/>
      <c r="G662" s="25"/>
    </row>
    <row r="663" spans="1:7" ht="39.84" thickBot="1" customHeight="1">
      <c r="A663" s="24" t="s">
        <v>2002</v>
      </c>
      <c r="B663" s="24" t="s">
        <v>2003</v>
      </c>
      <c r="C663" s="24" t="s">
        <v>2004</v>
      </c>
      <c r="D663" s="25" t="s">
        <v>2005</v>
      </c>
      <c r="E663" s="28">
        <v>0.05500</v>
      </c>
      <c r="F663" s="29">
        <f ca="1">ROUND(40.990,3)</f>
        <v>0</v>
      </c>
      <c r="G663" s="27">
        <f ca="1">ROUND(E663*F663,2)</f>
        <v>0</v>
      </c>
    </row>
    <row r="664" spans="1:7" ht="24.36" thickBot="1" customHeight="1">
      <c r="A664" s="24" t="s">
        <v>2006</v>
      </c>
      <c r="B664" s="24" t="s">
        <v>2007</v>
      </c>
      <c r="C664" s="24" t="s">
        <v>2008</v>
      </c>
      <c r="D664" s="25" t="s">
        <v>2009</v>
      </c>
      <c r="E664" s="28">
        <v>0.10000</v>
      </c>
      <c r="F664" s="29">
        <f ca="1">ROUND(7.526,3)</f>
        <v>0</v>
      </c>
      <c r="G664" s="27">
        <f ca="1">ROUND(E664*F664,2)</f>
        <v>0</v>
      </c>
    </row>
    <row r="665" spans="1:7" ht="21.36" thickBot="1" customHeight="1">
      <c r="A665" s="24" t="s">
        <v>2010</v>
      </c>
      <c r="B665" s="24" t="s">
        <v>2011</v>
      </c>
      <c r="C665" s="24" t="s">
        <v>2012</v>
      </c>
      <c r="D665" s="25" t="s">
        <v>2013</v>
      </c>
      <c r="E665" s="28">
        <v>0.20000</v>
      </c>
      <c r="F665" s="29">
        <f ca="1">F669</f>
        <v>0</v>
      </c>
      <c r="G665" s="27">
        <f ca="1">ROUND(E665*F665,2)</f>
        <v>0</v>
      </c>
    </row>
    <row r="666" spans="1:7" ht="24.36" thickBot="1" customHeight="1">
      <c r="A666" s="24" t="s">
        <v>2014</v>
      </c>
      <c r="B666" s="24" t="s">
        <v>2015</v>
      </c>
      <c r="C666" s="24" t="s">
        <v>2016</v>
      </c>
      <c r="D666" s="25" t="s">
        <v>2017</v>
      </c>
      <c r="E666" s="28">
        <v>1.00000</v>
      </c>
      <c r="F666" s="29">
        <f ca="1">ROUND(21.000,3)</f>
        <v>0</v>
      </c>
      <c r="G666" s="27">
        <f ca="1">ROUND(E666*F666,2)</f>
        <v>0</v>
      </c>
    </row>
    <row r="667" spans="1:7" ht="24.36" thickBot="1" customHeight="1">
      <c r="A667" s="24" t="s">
        <v>2018</v>
      </c>
      <c r="B667" s="24" t="s">
        <v>2019</v>
      </c>
      <c r="C667" s="24" t="s">
        <v>2020</v>
      </c>
      <c r="D667" s="25" t="s">
        <v>2021</v>
      </c>
      <c r="E667" s="28">
        <v>1.00000</v>
      </c>
      <c r="F667" s="29">
        <f ca="1">ROUND(19.000,3)</f>
        <v>0</v>
      </c>
      <c r="G667" s="27">
        <f ca="1">ROUND(E667*F667,2)</f>
        <v>0</v>
      </c>
    </row>
    <row r="668" spans="1:7" ht="24.36" thickBot="1" customHeight="1">
      <c r="A668" s="24" t="s">
        <v>2022</v>
      </c>
      <c r="B668" s="24" t="s">
        <v>2023</v>
      </c>
      <c r="C668" s="24" t="s">
        <v>2024</v>
      </c>
      <c r="D668" s="25" t="s">
        <v>2025</v>
      </c>
      <c r="E668" s="28">
        <v>0.20000</v>
      </c>
      <c r="F668" s="29">
        <f ca="1">ROUND(19.000,3)</f>
        <v>0</v>
      </c>
      <c r="G668" s="27">
        <f ca="1">ROUND(E668*F668,2)</f>
        <v>0</v>
      </c>
    </row>
    <row r="669" spans="1:7" ht="15.12" thickBot="1" customHeight="1">
      <c r="A669" s="26"/>
      <c r="B669" s="26"/>
      <c r="C669" s="26"/>
      <c r="D669" s="24" t="s">
        <v>2026</v>
      </c>
      <c r="E669" s="28">
        <v>0.20000</v>
      </c>
      <c r="F669" s="29">
        <f ca="1">ROUND((G666+G667+G668),3)</f>
        <v>0</v>
      </c>
      <c r="G669" s="27">
        <f ca="1">ROUND(E669*F669,2)</f>
        <v>0</v>
      </c>
    </row>
    <row r="670" spans="1:7" ht="15.48" thickBot="1" customHeight="1">
      <c r="A670" s="30"/>
      <c r="B670" s="30"/>
      <c r="C670" s="30"/>
      <c r="D670" s="31" t="s">
        <v>2027</v>
      </c>
      <c r="E670" s="30"/>
      <c r="F670" s="33">
        <f ca="1">ROUND((G663+G664+G665)*(1+G2/100),2)</f>
        <v>0</v>
      </c>
      <c r="G670" s="30"/>
    </row>
    <row r="671" spans="1:7" ht="21.36" thickBot="1" customHeight="1">
      <c r="A671" s="34" t="s">
        <v>2028</v>
      </c>
      <c r="B671" s="35" t="s">
        <v>2029</v>
      </c>
      <c r="C671" s="35" t="s">
        <v>2030</v>
      </c>
      <c r="D671" s="36" t="s">
        <v>2031</v>
      </c>
      <c r="E671" s="37"/>
      <c r="F671" s="38">
        <f ca="1">F680</f>
        <v>0</v>
      </c>
      <c r="G671" s="37"/>
    </row>
    <row r="672" spans="1:7" ht="67.56" thickBot="1" customHeight="1">
      <c r="A672" s="26"/>
      <c r="B672" s="26"/>
      <c r="C672" s="26"/>
      <c r="D672" s="25" t="s">
        <v>2032</v>
      </c>
      <c r="E672" s="25"/>
      <c r="F672" s="25"/>
      <c r="G672" s="25"/>
    </row>
    <row r="673" spans="1:7" ht="30.60" thickBot="1" customHeight="1">
      <c r="A673" s="24" t="s">
        <v>2033</v>
      </c>
      <c r="B673" s="24" t="s">
        <v>2034</v>
      </c>
      <c r="C673" s="24" t="s">
        <v>2035</v>
      </c>
      <c r="D673" s="25" t="s">
        <v>2036</v>
      </c>
      <c r="E673" s="28">
        <v>0.02500</v>
      </c>
      <c r="F673" s="29">
        <f ca="1">ROUND(196.200,3)</f>
        <v>0</v>
      </c>
      <c r="G673" s="27">
        <f ca="1">ROUND(E673*F673,2)</f>
        <v>0</v>
      </c>
    </row>
    <row r="674" spans="1:7" ht="30.60" thickBot="1" customHeight="1">
      <c r="A674" s="24" t="s">
        <v>2037</v>
      </c>
      <c r="B674" s="24" t="s">
        <v>2038</v>
      </c>
      <c r="C674" s="24" t="s">
        <v>2039</v>
      </c>
      <c r="D674" s="25" t="s">
        <v>2040</v>
      </c>
      <c r="E674" s="28">
        <v>0.20000</v>
      </c>
      <c r="F674" s="29">
        <f ca="1">ROUND(2.500,3)</f>
        <v>0</v>
      </c>
      <c r="G674" s="27">
        <f ca="1">ROUND(E674*F674,2)</f>
        <v>0</v>
      </c>
    </row>
    <row r="675" spans="1:7" ht="21.36" thickBot="1" customHeight="1">
      <c r="A675" s="24" t="s">
        <v>2041</v>
      </c>
      <c r="B675" s="24" t="s">
        <v>2042</v>
      </c>
      <c r="C675" s="24" t="s">
        <v>2043</v>
      </c>
      <c r="D675" s="25" t="s">
        <v>2044</v>
      </c>
      <c r="E675" s="28">
        <v>0.20000</v>
      </c>
      <c r="F675" s="29">
        <f ca="1">F679</f>
        <v>0</v>
      </c>
      <c r="G675" s="27">
        <f ca="1">ROUND(E675*F675,2)</f>
        <v>0</v>
      </c>
    </row>
    <row r="676" spans="1:7" ht="24.36" thickBot="1" customHeight="1">
      <c r="A676" s="24" t="s">
        <v>2045</v>
      </c>
      <c r="B676" s="24" t="s">
        <v>2046</v>
      </c>
      <c r="C676" s="24" t="s">
        <v>2047</v>
      </c>
      <c r="D676" s="25" t="s">
        <v>2048</v>
      </c>
      <c r="E676" s="28">
        <v>1.00000</v>
      </c>
      <c r="F676" s="29">
        <f ca="1">ROUND(21.000,3)</f>
        <v>0</v>
      </c>
      <c r="G676" s="27">
        <f ca="1">ROUND(E676*F676,2)</f>
        <v>0</v>
      </c>
    </row>
    <row r="677" spans="1:7" ht="24.36" thickBot="1" customHeight="1">
      <c r="A677" s="24" t="s">
        <v>2049</v>
      </c>
      <c r="B677" s="24" t="s">
        <v>2050</v>
      </c>
      <c r="C677" s="24" t="s">
        <v>2051</v>
      </c>
      <c r="D677" s="25" t="s">
        <v>2052</v>
      </c>
      <c r="E677" s="28">
        <v>1.00000</v>
      </c>
      <c r="F677" s="29">
        <f ca="1">ROUND(19.000,3)</f>
        <v>0</v>
      </c>
      <c r="G677" s="27">
        <f ca="1">ROUND(E677*F677,2)</f>
        <v>0</v>
      </c>
    </row>
    <row r="678" spans="1:7" ht="24.36" thickBot="1" customHeight="1">
      <c r="A678" s="24" t="s">
        <v>2053</v>
      </c>
      <c r="B678" s="24" t="s">
        <v>2054</v>
      </c>
      <c r="C678" s="24" t="s">
        <v>2055</v>
      </c>
      <c r="D678" s="25" t="s">
        <v>2056</v>
      </c>
      <c r="E678" s="28">
        <v>0.20000</v>
      </c>
      <c r="F678" s="29">
        <f ca="1">ROUND(19.000,3)</f>
        <v>0</v>
      </c>
      <c r="G678" s="27">
        <f ca="1">ROUND(E678*F678,2)</f>
        <v>0</v>
      </c>
    </row>
    <row r="679" spans="1:7" ht="15.12" thickBot="1" customHeight="1">
      <c r="A679" s="26"/>
      <c r="B679" s="26"/>
      <c r="C679" s="26"/>
      <c r="D679" s="24" t="s">
        <v>2057</v>
      </c>
      <c r="E679" s="28">
        <v>0.20000</v>
      </c>
      <c r="F679" s="29">
        <f ca="1">ROUND((G676+G677+G678),3)</f>
        <v>0</v>
      </c>
      <c r="G679" s="27">
        <f ca="1">ROUND(E679*F679,2)</f>
        <v>0</v>
      </c>
    </row>
    <row r="680" spans="1:7" ht="15.48" thickBot="1" customHeight="1">
      <c r="A680" s="30"/>
      <c r="B680" s="30"/>
      <c r="C680" s="30"/>
      <c r="D680" s="31" t="s">
        <v>2058</v>
      </c>
      <c r="E680" s="30"/>
      <c r="F680" s="33">
        <f ca="1">ROUND((G673+G674+G675)*(1+G2/100),2)</f>
        <v>0</v>
      </c>
      <c r="G680" s="30"/>
    </row>
    <row r="681" spans="1:7" ht="30.60" thickBot="1" customHeight="1">
      <c r="A681" s="34" t="s">
        <v>2059</v>
      </c>
      <c r="B681" s="35" t="s">
        <v>2060</v>
      </c>
      <c r="C681" s="35" t="s">
        <v>2061</v>
      </c>
      <c r="D681" s="36" t="s">
        <v>2062</v>
      </c>
      <c r="E681" s="37"/>
      <c r="F681" s="38">
        <f ca="1">F692</f>
        <v>0</v>
      </c>
      <c r="G681" s="37"/>
    </row>
    <row r="682" spans="1:7" ht="30.60" thickBot="1" customHeight="1">
      <c r="A682" s="26"/>
      <c r="B682" s="26"/>
      <c r="C682" s="26"/>
      <c r="D682" s="25" t="s">
        <v>2063</v>
      </c>
      <c r="E682" s="25"/>
      <c r="F682" s="25"/>
      <c r="G682" s="25"/>
    </row>
    <row r="683" spans="1:7" ht="30.60" thickBot="1" customHeight="1">
      <c r="A683" s="24" t="s">
        <v>2064</v>
      </c>
      <c r="B683" s="24" t="s">
        <v>2065</v>
      </c>
      <c r="C683" s="24" t="s">
        <v>2066</v>
      </c>
      <c r="D683" s="25" t="s">
        <v>2067</v>
      </c>
      <c r="E683" s="28">
        <v>0.20000</v>
      </c>
      <c r="F683" s="29">
        <f ca="1">ROUND(18.760,3)</f>
        <v>0</v>
      </c>
      <c r="G683" s="27">
        <f ca="1">ROUND(E683*F683,2)</f>
        <v>0</v>
      </c>
    </row>
    <row r="684" spans="1:7" ht="30.60" thickBot="1" customHeight="1">
      <c r="A684" s="24" t="s">
        <v>2068</v>
      </c>
      <c r="B684" s="24" t="s">
        <v>2069</v>
      </c>
      <c r="C684" s="24" t="s">
        <v>2070</v>
      </c>
      <c r="D684" s="25" t="s">
        <v>2071</v>
      </c>
      <c r="E684" s="28">
        <v>0.26000</v>
      </c>
      <c r="F684" s="29">
        <f ca="1">ROUND(5.280,3)</f>
        <v>0</v>
      </c>
      <c r="G684" s="27">
        <f ca="1">ROUND(E684*F684,2)</f>
        <v>0</v>
      </c>
    </row>
    <row r="685" spans="1:7" ht="39.84" thickBot="1" customHeight="1">
      <c r="A685" s="24" t="s">
        <v>2072</v>
      </c>
      <c r="B685" s="24" t="s">
        <v>2073</v>
      </c>
      <c r="C685" s="24" t="s">
        <v>2074</v>
      </c>
      <c r="D685" s="25" t="s">
        <v>2075</v>
      </c>
      <c r="E685" s="28">
        <v>0.26000</v>
      </c>
      <c r="F685" s="29">
        <f ca="1">ROUND(7.565,3)</f>
        <v>0</v>
      </c>
      <c r="G685" s="27">
        <f ca="1">ROUND(E685*F685,2)</f>
        <v>0</v>
      </c>
    </row>
    <row r="686" spans="1:7" ht="21.36" thickBot="1" customHeight="1">
      <c r="A686" s="24" t="s">
        <v>2076</v>
      </c>
      <c r="B686" s="24" t="s">
        <v>2077</v>
      </c>
      <c r="C686" s="24" t="s">
        <v>2078</v>
      </c>
      <c r="D686" s="25" t="s">
        <v>2079</v>
      </c>
      <c r="E686" s="28">
        <v>0.26000</v>
      </c>
      <c r="F686" s="29">
        <f ca="1">F690</f>
        <v>0</v>
      </c>
      <c r="G686" s="27">
        <f ca="1">ROUND(E686*F686,2)</f>
        <v>0</v>
      </c>
    </row>
    <row r="687" spans="1:7" ht="24.36" thickBot="1" customHeight="1">
      <c r="A687" s="24" t="s">
        <v>2080</v>
      </c>
      <c r="B687" s="24" t="s">
        <v>2081</v>
      </c>
      <c r="C687" s="24" t="s">
        <v>2082</v>
      </c>
      <c r="D687" s="25" t="s">
        <v>2083</v>
      </c>
      <c r="E687" s="28">
        <v>1.00000</v>
      </c>
      <c r="F687" s="29">
        <f ca="1">ROUND(21.000,3)</f>
        <v>0</v>
      </c>
      <c r="G687" s="27">
        <f ca="1">ROUND(E687*F687,2)</f>
        <v>0</v>
      </c>
    </row>
    <row r="688" spans="1:7" ht="24.36" thickBot="1" customHeight="1">
      <c r="A688" s="24" t="s">
        <v>2084</v>
      </c>
      <c r="B688" s="24" t="s">
        <v>2085</v>
      </c>
      <c r="C688" s="24" t="s">
        <v>2086</v>
      </c>
      <c r="D688" s="25" t="s">
        <v>2087</v>
      </c>
      <c r="E688" s="28">
        <v>1.00000</v>
      </c>
      <c r="F688" s="29">
        <f ca="1">ROUND(19.000,3)</f>
        <v>0</v>
      </c>
      <c r="G688" s="27">
        <f ca="1">ROUND(E688*F688,2)</f>
        <v>0</v>
      </c>
    </row>
    <row r="689" spans="1:7" ht="24.36" thickBot="1" customHeight="1">
      <c r="A689" s="24" t="s">
        <v>2088</v>
      </c>
      <c r="B689" s="24" t="s">
        <v>2089</v>
      </c>
      <c r="C689" s="24" t="s">
        <v>2090</v>
      </c>
      <c r="D689" s="25" t="s">
        <v>2091</v>
      </c>
      <c r="E689" s="28">
        <v>0.20000</v>
      </c>
      <c r="F689" s="29">
        <f ca="1">ROUND(19.000,3)</f>
        <v>0</v>
      </c>
      <c r="G689" s="27">
        <f ca="1">ROUND(E689*F689,2)</f>
        <v>0</v>
      </c>
    </row>
    <row r="690" spans="1:7" ht="15.12" thickBot="1" customHeight="1">
      <c r="A690" s="26"/>
      <c r="B690" s="26"/>
      <c r="C690" s="26"/>
      <c r="D690" s="24" t="s">
        <v>2092</v>
      </c>
      <c r="E690" s="28">
        <v>0.26000</v>
      </c>
      <c r="F690" s="29">
        <f ca="1">ROUND((G687+G688+G689),3)</f>
        <v>0</v>
      </c>
      <c r="G690" s="27">
        <f ca="1">ROUND(E690*F690,2)</f>
        <v>0</v>
      </c>
    </row>
    <row r="691" spans="1:7" ht="15.12" thickBot="1" customHeight="1">
      <c r="A691" s="24" t="s">
        <v>2093</v>
      </c>
      <c r="B691" s="24"/>
      <c r="C691" s="24" t="s">
        <v>2094</v>
      </c>
      <c r="D691" s="25" t="s">
        <v>2095</v>
      </c>
      <c r="E691" s="28">
        <v>3.00000</v>
      </c>
      <c r="F691" s="29">
        <f ca="1">ROUND(11.390,3)</f>
        <v>0</v>
      </c>
      <c r="G691" s="27">
        <f ca="1">ROUND((E691*F691)/100,2)</f>
        <v>0</v>
      </c>
    </row>
    <row r="692" spans="1:7" ht="15.48" thickBot="1" customHeight="1">
      <c r="A692" s="30"/>
      <c r="B692" s="30"/>
      <c r="C692" s="30"/>
      <c r="D692" s="31" t="s">
        <v>2096</v>
      </c>
      <c r="E692" s="30"/>
      <c r="F692" s="33">
        <f ca="1">ROUND((G683+G684+G685+G686+G691)*(1+G2/100),2)</f>
        <v>0</v>
      </c>
      <c r="G692" s="30"/>
    </row>
    <row r="693" spans="1:7" ht="39.84" thickBot="1" customHeight="1">
      <c r="A693" s="34" t="s">
        <v>2097</v>
      </c>
      <c r="B693" s="35" t="s">
        <v>2098</v>
      </c>
      <c r="C693" s="35" t="s">
        <v>2099</v>
      </c>
      <c r="D693" s="36" t="s">
        <v>2100</v>
      </c>
      <c r="E693" s="37"/>
      <c r="F693" s="38">
        <f ca="1">F704</f>
        <v>0</v>
      </c>
      <c r="G693" s="37"/>
    </row>
    <row r="694" spans="1:7" ht="30.60" thickBot="1" customHeight="1">
      <c r="A694" s="26"/>
      <c r="B694" s="26"/>
      <c r="C694" s="26"/>
      <c r="D694" s="25" t="s">
        <v>2101</v>
      </c>
      <c r="E694" s="25"/>
      <c r="F694" s="25"/>
      <c r="G694" s="25"/>
    </row>
    <row r="695" spans="1:7" ht="30.60" thickBot="1" customHeight="1">
      <c r="A695" s="24" t="s">
        <v>2102</v>
      </c>
      <c r="B695" s="24" t="s">
        <v>2103</v>
      </c>
      <c r="C695" s="24" t="s">
        <v>2104</v>
      </c>
      <c r="D695" s="25" t="s">
        <v>2105</v>
      </c>
      <c r="E695" s="28">
        <v>0.20000</v>
      </c>
      <c r="F695" s="29">
        <f ca="1">ROUND(18.760,3)</f>
        <v>0</v>
      </c>
      <c r="G695" s="27">
        <f ca="1">ROUND(E695*F695,2)</f>
        <v>0</v>
      </c>
    </row>
    <row r="696" spans="1:7" ht="30.60" thickBot="1" customHeight="1">
      <c r="A696" s="24" t="s">
        <v>2106</v>
      </c>
      <c r="B696" s="24" t="s">
        <v>2107</v>
      </c>
      <c r="C696" s="24" t="s">
        <v>2108</v>
      </c>
      <c r="D696" s="25" t="s">
        <v>2109</v>
      </c>
      <c r="E696" s="28">
        <v>0.52000</v>
      </c>
      <c r="F696" s="29">
        <f ca="1">ROUND(5.280,3)</f>
        <v>0</v>
      </c>
      <c r="G696" s="27">
        <f ca="1">ROUND(E696*F696,2)</f>
        <v>0</v>
      </c>
    </row>
    <row r="697" spans="1:7" ht="39.84" thickBot="1" customHeight="1">
      <c r="A697" s="24" t="s">
        <v>2110</v>
      </c>
      <c r="B697" s="24" t="s">
        <v>2111</v>
      </c>
      <c r="C697" s="24" t="s">
        <v>2112</v>
      </c>
      <c r="D697" s="25" t="s">
        <v>2113</v>
      </c>
      <c r="E697" s="28">
        <v>0.52000</v>
      </c>
      <c r="F697" s="29">
        <f ca="1">ROUND(7.565,3)</f>
        <v>0</v>
      </c>
      <c r="G697" s="27">
        <f ca="1">ROUND(E697*F697,2)</f>
        <v>0</v>
      </c>
    </row>
    <row r="698" spans="1:7" ht="24.36" thickBot="1" customHeight="1">
      <c r="A698" s="24" t="s">
        <v>2114</v>
      </c>
      <c r="B698" s="24" t="s">
        <v>2115</v>
      </c>
      <c r="C698" s="24" t="s">
        <v>2116</v>
      </c>
      <c r="D698" s="25" t="s">
        <v>2117</v>
      </c>
      <c r="E698" s="28">
        <v>0.52000</v>
      </c>
      <c r="F698" s="29">
        <f ca="1">F702</f>
        <v>0</v>
      </c>
      <c r="G698" s="27">
        <f ca="1">ROUND(E698*F698,2)</f>
        <v>0</v>
      </c>
    </row>
    <row r="699" spans="1:7" ht="24.36" thickBot="1" customHeight="1">
      <c r="A699" s="24" t="s">
        <v>2118</v>
      </c>
      <c r="B699" s="24" t="s">
        <v>2119</v>
      </c>
      <c r="C699" s="24" t="s">
        <v>2120</v>
      </c>
      <c r="D699" s="25" t="s">
        <v>2121</v>
      </c>
      <c r="E699" s="28">
        <v>1.00000</v>
      </c>
      <c r="F699" s="29">
        <f ca="1">ROUND(21.000,3)</f>
        <v>0</v>
      </c>
      <c r="G699" s="27">
        <f ca="1">ROUND(E699*F699,2)</f>
        <v>0</v>
      </c>
    </row>
    <row r="700" spans="1:7" ht="24.36" thickBot="1" customHeight="1">
      <c r="A700" s="24" t="s">
        <v>2122</v>
      </c>
      <c r="B700" s="24" t="s">
        <v>2123</v>
      </c>
      <c r="C700" s="24" t="s">
        <v>2124</v>
      </c>
      <c r="D700" s="25" t="s">
        <v>2125</v>
      </c>
      <c r="E700" s="28">
        <v>1.00000</v>
      </c>
      <c r="F700" s="29">
        <f ca="1">ROUND(19.000,3)</f>
        <v>0</v>
      </c>
      <c r="G700" s="27">
        <f ca="1">ROUND(E700*F700,2)</f>
        <v>0</v>
      </c>
    </row>
    <row r="701" spans="1:7" ht="24.36" thickBot="1" customHeight="1">
      <c r="A701" s="24" t="s">
        <v>2126</v>
      </c>
      <c r="B701" s="24" t="s">
        <v>2127</v>
      </c>
      <c r="C701" s="24" t="s">
        <v>2128</v>
      </c>
      <c r="D701" s="25" t="s">
        <v>2129</v>
      </c>
      <c r="E701" s="28">
        <v>0.50000</v>
      </c>
      <c r="F701" s="29">
        <f ca="1">ROUND(19.000,3)</f>
        <v>0</v>
      </c>
      <c r="G701" s="27">
        <f ca="1">ROUND(E701*F701,2)</f>
        <v>0</v>
      </c>
    </row>
    <row r="702" spans="1:7" ht="15.12" thickBot="1" customHeight="1">
      <c r="A702" s="26"/>
      <c r="B702" s="26"/>
      <c r="C702" s="26"/>
      <c r="D702" s="24" t="s">
        <v>2130</v>
      </c>
      <c r="E702" s="28">
        <v>0.52000</v>
      </c>
      <c r="F702" s="29">
        <f ca="1">ROUND((G699+G700+G701),3)</f>
        <v>0</v>
      </c>
      <c r="G702" s="27">
        <f ca="1">ROUND(E702*F702,2)</f>
        <v>0</v>
      </c>
    </row>
    <row r="703" spans="1:7" ht="15.12" thickBot="1" customHeight="1">
      <c r="A703" s="24" t="s">
        <v>2131</v>
      </c>
      <c r="B703" s="24"/>
      <c r="C703" s="24" t="s">
        <v>2132</v>
      </c>
      <c r="D703" s="25" t="s">
        <v>2133</v>
      </c>
      <c r="E703" s="28">
        <v>3.00000</v>
      </c>
      <c r="F703" s="29">
        <f ca="1">ROUND(25.740,3)</f>
        <v>0</v>
      </c>
      <c r="G703" s="27">
        <f ca="1">ROUND((E703*F703)/100,2)</f>
        <v>0</v>
      </c>
    </row>
    <row r="704" spans="1:7" ht="15.48" thickBot="1" customHeight="1">
      <c r="A704" s="30"/>
      <c r="B704" s="30"/>
      <c r="C704" s="30"/>
      <c r="D704" s="31" t="s">
        <v>2134</v>
      </c>
      <c r="E704" s="30"/>
      <c r="F704" s="33">
        <f ca="1">ROUND((G695+G696+G697+G698+G703)*(1+G2/100),2)</f>
        <v>0</v>
      </c>
      <c r="G704" s="30"/>
    </row>
    <row r="705" spans="1:7" ht="21.36" thickBot="1" customHeight="1">
      <c r="A705" s="34" t="s">
        <v>2135</v>
      </c>
      <c r="B705" s="35" t="s">
        <v>2136</v>
      </c>
      <c r="C705" s="35" t="s">
        <v>2137</v>
      </c>
      <c r="D705" s="36" t="s">
        <v>2138</v>
      </c>
      <c r="E705" s="37"/>
      <c r="F705" s="38">
        <f ca="1">F715</f>
        <v>0</v>
      </c>
      <c r="G705" s="37"/>
    </row>
    <row r="706" spans="1:7" ht="21.36" thickBot="1" customHeight="1">
      <c r="A706" s="26"/>
      <c r="B706" s="26"/>
      <c r="C706" s="26"/>
      <c r="D706" s="25" t="s">
        <v>2139</v>
      </c>
      <c r="E706" s="25"/>
      <c r="F706" s="25"/>
      <c r="G706" s="25"/>
    </row>
    <row r="707" spans="1:7" ht="21.36" thickBot="1" customHeight="1">
      <c r="A707" s="24" t="s">
        <v>2140</v>
      </c>
      <c r="B707" s="24" t="s">
        <v>2141</v>
      </c>
      <c r="C707" s="24" t="s">
        <v>2142</v>
      </c>
      <c r="D707" s="25" t="s">
        <v>2143</v>
      </c>
      <c r="E707" s="28">
        <v>1.00000</v>
      </c>
      <c r="F707" s="29">
        <f ca="1">ROUND(6.320,3)</f>
        <v>0</v>
      </c>
      <c r="G707" s="27">
        <f ca="1">ROUND(E707*F707,2)</f>
        <v>0</v>
      </c>
    </row>
    <row r="708" spans="1:7" ht="21.36" thickBot="1" customHeight="1">
      <c r="A708" s="24" t="s">
        <v>2144</v>
      </c>
      <c r="B708" s="24" t="s">
        <v>2145</v>
      </c>
      <c r="C708" s="24" t="s">
        <v>2146</v>
      </c>
      <c r="D708" s="25" t="s">
        <v>2147</v>
      </c>
      <c r="E708" s="28">
        <v>1.00000</v>
      </c>
      <c r="F708" s="29">
        <f ca="1">ROUND(1.280,3)</f>
        <v>0</v>
      </c>
      <c r="G708" s="27">
        <f ca="1">ROUND(E708*F708,2)</f>
        <v>0</v>
      </c>
    </row>
    <row r="709" spans="1:7" ht="21.36" thickBot="1" customHeight="1">
      <c r="A709" s="24" t="s">
        <v>2148</v>
      </c>
      <c r="B709" s="24" t="s">
        <v>2149</v>
      </c>
      <c r="C709" s="24" t="s">
        <v>2150</v>
      </c>
      <c r="D709" s="25" t="s">
        <v>2151</v>
      </c>
      <c r="E709" s="28">
        <v>0.60000</v>
      </c>
      <c r="F709" s="29">
        <f ca="1">F713</f>
        <v>0</v>
      </c>
      <c r="G709" s="27">
        <f ca="1">ROUND(E709*F709,2)</f>
        <v>0</v>
      </c>
    </row>
    <row r="710" spans="1:7" ht="24.36" thickBot="1" customHeight="1">
      <c r="A710" s="24" t="s">
        <v>2152</v>
      </c>
      <c r="B710" s="24" t="s">
        <v>2153</v>
      </c>
      <c r="C710" s="24" t="s">
        <v>2154</v>
      </c>
      <c r="D710" s="25" t="s">
        <v>2155</v>
      </c>
      <c r="E710" s="28">
        <v>1.00000</v>
      </c>
      <c r="F710" s="29">
        <f ca="1">ROUND(21.000,3)</f>
        <v>0</v>
      </c>
      <c r="G710" s="27">
        <f ca="1">ROUND(E710*F710,2)</f>
        <v>0</v>
      </c>
    </row>
    <row r="711" spans="1:7" ht="24.36" thickBot="1" customHeight="1">
      <c r="A711" s="24" t="s">
        <v>2156</v>
      </c>
      <c r="B711" s="24" t="s">
        <v>2157</v>
      </c>
      <c r="C711" s="24" t="s">
        <v>2158</v>
      </c>
      <c r="D711" s="25" t="s">
        <v>2159</v>
      </c>
      <c r="E711" s="28">
        <v>1.00000</v>
      </c>
      <c r="F711" s="29">
        <f ca="1">ROUND(19.000,3)</f>
        <v>0</v>
      </c>
      <c r="G711" s="27">
        <f ca="1">ROUND(E711*F711,2)</f>
        <v>0</v>
      </c>
    </row>
    <row r="712" spans="1:7" ht="24.36" thickBot="1" customHeight="1">
      <c r="A712" s="24" t="s">
        <v>2160</v>
      </c>
      <c r="B712" s="24" t="s">
        <v>2161</v>
      </c>
      <c r="C712" s="24" t="s">
        <v>2162</v>
      </c>
      <c r="D712" s="25" t="s">
        <v>2163</v>
      </c>
      <c r="E712" s="28">
        <v>0.20000</v>
      </c>
      <c r="F712" s="29">
        <f ca="1">ROUND(19.000,3)</f>
        <v>0</v>
      </c>
      <c r="G712" s="27">
        <f ca="1">ROUND(E712*F712,2)</f>
        <v>0</v>
      </c>
    </row>
    <row r="713" spans="1:7" ht="15.12" thickBot="1" customHeight="1">
      <c r="A713" s="26"/>
      <c r="B713" s="26"/>
      <c r="C713" s="26"/>
      <c r="D713" s="24" t="s">
        <v>2164</v>
      </c>
      <c r="E713" s="28">
        <v>0.60000</v>
      </c>
      <c r="F713" s="29">
        <f ca="1">ROUND((G710+G711+G712),3)</f>
        <v>0</v>
      </c>
      <c r="G713" s="27">
        <f ca="1">ROUND(E713*F713,2)</f>
        <v>0</v>
      </c>
    </row>
    <row r="714" spans="1:7" ht="15.12" thickBot="1" customHeight="1">
      <c r="A714" s="24" t="s">
        <v>2165</v>
      </c>
      <c r="B714" s="24"/>
      <c r="C714" s="24" t="s">
        <v>2166</v>
      </c>
      <c r="D714" s="25" t="s">
        <v>2167</v>
      </c>
      <c r="E714" s="28">
        <v>3.00000</v>
      </c>
      <c r="F714" s="29">
        <f ca="1">ROUND(26.280,3)</f>
        <v>0</v>
      </c>
      <c r="G714" s="27">
        <f ca="1">ROUND((E714*F714)/100,2)</f>
        <v>0</v>
      </c>
    </row>
    <row r="715" spans="1:7" ht="15.48" thickBot="1" customHeight="1">
      <c r="A715" s="30"/>
      <c r="B715" s="30"/>
      <c r="C715" s="30"/>
      <c r="D715" s="31" t="s">
        <v>2168</v>
      </c>
      <c r="E715" s="30"/>
      <c r="F715" s="33">
        <f ca="1">ROUND((G707+G708+G709+G714)*(1+G2/100),2)</f>
        <v>0</v>
      </c>
      <c r="G715" s="30"/>
    </row>
    <row r="716" spans="1:7" ht="15.48" thickBot="1" customHeight="1">
      <c r="A716" s="34" t="s">
        <v>2169</v>
      </c>
      <c r="B716" s="35" t="s">
        <v>2170</v>
      </c>
      <c r="C716" s="35" t="s">
        <v>2171</v>
      </c>
      <c r="D716" s="36" t="s">
        <v>2172</v>
      </c>
      <c r="E716" s="37"/>
      <c r="F716" s="38">
        <f ca="1">F725</f>
        <v>0</v>
      </c>
      <c r="G716" s="37"/>
    </row>
    <row r="717" spans="1:7" ht="21.36" thickBot="1" customHeight="1">
      <c r="A717" s="26"/>
      <c r="B717" s="26"/>
      <c r="C717" s="26"/>
      <c r="D717" s="25" t="s">
        <v>2173</v>
      </c>
      <c r="E717" s="25"/>
      <c r="F717" s="25"/>
      <c r="G717" s="25"/>
    </row>
    <row r="718" spans="1:7" ht="21.36" thickBot="1" customHeight="1">
      <c r="A718" s="24" t="s">
        <v>2174</v>
      </c>
      <c r="B718" s="24" t="s">
        <v>2175</v>
      </c>
      <c r="C718" s="24" t="s">
        <v>2176</v>
      </c>
      <c r="D718" s="25" t="s">
        <v>2177</v>
      </c>
      <c r="E718" s="28">
        <v>0.08000</v>
      </c>
      <c r="F718" s="29">
        <f ca="1">ROUND(21.500,3)</f>
        <v>0</v>
      </c>
      <c r="G718" s="27">
        <f ca="1">ROUND(E718*F718,2)</f>
        <v>0</v>
      </c>
    </row>
    <row r="719" spans="1:7" ht="21.36" thickBot="1" customHeight="1">
      <c r="A719" s="24" t="s">
        <v>2178</v>
      </c>
      <c r="B719" s="24" t="s">
        <v>2179</v>
      </c>
      <c r="C719" s="24" t="s">
        <v>2180</v>
      </c>
      <c r="D719" s="25" t="s">
        <v>2181</v>
      </c>
      <c r="E719" s="28">
        <v>0.13000</v>
      </c>
      <c r="F719" s="29">
        <f ca="1">ROUND(29.800,3)</f>
        <v>0</v>
      </c>
      <c r="G719" s="27">
        <f ca="1">ROUND(E719*F719,2)</f>
        <v>0</v>
      </c>
    </row>
    <row r="720" spans="1:7" ht="21.36" thickBot="1" customHeight="1">
      <c r="A720" s="24" t="s">
        <v>2182</v>
      </c>
      <c r="B720" s="24" t="s">
        <v>2183</v>
      </c>
      <c r="C720" s="24" t="s">
        <v>2184</v>
      </c>
      <c r="D720" s="25" t="s">
        <v>2185</v>
      </c>
      <c r="E720" s="28">
        <v>0.86500</v>
      </c>
      <c r="F720" s="29">
        <f ca="1">F724</f>
        <v>0</v>
      </c>
      <c r="G720" s="27">
        <f ca="1">ROUND(E720*F720,2)</f>
        <v>0</v>
      </c>
    </row>
    <row r="721" spans="1:7" ht="24.36" thickBot="1" customHeight="1">
      <c r="A721" s="24" t="s">
        <v>2186</v>
      </c>
      <c r="B721" s="24" t="s">
        <v>2187</v>
      </c>
      <c r="C721" s="24" t="s">
        <v>2188</v>
      </c>
      <c r="D721" s="25" t="s">
        <v>2189</v>
      </c>
      <c r="E721" s="28">
        <v>1.00000</v>
      </c>
      <c r="F721" s="29">
        <f ca="1">ROUND(21.000,3)</f>
        <v>0</v>
      </c>
      <c r="G721" s="27">
        <f ca="1">ROUND(E721*F721,2)</f>
        <v>0</v>
      </c>
    </row>
    <row r="722" spans="1:7" ht="24.36" thickBot="1" customHeight="1">
      <c r="A722" s="24" t="s">
        <v>2190</v>
      </c>
      <c r="B722" s="24" t="s">
        <v>2191</v>
      </c>
      <c r="C722" s="24" t="s">
        <v>2192</v>
      </c>
      <c r="D722" s="25" t="s">
        <v>2193</v>
      </c>
      <c r="E722" s="28">
        <v>1.00000</v>
      </c>
      <c r="F722" s="29">
        <f ca="1">ROUND(19.000,3)</f>
        <v>0</v>
      </c>
      <c r="G722" s="27">
        <f ca="1">ROUND(E722*F722,2)</f>
        <v>0</v>
      </c>
    </row>
    <row r="723" spans="1:7" ht="24.36" thickBot="1" customHeight="1">
      <c r="A723" s="24" t="s">
        <v>2194</v>
      </c>
      <c r="B723" s="24" t="s">
        <v>2195</v>
      </c>
      <c r="C723" s="24" t="s">
        <v>2196</v>
      </c>
      <c r="D723" s="25" t="s">
        <v>2197</v>
      </c>
      <c r="E723" s="28">
        <v>0.20000</v>
      </c>
      <c r="F723" s="29">
        <f ca="1">ROUND(19.000,3)</f>
        <v>0</v>
      </c>
      <c r="G723" s="27">
        <f ca="1">ROUND(E723*F723,2)</f>
        <v>0</v>
      </c>
    </row>
    <row r="724" spans="1:7" ht="15.12" thickBot="1" customHeight="1">
      <c r="A724" s="26"/>
      <c r="B724" s="26"/>
      <c r="C724" s="26"/>
      <c r="D724" s="24" t="s">
        <v>2198</v>
      </c>
      <c r="E724" s="28">
        <v>0.86500</v>
      </c>
      <c r="F724" s="29">
        <f ca="1">ROUND((G721+G722+G723),3)</f>
        <v>0</v>
      </c>
      <c r="G724" s="27">
        <f ca="1">ROUND(E724*F724,2)</f>
        <v>0</v>
      </c>
    </row>
    <row r="725" spans="1:7" ht="15.48" thickBot="1" customHeight="1">
      <c r="A725" s="30"/>
      <c r="B725" s="30"/>
      <c r="C725" s="30"/>
      <c r="D725" s="31" t="s">
        <v>2199</v>
      </c>
      <c r="E725" s="30"/>
      <c r="F725" s="33">
        <f ca="1">ROUND((G718+G719+G720)*(1+G2/100),2)</f>
        <v>0</v>
      </c>
      <c r="G725" s="30"/>
    </row>
    <row r="726" spans="1:7" ht="15.48" thickBot="1" customHeight="1">
      <c r="A726" s="34" t="s">
        <v>2200</v>
      </c>
      <c r="B726" s="35" t="s">
        <v>2201</v>
      </c>
      <c r="C726" s="35" t="s">
        <v>2202</v>
      </c>
      <c r="D726" s="36" t="s">
        <v>2203</v>
      </c>
      <c r="E726" s="37"/>
      <c r="F726" s="38">
        <f ca="1">F735</f>
        <v>0</v>
      </c>
      <c r="G726" s="37"/>
    </row>
    <row r="727" spans="1:7" ht="30.60" thickBot="1" customHeight="1">
      <c r="A727" s="26"/>
      <c r="B727" s="26"/>
      <c r="C727" s="26"/>
      <c r="D727" s="25" t="s">
        <v>2204</v>
      </c>
      <c r="E727" s="25"/>
      <c r="F727" s="25"/>
      <c r="G727" s="25"/>
    </row>
    <row r="728" spans="1:7" ht="30.60" thickBot="1" customHeight="1">
      <c r="A728" s="24" t="s">
        <v>2205</v>
      </c>
      <c r="B728" s="24" t="s">
        <v>2206</v>
      </c>
      <c r="C728" s="24" t="s">
        <v>2207</v>
      </c>
      <c r="D728" s="25" t="s">
        <v>2208</v>
      </c>
      <c r="E728" s="28">
        <v>0.05000</v>
      </c>
      <c r="F728" s="29">
        <f ca="1">ROUND(23.460,3)</f>
        <v>0</v>
      </c>
      <c r="G728" s="27">
        <f ca="1">ROUND(E728*F728,2)</f>
        <v>0</v>
      </c>
    </row>
    <row r="729" spans="1:7" ht="21.36" thickBot="1" customHeight="1">
      <c r="A729" s="24" t="s">
        <v>2209</v>
      </c>
      <c r="B729" s="24" t="s">
        <v>2210</v>
      </c>
      <c r="C729" s="24" t="s">
        <v>2211</v>
      </c>
      <c r="D729" s="25" t="s">
        <v>2212</v>
      </c>
      <c r="E729" s="28">
        <v>0.25000</v>
      </c>
      <c r="F729" s="29">
        <f ca="1">ROUND(28.500,3)</f>
        <v>0</v>
      </c>
      <c r="G729" s="27">
        <f ca="1">ROUND(E729*F729,2)</f>
        <v>0</v>
      </c>
    </row>
    <row r="730" spans="1:7" ht="21.36" thickBot="1" customHeight="1">
      <c r="A730" s="24" t="s">
        <v>2213</v>
      </c>
      <c r="B730" s="24" t="s">
        <v>2214</v>
      </c>
      <c r="C730" s="24" t="s">
        <v>2215</v>
      </c>
      <c r="D730" s="25" t="s">
        <v>2216</v>
      </c>
      <c r="E730" s="28">
        <v>7.00000</v>
      </c>
      <c r="F730" s="29">
        <f ca="1">F734</f>
        <v>0</v>
      </c>
      <c r="G730" s="27">
        <f ca="1">ROUND(E730*F730,2)</f>
        <v>0</v>
      </c>
    </row>
    <row r="731" spans="1:7" ht="24.36" thickBot="1" customHeight="1">
      <c r="A731" s="24" t="s">
        <v>2217</v>
      </c>
      <c r="B731" s="24" t="s">
        <v>2218</v>
      </c>
      <c r="C731" s="24" t="s">
        <v>2219</v>
      </c>
      <c r="D731" s="25" t="s">
        <v>2220</v>
      </c>
      <c r="E731" s="28">
        <v>1.00000</v>
      </c>
      <c r="F731" s="29">
        <f ca="1">ROUND(21.000,3)</f>
        <v>0</v>
      </c>
      <c r="G731" s="27">
        <f ca="1">ROUND(E731*F731,2)</f>
        <v>0</v>
      </c>
    </row>
    <row r="732" spans="1:7" ht="24.36" thickBot="1" customHeight="1">
      <c r="A732" s="24" t="s">
        <v>2221</v>
      </c>
      <c r="B732" s="24" t="s">
        <v>2222</v>
      </c>
      <c r="C732" s="24" t="s">
        <v>2223</v>
      </c>
      <c r="D732" s="25" t="s">
        <v>2224</v>
      </c>
      <c r="E732" s="28">
        <v>1.00000</v>
      </c>
      <c r="F732" s="29">
        <f ca="1">ROUND(19.000,3)</f>
        <v>0</v>
      </c>
      <c r="G732" s="27">
        <f ca="1">ROUND(E732*F732,2)</f>
        <v>0</v>
      </c>
    </row>
    <row r="733" spans="1:7" ht="24.36" thickBot="1" customHeight="1">
      <c r="A733" s="24" t="s">
        <v>2225</v>
      </c>
      <c r="B733" s="24" t="s">
        <v>2226</v>
      </c>
      <c r="C733" s="24" t="s">
        <v>2227</v>
      </c>
      <c r="D733" s="25" t="s">
        <v>2228</v>
      </c>
      <c r="E733" s="28">
        <v>0.20000</v>
      </c>
      <c r="F733" s="29">
        <f ca="1">ROUND(19.000,3)</f>
        <v>0</v>
      </c>
      <c r="G733" s="27">
        <f ca="1">ROUND(E733*F733,2)</f>
        <v>0</v>
      </c>
    </row>
    <row r="734" spans="1:7" ht="15.12" thickBot="1" customHeight="1">
      <c r="A734" s="26"/>
      <c r="B734" s="26"/>
      <c r="C734" s="26"/>
      <c r="D734" s="24" t="s">
        <v>2229</v>
      </c>
      <c r="E734" s="28">
        <v>7.00000</v>
      </c>
      <c r="F734" s="29">
        <f ca="1">ROUND((G731+G732+G733),3)</f>
        <v>0</v>
      </c>
      <c r="G734" s="27">
        <f ca="1">ROUND(E734*F734,2)</f>
        <v>0</v>
      </c>
    </row>
    <row r="735" spans="1:7" ht="15.48" thickBot="1" customHeight="1">
      <c r="A735" s="30"/>
      <c r="B735" s="30"/>
      <c r="C735" s="30"/>
      <c r="D735" s="31" t="s">
        <v>2230</v>
      </c>
      <c r="E735" s="30"/>
      <c r="F735" s="33">
        <f ca="1">ROUND((G728+G729+G730)*(1+G2/100),2)</f>
        <v>0</v>
      </c>
      <c r="G735" s="30"/>
    </row>
    <row r="736" spans="1:7" ht="30.60" thickBot="1" customHeight="1">
      <c r="A736" s="34" t="s">
        <v>2231</v>
      </c>
      <c r="B736" s="35" t="s">
        <v>2232</v>
      </c>
      <c r="C736" s="35" t="s">
        <v>2233</v>
      </c>
      <c r="D736" s="36" t="s">
        <v>2234</v>
      </c>
      <c r="E736" s="37"/>
      <c r="F736" s="38">
        <f ca="1">F745</f>
        <v>0</v>
      </c>
      <c r="G736" s="37"/>
    </row>
    <row r="737" spans="1:7" ht="58.32" thickBot="1" customHeight="1">
      <c r="A737" s="26"/>
      <c r="B737" s="26"/>
      <c r="C737" s="26"/>
      <c r="D737" s="25" t="s">
        <v>2235</v>
      </c>
      <c r="E737" s="25"/>
      <c r="F737" s="25"/>
      <c r="G737" s="25"/>
    </row>
    <row r="738" spans="1:7" ht="24.36" thickBot="1" customHeight="1">
      <c r="A738" s="24" t="s">
        <v>2236</v>
      </c>
      <c r="B738" s="24" t="s">
        <v>2237</v>
      </c>
      <c r="C738" s="24" t="s">
        <v>2238</v>
      </c>
      <c r="D738" s="25" t="s">
        <v>2239</v>
      </c>
      <c r="E738" s="28">
        <v>2.00000</v>
      </c>
      <c r="F738" s="29">
        <f ca="1">ROUND(27.230,3)</f>
        <v>0</v>
      </c>
      <c r="G738" s="27">
        <f ca="1">ROUND(E738*F738,2)</f>
        <v>0</v>
      </c>
    </row>
    <row r="739" spans="1:7" ht="24.36" thickBot="1" customHeight="1">
      <c r="A739" s="24" t="s">
        <v>2240</v>
      </c>
      <c r="B739" s="24" t="s">
        <v>2241</v>
      </c>
      <c r="C739" s="24" t="s">
        <v>2242</v>
      </c>
      <c r="D739" s="25" t="s">
        <v>2243</v>
      </c>
      <c r="E739" s="28">
        <v>0.02500</v>
      </c>
      <c r="F739" s="29">
        <f ca="1">ROUND(5.800,3)</f>
        <v>0</v>
      </c>
      <c r="G739" s="27">
        <f ca="1">ROUND(E739*F739,2)</f>
        <v>0</v>
      </c>
    </row>
    <row r="740" spans="1:7" ht="21.36" thickBot="1" customHeight="1">
      <c r="A740" s="24" t="s">
        <v>2244</v>
      </c>
      <c r="B740" s="24" t="s">
        <v>2245</v>
      </c>
      <c r="C740" s="24" t="s">
        <v>2246</v>
      </c>
      <c r="D740" s="25" t="s">
        <v>2247</v>
      </c>
      <c r="E740" s="28">
        <v>6.50000</v>
      </c>
      <c r="F740" s="29">
        <f ca="1">F744</f>
        <v>0</v>
      </c>
      <c r="G740" s="27">
        <f ca="1">ROUND(E740*F740,2)</f>
        <v>0</v>
      </c>
    </row>
    <row r="741" spans="1:7" ht="24.36" thickBot="1" customHeight="1">
      <c r="A741" s="24" t="s">
        <v>2248</v>
      </c>
      <c r="B741" s="24" t="s">
        <v>2249</v>
      </c>
      <c r="C741" s="24" t="s">
        <v>2250</v>
      </c>
      <c r="D741" s="25" t="s">
        <v>2251</v>
      </c>
      <c r="E741" s="28">
        <v>1.00000</v>
      </c>
      <c r="F741" s="29">
        <f ca="1">ROUND(21.000,3)</f>
        <v>0</v>
      </c>
      <c r="G741" s="27">
        <f ca="1">ROUND(E741*F741,2)</f>
        <v>0</v>
      </c>
    </row>
    <row r="742" spans="1:7" ht="24.36" thickBot="1" customHeight="1">
      <c r="A742" s="24" t="s">
        <v>2252</v>
      </c>
      <c r="B742" s="24" t="s">
        <v>2253</v>
      </c>
      <c r="C742" s="24" t="s">
        <v>2254</v>
      </c>
      <c r="D742" s="25" t="s">
        <v>2255</v>
      </c>
      <c r="E742" s="28">
        <v>1.00000</v>
      </c>
      <c r="F742" s="29">
        <f ca="1">ROUND(19.000,3)</f>
        <v>0</v>
      </c>
      <c r="G742" s="27">
        <f ca="1">ROUND(E742*F742,2)</f>
        <v>0</v>
      </c>
    </row>
    <row r="743" spans="1:7" ht="24.36" thickBot="1" customHeight="1">
      <c r="A743" s="24" t="s">
        <v>2256</v>
      </c>
      <c r="B743" s="24" t="s">
        <v>2257</v>
      </c>
      <c r="C743" s="24" t="s">
        <v>2258</v>
      </c>
      <c r="D743" s="25" t="s">
        <v>2259</v>
      </c>
      <c r="E743" s="28">
        <v>0.20000</v>
      </c>
      <c r="F743" s="29">
        <f ca="1">ROUND(19.000,3)</f>
        <v>0</v>
      </c>
      <c r="G743" s="27">
        <f ca="1">ROUND(E743*F743,2)</f>
        <v>0</v>
      </c>
    </row>
    <row r="744" spans="1:7" ht="15.12" thickBot="1" customHeight="1">
      <c r="A744" s="26"/>
      <c r="B744" s="26"/>
      <c r="C744" s="26"/>
      <c r="D744" s="24" t="s">
        <v>2260</v>
      </c>
      <c r="E744" s="28">
        <v>6.50000</v>
      </c>
      <c r="F744" s="29">
        <f ca="1">ROUND((G741+G742+G743),3)</f>
        <v>0</v>
      </c>
      <c r="G744" s="27">
        <f ca="1">ROUND(E744*F744,2)</f>
        <v>0</v>
      </c>
    </row>
    <row r="745" spans="1:7" ht="15.48" thickBot="1" customHeight="1">
      <c r="A745" s="30"/>
      <c r="B745" s="30"/>
      <c r="C745" s="30"/>
      <c r="D745" s="31" t="s">
        <v>2261</v>
      </c>
      <c r="E745" s="30"/>
      <c r="F745" s="33">
        <f ca="1">ROUND((G738+G739+G740)*(1+G2/100),2)</f>
        <v>0</v>
      </c>
      <c r="G745" s="30"/>
    </row>
    <row r="746" spans="1:7" ht="15.48" thickBot="1" customHeight="1">
      <c r="A746" s="34" t="s">
        <v>2262</v>
      </c>
      <c r="B746" s="35" t="s">
        <v>2263</v>
      </c>
      <c r="C746" s="35" t="s">
        <v>2264</v>
      </c>
      <c r="D746" s="36" t="s">
        <v>2265</v>
      </c>
      <c r="E746" s="37"/>
      <c r="F746" s="38">
        <f ca="1">F756</f>
        <v>0</v>
      </c>
      <c r="G746" s="37"/>
    </row>
    <row r="747" spans="1:7" ht="39.84" thickBot="1" customHeight="1">
      <c r="A747" s="26"/>
      <c r="B747" s="26"/>
      <c r="C747" s="26"/>
      <c r="D747" s="25" t="s">
        <v>2266</v>
      </c>
      <c r="E747" s="25"/>
      <c r="F747" s="25"/>
      <c r="G747" s="25"/>
    </row>
    <row r="748" spans="1:7" ht="39.84" thickBot="1" customHeight="1">
      <c r="A748" s="24" t="s">
        <v>2267</v>
      </c>
      <c r="B748" s="24" t="s">
        <v>2268</v>
      </c>
      <c r="C748" s="24" t="s">
        <v>2269</v>
      </c>
      <c r="D748" s="25" t="s">
        <v>2270</v>
      </c>
      <c r="E748" s="28">
        <v>0.10000</v>
      </c>
      <c r="F748" s="29">
        <f ca="1">ROUND(26.720,3)</f>
        <v>0</v>
      </c>
      <c r="G748" s="27">
        <f ca="1">ROUND(E748*F748,2)</f>
        <v>0</v>
      </c>
    </row>
    <row r="749" spans="1:7" ht="30.60" thickBot="1" customHeight="1">
      <c r="A749" s="24" t="s">
        <v>2271</v>
      </c>
      <c r="B749" s="24" t="s">
        <v>2272</v>
      </c>
      <c r="C749" s="24" t="s">
        <v>2273</v>
      </c>
      <c r="D749" s="25" t="s">
        <v>2274</v>
      </c>
      <c r="E749" s="28">
        <v>1.00000</v>
      </c>
      <c r="F749" s="29">
        <f ca="1">ROUND(92.030,3)</f>
        <v>0</v>
      </c>
      <c r="G749" s="27">
        <f ca="1">ROUND(E749*F749,2)</f>
        <v>0</v>
      </c>
    </row>
    <row r="750" spans="1:7" ht="21.36" thickBot="1" customHeight="1">
      <c r="A750" s="24" t="s">
        <v>2275</v>
      </c>
      <c r="B750" s="24" t="s">
        <v>2276</v>
      </c>
      <c r="C750" s="24" t="s">
        <v>2277</v>
      </c>
      <c r="D750" s="25" t="s">
        <v>2278</v>
      </c>
      <c r="E750" s="28">
        <v>0.01600</v>
      </c>
      <c r="F750" s="29">
        <f ca="1">ROUND(4.800,3)</f>
        <v>0</v>
      </c>
      <c r="G750" s="27">
        <f ca="1">ROUND(E750*F750,2)</f>
        <v>0</v>
      </c>
    </row>
    <row r="751" spans="1:7" ht="21.36" thickBot="1" customHeight="1">
      <c r="A751" s="24" t="s">
        <v>2279</v>
      </c>
      <c r="B751" s="24" t="s">
        <v>2280</v>
      </c>
      <c r="C751" s="24" t="s">
        <v>2281</v>
      </c>
      <c r="D751" s="25" t="s">
        <v>2282</v>
      </c>
      <c r="E751" s="28">
        <v>1.00000</v>
      </c>
      <c r="F751" s="29">
        <f ca="1">F755</f>
        <v>0</v>
      </c>
      <c r="G751" s="27">
        <f ca="1">ROUND(E751*F751,2)</f>
        <v>0</v>
      </c>
    </row>
    <row r="752" spans="1:7" ht="24.36" thickBot="1" customHeight="1">
      <c r="A752" s="24" t="s">
        <v>2283</v>
      </c>
      <c r="B752" s="24" t="s">
        <v>2284</v>
      </c>
      <c r="C752" s="24" t="s">
        <v>2285</v>
      </c>
      <c r="D752" s="25" t="s">
        <v>2286</v>
      </c>
      <c r="E752" s="28">
        <v>1.00000</v>
      </c>
      <c r="F752" s="29">
        <f ca="1">ROUND(21.000,3)</f>
        <v>0</v>
      </c>
      <c r="G752" s="27">
        <f ca="1">ROUND(E752*F752,2)</f>
        <v>0</v>
      </c>
    </row>
    <row r="753" spans="1:7" ht="24.36" thickBot="1" customHeight="1">
      <c r="A753" s="24" t="s">
        <v>2287</v>
      </c>
      <c r="B753" s="24" t="s">
        <v>2288</v>
      </c>
      <c r="C753" s="24" t="s">
        <v>2289</v>
      </c>
      <c r="D753" s="25" t="s">
        <v>2290</v>
      </c>
      <c r="E753" s="28">
        <v>1.00000</v>
      </c>
      <c r="F753" s="29">
        <f ca="1">ROUND(19.000,3)</f>
        <v>0</v>
      </c>
      <c r="G753" s="27">
        <f ca="1">ROUND(E753*F753,2)</f>
        <v>0</v>
      </c>
    </row>
    <row r="754" spans="1:7" ht="24.36" thickBot="1" customHeight="1">
      <c r="A754" s="24" t="s">
        <v>2291</v>
      </c>
      <c r="B754" s="24" t="s">
        <v>2292</v>
      </c>
      <c r="C754" s="24" t="s">
        <v>2293</v>
      </c>
      <c r="D754" s="25" t="s">
        <v>2294</v>
      </c>
      <c r="E754" s="28">
        <v>0.20000</v>
      </c>
      <c r="F754" s="29">
        <f ca="1">ROUND(19.000,3)</f>
        <v>0</v>
      </c>
      <c r="G754" s="27">
        <f ca="1">ROUND(E754*F754,2)</f>
        <v>0</v>
      </c>
    </row>
    <row r="755" spans="1:7" ht="15.12" thickBot="1" customHeight="1">
      <c r="A755" s="26"/>
      <c r="B755" s="26"/>
      <c r="C755" s="26"/>
      <c r="D755" s="24" t="s">
        <v>2295</v>
      </c>
      <c r="E755" s="28">
        <v>1.00000</v>
      </c>
      <c r="F755" s="29">
        <f ca="1">ROUND((G752+G753+G754),3)</f>
        <v>0</v>
      </c>
      <c r="G755" s="27">
        <f ca="1">ROUND(E755*F755,2)</f>
        <v>0</v>
      </c>
    </row>
    <row r="756" spans="1:7" ht="15.48" thickBot="1" customHeight="1">
      <c r="A756" s="30"/>
      <c r="B756" s="30"/>
      <c r="C756" s="30"/>
      <c r="D756" s="31" t="s">
        <v>2296</v>
      </c>
      <c r="E756" s="30"/>
      <c r="F756" s="33">
        <f ca="1">ROUND((G748+G749+G750+G751)*(1+G2/100),2)</f>
        <v>0</v>
      </c>
      <c r="G756" s="30"/>
    </row>
    <row r="757" spans="1:7" ht="30.60" thickBot="1" customHeight="1">
      <c r="A757" s="34" t="s">
        <v>2297</v>
      </c>
      <c r="B757" s="35" t="s">
        <v>2298</v>
      </c>
      <c r="C757" s="35" t="s">
        <v>2299</v>
      </c>
      <c r="D757" s="36" t="s">
        <v>2300</v>
      </c>
      <c r="E757" s="37"/>
      <c r="F757" s="38">
        <f ca="1">F764</f>
        <v>0</v>
      </c>
      <c r="G757" s="37"/>
    </row>
    <row r="758" spans="1:7" ht="49.08" thickBot="1" customHeight="1">
      <c r="A758" s="26"/>
      <c r="B758" s="26"/>
      <c r="C758" s="26"/>
      <c r="D758" s="25" t="s">
        <v>2301</v>
      </c>
      <c r="E758" s="25"/>
      <c r="F758" s="25"/>
      <c r="G758" s="25"/>
    </row>
    <row r="759" spans="1:7" ht="21.36" thickBot="1" customHeight="1">
      <c r="A759" s="24" t="s">
        <v>2302</v>
      </c>
      <c r="B759" s="24" t="s">
        <v>2303</v>
      </c>
      <c r="C759" s="24" t="s">
        <v>2304</v>
      </c>
      <c r="D759" s="25" t="s">
        <v>2305</v>
      </c>
      <c r="E759" s="28">
        <v>5.00000</v>
      </c>
      <c r="F759" s="29">
        <f ca="1">F763</f>
        <v>0</v>
      </c>
      <c r="G759" s="27">
        <f ca="1">ROUND(E759*F759,2)</f>
        <v>0</v>
      </c>
    </row>
    <row r="760" spans="1:7" ht="24.36" thickBot="1" customHeight="1">
      <c r="A760" s="24" t="s">
        <v>2306</v>
      </c>
      <c r="B760" s="24" t="s">
        <v>2307</v>
      </c>
      <c r="C760" s="24" t="s">
        <v>2308</v>
      </c>
      <c r="D760" s="25" t="s">
        <v>2309</v>
      </c>
      <c r="E760" s="28">
        <v>1.00000</v>
      </c>
      <c r="F760" s="29">
        <f ca="1">ROUND(21.000,3)</f>
        <v>0</v>
      </c>
      <c r="G760" s="27">
        <f ca="1">ROUND(E760*F760,2)</f>
        <v>0</v>
      </c>
    </row>
    <row r="761" spans="1:7" ht="24.36" thickBot="1" customHeight="1">
      <c r="A761" s="24" t="s">
        <v>2310</v>
      </c>
      <c r="B761" s="24" t="s">
        <v>2311</v>
      </c>
      <c r="C761" s="24" t="s">
        <v>2312</v>
      </c>
      <c r="D761" s="25" t="s">
        <v>2313</v>
      </c>
      <c r="E761" s="28">
        <v>1.00000</v>
      </c>
      <c r="F761" s="29">
        <f ca="1">ROUND(19.000,3)</f>
        <v>0</v>
      </c>
      <c r="G761" s="27">
        <f ca="1">ROUND(E761*F761,2)</f>
        <v>0</v>
      </c>
    </row>
    <row r="762" spans="1:7" ht="24.36" thickBot="1" customHeight="1">
      <c r="A762" s="24" t="s">
        <v>2314</v>
      </c>
      <c r="B762" s="24" t="s">
        <v>2315</v>
      </c>
      <c r="C762" s="24" t="s">
        <v>2316</v>
      </c>
      <c r="D762" s="25" t="s">
        <v>2317</v>
      </c>
      <c r="E762" s="28">
        <v>0.20000</v>
      </c>
      <c r="F762" s="29">
        <f ca="1">ROUND(19.000,3)</f>
        <v>0</v>
      </c>
      <c r="G762" s="27">
        <f ca="1">ROUND(E762*F762,2)</f>
        <v>0</v>
      </c>
    </row>
    <row r="763" spans="1:7" ht="15.12" thickBot="1" customHeight="1">
      <c r="A763" s="26"/>
      <c r="B763" s="26"/>
      <c r="C763" s="26"/>
      <c r="D763" s="24" t="s">
        <v>2318</v>
      </c>
      <c r="E763" s="28">
        <v>5.00000</v>
      </c>
      <c r="F763" s="29">
        <f ca="1">ROUND((G760+G761+G762),3)</f>
        <v>0</v>
      </c>
      <c r="G763" s="27">
        <f ca="1">ROUND(E763*F763,2)</f>
        <v>0</v>
      </c>
    </row>
    <row r="764" spans="1:7" ht="15.48" thickBot="1" customHeight="1">
      <c r="A764" s="30"/>
      <c r="B764" s="30"/>
      <c r="C764" s="30"/>
      <c r="D764" s="31" t="s">
        <v>2319</v>
      </c>
      <c r="E764" s="30"/>
      <c r="F764" s="33">
        <f ca="1">ROUND((G759)*(1+G2/100),2)</f>
        <v>0</v>
      </c>
      <c r="G764" s="30"/>
    </row>
    <row r="765" spans="1:7" ht="30.60" thickBot="1" customHeight="1">
      <c r="A765" s="34" t="s">
        <v>2320</v>
      </c>
      <c r="B765" s="35" t="s">
        <v>2321</v>
      </c>
      <c r="C765" s="35" t="s">
        <v>2322</v>
      </c>
      <c r="D765" s="36" t="s">
        <v>2323</v>
      </c>
      <c r="E765" s="37"/>
      <c r="F765" s="38">
        <f ca="1">F781</f>
        <v>0</v>
      </c>
      <c r="G765" s="37"/>
    </row>
    <row r="766" spans="1:7" ht="12.12" thickBot="1" customHeight="1">
      <c r="A766" s="26"/>
      <c r="B766" s="26"/>
      <c r="C766" s="26"/>
      <c r="D766" s="25" t="s">
        <v>2324</v>
      </c>
      <c r="E766" s="25"/>
      <c r="F766" s="25"/>
      <c r="G766" s="25"/>
    </row>
    <row r="767" spans="1:7" ht="21.36" thickBot="1" customHeight="1">
      <c r="A767" s="24" t="s">
        <v>2325</v>
      </c>
      <c r="B767" s="24" t="s">
        <v>2326</v>
      </c>
      <c r="C767" s="24" t="s">
        <v>2327</v>
      </c>
      <c r="D767" s="25" t="s">
        <v>2328</v>
      </c>
      <c r="E767" s="28">
        <v>0.80000</v>
      </c>
      <c r="F767" s="29">
        <f ca="1">ROUND(49.950,3)</f>
        <v>0</v>
      </c>
      <c r="G767" s="27">
        <f ca="1">ROUND(E767*F767,2)</f>
        <v>0</v>
      </c>
    </row>
    <row r="768" spans="1:7" ht="30.60" thickBot="1" customHeight="1">
      <c r="A768" s="24" t="s">
        <v>2329</v>
      </c>
      <c r="B768" s="24" t="s">
        <v>2330</v>
      </c>
      <c r="C768" s="24" t="s">
        <v>2331</v>
      </c>
      <c r="D768" s="25" t="s">
        <v>2332</v>
      </c>
      <c r="E768" s="28">
        <v>1.00000</v>
      </c>
      <c r="F768" s="29">
        <f ca="1">ROUND(15.870,3)</f>
        <v>0</v>
      </c>
      <c r="G768" s="27">
        <f ca="1">ROUND(E768*F768,2)</f>
        <v>0</v>
      </c>
    </row>
    <row r="769" spans="1:7" ht="30.60" thickBot="1" customHeight="1">
      <c r="A769" s="24" t="s">
        <v>2333</v>
      </c>
      <c r="B769" s="24" t="s">
        <v>2334</v>
      </c>
      <c r="C769" s="24" t="s">
        <v>2335</v>
      </c>
      <c r="D769" s="25" t="s">
        <v>2336</v>
      </c>
      <c r="E769" s="28">
        <v>2.00000</v>
      </c>
      <c r="F769" s="29">
        <f ca="1">ROUND(1.590,3)</f>
        <v>0</v>
      </c>
      <c r="G769" s="27">
        <f ca="1">ROUND(E769*F769,2)</f>
        <v>0</v>
      </c>
    </row>
    <row r="770" spans="1:7" ht="30.60" thickBot="1" customHeight="1">
      <c r="A770" s="24" t="s">
        <v>2337</v>
      </c>
      <c r="B770" s="24" t="s">
        <v>2338</v>
      </c>
      <c r="C770" s="24" t="s">
        <v>2339</v>
      </c>
      <c r="D770" s="25" t="s">
        <v>2340</v>
      </c>
      <c r="E770" s="28">
        <v>1.00000</v>
      </c>
      <c r="F770" s="29">
        <f ca="1">ROUND(4.470,3)</f>
        <v>0</v>
      </c>
      <c r="G770" s="27">
        <f ca="1">ROUND(E770*F770,2)</f>
        <v>0</v>
      </c>
    </row>
    <row r="771" spans="1:7" ht="21.36" thickBot="1" customHeight="1">
      <c r="A771" s="24" t="s">
        <v>2341</v>
      </c>
      <c r="B771" s="24" t="s">
        <v>2342</v>
      </c>
      <c r="C771" s="24" t="s">
        <v>2343</v>
      </c>
      <c r="D771" s="25" t="s">
        <v>2344</v>
      </c>
      <c r="E771" s="28">
        <v>1.00000</v>
      </c>
      <c r="F771" s="29">
        <f ca="1">ROUND(4.950,3)</f>
        <v>0</v>
      </c>
      <c r="G771" s="27">
        <f ca="1">ROUND(E771*F771,2)</f>
        <v>0</v>
      </c>
    </row>
    <row r="772" spans="1:7" ht="30.60" thickBot="1" customHeight="1">
      <c r="A772" s="24" t="s">
        <v>2345</v>
      </c>
      <c r="B772" s="24" t="s">
        <v>2346</v>
      </c>
      <c r="C772" s="24" t="s">
        <v>2347</v>
      </c>
      <c r="D772" s="25" t="s">
        <v>2348</v>
      </c>
      <c r="E772" s="28">
        <v>15.00000</v>
      </c>
      <c r="F772" s="29">
        <f ca="1">ROUND(1.330,3)</f>
        <v>0</v>
      </c>
      <c r="G772" s="27">
        <f ca="1">ROUND(E772*F772,2)</f>
        <v>0</v>
      </c>
    </row>
    <row r="773" spans="1:7" ht="21.36" thickBot="1" customHeight="1">
      <c r="A773" s="24" t="s">
        <v>2349</v>
      </c>
      <c r="B773" s="24" t="s">
        <v>2350</v>
      </c>
      <c r="C773" s="24" t="s">
        <v>2351</v>
      </c>
      <c r="D773" s="25" t="s">
        <v>2352</v>
      </c>
      <c r="E773" s="28">
        <v>2.00000</v>
      </c>
      <c r="F773" s="29">
        <f ca="1">ROUND(4.060,3)</f>
        <v>0</v>
      </c>
      <c r="G773" s="27">
        <f ca="1">ROUND(E773*F773,2)</f>
        <v>0</v>
      </c>
    </row>
    <row r="774" spans="1:7" ht="30.60" thickBot="1" customHeight="1">
      <c r="A774" s="24" t="s">
        <v>2353</v>
      </c>
      <c r="B774" s="24" t="s">
        <v>2354</v>
      </c>
      <c r="C774" s="24" t="s">
        <v>2355</v>
      </c>
      <c r="D774" s="25" t="s">
        <v>2356</v>
      </c>
      <c r="E774" s="28">
        <v>1.00000</v>
      </c>
      <c r="F774" s="29">
        <f ca="1">ROUND(4.100,3)</f>
        <v>0</v>
      </c>
      <c r="G774" s="27">
        <f ca="1">ROUND(E774*F774,2)</f>
        <v>0</v>
      </c>
    </row>
    <row r="775" spans="1:7" ht="21.36" thickBot="1" customHeight="1">
      <c r="A775" s="24" t="s">
        <v>2357</v>
      </c>
      <c r="B775" s="24" t="s">
        <v>2358</v>
      </c>
      <c r="C775" s="24" t="s">
        <v>2359</v>
      </c>
      <c r="D775" s="25" t="s">
        <v>2360</v>
      </c>
      <c r="E775" s="28">
        <v>4.00000</v>
      </c>
      <c r="F775" s="29">
        <f ca="1">F779</f>
        <v>0</v>
      </c>
      <c r="G775" s="27">
        <f ca="1">ROUND(E775*F775,2)</f>
        <v>0</v>
      </c>
    </row>
    <row r="776" spans="1:7" ht="24.36" thickBot="1" customHeight="1">
      <c r="A776" s="24" t="s">
        <v>2361</v>
      </c>
      <c r="B776" s="24" t="s">
        <v>2362</v>
      </c>
      <c r="C776" s="24" t="s">
        <v>2363</v>
      </c>
      <c r="D776" s="25" t="s">
        <v>2364</v>
      </c>
      <c r="E776" s="28">
        <v>1.00000</v>
      </c>
      <c r="F776" s="29">
        <f ca="1">ROUND(21.000,3)</f>
        <v>0</v>
      </c>
      <c r="G776" s="27">
        <f ca="1">ROUND(E776*F776,2)</f>
        <v>0</v>
      </c>
    </row>
    <row r="777" spans="1:7" ht="24.36" thickBot="1" customHeight="1">
      <c r="A777" s="24" t="s">
        <v>2365</v>
      </c>
      <c r="B777" s="24" t="s">
        <v>2366</v>
      </c>
      <c r="C777" s="24" t="s">
        <v>2367</v>
      </c>
      <c r="D777" s="25" t="s">
        <v>2368</v>
      </c>
      <c r="E777" s="28">
        <v>1.00000</v>
      </c>
      <c r="F777" s="29">
        <f ca="1">ROUND(19.000,3)</f>
        <v>0</v>
      </c>
      <c r="G777" s="27">
        <f ca="1">ROUND(E777*F777,2)</f>
        <v>0</v>
      </c>
    </row>
    <row r="778" spans="1:7" ht="24.36" thickBot="1" customHeight="1">
      <c r="A778" s="24" t="s">
        <v>2369</v>
      </c>
      <c r="B778" s="24" t="s">
        <v>2370</v>
      </c>
      <c r="C778" s="24" t="s">
        <v>2371</v>
      </c>
      <c r="D778" s="25" t="s">
        <v>2372</v>
      </c>
      <c r="E778" s="28">
        <v>0.20000</v>
      </c>
      <c r="F778" s="29">
        <f ca="1">ROUND(19.000,3)</f>
        <v>0</v>
      </c>
      <c r="G778" s="27">
        <f ca="1">ROUND(E778*F778,2)</f>
        <v>0</v>
      </c>
    </row>
    <row r="779" spans="1:7" ht="15.12" thickBot="1" customHeight="1">
      <c r="A779" s="26"/>
      <c r="B779" s="26"/>
      <c r="C779" s="26"/>
      <c r="D779" s="24" t="s">
        <v>2373</v>
      </c>
      <c r="E779" s="28">
        <v>4.00000</v>
      </c>
      <c r="F779" s="29">
        <f ca="1">ROUND((G776+G777+G778),3)</f>
        <v>0</v>
      </c>
      <c r="G779" s="27">
        <f ca="1">ROUND(E779*F779,2)</f>
        <v>0</v>
      </c>
    </row>
    <row r="780" spans="1:7" ht="15.12" thickBot="1" customHeight="1">
      <c r="A780" s="24" t="s">
        <v>2374</v>
      </c>
      <c r="B780" s="24"/>
      <c r="C780" s="24" t="s">
        <v>2375</v>
      </c>
      <c r="D780" s="25" t="s">
        <v>2376</v>
      </c>
      <c r="E780" s="28">
        <v>3.00000</v>
      </c>
      <c r="F780" s="29">
        <f ca="1">ROUND(175.200,3)</f>
        <v>0</v>
      </c>
      <c r="G780" s="27">
        <f ca="1">ROUND((E780*F780)/100,2)</f>
        <v>0</v>
      </c>
    </row>
    <row r="781" spans="1:7" ht="15.48" thickBot="1" customHeight="1">
      <c r="A781" s="30"/>
      <c r="B781" s="30"/>
      <c r="C781" s="30"/>
      <c r="D781" s="31" t="s">
        <v>2377</v>
      </c>
      <c r="E781" s="30"/>
      <c r="F781" s="33">
        <f ca="1">ROUND((G767+G768+G769+G770+G771+G772+G773+G774+G775+G780)*(1+G2/100),2)</f>
        <v>0</v>
      </c>
      <c r="G781" s="30"/>
    </row>
    <row r="782" spans="1:7" ht="49.08" thickBot="1" customHeight="1">
      <c r="A782" s="34" t="s">
        <v>2378</v>
      </c>
      <c r="B782" s="35" t="s">
        <v>2379</v>
      </c>
      <c r="C782" s="35" t="s">
        <v>2380</v>
      </c>
      <c r="D782" s="36" t="s">
        <v>2381</v>
      </c>
      <c r="E782" s="37"/>
      <c r="F782" s="38">
        <f ca="1">F793</f>
        <v>0</v>
      </c>
      <c r="G782" s="37"/>
    </row>
    <row r="783" spans="1:7" ht="21.36" thickBot="1" customHeight="1">
      <c r="A783" s="26"/>
      <c r="B783" s="26"/>
      <c r="C783" s="26"/>
      <c r="D783" s="25" t="s">
        <v>2382</v>
      </c>
      <c r="E783" s="25"/>
      <c r="F783" s="25"/>
      <c r="G783" s="25"/>
    </row>
    <row r="784" spans="1:7" ht="39.84" thickBot="1" customHeight="1">
      <c r="A784" s="24" t="s">
        <v>2383</v>
      </c>
      <c r="B784" s="24" t="s">
        <v>2384</v>
      </c>
      <c r="C784" s="24" t="s">
        <v>2385</v>
      </c>
      <c r="D784" s="25" t="s">
        <v>2386</v>
      </c>
      <c r="E784" s="28">
        <v>0.01667</v>
      </c>
      <c r="F784" s="29">
        <f ca="1">ROUND(40.990,3)</f>
        <v>0</v>
      </c>
      <c r="G784" s="27">
        <f ca="1">ROUND(E784*F784,2)</f>
        <v>0</v>
      </c>
    </row>
    <row r="785" spans="1:7" ht="30.60" thickBot="1" customHeight="1">
      <c r="A785" s="24" t="s">
        <v>2387</v>
      </c>
      <c r="B785" s="24" t="s">
        <v>2388</v>
      </c>
      <c r="C785" s="24" t="s">
        <v>2389</v>
      </c>
      <c r="D785" s="25" t="s">
        <v>2390</v>
      </c>
      <c r="E785" s="28">
        <v>0.01000</v>
      </c>
      <c r="F785" s="29">
        <f ca="1">ROUND(48.900,3)</f>
        <v>0</v>
      </c>
      <c r="G785" s="27">
        <f ca="1">ROUND(E785*F785,2)</f>
        <v>0</v>
      </c>
    </row>
    <row r="786" spans="1:7" ht="24.36" thickBot="1" customHeight="1">
      <c r="A786" s="24" t="s">
        <v>2391</v>
      </c>
      <c r="B786" s="24" t="s">
        <v>2392</v>
      </c>
      <c r="C786" s="24" t="s">
        <v>2393</v>
      </c>
      <c r="D786" s="25" t="s">
        <v>2394</v>
      </c>
      <c r="E786" s="28">
        <v>0.16000</v>
      </c>
      <c r="F786" s="29">
        <f ca="1">ROUND(7.526,3)</f>
        <v>0</v>
      </c>
      <c r="G786" s="27">
        <f ca="1">ROUND(E786*F786,2)</f>
        <v>0</v>
      </c>
    </row>
    <row r="787" spans="1:7" ht="21.36" thickBot="1" customHeight="1">
      <c r="A787" s="24" t="s">
        <v>2395</v>
      </c>
      <c r="B787" s="24" t="s">
        <v>2396</v>
      </c>
      <c r="C787" s="24" t="s">
        <v>2397</v>
      </c>
      <c r="D787" s="25" t="s">
        <v>2398</v>
      </c>
      <c r="E787" s="28">
        <v>0.20000</v>
      </c>
      <c r="F787" s="29">
        <f ca="1">F791</f>
        <v>0</v>
      </c>
      <c r="G787" s="27">
        <f ca="1">ROUND(E787*F787,2)</f>
        <v>0</v>
      </c>
    </row>
    <row r="788" spans="1:7" ht="24.36" thickBot="1" customHeight="1">
      <c r="A788" s="24" t="s">
        <v>2399</v>
      </c>
      <c r="B788" s="24" t="s">
        <v>2400</v>
      </c>
      <c r="C788" s="24" t="s">
        <v>2401</v>
      </c>
      <c r="D788" s="25" t="s">
        <v>2402</v>
      </c>
      <c r="E788" s="28">
        <v>1.00000</v>
      </c>
      <c r="F788" s="29">
        <f ca="1">ROUND(21.000,3)</f>
        <v>0</v>
      </c>
      <c r="G788" s="27">
        <f ca="1">ROUND(E788*F788,2)</f>
        <v>0</v>
      </c>
    </row>
    <row r="789" spans="1:7" ht="24.36" thickBot="1" customHeight="1">
      <c r="A789" s="24" t="s">
        <v>2403</v>
      </c>
      <c r="B789" s="24" t="s">
        <v>2404</v>
      </c>
      <c r="C789" s="24" t="s">
        <v>2405</v>
      </c>
      <c r="D789" s="25" t="s">
        <v>2406</v>
      </c>
      <c r="E789" s="28">
        <v>1.00000</v>
      </c>
      <c r="F789" s="29">
        <f ca="1">ROUND(19.000,3)</f>
        <v>0</v>
      </c>
      <c r="G789" s="27">
        <f ca="1">ROUND(E789*F789,2)</f>
        <v>0</v>
      </c>
    </row>
    <row r="790" spans="1:7" ht="24.36" thickBot="1" customHeight="1">
      <c r="A790" s="24" t="s">
        <v>2407</v>
      </c>
      <c r="B790" s="24" t="s">
        <v>2408</v>
      </c>
      <c r="C790" s="24" t="s">
        <v>2409</v>
      </c>
      <c r="D790" s="25" t="s">
        <v>2410</v>
      </c>
      <c r="E790" s="28">
        <v>0.20000</v>
      </c>
      <c r="F790" s="29">
        <f ca="1">ROUND(19.000,3)</f>
        <v>0</v>
      </c>
      <c r="G790" s="27">
        <f ca="1">ROUND(E790*F790,2)</f>
        <v>0</v>
      </c>
    </row>
    <row r="791" spans="1:7" ht="15.12" thickBot="1" customHeight="1">
      <c r="A791" s="26"/>
      <c r="B791" s="26"/>
      <c r="C791" s="26"/>
      <c r="D791" s="24" t="s">
        <v>2411</v>
      </c>
      <c r="E791" s="28">
        <v>0.20000</v>
      </c>
      <c r="F791" s="29">
        <f ca="1">ROUND((G788+G789+G790),3)</f>
        <v>0</v>
      </c>
      <c r="G791" s="27">
        <f ca="1">ROUND(E791*F791,2)</f>
        <v>0</v>
      </c>
    </row>
    <row r="792" spans="1:7" ht="15.12" thickBot="1" customHeight="1">
      <c r="A792" s="24" t="s">
        <v>2412</v>
      </c>
      <c r="B792" s="24"/>
      <c r="C792" s="24" t="s">
        <v>2413</v>
      </c>
      <c r="D792" s="25" t="s">
        <v>2414</v>
      </c>
      <c r="E792" s="28">
        <v>5.00000</v>
      </c>
      <c r="F792" s="29">
        <f ca="1">ROUND(8.760,3)</f>
        <v>0</v>
      </c>
      <c r="G792" s="27">
        <f ca="1">ROUND((E792*F792)/100,2)</f>
        <v>0</v>
      </c>
    </row>
    <row r="793" spans="1:7" ht="15.48" thickBot="1" customHeight="1">
      <c r="A793" s="30"/>
      <c r="B793" s="30"/>
      <c r="C793" s="30"/>
      <c r="D793" s="31" t="s">
        <v>2415</v>
      </c>
      <c r="E793" s="30"/>
      <c r="F793" s="33">
        <f ca="1">ROUND((G784+G785+G786+G787+G792)*(1+G2/100),2)</f>
        <v>0</v>
      </c>
      <c r="G793" s="30"/>
    </row>
    <row r="794" spans="1:7" ht="21.36" thickBot="1" customHeight="1">
      <c r="A794" s="34" t="s">
        <v>2416</v>
      </c>
      <c r="B794" s="35" t="s">
        <v>2417</v>
      </c>
      <c r="C794" s="35" t="s">
        <v>2418</v>
      </c>
      <c r="D794" s="36" t="s">
        <v>2419</v>
      </c>
      <c r="E794" s="37"/>
      <c r="F794" s="38">
        <f ca="1">F799</f>
        <v>0</v>
      </c>
      <c r="G794" s="37"/>
    </row>
    <row r="795" spans="1:7" ht="58.32" thickBot="1" customHeight="1">
      <c r="A795" s="26"/>
      <c r="B795" s="26"/>
      <c r="C795" s="26"/>
      <c r="D795" s="25" t="s">
        <v>2420</v>
      </c>
      <c r="E795" s="25"/>
      <c r="F795" s="25"/>
      <c r="G795" s="25"/>
    </row>
    <row r="796" spans="1:7" ht="30.60" thickBot="1" customHeight="1">
      <c r="A796" s="24" t="s">
        <v>2421</v>
      </c>
      <c r="B796" s="24" t="s">
        <v>2422</v>
      </c>
      <c r="C796" s="24" t="s">
        <v>2423</v>
      </c>
      <c r="D796" s="25" t="s">
        <v>2424</v>
      </c>
      <c r="E796" s="28">
        <v>10.00000</v>
      </c>
      <c r="F796" s="29">
        <f ca="1">ROUND(0.170,3)</f>
        <v>0</v>
      </c>
      <c r="G796" s="27">
        <f ca="1">ROUND(E796*F796,2)</f>
        <v>0</v>
      </c>
    </row>
    <row r="797" spans="1:7" ht="15.12" thickBot="1" customHeight="1">
      <c r="A797" s="24" t="s">
        <v>2425</v>
      </c>
      <c r="B797" s="24" t="s">
        <v>2426</v>
      </c>
      <c r="C797" s="24" t="s">
        <v>2427</v>
      </c>
      <c r="D797" s="25" t="s">
        <v>2428</v>
      </c>
      <c r="E797" s="28">
        <v>1.00000</v>
      </c>
      <c r="F797" s="29">
        <f ca="1">ROUND(32.000,3)</f>
        <v>0</v>
      </c>
      <c r="G797" s="27">
        <f ca="1">ROUND(E797*F797,2)</f>
        <v>0</v>
      </c>
    </row>
    <row r="798" spans="1:7" ht="24.36" thickBot="1" customHeight="1">
      <c r="A798" s="24" t="s">
        <v>2429</v>
      </c>
      <c r="B798" s="24" t="s">
        <v>2430</v>
      </c>
      <c r="C798" s="24" t="s">
        <v>2431</v>
      </c>
      <c r="D798" s="25" t="s">
        <v>2432</v>
      </c>
      <c r="E798" s="28">
        <v>8.00000</v>
      </c>
      <c r="F798" s="29">
        <f ca="1">ROUND(19.000,3)</f>
        <v>0</v>
      </c>
      <c r="G798" s="27">
        <f ca="1">ROUND(E798*F798,2)</f>
        <v>0</v>
      </c>
    </row>
    <row r="799" spans="1:7" ht="15.48" thickBot="1" customHeight="1">
      <c r="A799" s="30"/>
      <c r="B799" s="30"/>
      <c r="C799" s="30"/>
      <c r="D799" s="31" t="s">
        <v>2433</v>
      </c>
      <c r="E799" s="30"/>
      <c r="F799" s="33">
        <f ca="1">ROUND((G796+G797+G798)*(1+G2/100),2)</f>
        <v>0</v>
      </c>
      <c r="G799" s="30"/>
    </row>
    <row r="800" spans="1:7" ht="15.48" thickBot="1" customHeight="1">
      <c r="A800" s="34" t="s">
        <v>2434</v>
      </c>
      <c r="B800" s="35" t="s">
        <v>2435</v>
      </c>
      <c r="C800" s="35" t="s">
        <v>2436</v>
      </c>
      <c r="D800" s="36" t="s">
        <v>2437</v>
      </c>
      <c r="E800" s="37"/>
      <c r="F800" s="38">
        <f ca="1">F816</f>
        <v>0</v>
      </c>
      <c r="G800" s="37"/>
    </row>
    <row r="801" spans="1:7" ht="39.84" thickBot="1" customHeight="1">
      <c r="A801" s="26"/>
      <c r="B801" s="26"/>
      <c r="C801" s="26"/>
      <c r="D801" s="25" t="s">
        <v>2438</v>
      </c>
      <c r="E801" s="25"/>
      <c r="F801" s="25"/>
      <c r="G801" s="25"/>
    </row>
    <row r="802" spans="1:7" ht="21.36" thickBot="1" customHeight="1">
      <c r="A802" s="24" t="s">
        <v>2439</v>
      </c>
      <c r="B802" s="24" t="s">
        <v>2440</v>
      </c>
      <c r="C802" s="24" t="s">
        <v>2441</v>
      </c>
      <c r="D802" s="25" t="s">
        <v>2442</v>
      </c>
      <c r="E802" s="28">
        <v>0.80000</v>
      </c>
      <c r="F802" s="29">
        <f ca="1">ROUND(49.950,3)</f>
        <v>0</v>
      </c>
      <c r="G802" s="27">
        <f ca="1">ROUND(E802*F802,2)</f>
        <v>0</v>
      </c>
    </row>
    <row r="803" spans="1:7" ht="30.60" thickBot="1" customHeight="1">
      <c r="A803" s="24" t="s">
        <v>2443</v>
      </c>
      <c r="B803" s="24" t="s">
        <v>2444</v>
      </c>
      <c r="C803" s="24" t="s">
        <v>2445</v>
      </c>
      <c r="D803" s="25" t="s">
        <v>2446</v>
      </c>
      <c r="E803" s="28">
        <v>1.00000</v>
      </c>
      <c r="F803" s="29">
        <f ca="1">ROUND(15.870,3)</f>
        <v>0</v>
      </c>
      <c r="G803" s="27">
        <f ca="1">ROUND(E803*F803,2)</f>
        <v>0</v>
      </c>
    </row>
    <row r="804" spans="1:7" ht="30.60" thickBot="1" customHeight="1">
      <c r="A804" s="24" t="s">
        <v>2447</v>
      </c>
      <c r="B804" s="24" t="s">
        <v>2448</v>
      </c>
      <c r="C804" s="24" t="s">
        <v>2449</v>
      </c>
      <c r="D804" s="25" t="s">
        <v>2450</v>
      </c>
      <c r="E804" s="28">
        <v>2.00000</v>
      </c>
      <c r="F804" s="29">
        <f ca="1">ROUND(1.590,3)</f>
        <v>0</v>
      </c>
      <c r="G804" s="27">
        <f ca="1">ROUND(E804*F804,2)</f>
        <v>0</v>
      </c>
    </row>
    <row r="805" spans="1:7" ht="30.60" thickBot="1" customHeight="1">
      <c r="A805" s="24" t="s">
        <v>2451</v>
      </c>
      <c r="B805" s="24" t="s">
        <v>2452</v>
      </c>
      <c r="C805" s="24" t="s">
        <v>2453</v>
      </c>
      <c r="D805" s="25" t="s">
        <v>2454</v>
      </c>
      <c r="E805" s="28">
        <v>1.00000</v>
      </c>
      <c r="F805" s="29">
        <f ca="1">ROUND(4.470,3)</f>
        <v>0</v>
      </c>
      <c r="G805" s="27">
        <f ca="1">ROUND(E805*F805,2)</f>
        <v>0</v>
      </c>
    </row>
    <row r="806" spans="1:7" ht="21.36" thickBot="1" customHeight="1">
      <c r="A806" s="24" t="s">
        <v>2455</v>
      </c>
      <c r="B806" s="24" t="s">
        <v>2456</v>
      </c>
      <c r="C806" s="24" t="s">
        <v>2457</v>
      </c>
      <c r="D806" s="25" t="s">
        <v>2458</v>
      </c>
      <c r="E806" s="28">
        <v>1.00000</v>
      </c>
      <c r="F806" s="29">
        <f ca="1">ROUND(4.950,3)</f>
        <v>0</v>
      </c>
      <c r="G806" s="27">
        <f ca="1">ROUND(E806*F806,2)</f>
        <v>0</v>
      </c>
    </row>
    <row r="807" spans="1:7" ht="30.60" thickBot="1" customHeight="1">
      <c r="A807" s="24" t="s">
        <v>2459</v>
      </c>
      <c r="B807" s="24" t="s">
        <v>2460</v>
      </c>
      <c r="C807" s="24" t="s">
        <v>2461</v>
      </c>
      <c r="D807" s="25" t="s">
        <v>2462</v>
      </c>
      <c r="E807" s="28">
        <v>15.00000</v>
      </c>
      <c r="F807" s="29">
        <f ca="1">ROUND(1.330,3)</f>
        <v>0</v>
      </c>
      <c r="G807" s="27">
        <f ca="1">ROUND(E807*F807,2)</f>
        <v>0</v>
      </c>
    </row>
    <row r="808" spans="1:7" ht="21.36" thickBot="1" customHeight="1">
      <c r="A808" s="24" t="s">
        <v>2463</v>
      </c>
      <c r="B808" s="24" t="s">
        <v>2464</v>
      </c>
      <c r="C808" s="24" t="s">
        <v>2465</v>
      </c>
      <c r="D808" s="25" t="s">
        <v>2466</v>
      </c>
      <c r="E808" s="28">
        <v>2.00000</v>
      </c>
      <c r="F808" s="29">
        <f ca="1">ROUND(4.060,3)</f>
        <v>0</v>
      </c>
      <c r="G808" s="27">
        <f ca="1">ROUND(E808*F808,2)</f>
        <v>0</v>
      </c>
    </row>
    <row r="809" spans="1:7" ht="30.60" thickBot="1" customHeight="1">
      <c r="A809" s="24" t="s">
        <v>2467</v>
      </c>
      <c r="B809" s="24" t="s">
        <v>2468</v>
      </c>
      <c r="C809" s="24" t="s">
        <v>2469</v>
      </c>
      <c r="D809" s="25" t="s">
        <v>2470</v>
      </c>
      <c r="E809" s="28">
        <v>1.00000</v>
      </c>
      <c r="F809" s="29">
        <f ca="1">ROUND(4.100,3)</f>
        <v>0</v>
      </c>
      <c r="G809" s="27">
        <f ca="1">ROUND(E809*F809,2)</f>
        <v>0</v>
      </c>
    </row>
    <row r="810" spans="1:7" ht="21.36" thickBot="1" customHeight="1">
      <c r="A810" s="24" t="s">
        <v>2471</v>
      </c>
      <c r="B810" s="24" t="s">
        <v>2472</v>
      </c>
      <c r="C810" s="24" t="s">
        <v>2473</v>
      </c>
      <c r="D810" s="25" t="s">
        <v>2474</v>
      </c>
      <c r="E810" s="28">
        <v>3.90000</v>
      </c>
      <c r="F810" s="29">
        <f ca="1">F814</f>
        <v>0</v>
      </c>
      <c r="G810" s="27">
        <f ca="1">ROUND(E810*F810,2)</f>
        <v>0</v>
      </c>
    </row>
    <row r="811" spans="1:7" ht="24.36" thickBot="1" customHeight="1">
      <c r="A811" s="24" t="s">
        <v>2475</v>
      </c>
      <c r="B811" s="24" t="s">
        <v>2476</v>
      </c>
      <c r="C811" s="24" t="s">
        <v>2477</v>
      </c>
      <c r="D811" s="25" t="s">
        <v>2478</v>
      </c>
      <c r="E811" s="28">
        <v>1.00000</v>
      </c>
      <c r="F811" s="29">
        <f ca="1">ROUND(21.000,3)</f>
        <v>0</v>
      </c>
      <c r="G811" s="27">
        <f ca="1">ROUND(E811*F811,2)</f>
        <v>0</v>
      </c>
    </row>
    <row r="812" spans="1:7" ht="24.36" thickBot="1" customHeight="1">
      <c r="A812" s="24" t="s">
        <v>2479</v>
      </c>
      <c r="B812" s="24" t="s">
        <v>2480</v>
      </c>
      <c r="C812" s="24" t="s">
        <v>2481</v>
      </c>
      <c r="D812" s="25" t="s">
        <v>2482</v>
      </c>
      <c r="E812" s="28">
        <v>1.00000</v>
      </c>
      <c r="F812" s="29">
        <f ca="1">ROUND(19.000,3)</f>
        <v>0</v>
      </c>
      <c r="G812" s="27">
        <f ca="1">ROUND(E812*F812,2)</f>
        <v>0</v>
      </c>
    </row>
    <row r="813" spans="1:7" ht="24.36" thickBot="1" customHeight="1">
      <c r="A813" s="24" t="s">
        <v>2483</v>
      </c>
      <c r="B813" s="24" t="s">
        <v>2484</v>
      </c>
      <c r="C813" s="24" t="s">
        <v>2485</v>
      </c>
      <c r="D813" s="25" t="s">
        <v>2486</v>
      </c>
      <c r="E813" s="28">
        <v>0.20000</v>
      </c>
      <c r="F813" s="29">
        <f ca="1">ROUND(19.000,3)</f>
        <v>0</v>
      </c>
      <c r="G813" s="27">
        <f ca="1">ROUND(E813*F813,2)</f>
        <v>0</v>
      </c>
    </row>
    <row r="814" spans="1:7" ht="15.12" thickBot="1" customHeight="1">
      <c r="A814" s="26"/>
      <c r="B814" s="26"/>
      <c r="C814" s="26"/>
      <c r="D814" s="24" t="s">
        <v>2487</v>
      </c>
      <c r="E814" s="28">
        <v>3.90000</v>
      </c>
      <c r="F814" s="29">
        <f ca="1">ROUND((G811+G812+G813),3)</f>
        <v>0</v>
      </c>
      <c r="G814" s="27">
        <f ca="1">ROUND(E814*F814,2)</f>
        <v>0</v>
      </c>
    </row>
    <row r="815" spans="1:7" ht="15.12" thickBot="1" customHeight="1">
      <c r="A815" s="24" t="s">
        <v>2488</v>
      </c>
      <c r="B815" s="24"/>
      <c r="C815" s="24" t="s">
        <v>2489</v>
      </c>
      <c r="D815" s="25" t="s">
        <v>2490</v>
      </c>
      <c r="E815" s="28">
        <v>3.00000</v>
      </c>
      <c r="F815" s="29">
        <f ca="1">ROUND(170.820,3)</f>
        <v>0</v>
      </c>
      <c r="G815" s="27">
        <f ca="1">ROUND((E815*F815)/100,2)</f>
        <v>0</v>
      </c>
    </row>
    <row r="816" spans="1:7" ht="15.48" thickBot="1" customHeight="1">
      <c r="A816" s="30"/>
      <c r="B816" s="30"/>
      <c r="C816" s="30"/>
      <c r="D816" s="31" t="s">
        <v>2491</v>
      </c>
      <c r="E816" s="30"/>
      <c r="F816" s="33">
        <f ca="1">ROUND((G802+G803+G804+G805+G806+G807+G808+G809+G810+G815)*(1+G2/100),2)</f>
        <v>0</v>
      </c>
      <c r="G816" s="30"/>
    </row>
    <row r="817" spans="1:7" ht="21.36" thickBot="1" customHeight="1">
      <c r="A817" s="34" t="s">
        <v>2492</v>
      </c>
      <c r="B817" s="35" t="s">
        <v>2493</v>
      </c>
      <c r="C817" s="35" t="s">
        <v>2494</v>
      </c>
      <c r="D817" s="36" t="s">
        <v>2495</v>
      </c>
      <c r="E817" s="37"/>
      <c r="F817" s="38">
        <f ca="1">F824</f>
        <v>0</v>
      </c>
      <c r="G817" s="37"/>
    </row>
    <row r="818" spans="1:7" ht="95.28" thickBot="1" customHeight="1">
      <c r="A818" s="26"/>
      <c r="B818" s="26"/>
      <c r="C818" s="26"/>
      <c r="D818" s="25" t="s">
        <v>2496</v>
      </c>
      <c r="E818" s="25"/>
      <c r="F818" s="25"/>
      <c r="G818" s="25"/>
    </row>
    <row r="819" spans="1:7" ht="21.36" thickBot="1" customHeight="1">
      <c r="A819" s="24" t="s">
        <v>2497</v>
      </c>
      <c r="B819" s="24" t="s">
        <v>2498</v>
      </c>
      <c r="C819" s="24" t="s">
        <v>2499</v>
      </c>
      <c r="D819" s="25" t="s">
        <v>2500</v>
      </c>
      <c r="E819" s="28">
        <v>6.00000</v>
      </c>
      <c r="F819" s="29">
        <f ca="1">F823</f>
        <v>0</v>
      </c>
      <c r="G819" s="27">
        <f ca="1">ROUND(E819*F819,2)</f>
        <v>0</v>
      </c>
    </row>
    <row r="820" spans="1:7" ht="24.36" thickBot="1" customHeight="1">
      <c r="A820" s="24" t="s">
        <v>2501</v>
      </c>
      <c r="B820" s="24" t="s">
        <v>2502</v>
      </c>
      <c r="C820" s="24" t="s">
        <v>2503</v>
      </c>
      <c r="D820" s="25" t="s">
        <v>2504</v>
      </c>
      <c r="E820" s="28">
        <v>1.00000</v>
      </c>
      <c r="F820" s="29">
        <f ca="1">ROUND(21.000,3)</f>
        <v>0</v>
      </c>
      <c r="G820" s="27">
        <f ca="1">ROUND(E820*F820,2)</f>
        <v>0</v>
      </c>
    </row>
    <row r="821" spans="1:7" ht="24.36" thickBot="1" customHeight="1">
      <c r="A821" s="24" t="s">
        <v>2505</v>
      </c>
      <c r="B821" s="24" t="s">
        <v>2506</v>
      </c>
      <c r="C821" s="24" t="s">
        <v>2507</v>
      </c>
      <c r="D821" s="25" t="s">
        <v>2508</v>
      </c>
      <c r="E821" s="28">
        <v>1.00000</v>
      </c>
      <c r="F821" s="29">
        <f ca="1">ROUND(19.000,3)</f>
        <v>0</v>
      </c>
      <c r="G821" s="27">
        <f ca="1">ROUND(E821*F821,2)</f>
        <v>0</v>
      </c>
    </row>
    <row r="822" spans="1:7" ht="24.36" thickBot="1" customHeight="1">
      <c r="A822" s="24" t="s">
        <v>2509</v>
      </c>
      <c r="B822" s="24" t="s">
        <v>2510</v>
      </c>
      <c r="C822" s="24" t="s">
        <v>2511</v>
      </c>
      <c r="D822" s="25" t="s">
        <v>2512</v>
      </c>
      <c r="E822" s="28">
        <v>0.20000</v>
      </c>
      <c r="F822" s="29">
        <f ca="1">ROUND(19.000,3)</f>
        <v>0</v>
      </c>
      <c r="G822" s="27">
        <f ca="1">ROUND(E822*F822,2)</f>
        <v>0</v>
      </c>
    </row>
    <row r="823" spans="1:7" ht="15.12" thickBot="1" customHeight="1">
      <c r="A823" s="26"/>
      <c r="B823" s="26"/>
      <c r="C823" s="26"/>
      <c r="D823" s="24" t="s">
        <v>2513</v>
      </c>
      <c r="E823" s="28">
        <v>6.00000</v>
      </c>
      <c r="F823" s="29">
        <f ca="1">ROUND((G820+G821+G822),3)</f>
        <v>0</v>
      </c>
      <c r="G823" s="27">
        <f ca="1">ROUND(E823*F823,2)</f>
        <v>0</v>
      </c>
    </row>
    <row r="824" spans="1:7" ht="15.48" thickBot="1" customHeight="1">
      <c r="A824" s="30"/>
      <c r="B824" s="30"/>
      <c r="C824" s="30"/>
      <c r="D824" s="31" t="s">
        <v>2514</v>
      </c>
      <c r="E824" s="30"/>
      <c r="F824" s="33">
        <f ca="1">ROUND((G819)*(1+G2/100),2)</f>
        <v>0</v>
      </c>
      <c r="G824" s="30"/>
    </row>
    <row r="825" spans="1:7" ht="21.36" thickBot="1" customHeight="1">
      <c r="A825" s="34" t="s">
        <v>2515</v>
      </c>
      <c r="B825" s="35" t="s">
        <v>2516</v>
      </c>
      <c r="C825" s="35" t="s">
        <v>2517</v>
      </c>
      <c r="D825" s="36" t="s">
        <v>2518</v>
      </c>
      <c r="E825" s="37"/>
      <c r="F825" s="38">
        <f ca="1">F835</f>
        <v>0</v>
      </c>
      <c r="G825" s="37"/>
    </row>
    <row r="826" spans="1:7" ht="39.84" thickBot="1" customHeight="1">
      <c r="A826" s="26"/>
      <c r="B826" s="26"/>
      <c r="C826" s="26"/>
      <c r="D826" s="25" t="s">
        <v>2519</v>
      </c>
      <c r="E826" s="25"/>
      <c r="F826" s="25"/>
      <c r="G826" s="25"/>
    </row>
    <row r="827" spans="1:7" ht="21.36" thickBot="1" customHeight="1">
      <c r="A827" s="24" t="s">
        <v>2520</v>
      </c>
      <c r="B827" s="24" t="s">
        <v>2521</v>
      </c>
      <c r="C827" s="24" t="s">
        <v>2522</v>
      </c>
      <c r="D827" s="25" t="s">
        <v>2523</v>
      </c>
      <c r="E827" s="28">
        <v>1.00000</v>
      </c>
      <c r="F827" s="29">
        <f ca="1">ROUND(13.140,3)</f>
        <v>0</v>
      </c>
      <c r="G827" s="27">
        <f ca="1">ROUND(E827*F827,2)</f>
        <v>0</v>
      </c>
    </row>
    <row r="828" spans="1:7" ht="21.36" thickBot="1" customHeight="1">
      <c r="A828" s="24" t="s">
        <v>2524</v>
      </c>
      <c r="B828" s="24" t="s">
        <v>2525</v>
      </c>
      <c r="C828" s="24" t="s">
        <v>2526</v>
      </c>
      <c r="D828" s="25" t="s">
        <v>2527</v>
      </c>
      <c r="E828" s="28">
        <v>1.00000</v>
      </c>
      <c r="F828" s="29">
        <f ca="1">ROUND(6.320,3)</f>
        <v>0</v>
      </c>
      <c r="G828" s="27">
        <f ca="1">ROUND(E828*F828,2)</f>
        <v>0</v>
      </c>
    </row>
    <row r="829" spans="1:7" ht="21.36" thickBot="1" customHeight="1">
      <c r="A829" s="24" t="s">
        <v>2528</v>
      </c>
      <c r="B829" s="24" t="s">
        <v>2529</v>
      </c>
      <c r="C829" s="24" t="s">
        <v>2530</v>
      </c>
      <c r="D829" s="25" t="s">
        <v>2531</v>
      </c>
      <c r="E829" s="28">
        <v>0.90000</v>
      </c>
      <c r="F829" s="29">
        <f ca="1">F833</f>
        <v>0</v>
      </c>
      <c r="G829" s="27">
        <f ca="1">ROUND(E829*F829,2)</f>
        <v>0</v>
      </c>
    </row>
    <row r="830" spans="1:7" ht="24.36" thickBot="1" customHeight="1">
      <c r="A830" s="24" t="s">
        <v>2532</v>
      </c>
      <c r="B830" s="24" t="s">
        <v>2533</v>
      </c>
      <c r="C830" s="24" t="s">
        <v>2534</v>
      </c>
      <c r="D830" s="25" t="s">
        <v>2535</v>
      </c>
      <c r="E830" s="28">
        <v>1.00000</v>
      </c>
      <c r="F830" s="29">
        <f ca="1">ROUND(21.000,3)</f>
        <v>0</v>
      </c>
      <c r="G830" s="27">
        <f ca="1">ROUND(E830*F830,2)</f>
        <v>0</v>
      </c>
    </row>
    <row r="831" spans="1:7" ht="24.36" thickBot="1" customHeight="1">
      <c r="A831" s="24" t="s">
        <v>2536</v>
      </c>
      <c r="B831" s="24" t="s">
        <v>2537</v>
      </c>
      <c r="C831" s="24" t="s">
        <v>2538</v>
      </c>
      <c r="D831" s="25" t="s">
        <v>2539</v>
      </c>
      <c r="E831" s="28">
        <v>1.00000</v>
      </c>
      <c r="F831" s="29">
        <f ca="1">ROUND(19.000,3)</f>
        <v>0</v>
      </c>
      <c r="G831" s="27">
        <f ca="1">ROUND(E831*F831,2)</f>
        <v>0</v>
      </c>
    </row>
    <row r="832" spans="1:7" ht="24.36" thickBot="1" customHeight="1">
      <c r="A832" s="24" t="s">
        <v>2540</v>
      </c>
      <c r="B832" s="24" t="s">
        <v>2541</v>
      </c>
      <c r="C832" s="24" t="s">
        <v>2542</v>
      </c>
      <c r="D832" s="25" t="s">
        <v>2543</v>
      </c>
      <c r="E832" s="28">
        <v>0.20000</v>
      </c>
      <c r="F832" s="29">
        <f ca="1">ROUND(19.000,3)</f>
        <v>0</v>
      </c>
      <c r="G832" s="27">
        <f ca="1">ROUND(E832*F832,2)</f>
        <v>0</v>
      </c>
    </row>
    <row r="833" spans="1:7" ht="15.12" thickBot="1" customHeight="1">
      <c r="A833" s="26"/>
      <c r="B833" s="26"/>
      <c r="C833" s="26"/>
      <c r="D833" s="24" t="s">
        <v>2544</v>
      </c>
      <c r="E833" s="28">
        <v>0.90000</v>
      </c>
      <c r="F833" s="29">
        <f ca="1">ROUND((G830+G831+G832),3)</f>
        <v>0</v>
      </c>
      <c r="G833" s="27">
        <f ca="1">ROUND(E833*F833,2)</f>
        <v>0</v>
      </c>
    </row>
    <row r="834" spans="1:7" ht="15.12" thickBot="1" customHeight="1">
      <c r="A834" s="24" t="s">
        <v>2545</v>
      </c>
      <c r="B834" s="24"/>
      <c r="C834" s="24" t="s">
        <v>2546</v>
      </c>
      <c r="D834" s="25" t="s">
        <v>2547</v>
      </c>
      <c r="E834" s="28">
        <v>3.00000</v>
      </c>
      <c r="F834" s="29">
        <f ca="1">ROUND(39.420,3)</f>
        <v>0</v>
      </c>
      <c r="G834" s="27">
        <f ca="1">ROUND((E834*F834)/100,2)</f>
        <v>0</v>
      </c>
    </row>
    <row r="835" spans="1:7" ht="15.48" thickBot="1" customHeight="1">
      <c r="A835" s="30"/>
      <c r="B835" s="30"/>
      <c r="C835" s="30"/>
      <c r="D835" s="31" t="s">
        <v>2548</v>
      </c>
      <c r="E835" s="30"/>
      <c r="F835" s="33">
        <f ca="1">ROUND((G827+G828+G829+G834)*(1+G2/100),2)</f>
        <v>0</v>
      </c>
      <c r="G835" s="30"/>
    </row>
    <row r="836" spans="1:7" ht="21.36" thickBot="1" customHeight="1">
      <c r="A836" s="34" t="s">
        <v>2549</v>
      </c>
      <c r="B836" s="35" t="s">
        <v>2550</v>
      </c>
      <c r="C836" s="35" t="s">
        <v>2551</v>
      </c>
      <c r="D836" s="36" t="s">
        <v>2552</v>
      </c>
      <c r="E836" s="37"/>
      <c r="F836" s="38">
        <f ca="1">F845</f>
        <v>0</v>
      </c>
      <c r="G836" s="37"/>
    </row>
    <row r="837" spans="1:7" ht="49.08" thickBot="1" customHeight="1">
      <c r="A837" s="26"/>
      <c r="B837" s="26"/>
      <c r="C837" s="26"/>
      <c r="D837" s="25" t="s">
        <v>2553</v>
      </c>
      <c r="E837" s="25"/>
      <c r="F837" s="25"/>
      <c r="G837" s="25"/>
    </row>
    <row r="838" spans="1:7" ht="15.12" thickBot="1" customHeight="1">
      <c r="A838" s="24" t="s">
        <v>2554</v>
      </c>
      <c r="B838" s="24" t="s">
        <v>2555</v>
      </c>
      <c r="C838" s="24" t="s">
        <v>2556</v>
      </c>
      <c r="D838" s="25" t="s">
        <v>2557</v>
      </c>
      <c r="E838" s="28">
        <v>0.01300</v>
      </c>
      <c r="F838" s="29">
        <f ca="1">ROUND(81.000,3)</f>
        <v>0</v>
      </c>
      <c r="G838" s="27">
        <f ca="1">ROUND(E838*F838,2)</f>
        <v>0</v>
      </c>
    </row>
    <row r="839" spans="1:7" ht="24.36" thickBot="1" customHeight="1">
      <c r="A839" s="24" t="s">
        <v>2558</v>
      </c>
      <c r="B839" s="24" t="s">
        <v>2559</v>
      </c>
      <c r="C839" s="24" t="s">
        <v>2560</v>
      </c>
      <c r="D839" s="25" t="s">
        <v>2561</v>
      </c>
      <c r="E839" s="28">
        <v>0.12000</v>
      </c>
      <c r="F839" s="29">
        <f ca="1">ROUND(7.526,3)</f>
        <v>0</v>
      </c>
      <c r="G839" s="27">
        <f ca="1">ROUND(E839*F839,2)</f>
        <v>0</v>
      </c>
    </row>
    <row r="840" spans="1:7" ht="21.36" thickBot="1" customHeight="1">
      <c r="A840" s="24" t="s">
        <v>2562</v>
      </c>
      <c r="B840" s="24" t="s">
        <v>2563</v>
      </c>
      <c r="C840" s="24" t="s">
        <v>2564</v>
      </c>
      <c r="D840" s="25" t="s">
        <v>2565</v>
      </c>
      <c r="E840" s="28">
        <v>0.18000</v>
      </c>
      <c r="F840" s="29">
        <f ca="1">F844</f>
        <v>0</v>
      </c>
      <c r="G840" s="27">
        <f ca="1">ROUND(E840*F840,2)</f>
        <v>0</v>
      </c>
    </row>
    <row r="841" spans="1:7" ht="24.36" thickBot="1" customHeight="1">
      <c r="A841" s="24" t="s">
        <v>2566</v>
      </c>
      <c r="B841" s="24" t="s">
        <v>2567</v>
      </c>
      <c r="C841" s="24" t="s">
        <v>2568</v>
      </c>
      <c r="D841" s="25" t="s">
        <v>2569</v>
      </c>
      <c r="E841" s="28">
        <v>1.00000</v>
      </c>
      <c r="F841" s="29">
        <f ca="1">ROUND(21.000,3)</f>
        <v>0</v>
      </c>
      <c r="G841" s="27">
        <f ca="1">ROUND(E841*F841,2)</f>
        <v>0</v>
      </c>
    </row>
    <row r="842" spans="1:7" ht="24.36" thickBot="1" customHeight="1">
      <c r="A842" s="24" t="s">
        <v>2570</v>
      </c>
      <c r="B842" s="24" t="s">
        <v>2571</v>
      </c>
      <c r="C842" s="24" t="s">
        <v>2572</v>
      </c>
      <c r="D842" s="25" t="s">
        <v>2573</v>
      </c>
      <c r="E842" s="28">
        <v>1.00000</v>
      </c>
      <c r="F842" s="29">
        <f ca="1">ROUND(19.000,3)</f>
        <v>0</v>
      </c>
      <c r="G842" s="27">
        <f ca="1">ROUND(E842*F842,2)</f>
        <v>0</v>
      </c>
    </row>
    <row r="843" spans="1:7" ht="24.36" thickBot="1" customHeight="1">
      <c r="A843" s="24" t="s">
        <v>2574</v>
      </c>
      <c r="B843" s="24" t="s">
        <v>2575</v>
      </c>
      <c r="C843" s="24" t="s">
        <v>2576</v>
      </c>
      <c r="D843" s="25" t="s">
        <v>2577</v>
      </c>
      <c r="E843" s="28">
        <v>0.20000</v>
      </c>
      <c r="F843" s="29">
        <f ca="1">ROUND(19.000,3)</f>
        <v>0</v>
      </c>
      <c r="G843" s="27">
        <f ca="1">ROUND(E843*F843,2)</f>
        <v>0</v>
      </c>
    </row>
    <row r="844" spans="1:7" ht="15.12" thickBot="1" customHeight="1">
      <c r="A844" s="26"/>
      <c r="B844" s="26"/>
      <c r="C844" s="26"/>
      <c r="D844" s="24" t="s">
        <v>2578</v>
      </c>
      <c r="E844" s="28">
        <v>0.18000</v>
      </c>
      <c r="F844" s="29">
        <f ca="1">ROUND((G841+G842+G843),3)</f>
        <v>0</v>
      </c>
      <c r="G844" s="27">
        <f ca="1">ROUND(E844*F844,2)</f>
        <v>0</v>
      </c>
    </row>
    <row r="845" spans="1:7" ht="15.48" thickBot="1" customHeight="1">
      <c r="A845" s="30"/>
      <c r="B845" s="30"/>
      <c r="C845" s="30"/>
      <c r="D845" s="31" t="s">
        <v>2579</v>
      </c>
      <c r="E845" s="30"/>
      <c r="F845" s="33">
        <f ca="1">ROUND((G838+G839+G840)*(1+G2/100),2)</f>
        <v>0</v>
      </c>
      <c r="G845" s="30"/>
    </row>
    <row r="846" spans="1:7" ht="39.84" thickBot="1" customHeight="1">
      <c r="A846" s="34" t="s">
        <v>2580</v>
      </c>
      <c r="B846" s="35" t="s">
        <v>2581</v>
      </c>
      <c r="C846" s="35" t="s">
        <v>2582</v>
      </c>
      <c r="D846" s="36" t="s">
        <v>2583</v>
      </c>
      <c r="E846" s="37"/>
      <c r="F846" s="38">
        <f ca="1">F855</f>
        <v>0</v>
      </c>
      <c r="G846" s="37"/>
    </row>
    <row r="847" spans="1:7" ht="30.60" thickBot="1" customHeight="1">
      <c r="A847" s="26"/>
      <c r="B847" s="26"/>
      <c r="C847" s="26"/>
      <c r="D847" s="25" t="s">
        <v>2584</v>
      </c>
      <c r="E847" s="25"/>
      <c r="F847" s="25"/>
      <c r="G847" s="25"/>
    </row>
    <row r="848" spans="1:7" ht="21.36" thickBot="1" customHeight="1">
      <c r="A848" s="24" t="s">
        <v>2585</v>
      </c>
      <c r="B848" s="24" t="s">
        <v>2586</v>
      </c>
      <c r="C848" s="24" t="s">
        <v>2587</v>
      </c>
      <c r="D848" s="25" t="s">
        <v>2588</v>
      </c>
      <c r="E848" s="28">
        <v>0.10000</v>
      </c>
      <c r="F848" s="29">
        <f ca="1">ROUND(48.360,3)</f>
        <v>0</v>
      </c>
      <c r="G848" s="27">
        <f ca="1">ROUND(E848*F848,2)</f>
        <v>0</v>
      </c>
    </row>
    <row r="849" spans="1:7" ht="24.36" thickBot="1" customHeight="1">
      <c r="A849" s="24" t="s">
        <v>2589</v>
      </c>
      <c r="B849" s="24" t="s">
        <v>2590</v>
      </c>
      <c r="C849" s="24" t="s">
        <v>2591</v>
      </c>
      <c r="D849" s="25" t="s">
        <v>2592</v>
      </c>
      <c r="E849" s="28">
        <v>0.12000</v>
      </c>
      <c r="F849" s="29">
        <f ca="1">ROUND(7.526,3)</f>
        <v>0</v>
      </c>
      <c r="G849" s="27">
        <f ca="1">ROUND(E849*F849,2)</f>
        <v>0</v>
      </c>
    </row>
    <row r="850" spans="1:7" ht="21.36" thickBot="1" customHeight="1">
      <c r="A850" s="24" t="s">
        <v>2593</v>
      </c>
      <c r="B850" s="24" t="s">
        <v>2594</v>
      </c>
      <c r="C850" s="24" t="s">
        <v>2595</v>
      </c>
      <c r="D850" s="25" t="s">
        <v>2596</v>
      </c>
      <c r="E850" s="28">
        <v>0.15000</v>
      </c>
      <c r="F850" s="29">
        <f ca="1">F854</f>
        <v>0</v>
      </c>
      <c r="G850" s="27">
        <f ca="1">ROUND(E850*F850,2)</f>
        <v>0</v>
      </c>
    </row>
    <row r="851" spans="1:7" ht="24.36" thickBot="1" customHeight="1">
      <c r="A851" s="24" t="s">
        <v>2597</v>
      </c>
      <c r="B851" s="24" t="s">
        <v>2598</v>
      </c>
      <c r="C851" s="24" t="s">
        <v>2599</v>
      </c>
      <c r="D851" s="25" t="s">
        <v>2600</v>
      </c>
      <c r="E851" s="28">
        <v>1.00000</v>
      </c>
      <c r="F851" s="29">
        <f ca="1">ROUND(21.000,3)</f>
        <v>0</v>
      </c>
      <c r="G851" s="27">
        <f ca="1">ROUND(E851*F851,2)</f>
        <v>0</v>
      </c>
    </row>
    <row r="852" spans="1:7" ht="24.36" thickBot="1" customHeight="1">
      <c r="A852" s="24" t="s">
        <v>2601</v>
      </c>
      <c r="B852" s="24" t="s">
        <v>2602</v>
      </c>
      <c r="C852" s="24" t="s">
        <v>2603</v>
      </c>
      <c r="D852" s="25" t="s">
        <v>2604</v>
      </c>
      <c r="E852" s="28">
        <v>1.00000</v>
      </c>
      <c r="F852" s="29">
        <f ca="1">ROUND(19.000,3)</f>
        <v>0</v>
      </c>
      <c r="G852" s="27">
        <f ca="1">ROUND(E852*F852,2)</f>
        <v>0</v>
      </c>
    </row>
    <row r="853" spans="1:7" ht="24.36" thickBot="1" customHeight="1">
      <c r="A853" s="24" t="s">
        <v>2605</v>
      </c>
      <c r="B853" s="24" t="s">
        <v>2606</v>
      </c>
      <c r="C853" s="24" t="s">
        <v>2607</v>
      </c>
      <c r="D853" s="25" t="s">
        <v>2608</v>
      </c>
      <c r="E853" s="28">
        <v>0.20000</v>
      </c>
      <c r="F853" s="29">
        <f ca="1">ROUND(19.000,3)</f>
        <v>0</v>
      </c>
      <c r="G853" s="27">
        <f ca="1">ROUND(E853*F853,2)</f>
        <v>0</v>
      </c>
    </row>
    <row r="854" spans="1:7" ht="15.12" thickBot="1" customHeight="1">
      <c r="A854" s="26"/>
      <c r="B854" s="26"/>
      <c r="C854" s="26"/>
      <c r="D854" s="24" t="s">
        <v>2609</v>
      </c>
      <c r="E854" s="28">
        <v>0.15000</v>
      </c>
      <c r="F854" s="29">
        <f ca="1">ROUND((G851+G852+G853),3)</f>
        <v>0</v>
      </c>
      <c r="G854" s="27">
        <f ca="1">ROUND(E854*F854,2)</f>
        <v>0</v>
      </c>
    </row>
    <row r="855" spans="1:7" ht="15.48" thickBot="1" customHeight="1">
      <c r="A855" s="30"/>
      <c r="B855" s="30"/>
      <c r="C855" s="30"/>
      <c r="D855" s="31" t="s">
        <v>2610</v>
      </c>
      <c r="E855" s="30"/>
      <c r="F855" s="33">
        <f ca="1">ROUND((G848+G849+G850)*(1+G2/100),2)</f>
        <v>0</v>
      </c>
      <c r="G855" s="30"/>
    </row>
    <row r="856" spans="1:7" ht="21.36" thickBot="1" customHeight="1">
      <c r="A856" s="34" t="s">
        <v>2611</v>
      </c>
      <c r="B856" s="35" t="s">
        <v>2612</v>
      </c>
      <c r="C856" s="35" t="s">
        <v>2613</v>
      </c>
      <c r="D856" s="36" t="s">
        <v>2614</v>
      </c>
      <c r="E856" s="37"/>
      <c r="F856" s="38">
        <f ca="1">F869</f>
        <v>0</v>
      </c>
      <c r="G856" s="37"/>
    </row>
    <row r="857" spans="1:7" ht="39.84" thickBot="1" customHeight="1">
      <c r="A857" s="26"/>
      <c r="B857" s="26"/>
      <c r="C857" s="26"/>
      <c r="D857" s="25" t="s">
        <v>2615</v>
      </c>
      <c r="E857" s="25"/>
      <c r="F857" s="25"/>
      <c r="G857" s="25"/>
    </row>
    <row r="858" spans="1:7" ht="21.36" thickBot="1" customHeight="1">
      <c r="A858" s="24" t="s">
        <v>2616</v>
      </c>
      <c r="B858" s="24" t="s">
        <v>2617</v>
      </c>
      <c r="C858" s="24" t="s">
        <v>2618</v>
      </c>
      <c r="D858" s="25" t="s">
        <v>2619</v>
      </c>
      <c r="E858" s="28">
        <v>2.00000</v>
      </c>
      <c r="F858" s="29">
        <f ca="1">ROUND(13.140,3)</f>
        <v>0</v>
      </c>
      <c r="G858" s="27">
        <f ca="1">ROUND(E858*F858,2)</f>
        <v>0</v>
      </c>
    </row>
    <row r="859" spans="1:7" ht="21.36" thickBot="1" customHeight="1">
      <c r="A859" s="24" t="s">
        <v>2620</v>
      </c>
      <c r="B859" s="24" t="s">
        <v>2621</v>
      </c>
      <c r="C859" s="24" t="s">
        <v>2622</v>
      </c>
      <c r="D859" s="25" t="s">
        <v>2623</v>
      </c>
      <c r="E859" s="28">
        <v>5.00000</v>
      </c>
      <c r="F859" s="29">
        <f ca="1">ROUND(1.320,3)</f>
        <v>0</v>
      </c>
      <c r="G859" s="27">
        <f ca="1">ROUND(E859*F859,2)</f>
        <v>0</v>
      </c>
    </row>
    <row r="860" spans="1:7" ht="21.36" thickBot="1" customHeight="1">
      <c r="A860" s="24" t="s">
        <v>2624</v>
      </c>
      <c r="B860" s="24" t="s">
        <v>2625</v>
      </c>
      <c r="C860" s="24" t="s">
        <v>2626</v>
      </c>
      <c r="D860" s="25" t="s">
        <v>2627</v>
      </c>
      <c r="E860" s="28">
        <v>5.00000</v>
      </c>
      <c r="F860" s="29">
        <f ca="1">ROUND(3.470,3)</f>
        <v>0</v>
      </c>
      <c r="G860" s="27">
        <f ca="1">ROUND(E860*F860,2)</f>
        <v>0</v>
      </c>
    </row>
    <row r="861" spans="1:7" ht="30.60" thickBot="1" customHeight="1">
      <c r="A861" s="24" t="s">
        <v>2628</v>
      </c>
      <c r="B861" s="24" t="s">
        <v>2629</v>
      </c>
      <c r="C861" s="24" t="s">
        <v>2630</v>
      </c>
      <c r="D861" s="25" t="s">
        <v>2631</v>
      </c>
      <c r="E861" s="28">
        <v>0.33333</v>
      </c>
      <c r="F861" s="29">
        <f ca="1">ROUND(23.460,3)</f>
        <v>0</v>
      </c>
      <c r="G861" s="27">
        <f ca="1">ROUND(E861*F861,2)</f>
        <v>0</v>
      </c>
    </row>
    <row r="862" spans="1:7" ht="21.36" thickBot="1" customHeight="1">
      <c r="A862" s="24" t="s">
        <v>2632</v>
      </c>
      <c r="B862" s="24" t="s">
        <v>2633</v>
      </c>
      <c r="C862" s="24" t="s">
        <v>2634</v>
      </c>
      <c r="D862" s="25" t="s">
        <v>2635</v>
      </c>
      <c r="E862" s="28">
        <v>0.33333</v>
      </c>
      <c r="F862" s="29">
        <f ca="1">ROUND(30.170,3)</f>
        <v>0</v>
      </c>
      <c r="G862" s="27">
        <f ca="1">ROUND(E862*F862,2)</f>
        <v>0</v>
      </c>
    </row>
    <row r="863" spans="1:7" ht="21.36" thickBot="1" customHeight="1">
      <c r="A863" s="24" t="s">
        <v>2636</v>
      </c>
      <c r="B863" s="24" t="s">
        <v>2637</v>
      </c>
      <c r="C863" s="24" t="s">
        <v>2638</v>
      </c>
      <c r="D863" s="25" t="s">
        <v>2639</v>
      </c>
      <c r="E863" s="28">
        <v>4.00000</v>
      </c>
      <c r="F863" s="29">
        <f ca="1">F867</f>
        <v>0</v>
      </c>
      <c r="G863" s="27">
        <f ca="1">ROUND(E863*F863,2)</f>
        <v>0</v>
      </c>
    </row>
    <row r="864" spans="1:7" ht="24.36" thickBot="1" customHeight="1">
      <c r="A864" s="24" t="s">
        <v>2640</v>
      </c>
      <c r="B864" s="24" t="s">
        <v>2641</v>
      </c>
      <c r="C864" s="24" t="s">
        <v>2642</v>
      </c>
      <c r="D864" s="25" t="s">
        <v>2643</v>
      </c>
      <c r="E864" s="28">
        <v>1.00000</v>
      </c>
      <c r="F864" s="29">
        <f ca="1">ROUND(21.000,3)</f>
        <v>0</v>
      </c>
      <c r="G864" s="27">
        <f ca="1">ROUND(E864*F864,2)</f>
        <v>0</v>
      </c>
    </row>
    <row r="865" spans="1:7" ht="24.36" thickBot="1" customHeight="1">
      <c r="A865" s="24" t="s">
        <v>2644</v>
      </c>
      <c r="B865" s="24" t="s">
        <v>2645</v>
      </c>
      <c r="C865" s="24" t="s">
        <v>2646</v>
      </c>
      <c r="D865" s="25" t="s">
        <v>2647</v>
      </c>
      <c r="E865" s="28">
        <v>1.00000</v>
      </c>
      <c r="F865" s="29">
        <f ca="1">ROUND(19.000,3)</f>
        <v>0</v>
      </c>
      <c r="G865" s="27">
        <f ca="1">ROUND(E865*F865,2)</f>
        <v>0</v>
      </c>
    </row>
    <row r="866" spans="1:7" ht="24.36" thickBot="1" customHeight="1">
      <c r="A866" s="24" t="s">
        <v>2648</v>
      </c>
      <c r="B866" s="24" t="s">
        <v>2649</v>
      </c>
      <c r="C866" s="24" t="s">
        <v>2650</v>
      </c>
      <c r="D866" s="25" t="s">
        <v>2651</v>
      </c>
      <c r="E866" s="28">
        <v>0.20000</v>
      </c>
      <c r="F866" s="29">
        <f ca="1">ROUND(19.000,3)</f>
        <v>0</v>
      </c>
      <c r="G866" s="27">
        <f ca="1">ROUND(E866*F866,2)</f>
        <v>0</v>
      </c>
    </row>
    <row r="867" spans="1:7" ht="15.12" thickBot="1" customHeight="1">
      <c r="A867" s="26"/>
      <c r="B867" s="26"/>
      <c r="C867" s="26"/>
      <c r="D867" s="24" t="s">
        <v>2652</v>
      </c>
      <c r="E867" s="28">
        <v>4.00000</v>
      </c>
      <c r="F867" s="29">
        <f ca="1">ROUND((G864+G865+G866),3)</f>
        <v>0</v>
      </c>
      <c r="G867" s="27">
        <f ca="1">ROUND(E867*F867,2)</f>
        <v>0</v>
      </c>
    </row>
    <row r="868" spans="1:7" ht="15.12" thickBot="1" customHeight="1">
      <c r="A868" s="24" t="s">
        <v>2653</v>
      </c>
      <c r="B868" s="24"/>
      <c r="C868" s="24" t="s">
        <v>2654</v>
      </c>
      <c r="D868" s="25" t="s">
        <v>2655</v>
      </c>
      <c r="E868" s="28">
        <v>3.00000</v>
      </c>
      <c r="F868" s="29">
        <f ca="1">ROUND(175.200,3)</f>
        <v>0</v>
      </c>
      <c r="G868" s="27">
        <f ca="1">ROUND((E868*F868)/100,2)</f>
        <v>0</v>
      </c>
    </row>
    <row r="869" spans="1:7" ht="15.48" thickBot="1" customHeight="1">
      <c r="A869" s="30"/>
      <c r="B869" s="30"/>
      <c r="C869" s="30"/>
      <c r="D869" s="31" t="s">
        <v>2656</v>
      </c>
      <c r="E869" s="30"/>
      <c r="F869" s="33">
        <f ca="1">ROUND((G858+G859+G860+G861+G862+G863+G868)*(1+G2/100),2)</f>
        <v>0</v>
      </c>
      <c r="G869" s="30"/>
    </row>
    <row r="870" spans="1:7" ht="21.36" thickBot="1" customHeight="1">
      <c r="A870" s="34" t="s">
        <v>2657</v>
      </c>
      <c r="B870" s="35" t="s">
        <v>2658</v>
      </c>
      <c r="C870" s="35" t="s">
        <v>2659</v>
      </c>
      <c r="D870" s="36" t="s">
        <v>2660</v>
      </c>
      <c r="E870" s="37"/>
      <c r="F870" s="38">
        <f ca="1">F880</f>
        <v>0</v>
      </c>
      <c r="G870" s="37"/>
    </row>
    <row r="871" spans="1:7" ht="30.60" thickBot="1" customHeight="1">
      <c r="A871" s="26"/>
      <c r="B871" s="26"/>
      <c r="C871" s="26"/>
      <c r="D871" s="25" t="s">
        <v>2661</v>
      </c>
      <c r="E871" s="25"/>
      <c r="F871" s="25"/>
      <c r="G871" s="25"/>
    </row>
    <row r="872" spans="1:7" ht="15.12" thickBot="1" customHeight="1">
      <c r="A872" s="24" t="s">
        <v>2662</v>
      </c>
      <c r="B872" s="24" t="s">
        <v>2663</v>
      </c>
      <c r="C872" s="24" t="s">
        <v>2664</v>
      </c>
      <c r="D872" s="25" t="s">
        <v>2665</v>
      </c>
      <c r="E872" s="28">
        <v>0.14300</v>
      </c>
      <c r="F872" s="29">
        <f ca="1">ROUND(22.820,3)</f>
        <v>0</v>
      </c>
      <c r="G872" s="27">
        <f ca="1">ROUND(E872*F872,2)</f>
        <v>0</v>
      </c>
    </row>
    <row r="873" spans="1:7" ht="15.12" thickBot="1" customHeight="1">
      <c r="A873" s="24" t="s">
        <v>2666</v>
      </c>
      <c r="B873" s="24" t="s">
        <v>2667</v>
      </c>
      <c r="C873" s="24" t="s">
        <v>2668</v>
      </c>
      <c r="D873" s="25" t="s">
        <v>2669</v>
      </c>
      <c r="E873" s="28">
        <v>1.00000</v>
      </c>
      <c r="F873" s="29">
        <f ca="1">ROUND(28.500,3)</f>
        <v>0</v>
      </c>
      <c r="G873" s="27">
        <f ca="1">ROUND(E873*F873,2)</f>
        <v>0</v>
      </c>
    </row>
    <row r="874" spans="1:7" ht="21.36" thickBot="1" customHeight="1">
      <c r="A874" s="24" t="s">
        <v>2670</v>
      </c>
      <c r="B874" s="24" t="s">
        <v>2671</v>
      </c>
      <c r="C874" s="24" t="s">
        <v>2672</v>
      </c>
      <c r="D874" s="25" t="s">
        <v>2673</v>
      </c>
      <c r="E874" s="28">
        <v>0.80000</v>
      </c>
      <c r="F874" s="29">
        <f ca="1">F878</f>
        <v>0</v>
      </c>
      <c r="G874" s="27">
        <f ca="1">ROUND(E874*F874,2)</f>
        <v>0</v>
      </c>
    </row>
    <row r="875" spans="1:7" ht="24.36" thickBot="1" customHeight="1">
      <c r="A875" s="24" t="s">
        <v>2674</v>
      </c>
      <c r="B875" s="24" t="s">
        <v>2675</v>
      </c>
      <c r="C875" s="24" t="s">
        <v>2676</v>
      </c>
      <c r="D875" s="25" t="s">
        <v>2677</v>
      </c>
      <c r="E875" s="28">
        <v>1.00000</v>
      </c>
      <c r="F875" s="29">
        <f ca="1">ROUND(21.000,3)</f>
        <v>0</v>
      </c>
      <c r="G875" s="27">
        <f ca="1">ROUND(E875*F875,2)</f>
        <v>0</v>
      </c>
    </row>
    <row r="876" spans="1:7" ht="24.36" thickBot="1" customHeight="1">
      <c r="A876" s="24" t="s">
        <v>2678</v>
      </c>
      <c r="B876" s="24" t="s">
        <v>2679</v>
      </c>
      <c r="C876" s="24" t="s">
        <v>2680</v>
      </c>
      <c r="D876" s="25" t="s">
        <v>2681</v>
      </c>
      <c r="E876" s="28">
        <v>1.00000</v>
      </c>
      <c r="F876" s="29">
        <f ca="1">ROUND(19.000,3)</f>
        <v>0</v>
      </c>
      <c r="G876" s="27">
        <f ca="1">ROUND(E876*F876,2)</f>
        <v>0</v>
      </c>
    </row>
    <row r="877" spans="1:7" ht="24.36" thickBot="1" customHeight="1">
      <c r="A877" s="24" t="s">
        <v>2682</v>
      </c>
      <c r="B877" s="24" t="s">
        <v>2683</v>
      </c>
      <c r="C877" s="24" t="s">
        <v>2684</v>
      </c>
      <c r="D877" s="25" t="s">
        <v>2685</v>
      </c>
      <c r="E877" s="28">
        <v>0.20000</v>
      </c>
      <c r="F877" s="29">
        <f ca="1">ROUND(19.000,3)</f>
        <v>0</v>
      </c>
      <c r="G877" s="27">
        <f ca="1">ROUND(E877*F877,2)</f>
        <v>0</v>
      </c>
    </row>
    <row r="878" spans="1:7" ht="15.12" thickBot="1" customHeight="1">
      <c r="A878" s="26"/>
      <c r="B878" s="26"/>
      <c r="C878" s="26"/>
      <c r="D878" s="24" t="s">
        <v>2686</v>
      </c>
      <c r="E878" s="28">
        <v>0.80000</v>
      </c>
      <c r="F878" s="29">
        <f ca="1">ROUND((G875+G876+G877),3)</f>
        <v>0</v>
      </c>
      <c r="G878" s="27">
        <f ca="1">ROUND(E878*F878,2)</f>
        <v>0</v>
      </c>
    </row>
    <row r="879" spans="1:7" ht="15.12" thickBot="1" customHeight="1">
      <c r="A879" s="24" t="s">
        <v>2687</v>
      </c>
      <c r="B879" s="24"/>
      <c r="C879" s="24" t="s">
        <v>2688</v>
      </c>
      <c r="D879" s="25" t="s">
        <v>2689</v>
      </c>
      <c r="E879" s="28">
        <v>3.00000</v>
      </c>
      <c r="F879" s="29">
        <f ca="1">ROUND(35.040,3)</f>
        <v>0</v>
      </c>
      <c r="G879" s="27">
        <f ca="1">ROUND((E879*F879)/100,2)</f>
        <v>0</v>
      </c>
    </row>
    <row r="880" spans="1:7" ht="15.48" thickBot="1" customHeight="1">
      <c r="A880" s="30"/>
      <c r="B880" s="30"/>
      <c r="C880" s="30"/>
      <c r="D880" s="31" t="s">
        <v>2690</v>
      </c>
      <c r="E880" s="30"/>
      <c r="F880" s="33">
        <f ca="1">ROUND((G872+G873+G874+G879)*(1+G2/100),2)</f>
        <v>0</v>
      </c>
      <c r="G880" s="30"/>
    </row>
    <row r="881" spans="1:7" ht="15.48" thickBot="1" customHeight="1">
      <c r="A881" s="34" t="s">
        <v>2691</v>
      </c>
      <c r="B881" s="35" t="s">
        <v>2692</v>
      </c>
      <c r="C881" s="35" t="s">
        <v>2693</v>
      </c>
      <c r="D881" s="36" t="s">
        <v>2694</v>
      </c>
      <c r="E881" s="37"/>
      <c r="F881" s="38">
        <f ca="1">F890</f>
        <v>0</v>
      </c>
      <c r="G881" s="37"/>
    </row>
    <row r="882" spans="1:7" ht="12.12" thickBot="1" customHeight="1">
      <c r="A882" s="26"/>
      <c r="B882" s="26"/>
      <c r="C882" s="26"/>
      <c r="D882" s="25" t="s">
        <v>2695</v>
      </c>
      <c r="E882" s="25"/>
      <c r="F882" s="25"/>
      <c r="G882" s="25"/>
    </row>
    <row r="883" spans="1:7" ht="15.12" thickBot="1" customHeight="1">
      <c r="A883" s="24" t="s">
        <v>2696</v>
      </c>
      <c r="B883" s="24" t="s">
        <v>2697</v>
      </c>
      <c r="C883" s="24" t="s">
        <v>2698</v>
      </c>
      <c r="D883" s="25" t="s">
        <v>2699</v>
      </c>
      <c r="E883" s="28">
        <v>0.20000</v>
      </c>
      <c r="F883" s="29">
        <f ca="1">ROUND(30.000,3)</f>
        <v>0</v>
      </c>
      <c r="G883" s="27">
        <f ca="1">ROUND(E883*F883,2)</f>
        <v>0</v>
      </c>
    </row>
    <row r="884" spans="1:7" ht="24.36" thickBot="1" customHeight="1">
      <c r="A884" s="24" t="s">
        <v>2700</v>
      </c>
      <c r="B884" s="24" t="s">
        <v>2701</v>
      </c>
      <c r="C884" s="24" t="s">
        <v>2702</v>
      </c>
      <c r="D884" s="25" t="s">
        <v>2703</v>
      </c>
      <c r="E884" s="28">
        <v>0.12000</v>
      </c>
      <c r="F884" s="29">
        <f ca="1">ROUND(7.526,3)</f>
        <v>0</v>
      </c>
      <c r="G884" s="27">
        <f ca="1">ROUND(E884*F884,2)</f>
        <v>0</v>
      </c>
    </row>
    <row r="885" spans="1:7" ht="21.36" thickBot="1" customHeight="1">
      <c r="A885" s="24" t="s">
        <v>2704</v>
      </c>
      <c r="B885" s="24" t="s">
        <v>2705</v>
      </c>
      <c r="C885" s="24" t="s">
        <v>2706</v>
      </c>
      <c r="D885" s="25" t="s">
        <v>2707</v>
      </c>
      <c r="E885" s="28">
        <v>0.12000</v>
      </c>
      <c r="F885" s="29">
        <f ca="1">F889</f>
        <v>0</v>
      </c>
      <c r="G885" s="27">
        <f ca="1">ROUND(E885*F885,2)</f>
        <v>0</v>
      </c>
    </row>
    <row r="886" spans="1:7" ht="24.36" thickBot="1" customHeight="1">
      <c r="A886" s="24" t="s">
        <v>2708</v>
      </c>
      <c r="B886" s="24" t="s">
        <v>2709</v>
      </c>
      <c r="C886" s="24" t="s">
        <v>2710</v>
      </c>
      <c r="D886" s="25" t="s">
        <v>2711</v>
      </c>
      <c r="E886" s="28">
        <v>1.00000</v>
      </c>
      <c r="F886" s="29">
        <f ca="1">ROUND(21.000,3)</f>
        <v>0</v>
      </c>
      <c r="G886" s="27">
        <f ca="1">ROUND(E886*F886,2)</f>
        <v>0</v>
      </c>
    </row>
    <row r="887" spans="1:7" ht="24.36" thickBot="1" customHeight="1">
      <c r="A887" s="24" t="s">
        <v>2712</v>
      </c>
      <c r="B887" s="24" t="s">
        <v>2713</v>
      </c>
      <c r="C887" s="24" t="s">
        <v>2714</v>
      </c>
      <c r="D887" s="25" t="s">
        <v>2715</v>
      </c>
      <c r="E887" s="28">
        <v>1.00000</v>
      </c>
      <c r="F887" s="29">
        <f ca="1">ROUND(19.000,3)</f>
        <v>0</v>
      </c>
      <c r="G887" s="27">
        <f ca="1">ROUND(E887*F887,2)</f>
        <v>0</v>
      </c>
    </row>
    <row r="888" spans="1:7" ht="24.36" thickBot="1" customHeight="1">
      <c r="A888" s="24" t="s">
        <v>2716</v>
      </c>
      <c r="B888" s="24" t="s">
        <v>2717</v>
      </c>
      <c r="C888" s="24" t="s">
        <v>2718</v>
      </c>
      <c r="D888" s="25" t="s">
        <v>2719</v>
      </c>
      <c r="E888" s="28">
        <v>0.20000</v>
      </c>
      <c r="F888" s="29">
        <f ca="1">ROUND(19.000,3)</f>
        <v>0</v>
      </c>
      <c r="G888" s="27">
        <f ca="1">ROUND(E888*F888,2)</f>
        <v>0</v>
      </c>
    </row>
    <row r="889" spans="1:7" ht="15.12" thickBot="1" customHeight="1">
      <c r="A889" s="26"/>
      <c r="B889" s="26"/>
      <c r="C889" s="26"/>
      <c r="D889" s="24" t="s">
        <v>2720</v>
      </c>
      <c r="E889" s="28">
        <v>0.12000</v>
      </c>
      <c r="F889" s="29">
        <f ca="1">ROUND((G886+G887+G888),3)</f>
        <v>0</v>
      </c>
      <c r="G889" s="27">
        <f ca="1">ROUND(E889*F889,2)</f>
        <v>0</v>
      </c>
    </row>
    <row r="890" spans="1:7" ht="15.48" thickBot="1" customHeight="1">
      <c r="A890" s="30"/>
      <c r="B890" s="30"/>
      <c r="C890" s="30"/>
      <c r="D890" s="31" t="s">
        <v>2721</v>
      </c>
      <c r="E890" s="30"/>
      <c r="F890" s="33">
        <f ca="1">ROUND((G883+G884+G885)*(1+G2/100),2)</f>
        <v>0</v>
      </c>
      <c r="G890" s="30"/>
    </row>
    <row r="891" spans="1:7" ht="15.48" thickBot="1" customHeight="1">
      <c r="A891" s="34" t="s">
        <v>2722</v>
      </c>
      <c r="B891" s="35" t="s">
        <v>2723</v>
      </c>
      <c r="C891" s="35" t="s">
        <v>2724</v>
      </c>
      <c r="D891" s="36" t="s">
        <v>2725</v>
      </c>
      <c r="E891" s="37"/>
      <c r="F891" s="38">
        <f ca="1">F898</f>
        <v>0</v>
      </c>
      <c r="G891" s="37"/>
    </row>
    <row r="892" spans="1:7" ht="58.32" thickBot="1" customHeight="1">
      <c r="A892" s="26"/>
      <c r="B892" s="26"/>
      <c r="C892" s="26"/>
      <c r="D892" s="25" t="s">
        <v>2726</v>
      </c>
      <c r="E892" s="25"/>
      <c r="F892" s="25"/>
      <c r="G892" s="25"/>
    </row>
    <row r="893" spans="1:7" ht="39.84" thickBot="1" customHeight="1">
      <c r="A893" s="24" t="s">
        <v>2727</v>
      </c>
      <c r="B893" s="24" t="s">
        <v>2728</v>
      </c>
      <c r="C893" s="24" t="s">
        <v>2729</v>
      </c>
      <c r="D893" s="25" t="s">
        <v>2730</v>
      </c>
      <c r="E893" s="28">
        <v>1.00000</v>
      </c>
      <c r="F893" s="29">
        <f ca="1">ROUND(10.500,3)</f>
        <v>0</v>
      </c>
      <c r="G893" s="27">
        <f ca="1">ROUND(E893*F893,2)</f>
        <v>0</v>
      </c>
    </row>
    <row r="894" spans="1:7" ht="30.60" thickBot="1" customHeight="1">
      <c r="A894" s="24" t="s">
        <v>2731</v>
      </c>
      <c r="B894" s="24" t="s">
        <v>2732</v>
      </c>
      <c r="C894" s="24" t="s">
        <v>2733</v>
      </c>
      <c r="D894" s="25" t="s">
        <v>2734</v>
      </c>
      <c r="E894" s="28">
        <v>0.00916</v>
      </c>
      <c r="F894" s="29">
        <f ca="1">ROUND(92.030,3)</f>
        <v>0</v>
      </c>
      <c r="G894" s="27">
        <f ca="1">ROUND(E894*F894,2)</f>
        <v>0</v>
      </c>
    </row>
    <row r="895" spans="1:7" ht="21.36" thickBot="1" customHeight="1">
      <c r="A895" s="24" t="s">
        <v>2735</v>
      </c>
      <c r="B895" s="24" t="s">
        <v>2736</v>
      </c>
      <c r="C895" s="24" t="s">
        <v>2737</v>
      </c>
      <c r="D895" s="25" t="s">
        <v>2738</v>
      </c>
      <c r="E895" s="28">
        <v>0.02100</v>
      </c>
      <c r="F895" s="29">
        <f ca="1">ROUND(6.320,3)</f>
        <v>0</v>
      </c>
      <c r="G895" s="27">
        <f ca="1">ROUND(E895*F895,2)</f>
        <v>0</v>
      </c>
    </row>
    <row r="896" spans="1:7" ht="21.36" thickBot="1" customHeight="1">
      <c r="A896" s="24" t="s">
        <v>2739</v>
      </c>
      <c r="B896" s="24" t="s">
        <v>2740</v>
      </c>
      <c r="C896" s="24" t="s">
        <v>2741</v>
      </c>
      <c r="D896" s="25" t="s">
        <v>2742</v>
      </c>
      <c r="E896" s="28">
        <v>0.00400</v>
      </c>
      <c r="F896" s="29">
        <f ca="1">ROUND(4.800,3)</f>
        <v>0</v>
      </c>
      <c r="G896" s="27">
        <f ca="1">ROUND(E896*F896,2)</f>
        <v>0</v>
      </c>
    </row>
    <row r="897" spans="1:7" ht="24.36" thickBot="1" customHeight="1">
      <c r="A897" s="24" t="s">
        <v>2743</v>
      </c>
      <c r="B897" s="24" t="s">
        <v>2744</v>
      </c>
      <c r="C897" s="24" t="s">
        <v>2745</v>
      </c>
      <c r="D897" s="25" t="s">
        <v>2746</v>
      </c>
      <c r="E897" s="28">
        <v>0.06500</v>
      </c>
      <c r="F897" s="29">
        <f ca="1">ROUND(40.000,3)</f>
        <v>0</v>
      </c>
      <c r="G897" s="27">
        <f ca="1">ROUND(E897*F897,2)</f>
        <v>0</v>
      </c>
    </row>
    <row r="898" spans="1:7" ht="15.48" thickBot="1" customHeight="1">
      <c r="A898" s="30"/>
      <c r="B898" s="30"/>
      <c r="C898" s="30"/>
      <c r="D898" s="31" t="s">
        <v>2747</v>
      </c>
      <c r="E898" s="30"/>
      <c r="F898" s="33">
        <f ca="1">ROUND((G893+G894+G895+G896+G897)*(1+G2/100),2)</f>
        <v>0</v>
      </c>
      <c r="G898" s="30"/>
    </row>
    <row r="899" spans="1:7" ht="30.60" thickBot="1" customHeight="1">
      <c r="A899" s="34" t="s">
        <v>2748</v>
      </c>
      <c r="B899" s="35" t="s">
        <v>2749</v>
      </c>
      <c r="C899" s="35" t="s">
        <v>2750</v>
      </c>
      <c r="D899" s="36" t="s">
        <v>2751</v>
      </c>
      <c r="E899" s="37"/>
      <c r="F899" s="38">
        <f ca="1">F902</f>
        <v>0</v>
      </c>
      <c r="G899" s="37"/>
    </row>
    <row r="900" spans="1:7" ht="49.08" thickBot="1" customHeight="1">
      <c r="A900" s="26"/>
      <c r="B900" s="26"/>
      <c r="C900" s="26"/>
      <c r="D900" s="25" t="s">
        <v>2752</v>
      </c>
      <c r="E900" s="25"/>
      <c r="F900" s="25"/>
      <c r="G900" s="25"/>
    </row>
    <row r="901" spans="1:7" ht="15.12" thickBot="1" customHeight="1">
      <c r="A901" s="24" t="s">
        <v>2753</v>
      </c>
      <c r="B901" s="24" t="s">
        <v>2754</v>
      </c>
      <c r="C901" s="24" t="s">
        <v>2755</v>
      </c>
      <c r="D901" s="25" t="s">
        <v>2756</v>
      </c>
      <c r="E901" s="28">
        <v>500.00000</v>
      </c>
      <c r="F901" s="29">
        <f ca="1">ROUND(0.100,3)</f>
        <v>0</v>
      </c>
      <c r="G901" s="27">
        <f ca="1">ROUND(E901*F901,2)</f>
        <v>0</v>
      </c>
    </row>
    <row r="902" spans="1:7" ht="15.48" thickBot="1" customHeight="1">
      <c r="A902" s="30"/>
      <c r="B902" s="30"/>
      <c r="C902" s="30"/>
      <c r="D902" s="31" t="s">
        <v>2757</v>
      </c>
      <c r="E902" s="30"/>
      <c r="F902" s="33">
        <f ca="1">ROUND((G901)*(1+G2/100),2)</f>
        <v>0</v>
      </c>
      <c r="G902" s="30"/>
    </row>
    <row r="903" spans="1:7" ht="30.60" thickBot="1" customHeight="1">
      <c r="A903" s="34" t="s">
        <v>2758</v>
      </c>
      <c r="B903" s="35" t="s">
        <v>2759</v>
      </c>
      <c r="C903" s="35" t="s">
        <v>2760</v>
      </c>
      <c r="D903" s="36" t="s">
        <v>2761</v>
      </c>
      <c r="E903" s="37"/>
      <c r="F903" s="38">
        <f ca="1">F906</f>
        <v>0</v>
      </c>
      <c r="G903" s="37"/>
    </row>
    <row r="904" spans="1:7" ht="58.32" thickBot="1" customHeight="1">
      <c r="A904" s="26"/>
      <c r="B904" s="26"/>
      <c r="C904" s="26"/>
      <c r="D904" s="25" t="s">
        <v>2762</v>
      </c>
      <c r="E904" s="25"/>
      <c r="F904" s="25"/>
      <c r="G904" s="25"/>
    </row>
    <row r="905" spans="1:7" ht="15.12" thickBot="1" customHeight="1">
      <c r="A905" s="24" t="s">
        <v>2763</v>
      </c>
      <c r="B905" s="24" t="s">
        <v>2764</v>
      </c>
      <c r="C905" s="24" t="s">
        <v>2765</v>
      </c>
      <c r="D905" s="25" t="s">
        <v>2766</v>
      </c>
      <c r="E905" s="28">
        <v>15000.00000</v>
      </c>
      <c r="F905" s="29">
        <f ca="1">ROUND(0.100,3)</f>
        <v>0</v>
      </c>
      <c r="G905" s="27">
        <f ca="1">ROUND(E905*F905,2)</f>
        <v>0</v>
      </c>
    </row>
    <row r="906" spans="1:7" ht="15.48" thickBot="1" customHeight="1">
      <c r="A906" s="30"/>
      <c r="B906" s="30"/>
      <c r="C906" s="30"/>
      <c r="D906" s="31" t="s">
        <v>2767</v>
      </c>
      <c r="E906" s="30"/>
      <c r="F906" s="33">
        <f ca="1">ROUND((G905)*(1+G2/100),2)</f>
        <v>0</v>
      </c>
      <c r="G906" s="30"/>
    </row>
    <row r="907" spans="1:7" ht="30.60" thickBot="1" customHeight="1">
      <c r="A907" s="34" t="s">
        <v>2768</v>
      </c>
      <c r="B907" s="35" t="s">
        <v>2769</v>
      </c>
      <c r="C907" s="35" t="s">
        <v>2770</v>
      </c>
      <c r="D907" s="36" t="s">
        <v>2771</v>
      </c>
      <c r="E907" s="37"/>
      <c r="F907" s="38">
        <f ca="1">F911</f>
        <v>0</v>
      </c>
      <c r="G907" s="37"/>
    </row>
    <row r="908" spans="1:7" ht="39.84" thickBot="1" customHeight="1">
      <c r="A908" s="26"/>
      <c r="B908" s="26"/>
      <c r="C908" s="26"/>
      <c r="D908" s="25" t="s">
        <v>2772</v>
      </c>
      <c r="E908" s="25"/>
      <c r="F908" s="25"/>
      <c r="G908" s="25"/>
    </row>
    <row r="909" spans="1:7" ht="196.92" thickBot="1" customHeight="1">
      <c r="A909" s="24" t="s">
        <v>2773</v>
      </c>
      <c r="B909" s="24" t="s">
        <v>2774</v>
      </c>
      <c r="C909" s="24" t="s">
        <v>2775</v>
      </c>
      <c r="D909" s="25" t="s">
        <v>2776</v>
      </c>
      <c r="E909" s="28">
        <v>500.00000</v>
      </c>
      <c r="F909" s="29">
        <f ca="1">ROUND(2.000,3)</f>
        <v>0</v>
      </c>
      <c r="G909" s="27">
        <f ca="1">ROUND(E909*F909,2)</f>
        <v>0</v>
      </c>
    </row>
    <row r="910" spans="1:7" ht="15.12" thickBot="1" customHeight="1">
      <c r="A910" s="24" t="s">
        <v>2777</v>
      </c>
      <c r="B910" s="24"/>
      <c r="C910" s="24" t="s">
        <v>2778</v>
      </c>
      <c r="D910" s="25" t="s">
        <v>2779</v>
      </c>
      <c r="E910" s="28">
        <v>2.00000</v>
      </c>
      <c r="F910" s="29">
        <f ca="1">ROUND(1000.000,3)</f>
        <v>0</v>
      </c>
      <c r="G910" s="27">
        <f ca="1">ROUND((E910*F910)/100,2)</f>
        <v>0</v>
      </c>
    </row>
    <row r="911" spans="1:7" ht="15.48" thickBot="1" customHeight="1">
      <c r="A911" s="30"/>
      <c r="B911" s="30"/>
      <c r="C911" s="30"/>
      <c r="D911" s="31" t="s">
        <v>2780</v>
      </c>
      <c r="E911" s="30"/>
      <c r="F911" s="33">
        <f ca="1">ROUND((G909+G910)*(1+G2/100),2)</f>
        <v>0</v>
      </c>
      <c r="G911" s="30"/>
    </row>
    <row r="912" spans="1:7" ht="30.60" thickBot="1" customHeight="1">
      <c r="A912" s="34" t="s">
        <v>2781</v>
      </c>
      <c r="B912" s="35" t="s">
        <v>2782</v>
      </c>
      <c r="C912" s="35" t="s">
        <v>2783</v>
      </c>
      <c r="D912" s="36" t="s">
        <v>2784</v>
      </c>
      <c r="E912" s="37"/>
      <c r="F912" s="38">
        <f ca="1">F917</f>
        <v>0</v>
      </c>
      <c r="G912" s="37"/>
    </row>
    <row r="913" spans="1:7" ht="67.56" thickBot="1" customHeight="1">
      <c r="A913" s="26"/>
      <c r="B913" s="26"/>
      <c r="C913" s="26"/>
      <c r="D913" s="25" t="s">
        <v>2785</v>
      </c>
      <c r="E913" s="25"/>
      <c r="F913" s="25"/>
      <c r="G913" s="25"/>
    </row>
    <row r="914" spans="1:7" ht="187.68" thickBot="1" customHeight="1">
      <c r="A914" s="24" t="s">
        <v>2786</v>
      </c>
      <c r="B914" s="24" t="s">
        <v>2787</v>
      </c>
      <c r="C914" s="24" t="s">
        <v>2788</v>
      </c>
      <c r="D914" s="25" t="s">
        <v>2789</v>
      </c>
      <c r="E914" s="28">
        <v>500.00000</v>
      </c>
      <c r="F914" s="29">
        <f ca="1">ROUND(4.000,3)</f>
        <v>0</v>
      </c>
      <c r="G914" s="27">
        <f ca="1">ROUND(E914*F914,2)</f>
        <v>0</v>
      </c>
    </row>
    <row r="915" spans="1:7" ht="187.68" thickBot="1" customHeight="1">
      <c r="A915" s="24" t="s">
        <v>2790</v>
      </c>
      <c r="B915" s="24" t="s">
        <v>2791</v>
      </c>
      <c r="C915" s="24" t="s">
        <v>2792</v>
      </c>
      <c r="D915" s="25" t="s">
        <v>2793</v>
      </c>
      <c r="E915" s="28">
        <v>500.00000</v>
      </c>
      <c r="F915" s="29">
        <f ca="1">ROUND(2.500,3)</f>
        <v>0</v>
      </c>
      <c r="G915" s="27">
        <f ca="1">ROUND(E915*F915,2)</f>
        <v>0</v>
      </c>
    </row>
    <row r="916" spans="1:7" ht="15.12" thickBot="1" customHeight="1">
      <c r="A916" s="24" t="s">
        <v>2794</v>
      </c>
      <c r="B916" s="24"/>
      <c r="C916" s="24" t="s">
        <v>2795</v>
      </c>
      <c r="D916" s="25" t="s">
        <v>2796</v>
      </c>
      <c r="E916" s="28">
        <v>2.00000</v>
      </c>
      <c r="F916" s="29">
        <f ca="1">ROUND(3250.000,3)</f>
        <v>0</v>
      </c>
      <c r="G916" s="27">
        <f ca="1">ROUND((E916*F916)/100,2)</f>
        <v>0</v>
      </c>
    </row>
    <row r="917" spans="1:7" ht="15.48" thickBot="1" customHeight="1">
      <c r="A917" s="30"/>
      <c r="B917" s="30"/>
      <c r="C917" s="30"/>
      <c r="D917" s="31" t="s">
        <v>2797</v>
      </c>
      <c r="E917" s="30"/>
      <c r="F917" s="33">
        <f ca="1">ROUND((G914+G915+G916)*(1+G2/100),2)</f>
        <v>0</v>
      </c>
      <c r="G917" s="30"/>
    </row>
    <row r="918" spans="1:7" ht="21.36" thickBot="1" customHeight="1">
      <c r="A918" s="34" t="s">
        <v>2798</v>
      </c>
      <c r="B918" s="35" t="s">
        <v>2799</v>
      </c>
      <c r="C918" s="35" t="s">
        <v>2800</v>
      </c>
      <c r="D918" s="36" t="s">
        <v>2801</v>
      </c>
      <c r="E918" s="37"/>
      <c r="F918" s="38">
        <f ca="1">F925</f>
        <v>0</v>
      </c>
      <c r="G918" s="37"/>
    </row>
    <row r="919" spans="1:7" ht="67.56" thickBot="1" customHeight="1">
      <c r="A919" s="26"/>
      <c r="B919" s="26"/>
      <c r="C919" s="26"/>
      <c r="D919" s="25" t="s">
        <v>2802</v>
      </c>
      <c r="E919" s="25"/>
      <c r="F919" s="25"/>
      <c r="G919" s="25"/>
    </row>
    <row r="920" spans="1:7" ht="39.84" thickBot="1" customHeight="1">
      <c r="A920" s="24" t="s">
        <v>2803</v>
      </c>
      <c r="B920" s="24" t="s">
        <v>2804</v>
      </c>
      <c r="C920" s="24" t="s">
        <v>2805</v>
      </c>
      <c r="D920" s="25" t="s">
        <v>2806</v>
      </c>
      <c r="E920" s="28">
        <v>1.00000</v>
      </c>
      <c r="F920" s="29">
        <f ca="1">ROUND(10.500,3)</f>
        <v>0</v>
      </c>
      <c r="G920" s="27">
        <f ca="1">ROUND(E920*F920,2)</f>
        <v>0</v>
      </c>
    </row>
    <row r="921" spans="1:7" ht="30.60" thickBot="1" customHeight="1">
      <c r="A921" s="24" t="s">
        <v>2807</v>
      </c>
      <c r="B921" s="24" t="s">
        <v>2808</v>
      </c>
      <c r="C921" s="24" t="s">
        <v>2809</v>
      </c>
      <c r="D921" s="25" t="s">
        <v>2810</v>
      </c>
      <c r="E921" s="28">
        <v>0.00916</v>
      </c>
      <c r="F921" s="29">
        <f ca="1">ROUND(92.030,3)</f>
        <v>0</v>
      </c>
      <c r="G921" s="27">
        <f ca="1">ROUND(E921*F921,2)</f>
        <v>0</v>
      </c>
    </row>
    <row r="922" spans="1:7" ht="21.36" thickBot="1" customHeight="1">
      <c r="A922" s="24" t="s">
        <v>2811</v>
      </c>
      <c r="B922" s="24" t="s">
        <v>2812</v>
      </c>
      <c r="C922" s="24" t="s">
        <v>2813</v>
      </c>
      <c r="D922" s="25" t="s">
        <v>2814</v>
      </c>
      <c r="E922" s="28">
        <v>0.02100</v>
      </c>
      <c r="F922" s="29">
        <f ca="1">ROUND(6.320,3)</f>
        <v>0</v>
      </c>
      <c r="G922" s="27">
        <f ca="1">ROUND(E922*F922,2)</f>
        <v>0</v>
      </c>
    </row>
    <row r="923" spans="1:7" ht="21.36" thickBot="1" customHeight="1">
      <c r="A923" s="24" t="s">
        <v>2815</v>
      </c>
      <c r="B923" s="24" t="s">
        <v>2816</v>
      </c>
      <c r="C923" s="24" t="s">
        <v>2817</v>
      </c>
      <c r="D923" s="25" t="s">
        <v>2818</v>
      </c>
      <c r="E923" s="28">
        <v>0.00400</v>
      </c>
      <c r="F923" s="29">
        <f ca="1">ROUND(4.800,3)</f>
        <v>0</v>
      </c>
      <c r="G923" s="27">
        <f ca="1">ROUND(E923*F923,2)</f>
        <v>0</v>
      </c>
    </row>
    <row r="924" spans="1:7" ht="24.36" thickBot="1" customHeight="1">
      <c r="A924" s="24" t="s">
        <v>2819</v>
      </c>
      <c r="B924" s="24" t="s">
        <v>2820</v>
      </c>
      <c r="C924" s="24" t="s">
        <v>2821</v>
      </c>
      <c r="D924" s="25" t="s">
        <v>2822</v>
      </c>
      <c r="E924" s="28">
        <v>0.22000</v>
      </c>
      <c r="F924" s="29">
        <f ca="1">ROUND(40.000,3)</f>
        <v>0</v>
      </c>
      <c r="G924" s="27">
        <f ca="1">ROUND(E924*F924,2)</f>
        <v>0</v>
      </c>
    </row>
    <row r="925" spans="1:7" ht="15.48" thickBot="1" customHeight="1">
      <c r="A925" s="30"/>
      <c r="B925" s="30"/>
      <c r="C925" s="30"/>
      <c r="D925" s="31" t="s">
        <v>2823</v>
      </c>
      <c r="E925" s="30"/>
      <c r="F925" s="33">
        <f ca="1">ROUND((G920+G921+G922+G923+G924)*(1+G2/100),2)</f>
        <v>0</v>
      </c>
      <c r="G925" s="30"/>
    </row>
    <row r="926" spans="1:7" ht="15.48" thickBot="1" customHeight="1">
      <c r="A926" s="34" t="s">
        <v>2824</v>
      </c>
      <c r="B926" s="35" t="s">
        <v>2825</v>
      </c>
      <c r="C926" s="35" t="s">
        <v>2826</v>
      </c>
      <c r="D926" s="36" t="s">
        <v>2827</v>
      </c>
      <c r="E926" s="37"/>
      <c r="F926" s="38">
        <f ca="1">F933</f>
        <v>0</v>
      </c>
      <c r="G926" s="37"/>
    </row>
    <row r="927" spans="1:7" ht="58.32" thickBot="1" customHeight="1">
      <c r="A927" s="26"/>
      <c r="B927" s="26"/>
      <c r="C927" s="26"/>
      <c r="D927" s="25" t="s">
        <v>2828</v>
      </c>
      <c r="E927" s="25"/>
      <c r="F927" s="25"/>
      <c r="G927" s="25"/>
    </row>
    <row r="928" spans="1:7" ht="39.84" thickBot="1" customHeight="1">
      <c r="A928" s="24" t="s">
        <v>2829</v>
      </c>
      <c r="B928" s="24" t="s">
        <v>2830</v>
      </c>
      <c r="C928" s="24" t="s">
        <v>2831</v>
      </c>
      <c r="D928" s="25" t="s">
        <v>2832</v>
      </c>
      <c r="E928" s="28">
        <v>1.00000</v>
      </c>
      <c r="F928" s="29">
        <f ca="1">ROUND(10.500,3)</f>
        <v>0</v>
      </c>
      <c r="G928" s="27">
        <f ca="1">ROUND(E928*F928,2)</f>
        <v>0</v>
      </c>
    </row>
    <row r="929" spans="1:7" ht="30.60" thickBot="1" customHeight="1">
      <c r="A929" s="24" t="s">
        <v>2833</v>
      </c>
      <c r="B929" s="24" t="s">
        <v>2834</v>
      </c>
      <c r="C929" s="24" t="s">
        <v>2835</v>
      </c>
      <c r="D929" s="25" t="s">
        <v>2836</v>
      </c>
      <c r="E929" s="28">
        <v>0.00916</v>
      </c>
      <c r="F929" s="29">
        <f ca="1">ROUND(92.030,3)</f>
        <v>0</v>
      </c>
      <c r="G929" s="27">
        <f ca="1">ROUND(E929*F929,2)</f>
        <v>0</v>
      </c>
    </row>
    <row r="930" spans="1:7" ht="21.36" thickBot="1" customHeight="1">
      <c r="A930" s="24" t="s">
        <v>2837</v>
      </c>
      <c r="B930" s="24" t="s">
        <v>2838</v>
      </c>
      <c r="C930" s="24" t="s">
        <v>2839</v>
      </c>
      <c r="D930" s="25" t="s">
        <v>2840</v>
      </c>
      <c r="E930" s="28">
        <v>0.02100</v>
      </c>
      <c r="F930" s="29">
        <f ca="1">ROUND(6.320,3)</f>
        <v>0</v>
      </c>
      <c r="G930" s="27">
        <f ca="1">ROUND(E930*F930,2)</f>
        <v>0</v>
      </c>
    </row>
    <row r="931" spans="1:7" ht="21.36" thickBot="1" customHeight="1">
      <c r="A931" s="24" t="s">
        <v>2841</v>
      </c>
      <c r="B931" s="24" t="s">
        <v>2842</v>
      </c>
      <c r="C931" s="24" t="s">
        <v>2843</v>
      </c>
      <c r="D931" s="25" t="s">
        <v>2844</v>
      </c>
      <c r="E931" s="28">
        <v>0.00400</v>
      </c>
      <c r="F931" s="29">
        <f ca="1">ROUND(4.800,3)</f>
        <v>0</v>
      </c>
      <c r="G931" s="27">
        <f ca="1">ROUND(E931*F931,2)</f>
        <v>0</v>
      </c>
    </row>
    <row r="932" spans="1:7" ht="24.36" thickBot="1" customHeight="1">
      <c r="A932" s="24" t="s">
        <v>2845</v>
      </c>
      <c r="B932" s="24" t="s">
        <v>2846</v>
      </c>
      <c r="C932" s="24" t="s">
        <v>2847</v>
      </c>
      <c r="D932" s="25" t="s">
        <v>2848</v>
      </c>
      <c r="E932" s="28">
        <v>0.16500</v>
      </c>
      <c r="F932" s="29">
        <f ca="1">ROUND(40.000,3)</f>
        <v>0</v>
      </c>
      <c r="G932" s="27">
        <f ca="1">ROUND(E932*F932,2)</f>
        <v>0</v>
      </c>
    </row>
    <row r="933" spans="1:7" ht="15.48" thickBot="1" customHeight="1">
      <c r="A933" s="30"/>
      <c r="B933" s="30"/>
      <c r="C933" s="30"/>
      <c r="D933" s="31" t="s">
        <v>2849</v>
      </c>
      <c r="E933" s="30"/>
      <c r="F933" s="33">
        <f ca="1">ROUND((G928+G929+G930+G931+G932)*(1+G2/100),2)</f>
        <v>0</v>
      </c>
      <c r="G933" s="30"/>
    </row>
    <row r="934" spans="1:7" ht="21.36" thickBot="1" customHeight="1">
      <c r="A934" s="34" t="s">
        <v>2850</v>
      </c>
      <c r="B934" s="35" t="s">
        <v>2851</v>
      </c>
      <c r="C934" s="35" t="s">
        <v>2852</v>
      </c>
      <c r="D934" s="36" t="s">
        <v>2853</v>
      </c>
      <c r="E934" s="37"/>
      <c r="F934" s="38">
        <f ca="1">F937</f>
        <v>0</v>
      </c>
      <c r="G934" s="37"/>
    </row>
    <row r="935" spans="1:7" ht="39.84" thickBot="1" customHeight="1">
      <c r="A935" s="26"/>
      <c r="B935" s="26"/>
      <c r="C935" s="26"/>
      <c r="D935" s="25" t="s">
        <v>2854</v>
      </c>
      <c r="E935" s="25"/>
      <c r="F935" s="25"/>
      <c r="G935" s="25"/>
    </row>
    <row r="936" spans="1:7" ht="39.84" thickBot="1" customHeight="1">
      <c r="A936" s="24" t="s">
        <v>2855</v>
      </c>
      <c r="B936" s="24" t="s">
        <v>2856</v>
      </c>
      <c r="C936" s="24" t="s">
        <v>2857</v>
      </c>
      <c r="D936" s="25" t="s">
        <v>2858</v>
      </c>
      <c r="E936" s="28">
        <v>1.00000</v>
      </c>
      <c r="F936" s="29">
        <f ca="1">ROUND(22.000,3)</f>
        <v>0</v>
      </c>
      <c r="G936" s="27">
        <f ca="1">ROUND(E936*F936,2)</f>
        <v>0</v>
      </c>
    </row>
    <row r="937" spans="1:7" ht="15.48" thickBot="1" customHeight="1">
      <c r="A937" s="30"/>
      <c r="B937" s="30"/>
      <c r="C937" s="30"/>
      <c r="D937" s="31" t="s">
        <v>2859</v>
      </c>
      <c r="E937" s="30"/>
      <c r="F937" s="33">
        <f ca="1">ROUND((G936)*(1+G2/100),2)</f>
        <v>0</v>
      </c>
      <c r="G937" s="30"/>
    </row>
    <row r="938" spans="1:7" ht="21.36" thickBot="1" customHeight="1">
      <c r="A938" s="34" t="s">
        <v>2860</v>
      </c>
      <c r="B938" s="35" t="s">
        <v>2861</v>
      </c>
      <c r="C938" s="35" t="s">
        <v>2862</v>
      </c>
      <c r="D938" s="36" t="s">
        <v>2863</v>
      </c>
      <c r="E938" s="37"/>
      <c r="F938" s="38">
        <f ca="1">F941</f>
        <v>0</v>
      </c>
      <c r="G938" s="37"/>
    </row>
    <row r="939" spans="1:7" ht="39.84" thickBot="1" customHeight="1">
      <c r="A939" s="26"/>
      <c r="B939" s="26"/>
      <c r="C939" s="26"/>
      <c r="D939" s="25" t="s">
        <v>2864</v>
      </c>
      <c r="E939" s="25"/>
      <c r="F939" s="25"/>
      <c r="G939" s="25"/>
    </row>
    <row r="940" spans="1:7" ht="21.36" thickBot="1" customHeight="1">
      <c r="A940" s="24" t="s">
        <v>2865</v>
      </c>
      <c r="B940" s="24" t="s">
        <v>2866</v>
      </c>
      <c r="C940" s="24" t="s">
        <v>2867</v>
      </c>
      <c r="D940" s="25" t="s">
        <v>2868</v>
      </c>
      <c r="E940" s="28">
        <v>1.00000</v>
      </c>
      <c r="F940" s="29">
        <f ca="1">ROUND(600.000,3)</f>
        <v>0</v>
      </c>
      <c r="G940" s="27">
        <f ca="1">ROUND(E940*F940,2)</f>
        <v>0</v>
      </c>
    </row>
    <row r="941" spans="1:7" ht="15.48" thickBot="1" customHeight="1">
      <c r="A941" s="30"/>
      <c r="B941" s="30"/>
      <c r="C941" s="30"/>
      <c r="D941" s="31" t="s">
        <v>2869</v>
      </c>
      <c r="E941" s="30"/>
      <c r="F941" s="33">
        <f ca="1">ROUND((G940)*(1+G2/100),2)</f>
        <v>0</v>
      </c>
      <c r="G941" s="30"/>
    </row>
    <row r="942" spans="1:7" ht="21.36" thickBot="1" customHeight="1">
      <c r="A942" s="34" t="s">
        <v>2870</v>
      </c>
      <c r="B942" s="35" t="s">
        <v>2871</v>
      </c>
      <c r="C942" s="35" t="s">
        <v>2872</v>
      </c>
      <c r="D942" s="36" t="s">
        <v>2873</v>
      </c>
      <c r="E942" s="37"/>
      <c r="F942" s="38">
        <f ca="1">F951</f>
        <v>0</v>
      </c>
      <c r="G942" s="37"/>
    </row>
    <row r="943" spans="1:7" ht="21.36" thickBot="1" customHeight="1">
      <c r="A943" s="26"/>
      <c r="B943" s="26"/>
      <c r="C943" s="26"/>
      <c r="D943" s="25" t="s">
        <v>2874</v>
      </c>
      <c r="E943" s="25"/>
      <c r="F943" s="25"/>
      <c r="G943" s="25"/>
    </row>
    <row r="944" spans="1:7" ht="30.60" thickBot="1" customHeight="1">
      <c r="A944" s="24" t="s">
        <v>2875</v>
      </c>
      <c r="B944" s="24" t="s">
        <v>2876</v>
      </c>
      <c r="C944" s="24" t="s">
        <v>2877</v>
      </c>
      <c r="D944" s="25" t="s">
        <v>2878</v>
      </c>
      <c r="E944" s="28">
        <v>0.00916</v>
      </c>
      <c r="F944" s="29">
        <f ca="1">ROUND(92.030,3)</f>
        <v>0</v>
      </c>
      <c r="G944" s="27">
        <f ca="1">ROUND(E944*F944,2)</f>
        <v>0</v>
      </c>
    </row>
    <row r="945" spans="1:7" ht="21.36" thickBot="1" customHeight="1">
      <c r="A945" s="24" t="s">
        <v>2879</v>
      </c>
      <c r="B945" s="24" t="s">
        <v>2880</v>
      </c>
      <c r="C945" s="24" t="s">
        <v>2881</v>
      </c>
      <c r="D945" s="25" t="s">
        <v>2882</v>
      </c>
      <c r="E945" s="28">
        <v>0.02100</v>
      </c>
      <c r="F945" s="29">
        <f ca="1">ROUND(6.320,3)</f>
        <v>0</v>
      </c>
      <c r="G945" s="27">
        <f ca="1">ROUND(E945*F945,2)</f>
        <v>0</v>
      </c>
    </row>
    <row r="946" spans="1:7" ht="21.36" thickBot="1" customHeight="1">
      <c r="A946" s="24" t="s">
        <v>2883</v>
      </c>
      <c r="B946" s="24" t="s">
        <v>2884</v>
      </c>
      <c r="C946" s="24" t="s">
        <v>2885</v>
      </c>
      <c r="D946" s="25" t="s">
        <v>2886</v>
      </c>
      <c r="E946" s="28">
        <v>0.00400</v>
      </c>
      <c r="F946" s="29">
        <f ca="1">ROUND(4.800,3)</f>
        <v>0</v>
      </c>
      <c r="G946" s="27">
        <f ca="1">ROUND(E946*F946,2)</f>
        <v>0</v>
      </c>
    </row>
    <row r="947" spans="1:7" ht="21.36" thickBot="1" customHeight="1">
      <c r="A947" s="24" t="s">
        <v>2887</v>
      </c>
      <c r="B947" s="24" t="s">
        <v>2888</v>
      </c>
      <c r="C947" s="24" t="s">
        <v>2889</v>
      </c>
      <c r="D947" s="25" t="s">
        <v>2890</v>
      </c>
      <c r="E947" s="28">
        <v>0.00500</v>
      </c>
      <c r="F947" s="29">
        <f ca="1">F949</f>
        <v>0</v>
      </c>
      <c r="G947" s="27">
        <f ca="1">ROUND(E947*F947,2)</f>
        <v>0</v>
      </c>
    </row>
    <row r="948" spans="1:7" ht="24.36" thickBot="1" customHeight="1">
      <c r="A948" s="24" t="s">
        <v>2891</v>
      </c>
      <c r="B948" s="24" t="s">
        <v>2892</v>
      </c>
      <c r="C948" s="24" t="s">
        <v>2893</v>
      </c>
      <c r="D948" s="25" t="s">
        <v>2894</v>
      </c>
      <c r="E948" s="28">
        <v>1.00000</v>
      </c>
      <c r="F948" s="29">
        <f ca="1">ROUND(40.000,3)</f>
        <v>0</v>
      </c>
      <c r="G948" s="27">
        <f ca="1">ROUND(E948*F948,2)</f>
        <v>0</v>
      </c>
    </row>
    <row r="949" spans="1:7" ht="15.12" thickBot="1" customHeight="1">
      <c r="A949" s="26"/>
      <c r="B949" s="26"/>
      <c r="C949" s="26"/>
      <c r="D949" s="24" t="s">
        <v>2895</v>
      </c>
      <c r="E949" s="28">
        <v>0.00500</v>
      </c>
      <c r="F949" s="29">
        <f ca="1">ROUND((G948),3)</f>
        <v>0</v>
      </c>
      <c r="G949" s="27">
        <f ca="1">ROUND(E949*F949,2)</f>
        <v>0</v>
      </c>
    </row>
    <row r="950" spans="1:7" ht="15.12" thickBot="1" customHeight="1">
      <c r="A950" s="24" t="s">
        <v>2896</v>
      </c>
      <c r="B950" s="24"/>
      <c r="C950" s="24" t="s">
        <v>2897</v>
      </c>
      <c r="D950" s="25" t="s">
        <v>2898</v>
      </c>
      <c r="E950" s="28">
        <v>3.00000</v>
      </c>
      <c r="F950" s="29">
        <f ca="1">ROUND(0.200,3)</f>
        <v>0</v>
      </c>
      <c r="G950" s="27">
        <f ca="1">ROUND((E950*F950)/100,2)</f>
        <v>0</v>
      </c>
    </row>
    <row r="951" spans="1:7" ht="15.48" thickBot="1" customHeight="1">
      <c r="A951" s="30"/>
      <c r="B951" s="30"/>
      <c r="C951" s="30"/>
      <c r="D951" s="31" t="s">
        <v>2899</v>
      </c>
      <c r="E951" s="30"/>
      <c r="F951" s="33">
        <f ca="1">ROUND((G944+G945+G946+G947+G950)*(1+G2/100),2)</f>
        <v>0</v>
      </c>
      <c r="G951" s="30"/>
    </row>
    <row r="952" spans="1:7" ht="21.36" thickBot="1" customHeight="1">
      <c r="A952" s="34" t="s">
        <v>2900</v>
      </c>
      <c r="B952" s="35" t="s">
        <v>2901</v>
      </c>
      <c r="C952" s="35" t="s">
        <v>2902</v>
      </c>
      <c r="D952" s="36" t="s">
        <v>2903</v>
      </c>
      <c r="E952" s="37"/>
      <c r="F952" s="38">
        <f ca="1">F967</f>
        <v>0</v>
      </c>
      <c r="G952" s="37"/>
    </row>
    <row r="953" spans="1:7" ht="58.32" thickBot="1" customHeight="1">
      <c r="A953" s="26"/>
      <c r="B953" s="26"/>
      <c r="C953" s="26"/>
      <c r="D953" s="25" t="s">
        <v>2904</v>
      </c>
      <c r="E953" s="25"/>
      <c r="F953" s="25"/>
      <c r="G953" s="25"/>
    </row>
    <row r="954" spans="1:7" ht="39.84" thickBot="1" customHeight="1">
      <c r="A954" s="24" t="s">
        <v>2905</v>
      </c>
      <c r="B954" s="24" t="s">
        <v>2906</v>
      </c>
      <c r="C954" s="24" t="s">
        <v>2907</v>
      </c>
      <c r="D954" s="25" t="s">
        <v>2908</v>
      </c>
      <c r="E954" s="28">
        <v>0.07000</v>
      </c>
      <c r="F954" s="29">
        <f ca="1">ROUND(36.980,3)</f>
        <v>0</v>
      </c>
      <c r="G954" s="27">
        <f ca="1">ROUND(E954*F954,2)</f>
        <v>0</v>
      </c>
    </row>
    <row r="955" spans="1:7" ht="30.60" thickBot="1" customHeight="1">
      <c r="A955" s="24" t="s">
        <v>2909</v>
      </c>
      <c r="B955" s="24" t="s">
        <v>2910</v>
      </c>
      <c r="C955" s="24" t="s">
        <v>2911</v>
      </c>
      <c r="D955" s="25" t="s">
        <v>2912</v>
      </c>
      <c r="E955" s="28">
        <v>0.50000</v>
      </c>
      <c r="F955" s="29">
        <f ca="1">ROUND(4.260,3)</f>
        <v>0</v>
      </c>
      <c r="G955" s="27">
        <f ca="1">ROUND(E955*F955,2)</f>
        <v>0</v>
      </c>
    </row>
    <row r="956" spans="1:7" ht="21.36" thickBot="1" customHeight="1">
      <c r="A956" s="24" t="s">
        <v>2913</v>
      </c>
      <c r="B956" s="24" t="s">
        <v>2914</v>
      </c>
      <c r="C956" s="24" t="s">
        <v>2915</v>
      </c>
      <c r="D956" s="25" t="s">
        <v>2916</v>
      </c>
      <c r="E956" s="28">
        <v>0.50000</v>
      </c>
      <c r="F956" s="29">
        <f ca="1">ROUND(1.690,3)</f>
        <v>0</v>
      </c>
      <c r="G956" s="27">
        <f ca="1">ROUND(E956*F956,2)</f>
        <v>0</v>
      </c>
    </row>
    <row r="957" spans="1:7" ht="30.60" thickBot="1" customHeight="1">
      <c r="A957" s="24" t="s">
        <v>2917</v>
      </c>
      <c r="B957" s="24" t="s">
        <v>2918</v>
      </c>
      <c r="C957" s="24" t="s">
        <v>2919</v>
      </c>
      <c r="D957" s="25" t="s">
        <v>2920</v>
      </c>
      <c r="E957" s="28">
        <v>0.10000</v>
      </c>
      <c r="F957" s="29">
        <f ca="1">ROUND(24.140,3)</f>
        <v>0</v>
      </c>
      <c r="G957" s="27">
        <f ca="1">ROUND(E957*F957,2)</f>
        <v>0</v>
      </c>
    </row>
    <row r="958" spans="1:7" ht="30.60" thickBot="1" customHeight="1">
      <c r="A958" s="24" t="s">
        <v>2921</v>
      </c>
      <c r="B958" s="24" t="s">
        <v>2922</v>
      </c>
      <c r="C958" s="24" t="s">
        <v>2923</v>
      </c>
      <c r="D958" s="25" t="s">
        <v>2924</v>
      </c>
      <c r="E958" s="28">
        <v>0.01000</v>
      </c>
      <c r="F958" s="29">
        <f ca="1">ROUND(4.580,3)</f>
        <v>0</v>
      </c>
      <c r="G958" s="27">
        <f ca="1">ROUND(E958*F958,2)</f>
        <v>0</v>
      </c>
    </row>
    <row r="959" spans="1:7" ht="30.60" thickBot="1" customHeight="1">
      <c r="A959" s="24" t="s">
        <v>2925</v>
      </c>
      <c r="B959" s="24" t="s">
        <v>2926</v>
      </c>
      <c r="C959" s="24" t="s">
        <v>2927</v>
      </c>
      <c r="D959" s="25" t="s">
        <v>2928</v>
      </c>
      <c r="E959" s="28">
        <v>0.05000</v>
      </c>
      <c r="F959" s="29">
        <f ca="1">ROUND(6.090,3)</f>
        <v>0</v>
      </c>
      <c r="G959" s="27">
        <f ca="1">ROUND(E959*F959,2)</f>
        <v>0</v>
      </c>
    </row>
    <row r="960" spans="1:7" ht="21.36" thickBot="1" customHeight="1">
      <c r="A960" s="24" t="s">
        <v>2929</v>
      </c>
      <c r="B960" s="24" t="s">
        <v>2930</v>
      </c>
      <c r="C960" s="24" t="s">
        <v>2931</v>
      </c>
      <c r="D960" s="25" t="s">
        <v>2932</v>
      </c>
      <c r="E960" s="28">
        <v>0.15000</v>
      </c>
      <c r="F960" s="29">
        <f ca="1">ROUND(4.800,3)</f>
        <v>0</v>
      </c>
      <c r="G960" s="27">
        <f ca="1">ROUND(E960*F960,2)</f>
        <v>0</v>
      </c>
    </row>
    <row r="961" spans="1:7" ht="21.36" thickBot="1" customHeight="1">
      <c r="A961" s="24" t="s">
        <v>2933</v>
      </c>
      <c r="B961" s="24" t="s">
        <v>2934</v>
      </c>
      <c r="C961" s="24" t="s">
        <v>2935</v>
      </c>
      <c r="D961" s="25" t="s">
        <v>2936</v>
      </c>
      <c r="E961" s="28">
        <v>0.40000</v>
      </c>
      <c r="F961" s="29">
        <f ca="1">F965</f>
        <v>0</v>
      </c>
      <c r="G961" s="27">
        <f ca="1">ROUND(E961*F961,2)</f>
        <v>0</v>
      </c>
    </row>
    <row r="962" spans="1:7" ht="24.36" thickBot="1" customHeight="1">
      <c r="A962" s="24" t="s">
        <v>2937</v>
      </c>
      <c r="B962" s="24" t="s">
        <v>2938</v>
      </c>
      <c r="C962" s="24" t="s">
        <v>2939</v>
      </c>
      <c r="D962" s="25" t="s">
        <v>2940</v>
      </c>
      <c r="E962" s="28">
        <v>1.00000</v>
      </c>
      <c r="F962" s="29">
        <f ca="1">ROUND(21.000,3)</f>
        <v>0</v>
      </c>
      <c r="G962" s="27">
        <f ca="1">ROUND(E962*F962,2)</f>
        <v>0</v>
      </c>
    </row>
    <row r="963" spans="1:7" ht="24.36" thickBot="1" customHeight="1">
      <c r="A963" s="24" t="s">
        <v>2941</v>
      </c>
      <c r="B963" s="24" t="s">
        <v>2942</v>
      </c>
      <c r="C963" s="24" t="s">
        <v>2943</v>
      </c>
      <c r="D963" s="25" t="s">
        <v>2944</v>
      </c>
      <c r="E963" s="28">
        <v>1.00000</v>
      </c>
      <c r="F963" s="29">
        <f ca="1">ROUND(19.000,3)</f>
        <v>0</v>
      </c>
      <c r="G963" s="27">
        <f ca="1">ROUND(E963*F963,2)</f>
        <v>0</v>
      </c>
    </row>
    <row r="964" spans="1:7" ht="24.36" thickBot="1" customHeight="1">
      <c r="A964" s="24" t="s">
        <v>2945</v>
      </c>
      <c r="B964" s="24" t="s">
        <v>2946</v>
      </c>
      <c r="C964" s="24" t="s">
        <v>2947</v>
      </c>
      <c r="D964" s="25" t="s">
        <v>2948</v>
      </c>
      <c r="E964" s="28">
        <v>0.20000</v>
      </c>
      <c r="F964" s="29">
        <f ca="1">ROUND(19.000,3)</f>
        <v>0</v>
      </c>
      <c r="G964" s="27">
        <f ca="1">ROUND(E964*F964,2)</f>
        <v>0</v>
      </c>
    </row>
    <row r="965" spans="1:7" ht="15.12" thickBot="1" customHeight="1">
      <c r="A965" s="26"/>
      <c r="B965" s="26"/>
      <c r="C965" s="26"/>
      <c r="D965" s="24" t="s">
        <v>2949</v>
      </c>
      <c r="E965" s="28">
        <v>0.40000</v>
      </c>
      <c r="F965" s="29">
        <f ca="1">ROUND((G962+G963+G964),3)</f>
        <v>0</v>
      </c>
      <c r="G965" s="27">
        <f ca="1">ROUND(E965*F965,2)</f>
        <v>0</v>
      </c>
    </row>
    <row r="966" spans="1:7" ht="15.12" thickBot="1" customHeight="1">
      <c r="A966" s="24" t="s">
        <v>2950</v>
      </c>
      <c r="B966" s="24"/>
      <c r="C966" s="24" t="s">
        <v>2951</v>
      </c>
      <c r="D966" s="25" t="s">
        <v>2952</v>
      </c>
      <c r="E966" s="28">
        <v>3.00000</v>
      </c>
      <c r="F966" s="29">
        <f ca="1">ROUND(17.520,3)</f>
        <v>0</v>
      </c>
      <c r="G966" s="27">
        <f ca="1">ROUND((E966*F966)/100,2)</f>
        <v>0</v>
      </c>
    </row>
    <row r="967" spans="1:7" ht="15.48" thickBot="1" customHeight="1">
      <c r="A967" s="30"/>
      <c r="B967" s="30"/>
      <c r="C967" s="30"/>
      <c r="D967" s="31" t="s">
        <v>2953</v>
      </c>
      <c r="E967" s="30"/>
      <c r="F967" s="33">
        <f ca="1">ROUND((G954+G955+G956+G957+G958+G959+G960+G961+G966)*(1+G2/100),2)</f>
        <v>0</v>
      </c>
      <c r="G967" s="30"/>
    </row>
    <row r="968" spans="1:7" ht="15.48" thickBot="1" customHeight="1">
      <c r="A968" s="34" t="s">
        <v>2954</v>
      </c>
      <c r="B968" s="35" t="s">
        <v>2955</v>
      </c>
      <c r="C968" s="35" t="s">
        <v>2956</v>
      </c>
      <c r="D968" s="36" t="s">
        <v>2957</v>
      </c>
      <c r="E968" s="37"/>
      <c r="F968" s="38">
        <f ca="1">F971</f>
        <v>0</v>
      </c>
      <c r="G968" s="37"/>
    </row>
    <row r="969" spans="1:7" ht="39.84" thickBot="1" customHeight="1">
      <c r="A969" s="26"/>
      <c r="B969" s="26"/>
      <c r="C969" s="26"/>
      <c r="D969" s="25" t="s">
        <v>2958</v>
      </c>
      <c r="E969" s="25"/>
      <c r="F969" s="25"/>
      <c r="G969" s="25"/>
    </row>
    <row r="970" spans="1:7" ht="24.36" thickBot="1" customHeight="1">
      <c r="A970" s="24" t="s">
        <v>2959</v>
      </c>
      <c r="B970" s="24" t="s">
        <v>2960</v>
      </c>
      <c r="C970" s="24" t="s">
        <v>2961</v>
      </c>
      <c r="D970" s="25" t="s">
        <v>2962</v>
      </c>
      <c r="E970" s="28">
        <v>1.00000</v>
      </c>
      <c r="F970" s="29">
        <f ca="1">ROUND(1190.000,3)</f>
        <v>0</v>
      </c>
      <c r="G970" s="27">
        <f ca="1">ROUND(E970*F970,2)</f>
        <v>0</v>
      </c>
    </row>
    <row r="971" spans="1:7" ht="15.48" thickBot="1" customHeight="1">
      <c r="A971" s="30"/>
      <c r="B971" s="30"/>
      <c r="C971" s="30"/>
      <c r="D971" s="31" t="s">
        <v>2963</v>
      </c>
      <c r="E971" s="30"/>
      <c r="F971" s="33">
        <f ca="1">ROUND((G970)*(1+G2/100),2)</f>
        <v>0</v>
      </c>
      <c r="G971" s="30"/>
    </row>
    <row r="972" spans="1:7" ht="15.48" thickBot="1" customHeight="1">
      <c r="A972" s="34" t="s">
        <v>2964</v>
      </c>
      <c r="B972" s="35" t="s">
        <v>2965</v>
      </c>
      <c r="C972" s="35" t="s">
        <v>2966</v>
      </c>
      <c r="D972" s="36" t="s">
        <v>2967</v>
      </c>
      <c r="E972" s="37"/>
      <c r="F972" s="38">
        <f ca="1">F980</f>
        <v>0</v>
      </c>
      <c r="G972" s="37"/>
    </row>
    <row r="973" spans="1:7" ht="30.60" thickBot="1" customHeight="1">
      <c r="A973" s="26"/>
      <c r="B973" s="26"/>
      <c r="C973" s="26"/>
      <c r="D973" s="25" t="s">
        <v>2968</v>
      </c>
      <c r="E973" s="25"/>
      <c r="F973" s="25"/>
      <c r="G973" s="25"/>
    </row>
    <row r="974" spans="1:7" ht="39.84" thickBot="1" customHeight="1">
      <c r="A974" s="24" t="s">
        <v>2969</v>
      </c>
      <c r="B974" s="24" t="s">
        <v>2970</v>
      </c>
      <c r="C974" s="24" t="s">
        <v>2971</v>
      </c>
      <c r="D974" s="25" t="s">
        <v>2972</v>
      </c>
      <c r="E974" s="28">
        <v>1.00000</v>
      </c>
      <c r="F974" s="29">
        <f ca="1">ROUND(35.000,3)</f>
        <v>0</v>
      </c>
      <c r="G974" s="27">
        <f ca="1">ROUND(E974*F974,2)</f>
        <v>0</v>
      </c>
    </row>
    <row r="975" spans="1:7" ht="21.36" thickBot="1" customHeight="1">
      <c r="A975" s="24" t="s">
        <v>2973</v>
      </c>
      <c r="B975" s="24" t="s">
        <v>2974</v>
      </c>
      <c r="C975" s="24" t="s">
        <v>2975</v>
      </c>
      <c r="D975" s="25" t="s">
        <v>2976</v>
      </c>
      <c r="E975" s="28">
        <v>0.50000</v>
      </c>
      <c r="F975" s="29">
        <f ca="1">F979</f>
        <v>0</v>
      </c>
      <c r="G975" s="27">
        <f ca="1">ROUND(E975*F975,2)</f>
        <v>0</v>
      </c>
    </row>
    <row r="976" spans="1:7" ht="24.36" thickBot="1" customHeight="1">
      <c r="A976" s="24" t="s">
        <v>2977</v>
      </c>
      <c r="B976" s="24" t="s">
        <v>2978</v>
      </c>
      <c r="C976" s="24" t="s">
        <v>2979</v>
      </c>
      <c r="D976" s="25" t="s">
        <v>2980</v>
      </c>
      <c r="E976" s="28">
        <v>1.00000</v>
      </c>
      <c r="F976" s="29">
        <f ca="1">ROUND(21.000,3)</f>
        <v>0</v>
      </c>
      <c r="G976" s="27">
        <f ca="1">ROUND(E976*F976,2)</f>
        <v>0</v>
      </c>
    </row>
    <row r="977" spans="1:7" ht="24.36" thickBot="1" customHeight="1">
      <c r="A977" s="24" t="s">
        <v>2981</v>
      </c>
      <c r="B977" s="24" t="s">
        <v>2982</v>
      </c>
      <c r="C977" s="24" t="s">
        <v>2983</v>
      </c>
      <c r="D977" s="25" t="s">
        <v>2984</v>
      </c>
      <c r="E977" s="28">
        <v>1.00000</v>
      </c>
      <c r="F977" s="29">
        <f ca="1">ROUND(19.000,3)</f>
        <v>0</v>
      </c>
      <c r="G977" s="27">
        <f ca="1">ROUND(E977*F977,2)</f>
        <v>0</v>
      </c>
    </row>
    <row r="978" spans="1:7" ht="24.36" thickBot="1" customHeight="1">
      <c r="A978" s="24" t="s">
        <v>2985</v>
      </c>
      <c r="B978" s="24" t="s">
        <v>2986</v>
      </c>
      <c r="C978" s="24" t="s">
        <v>2987</v>
      </c>
      <c r="D978" s="25" t="s">
        <v>2988</v>
      </c>
      <c r="E978" s="28">
        <v>0.20000</v>
      </c>
      <c r="F978" s="29">
        <f ca="1">ROUND(19.000,3)</f>
        <v>0</v>
      </c>
      <c r="G978" s="27">
        <f ca="1">ROUND(E978*F978,2)</f>
        <v>0</v>
      </c>
    </row>
    <row r="979" spans="1:7" ht="15.12" thickBot="1" customHeight="1">
      <c r="A979" s="26"/>
      <c r="B979" s="26"/>
      <c r="C979" s="26"/>
      <c r="D979" s="24" t="s">
        <v>2989</v>
      </c>
      <c r="E979" s="28">
        <v>0.50000</v>
      </c>
      <c r="F979" s="29">
        <f ca="1">ROUND((G976+G977+G978),3)</f>
        <v>0</v>
      </c>
      <c r="G979" s="27">
        <f ca="1">ROUND(E979*F979,2)</f>
        <v>0</v>
      </c>
    </row>
    <row r="980" spans="1:7" ht="15.48" thickBot="1" customHeight="1">
      <c r="A980" s="30"/>
      <c r="B980" s="30"/>
      <c r="C980" s="30"/>
      <c r="D980" s="31" t="s">
        <v>2990</v>
      </c>
      <c r="E980" s="30"/>
      <c r="F980" s="33">
        <f ca="1">ROUND((G974+G975)*(1+G2/100),2)</f>
        <v>0</v>
      </c>
      <c r="G980" s="30"/>
    </row>
    <row r="981" spans="1:7" ht="15.48" thickBot="1" customHeight="1">
      <c r="A981" s="34" t="s">
        <v>2991</v>
      </c>
      <c r="B981" s="35" t="s">
        <v>2992</v>
      </c>
      <c r="C981" s="35" t="s">
        <v>2993</v>
      </c>
      <c r="D981" s="36" t="s">
        <v>2994</v>
      </c>
      <c r="E981" s="37"/>
      <c r="F981" s="38">
        <f ca="1">F985</f>
        <v>0</v>
      </c>
      <c r="G981" s="37"/>
    </row>
    <row r="982" spans="1:7" ht="49.08" thickBot="1" customHeight="1">
      <c r="A982" s="26"/>
      <c r="B982" s="26"/>
      <c r="C982" s="26"/>
      <c r="D982" s="25" t="s">
        <v>2995</v>
      </c>
      <c r="E982" s="25"/>
      <c r="F982" s="25"/>
      <c r="G982" s="25"/>
    </row>
    <row r="983" spans="1:7" ht="39.84" thickBot="1" customHeight="1">
      <c r="A983" s="24" t="s">
        <v>2996</v>
      </c>
      <c r="B983" s="24" t="s">
        <v>2997</v>
      </c>
      <c r="C983" s="24" t="s">
        <v>2998</v>
      </c>
      <c r="D983" s="25" t="s">
        <v>2999</v>
      </c>
      <c r="E983" s="28">
        <v>0.50000</v>
      </c>
      <c r="F983" s="29">
        <f ca="1">ROUND(750.000,3)</f>
        <v>0</v>
      </c>
      <c r="G983" s="27">
        <f ca="1">ROUND(E983*F983,2)</f>
        <v>0</v>
      </c>
    </row>
    <row r="984" spans="1:7" ht="24.36" thickBot="1" customHeight="1">
      <c r="A984" s="24" t="s">
        <v>3000</v>
      </c>
      <c r="B984" s="24" t="s">
        <v>3001</v>
      </c>
      <c r="C984" s="24" t="s">
        <v>3002</v>
      </c>
      <c r="D984" s="25" t="s">
        <v>3003</v>
      </c>
      <c r="E984" s="28">
        <v>4.00000</v>
      </c>
      <c r="F984" s="29">
        <f ca="1">ROUND(40.000,3)</f>
        <v>0</v>
      </c>
      <c r="G984" s="27">
        <f ca="1">ROUND(E984*F984,2)</f>
        <v>0</v>
      </c>
    </row>
    <row r="985" spans="1:7" ht="15.48" thickBot="1" customHeight="1">
      <c r="A985" s="30"/>
      <c r="B985" s="30"/>
      <c r="C985" s="30"/>
      <c r="D985" s="31" t="s">
        <v>3004</v>
      </c>
      <c r="E985" s="30"/>
      <c r="F985" s="33">
        <f ca="1">ROUND((G983+G984)*(1+G2/100),2)</f>
        <v>0</v>
      </c>
      <c r="G985" s="30"/>
    </row>
    <row r="986" spans="1:7" ht="15.48" thickBot="1" customHeight="1">
      <c r="A986" s="34" t="s">
        <v>3005</v>
      </c>
      <c r="B986" s="35" t="s">
        <v>3006</v>
      </c>
      <c r="C986" s="35" t="s">
        <v>3007</v>
      </c>
      <c r="D986" s="36" t="s">
        <v>3008</v>
      </c>
      <c r="E986" s="37"/>
      <c r="F986" s="38">
        <f ca="1">F991</f>
        <v>0</v>
      </c>
      <c r="G986" s="37"/>
    </row>
    <row r="987" spans="1:7" ht="58.32" thickBot="1" customHeight="1">
      <c r="A987" s="26"/>
      <c r="B987" s="26"/>
      <c r="C987" s="26"/>
      <c r="D987" s="25" t="s">
        <v>3009</v>
      </c>
      <c r="E987" s="25"/>
      <c r="F987" s="25"/>
      <c r="G987" s="25"/>
    </row>
    <row r="988" spans="1:7" ht="21.36" thickBot="1" customHeight="1">
      <c r="A988" s="24" t="s">
        <v>3010</v>
      </c>
      <c r="B988" s="24" t="s">
        <v>3011</v>
      </c>
      <c r="C988" s="24" t="s">
        <v>3012</v>
      </c>
      <c r="D988" s="25" t="s">
        <v>3013</v>
      </c>
      <c r="E988" s="28">
        <v>1.00000</v>
      </c>
      <c r="F988" s="29">
        <f ca="1">ROUND(1200.000,3)</f>
        <v>0</v>
      </c>
      <c r="G988" s="27">
        <f ca="1">ROUND(E988*F988,2)</f>
        <v>0</v>
      </c>
    </row>
    <row r="989" spans="1:7" ht="15.12" thickBot="1" customHeight="1">
      <c r="A989" s="24" t="s">
        <v>3014</v>
      </c>
      <c r="B989" s="24" t="s">
        <v>3015</v>
      </c>
      <c r="C989" s="24" t="s">
        <v>3016</v>
      </c>
      <c r="D989" s="25" t="s">
        <v>3017</v>
      </c>
      <c r="E989" s="28">
        <v>2.00000</v>
      </c>
      <c r="F989" s="29">
        <f ca="1">ROUND(75.000,3)</f>
        <v>0</v>
      </c>
      <c r="G989" s="27">
        <f ca="1">ROUND(E989*F989,2)</f>
        <v>0</v>
      </c>
    </row>
    <row r="990" spans="1:7" ht="24.36" thickBot="1" customHeight="1">
      <c r="A990" s="24" t="s">
        <v>3018</v>
      </c>
      <c r="B990" s="24" t="s">
        <v>3019</v>
      </c>
      <c r="C990" s="24" t="s">
        <v>3020</v>
      </c>
      <c r="D990" s="25" t="s">
        <v>3021</v>
      </c>
      <c r="E990" s="28">
        <v>5.00000</v>
      </c>
      <c r="F990" s="29">
        <f ca="1">ROUND(40.000,3)</f>
        <v>0</v>
      </c>
      <c r="G990" s="27">
        <f ca="1">ROUND(E990*F990,2)</f>
        <v>0</v>
      </c>
    </row>
    <row r="991" spans="1:7" ht="15.48" thickBot="1" customHeight="1">
      <c r="A991" s="30"/>
      <c r="B991" s="30"/>
      <c r="C991" s="30"/>
      <c r="D991" s="31" t="s">
        <v>3022</v>
      </c>
      <c r="E991" s="30"/>
      <c r="F991" s="33">
        <f ca="1">ROUND((G988+G989+G990)*(1+G2/100),2)</f>
        <v>0</v>
      </c>
      <c r="G991" s="30"/>
    </row>
    <row r="992" spans="1:7" ht="15.48" thickBot="1" customHeight="1">
      <c r="A992" s="34" t="s">
        <v>3023</v>
      </c>
      <c r="B992" s="35" t="s">
        <v>3024</v>
      </c>
      <c r="C992" s="35" t="s">
        <v>3025</v>
      </c>
      <c r="D992" s="36" t="s">
        <v>3026</v>
      </c>
      <c r="E992" s="37"/>
      <c r="F992" s="38">
        <f ca="1">F1000</f>
        <v>0</v>
      </c>
      <c r="G992" s="37"/>
    </row>
    <row r="993" spans="1:7" ht="58.32" thickBot="1" customHeight="1">
      <c r="A993" s="26"/>
      <c r="B993" s="26"/>
      <c r="C993" s="26"/>
      <c r="D993" s="25" t="s">
        <v>3027</v>
      </c>
      <c r="E993" s="25"/>
      <c r="F993" s="25"/>
      <c r="G993" s="25"/>
    </row>
    <row r="994" spans="1:7" ht="21.36" thickBot="1" customHeight="1">
      <c r="A994" s="24" t="s">
        <v>3028</v>
      </c>
      <c r="B994" s="24" t="s">
        <v>3029</v>
      </c>
      <c r="C994" s="24" t="s">
        <v>3030</v>
      </c>
      <c r="D994" s="25" t="s">
        <v>3031</v>
      </c>
      <c r="E994" s="28">
        <v>1.00000</v>
      </c>
      <c r="F994" s="29">
        <f ca="1">ROUND(382.500,3)</f>
        <v>0</v>
      </c>
      <c r="G994" s="27">
        <f ca="1">ROUND(E994*F994,2)</f>
        <v>0</v>
      </c>
    </row>
    <row r="995" spans="1:7" ht="21.36" thickBot="1" customHeight="1">
      <c r="A995" s="24" t="s">
        <v>3032</v>
      </c>
      <c r="B995" s="24" t="s">
        <v>3033</v>
      </c>
      <c r="C995" s="24" t="s">
        <v>3034</v>
      </c>
      <c r="D995" s="25" t="s">
        <v>3035</v>
      </c>
      <c r="E995" s="28">
        <v>1.00000</v>
      </c>
      <c r="F995" s="29">
        <f ca="1">F999</f>
        <v>0</v>
      </c>
      <c r="G995" s="27">
        <f ca="1">ROUND(E995*F995,2)</f>
        <v>0</v>
      </c>
    </row>
    <row r="996" spans="1:7" ht="24.36" thickBot="1" customHeight="1">
      <c r="A996" s="24" t="s">
        <v>3036</v>
      </c>
      <c r="B996" s="24" t="s">
        <v>3037</v>
      </c>
      <c r="C996" s="24" t="s">
        <v>3038</v>
      </c>
      <c r="D996" s="25" t="s">
        <v>3039</v>
      </c>
      <c r="E996" s="28">
        <v>1.00000</v>
      </c>
      <c r="F996" s="29">
        <f ca="1">ROUND(21.000,3)</f>
        <v>0</v>
      </c>
      <c r="G996" s="27">
        <f ca="1">ROUND(E996*F996,2)</f>
        <v>0</v>
      </c>
    </row>
    <row r="997" spans="1:7" ht="24.36" thickBot="1" customHeight="1">
      <c r="A997" s="24" t="s">
        <v>3040</v>
      </c>
      <c r="B997" s="24" t="s">
        <v>3041</v>
      </c>
      <c r="C997" s="24" t="s">
        <v>3042</v>
      </c>
      <c r="D997" s="25" t="s">
        <v>3043</v>
      </c>
      <c r="E997" s="28">
        <v>1.00000</v>
      </c>
      <c r="F997" s="29">
        <f ca="1">ROUND(19.000,3)</f>
        <v>0</v>
      </c>
      <c r="G997" s="27">
        <f ca="1">ROUND(E997*F997,2)</f>
        <v>0</v>
      </c>
    </row>
    <row r="998" spans="1:7" ht="24.36" thickBot="1" customHeight="1">
      <c r="A998" s="24" t="s">
        <v>3044</v>
      </c>
      <c r="B998" s="24" t="s">
        <v>3045</v>
      </c>
      <c r="C998" s="24" t="s">
        <v>3046</v>
      </c>
      <c r="D998" s="25" t="s">
        <v>3047</v>
      </c>
      <c r="E998" s="28">
        <v>0.20000</v>
      </c>
      <c r="F998" s="29">
        <f ca="1">ROUND(19.000,3)</f>
        <v>0</v>
      </c>
      <c r="G998" s="27">
        <f ca="1">ROUND(E998*F998,2)</f>
        <v>0</v>
      </c>
    </row>
    <row r="999" spans="1:7" ht="15.12" thickBot="1" customHeight="1">
      <c r="A999" s="26"/>
      <c r="B999" s="26"/>
      <c r="C999" s="26"/>
      <c r="D999" s="24" t="s">
        <v>3048</v>
      </c>
      <c r="E999" s="28">
        <v>1.00000</v>
      </c>
      <c r="F999" s="29">
        <f ca="1">ROUND((G996+G997+G998),3)</f>
        <v>0</v>
      </c>
      <c r="G999" s="27">
        <f ca="1">ROUND(E999*F999,2)</f>
        <v>0</v>
      </c>
    </row>
    <row r="1000" spans="1:7" ht="15.48" thickBot="1" customHeight="1">
      <c r="A1000" s="30"/>
      <c r="B1000" s="30"/>
      <c r="C1000" s="30"/>
      <c r="D1000" s="31" t="s">
        <v>3049</v>
      </c>
      <c r="E1000" s="30"/>
      <c r="F1000" s="33">
        <f ca="1">ROUND((G994+G995)*(1+G2/100),2)</f>
        <v>0</v>
      </c>
      <c r="G1000" s="30"/>
    </row>
    <row r="1001" spans="1:7" ht="21.36" thickBot="1" customHeight="1">
      <c r="A1001" s="34" t="s">
        <v>3050</v>
      </c>
      <c r="B1001" s="35" t="s">
        <v>3051</v>
      </c>
      <c r="C1001" s="35" t="s">
        <v>3052</v>
      </c>
      <c r="D1001" s="36" t="s">
        <v>3053</v>
      </c>
      <c r="E1001" s="37"/>
      <c r="F1001" s="38">
        <f ca="1">F1012</f>
        <v>0</v>
      </c>
      <c r="G1001" s="37"/>
    </row>
    <row r="1002" spans="1:7" ht="21.36" thickBot="1" customHeight="1">
      <c r="A1002" s="26"/>
      <c r="B1002" s="26"/>
      <c r="C1002" s="26"/>
      <c r="D1002" s="25" t="s">
        <v>3054</v>
      </c>
      <c r="E1002" s="25"/>
      <c r="F1002" s="25"/>
      <c r="G1002" s="25"/>
    </row>
    <row r="1003" spans="1:7" ht="21.36" thickBot="1" customHeight="1">
      <c r="A1003" s="24" t="s">
        <v>3055</v>
      </c>
      <c r="B1003" s="24" t="s">
        <v>3056</v>
      </c>
      <c r="C1003" s="24" t="s">
        <v>3057</v>
      </c>
      <c r="D1003" s="25" t="s">
        <v>3058</v>
      </c>
      <c r="E1003" s="28">
        <v>30.00000</v>
      </c>
      <c r="F1003" s="29">
        <f ca="1">ROUND(63.270,3)</f>
        <v>0</v>
      </c>
      <c r="G1003" s="27">
        <f ca="1">ROUND(E1003*F1003,2)</f>
        <v>0</v>
      </c>
    </row>
    <row r="1004" spans="1:7" ht="15.12" thickBot="1" customHeight="1">
      <c r="A1004" s="24" t="s">
        <v>3059</v>
      </c>
      <c r="B1004" s="24" t="s">
        <v>3060</v>
      </c>
      <c r="C1004" s="24" t="s">
        <v>3061</v>
      </c>
      <c r="D1004" s="25" t="s">
        <v>3062</v>
      </c>
      <c r="E1004" s="28">
        <v>1.00000</v>
      </c>
      <c r="F1004" s="29">
        <f ca="1">ROUND(8.860,3)</f>
        <v>0</v>
      </c>
      <c r="G1004" s="27">
        <f ca="1">ROUND(E1004*F1004,2)</f>
        <v>0</v>
      </c>
    </row>
    <row r="1005" spans="1:7" ht="21.36" thickBot="1" customHeight="1">
      <c r="A1005" s="24" t="s">
        <v>3063</v>
      </c>
      <c r="B1005" s="24" t="s">
        <v>3064</v>
      </c>
      <c r="C1005" s="24" t="s">
        <v>3065</v>
      </c>
      <c r="D1005" s="25" t="s">
        <v>3066</v>
      </c>
      <c r="E1005" s="28">
        <v>1.00000</v>
      </c>
      <c r="F1005" s="29">
        <f ca="1">ROUND(14.000,3)</f>
        <v>0</v>
      </c>
      <c r="G1005" s="27">
        <f ca="1">ROUND(E1005*F1005,2)</f>
        <v>0</v>
      </c>
    </row>
    <row r="1006" spans="1:7" ht="15.12" thickBot="1" customHeight="1">
      <c r="A1006" s="24" t="s">
        <v>3067</v>
      </c>
      <c r="B1006" s="24" t="s">
        <v>3068</v>
      </c>
      <c r="C1006" s="24" t="s">
        <v>3069</v>
      </c>
      <c r="D1006" s="25" t="s">
        <v>3070</v>
      </c>
      <c r="E1006" s="28">
        <v>1.00000</v>
      </c>
      <c r="F1006" s="29">
        <f ca="1">ROUND(140.000,3)</f>
        <v>0</v>
      </c>
      <c r="G1006" s="27">
        <f ca="1">ROUND(E1006*F1006,2)</f>
        <v>0</v>
      </c>
    </row>
    <row r="1007" spans="1:7" ht="15.12" thickBot="1" customHeight="1">
      <c r="A1007" s="24" t="s">
        <v>3071</v>
      </c>
      <c r="B1007" s="24" t="s">
        <v>3072</v>
      </c>
      <c r="C1007" s="24" t="s">
        <v>3073</v>
      </c>
      <c r="D1007" s="25" t="s">
        <v>3074</v>
      </c>
      <c r="E1007" s="28">
        <v>1.00000</v>
      </c>
      <c r="F1007" s="29">
        <f ca="1">ROUND(140.000,3)</f>
        <v>0</v>
      </c>
      <c r="G1007" s="27">
        <f ca="1">ROUND(E1007*F1007,2)</f>
        <v>0</v>
      </c>
    </row>
    <row r="1008" spans="1:7" ht="21.36" thickBot="1" customHeight="1">
      <c r="A1008" s="24" t="s">
        <v>3075</v>
      </c>
      <c r="B1008" s="24" t="s">
        <v>3076</v>
      </c>
      <c r="C1008" s="24" t="s">
        <v>3077</v>
      </c>
      <c r="D1008" s="25" t="s">
        <v>3078</v>
      </c>
      <c r="E1008" s="28">
        <v>0.10000</v>
      </c>
      <c r="F1008" s="29">
        <f ca="1">ROUND(150.000,3)</f>
        <v>0</v>
      </c>
      <c r="G1008" s="27">
        <f ca="1">ROUND(E1008*F1008,2)</f>
        <v>0</v>
      </c>
    </row>
    <row r="1009" spans="1:7" ht="21.36" thickBot="1" customHeight="1">
      <c r="A1009" s="24" t="s">
        <v>3079</v>
      </c>
      <c r="B1009" s="24" t="s">
        <v>3080</v>
      </c>
      <c r="C1009" s="24" t="s">
        <v>3081</v>
      </c>
      <c r="D1009" s="25" t="s">
        <v>3082</v>
      </c>
      <c r="E1009" s="28">
        <v>0.14000</v>
      </c>
      <c r="F1009" s="29">
        <f ca="1">ROUND(72.000,3)</f>
        <v>0</v>
      </c>
      <c r="G1009" s="27">
        <f ca="1">ROUND(E1009*F1009,2)</f>
        <v>0</v>
      </c>
    </row>
    <row r="1010" spans="1:7" ht="15.12" thickBot="1" customHeight="1">
      <c r="A1010" s="24" t="s">
        <v>3083</v>
      </c>
      <c r="B1010" s="24" t="s">
        <v>3084</v>
      </c>
      <c r="C1010" s="24" t="s">
        <v>3085</v>
      </c>
      <c r="D1010" s="25" t="s">
        <v>3086</v>
      </c>
      <c r="E1010" s="28">
        <v>155.00000</v>
      </c>
      <c r="F1010" s="29">
        <f ca="1">ROUND(1.900,3)</f>
        <v>0</v>
      </c>
      <c r="G1010" s="27">
        <f ca="1">ROUND(E1010*F1010,2)</f>
        <v>0</v>
      </c>
    </row>
    <row r="1011" spans="1:7" ht="24.36" thickBot="1" customHeight="1">
      <c r="A1011" s="24" t="s">
        <v>3087</v>
      </c>
      <c r="B1011" s="24" t="s">
        <v>3088</v>
      </c>
      <c r="C1011" s="24" t="s">
        <v>3089</v>
      </c>
      <c r="D1011" s="25" t="s">
        <v>3090</v>
      </c>
      <c r="E1011" s="28">
        <v>30.00000</v>
      </c>
      <c r="F1011" s="29">
        <f ca="1">ROUND(25.000,3)</f>
        <v>0</v>
      </c>
      <c r="G1011" s="27">
        <f ca="1">ROUND(E1011*F1011,2)</f>
        <v>0</v>
      </c>
    </row>
    <row r="1012" spans="1:7" ht="15.48" thickBot="1" customHeight="1">
      <c r="A1012" s="30"/>
      <c r="B1012" s="30"/>
      <c r="C1012" s="30"/>
      <c r="D1012" s="31" t="s">
        <v>3091</v>
      </c>
      <c r="E1012" s="30"/>
      <c r="F1012" s="33">
        <f ca="1">ROUND((G1003+G1004+G1005+G1006+G1007+G1008+G1009+G1010+G1011)*(1+G2/100),2)</f>
        <v>0</v>
      </c>
      <c r="G1012" s="30"/>
    </row>
    <row r="1013" spans="1:7" ht="21.36" thickBot="1" customHeight="1">
      <c r="A1013" s="34" t="s">
        <v>3092</v>
      </c>
      <c r="B1013" s="35" t="s">
        <v>3093</v>
      </c>
      <c r="C1013" s="35" t="s">
        <v>3094</v>
      </c>
      <c r="D1013" s="36" t="s">
        <v>3095</v>
      </c>
      <c r="E1013" s="37"/>
      <c r="F1013" s="38">
        <f ca="1">F1023</f>
        <v>0</v>
      </c>
      <c r="G1013" s="37"/>
    </row>
    <row r="1014" spans="1:7" ht="12.12" thickBot="1" customHeight="1">
      <c r="A1014" s="26"/>
      <c r="B1014" s="26"/>
      <c r="C1014" s="26"/>
      <c r="D1014" s="25" t="s">
        <v>3096</v>
      </c>
      <c r="E1014" s="25"/>
      <c r="F1014" s="25"/>
      <c r="G1014" s="25"/>
    </row>
    <row r="1015" spans="1:7" ht="21.36" thickBot="1" customHeight="1">
      <c r="A1015" s="24" t="s">
        <v>3097</v>
      </c>
      <c r="B1015" s="24" t="s">
        <v>3098</v>
      </c>
      <c r="C1015" s="24" t="s">
        <v>3099</v>
      </c>
      <c r="D1015" s="25" t="s">
        <v>3100</v>
      </c>
      <c r="E1015" s="28">
        <v>1.00000</v>
      </c>
      <c r="F1015" s="29">
        <f ca="1">ROUND(63.270,3)</f>
        <v>0</v>
      </c>
      <c r="G1015" s="27">
        <f ca="1">ROUND(E1015*F1015,2)</f>
        <v>0</v>
      </c>
    </row>
    <row r="1016" spans="1:7" ht="15.12" thickBot="1" customHeight="1">
      <c r="A1016" s="24" t="s">
        <v>3101</v>
      </c>
      <c r="B1016" s="24" t="s">
        <v>3102</v>
      </c>
      <c r="C1016" s="24" t="s">
        <v>3103</v>
      </c>
      <c r="D1016" s="25" t="s">
        <v>3104</v>
      </c>
      <c r="E1016" s="28">
        <v>1.00000</v>
      </c>
      <c r="F1016" s="29">
        <f ca="1">ROUND(8.860,3)</f>
        <v>0</v>
      </c>
      <c r="G1016" s="27">
        <f ca="1">ROUND(E1016*F1016,2)</f>
        <v>0</v>
      </c>
    </row>
    <row r="1017" spans="1:7" ht="21.36" thickBot="1" customHeight="1">
      <c r="A1017" s="24" t="s">
        <v>3105</v>
      </c>
      <c r="B1017" s="24" t="s">
        <v>3106</v>
      </c>
      <c r="C1017" s="24" t="s">
        <v>3107</v>
      </c>
      <c r="D1017" s="25" t="s">
        <v>3108</v>
      </c>
      <c r="E1017" s="28">
        <v>1.00000</v>
      </c>
      <c r="F1017" s="29">
        <f ca="1">ROUND(14.000,3)</f>
        <v>0</v>
      </c>
      <c r="G1017" s="27">
        <f ca="1">ROUND(E1017*F1017,2)</f>
        <v>0</v>
      </c>
    </row>
    <row r="1018" spans="1:7" ht="15.12" thickBot="1" customHeight="1">
      <c r="A1018" s="24" t="s">
        <v>3109</v>
      </c>
      <c r="B1018" s="24" t="s">
        <v>3110</v>
      </c>
      <c r="C1018" s="24" t="s">
        <v>3111</v>
      </c>
      <c r="D1018" s="25" t="s">
        <v>3112</v>
      </c>
      <c r="E1018" s="28">
        <v>1.00000</v>
      </c>
      <c r="F1018" s="29">
        <f ca="1">ROUND(140.000,3)</f>
        <v>0</v>
      </c>
      <c r="G1018" s="27">
        <f ca="1">ROUND(E1018*F1018,2)</f>
        <v>0</v>
      </c>
    </row>
    <row r="1019" spans="1:7" ht="15.12" thickBot="1" customHeight="1">
      <c r="A1019" s="24" t="s">
        <v>3113</v>
      </c>
      <c r="B1019" s="24" t="s">
        <v>3114</v>
      </c>
      <c r="C1019" s="24" t="s">
        <v>3115</v>
      </c>
      <c r="D1019" s="25" t="s">
        <v>3116</v>
      </c>
      <c r="E1019" s="28">
        <v>1.00000</v>
      </c>
      <c r="F1019" s="29">
        <f ca="1">ROUND(140.000,3)</f>
        <v>0</v>
      </c>
      <c r="G1019" s="27">
        <f ca="1">ROUND(E1019*F1019,2)</f>
        <v>0</v>
      </c>
    </row>
    <row r="1020" spans="1:7" ht="21.36" thickBot="1" customHeight="1">
      <c r="A1020" s="24" t="s">
        <v>3117</v>
      </c>
      <c r="B1020" s="24" t="s">
        <v>3118</v>
      </c>
      <c r="C1020" s="24" t="s">
        <v>3119</v>
      </c>
      <c r="D1020" s="25" t="s">
        <v>3120</v>
      </c>
      <c r="E1020" s="28">
        <v>0.10000</v>
      </c>
      <c r="F1020" s="29">
        <f ca="1">ROUND(150.000,3)</f>
        <v>0</v>
      </c>
      <c r="G1020" s="27">
        <f ca="1">ROUND(E1020*F1020,2)</f>
        <v>0</v>
      </c>
    </row>
    <row r="1021" spans="1:7" ht="15.12" thickBot="1" customHeight="1">
      <c r="A1021" s="24" t="s">
        <v>3121</v>
      </c>
      <c r="B1021" s="24" t="s">
        <v>3122</v>
      </c>
      <c r="C1021" s="24" t="s">
        <v>3123</v>
      </c>
      <c r="D1021" s="25" t="s">
        <v>3124</v>
      </c>
      <c r="E1021" s="28">
        <v>30.00000</v>
      </c>
      <c r="F1021" s="29">
        <f ca="1">ROUND(1.900,3)</f>
        <v>0</v>
      </c>
      <c r="G1021" s="27">
        <f ca="1">ROUND(E1021*F1021,2)</f>
        <v>0</v>
      </c>
    </row>
    <row r="1022" spans="1:7" ht="24.36" thickBot="1" customHeight="1">
      <c r="A1022" s="24" t="s">
        <v>3125</v>
      </c>
      <c r="B1022" s="24" t="s">
        <v>3126</v>
      </c>
      <c r="C1022" s="24" t="s">
        <v>3127</v>
      </c>
      <c r="D1022" s="25" t="s">
        <v>3128</v>
      </c>
      <c r="E1022" s="28">
        <v>6.00000</v>
      </c>
      <c r="F1022" s="29">
        <f ca="1">ROUND(25.000,3)</f>
        <v>0</v>
      </c>
      <c r="G1022" s="27">
        <f ca="1">ROUND(E1022*F1022,2)</f>
        <v>0</v>
      </c>
    </row>
    <row r="1023" spans="1:7" ht="15.48" thickBot="1" customHeight="1">
      <c r="A1023" s="30"/>
      <c r="B1023" s="30"/>
      <c r="C1023" s="30"/>
      <c r="D1023" s="31" t="s">
        <v>3129</v>
      </c>
      <c r="E1023" s="30"/>
      <c r="F1023" s="33">
        <f ca="1">ROUND((G1015+G1016+G1017+G1018+G1019+G1020+G1021+G1022)*(1+G2/100),2)</f>
        <v>0</v>
      </c>
      <c r="G1023" s="30"/>
    </row>
    <row r="1024" spans="1:7" ht="21.36" thickBot="1" customHeight="1">
      <c r="A1024" s="34" t="s">
        <v>3130</v>
      </c>
      <c r="B1024" s="35" t="s">
        <v>3131</v>
      </c>
      <c r="C1024" s="35" t="s">
        <v>3132</v>
      </c>
      <c r="D1024" s="36" t="s">
        <v>3133</v>
      </c>
      <c r="E1024" s="37"/>
      <c r="F1024" s="38">
        <f ca="1">F1028</f>
        <v>0</v>
      </c>
      <c r="G1024" s="37"/>
    </row>
    <row r="1025" spans="1:7" ht="21.36" thickBot="1" customHeight="1">
      <c r="A1025" s="26"/>
      <c r="B1025" s="26"/>
      <c r="C1025" s="26"/>
      <c r="D1025" s="25" t="s">
        <v>3134</v>
      </c>
      <c r="E1025" s="25"/>
      <c r="F1025" s="25"/>
      <c r="G1025" s="25"/>
    </row>
    <row r="1026" spans="1:7" ht="15.12" thickBot="1" customHeight="1">
      <c r="A1026" s="24" t="s">
        <v>3135</v>
      </c>
      <c r="B1026" s="24" t="s">
        <v>3136</v>
      </c>
      <c r="C1026" s="24" t="s">
        <v>3137</v>
      </c>
      <c r="D1026" s="25" t="s">
        <v>3138</v>
      </c>
      <c r="E1026" s="28">
        <v>1.00000</v>
      </c>
      <c r="F1026" s="29">
        <f ca="1">ROUND(140.000,3)</f>
        <v>0</v>
      </c>
      <c r="G1026" s="27">
        <f ca="1">ROUND(E1026*F1026,2)</f>
        <v>0</v>
      </c>
    </row>
    <row r="1027" spans="1:7" ht="15.12" thickBot="1" customHeight="1">
      <c r="A1027" s="24" t="s">
        <v>3139</v>
      </c>
      <c r="B1027" s="24" t="s">
        <v>3140</v>
      </c>
      <c r="C1027" s="24" t="s">
        <v>3141</v>
      </c>
      <c r="D1027" s="25" t="s">
        <v>3142</v>
      </c>
      <c r="E1027" s="28">
        <v>1.00000</v>
      </c>
      <c r="F1027" s="29">
        <f ca="1">ROUND(140.000,3)</f>
        <v>0</v>
      </c>
      <c r="G1027" s="27">
        <f ca="1">ROUND(E1027*F1027,2)</f>
        <v>0</v>
      </c>
    </row>
    <row r="1028" spans="1:7" ht="15.48" thickBot="1" customHeight="1">
      <c r="A1028" s="30"/>
      <c r="B1028" s="30"/>
      <c r="C1028" s="30"/>
      <c r="D1028" s="31" t="s">
        <v>3143</v>
      </c>
      <c r="E1028" s="30"/>
      <c r="F1028" s="33">
        <f ca="1">ROUND((G1026+G1027)*(1+G2/100),2)</f>
        <v>0</v>
      </c>
      <c r="G1028" s="30"/>
    </row>
    <row r="1029" spans="1:7" ht="21.36" thickBot="1" customHeight="1">
      <c r="A1029" s="34" t="s">
        <v>3144</v>
      </c>
      <c r="B1029" s="35" t="s">
        <v>3145</v>
      </c>
      <c r="C1029" s="35" t="s">
        <v>3146</v>
      </c>
      <c r="D1029" s="36" t="s">
        <v>3147</v>
      </c>
      <c r="E1029" s="37"/>
      <c r="F1029" s="38">
        <f ca="1">F1032</f>
        <v>0</v>
      </c>
      <c r="G1029" s="37"/>
    </row>
    <row r="1030" spans="1:7" ht="12.12" thickBot="1" customHeight="1">
      <c r="A1030" s="26"/>
      <c r="B1030" s="26"/>
      <c r="C1030" s="26"/>
      <c r="D1030" s="25" t="s">
        <v>3148</v>
      </c>
      <c r="E1030" s="25"/>
      <c r="F1030" s="25"/>
      <c r="G1030" s="25"/>
    </row>
    <row r="1031" spans="1:7" ht="15.12" thickBot="1" customHeight="1">
      <c r="A1031" s="24" t="s">
        <v>3149</v>
      </c>
      <c r="B1031" s="24" t="s">
        <v>3150</v>
      </c>
      <c r="C1031" s="24" t="s">
        <v>3151</v>
      </c>
      <c r="D1031" s="25" t="s">
        <v>3152</v>
      </c>
      <c r="E1031" s="28">
        <v>1.00000</v>
      </c>
      <c r="F1031" s="29">
        <f ca="1">ROUND(650.000,3)</f>
        <v>0</v>
      </c>
      <c r="G1031" s="27">
        <f ca="1">ROUND(E1031*F1031,2)</f>
        <v>0</v>
      </c>
    </row>
    <row r="1032" spans="1:7" ht="15.48" thickBot="1" customHeight="1">
      <c r="A1032" s="30"/>
      <c r="B1032" s="30"/>
      <c r="C1032" s="30"/>
      <c r="D1032" s="31" t="s">
        <v>3153</v>
      </c>
      <c r="E1032" s="30"/>
      <c r="F1032" s="33">
        <f ca="1">ROUND((G1031)*(1+G2/100),2)</f>
        <v>0</v>
      </c>
      <c r="G1032" s="30"/>
    </row>
    <row r="1033" spans="1:7" ht="15.48" thickBot="1" customHeight="1">
      <c r="A1033" s="34" t="s">
        <v>3154</v>
      </c>
      <c r="B1033" s="35" t="s">
        <v>3155</v>
      </c>
      <c r="C1033" s="35" t="s">
        <v>3156</v>
      </c>
      <c r="D1033" s="36" t="s">
        <v>3157</v>
      </c>
      <c r="E1033" s="37"/>
      <c r="F1033" s="38">
        <f ca="1">F1045</f>
        <v>0</v>
      </c>
      <c r="G1033" s="37"/>
    </row>
    <row r="1034" spans="1:7" ht="67.56" thickBot="1" customHeight="1">
      <c r="A1034" s="26"/>
      <c r="B1034" s="26"/>
      <c r="C1034" s="26"/>
      <c r="D1034" s="25" t="s">
        <v>3158</v>
      </c>
      <c r="E1034" s="25"/>
      <c r="F1034" s="25"/>
      <c r="G1034" s="25"/>
    </row>
    <row r="1035" spans="1:7" ht="15.12" thickBot="1" customHeight="1">
      <c r="A1035" s="24" t="s">
        <v>3159</v>
      </c>
      <c r="B1035" s="24" t="s">
        <v>3160</v>
      </c>
      <c r="C1035" s="24" t="s">
        <v>3161</v>
      </c>
      <c r="D1035" s="25" t="s">
        <v>3162</v>
      </c>
      <c r="E1035" s="28">
        <v>0.10000</v>
      </c>
      <c r="F1035" s="29">
        <f ca="1">ROUND(65.000,3)</f>
        <v>0</v>
      </c>
      <c r="G1035" s="27">
        <f ca="1">ROUND(E1035*F1035,2)</f>
        <v>0</v>
      </c>
    </row>
    <row r="1036" spans="1:7" ht="30.60" thickBot="1" customHeight="1">
      <c r="A1036" s="24" t="s">
        <v>3163</v>
      </c>
      <c r="B1036" s="24" t="s">
        <v>3164</v>
      </c>
      <c r="C1036" s="24" t="s">
        <v>3165</v>
      </c>
      <c r="D1036" s="25" t="s">
        <v>3166</v>
      </c>
      <c r="E1036" s="28">
        <v>0.58000</v>
      </c>
      <c r="F1036" s="29">
        <f ca="1">ROUND(12.000,3)</f>
        <v>0</v>
      </c>
      <c r="G1036" s="27">
        <f ca="1">ROUND(E1036*F1036,2)</f>
        <v>0</v>
      </c>
    </row>
    <row r="1037" spans="1:7" ht="21.36" thickBot="1" customHeight="1">
      <c r="A1037" s="24" t="s">
        <v>3167</v>
      </c>
      <c r="B1037" s="24" t="s">
        <v>3168</v>
      </c>
      <c r="C1037" s="24" t="s">
        <v>3169</v>
      </c>
      <c r="D1037" s="25" t="s">
        <v>3170</v>
      </c>
      <c r="E1037" s="28">
        <v>1.00000</v>
      </c>
      <c r="F1037" s="29">
        <f ca="1">ROUND(6.000,3)</f>
        <v>0</v>
      </c>
      <c r="G1037" s="27">
        <f ca="1">ROUND(E1037*F1037,2)</f>
        <v>0</v>
      </c>
    </row>
    <row r="1038" spans="1:7" ht="21.36" thickBot="1" customHeight="1">
      <c r="A1038" s="24" t="s">
        <v>3171</v>
      </c>
      <c r="B1038" s="24" t="s">
        <v>3172</v>
      </c>
      <c r="C1038" s="24" t="s">
        <v>3173</v>
      </c>
      <c r="D1038" s="25" t="s">
        <v>3174</v>
      </c>
      <c r="E1038" s="28">
        <v>0.40000</v>
      </c>
      <c r="F1038" s="29">
        <f ca="1">ROUND(11.000,3)</f>
        <v>0</v>
      </c>
      <c r="G1038" s="27">
        <f ca="1">ROUND(E1038*F1038,2)</f>
        <v>0</v>
      </c>
    </row>
    <row r="1039" spans="1:7" ht="21.36" thickBot="1" customHeight="1">
      <c r="A1039" s="24" t="s">
        <v>3175</v>
      </c>
      <c r="B1039" s="24" t="s">
        <v>3176</v>
      </c>
      <c r="C1039" s="24" t="s">
        <v>3177</v>
      </c>
      <c r="D1039" s="25" t="s">
        <v>3178</v>
      </c>
      <c r="E1039" s="28">
        <v>3.00000</v>
      </c>
      <c r="F1039" s="29">
        <f ca="1">ROUND(0.150,3)</f>
        <v>0</v>
      </c>
      <c r="G1039" s="27">
        <f ca="1">ROUND(E1039*F1039,2)</f>
        <v>0</v>
      </c>
    </row>
    <row r="1040" spans="1:7" ht="21.36" thickBot="1" customHeight="1">
      <c r="A1040" s="24" t="s">
        <v>3179</v>
      </c>
      <c r="B1040" s="24" t="s">
        <v>3180</v>
      </c>
      <c r="C1040" s="24" t="s">
        <v>3181</v>
      </c>
      <c r="D1040" s="25" t="s">
        <v>3182</v>
      </c>
      <c r="E1040" s="28">
        <v>0.75000</v>
      </c>
      <c r="F1040" s="29">
        <f ca="1">F1044</f>
        <v>0</v>
      </c>
      <c r="G1040" s="27">
        <f ca="1">ROUND(E1040*F1040,2)</f>
        <v>0</v>
      </c>
    </row>
    <row r="1041" spans="1:7" ht="24.36" thickBot="1" customHeight="1">
      <c r="A1041" s="24" t="s">
        <v>3183</v>
      </c>
      <c r="B1041" s="24" t="s">
        <v>3184</v>
      </c>
      <c r="C1041" s="24" t="s">
        <v>3185</v>
      </c>
      <c r="D1041" s="25" t="s">
        <v>3186</v>
      </c>
      <c r="E1041" s="28">
        <v>1.00000</v>
      </c>
      <c r="F1041" s="29">
        <f ca="1">ROUND(21.000,3)</f>
        <v>0</v>
      </c>
      <c r="G1041" s="27">
        <f ca="1">ROUND(E1041*F1041,2)</f>
        <v>0</v>
      </c>
    </row>
    <row r="1042" spans="1:7" ht="24.36" thickBot="1" customHeight="1">
      <c r="A1042" s="24" t="s">
        <v>3187</v>
      </c>
      <c r="B1042" s="24" t="s">
        <v>3188</v>
      </c>
      <c r="C1042" s="24" t="s">
        <v>3189</v>
      </c>
      <c r="D1042" s="25" t="s">
        <v>3190</v>
      </c>
      <c r="E1042" s="28">
        <v>1.00000</v>
      </c>
      <c r="F1042" s="29">
        <f ca="1">ROUND(19.000,3)</f>
        <v>0</v>
      </c>
      <c r="G1042" s="27">
        <f ca="1">ROUND(E1042*F1042,2)</f>
        <v>0</v>
      </c>
    </row>
    <row r="1043" spans="1:7" ht="24.36" thickBot="1" customHeight="1">
      <c r="A1043" s="24" t="s">
        <v>3191</v>
      </c>
      <c r="B1043" s="24" t="s">
        <v>3192</v>
      </c>
      <c r="C1043" s="24" t="s">
        <v>3193</v>
      </c>
      <c r="D1043" s="25" t="s">
        <v>3194</v>
      </c>
      <c r="E1043" s="28">
        <v>0.20000</v>
      </c>
      <c r="F1043" s="29">
        <f ca="1">ROUND(19.000,3)</f>
        <v>0</v>
      </c>
      <c r="G1043" s="27">
        <f ca="1">ROUND(E1043*F1043,2)</f>
        <v>0</v>
      </c>
    </row>
    <row r="1044" spans="1:7" ht="15.12" thickBot="1" customHeight="1">
      <c r="A1044" s="26"/>
      <c r="B1044" s="26"/>
      <c r="C1044" s="26"/>
      <c r="D1044" s="24" t="s">
        <v>3195</v>
      </c>
      <c r="E1044" s="28">
        <v>0.75000</v>
      </c>
      <c r="F1044" s="29">
        <f ca="1">ROUND((G1041+G1042+G1043),3)</f>
        <v>0</v>
      </c>
      <c r="G1044" s="27">
        <f ca="1">ROUND(E1044*F1044,2)</f>
        <v>0</v>
      </c>
    </row>
    <row r="1045" spans="1:7" ht="15.48" thickBot="1" customHeight="1">
      <c r="A1045" s="30"/>
      <c r="B1045" s="30"/>
      <c r="C1045" s="30"/>
      <c r="D1045" s="31" t="s">
        <v>3196</v>
      </c>
      <c r="E1045" s="30"/>
      <c r="F1045" s="33">
        <f ca="1">ROUND((G1035+G1036+G1037+G1038+G1039+G1040)*(1+G2/100),2)</f>
        <v>0</v>
      </c>
      <c r="G1045" s="30"/>
    </row>
    <row r="1046" spans="1:7" ht="15.48" thickBot="1" customHeight="1">
      <c r="A1046" s="34" t="s">
        <v>3197</v>
      </c>
      <c r="B1046" s="35" t="s">
        <v>3198</v>
      </c>
      <c r="C1046" s="35" t="s">
        <v>3199</v>
      </c>
      <c r="D1046" s="36" t="s">
        <v>3200</v>
      </c>
      <c r="E1046" s="37"/>
      <c r="F1046" s="38">
        <f ca="1">F1053</f>
        <v>0</v>
      </c>
      <c r="G1046" s="37"/>
    </row>
    <row r="1047" spans="1:7" ht="39.84" thickBot="1" customHeight="1">
      <c r="A1047" s="26"/>
      <c r="B1047" s="26"/>
      <c r="C1047" s="26"/>
      <c r="D1047" s="25" t="s">
        <v>3201</v>
      </c>
      <c r="E1047" s="25"/>
      <c r="F1047" s="25"/>
      <c r="G1047" s="25"/>
    </row>
    <row r="1048" spans="1:7" ht="21.36" thickBot="1" customHeight="1">
      <c r="A1048" s="24" t="s">
        <v>3202</v>
      </c>
      <c r="B1048" s="24" t="s">
        <v>3203</v>
      </c>
      <c r="C1048" s="24" t="s">
        <v>3204</v>
      </c>
      <c r="D1048" s="25" t="s">
        <v>3205</v>
      </c>
      <c r="E1048" s="28">
        <v>1.00000</v>
      </c>
      <c r="F1048" s="29">
        <f ca="1">ROUND(1200.000,3)</f>
        <v>0</v>
      </c>
      <c r="G1048" s="27">
        <f ca="1">ROUND(E1048*F1048,2)</f>
        <v>0</v>
      </c>
    </row>
    <row r="1049" spans="1:7" ht="21.36" thickBot="1" customHeight="1">
      <c r="A1049" s="24" t="s">
        <v>3206</v>
      </c>
      <c r="B1049" s="24" t="s">
        <v>3207</v>
      </c>
      <c r="C1049" s="24" t="s">
        <v>3208</v>
      </c>
      <c r="D1049" s="25" t="s">
        <v>3209</v>
      </c>
      <c r="E1049" s="28">
        <v>1.00000</v>
      </c>
      <c r="F1049" s="29">
        <f ca="1">ROUND(500.000,3)</f>
        <v>0</v>
      </c>
      <c r="G1049" s="27">
        <f ca="1">ROUND(E1049*F1049,2)</f>
        <v>0</v>
      </c>
    </row>
    <row r="1050" spans="1:7" ht="15.12" thickBot="1" customHeight="1">
      <c r="A1050" s="24" t="s">
        <v>3210</v>
      </c>
      <c r="B1050" s="24" t="s">
        <v>3211</v>
      </c>
      <c r="C1050" s="24" t="s">
        <v>3212</v>
      </c>
      <c r="D1050" s="25" t="s">
        <v>3213</v>
      </c>
      <c r="E1050" s="28">
        <v>1.00000</v>
      </c>
      <c r="F1050" s="29">
        <f ca="1">ROUND(450.000,3)</f>
        <v>0</v>
      </c>
      <c r="G1050" s="27">
        <f ca="1">ROUND(E1050*F1050,2)</f>
        <v>0</v>
      </c>
    </row>
    <row r="1051" spans="1:7" ht="15.12" thickBot="1" customHeight="1">
      <c r="A1051" s="24" t="s">
        <v>3214</v>
      </c>
      <c r="B1051" s="24" t="s">
        <v>3215</v>
      </c>
      <c r="C1051" s="24" t="s">
        <v>3216</v>
      </c>
      <c r="D1051" s="25" t="s">
        <v>3217</v>
      </c>
      <c r="E1051" s="28">
        <v>1.00000</v>
      </c>
      <c r="F1051" s="29">
        <f ca="1">ROUND(400.000,3)</f>
        <v>0</v>
      </c>
      <c r="G1051" s="27">
        <f ca="1">ROUND(E1051*F1051,2)</f>
        <v>0</v>
      </c>
    </row>
    <row r="1052" spans="1:7" ht="21.36" thickBot="1" customHeight="1">
      <c r="A1052" s="24" t="s">
        <v>3218</v>
      </c>
      <c r="B1052" s="24" t="s">
        <v>3219</v>
      </c>
      <c r="C1052" s="24" t="s">
        <v>3220</v>
      </c>
      <c r="D1052" s="25" t="s">
        <v>3221</v>
      </c>
      <c r="E1052" s="28">
        <v>2.00000</v>
      </c>
      <c r="F1052" s="29">
        <f ca="1">ROUND(150.000,3)</f>
        <v>0</v>
      </c>
      <c r="G1052" s="27">
        <f ca="1">ROUND(E1052*F1052,2)</f>
        <v>0</v>
      </c>
    </row>
    <row r="1053" spans="1:7" ht="15.48" thickBot="1" customHeight="1">
      <c r="A1053" s="30"/>
      <c r="B1053" s="30"/>
      <c r="C1053" s="30"/>
      <c r="D1053" s="31" t="s">
        <v>3222</v>
      </c>
      <c r="E1053" s="30"/>
      <c r="F1053" s="33">
        <f ca="1">ROUND((G1048+G1049+G1050+G1051+G1052)*(1+G2/100),2)</f>
        <v>0</v>
      </c>
      <c r="G1053" s="30"/>
    </row>
    <row r="1054" spans="1:7" ht="15.48" thickBot="1" customHeight="1">
      <c r="A1054" s="34" t="s">
        <v>3223</v>
      </c>
      <c r="B1054" s="35" t="s">
        <v>3224</v>
      </c>
      <c r="C1054" s="35" t="s">
        <v>3225</v>
      </c>
      <c r="D1054" s="36" t="s">
        <v>3226</v>
      </c>
      <c r="E1054" s="37"/>
      <c r="F1054" s="38">
        <f ca="1">F1058</f>
        <v>0</v>
      </c>
      <c r="G1054" s="37"/>
    </row>
    <row r="1055" spans="1:7" ht="30.60" thickBot="1" customHeight="1">
      <c r="A1055" s="26"/>
      <c r="B1055" s="26"/>
      <c r="C1055" s="26"/>
      <c r="D1055" s="25" t="s">
        <v>3227</v>
      </c>
      <c r="E1055" s="25"/>
      <c r="F1055" s="25"/>
      <c r="G1055" s="25"/>
    </row>
    <row r="1056" spans="1:7" ht="21.36" thickBot="1" customHeight="1">
      <c r="A1056" s="24" t="s">
        <v>3228</v>
      </c>
      <c r="B1056" s="24" t="s">
        <v>3229</v>
      </c>
      <c r="C1056" s="24" t="s">
        <v>3230</v>
      </c>
      <c r="D1056" s="25" t="s">
        <v>3231</v>
      </c>
      <c r="E1056" s="28">
        <v>1.00000</v>
      </c>
      <c r="F1056" s="29">
        <f ca="1">ROUND(28.500,3)</f>
        <v>0</v>
      </c>
      <c r="G1056" s="27">
        <f ca="1">ROUND(E1056*F1056,2)</f>
        <v>0</v>
      </c>
    </row>
    <row r="1057" spans="1:7" ht="30.60" thickBot="1" customHeight="1">
      <c r="A1057" s="24" t="s">
        <v>3232</v>
      </c>
      <c r="B1057" s="24" t="s">
        <v>3233</v>
      </c>
      <c r="C1057" s="24" t="s">
        <v>3234</v>
      </c>
      <c r="D1057" s="25" t="s">
        <v>3235</v>
      </c>
      <c r="E1057" s="28">
        <v>0.25000</v>
      </c>
      <c r="F1057" s="29">
        <f ca="1">ROUND(23.460,3)</f>
        <v>0</v>
      </c>
      <c r="G1057" s="27">
        <f ca="1">ROUND(E1057*F1057,2)</f>
        <v>0</v>
      </c>
    </row>
    <row r="1058" spans="1:7" ht="15.48" thickBot="1" customHeight="1">
      <c r="A1058" s="30"/>
      <c r="B1058" s="30"/>
      <c r="C1058" s="30"/>
      <c r="D1058" s="31" t="s">
        <v>3236</v>
      </c>
      <c r="E1058" s="30"/>
      <c r="F1058" s="33">
        <f ca="1">ROUND((G1056+G1057)*(1+G2/100),2)</f>
        <v>0</v>
      </c>
      <c r="G1058" s="30"/>
    </row>
    <row r="1059" spans="1:7" ht="15.48" thickBot="1" customHeight="1">
      <c r="A1059" s="34" t="s">
        <v>3237</v>
      </c>
      <c r="B1059" s="35" t="s">
        <v>3238</v>
      </c>
      <c r="C1059" s="35" t="s">
        <v>3239</v>
      </c>
      <c r="D1059" s="36" t="s">
        <v>3240</v>
      </c>
      <c r="E1059" s="37"/>
      <c r="F1059" s="38">
        <f ca="1">F1063</f>
        <v>0</v>
      </c>
      <c r="G1059" s="37"/>
    </row>
    <row r="1060" spans="1:7" ht="30.60" thickBot="1" customHeight="1">
      <c r="A1060" s="26"/>
      <c r="B1060" s="26"/>
      <c r="C1060" s="26"/>
      <c r="D1060" s="25" t="s">
        <v>3241</v>
      </c>
      <c r="E1060" s="25"/>
      <c r="F1060" s="25"/>
      <c r="G1060" s="25"/>
    </row>
    <row r="1061" spans="1:7" ht="30.60" thickBot="1" customHeight="1">
      <c r="A1061" s="24" t="s">
        <v>3242</v>
      </c>
      <c r="B1061" s="24" t="s">
        <v>3243</v>
      </c>
      <c r="C1061" s="24" t="s">
        <v>3244</v>
      </c>
      <c r="D1061" s="25" t="s">
        <v>3245</v>
      </c>
      <c r="E1061" s="28">
        <v>0.05000</v>
      </c>
      <c r="F1061" s="29">
        <f ca="1">ROUND(32.940,3)</f>
        <v>0</v>
      </c>
      <c r="G1061" s="27">
        <f ca="1">ROUND(E1061*F1061,2)</f>
        <v>0</v>
      </c>
    </row>
    <row r="1062" spans="1:7" ht="24.36" thickBot="1" customHeight="1">
      <c r="A1062" s="24" t="s">
        <v>3246</v>
      </c>
      <c r="B1062" s="24" t="s">
        <v>3247</v>
      </c>
      <c r="C1062" s="24" t="s">
        <v>3248</v>
      </c>
      <c r="D1062" s="25" t="s">
        <v>3249</v>
      </c>
      <c r="E1062" s="28">
        <v>0.00100</v>
      </c>
      <c r="F1062" s="29">
        <f ca="1">ROUND(17.000,3)</f>
        <v>0</v>
      </c>
      <c r="G1062" s="27">
        <f ca="1">ROUND(E1062*F1062,2)</f>
        <v>0</v>
      </c>
    </row>
    <row r="1063" spans="1:7" ht="15.48" thickBot="1" customHeight="1">
      <c r="A1063" s="30"/>
      <c r="B1063" s="30"/>
      <c r="C1063" s="30"/>
      <c r="D1063" s="31" t="s">
        <v>3250</v>
      </c>
      <c r="E1063" s="30"/>
      <c r="F1063" s="33">
        <f ca="1">ROUND((G1061+G1062)*(1+G2/100),2)</f>
        <v>0</v>
      </c>
      <c r="G1063" s="30"/>
    </row>
    <row r="1064" spans="1:7" ht="15.48" thickBot="1" customHeight="1">
      <c r="A1064" s="34" t="s">
        <v>3251</v>
      </c>
      <c r="B1064" s="35" t="s">
        <v>3252</v>
      </c>
      <c r="C1064" s="35" t="s">
        <v>3253</v>
      </c>
      <c r="D1064" s="36" t="s">
        <v>3254</v>
      </c>
      <c r="E1064" s="37"/>
      <c r="F1064" s="38">
        <f ca="1">F1072</f>
        <v>0</v>
      </c>
      <c r="G1064" s="37"/>
    </row>
    <row r="1065" spans="1:7" ht="30.60" thickBot="1" customHeight="1">
      <c r="A1065" s="26"/>
      <c r="B1065" s="26"/>
      <c r="C1065" s="26"/>
      <c r="D1065" s="25" t="s">
        <v>3255</v>
      </c>
      <c r="E1065" s="25"/>
      <c r="F1065" s="25"/>
      <c r="G1065" s="25"/>
    </row>
    <row r="1066" spans="1:7" ht="21.36" thickBot="1" customHeight="1">
      <c r="A1066" s="24" t="s">
        <v>3256</v>
      </c>
      <c r="B1066" s="24" t="s">
        <v>3257</v>
      </c>
      <c r="C1066" s="24" t="s">
        <v>3258</v>
      </c>
      <c r="D1066" s="25" t="s">
        <v>3259</v>
      </c>
      <c r="E1066" s="28">
        <v>1.00000</v>
      </c>
      <c r="F1066" s="29">
        <f ca="1">ROUND(12.120,3)</f>
        <v>0</v>
      </c>
      <c r="G1066" s="27">
        <f ca="1">ROUND(E1066*F1066,2)</f>
        <v>0</v>
      </c>
    </row>
    <row r="1067" spans="1:7" ht="21.36" thickBot="1" customHeight="1">
      <c r="A1067" s="24" t="s">
        <v>3260</v>
      </c>
      <c r="B1067" s="24" t="s">
        <v>3261</v>
      </c>
      <c r="C1067" s="24" t="s">
        <v>3262</v>
      </c>
      <c r="D1067" s="25" t="s">
        <v>3263</v>
      </c>
      <c r="E1067" s="28">
        <v>0.08300</v>
      </c>
      <c r="F1067" s="29">
        <f ca="1">F1071</f>
        <v>0</v>
      </c>
      <c r="G1067" s="27">
        <f ca="1">ROUND(E1067*F1067,2)</f>
        <v>0</v>
      </c>
    </row>
    <row r="1068" spans="1:7" ht="24.36" thickBot="1" customHeight="1">
      <c r="A1068" s="24" t="s">
        <v>3264</v>
      </c>
      <c r="B1068" s="24" t="s">
        <v>3265</v>
      </c>
      <c r="C1068" s="24" t="s">
        <v>3266</v>
      </c>
      <c r="D1068" s="25" t="s">
        <v>3267</v>
      </c>
      <c r="E1068" s="28">
        <v>1.00000</v>
      </c>
      <c r="F1068" s="29">
        <f ca="1">ROUND(21.000,3)</f>
        <v>0</v>
      </c>
      <c r="G1068" s="27">
        <f ca="1">ROUND(E1068*F1068,2)</f>
        <v>0</v>
      </c>
    </row>
    <row r="1069" spans="1:7" ht="24.36" thickBot="1" customHeight="1">
      <c r="A1069" s="24" t="s">
        <v>3268</v>
      </c>
      <c r="B1069" s="24" t="s">
        <v>3269</v>
      </c>
      <c r="C1069" s="24" t="s">
        <v>3270</v>
      </c>
      <c r="D1069" s="25" t="s">
        <v>3271</v>
      </c>
      <c r="E1069" s="28">
        <v>1.00000</v>
      </c>
      <c r="F1069" s="29">
        <f ca="1">ROUND(19.000,3)</f>
        <v>0</v>
      </c>
      <c r="G1069" s="27">
        <f ca="1">ROUND(E1069*F1069,2)</f>
        <v>0</v>
      </c>
    </row>
    <row r="1070" spans="1:7" ht="24.36" thickBot="1" customHeight="1">
      <c r="A1070" s="24" t="s">
        <v>3272</v>
      </c>
      <c r="B1070" s="24" t="s">
        <v>3273</v>
      </c>
      <c r="C1070" s="24" t="s">
        <v>3274</v>
      </c>
      <c r="D1070" s="25" t="s">
        <v>3275</v>
      </c>
      <c r="E1070" s="28">
        <v>0.20000</v>
      </c>
      <c r="F1070" s="29">
        <f ca="1">ROUND(19.000,3)</f>
        <v>0</v>
      </c>
      <c r="G1070" s="27">
        <f ca="1">ROUND(E1070*F1070,2)</f>
        <v>0</v>
      </c>
    </row>
    <row r="1071" spans="1:7" ht="15.12" thickBot="1" customHeight="1">
      <c r="A1071" s="26"/>
      <c r="B1071" s="26"/>
      <c r="C1071" s="26"/>
      <c r="D1071" s="24" t="s">
        <v>3276</v>
      </c>
      <c r="E1071" s="28">
        <v>0.08300</v>
      </c>
      <c r="F1071" s="29">
        <f ca="1">ROUND((G1068+G1069+G1070),3)</f>
        <v>0</v>
      </c>
      <c r="G1071" s="27">
        <f ca="1">ROUND(E1071*F1071,2)</f>
        <v>0</v>
      </c>
    </row>
    <row r="1072" spans="1:7" ht="15.48" thickBot="1" customHeight="1">
      <c r="A1072" s="30"/>
      <c r="B1072" s="30"/>
      <c r="C1072" s="30"/>
      <c r="D1072" s="31" t="s">
        <v>3277</v>
      </c>
      <c r="E1072" s="30"/>
      <c r="F1072" s="33">
        <f ca="1">ROUND((G1066+G1067)*(1+G2/100),2)</f>
        <v>0</v>
      </c>
      <c r="G1072" s="30"/>
    </row>
    <row r="1073" spans="1:7" ht="21.36" thickBot="1" customHeight="1">
      <c r="A1073" s="34" t="s">
        <v>3278</v>
      </c>
      <c r="B1073" s="35" t="s">
        <v>3279</v>
      </c>
      <c r="C1073" s="35" t="s">
        <v>3280</v>
      </c>
      <c r="D1073" s="36" t="s">
        <v>3281</v>
      </c>
      <c r="E1073" s="37"/>
      <c r="F1073" s="38">
        <f ca="1">F1080</f>
        <v>0</v>
      </c>
      <c r="G1073" s="37"/>
    </row>
    <row r="1074" spans="1:7" ht="39.84" thickBot="1" customHeight="1">
      <c r="A1074" s="26"/>
      <c r="B1074" s="26"/>
      <c r="C1074" s="26"/>
      <c r="D1074" s="25" t="s">
        <v>3282</v>
      </c>
      <c r="E1074" s="25"/>
      <c r="F1074" s="25"/>
      <c r="G1074" s="25"/>
    </row>
    <row r="1075" spans="1:7" ht="30.60" thickBot="1" customHeight="1">
      <c r="A1075" s="24" t="s">
        <v>3283</v>
      </c>
      <c r="B1075" s="24" t="s">
        <v>3284</v>
      </c>
      <c r="C1075" s="24" t="s">
        <v>3285</v>
      </c>
      <c r="D1075" s="25" t="s">
        <v>3286</v>
      </c>
      <c r="E1075" s="28">
        <v>1.00000</v>
      </c>
      <c r="F1075" s="29">
        <f ca="1">ROUND(172.000,3)</f>
        <v>0</v>
      </c>
      <c r="G1075" s="27">
        <f ca="1">ROUND(E1075*F1075,2)</f>
        <v>0</v>
      </c>
    </row>
    <row r="1076" spans="1:7" ht="30.60" thickBot="1" customHeight="1">
      <c r="A1076" s="24" t="s">
        <v>3287</v>
      </c>
      <c r="B1076" s="24" t="s">
        <v>3288</v>
      </c>
      <c r="C1076" s="24" t="s">
        <v>3289</v>
      </c>
      <c r="D1076" s="25" t="s">
        <v>3290</v>
      </c>
      <c r="E1076" s="28">
        <v>1.00000</v>
      </c>
      <c r="F1076" s="29">
        <f ca="1">ROUND(30.770,3)</f>
        <v>0</v>
      </c>
      <c r="G1076" s="27">
        <f ca="1">ROUND(E1076*F1076,2)</f>
        <v>0</v>
      </c>
    </row>
    <row r="1077" spans="1:7" ht="30.60" thickBot="1" customHeight="1">
      <c r="A1077" s="24" t="s">
        <v>3291</v>
      </c>
      <c r="B1077" s="24" t="s">
        <v>3292</v>
      </c>
      <c r="C1077" s="24" t="s">
        <v>3293</v>
      </c>
      <c r="D1077" s="25" t="s">
        <v>3294</v>
      </c>
      <c r="E1077" s="28">
        <v>3.00000</v>
      </c>
      <c r="F1077" s="29">
        <f ca="1">ROUND(32.220,3)</f>
        <v>0</v>
      </c>
      <c r="G1077" s="27">
        <f ca="1">ROUND(E1077*F1077,2)</f>
        <v>0</v>
      </c>
    </row>
    <row r="1078" spans="1:7" ht="30.60" thickBot="1" customHeight="1">
      <c r="A1078" s="24" t="s">
        <v>3295</v>
      </c>
      <c r="B1078" s="24" t="s">
        <v>3296</v>
      </c>
      <c r="C1078" s="24" t="s">
        <v>3297</v>
      </c>
      <c r="D1078" s="25" t="s">
        <v>3298</v>
      </c>
      <c r="E1078" s="28">
        <v>1.00000</v>
      </c>
      <c r="F1078" s="29">
        <f ca="1">ROUND(42.000,3)</f>
        <v>0</v>
      </c>
      <c r="G1078" s="27">
        <f ca="1">ROUND(E1078*F1078,2)</f>
        <v>0</v>
      </c>
    </row>
    <row r="1079" spans="1:7" ht="30.60" thickBot="1" customHeight="1">
      <c r="A1079" s="24" t="s">
        <v>3299</v>
      </c>
      <c r="B1079" s="24" t="s">
        <v>3300</v>
      </c>
      <c r="C1079" s="24" t="s">
        <v>3301</v>
      </c>
      <c r="D1079" s="25" t="s">
        <v>3302</v>
      </c>
      <c r="E1079" s="28">
        <v>1.00000</v>
      </c>
      <c r="F1079" s="29">
        <f ca="1">ROUND(119.000,3)</f>
        <v>0</v>
      </c>
      <c r="G1079" s="27">
        <f ca="1">ROUND(E1079*F1079,2)</f>
        <v>0</v>
      </c>
    </row>
    <row r="1080" spans="1:7" ht="15.48" thickBot="1" customHeight="1">
      <c r="A1080" s="30"/>
      <c r="B1080" s="30"/>
      <c r="C1080" s="30"/>
      <c r="D1080" s="31" t="s">
        <v>3303</v>
      </c>
      <c r="E1080" s="30"/>
      <c r="F1080" s="33">
        <f ca="1">ROUND((G1075+G1076+G1077+G1078+G1079)*(1+G2/100),2)</f>
        <v>0</v>
      </c>
      <c r="G1080" s="30"/>
    </row>
    <row r="1081" spans="1:7" ht="15.48" thickBot="1" customHeight="1">
      <c r="A1081" s="34" t="s">
        <v>3304</v>
      </c>
      <c r="B1081" s="35" t="s">
        <v>3305</v>
      </c>
      <c r="C1081" s="35" t="s">
        <v>3306</v>
      </c>
      <c r="D1081" s="36" t="s">
        <v>3307</v>
      </c>
      <c r="E1081" s="37"/>
      <c r="F1081" s="38">
        <f ca="1">F1088</f>
        <v>0</v>
      </c>
      <c r="G1081" s="37"/>
    </row>
    <row r="1082" spans="1:7" ht="39.84" thickBot="1" customHeight="1">
      <c r="A1082" s="26"/>
      <c r="B1082" s="26"/>
      <c r="C1082" s="26"/>
      <c r="D1082" s="25" t="s">
        <v>3308</v>
      </c>
      <c r="E1082" s="25"/>
      <c r="F1082" s="25"/>
      <c r="G1082" s="25"/>
    </row>
    <row r="1083" spans="1:7" ht="21.36" thickBot="1" customHeight="1">
      <c r="A1083" s="24" t="s">
        <v>3309</v>
      </c>
      <c r="B1083" s="24" t="s">
        <v>3310</v>
      </c>
      <c r="C1083" s="24" t="s">
        <v>3311</v>
      </c>
      <c r="D1083" s="25" t="s">
        <v>3312</v>
      </c>
      <c r="E1083" s="28">
        <v>1.00000</v>
      </c>
      <c r="F1083" s="29">
        <f ca="1">ROUND(1800.000,3)</f>
        <v>0</v>
      </c>
      <c r="G1083" s="27">
        <f ca="1">ROUND(E1083*F1083,2)</f>
        <v>0</v>
      </c>
    </row>
    <row r="1084" spans="1:7" ht="21.36" thickBot="1" customHeight="1">
      <c r="A1084" s="24" t="s">
        <v>3313</v>
      </c>
      <c r="B1084" s="24" t="s">
        <v>3314</v>
      </c>
      <c r="C1084" s="24" t="s">
        <v>3315</v>
      </c>
      <c r="D1084" s="25" t="s">
        <v>3316</v>
      </c>
      <c r="E1084" s="28">
        <v>1.00000</v>
      </c>
      <c r="F1084" s="29">
        <f ca="1">ROUND(550.000,3)</f>
        <v>0</v>
      </c>
      <c r="G1084" s="27">
        <f ca="1">ROUND(E1084*F1084,2)</f>
        <v>0</v>
      </c>
    </row>
    <row r="1085" spans="1:7" ht="15.12" thickBot="1" customHeight="1">
      <c r="A1085" s="24" t="s">
        <v>3317</v>
      </c>
      <c r="B1085" s="24" t="s">
        <v>3318</v>
      </c>
      <c r="C1085" s="24" t="s">
        <v>3319</v>
      </c>
      <c r="D1085" s="25" t="s">
        <v>3320</v>
      </c>
      <c r="E1085" s="28">
        <v>1.00000</v>
      </c>
      <c r="F1085" s="29">
        <f ca="1">ROUND(500.000,3)</f>
        <v>0</v>
      </c>
      <c r="G1085" s="27">
        <f ca="1">ROUND(E1085*F1085,2)</f>
        <v>0</v>
      </c>
    </row>
    <row r="1086" spans="1:7" ht="15.12" thickBot="1" customHeight="1">
      <c r="A1086" s="24" t="s">
        <v>3321</v>
      </c>
      <c r="B1086" s="24" t="s">
        <v>3322</v>
      </c>
      <c r="C1086" s="24" t="s">
        <v>3323</v>
      </c>
      <c r="D1086" s="25" t="s">
        <v>3324</v>
      </c>
      <c r="E1086" s="28">
        <v>1.00000</v>
      </c>
      <c r="F1086" s="29">
        <f ca="1">ROUND(450.000,3)</f>
        <v>0</v>
      </c>
      <c r="G1086" s="27">
        <f ca="1">ROUND(E1086*F1086,2)</f>
        <v>0</v>
      </c>
    </row>
    <row r="1087" spans="1:7" ht="15.12" thickBot="1" customHeight="1">
      <c r="A1087" s="24" t="s">
        <v>3325</v>
      </c>
      <c r="B1087" s="24" t="s">
        <v>3326</v>
      </c>
      <c r="C1087" s="24" t="s">
        <v>3327</v>
      </c>
      <c r="D1087" s="25" t="s">
        <v>3328</v>
      </c>
      <c r="E1087" s="28">
        <v>2.00000</v>
      </c>
      <c r="F1087" s="29">
        <f ca="1">ROUND(160.000,3)</f>
        <v>0</v>
      </c>
      <c r="G1087" s="27">
        <f ca="1">ROUND(E1087*F1087,2)</f>
        <v>0</v>
      </c>
    </row>
    <row r="1088" spans="1:7" ht="15.48" thickBot="1" customHeight="1">
      <c r="A1088" s="30"/>
      <c r="B1088" s="30"/>
      <c r="C1088" s="30"/>
      <c r="D1088" s="31" t="s">
        <v>3329</v>
      </c>
      <c r="E1088" s="30"/>
      <c r="F1088" s="33">
        <f ca="1">ROUND((G1083+G1084+G1085+G1086+G1087)*(1+G2/100),2)</f>
        <v>0</v>
      </c>
      <c r="G1088" s="30"/>
    </row>
    <row r="1089" spans="1:7" ht="21.36" thickBot="1" customHeight="1">
      <c r="A1089" s="34" t="s">
        <v>3330</v>
      </c>
      <c r="B1089" s="35" t="s">
        <v>3331</v>
      </c>
      <c r="C1089" s="35" t="s">
        <v>3332</v>
      </c>
      <c r="D1089" s="36" t="s">
        <v>3333</v>
      </c>
      <c r="E1089" s="37"/>
      <c r="F1089" s="38">
        <f ca="1">F1094</f>
        <v>0</v>
      </c>
      <c r="G1089" s="37"/>
    </row>
    <row r="1090" spans="1:7" ht="12.12" thickBot="1" customHeight="1">
      <c r="A1090" s="26"/>
      <c r="B1090" s="26"/>
      <c r="C1090" s="26"/>
      <c r="D1090" s="25" t="s">
        <v>3334</v>
      </c>
      <c r="E1090" s="25"/>
      <c r="F1090" s="25"/>
      <c r="G1090" s="25"/>
    </row>
    <row r="1091" spans="1:7" ht="30.60" thickBot="1" customHeight="1">
      <c r="A1091" s="24" t="s">
        <v>3335</v>
      </c>
      <c r="B1091" s="24" t="s">
        <v>3336</v>
      </c>
      <c r="C1091" s="24" t="s">
        <v>3337</v>
      </c>
      <c r="D1091" s="25" t="s">
        <v>3338</v>
      </c>
      <c r="E1091" s="28">
        <v>1.00000</v>
      </c>
      <c r="F1091" s="29">
        <f ca="1">ROUND(150.000,3)</f>
        <v>0</v>
      </c>
      <c r="G1091" s="27">
        <f ca="1">ROUND(E1091*F1091,2)</f>
        <v>0</v>
      </c>
    </row>
    <row r="1092" spans="1:7" ht="15.12" thickBot="1" customHeight="1">
      <c r="A1092" s="24" t="s">
        <v>3339</v>
      </c>
      <c r="B1092" s="24" t="s">
        <v>3340</v>
      </c>
      <c r="C1092" s="24" t="s">
        <v>3341</v>
      </c>
      <c r="D1092" s="25" t="s">
        <v>3342</v>
      </c>
      <c r="E1092" s="28">
        <v>3.00000</v>
      </c>
      <c r="F1092" s="29">
        <f ca="1">ROUND(50.000,3)</f>
        <v>0</v>
      </c>
      <c r="G1092" s="27">
        <f ca="1">ROUND(E1092*F1092,2)</f>
        <v>0</v>
      </c>
    </row>
    <row r="1093" spans="1:7" ht="24.36" thickBot="1" customHeight="1">
      <c r="A1093" s="24" t="s">
        <v>3343</v>
      </c>
      <c r="B1093" s="24" t="s">
        <v>3344</v>
      </c>
      <c r="C1093" s="24" t="s">
        <v>3345</v>
      </c>
      <c r="D1093" s="25" t="s">
        <v>3346</v>
      </c>
      <c r="E1093" s="28">
        <v>1.00000</v>
      </c>
      <c r="F1093" s="29">
        <f ca="1">ROUND(150.000,3)</f>
        <v>0</v>
      </c>
      <c r="G1093" s="27">
        <f ca="1">ROUND(E1093*F1093,2)</f>
        <v>0</v>
      </c>
    </row>
    <row r="1094" spans="1:7" ht="15.48" thickBot="1" customHeight="1">
      <c r="A1094" s="30"/>
      <c r="B1094" s="30"/>
      <c r="C1094" s="30"/>
      <c r="D1094" s="31" t="s">
        <v>3347</v>
      </c>
      <c r="E1094" s="30"/>
      <c r="F1094" s="33">
        <f ca="1">ROUND((G1091+G1092+G1093)*(1+G2/100),2)</f>
        <v>0</v>
      </c>
      <c r="G1094" s="30"/>
    </row>
    <row r="1095" spans="1:7" ht="30.60" thickBot="1" customHeight="1">
      <c r="A1095" s="34" t="s">
        <v>3348</v>
      </c>
      <c r="B1095" s="35" t="s">
        <v>3349</v>
      </c>
      <c r="C1095" s="35" t="s">
        <v>3350</v>
      </c>
      <c r="D1095" s="36" t="s">
        <v>3351</v>
      </c>
      <c r="E1095" s="37"/>
      <c r="F1095" s="38">
        <f ca="1">F1098</f>
        <v>0</v>
      </c>
      <c r="G1095" s="37"/>
    </row>
    <row r="1096" spans="1:7" ht="67.56" thickBot="1" customHeight="1">
      <c r="A1096" s="26"/>
      <c r="B1096" s="26"/>
      <c r="C1096" s="26"/>
      <c r="D1096" s="25" t="s">
        <v>3352</v>
      </c>
      <c r="E1096" s="25"/>
      <c r="F1096" s="25"/>
      <c r="G1096" s="25"/>
    </row>
    <row r="1097" spans="1:7" ht="24.36" thickBot="1" customHeight="1">
      <c r="A1097" s="24" t="s">
        <v>3353</v>
      </c>
      <c r="B1097" s="24" t="s">
        <v>3354</v>
      </c>
      <c r="C1097" s="24" t="s">
        <v>3355</v>
      </c>
      <c r="D1097" s="25" t="s">
        <v>3356</v>
      </c>
      <c r="E1097" s="28">
        <v>1.00000</v>
      </c>
      <c r="F1097" s="29">
        <f ca="1">ROUND(1200.000,3)</f>
        <v>0</v>
      </c>
      <c r="G1097" s="27">
        <f ca="1">ROUND(E1097*F1097,2)</f>
        <v>0</v>
      </c>
    </row>
    <row r="1098" spans="1:7" ht="15.48" thickBot="1" customHeight="1">
      <c r="A1098" s="30"/>
      <c r="B1098" s="30"/>
      <c r="C1098" s="30"/>
      <c r="D1098" s="31" t="s">
        <v>3357</v>
      </c>
      <c r="E1098" s="30"/>
      <c r="F1098" s="33">
        <f ca="1">ROUND((G1097)*(1+G2/100),2)</f>
        <v>0</v>
      </c>
      <c r="G1098" s="30"/>
    </row>
    <row r="1099" spans="1:7" ht="30.60" thickBot="1" customHeight="1">
      <c r="A1099" s="34" t="s">
        <v>3358</v>
      </c>
      <c r="B1099" s="35" t="s">
        <v>3359</v>
      </c>
      <c r="C1099" s="35" t="s">
        <v>3360</v>
      </c>
      <c r="D1099" s="36" t="s">
        <v>3361</v>
      </c>
      <c r="E1099" s="37"/>
      <c r="F1099" s="38">
        <f ca="1">F1102</f>
        <v>0</v>
      </c>
      <c r="G1099" s="37"/>
    </row>
    <row r="1100" spans="1:7" ht="67.56" thickBot="1" customHeight="1">
      <c r="A1100" s="26"/>
      <c r="B1100" s="26"/>
      <c r="C1100" s="26"/>
      <c r="D1100" s="25" t="s">
        <v>3362</v>
      </c>
      <c r="E1100" s="25"/>
      <c r="F1100" s="25"/>
      <c r="G1100" s="25"/>
    </row>
    <row r="1101" spans="1:7" ht="24.36" thickBot="1" customHeight="1">
      <c r="A1101" s="24" t="s">
        <v>3363</v>
      </c>
      <c r="B1101" s="24" t="s">
        <v>3364</v>
      </c>
      <c r="C1101" s="24" t="s">
        <v>3365</v>
      </c>
      <c r="D1101" s="25" t="s">
        <v>3366</v>
      </c>
      <c r="E1101" s="28">
        <v>1.50000</v>
      </c>
      <c r="F1101" s="29">
        <f ca="1">ROUND(1200.000,3)</f>
        <v>0</v>
      </c>
      <c r="G1101" s="27">
        <f ca="1">ROUND(E1101*F1101,2)</f>
        <v>0</v>
      </c>
    </row>
    <row r="1102" spans="1:7" ht="15.48" thickBot="1" customHeight="1">
      <c r="A1102" s="30"/>
      <c r="B1102" s="30"/>
      <c r="C1102" s="30"/>
      <c r="D1102" s="31" t="s">
        <v>3367</v>
      </c>
      <c r="E1102" s="30"/>
      <c r="F1102" s="33">
        <f ca="1">ROUND((G1101)*(1+G2/100),2)</f>
        <v>0</v>
      </c>
      <c r="G1102" s="30"/>
    </row>
    <row r="1103" spans="1:7" ht="49.08" thickBot="1" customHeight="1">
      <c r="A1103" s="34" t="s">
        <v>3368</v>
      </c>
      <c r="B1103" s="35" t="s">
        <v>3369</v>
      </c>
      <c r="C1103" s="35" t="s">
        <v>3370</v>
      </c>
      <c r="D1103" s="36" t="s">
        <v>3371</v>
      </c>
      <c r="E1103" s="37"/>
      <c r="F1103" s="38">
        <f ca="1">F1113</f>
        <v>0</v>
      </c>
      <c r="G1103" s="37"/>
    </row>
    <row r="1104" spans="1:7" ht="39.84" thickBot="1" customHeight="1">
      <c r="A1104" s="26"/>
      <c r="B1104" s="26"/>
      <c r="C1104" s="26"/>
      <c r="D1104" s="25" t="s">
        <v>3372</v>
      </c>
      <c r="E1104" s="25"/>
      <c r="F1104" s="25"/>
      <c r="G1104" s="25"/>
    </row>
    <row r="1105" spans="1:7" ht="21.36" thickBot="1" customHeight="1">
      <c r="A1105" s="24" t="s">
        <v>3373</v>
      </c>
      <c r="B1105" s="24" t="s">
        <v>3374</v>
      </c>
      <c r="C1105" s="24" t="s">
        <v>3375</v>
      </c>
      <c r="D1105" s="25" t="s">
        <v>3376</v>
      </c>
      <c r="E1105" s="28">
        <v>0.28875</v>
      </c>
      <c r="F1105" s="29">
        <f ca="1">ROUND(3.470,3)</f>
        <v>0</v>
      </c>
      <c r="G1105" s="27">
        <f ca="1">ROUND(E1105*F1105,2)</f>
        <v>0</v>
      </c>
    </row>
    <row r="1106" spans="1:7" ht="21.36" thickBot="1" customHeight="1">
      <c r="A1106" s="24" t="s">
        <v>3377</v>
      </c>
      <c r="B1106" s="24" t="s">
        <v>3378</v>
      </c>
      <c r="C1106" s="24" t="s">
        <v>3379</v>
      </c>
      <c r="D1106" s="25" t="s">
        <v>3380</v>
      </c>
      <c r="E1106" s="28">
        <v>0.03911</v>
      </c>
      <c r="F1106" s="29">
        <f ca="1">ROUND(1.320,3)</f>
        <v>0</v>
      </c>
      <c r="G1106" s="27">
        <f ca="1">ROUND(E1106*F1106,2)</f>
        <v>0</v>
      </c>
    </row>
    <row r="1107" spans="1:7" ht="21.36" thickBot="1" customHeight="1">
      <c r="A1107" s="24" t="s">
        <v>3381</v>
      </c>
      <c r="B1107" s="24" t="s">
        <v>3382</v>
      </c>
      <c r="C1107" s="24" t="s">
        <v>3383</v>
      </c>
      <c r="D1107" s="25" t="s">
        <v>3384</v>
      </c>
      <c r="E1107" s="28">
        <v>0.20000</v>
      </c>
      <c r="F1107" s="29">
        <f ca="1">F1111</f>
        <v>0</v>
      </c>
      <c r="G1107" s="27">
        <f ca="1">ROUND(E1107*F1107,2)</f>
        <v>0</v>
      </c>
    </row>
    <row r="1108" spans="1:7" ht="24.36" thickBot="1" customHeight="1">
      <c r="A1108" s="24" t="s">
        <v>3385</v>
      </c>
      <c r="B1108" s="24" t="s">
        <v>3386</v>
      </c>
      <c r="C1108" s="24" t="s">
        <v>3387</v>
      </c>
      <c r="D1108" s="25" t="s">
        <v>3388</v>
      </c>
      <c r="E1108" s="28">
        <v>1.00000</v>
      </c>
      <c r="F1108" s="29">
        <f ca="1">ROUND(21.000,3)</f>
        <v>0</v>
      </c>
      <c r="G1108" s="27">
        <f ca="1">ROUND(E1108*F1108,2)</f>
        <v>0</v>
      </c>
    </row>
    <row r="1109" spans="1:7" ht="24.36" thickBot="1" customHeight="1">
      <c r="A1109" s="24" t="s">
        <v>3389</v>
      </c>
      <c r="B1109" s="24" t="s">
        <v>3390</v>
      </c>
      <c r="C1109" s="24" t="s">
        <v>3391</v>
      </c>
      <c r="D1109" s="25" t="s">
        <v>3392</v>
      </c>
      <c r="E1109" s="28">
        <v>1.00000</v>
      </c>
      <c r="F1109" s="29">
        <f ca="1">ROUND(19.000,3)</f>
        <v>0</v>
      </c>
      <c r="G1109" s="27">
        <f ca="1">ROUND(E1109*F1109,2)</f>
        <v>0</v>
      </c>
    </row>
    <row r="1110" spans="1:7" ht="24.36" thickBot="1" customHeight="1">
      <c r="A1110" s="24" t="s">
        <v>3393</v>
      </c>
      <c r="B1110" s="24" t="s">
        <v>3394</v>
      </c>
      <c r="C1110" s="24" t="s">
        <v>3395</v>
      </c>
      <c r="D1110" s="25" t="s">
        <v>3396</v>
      </c>
      <c r="E1110" s="28">
        <v>0.20000</v>
      </c>
      <c r="F1110" s="29">
        <f ca="1">ROUND(19.000,3)</f>
        <v>0</v>
      </c>
      <c r="G1110" s="27">
        <f ca="1">ROUND(E1110*F1110,2)</f>
        <v>0</v>
      </c>
    </row>
    <row r="1111" spans="1:7" ht="15.12" thickBot="1" customHeight="1">
      <c r="A1111" s="26"/>
      <c r="B1111" s="26"/>
      <c r="C1111" s="26"/>
      <c r="D1111" s="24" t="s">
        <v>3397</v>
      </c>
      <c r="E1111" s="28">
        <v>0.20000</v>
      </c>
      <c r="F1111" s="29">
        <f ca="1">ROUND((G1108+G1109+G1110),3)</f>
        <v>0</v>
      </c>
      <c r="G1111" s="27">
        <f ca="1">ROUND(E1111*F1111,2)</f>
        <v>0</v>
      </c>
    </row>
    <row r="1112" spans="1:7" ht="15.12" thickBot="1" customHeight="1">
      <c r="A1112" s="24" t="s">
        <v>3398</v>
      </c>
      <c r="B1112" s="24"/>
      <c r="C1112" s="24" t="s">
        <v>3399</v>
      </c>
      <c r="D1112" s="25" t="s">
        <v>3400</v>
      </c>
      <c r="E1112" s="28">
        <v>3.00000</v>
      </c>
      <c r="F1112" s="29">
        <f ca="1">ROUND(8.760,3)</f>
        <v>0</v>
      </c>
      <c r="G1112" s="27">
        <f ca="1">ROUND((E1112*F1112)/100,2)</f>
        <v>0</v>
      </c>
    </row>
    <row r="1113" spans="1:7" ht="25.08" thickBot="1" customHeight="1">
      <c r="A1113" s="30"/>
      <c r="B1113" s="30"/>
      <c r="C1113" s="30"/>
      <c r="D1113" s="31" t="s">
        <v>3401</v>
      </c>
      <c r="E1113" s="30"/>
      <c r="F1113" s="33">
        <f ca="1">ROUND((G1105+G1106+G1107+G1112)*(1+G2/100),2)</f>
        <v>0</v>
      </c>
      <c r="G1113" s="30"/>
    </row>
    <row r="1114" spans="1:7" ht="49.08" thickBot="1" customHeight="1">
      <c r="A1114" s="34" t="s">
        <v>3402</v>
      </c>
      <c r="B1114" s="35" t="s">
        <v>3403</v>
      </c>
      <c r="C1114" s="35" t="s">
        <v>3404</v>
      </c>
      <c r="D1114" s="36" t="s">
        <v>3405</v>
      </c>
      <c r="E1114" s="37"/>
      <c r="F1114" s="38">
        <f ca="1">F1124</f>
        <v>0</v>
      </c>
      <c r="G1114" s="37"/>
    </row>
    <row r="1115" spans="1:7" ht="39.84" thickBot="1" customHeight="1">
      <c r="A1115" s="26"/>
      <c r="B1115" s="26"/>
      <c r="C1115" s="26"/>
      <c r="D1115" s="25" t="s">
        <v>3406</v>
      </c>
      <c r="E1115" s="25"/>
      <c r="F1115" s="25"/>
      <c r="G1115" s="25"/>
    </row>
    <row r="1116" spans="1:7" ht="21.36" thickBot="1" customHeight="1">
      <c r="A1116" s="24" t="s">
        <v>3407</v>
      </c>
      <c r="B1116" s="24" t="s">
        <v>3408</v>
      </c>
      <c r="C1116" s="24" t="s">
        <v>3409</v>
      </c>
      <c r="D1116" s="25" t="s">
        <v>3410</v>
      </c>
      <c r="E1116" s="28">
        <v>0.32340</v>
      </c>
      <c r="F1116" s="29">
        <f ca="1">ROUND(3.470,3)</f>
        <v>0</v>
      </c>
      <c r="G1116" s="27">
        <f ca="1">ROUND(E1116*F1116,2)</f>
        <v>0</v>
      </c>
    </row>
    <row r="1117" spans="1:7" ht="21.36" thickBot="1" customHeight="1">
      <c r="A1117" s="24" t="s">
        <v>3411</v>
      </c>
      <c r="B1117" s="24" t="s">
        <v>3412</v>
      </c>
      <c r="C1117" s="24" t="s">
        <v>3413</v>
      </c>
      <c r="D1117" s="25" t="s">
        <v>3414</v>
      </c>
      <c r="E1117" s="28">
        <v>0.04156</v>
      </c>
      <c r="F1117" s="29">
        <f ca="1">ROUND(1.320,3)</f>
        <v>0</v>
      </c>
      <c r="G1117" s="27">
        <f ca="1">ROUND(E1117*F1117,2)</f>
        <v>0</v>
      </c>
    </row>
    <row r="1118" spans="1:7" ht="21.36" thickBot="1" customHeight="1">
      <c r="A1118" s="24" t="s">
        <v>3415</v>
      </c>
      <c r="B1118" s="24" t="s">
        <v>3416</v>
      </c>
      <c r="C1118" s="24" t="s">
        <v>3417</v>
      </c>
      <c r="D1118" s="25" t="s">
        <v>3418</v>
      </c>
      <c r="E1118" s="28">
        <v>0.22000</v>
      </c>
      <c r="F1118" s="29">
        <f ca="1">F1122</f>
        <v>0</v>
      </c>
      <c r="G1118" s="27">
        <f ca="1">ROUND(E1118*F1118,2)</f>
        <v>0</v>
      </c>
    </row>
    <row r="1119" spans="1:7" ht="24.36" thickBot="1" customHeight="1">
      <c r="A1119" s="24" t="s">
        <v>3419</v>
      </c>
      <c r="B1119" s="24" t="s">
        <v>3420</v>
      </c>
      <c r="C1119" s="24" t="s">
        <v>3421</v>
      </c>
      <c r="D1119" s="25" t="s">
        <v>3422</v>
      </c>
      <c r="E1119" s="28">
        <v>1.00000</v>
      </c>
      <c r="F1119" s="29">
        <f ca="1">ROUND(21.000,3)</f>
        <v>0</v>
      </c>
      <c r="G1119" s="27">
        <f ca="1">ROUND(E1119*F1119,2)</f>
        <v>0</v>
      </c>
    </row>
    <row r="1120" spans="1:7" ht="24.36" thickBot="1" customHeight="1">
      <c r="A1120" s="24" t="s">
        <v>3423</v>
      </c>
      <c r="B1120" s="24" t="s">
        <v>3424</v>
      </c>
      <c r="C1120" s="24" t="s">
        <v>3425</v>
      </c>
      <c r="D1120" s="25" t="s">
        <v>3426</v>
      </c>
      <c r="E1120" s="28">
        <v>1.00000</v>
      </c>
      <c r="F1120" s="29">
        <f ca="1">ROUND(19.000,3)</f>
        <v>0</v>
      </c>
      <c r="G1120" s="27">
        <f ca="1">ROUND(E1120*F1120,2)</f>
        <v>0</v>
      </c>
    </row>
    <row r="1121" spans="1:7" ht="24.36" thickBot="1" customHeight="1">
      <c r="A1121" s="24" t="s">
        <v>3427</v>
      </c>
      <c r="B1121" s="24" t="s">
        <v>3428</v>
      </c>
      <c r="C1121" s="24" t="s">
        <v>3429</v>
      </c>
      <c r="D1121" s="25" t="s">
        <v>3430</v>
      </c>
      <c r="E1121" s="28">
        <v>0.20000</v>
      </c>
      <c r="F1121" s="29">
        <f ca="1">ROUND(19.000,3)</f>
        <v>0</v>
      </c>
      <c r="G1121" s="27">
        <f ca="1">ROUND(E1121*F1121,2)</f>
        <v>0</v>
      </c>
    </row>
    <row r="1122" spans="1:7" ht="15.12" thickBot="1" customHeight="1">
      <c r="A1122" s="26"/>
      <c r="B1122" s="26"/>
      <c r="C1122" s="26"/>
      <c r="D1122" s="24" t="s">
        <v>3431</v>
      </c>
      <c r="E1122" s="28">
        <v>0.22000</v>
      </c>
      <c r="F1122" s="29">
        <f ca="1">ROUND((G1119+G1120+G1121),3)</f>
        <v>0</v>
      </c>
      <c r="G1122" s="27">
        <f ca="1">ROUND(E1122*F1122,2)</f>
        <v>0</v>
      </c>
    </row>
    <row r="1123" spans="1:7" ht="15.12" thickBot="1" customHeight="1">
      <c r="A1123" s="24" t="s">
        <v>3432</v>
      </c>
      <c r="B1123" s="24"/>
      <c r="C1123" s="24" t="s">
        <v>3433</v>
      </c>
      <c r="D1123" s="25" t="s">
        <v>3434</v>
      </c>
      <c r="E1123" s="28">
        <v>3.00000</v>
      </c>
      <c r="F1123" s="29">
        <f ca="1">ROUND(9.640,3)</f>
        <v>0</v>
      </c>
      <c r="G1123" s="27">
        <f ca="1">ROUND((E1123*F1123)/100,2)</f>
        <v>0</v>
      </c>
    </row>
    <row r="1124" spans="1:7" ht="25.08" thickBot="1" customHeight="1">
      <c r="A1124" s="30"/>
      <c r="B1124" s="30"/>
      <c r="C1124" s="30"/>
      <c r="D1124" s="31" t="s">
        <v>3435</v>
      </c>
      <c r="E1124" s="30"/>
      <c r="F1124" s="33">
        <f ca="1">ROUND((G1116+G1117+G1118+G1123)*(1+G2/100),2)</f>
        <v>0</v>
      </c>
      <c r="G1124" s="30"/>
    </row>
    <row r="1125" spans="1:7" ht="49.08" thickBot="1" customHeight="1">
      <c r="A1125" s="34" t="s">
        <v>3436</v>
      </c>
      <c r="B1125" s="35" t="s">
        <v>3437</v>
      </c>
      <c r="C1125" s="35" t="s">
        <v>3438</v>
      </c>
      <c r="D1125" s="36" t="s">
        <v>3439</v>
      </c>
      <c r="E1125" s="37"/>
      <c r="F1125" s="38">
        <f ca="1">F1135</f>
        <v>0</v>
      </c>
      <c r="G1125" s="37"/>
    </row>
    <row r="1126" spans="1:7" ht="39.84" thickBot="1" customHeight="1">
      <c r="A1126" s="26"/>
      <c r="B1126" s="26"/>
      <c r="C1126" s="26"/>
      <c r="D1126" s="25" t="s">
        <v>3440</v>
      </c>
      <c r="E1126" s="25"/>
      <c r="F1126" s="25"/>
      <c r="G1126" s="25"/>
    </row>
    <row r="1127" spans="1:7" ht="21.36" thickBot="1" customHeight="1">
      <c r="A1127" s="24" t="s">
        <v>3441</v>
      </c>
      <c r="B1127" s="24" t="s">
        <v>3442</v>
      </c>
      <c r="C1127" s="24" t="s">
        <v>3443</v>
      </c>
      <c r="D1127" s="25" t="s">
        <v>3444</v>
      </c>
      <c r="E1127" s="28">
        <v>0.35750</v>
      </c>
      <c r="F1127" s="29">
        <f ca="1">ROUND(3.470,3)</f>
        <v>0</v>
      </c>
      <c r="G1127" s="27">
        <f ca="1">ROUND(E1127*F1127,2)</f>
        <v>0</v>
      </c>
    </row>
    <row r="1128" spans="1:7" ht="21.36" thickBot="1" customHeight="1">
      <c r="A1128" s="24" t="s">
        <v>3445</v>
      </c>
      <c r="B1128" s="24" t="s">
        <v>3446</v>
      </c>
      <c r="C1128" s="24" t="s">
        <v>3447</v>
      </c>
      <c r="D1128" s="25" t="s">
        <v>3448</v>
      </c>
      <c r="E1128" s="28">
        <v>0.04444</v>
      </c>
      <c r="F1128" s="29">
        <f ca="1">ROUND(1.320,3)</f>
        <v>0</v>
      </c>
      <c r="G1128" s="27">
        <f ca="1">ROUND(E1128*F1128,2)</f>
        <v>0</v>
      </c>
    </row>
    <row r="1129" spans="1:7" ht="21.36" thickBot="1" customHeight="1">
      <c r="A1129" s="24" t="s">
        <v>3449</v>
      </c>
      <c r="B1129" s="24" t="s">
        <v>3450</v>
      </c>
      <c r="C1129" s="24" t="s">
        <v>3451</v>
      </c>
      <c r="D1129" s="25" t="s">
        <v>3452</v>
      </c>
      <c r="E1129" s="28">
        <v>0.23333</v>
      </c>
      <c r="F1129" s="29">
        <f ca="1">F1133</f>
        <v>0</v>
      </c>
      <c r="G1129" s="27">
        <f ca="1">ROUND(E1129*F1129,2)</f>
        <v>0</v>
      </c>
    </row>
    <row r="1130" spans="1:7" ht="24.36" thickBot="1" customHeight="1">
      <c r="A1130" s="24" t="s">
        <v>3453</v>
      </c>
      <c r="B1130" s="24" t="s">
        <v>3454</v>
      </c>
      <c r="C1130" s="24" t="s">
        <v>3455</v>
      </c>
      <c r="D1130" s="25" t="s">
        <v>3456</v>
      </c>
      <c r="E1130" s="28">
        <v>1.00000</v>
      </c>
      <c r="F1130" s="29">
        <f ca="1">ROUND(21.000,3)</f>
        <v>0</v>
      </c>
      <c r="G1130" s="27">
        <f ca="1">ROUND(E1130*F1130,2)</f>
        <v>0</v>
      </c>
    </row>
    <row r="1131" spans="1:7" ht="24.36" thickBot="1" customHeight="1">
      <c r="A1131" s="24" t="s">
        <v>3457</v>
      </c>
      <c r="B1131" s="24" t="s">
        <v>3458</v>
      </c>
      <c r="C1131" s="24" t="s">
        <v>3459</v>
      </c>
      <c r="D1131" s="25" t="s">
        <v>3460</v>
      </c>
      <c r="E1131" s="28">
        <v>1.00000</v>
      </c>
      <c r="F1131" s="29">
        <f ca="1">ROUND(19.000,3)</f>
        <v>0</v>
      </c>
      <c r="G1131" s="27">
        <f ca="1">ROUND(E1131*F1131,2)</f>
        <v>0</v>
      </c>
    </row>
    <row r="1132" spans="1:7" ht="24.36" thickBot="1" customHeight="1">
      <c r="A1132" s="24" t="s">
        <v>3461</v>
      </c>
      <c r="B1132" s="24" t="s">
        <v>3462</v>
      </c>
      <c r="C1132" s="24" t="s">
        <v>3463</v>
      </c>
      <c r="D1132" s="25" t="s">
        <v>3464</v>
      </c>
      <c r="E1132" s="28">
        <v>0.20000</v>
      </c>
      <c r="F1132" s="29">
        <f ca="1">ROUND(19.000,3)</f>
        <v>0</v>
      </c>
      <c r="G1132" s="27">
        <f ca="1">ROUND(E1132*F1132,2)</f>
        <v>0</v>
      </c>
    </row>
    <row r="1133" spans="1:7" ht="15.12" thickBot="1" customHeight="1">
      <c r="A1133" s="26"/>
      <c r="B1133" s="26"/>
      <c r="C1133" s="26"/>
      <c r="D1133" s="24" t="s">
        <v>3465</v>
      </c>
      <c r="E1133" s="28">
        <v>0.23333</v>
      </c>
      <c r="F1133" s="29">
        <f ca="1">ROUND((G1130+G1131+G1132),3)</f>
        <v>0</v>
      </c>
      <c r="G1133" s="27">
        <f ca="1">ROUND(E1133*F1133,2)</f>
        <v>0</v>
      </c>
    </row>
    <row r="1134" spans="1:7" ht="15.12" thickBot="1" customHeight="1">
      <c r="A1134" s="24" t="s">
        <v>3466</v>
      </c>
      <c r="B1134" s="24"/>
      <c r="C1134" s="24" t="s">
        <v>3467</v>
      </c>
      <c r="D1134" s="25" t="s">
        <v>3468</v>
      </c>
      <c r="E1134" s="28">
        <v>3.00000</v>
      </c>
      <c r="F1134" s="29">
        <f ca="1">ROUND(10.220,3)</f>
        <v>0</v>
      </c>
      <c r="G1134" s="27">
        <f ca="1">ROUND((E1134*F1134)/100,2)</f>
        <v>0</v>
      </c>
    </row>
    <row r="1135" spans="1:7" ht="25.08" thickBot="1" customHeight="1">
      <c r="A1135" s="30"/>
      <c r="B1135" s="30"/>
      <c r="C1135" s="30"/>
      <c r="D1135" s="31" t="s">
        <v>3469</v>
      </c>
      <c r="E1135" s="30"/>
      <c r="F1135" s="33">
        <f ca="1">ROUND((G1127+G1128+G1129+G1134)*(1+G2/100),2)</f>
        <v>0</v>
      </c>
      <c r="G1135" s="30"/>
    </row>
    <row r="1136" spans="1:7" ht="49.08" thickBot="1" customHeight="1">
      <c r="A1136" s="34" t="s">
        <v>3470</v>
      </c>
      <c r="B1136" s="35" t="s">
        <v>3471</v>
      </c>
      <c r="C1136" s="35" t="s">
        <v>3472</v>
      </c>
      <c r="D1136" s="36" t="s">
        <v>3473</v>
      </c>
      <c r="E1136" s="37"/>
      <c r="F1136" s="38">
        <f ca="1">F1146</f>
        <v>0</v>
      </c>
      <c r="G1136" s="37"/>
    </row>
    <row r="1137" spans="1:7" ht="39.84" thickBot="1" customHeight="1">
      <c r="A1137" s="26"/>
      <c r="B1137" s="26"/>
      <c r="C1137" s="26"/>
      <c r="D1137" s="25" t="s">
        <v>3474</v>
      </c>
      <c r="E1137" s="25"/>
      <c r="F1137" s="25"/>
      <c r="G1137" s="25"/>
    </row>
    <row r="1138" spans="1:7" ht="21.36" thickBot="1" customHeight="1">
      <c r="A1138" s="24" t="s">
        <v>3475</v>
      </c>
      <c r="B1138" s="24" t="s">
        <v>3476</v>
      </c>
      <c r="C1138" s="24" t="s">
        <v>3477</v>
      </c>
      <c r="D1138" s="25" t="s">
        <v>3478</v>
      </c>
      <c r="E1138" s="28">
        <v>0.47300</v>
      </c>
      <c r="F1138" s="29">
        <f ca="1">ROUND(3.470,3)</f>
        <v>0</v>
      </c>
      <c r="G1138" s="27">
        <f ca="1">ROUND(E1138*F1138,2)</f>
        <v>0</v>
      </c>
    </row>
    <row r="1139" spans="1:7" ht="21.36" thickBot="1" customHeight="1">
      <c r="A1139" s="24" t="s">
        <v>3479</v>
      </c>
      <c r="B1139" s="24" t="s">
        <v>3480</v>
      </c>
      <c r="C1139" s="24" t="s">
        <v>3481</v>
      </c>
      <c r="D1139" s="25" t="s">
        <v>3482</v>
      </c>
      <c r="E1139" s="28">
        <v>0.05378</v>
      </c>
      <c r="F1139" s="29">
        <f ca="1">ROUND(1.320,3)</f>
        <v>0</v>
      </c>
      <c r="G1139" s="27">
        <f ca="1">ROUND(E1139*F1139,2)</f>
        <v>0</v>
      </c>
    </row>
    <row r="1140" spans="1:7" ht="21.36" thickBot="1" customHeight="1">
      <c r="A1140" s="24" t="s">
        <v>3483</v>
      </c>
      <c r="B1140" s="24" t="s">
        <v>3484</v>
      </c>
      <c r="C1140" s="24" t="s">
        <v>3485</v>
      </c>
      <c r="D1140" s="25" t="s">
        <v>3486</v>
      </c>
      <c r="E1140" s="28">
        <v>0.27400</v>
      </c>
      <c r="F1140" s="29">
        <f ca="1">F1144</f>
        <v>0</v>
      </c>
      <c r="G1140" s="27">
        <f ca="1">ROUND(E1140*F1140,2)</f>
        <v>0</v>
      </c>
    </row>
    <row r="1141" spans="1:7" ht="24.36" thickBot="1" customHeight="1">
      <c r="A1141" s="24" t="s">
        <v>3487</v>
      </c>
      <c r="B1141" s="24" t="s">
        <v>3488</v>
      </c>
      <c r="C1141" s="24" t="s">
        <v>3489</v>
      </c>
      <c r="D1141" s="25" t="s">
        <v>3490</v>
      </c>
      <c r="E1141" s="28">
        <v>1.00000</v>
      </c>
      <c r="F1141" s="29">
        <f ca="1">ROUND(21.000,3)</f>
        <v>0</v>
      </c>
      <c r="G1141" s="27">
        <f ca="1">ROUND(E1141*F1141,2)</f>
        <v>0</v>
      </c>
    </row>
    <row r="1142" spans="1:7" ht="24.36" thickBot="1" customHeight="1">
      <c r="A1142" s="24" t="s">
        <v>3491</v>
      </c>
      <c r="B1142" s="24" t="s">
        <v>3492</v>
      </c>
      <c r="C1142" s="24" t="s">
        <v>3493</v>
      </c>
      <c r="D1142" s="25" t="s">
        <v>3494</v>
      </c>
      <c r="E1142" s="28">
        <v>1.00000</v>
      </c>
      <c r="F1142" s="29">
        <f ca="1">ROUND(19.000,3)</f>
        <v>0</v>
      </c>
      <c r="G1142" s="27">
        <f ca="1">ROUND(E1142*F1142,2)</f>
        <v>0</v>
      </c>
    </row>
    <row r="1143" spans="1:7" ht="24.36" thickBot="1" customHeight="1">
      <c r="A1143" s="24" t="s">
        <v>3495</v>
      </c>
      <c r="B1143" s="24" t="s">
        <v>3496</v>
      </c>
      <c r="C1143" s="24" t="s">
        <v>3497</v>
      </c>
      <c r="D1143" s="25" t="s">
        <v>3498</v>
      </c>
      <c r="E1143" s="28">
        <v>0.20000</v>
      </c>
      <c r="F1143" s="29">
        <f ca="1">ROUND(19.000,3)</f>
        <v>0</v>
      </c>
      <c r="G1143" s="27">
        <f ca="1">ROUND(E1143*F1143,2)</f>
        <v>0</v>
      </c>
    </row>
    <row r="1144" spans="1:7" ht="15.12" thickBot="1" customHeight="1">
      <c r="A1144" s="26"/>
      <c r="B1144" s="26"/>
      <c r="C1144" s="26"/>
      <c r="D1144" s="24" t="s">
        <v>3499</v>
      </c>
      <c r="E1144" s="28">
        <v>0.27400</v>
      </c>
      <c r="F1144" s="29">
        <f ca="1">ROUND((G1141+G1142+G1143),3)</f>
        <v>0</v>
      </c>
      <c r="G1144" s="27">
        <f ca="1">ROUND(E1144*F1144,2)</f>
        <v>0</v>
      </c>
    </row>
    <row r="1145" spans="1:7" ht="15.12" thickBot="1" customHeight="1">
      <c r="A1145" s="24" t="s">
        <v>3500</v>
      </c>
      <c r="B1145" s="24"/>
      <c r="C1145" s="24" t="s">
        <v>3501</v>
      </c>
      <c r="D1145" s="25" t="s">
        <v>3502</v>
      </c>
      <c r="E1145" s="28">
        <v>3.00000</v>
      </c>
      <c r="F1145" s="29">
        <f ca="1">ROUND(12.000,3)</f>
        <v>0</v>
      </c>
      <c r="G1145" s="27">
        <f ca="1">ROUND((E1145*F1145)/100,2)</f>
        <v>0</v>
      </c>
    </row>
    <row r="1146" spans="1:7" ht="25.08" thickBot="1" customHeight="1">
      <c r="A1146" s="30"/>
      <c r="B1146" s="30"/>
      <c r="C1146" s="30"/>
      <c r="D1146" s="31" t="s">
        <v>3503</v>
      </c>
      <c r="E1146" s="30"/>
      <c r="F1146" s="33">
        <f ca="1">ROUND((G1138+G1139+G1140+G1145)*(1+G2/100),2)</f>
        <v>0</v>
      </c>
      <c r="G1146" s="30"/>
    </row>
    <row r="1147" spans="1:7" ht="49.08" thickBot="1" customHeight="1">
      <c r="A1147" s="34" t="s">
        <v>3504</v>
      </c>
      <c r="B1147" s="35" t="s">
        <v>3505</v>
      </c>
      <c r="C1147" s="35" t="s">
        <v>3506</v>
      </c>
      <c r="D1147" s="36" t="s">
        <v>3507</v>
      </c>
      <c r="E1147" s="37"/>
      <c r="F1147" s="38">
        <f ca="1">F1157</f>
        <v>0</v>
      </c>
      <c r="G1147" s="37"/>
    </row>
    <row r="1148" spans="1:7" ht="39.84" thickBot="1" customHeight="1">
      <c r="A1148" s="26"/>
      <c r="B1148" s="26"/>
      <c r="C1148" s="26"/>
      <c r="D1148" s="25" t="s">
        <v>3508</v>
      </c>
      <c r="E1148" s="25"/>
      <c r="F1148" s="25"/>
      <c r="G1148" s="25"/>
    </row>
    <row r="1149" spans="1:7" ht="21.36" thickBot="1" customHeight="1">
      <c r="A1149" s="24" t="s">
        <v>3509</v>
      </c>
      <c r="B1149" s="24" t="s">
        <v>3510</v>
      </c>
      <c r="C1149" s="24" t="s">
        <v>3511</v>
      </c>
      <c r="D1149" s="25" t="s">
        <v>3512</v>
      </c>
      <c r="E1149" s="28">
        <v>0.50050</v>
      </c>
      <c r="F1149" s="29">
        <f ca="1">ROUND(3.470,3)</f>
        <v>0</v>
      </c>
      <c r="G1149" s="27">
        <f ca="1">ROUND(E1149*F1149,2)</f>
        <v>0</v>
      </c>
    </row>
    <row r="1150" spans="1:7" ht="21.36" thickBot="1" customHeight="1">
      <c r="A1150" s="24" t="s">
        <v>3513</v>
      </c>
      <c r="B1150" s="24" t="s">
        <v>3514</v>
      </c>
      <c r="C1150" s="24" t="s">
        <v>3515</v>
      </c>
      <c r="D1150" s="25" t="s">
        <v>3516</v>
      </c>
      <c r="E1150" s="28">
        <v>0.05622</v>
      </c>
      <c r="F1150" s="29">
        <f ca="1">ROUND(1.320,3)</f>
        <v>0</v>
      </c>
      <c r="G1150" s="27">
        <f ca="1">ROUND(E1150*F1150,2)</f>
        <v>0</v>
      </c>
    </row>
    <row r="1151" spans="1:7" ht="21.36" thickBot="1" customHeight="1">
      <c r="A1151" s="24" t="s">
        <v>3517</v>
      </c>
      <c r="B1151" s="24" t="s">
        <v>3518</v>
      </c>
      <c r="C1151" s="24" t="s">
        <v>3519</v>
      </c>
      <c r="D1151" s="25" t="s">
        <v>3520</v>
      </c>
      <c r="E1151" s="28">
        <v>0.30000</v>
      </c>
      <c r="F1151" s="29">
        <f ca="1">F1155</f>
        <v>0</v>
      </c>
      <c r="G1151" s="27">
        <f ca="1">ROUND(E1151*F1151,2)</f>
        <v>0</v>
      </c>
    </row>
    <row r="1152" spans="1:7" ht="24.36" thickBot="1" customHeight="1">
      <c r="A1152" s="24" t="s">
        <v>3521</v>
      </c>
      <c r="B1152" s="24" t="s">
        <v>3522</v>
      </c>
      <c r="C1152" s="24" t="s">
        <v>3523</v>
      </c>
      <c r="D1152" s="25" t="s">
        <v>3524</v>
      </c>
      <c r="E1152" s="28">
        <v>1.00000</v>
      </c>
      <c r="F1152" s="29">
        <f ca="1">ROUND(21.000,3)</f>
        <v>0</v>
      </c>
      <c r="G1152" s="27">
        <f ca="1">ROUND(E1152*F1152,2)</f>
        <v>0</v>
      </c>
    </row>
    <row r="1153" spans="1:7" ht="24.36" thickBot="1" customHeight="1">
      <c r="A1153" s="24" t="s">
        <v>3525</v>
      </c>
      <c r="B1153" s="24" t="s">
        <v>3526</v>
      </c>
      <c r="C1153" s="24" t="s">
        <v>3527</v>
      </c>
      <c r="D1153" s="25" t="s">
        <v>3528</v>
      </c>
      <c r="E1153" s="28">
        <v>1.00000</v>
      </c>
      <c r="F1153" s="29">
        <f ca="1">ROUND(19.000,3)</f>
        <v>0</v>
      </c>
      <c r="G1153" s="27">
        <f ca="1">ROUND(E1153*F1153,2)</f>
        <v>0</v>
      </c>
    </row>
    <row r="1154" spans="1:7" ht="24.36" thickBot="1" customHeight="1">
      <c r="A1154" s="24" t="s">
        <v>3529</v>
      </c>
      <c r="B1154" s="24" t="s">
        <v>3530</v>
      </c>
      <c r="C1154" s="24" t="s">
        <v>3531</v>
      </c>
      <c r="D1154" s="25" t="s">
        <v>3532</v>
      </c>
      <c r="E1154" s="28">
        <v>0.20000</v>
      </c>
      <c r="F1154" s="29">
        <f ca="1">ROUND(19.000,3)</f>
        <v>0</v>
      </c>
      <c r="G1154" s="27">
        <f ca="1">ROUND(E1154*F1154,2)</f>
        <v>0</v>
      </c>
    </row>
    <row r="1155" spans="1:7" ht="15.12" thickBot="1" customHeight="1">
      <c r="A1155" s="26"/>
      <c r="B1155" s="26"/>
      <c r="C1155" s="26"/>
      <c r="D1155" s="24" t="s">
        <v>3533</v>
      </c>
      <c r="E1155" s="28">
        <v>0.30000</v>
      </c>
      <c r="F1155" s="29">
        <f ca="1">ROUND((G1152+G1153+G1154),3)</f>
        <v>0</v>
      </c>
      <c r="G1155" s="27">
        <f ca="1">ROUND(E1155*F1155,2)</f>
        <v>0</v>
      </c>
    </row>
    <row r="1156" spans="1:7" ht="15.12" thickBot="1" customHeight="1">
      <c r="A1156" s="24" t="s">
        <v>3534</v>
      </c>
      <c r="B1156" s="24"/>
      <c r="C1156" s="24" t="s">
        <v>3535</v>
      </c>
      <c r="D1156" s="25" t="s">
        <v>3536</v>
      </c>
      <c r="E1156" s="28">
        <v>3.00000</v>
      </c>
      <c r="F1156" s="29">
        <f ca="1">ROUND(13.140,3)</f>
        <v>0</v>
      </c>
      <c r="G1156" s="27">
        <f ca="1">ROUND((E1156*F1156)/100,2)</f>
        <v>0</v>
      </c>
    </row>
    <row r="1157" spans="1:7" ht="25.08" thickBot="1" customHeight="1">
      <c r="A1157" s="30"/>
      <c r="B1157" s="30"/>
      <c r="C1157" s="30"/>
      <c r="D1157" s="31" t="s">
        <v>3537</v>
      </c>
      <c r="E1157" s="30"/>
      <c r="F1157" s="33">
        <f ca="1">ROUND((G1149+G1150+G1151+G1156)*(1+G2/100),2)</f>
        <v>0</v>
      </c>
      <c r="G1157" s="30"/>
    </row>
    <row r="1158" spans="1:7" ht="67.56" thickBot="1" customHeight="1">
      <c r="A1158" s="34" t="s">
        <v>3538</v>
      </c>
      <c r="B1158" s="35" t="s">
        <v>3539</v>
      </c>
      <c r="C1158" s="35" t="s">
        <v>3540</v>
      </c>
      <c r="D1158" s="36" t="s">
        <v>3541</v>
      </c>
      <c r="E1158" s="37"/>
      <c r="F1158" s="38">
        <f ca="1">F1166</f>
        <v>0</v>
      </c>
      <c r="G1158" s="37"/>
    </row>
    <row r="1159" spans="1:7" ht="21.36" thickBot="1" customHeight="1">
      <c r="A1159" s="26"/>
      <c r="B1159" s="26"/>
      <c r="C1159" s="26"/>
      <c r="D1159" s="25" t="s">
        <v>3542</v>
      </c>
      <c r="E1159" s="25"/>
      <c r="F1159" s="25"/>
      <c r="G1159" s="25"/>
    </row>
    <row r="1160" spans="1:7" ht="21.36" thickBot="1" customHeight="1">
      <c r="A1160" s="24" t="s">
        <v>3543</v>
      </c>
      <c r="B1160" s="24" t="s">
        <v>3544</v>
      </c>
      <c r="C1160" s="24" t="s">
        <v>3545</v>
      </c>
      <c r="D1160" s="25" t="s">
        <v>3546</v>
      </c>
      <c r="E1160" s="28">
        <v>0.44444</v>
      </c>
      <c r="F1160" s="29">
        <f ca="1">F1164</f>
        <v>0</v>
      </c>
      <c r="G1160" s="27">
        <f ca="1">ROUND(E1160*F1160,2)</f>
        <v>0</v>
      </c>
    </row>
    <row r="1161" spans="1:7" ht="24.36" thickBot="1" customHeight="1">
      <c r="A1161" s="24" t="s">
        <v>3547</v>
      </c>
      <c r="B1161" s="24" t="s">
        <v>3548</v>
      </c>
      <c r="C1161" s="24" t="s">
        <v>3549</v>
      </c>
      <c r="D1161" s="25" t="s">
        <v>3550</v>
      </c>
      <c r="E1161" s="28">
        <v>1.00000</v>
      </c>
      <c r="F1161" s="29">
        <f ca="1">ROUND(21.000,3)</f>
        <v>0</v>
      </c>
      <c r="G1161" s="27">
        <f ca="1">ROUND(E1161*F1161,2)</f>
        <v>0</v>
      </c>
    </row>
    <row r="1162" spans="1:7" ht="24.36" thickBot="1" customHeight="1">
      <c r="A1162" s="24" t="s">
        <v>3551</v>
      </c>
      <c r="B1162" s="24" t="s">
        <v>3552</v>
      </c>
      <c r="C1162" s="24" t="s">
        <v>3553</v>
      </c>
      <c r="D1162" s="25" t="s">
        <v>3554</v>
      </c>
      <c r="E1162" s="28">
        <v>1.00000</v>
      </c>
      <c r="F1162" s="29">
        <f ca="1">ROUND(19.000,3)</f>
        <v>0</v>
      </c>
      <c r="G1162" s="27">
        <f ca="1">ROUND(E1162*F1162,2)</f>
        <v>0</v>
      </c>
    </row>
    <row r="1163" spans="1:7" ht="24.36" thickBot="1" customHeight="1">
      <c r="A1163" s="24" t="s">
        <v>3555</v>
      </c>
      <c r="B1163" s="24" t="s">
        <v>3556</v>
      </c>
      <c r="C1163" s="24" t="s">
        <v>3557</v>
      </c>
      <c r="D1163" s="25" t="s">
        <v>3558</v>
      </c>
      <c r="E1163" s="28">
        <v>0.20000</v>
      </c>
      <c r="F1163" s="29">
        <f ca="1">ROUND(19.000,3)</f>
        <v>0</v>
      </c>
      <c r="G1163" s="27">
        <f ca="1">ROUND(E1163*F1163,2)</f>
        <v>0</v>
      </c>
    </row>
    <row r="1164" spans="1:7" ht="15.12" thickBot="1" customHeight="1">
      <c r="A1164" s="26"/>
      <c r="B1164" s="26"/>
      <c r="C1164" s="26"/>
      <c r="D1164" s="24" t="s">
        <v>3559</v>
      </c>
      <c r="E1164" s="28">
        <v>0.44444</v>
      </c>
      <c r="F1164" s="29">
        <f ca="1">ROUND((G1161+G1162+G1163),3)</f>
        <v>0</v>
      </c>
      <c r="G1164" s="27">
        <f ca="1">ROUND(E1164*F1164,2)</f>
        <v>0</v>
      </c>
    </row>
    <row r="1165" spans="1:7" ht="15.12" thickBot="1" customHeight="1">
      <c r="A1165" s="24" t="s">
        <v>3560</v>
      </c>
      <c r="B1165" s="24"/>
      <c r="C1165" s="24" t="s">
        <v>3561</v>
      </c>
      <c r="D1165" s="25" t="s">
        <v>3562</v>
      </c>
      <c r="E1165" s="28">
        <v>4.00000</v>
      </c>
      <c r="F1165" s="29">
        <f ca="1">ROUND(19.470,3)</f>
        <v>0</v>
      </c>
      <c r="G1165" s="27">
        <f ca="1">ROUND((E1165*F1165)/100,2)</f>
        <v>0</v>
      </c>
    </row>
    <row r="1166" spans="1:7" ht="25.08" thickBot="1" customHeight="1">
      <c r="A1166" s="30"/>
      <c r="B1166" s="30"/>
      <c r="C1166" s="30"/>
      <c r="D1166" s="31" t="s">
        <v>3563</v>
      </c>
      <c r="E1166" s="30"/>
      <c r="F1166" s="33">
        <f ca="1">ROUND((G1160+G1165)*(1+G2/100),2)</f>
        <v>0</v>
      </c>
      <c r="G1166" s="30"/>
    </row>
    <row r="1167" spans="1:7" ht="67.56" thickBot="1" customHeight="1">
      <c r="A1167" s="34" t="s">
        <v>3564</v>
      </c>
      <c r="B1167" s="35" t="s">
        <v>3565</v>
      </c>
      <c r="C1167" s="35" t="s">
        <v>3566</v>
      </c>
      <c r="D1167" s="36" t="s">
        <v>3567</v>
      </c>
      <c r="E1167" s="37"/>
      <c r="F1167" s="38">
        <f ca="1">F1175</f>
        <v>0</v>
      </c>
      <c r="G1167" s="37"/>
    </row>
    <row r="1168" spans="1:7" ht="21.36" thickBot="1" customHeight="1">
      <c r="A1168" s="26"/>
      <c r="B1168" s="26"/>
      <c r="C1168" s="26"/>
      <c r="D1168" s="25" t="s">
        <v>3568</v>
      </c>
      <c r="E1168" s="25"/>
      <c r="F1168" s="25"/>
      <c r="G1168" s="25"/>
    </row>
    <row r="1169" spans="1:7" ht="21.36" thickBot="1" customHeight="1">
      <c r="A1169" s="24" t="s">
        <v>3569</v>
      </c>
      <c r="B1169" s="24" t="s">
        <v>3570</v>
      </c>
      <c r="C1169" s="24" t="s">
        <v>3571</v>
      </c>
      <c r="D1169" s="25" t="s">
        <v>3572</v>
      </c>
      <c r="E1169" s="28">
        <v>0.48000</v>
      </c>
      <c r="F1169" s="29">
        <f ca="1">F1173</f>
        <v>0</v>
      </c>
      <c r="G1169" s="27">
        <f ca="1">ROUND(E1169*F1169,2)</f>
        <v>0</v>
      </c>
    </row>
    <row r="1170" spans="1:7" ht="24.36" thickBot="1" customHeight="1">
      <c r="A1170" s="24" t="s">
        <v>3573</v>
      </c>
      <c r="B1170" s="24" t="s">
        <v>3574</v>
      </c>
      <c r="C1170" s="24" t="s">
        <v>3575</v>
      </c>
      <c r="D1170" s="25" t="s">
        <v>3576</v>
      </c>
      <c r="E1170" s="28">
        <v>1.00000</v>
      </c>
      <c r="F1170" s="29">
        <f ca="1">ROUND(21.000,3)</f>
        <v>0</v>
      </c>
      <c r="G1170" s="27">
        <f ca="1">ROUND(E1170*F1170,2)</f>
        <v>0</v>
      </c>
    </row>
    <row r="1171" spans="1:7" ht="24.36" thickBot="1" customHeight="1">
      <c r="A1171" s="24" t="s">
        <v>3577</v>
      </c>
      <c r="B1171" s="24" t="s">
        <v>3578</v>
      </c>
      <c r="C1171" s="24" t="s">
        <v>3579</v>
      </c>
      <c r="D1171" s="25" t="s">
        <v>3580</v>
      </c>
      <c r="E1171" s="28">
        <v>1.00000</v>
      </c>
      <c r="F1171" s="29">
        <f ca="1">ROUND(19.000,3)</f>
        <v>0</v>
      </c>
      <c r="G1171" s="27">
        <f ca="1">ROUND(E1171*F1171,2)</f>
        <v>0</v>
      </c>
    </row>
    <row r="1172" spans="1:7" ht="24.36" thickBot="1" customHeight="1">
      <c r="A1172" s="24" t="s">
        <v>3581</v>
      </c>
      <c r="B1172" s="24" t="s">
        <v>3582</v>
      </c>
      <c r="C1172" s="24" t="s">
        <v>3583</v>
      </c>
      <c r="D1172" s="25" t="s">
        <v>3584</v>
      </c>
      <c r="E1172" s="28">
        <v>0.20000</v>
      </c>
      <c r="F1172" s="29">
        <f ca="1">ROUND(19.000,3)</f>
        <v>0</v>
      </c>
      <c r="G1172" s="27">
        <f ca="1">ROUND(E1172*F1172,2)</f>
        <v>0</v>
      </c>
    </row>
    <row r="1173" spans="1:7" ht="15.12" thickBot="1" customHeight="1">
      <c r="A1173" s="26"/>
      <c r="B1173" s="26"/>
      <c r="C1173" s="26"/>
      <c r="D1173" s="24" t="s">
        <v>3585</v>
      </c>
      <c r="E1173" s="28">
        <v>0.48000</v>
      </c>
      <c r="F1173" s="29">
        <f ca="1">ROUND((G1170+G1171+G1172),3)</f>
        <v>0</v>
      </c>
      <c r="G1173" s="27">
        <f ca="1">ROUND(E1173*F1173,2)</f>
        <v>0</v>
      </c>
    </row>
    <row r="1174" spans="1:7" ht="15.12" thickBot="1" customHeight="1">
      <c r="A1174" s="24" t="s">
        <v>3586</v>
      </c>
      <c r="B1174" s="24"/>
      <c r="C1174" s="24" t="s">
        <v>3587</v>
      </c>
      <c r="D1174" s="25" t="s">
        <v>3588</v>
      </c>
      <c r="E1174" s="28">
        <v>4.00000</v>
      </c>
      <c r="F1174" s="29">
        <f ca="1">ROUND(21.020,3)</f>
        <v>0</v>
      </c>
      <c r="G1174" s="27">
        <f ca="1">ROUND((E1174*F1174)/100,2)</f>
        <v>0</v>
      </c>
    </row>
    <row r="1175" spans="1:7" ht="25.08" thickBot="1" customHeight="1">
      <c r="A1175" s="30"/>
      <c r="B1175" s="30"/>
      <c r="C1175" s="30"/>
      <c r="D1175" s="31" t="s">
        <v>3589</v>
      </c>
      <c r="E1175" s="30"/>
      <c r="F1175" s="33">
        <f ca="1">ROUND((G1169+G1174)*(1+G2/100),2)</f>
        <v>0</v>
      </c>
      <c r="G1175" s="30"/>
    </row>
    <row r="1176" spans="1:7" ht="67.56" thickBot="1" customHeight="1">
      <c r="A1176" s="34" t="s">
        <v>3590</v>
      </c>
      <c r="B1176" s="35" t="s">
        <v>3591</v>
      </c>
      <c r="C1176" s="35" t="s">
        <v>3592</v>
      </c>
      <c r="D1176" s="36" t="s">
        <v>3593</v>
      </c>
      <c r="E1176" s="37"/>
      <c r="F1176" s="38">
        <f ca="1">F1184</f>
        <v>0</v>
      </c>
      <c r="G1176" s="37"/>
    </row>
    <row r="1177" spans="1:7" ht="21.36" thickBot="1" customHeight="1">
      <c r="A1177" s="26"/>
      <c r="B1177" s="26"/>
      <c r="C1177" s="26"/>
      <c r="D1177" s="25" t="s">
        <v>3594</v>
      </c>
      <c r="E1177" s="25"/>
      <c r="F1177" s="25"/>
      <c r="G1177" s="25"/>
    </row>
    <row r="1178" spans="1:7" ht="21.36" thickBot="1" customHeight="1">
      <c r="A1178" s="24" t="s">
        <v>3595</v>
      </c>
      <c r="B1178" s="24" t="s">
        <v>3596</v>
      </c>
      <c r="C1178" s="24" t="s">
        <v>3597</v>
      </c>
      <c r="D1178" s="25" t="s">
        <v>3598</v>
      </c>
      <c r="E1178" s="28">
        <v>0.52000</v>
      </c>
      <c r="F1178" s="29">
        <f ca="1">F1182</f>
        <v>0</v>
      </c>
      <c r="G1178" s="27">
        <f ca="1">ROUND(E1178*F1178,2)</f>
        <v>0</v>
      </c>
    </row>
    <row r="1179" spans="1:7" ht="24.36" thickBot="1" customHeight="1">
      <c r="A1179" s="24" t="s">
        <v>3599</v>
      </c>
      <c r="B1179" s="24" t="s">
        <v>3600</v>
      </c>
      <c r="C1179" s="24" t="s">
        <v>3601</v>
      </c>
      <c r="D1179" s="25" t="s">
        <v>3602</v>
      </c>
      <c r="E1179" s="28">
        <v>1.00000</v>
      </c>
      <c r="F1179" s="29">
        <f ca="1">ROUND(21.000,3)</f>
        <v>0</v>
      </c>
      <c r="G1179" s="27">
        <f ca="1">ROUND(E1179*F1179,2)</f>
        <v>0</v>
      </c>
    </row>
    <row r="1180" spans="1:7" ht="24.36" thickBot="1" customHeight="1">
      <c r="A1180" s="24" t="s">
        <v>3603</v>
      </c>
      <c r="B1180" s="24" t="s">
        <v>3604</v>
      </c>
      <c r="C1180" s="24" t="s">
        <v>3605</v>
      </c>
      <c r="D1180" s="25" t="s">
        <v>3606</v>
      </c>
      <c r="E1180" s="28">
        <v>1.00000</v>
      </c>
      <c r="F1180" s="29">
        <f ca="1">ROUND(19.000,3)</f>
        <v>0</v>
      </c>
      <c r="G1180" s="27">
        <f ca="1">ROUND(E1180*F1180,2)</f>
        <v>0</v>
      </c>
    </row>
    <row r="1181" spans="1:7" ht="24.36" thickBot="1" customHeight="1">
      <c r="A1181" s="24" t="s">
        <v>3607</v>
      </c>
      <c r="B1181" s="24" t="s">
        <v>3608</v>
      </c>
      <c r="C1181" s="24" t="s">
        <v>3609</v>
      </c>
      <c r="D1181" s="25" t="s">
        <v>3610</v>
      </c>
      <c r="E1181" s="28">
        <v>0.20000</v>
      </c>
      <c r="F1181" s="29">
        <f ca="1">ROUND(19.000,3)</f>
        <v>0</v>
      </c>
      <c r="G1181" s="27">
        <f ca="1">ROUND(E1181*F1181,2)</f>
        <v>0</v>
      </c>
    </row>
    <row r="1182" spans="1:7" ht="15.12" thickBot="1" customHeight="1">
      <c r="A1182" s="26"/>
      <c r="B1182" s="26"/>
      <c r="C1182" s="26"/>
      <c r="D1182" s="24" t="s">
        <v>3611</v>
      </c>
      <c r="E1182" s="28">
        <v>0.52000</v>
      </c>
      <c r="F1182" s="29">
        <f ca="1">ROUND((G1179+G1180+G1181),3)</f>
        <v>0</v>
      </c>
      <c r="G1182" s="27">
        <f ca="1">ROUND(E1182*F1182,2)</f>
        <v>0</v>
      </c>
    </row>
    <row r="1183" spans="1:7" ht="15.12" thickBot="1" customHeight="1">
      <c r="A1183" s="24" t="s">
        <v>3612</v>
      </c>
      <c r="B1183" s="24"/>
      <c r="C1183" s="24" t="s">
        <v>3613</v>
      </c>
      <c r="D1183" s="25" t="s">
        <v>3614</v>
      </c>
      <c r="E1183" s="28">
        <v>4.00000</v>
      </c>
      <c r="F1183" s="29">
        <f ca="1">ROUND(22.780,3)</f>
        <v>0</v>
      </c>
      <c r="G1183" s="27">
        <f ca="1">ROUND((E1183*F1183)/100,2)</f>
        <v>0</v>
      </c>
    </row>
    <row r="1184" spans="1:7" ht="25.08" thickBot="1" customHeight="1">
      <c r="A1184" s="30"/>
      <c r="B1184" s="30"/>
      <c r="C1184" s="30"/>
      <c r="D1184" s="31" t="s">
        <v>3615</v>
      </c>
      <c r="E1184" s="30"/>
      <c r="F1184" s="33">
        <f ca="1">ROUND((G1178+G1183)*(1+G2/100),2)</f>
        <v>0</v>
      </c>
      <c r="G1184" s="30"/>
    </row>
    <row r="1185" spans="1:7" ht="67.56" thickBot="1" customHeight="1">
      <c r="A1185" s="34" t="s">
        <v>3616</v>
      </c>
      <c r="B1185" s="35" t="s">
        <v>3617</v>
      </c>
      <c r="C1185" s="35" t="s">
        <v>3618</v>
      </c>
      <c r="D1185" s="36" t="s">
        <v>3619</v>
      </c>
      <c r="E1185" s="37"/>
      <c r="F1185" s="38">
        <f ca="1">F1193</f>
        <v>0</v>
      </c>
      <c r="G1185" s="37"/>
    </row>
    <row r="1186" spans="1:7" ht="21.36" thickBot="1" customHeight="1">
      <c r="A1186" s="26"/>
      <c r="B1186" s="26"/>
      <c r="C1186" s="26"/>
      <c r="D1186" s="25" t="s">
        <v>3620</v>
      </c>
      <c r="E1186" s="25"/>
      <c r="F1186" s="25"/>
      <c r="G1186" s="25"/>
    </row>
    <row r="1187" spans="1:7" ht="21.36" thickBot="1" customHeight="1">
      <c r="A1187" s="24" t="s">
        <v>3621</v>
      </c>
      <c r="B1187" s="24" t="s">
        <v>3622</v>
      </c>
      <c r="C1187" s="24" t="s">
        <v>3623</v>
      </c>
      <c r="D1187" s="25" t="s">
        <v>3624</v>
      </c>
      <c r="E1187" s="28">
        <v>0.60000</v>
      </c>
      <c r="F1187" s="29">
        <f ca="1">F1191</f>
        <v>0</v>
      </c>
      <c r="G1187" s="27">
        <f ca="1">ROUND(E1187*F1187,2)</f>
        <v>0</v>
      </c>
    </row>
    <row r="1188" spans="1:7" ht="24.36" thickBot="1" customHeight="1">
      <c r="A1188" s="24" t="s">
        <v>3625</v>
      </c>
      <c r="B1188" s="24" t="s">
        <v>3626</v>
      </c>
      <c r="C1188" s="24" t="s">
        <v>3627</v>
      </c>
      <c r="D1188" s="25" t="s">
        <v>3628</v>
      </c>
      <c r="E1188" s="28">
        <v>1.00000</v>
      </c>
      <c r="F1188" s="29">
        <f ca="1">ROUND(21.000,3)</f>
        <v>0</v>
      </c>
      <c r="G1188" s="27">
        <f ca="1">ROUND(E1188*F1188,2)</f>
        <v>0</v>
      </c>
    </row>
    <row r="1189" spans="1:7" ht="24.36" thickBot="1" customHeight="1">
      <c r="A1189" s="24" t="s">
        <v>3629</v>
      </c>
      <c r="B1189" s="24" t="s">
        <v>3630</v>
      </c>
      <c r="C1189" s="24" t="s">
        <v>3631</v>
      </c>
      <c r="D1189" s="25" t="s">
        <v>3632</v>
      </c>
      <c r="E1189" s="28">
        <v>1.00000</v>
      </c>
      <c r="F1189" s="29">
        <f ca="1">ROUND(19.000,3)</f>
        <v>0</v>
      </c>
      <c r="G1189" s="27">
        <f ca="1">ROUND(E1189*F1189,2)</f>
        <v>0</v>
      </c>
    </row>
    <row r="1190" spans="1:7" ht="24.36" thickBot="1" customHeight="1">
      <c r="A1190" s="24" t="s">
        <v>3633</v>
      </c>
      <c r="B1190" s="24" t="s">
        <v>3634</v>
      </c>
      <c r="C1190" s="24" t="s">
        <v>3635</v>
      </c>
      <c r="D1190" s="25" t="s">
        <v>3636</v>
      </c>
      <c r="E1190" s="28">
        <v>0.20000</v>
      </c>
      <c r="F1190" s="29">
        <f ca="1">ROUND(19.000,3)</f>
        <v>0</v>
      </c>
      <c r="G1190" s="27">
        <f ca="1">ROUND(E1190*F1190,2)</f>
        <v>0</v>
      </c>
    </row>
    <row r="1191" spans="1:7" ht="15.12" thickBot="1" customHeight="1">
      <c r="A1191" s="26"/>
      <c r="B1191" s="26"/>
      <c r="C1191" s="26"/>
      <c r="D1191" s="24" t="s">
        <v>3637</v>
      </c>
      <c r="E1191" s="28">
        <v>0.60000</v>
      </c>
      <c r="F1191" s="29">
        <f ca="1">ROUND((G1188+G1189+G1190),3)</f>
        <v>0</v>
      </c>
      <c r="G1191" s="27">
        <f ca="1">ROUND(E1191*F1191,2)</f>
        <v>0</v>
      </c>
    </row>
    <row r="1192" spans="1:7" ht="15.12" thickBot="1" customHeight="1">
      <c r="A1192" s="24" t="s">
        <v>3638</v>
      </c>
      <c r="B1192" s="24"/>
      <c r="C1192" s="24" t="s">
        <v>3639</v>
      </c>
      <c r="D1192" s="25" t="s">
        <v>3640</v>
      </c>
      <c r="E1192" s="28">
        <v>4.00000</v>
      </c>
      <c r="F1192" s="29">
        <f ca="1">ROUND(26.280,3)</f>
        <v>0</v>
      </c>
      <c r="G1192" s="27">
        <f ca="1">ROUND((E1192*F1192)/100,2)</f>
        <v>0</v>
      </c>
    </row>
    <row r="1193" spans="1:7" ht="25.08" thickBot="1" customHeight="1">
      <c r="A1193" s="30"/>
      <c r="B1193" s="30"/>
      <c r="C1193" s="30"/>
      <c r="D1193" s="31" t="s">
        <v>3641</v>
      </c>
      <c r="E1193" s="30"/>
      <c r="F1193" s="33">
        <f ca="1">ROUND((G1187+G1192)*(1+G2/100),2)</f>
        <v>0</v>
      </c>
      <c r="G1193" s="30"/>
    </row>
    <row r="1194" spans="1:7" ht="39.84" thickBot="1" customHeight="1">
      <c r="A1194" s="34" t="s">
        <v>3642</v>
      </c>
      <c r="B1194" s="35" t="s">
        <v>3643</v>
      </c>
      <c r="C1194" s="35" t="s">
        <v>3644</v>
      </c>
      <c r="D1194" s="36" t="s">
        <v>3645</v>
      </c>
      <c r="E1194" s="37"/>
      <c r="F1194" s="38">
        <f ca="1">F1205</f>
        <v>0</v>
      </c>
      <c r="G1194" s="37"/>
    </row>
    <row r="1195" spans="1:7" ht="30.60" thickBot="1" customHeight="1">
      <c r="A1195" s="26"/>
      <c r="B1195" s="26"/>
      <c r="C1195" s="26"/>
      <c r="D1195" s="25" t="s">
        <v>3646</v>
      </c>
      <c r="E1195" s="25"/>
      <c r="F1195" s="25"/>
      <c r="G1195" s="25"/>
    </row>
    <row r="1196" spans="1:7" ht="21.36" thickBot="1" customHeight="1">
      <c r="A1196" s="24" t="s">
        <v>3647</v>
      </c>
      <c r="B1196" s="24" t="s">
        <v>3648</v>
      </c>
      <c r="C1196" s="24" t="s">
        <v>3649</v>
      </c>
      <c r="D1196" s="25" t="s">
        <v>3650</v>
      </c>
      <c r="E1196" s="28">
        <v>0.11111</v>
      </c>
      <c r="F1196" s="29">
        <f ca="1">ROUND(3.470,3)</f>
        <v>0</v>
      </c>
      <c r="G1196" s="27">
        <f ca="1">ROUND(E1196*F1196,2)</f>
        <v>0</v>
      </c>
    </row>
    <row r="1197" spans="1:7" ht="21.36" thickBot="1" customHeight="1">
      <c r="A1197" s="24" t="s">
        <v>3651</v>
      </c>
      <c r="B1197" s="24" t="s">
        <v>3652</v>
      </c>
      <c r="C1197" s="24" t="s">
        <v>3653</v>
      </c>
      <c r="D1197" s="25" t="s">
        <v>3654</v>
      </c>
      <c r="E1197" s="28">
        <v>0.11111</v>
      </c>
      <c r="F1197" s="29">
        <f ca="1">ROUND(13.140,3)</f>
        <v>0</v>
      </c>
      <c r="G1197" s="27">
        <f ca="1">ROUND(E1197*F1197,2)</f>
        <v>0</v>
      </c>
    </row>
    <row r="1198" spans="1:7" ht="21.36" thickBot="1" customHeight="1">
      <c r="A1198" s="24" t="s">
        <v>3655</v>
      </c>
      <c r="B1198" s="24" t="s">
        <v>3656</v>
      </c>
      <c r="C1198" s="24" t="s">
        <v>3657</v>
      </c>
      <c r="D1198" s="25" t="s">
        <v>3658</v>
      </c>
      <c r="E1198" s="28">
        <v>0.55000</v>
      </c>
      <c r="F1198" s="29">
        <f ca="1">ROUND(1.320,3)</f>
        <v>0</v>
      </c>
      <c r="G1198" s="27">
        <f ca="1">ROUND(E1198*F1198,2)</f>
        <v>0</v>
      </c>
    </row>
    <row r="1199" spans="1:7" ht="21.36" thickBot="1" customHeight="1">
      <c r="A1199" s="24" t="s">
        <v>3659</v>
      </c>
      <c r="B1199" s="24" t="s">
        <v>3660</v>
      </c>
      <c r="C1199" s="24" t="s">
        <v>3661</v>
      </c>
      <c r="D1199" s="25" t="s">
        <v>3662</v>
      </c>
      <c r="E1199" s="28">
        <v>0.08000</v>
      </c>
      <c r="F1199" s="29">
        <f ca="1">F1203</f>
        <v>0</v>
      </c>
      <c r="G1199" s="27">
        <f ca="1">ROUND(E1199*F1199,2)</f>
        <v>0</v>
      </c>
    </row>
    <row r="1200" spans="1:7" ht="24.36" thickBot="1" customHeight="1">
      <c r="A1200" s="24" t="s">
        <v>3663</v>
      </c>
      <c r="B1200" s="24" t="s">
        <v>3664</v>
      </c>
      <c r="C1200" s="24" t="s">
        <v>3665</v>
      </c>
      <c r="D1200" s="25" t="s">
        <v>3666</v>
      </c>
      <c r="E1200" s="28">
        <v>1.00000</v>
      </c>
      <c r="F1200" s="29">
        <f ca="1">ROUND(21.000,3)</f>
        <v>0</v>
      </c>
      <c r="G1200" s="27">
        <f ca="1">ROUND(E1200*F1200,2)</f>
        <v>0</v>
      </c>
    </row>
    <row r="1201" spans="1:7" ht="24.36" thickBot="1" customHeight="1">
      <c r="A1201" s="24" t="s">
        <v>3667</v>
      </c>
      <c r="B1201" s="24" t="s">
        <v>3668</v>
      </c>
      <c r="C1201" s="24" t="s">
        <v>3669</v>
      </c>
      <c r="D1201" s="25" t="s">
        <v>3670</v>
      </c>
      <c r="E1201" s="28">
        <v>1.00000</v>
      </c>
      <c r="F1201" s="29">
        <f ca="1">ROUND(19.000,3)</f>
        <v>0</v>
      </c>
      <c r="G1201" s="27">
        <f ca="1">ROUND(E1201*F1201,2)</f>
        <v>0</v>
      </c>
    </row>
    <row r="1202" spans="1:7" ht="24.36" thickBot="1" customHeight="1">
      <c r="A1202" s="24" t="s">
        <v>3671</v>
      </c>
      <c r="B1202" s="24" t="s">
        <v>3672</v>
      </c>
      <c r="C1202" s="24" t="s">
        <v>3673</v>
      </c>
      <c r="D1202" s="25" t="s">
        <v>3674</v>
      </c>
      <c r="E1202" s="28">
        <v>0.20000</v>
      </c>
      <c r="F1202" s="29">
        <f ca="1">ROUND(19.000,3)</f>
        <v>0</v>
      </c>
      <c r="G1202" s="27">
        <f ca="1">ROUND(E1202*F1202,2)</f>
        <v>0</v>
      </c>
    </row>
    <row r="1203" spans="1:7" ht="15.12" thickBot="1" customHeight="1">
      <c r="A1203" s="26"/>
      <c r="B1203" s="26"/>
      <c r="C1203" s="26"/>
      <c r="D1203" s="24" t="s">
        <v>3675</v>
      </c>
      <c r="E1203" s="28">
        <v>0.08000</v>
      </c>
      <c r="F1203" s="29">
        <f ca="1">ROUND((G1200+G1201+G1202),3)</f>
        <v>0</v>
      </c>
      <c r="G1203" s="27">
        <f ca="1">ROUND(E1203*F1203,2)</f>
        <v>0</v>
      </c>
    </row>
    <row r="1204" spans="1:7" ht="15.12" thickBot="1" customHeight="1">
      <c r="A1204" s="24" t="s">
        <v>3676</v>
      </c>
      <c r="B1204" s="24"/>
      <c r="C1204" s="24" t="s">
        <v>3677</v>
      </c>
      <c r="D1204" s="25" t="s">
        <v>3678</v>
      </c>
      <c r="E1204" s="28">
        <v>3.00000</v>
      </c>
      <c r="F1204" s="29">
        <f ca="1">ROUND(3.500,3)</f>
        <v>0</v>
      </c>
      <c r="G1204" s="27">
        <f ca="1">ROUND((E1204*F1204)/100,2)</f>
        <v>0</v>
      </c>
    </row>
    <row r="1205" spans="1:7" ht="15.48" thickBot="1" customHeight="1">
      <c r="A1205" s="30"/>
      <c r="B1205" s="30"/>
      <c r="C1205" s="30"/>
      <c r="D1205" s="31" t="s">
        <v>3679</v>
      </c>
      <c r="E1205" s="30"/>
      <c r="F1205" s="33">
        <f ca="1">ROUND((G1196+G1197+G1198+G1199+G1204)*(1+G2/100),2)</f>
        <v>0</v>
      </c>
      <c r="G1205" s="30"/>
    </row>
    <row r="1206" spans="1:7" ht="49.08" thickBot="1" customHeight="1">
      <c r="A1206" s="34" t="s">
        <v>3680</v>
      </c>
      <c r="B1206" s="35" t="s">
        <v>3681</v>
      </c>
      <c r="C1206" s="35" t="s">
        <v>3682</v>
      </c>
      <c r="D1206" s="36" t="s">
        <v>3683</v>
      </c>
      <c r="E1206" s="37"/>
      <c r="F1206" s="38">
        <f ca="1">F1217</f>
        <v>0</v>
      </c>
      <c r="G1206" s="37"/>
    </row>
    <row r="1207" spans="1:7" ht="30.60" thickBot="1" customHeight="1">
      <c r="A1207" s="26"/>
      <c r="B1207" s="26"/>
      <c r="C1207" s="26"/>
      <c r="D1207" s="25" t="s">
        <v>3684</v>
      </c>
      <c r="E1207" s="25"/>
      <c r="F1207" s="25"/>
      <c r="G1207" s="25"/>
    </row>
    <row r="1208" spans="1:7" ht="21.36" thickBot="1" customHeight="1">
      <c r="A1208" s="24" t="s">
        <v>3685</v>
      </c>
      <c r="B1208" s="24" t="s">
        <v>3686</v>
      </c>
      <c r="C1208" s="24" t="s">
        <v>3687</v>
      </c>
      <c r="D1208" s="25" t="s">
        <v>3688</v>
      </c>
      <c r="E1208" s="28">
        <v>0.17500</v>
      </c>
      <c r="F1208" s="29">
        <f ca="1">ROUND(3.470,3)</f>
        <v>0</v>
      </c>
      <c r="G1208" s="27">
        <f ca="1">ROUND(E1208*F1208,2)</f>
        <v>0</v>
      </c>
    </row>
    <row r="1209" spans="1:7" ht="21.36" thickBot="1" customHeight="1">
      <c r="A1209" s="24" t="s">
        <v>3689</v>
      </c>
      <c r="B1209" s="24" t="s">
        <v>3690</v>
      </c>
      <c r="C1209" s="24" t="s">
        <v>3691</v>
      </c>
      <c r="D1209" s="25" t="s">
        <v>3692</v>
      </c>
      <c r="E1209" s="28">
        <v>0.10000</v>
      </c>
      <c r="F1209" s="29">
        <f ca="1">ROUND(13.140,3)</f>
        <v>0</v>
      </c>
      <c r="G1209" s="27">
        <f ca="1">ROUND(E1209*F1209,2)</f>
        <v>0</v>
      </c>
    </row>
    <row r="1210" spans="1:7" ht="21.36" thickBot="1" customHeight="1">
      <c r="A1210" s="24" t="s">
        <v>3693</v>
      </c>
      <c r="B1210" s="24" t="s">
        <v>3694</v>
      </c>
      <c r="C1210" s="24" t="s">
        <v>3695</v>
      </c>
      <c r="D1210" s="25" t="s">
        <v>3696</v>
      </c>
      <c r="E1210" s="28">
        <v>0.20000</v>
      </c>
      <c r="F1210" s="29">
        <f ca="1">ROUND(1.320,3)</f>
        <v>0</v>
      </c>
      <c r="G1210" s="27">
        <f ca="1">ROUND(E1210*F1210,2)</f>
        <v>0</v>
      </c>
    </row>
    <row r="1211" spans="1:7" ht="21.36" thickBot="1" customHeight="1">
      <c r="A1211" s="24" t="s">
        <v>3697</v>
      </c>
      <c r="B1211" s="24" t="s">
        <v>3698</v>
      </c>
      <c r="C1211" s="24" t="s">
        <v>3699</v>
      </c>
      <c r="D1211" s="25" t="s">
        <v>3700</v>
      </c>
      <c r="E1211" s="28">
        <v>0.50000</v>
      </c>
      <c r="F1211" s="29">
        <f ca="1">F1215</f>
        <v>0</v>
      </c>
      <c r="G1211" s="27">
        <f ca="1">ROUND(E1211*F1211,2)</f>
        <v>0</v>
      </c>
    </row>
    <row r="1212" spans="1:7" ht="24.36" thickBot="1" customHeight="1">
      <c r="A1212" s="24" t="s">
        <v>3701</v>
      </c>
      <c r="B1212" s="24" t="s">
        <v>3702</v>
      </c>
      <c r="C1212" s="24" t="s">
        <v>3703</v>
      </c>
      <c r="D1212" s="25" t="s">
        <v>3704</v>
      </c>
      <c r="E1212" s="28">
        <v>1.00000</v>
      </c>
      <c r="F1212" s="29">
        <f ca="1">ROUND(21.000,3)</f>
        <v>0</v>
      </c>
      <c r="G1212" s="27">
        <f ca="1">ROUND(E1212*F1212,2)</f>
        <v>0</v>
      </c>
    </row>
    <row r="1213" spans="1:7" ht="24.36" thickBot="1" customHeight="1">
      <c r="A1213" s="24" t="s">
        <v>3705</v>
      </c>
      <c r="B1213" s="24" t="s">
        <v>3706</v>
      </c>
      <c r="C1213" s="24" t="s">
        <v>3707</v>
      </c>
      <c r="D1213" s="25" t="s">
        <v>3708</v>
      </c>
      <c r="E1213" s="28">
        <v>1.00000</v>
      </c>
      <c r="F1213" s="29">
        <f ca="1">ROUND(19.000,3)</f>
        <v>0</v>
      </c>
      <c r="G1213" s="27">
        <f ca="1">ROUND(E1213*F1213,2)</f>
        <v>0</v>
      </c>
    </row>
    <row r="1214" spans="1:7" ht="24.36" thickBot="1" customHeight="1">
      <c r="A1214" s="24" t="s">
        <v>3709</v>
      </c>
      <c r="B1214" s="24" t="s">
        <v>3710</v>
      </c>
      <c r="C1214" s="24" t="s">
        <v>3711</v>
      </c>
      <c r="D1214" s="25" t="s">
        <v>3712</v>
      </c>
      <c r="E1214" s="28">
        <v>0.20000</v>
      </c>
      <c r="F1214" s="29">
        <f ca="1">ROUND(19.000,3)</f>
        <v>0</v>
      </c>
      <c r="G1214" s="27">
        <f ca="1">ROUND(E1214*F1214,2)</f>
        <v>0</v>
      </c>
    </row>
    <row r="1215" spans="1:7" ht="15.12" thickBot="1" customHeight="1">
      <c r="A1215" s="26"/>
      <c r="B1215" s="26"/>
      <c r="C1215" s="26"/>
      <c r="D1215" s="24" t="s">
        <v>3713</v>
      </c>
      <c r="E1215" s="28">
        <v>0.50000</v>
      </c>
      <c r="F1215" s="29">
        <f ca="1">ROUND((G1212+G1213+G1214),3)</f>
        <v>0</v>
      </c>
      <c r="G1215" s="27">
        <f ca="1">ROUND(E1215*F1215,2)</f>
        <v>0</v>
      </c>
    </row>
    <row r="1216" spans="1:7" ht="15.12" thickBot="1" customHeight="1">
      <c r="A1216" s="24" t="s">
        <v>3714</v>
      </c>
      <c r="B1216" s="24"/>
      <c r="C1216" s="24" t="s">
        <v>3715</v>
      </c>
      <c r="D1216" s="25" t="s">
        <v>3716</v>
      </c>
      <c r="E1216" s="28">
        <v>3.00000</v>
      </c>
      <c r="F1216" s="29">
        <f ca="1">ROUND(21.900,3)</f>
        <v>0</v>
      </c>
      <c r="G1216" s="27">
        <f ca="1">ROUND((E1216*F1216)/100,2)</f>
        <v>0</v>
      </c>
    </row>
    <row r="1217" spans="1:7" ht="25.08" thickBot="1" customHeight="1">
      <c r="A1217" s="30"/>
      <c r="B1217" s="30"/>
      <c r="C1217" s="30"/>
      <c r="D1217" s="31" t="s">
        <v>3717</v>
      </c>
      <c r="E1217" s="30"/>
      <c r="F1217" s="33">
        <f ca="1">ROUND((G1208+G1209+G1210+G1211+G1216)*(1+G2/100),2)</f>
        <v>0</v>
      </c>
      <c r="G1217" s="30"/>
    </row>
    <row r="1218" spans="1:7" ht="58.32" thickBot="1" customHeight="1">
      <c r="A1218" s="34" t="s">
        <v>3718</v>
      </c>
      <c r="B1218" s="35" t="s">
        <v>3719</v>
      </c>
      <c r="C1218" s="35" t="s">
        <v>3720</v>
      </c>
      <c r="D1218" s="36" t="s">
        <v>3721</v>
      </c>
      <c r="E1218" s="37"/>
      <c r="F1218" s="38">
        <f ca="1">F1229</f>
        <v>0</v>
      </c>
      <c r="G1218" s="37"/>
    </row>
    <row r="1219" spans="1:7" ht="30.60" thickBot="1" customHeight="1">
      <c r="A1219" s="26"/>
      <c r="B1219" s="26"/>
      <c r="C1219" s="26"/>
      <c r="D1219" s="25" t="s">
        <v>3722</v>
      </c>
      <c r="E1219" s="25"/>
      <c r="F1219" s="25"/>
      <c r="G1219" s="25"/>
    </row>
    <row r="1220" spans="1:7" ht="21.36" thickBot="1" customHeight="1">
      <c r="A1220" s="24" t="s">
        <v>3723</v>
      </c>
      <c r="B1220" s="24" t="s">
        <v>3724</v>
      </c>
      <c r="C1220" s="24" t="s">
        <v>3725</v>
      </c>
      <c r="D1220" s="25" t="s">
        <v>3726</v>
      </c>
      <c r="E1220" s="28">
        <v>0.05000</v>
      </c>
      <c r="F1220" s="29">
        <f ca="1">ROUND(13.140,3)</f>
        <v>0</v>
      </c>
      <c r="G1220" s="27">
        <f ca="1">ROUND(E1220*F1220,2)</f>
        <v>0</v>
      </c>
    </row>
    <row r="1221" spans="1:7" ht="21.36" thickBot="1" customHeight="1">
      <c r="A1221" s="24" t="s">
        <v>3727</v>
      </c>
      <c r="B1221" s="24" t="s">
        <v>3728</v>
      </c>
      <c r="C1221" s="24" t="s">
        <v>3729</v>
      </c>
      <c r="D1221" s="25" t="s">
        <v>3730</v>
      </c>
      <c r="E1221" s="28">
        <v>0.10000</v>
      </c>
      <c r="F1221" s="29">
        <f ca="1">ROUND(3.470,3)</f>
        <v>0</v>
      </c>
      <c r="G1221" s="27">
        <f ca="1">ROUND(E1221*F1221,2)</f>
        <v>0</v>
      </c>
    </row>
    <row r="1222" spans="1:7" ht="21.36" thickBot="1" customHeight="1">
      <c r="A1222" s="24" t="s">
        <v>3731</v>
      </c>
      <c r="B1222" s="24" t="s">
        <v>3732</v>
      </c>
      <c r="C1222" s="24" t="s">
        <v>3733</v>
      </c>
      <c r="D1222" s="25" t="s">
        <v>3734</v>
      </c>
      <c r="E1222" s="28">
        <v>0.08000</v>
      </c>
      <c r="F1222" s="29">
        <f ca="1">ROUND(1.320,3)</f>
        <v>0</v>
      </c>
      <c r="G1222" s="27">
        <f ca="1">ROUND(E1222*F1222,2)</f>
        <v>0</v>
      </c>
    </row>
    <row r="1223" spans="1:7" ht="21.36" thickBot="1" customHeight="1">
      <c r="A1223" s="24" t="s">
        <v>3735</v>
      </c>
      <c r="B1223" s="24" t="s">
        <v>3736</v>
      </c>
      <c r="C1223" s="24" t="s">
        <v>3737</v>
      </c>
      <c r="D1223" s="25" t="s">
        <v>3738</v>
      </c>
      <c r="E1223" s="28">
        <v>0.33333</v>
      </c>
      <c r="F1223" s="29">
        <f ca="1">F1227</f>
        <v>0</v>
      </c>
      <c r="G1223" s="27">
        <f ca="1">ROUND(E1223*F1223,2)</f>
        <v>0</v>
      </c>
    </row>
    <row r="1224" spans="1:7" ht="24.36" thickBot="1" customHeight="1">
      <c r="A1224" s="24" t="s">
        <v>3739</v>
      </c>
      <c r="B1224" s="24" t="s">
        <v>3740</v>
      </c>
      <c r="C1224" s="24" t="s">
        <v>3741</v>
      </c>
      <c r="D1224" s="25" t="s">
        <v>3742</v>
      </c>
      <c r="E1224" s="28">
        <v>1.00000</v>
      </c>
      <c r="F1224" s="29">
        <f ca="1">ROUND(21.000,3)</f>
        <v>0</v>
      </c>
      <c r="G1224" s="27">
        <f ca="1">ROUND(E1224*F1224,2)</f>
        <v>0</v>
      </c>
    </row>
    <row r="1225" spans="1:7" ht="24.36" thickBot="1" customHeight="1">
      <c r="A1225" s="24" t="s">
        <v>3743</v>
      </c>
      <c r="B1225" s="24" t="s">
        <v>3744</v>
      </c>
      <c r="C1225" s="24" t="s">
        <v>3745</v>
      </c>
      <c r="D1225" s="25" t="s">
        <v>3746</v>
      </c>
      <c r="E1225" s="28">
        <v>1.00000</v>
      </c>
      <c r="F1225" s="29">
        <f ca="1">ROUND(19.000,3)</f>
        <v>0</v>
      </c>
      <c r="G1225" s="27">
        <f ca="1">ROUND(E1225*F1225,2)</f>
        <v>0</v>
      </c>
    </row>
    <row r="1226" spans="1:7" ht="24.36" thickBot="1" customHeight="1">
      <c r="A1226" s="24" t="s">
        <v>3747</v>
      </c>
      <c r="B1226" s="24" t="s">
        <v>3748</v>
      </c>
      <c r="C1226" s="24" t="s">
        <v>3749</v>
      </c>
      <c r="D1226" s="25" t="s">
        <v>3750</v>
      </c>
      <c r="E1226" s="28">
        <v>0.20000</v>
      </c>
      <c r="F1226" s="29">
        <f ca="1">ROUND(19.000,3)</f>
        <v>0</v>
      </c>
      <c r="G1226" s="27">
        <f ca="1">ROUND(E1226*F1226,2)</f>
        <v>0</v>
      </c>
    </row>
    <row r="1227" spans="1:7" ht="15.12" thickBot="1" customHeight="1">
      <c r="A1227" s="26"/>
      <c r="B1227" s="26"/>
      <c r="C1227" s="26"/>
      <c r="D1227" s="24" t="s">
        <v>3751</v>
      </c>
      <c r="E1227" s="28">
        <v>0.33333</v>
      </c>
      <c r="F1227" s="29">
        <f ca="1">ROUND((G1224+G1225+G1226),3)</f>
        <v>0</v>
      </c>
      <c r="G1227" s="27">
        <f ca="1">ROUND(E1227*F1227,2)</f>
        <v>0</v>
      </c>
    </row>
    <row r="1228" spans="1:7" ht="15.12" thickBot="1" customHeight="1">
      <c r="A1228" s="24" t="s">
        <v>3752</v>
      </c>
      <c r="B1228" s="24"/>
      <c r="C1228" s="24" t="s">
        <v>3753</v>
      </c>
      <c r="D1228" s="25" t="s">
        <v>3754</v>
      </c>
      <c r="E1228" s="28">
        <v>3.00000</v>
      </c>
      <c r="F1228" s="29">
        <f ca="1">ROUND(14.600,3)</f>
        <v>0</v>
      </c>
      <c r="G1228" s="27">
        <f ca="1">ROUND((E1228*F1228)/100,2)</f>
        <v>0</v>
      </c>
    </row>
    <row r="1229" spans="1:7" ht="15.48" thickBot="1" customHeight="1">
      <c r="A1229" s="30"/>
      <c r="B1229" s="30"/>
      <c r="C1229" s="30"/>
      <c r="D1229" s="31" t="s">
        <v>3755</v>
      </c>
      <c r="E1229" s="30"/>
      <c r="F1229" s="33">
        <f ca="1">ROUND((G1220+G1221+G1222+G1223+G1228)*(1+G2/100),2)</f>
        <v>0</v>
      </c>
      <c r="G1229" s="30"/>
    </row>
    <row r="1230" spans="1:7" ht="15.48" thickBot="1" customHeight="1">
      <c r="A1230" s="34" t="s">
        <v>3756</v>
      </c>
      <c r="B1230" s="35" t="s">
        <v>3757</v>
      </c>
      <c r="C1230" s="35" t="s">
        <v>3758</v>
      </c>
      <c r="D1230" s="36" t="s">
        <v>3759</v>
      </c>
      <c r="E1230" s="37"/>
      <c r="F1230" s="38">
        <f ca="1">F1238</f>
        <v>0</v>
      </c>
      <c r="G1230" s="37"/>
    </row>
    <row r="1231" spans="1:7" ht="21.36" thickBot="1" customHeight="1">
      <c r="A1231" s="26"/>
      <c r="B1231" s="26"/>
      <c r="C1231" s="26"/>
      <c r="D1231" s="25" t="s">
        <v>3760</v>
      </c>
      <c r="E1231" s="25"/>
      <c r="F1231" s="25"/>
      <c r="G1231" s="25"/>
    </row>
    <row r="1232" spans="1:7" ht="30.60" thickBot="1" customHeight="1">
      <c r="A1232" s="24" t="s">
        <v>3761</v>
      </c>
      <c r="B1232" s="24" t="s">
        <v>3762</v>
      </c>
      <c r="C1232" s="24" t="s">
        <v>3763</v>
      </c>
      <c r="D1232" s="25" t="s">
        <v>3764</v>
      </c>
      <c r="E1232" s="28">
        <v>0.50000</v>
      </c>
      <c r="F1232" s="29">
        <f ca="1">ROUND(30.260,3)</f>
        <v>0</v>
      </c>
      <c r="G1232" s="27">
        <f ca="1">ROUND(E1232*F1232,2)</f>
        <v>0</v>
      </c>
    </row>
    <row r="1233" spans="1:7" ht="21.36" thickBot="1" customHeight="1">
      <c r="A1233" s="24" t="s">
        <v>3765</v>
      </c>
      <c r="B1233" s="24" t="s">
        <v>3766</v>
      </c>
      <c r="C1233" s="24" t="s">
        <v>3767</v>
      </c>
      <c r="D1233" s="25" t="s">
        <v>3768</v>
      </c>
      <c r="E1233" s="28">
        <v>0.50000</v>
      </c>
      <c r="F1233" s="29">
        <f ca="1">F1237</f>
        <v>0</v>
      </c>
      <c r="G1233" s="27">
        <f ca="1">ROUND(E1233*F1233,2)</f>
        <v>0</v>
      </c>
    </row>
    <row r="1234" spans="1:7" ht="24.36" thickBot="1" customHeight="1">
      <c r="A1234" s="24" t="s">
        <v>3769</v>
      </c>
      <c r="B1234" s="24" t="s">
        <v>3770</v>
      </c>
      <c r="C1234" s="24" t="s">
        <v>3771</v>
      </c>
      <c r="D1234" s="25" t="s">
        <v>3772</v>
      </c>
      <c r="E1234" s="28">
        <v>1.00000</v>
      </c>
      <c r="F1234" s="29">
        <f ca="1">ROUND(21.000,3)</f>
        <v>0</v>
      </c>
      <c r="G1234" s="27">
        <f ca="1">ROUND(E1234*F1234,2)</f>
        <v>0</v>
      </c>
    </row>
    <row r="1235" spans="1:7" ht="24.36" thickBot="1" customHeight="1">
      <c r="A1235" s="24" t="s">
        <v>3773</v>
      </c>
      <c r="B1235" s="24" t="s">
        <v>3774</v>
      </c>
      <c r="C1235" s="24" t="s">
        <v>3775</v>
      </c>
      <c r="D1235" s="25" t="s">
        <v>3776</v>
      </c>
      <c r="E1235" s="28">
        <v>1.00000</v>
      </c>
      <c r="F1235" s="29">
        <f ca="1">ROUND(19.000,3)</f>
        <v>0</v>
      </c>
      <c r="G1235" s="27">
        <f ca="1">ROUND(E1235*F1235,2)</f>
        <v>0</v>
      </c>
    </row>
    <row r="1236" spans="1:7" ht="24.36" thickBot="1" customHeight="1">
      <c r="A1236" s="24" t="s">
        <v>3777</v>
      </c>
      <c r="B1236" s="24" t="s">
        <v>3778</v>
      </c>
      <c r="C1236" s="24" t="s">
        <v>3779</v>
      </c>
      <c r="D1236" s="25" t="s">
        <v>3780</v>
      </c>
      <c r="E1236" s="28">
        <v>0.20000</v>
      </c>
      <c r="F1236" s="29">
        <f ca="1">ROUND(19.000,3)</f>
        <v>0</v>
      </c>
      <c r="G1236" s="27">
        <f ca="1">ROUND(E1236*F1236,2)</f>
        <v>0</v>
      </c>
    </row>
    <row r="1237" spans="1:7" ht="15.12" thickBot="1" customHeight="1">
      <c r="A1237" s="26"/>
      <c r="B1237" s="26"/>
      <c r="C1237" s="26"/>
      <c r="D1237" s="24" t="s">
        <v>3781</v>
      </c>
      <c r="E1237" s="28">
        <v>0.50000</v>
      </c>
      <c r="F1237" s="29">
        <f ca="1">ROUND((G1234+G1235+G1236),3)</f>
        <v>0</v>
      </c>
      <c r="G1237" s="27">
        <f ca="1">ROUND(E1237*F1237,2)</f>
        <v>0</v>
      </c>
    </row>
    <row r="1238" spans="1:7" ht="15.48" thickBot="1" customHeight="1">
      <c r="A1238" s="30"/>
      <c r="B1238" s="30"/>
      <c r="C1238" s="30"/>
      <c r="D1238" s="31" t="s">
        <v>3782</v>
      </c>
      <c r="E1238" s="30"/>
      <c r="F1238" s="33">
        <f ca="1">ROUND((G1232+G1233)*(1+G2/100),2)</f>
        <v>0</v>
      </c>
      <c r="G1238" s="30"/>
    </row>
    <row r="1239" spans="1:7" ht="39.84" thickBot="1" customHeight="1">
      <c r="A1239" s="34" t="s">
        <v>3783</v>
      </c>
      <c r="B1239" s="35" t="s">
        <v>3784</v>
      </c>
      <c r="C1239" s="35" t="s">
        <v>3785</v>
      </c>
      <c r="D1239" s="36" t="s">
        <v>3786</v>
      </c>
      <c r="E1239" s="37"/>
      <c r="F1239" s="38">
        <f ca="1">F1253</f>
        <v>0</v>
      </c>
      <c r="G1239" s="37"/>
    </row>
    <row r="1240" spans="1:7" ht="12.12" thickBot="1" customHeight="1">
      <c r="A1240" s="26"/>
      <c r="B1240" s="26"/>
      <c r="C1240" s="26"/>
      <c r="D1240" s="25" t="s">
        <v>3787</v>
      </c>
      <c r="E1240" s="25"/>
      <c r="F1240" s="25"/>
      <c r="G1240" s="25"/>
    </row>
    <row r="1241" spans="1:7" ht="30.60" thickBot="1" customHeight="1">
      <c r="A1241" s="24" t="s">
        <v>3788</v>
      </c>
      <c r="B1241" s="24" t="s">
        <v>3789</v>
      </c>
      <c r="C1241" s="24" t="s">
        <v>3790</v>
      </c>
      <c r="D1241" s="25" t="s">
        <v>3791</v>
      </c>
      <c r="E1241" s="28">
        <v>0.00001</v>
      </c>
      <c r="F1241" s="29">
        <f ca="1">ROUND(23.480,3)</f>
        <v>0</v>
      </c>
      <c r="G1241" s="27">
        <f ca="1">ROUND(E1241*F1241,2)</f>
        <v>0</v>
      </c>
    </row>
    <row r="1242" spans="1:7" ht="30.60" thickBot="1" customHeight="1">
      <c r="A1242" s="24" t="s">
        <v>3792</v>
      </c>
      <c r="B1242" s="24" t="s">
        <v>3793</v>
      </c>
      <c r="C1242" s="24" t="s">
        <v>3794</v>
      </c>
      <c r="D1242" s="25" t="s">
        <v>3795</v>
      </c>
      <c r="E1242" s="28">
        <v>0.00001</v>
      </c>
      <c r="F1242" s="29">
        <f ca="1">ROUND(59.900,3)</f>
        <v>0</v>
      </c>
      <c r="G1242" s="27">
        <f ca="1">ROUND(E1242*F1242,2)</f>
        <v>0</v>
      </c>
    </row>
    <row r="1243" spans="1:7" ht="39.84" thickBot="1" customHeight="1">
      <c r="A1243" s="24" t="s">
        <v>3796</v>
      </c>
      <c r="B1243" s="24" t="s">
        <v>3797</v>
      </c>
      <c r="C1243" s="24" t="s">
        <v>3798</v>
      </c>
      <c r="D1243" s="25" t="s">
        <v>3799</v>
      </c>
      <c r="E1243" s="28">
        <v>0.01667</v>
      </c>
      <c r="F1243" s="29">
        <f ca="1">ROUND(40.990,3)</f>
        <v>0</v>
      </c>
      <c r="G1243" s="27">
        <f ca="1">ROUND(E1243*F1243,2)</f>
        <v>0</v>
      </c>
    </row>
    <row r="1244" spans="1:7" ht="30.60" thickBot="1" customHeight="1">
      <c r="A1244" s="24" t="s">
        <v>3800</v>
      </c>
      <c r="B1244" s="24" t="s">
        <v>3801</v>
      </c>
      <c r="C1244" s="24" t="s">
        <v>3802</v>
      </c>
      <c r="D1244" s="25" t="s">
        <v>3803</v>
      </c>
      <c r="E1244" s="28">
        <v>0.02667</v>
      </c>
      <c r="F1244" s="29">
        <f ca="1">ROUND(48.900,3)</f>
        <v>0</v>
      </c>
      <c r="G1244" s="27">
        <f ca="1">ROUND(E1244*F1244,2)</f>
        <v>0</v>
      </c>
    </row>
    <row r="1245" spans="1:7" ht="24.36" thickBot="1" customHeight="1">
      <c r="A1245" s="24" t="s">
        <v>3804</v>
      </c>
      <c r="B1245" s="24" t="s">
        <v>3805</v>
      </c>
      <c r="C1245" s="24" t="s">
        <v>3806</v>
      </c>
      <c r="D1245" s="25" t="s">
        <v>3807</v>
      </c>
      <c r="E1245" s="28">
        <v>0.16000</v>
      </c>
      <c r="F1245" s="29">
        <f ca="1">ROUND(7.526,3)</f>
        <v>0</v>
      </c>
      <c r="G1245" s="27">
        <f ca="1">ROUND(E1245*F1245,2)</f>
        <v>0</v>
      </c>
    </row>
    <row r="1246" spans="1:7" ht="30.60" thickBot="1" customHeight="1">
      <c r="A1246" s="24" t="s">
        <v>3808</v>
      </c>
      <c r="B1246" s="24" t="s">
        <v>3809</v>
      </c>
      <c r="C1246" s="24" t="s">
        <v>3810</v>
      </c>
      <c r="D1246" s="25" t="s">
        <v>3811</v>
      </c>
      <c r="E1246" s="28">
        <v>0.06667</v>
      </c>
      <c r="F1246" s="29">
        <f ca="1">ROUND(39.850,3)</f>
        <v>0</v>
      </c>
      <c r="G1246" s="27">
        <f ca="1">ROUND(E1246*F1246,2)</f>
        <v>0</v>
      </c>
    </row>
    <row r="1247" spans="1:7" ht="21.36" thickBot="1" customHeight="1">
      <c r="A1247" s="24" t="s">
        <v>3812</v>
      </c>
      <c r="B1247" s="24" t="s">
        <v>3813</v>
      </c>
      <c r="C1247" s="24" t="s">
        <v>3814</v>
      </c>
      <c r="D1247" s="25" t="s">
        <v>3815</v>
      </c>
      <c r="E1247" s="28">
        <v>0.16000</v>
      </c>
      <c r="F1247" s="29">
        <f ca="1">F1251</f>
        <v>0</v>
      </c>
      <c r="G1247" s="27">
        <f ca="1">ROUND(E1247*F1247,2)</f>
        <v>0</v>
      </c>
    </row>
    <row r="1248" spans="1:7" ht="24.36" thickBot="1" customHeight="1">
      <c r="A1248" s="24" t="s">
        <v>3816</v>
      </c>
      <c r="B1248" s="24" t="s">
        <v>3817</v>
      </c>
      <c r="C1248" s="24" t="s">
        <v>3818</v>
      </c>
      <c r="D1248" s="25" t="s">
        <v>3819</v>
      </c>
      <c r="E1248" s="28">
        <v>1.00000</v>
      </c>
      <c r="F1248" s="29">
        <f ca="1">ROUND(21.000,3)</f>
        <v>0</v>
      </c>
      <c r="G1248" s="27">
        <f ca="1">ROUND(E1248*F1248,2)</f>
        <v>0</v>
      </c>
    </row>
    <row r="1249" spans="1:7" ht="24.36" thickBot="1" customHeight="1">
      <c r="A1249" s="24" t="s">
        <v>3820</v>
      </c>
      <c r="B1249" s="24" t="s">
        <v>3821</v>
      </c>
      <c r="C1249" s="24" t="s">
        <v>3822</v>
      </c>
      <c r="D1249" s="25" t="s">
        <v>3823</v>
      </c>
      <c r="E1249" s="28">
        <v>1.00000</v>
      </c>
      <c r="F1249" s="29">
        <f ca="1">ROUND(19.000,3)</f>
        <v>0</v>
      </c>
      <c r="G1249" s="27">
        <f ca="1">ROUND(E1249*F1249,2)</f>
        <v>0</v>
      </c>
    </row>
    <row r="1250" spans="1:7" ht="24.36" thickBot="1" customHeight="1">
      <c r="A1250" s="24" t="s">
        <v>3824</v>
      </c>
      <c r="B1250" s="24" t="s">
        <v>3825</v>
      </c>
      <c r="C1250" s="24" t="s">
        <v>3826</v>
      </c>
      <c r="D1250" s="25" t="s">
        <v>3827</v>
      </c>
      <c r="E1250" s="28">
        <v>0.20000</v>
      </c>
      <c r="F1250" s="29">
        <f ca="1">ROUND(19.000,3)</f>
        <v>0</v>
      </c>
      <c r="G1250" s="27">
        <f ca="1">ROUND(E1250*F1250,2)</f>
        <v>0</v>
      </c>
    </row>
    <row r="1251" spans="1:7" ht="15.12" thickBot="1" customHeight="1">
      <c r="A1251" s="26"/>
      <c r="B1251" s="26"/>
      <c r="C1251" s="26"/>
      <c r="D1251" s="24" t="s">
        <v>3828</v>
      </c>
      <c r="E1251" s="28">
        <v>0.16000</v>
      </c>
      <c r="F1251" s="29">
        <f ca="1">ROUND((G1248+G1249+G1250),3)</f>
        <v>0</v>
      </c>
      <c r="G1251" s="27">
        <f ca="1">ROUND(E1251*F1251,2)</f>
        <v>0</v>
      </c>
    </row>
    <row r="1252" spans="1:7" ht="15.12" thickBot="1" customHeight="1">
      <c r="A1252" s="24" t="s">
        <v>3829</v>
      </c>
      <c r="B1252" s="24"/>
      <c r="C1252" s="24" t="s">
        <v>3830</v>
      </c>
      <c r="D1252" s="25" t="s">
        <v>3831</v>
      </c>
      <c r="E1252" s="28">
        <v>5.00000</v>
      </c>
      <c r="F1252" s="29">
        <f ca="1">ROUND(7.010,3)</f>
        <v>0</v>
      </c>
      <c r="G1252" s="27">
        <f ca="1">ROUND((E1252*F1252)/100,2)</f>
        <v>0</v>
      </c>
    </row>
    <row r="1253" spans="1:7" ht="25.08" thickBot="1" customHeight="1">
      <c r="A1253" s="30"/>
      <c r="B1253" s="30"/>
      <c r="C1253" s="30"/>
      <c r="D1253" s="31" t="s">
        <v>3832</v>
      </c>
      <c r="E1253" s="30"/>
      <c r="F1253" s="33">
        <f ca="1">ROUND((G1241+G1242+G1243+G1244+G1245+G1246+G1247+G1252)*(1+G2/100),2)</f>
        <v>0</v>
      </c>
      <c r="G1253" s="30"/>
    </row>
    <row r="1254" spans="1:7" ht="15.48" thickBot="1" customHeight="1">
      <c r="A1254" s="39"/>
      <c r="B1254" s="39"/>
      <c r="C1254" s="39"/>
      <c r="D1254" s="50" t="s">
        <v>3833</v>
      </c>
      <c r="E1254" s="51"/>
      <c r="F1254" s="51"/>
      <c r="G1254" s="51"/>
    </row>
    <row r="1255" spans="1:7" ht="15.48" thickBot="1" customHeight="1">
      <c r="A1255" s="39"/>
      <c r="B1255" s="39"/>
      <c r="C1255" s="39"/>
      <c r="D1255" s="55" t="s">
        <v>3834</v>
      </c>
      <c r="E1255" s="56"/>
      <c r="F1255" s="56"/>
      <c r="G1255" s="56"/>
    </row>
    <row r="1256" spans="1:7" ht="31.68" thickBot="1" customHeight="1">
      <c r="A1256" s="57" t="s">
        <v>3835</v>
      </c>
      <c r="B1256" s="57" t="s">
        <v>3836</v>
      </c>
      <c r="C1256" s="58"/>
      <c r="D1256" s="59" t="s">
        <v>3837</v>
      </c>
      <c r="E1256" s="58"/>
      <c r="F1256" s="58"/>
      <c r="G1256" s="58"/>
    </row>
    <row r="1257" spans="1:7" ht="25.08" thickBot="1" customHeight="1">
      <c r="A1257" s="18" t="s">
        <v>3838</v>
      </c>
      <c r="B1257" s="18" t="s">
        <v>3839</v>
      </c>
      <c r="C1257" s="19"/>
      <c r="D1257" s="20" t="s">
        <v>3840</v>
      </c>
      <c r="E1257" s="19"/>
      <c r="F1257" s="19"/>
      <c r="G1257" s="19"/>
    </row>
    <row r="1258" spans="1:7" ht="22.08" thickBot="1" customHeight="1">
      <c r="A1258" s="21" t="s">
        <v>3841</v>
      </c>
      <c r="B1258" s="21" t="s">
        <v>3842</v>
      </c>
      <c r="C1258" s="22"/>
      <c r="D1258" s="23" t="s">
        <v>3843</v>
      </c>
      <c r="E1258" s="22"/>
      <c r="F1258" s="22"/>
      <c r="G1258" s="22"/>
    </row>
    <row r="1259" spans="1:7" ht="49.08" thickBot="1" customHeight="1">
      <c r="A1259" s="10" t="s">
        <v>3844</v>
      </c>
      <c r="B1259" s="24" t="s">
        <v>3845</v>
      </c>
      <c r="C1259" s="24" t="s">
        <v>3846</v>
      </c>
      <c r="D1259" s="25" t="s">
        <v>3847</v>
      </c>
      <c r="E1259" s="26"/>
      <c r="F1259" s="27">
        <f ca="1">F1267</f>
        <v>0</v>
      </c>
      <c r="G1259" s="26"/>
    </row>
    <row r="1260" spans="1:7" ht="21.36" thickBot="1" customHeight="1">
      <c r="A1260" s="26"/>
      <c r="B1260" s="26"/>
      <c r="C1260" s="26"/>
      <c r="D1260" s="25" t="s">
        <v>3848</v>
      </c>
      <c r="E1260" s="25"/>
      <c r="F1260" s="25"/>
      <c r="G1260" s="25"/>
    </row>
    <row r="1261" spans="1:7" ht="21.36" thickBot="1" customHeight="1">
      <c r="A1261" s="24" t="s">
        <v>3849</v>
      </c>
      <c r="B1261" s="24" t="s">
        <v>3850</v>
      </c>
      <c r="C1261" s="24" t="s">
        <v>3851</v>
      </c>
      <c r="D1261" s="25" t="s">
        <v>3852</v>
      </c>
      <c r="E1261" s="28">
        <v>0.50000</v>
      </c>
      <c r="F1261" s="29">
        <f ca="1">F1265</f>
        <v>0</v>
      </c>
      <c r="G1261" s="27">
        <f ca="1">ROUND(E1261*F1261,2)</f>
        <v>0</v>
      </c>
    </row>
    <row r="1262" spans="1:7" ht="24.36" thickBot="1" customHeight="1">
      <c r="A1262" s="24" t="s">
        <v>3853</v>
      </c>
      <c r="B1262" s="24" t="s">
        <v>3854</v>
      </c>
      <c r="C1262" s="24" t="s">
        <v>3855</v>
      </c>
      <c r="D1262" s="25" t="s">
        <v>3856</v>
      </c>
      <c r="E1262" s="28">
        <v>1.00000</v>
      </c>
      <c r="F1262" s="29">
        <f ca="1">ROUND(21.000,3)</f>
        <v>0</v>
      </c>
      <c r="G1262" s="27">
        <f ca="1">ROUND(E1262*F1262,2)</f>
        <v>0</v>
      </c>
    </row>
    <row r="1263" spans="1:7" ht="24.36" thickBot="1" customHeight="1">
      <c r="A1263" s="24" t="s">
        <v>3857</v>
      </c>
      <c r="B1263" s="24" t="s">
        <v>3858</v>
      </c>
      <c r="C1263" s="24" t="s">
        <v>3859</v>
      </c>
      <c r="D1263" s="25" t="s">
        <v>3860</v>
      </c>
      <c r="E1263" s="28">
        <v>1.00000</v>
      </c>
      <c r="F1263" s="29">
        <f ca="1">ROUND(19.000,3)</f>
        <v>0</v>
      </c>
      <c r="G1263" s="27">
        <f ca="1">ROUND(E1263*F1263,2)</f>
        <v>0</v>
      </c>
    </row>
    <row r="1264" spans="1:7" ht="24.36" thickBot="1" customHeight="1">
      <c r="A1264" s="24" t="s">
        <v>3861</v>
      </c>
      <c r="B1264" s="24" t="s">
        <v>3862</v>
      </c>
      <c r="C1264" s="24" t="s">
        <v>3863</v>
      </c>
      <c r="D1264" s="25" t="s">
        <v>3864</v>
      </c>
      <c r="E1264" s="28">
        <v>0.20000</v>
      </c>
      <c r="F1264" s="29">
        <f ca="1">ROUND(19.000,3)</f>
        <v>0</v>
      </c>
      <c r="G1264" s="27">
        <f ca="1">ROUND(E1264*F1264,2)</f>
        <v>0</v>
      </c>
    </row>
    <row r="1265" spans="1:7" ht="15.12" thickBot="1" customHeight="1">
      <c r="A1265" s="26"/>
      <c r="B1265" s="26"/>
      <c r="C1265" s="26"/>
      <c r="D1265" s="24" t="s">
        <v>3865</v>
      </c>
      <c r="E1265" s="28">
        <v>0.50000</v>
      </c>
      <c r="F1265" s="29">
        <f ca="1">ROUND((G1262+G1263+G1264),3)</f>
        <v>0</v>
      </c>
      <c r="G1265" s="27">
        <f ca="1">ROUND(E1265*F1265,2)</f>
        <v>0</v>
      </c>
    </row>
    <row r="1266" spans="1:7" ht="15.12" thickBot="1" customHeight="1">
      <c r="A1266" s="24" t="s">
        <v>3866</v>
      </c>
      <c r="B1266" s="24"/>
      <c r="C1266" s="24" t="s">
        <v>3867</v>
      </c>
      <c r="D1266" s="25" t="s">
        <v>3868</v>
      </c>
      <c r="E1266" s="28">
        <v>5.00000</v>
      </c>
      <c r="F1266" s="29">
        <f ca="1">ROUND(21.900,3)</f>
        <v>0</v>
      </c>
      <c r="G1266" s="27">
        <f ca="1">ROUND((E1266*F1266)/100,2)</f>
        <v>0</v>
      </c>
    </row>
    <row r="1267" spans="1:7" ht="15.48" thickBot="1" customHeight="1">
      <c r="A1267" s="30"/>
      <c r="B1267" s="30"/>
      <c r="C1267" s="30"/>
      <c r="D1267" s="31" t="s">
        <v>3869</v>
      </c>
      <c r="E1267" s="30"/>
      <c r="F1267" s="33">
        <f ca="1">ROUND((G1261+G1266)*(1+G2/100),2)</f>
        <v>0</v>
      </c>
      <c r="G1267" s="30"/>
    </row>
    <row r="1268" spans="1:7" ht="49.08" thickBot="1" customHeight="1">
      <c r="A1268" s="34" t="s">
        <v>3870</v>
      </c>
      <c r="B1268" s="35" t="s">
        <v>3871</v>
      </c>
      <c r="C1268" s="35" t="s">
        <v>3872</v>
      </c>
      <c r="D1268" s="36" t="s">
        <v>3873</v>
      </c>
      <c r="E1268" s="37"/>
      <c r="F1268" s="38">
        <f ca="1">F1276</f>
        <v>0</v>
      </c>
      <c r="G1268" s="37"/>
    </row>
    <row r="1269" spans="1:7" ht="21.36" thickBot="1" customHeight="1">
      <c r="A1269" s="26"/>
      <c r="B1269" s="26"/>
      <c r="C1269" s="26"/>
      <c r="D1269" s="25" t="s">
        <v>3874</v>
      </c>
      <c r="E1269" s="25"/>
      <c r="F1269" s="25"/>
      <c r="G1269" s="25"/>
    </row>
    <row r="1270" spans="1:7" ht="21.36" thickBot="1" customHeight="1">
      <c r="A1270" s="24" t="s">
        <v>3875</v>
      </c>
      <c r="B1270" s="24" t="s">
        <v>3876</v>
      </c>
      <c r="C1270" s="24" t="s">
        <v>3877</v>
      </c>
      <c r="D1270" s="25" t="s">
        <v>3878</v>
      </c>
      <c r="E1270" s="28">
        <v>0.70000</v>
      </c>
      <c r="F1270" s="29">
        <f ca="1">F1274</f>
        <v>0</v>
      </c>
      <c r="G1270" s="27">
        <f ca="1">ROUND(E1270*F1270,2)</f>
        <v>0</v>
      </c>
    </row>
    <row r="1271" spans="1:7" ht="24.36" thickBot="1" customHeight="1">
      <c r="A1271" s="24" t="s">
        <v>3879</v>
      </c>
      <c r="B1271" s="24" t="s">
        <v>3880</v>
      </c>
      <c r="C1271" s="24" t="s">
        <v>3881</v>
      </c>
      <c r="D1271" s="25" t="s">
        <v>3882</v>
      </c>
      <c r="E1271" s="28">
        <v>1.00000</v>
      </c>
      <c r="F1271" s="29">
        <f ca="1">ROUND(21.000,3)</f>
        <v>0</v>
      </c>
      <c r="G1271" s="27">
        <f ca="1">ROUND(E1271*F1271,2)</f>
        <v>0</v>
      </c>
    </row>
    <row r="1272" spans="1:7" ht="24.36" thickBot="1" customHeight="1">
      <c r="A1272" s="24" t="s">
        <v>3883</v>
      </c>
      <c r="B1272" s="24" t="s">
        <v>3884</v>
      </c>
      <c r="C1272" s="24" t="s">
        <v>3885</v>
      </c>
      <c r="D1272" s="25" t="s">
        <v>3886</v>
      </c>
      <c r="E1272" s="28">
        <v>1.00000</v>
      </c>
      <c r="F1272" s="29">
        <f ca="1">ROUND(19.000,3)</f>
        <v>0</v>
      </c>
      <c r="G1272" s="27">
        <f ca="1">ROUND(E1272*F1272,2)</f>
        <v>0</v>
      </c>
    </row>
    <row r="1273" spans="1:7" ht="24.36" thickBot="1" customHeight="1">
      <c r="A1273" s="24" t="s">
        <v>3887</v>
      </c>
      <c r="B1273" s="24" t="s">
        <v>3888</v>
      </c>
      <c r="C1273" s="24" t="s">
        <v>3889</v>
      </c>
      <c r="D1273" s="25" t="s">
        <v>3890</v>
      </c>
      <c r="E1273" s="28">
        <v>0.20000</v>
      </c>
      <c r="F1273" s="29">
        <f ca="1">ROUND(19.000,3)</f>
        <v>0</v>
      </c>
      <c r="G1273" s="27">
        <f ca="1">ROUND(E1273*F1273,2)</f>
        <v>0</v>
      </c>
    </row>
    <row r="1274" spans="1:7" ht="15.12" thickBot="1" customHeight="1">
      <c r="A1274" s="26"/>
      <c r="B1274" s="26"/>
      <c r="C1274" s="26"/>
      <c r="D1274" s="24" t="s">
        <v>3891</v>
      </c>
      <c r="E1274" s="28">
        <v>0.70000</v>
      </c>
      <c r="F1274" s="29">
        <f ca="1">ROUND((G1271+G1272+G1273),3)</f>
        <v>0</v>
      </c>
      <c r="G1274" s="27">
        <f ca="1">ROUND(E1274*F1274,2)</f>
        <v>0</v>
      </c>
    </row>
    <row r="1275" spans="1:7" ht="15.12" thickBot="1" customHeight="1">
      <c r="A1275" s="24" t="s">
        <v>3892</v>
      </c>
      <c r="B1275" s="24"/>
      <c r="C1275" s="24" t="s">
        <v>3893</v>
      </c>
      <c r="D1275" s="25" t="s">
        <v>3894</v>
      </c>
      <c r="E1275" s="28">
        <v>5.00000</v>
      </c>
      <c r="F1275" s="29">
        <f ca="1">ROUND(30.660,3)</f>
        <v>0</v>
      </c>
      <c r="G1275" s="27">
        <f ca="1">ROUND((E1275*F1275)/100,2)</f>
        <v>0</v>
      </c>
    </row>
    <row r="1276" spans="1:7" ht="15.48" thickBot="1" customHeight="1">
      <c r="A1276" s="30"/>
      <c r="B1276" s="30"/>
      <c r="C1276" s="30"/>
      <c r="D1276" s="31" t="s">
        <v>3895</v>
      </c>
      <c r="E1276" s="30"/>
      <c r="F1276" s="33">
        <f ca="1">ROUND((G1270+G1275)*(1+G2/100),2)</f>
        <v>0</v>
      </c>
      <c r="G1276" s="30"/>
    </row>
    <row r="1277" spans="1:7" ht="58.32" thickBot="1" customHeight="1">
      <c r="A1277" s="34" t="s">
        <v>3896</v>
      </c>
      <c r="B1277" s="35" t="s">
        <v>3897</v>
      </c>
      <c r="C1277" s="35" t="s">
        <v>3898</v>
      </c>
      <c r="D1277" s="36" t="s">
        <v>3899</v>
      </c>
      <c r="E1277" s="37"/>
      <c r="F1277" s="38">
        <f ca="1">F1288</f>
        <v>0</v>
      </c>
      <c r="G1277" s="37"/>
    </row>
    <row r="1278" spans="1:7" ht="21.36" thickBot="1" customHeight="1">
      <c r="A1278" s="26"/>
      <c r="B1278" s="26"/>
      <c r="C1278" s="26"/>
      <c r="D1278" s="25" t="s">
        <v>3900</v>
      </c>
      <c r="E1278" s="25"/>
      <c r="F1278" s="25"/>
      <c r="G1278" s="25"/>
    </row>
    <row r="1279" spans="1:7" ht="30.60" thickBot="1" customHeight="1">
      <c r="A1279" s="24" t="s">
        <v>3901</v>
      </c>
      <c r="B1279" s="24" t="s">
        <v>3902</v>
      </c>
      <c r="C1279" s="24" t="s">
        <v>3903</v>
      </c>
      <c r="D1279" s="25" t="s">
        <v>3904</v>
      </c>
      <c r="E1279" s="28">
        <v>0.25000</v>
      </c>
      <c r="F1279" s="29">
        <f ca="1">F1281</f>
        <v>0</v>
      </c>
      <c r="G1279" s="27">
        <f ca="1">ROUND(E1279*F1279,2)</f>
        <v>0</v>
      </c>
    </row>
    <row r="1280" spans="1:7" ht="30.60" thickBot="1" customHeight="1">
      <c r="A1280" s="24" t="s">
        <v>3905</v>
      </c>
      <c r="B1280" s="24" t="s">
        <v>3906</v>
      </c>
      <c r="C1280" s="24" t="s">
        <v>3907</v>
      </c>
      <c r="D1280" s="25" t="s">
        <v>3908</v>
      </c>
      <c r="E1280" s="28">
        <v>0.00417</v>
      </c>
      <c r="F1280" s="29">
        <f ca="1">ROUND(999.000,3)</f>
        <v>0</v>
      </c>
      <c r="G1280" s="27">
        <f ca="1">ROUND(E1280*F1280,2)</f>
        <v>0</v>
      </c>
    </row>
    <row r="1281" spans="1:7" ht="15.12" thickBot="1" customHeight="1">
      <c r="A1281" s="26"/>
      <c r="B1281" s="26"/>
      <c r="C1281" s="26"/>
      <c r="D1281" s="24" t="s">
        <v>3909</v>
      </c>
      <c r="E1281" s="28">
        <v>0.25000</v>
      </c>
      <c r="F1281" s="29">
        <f ca="1">ROUND((G1280),3)</f>
        <v>0</v>
      </c>
      <c r="G1281" s="27">
        <f ca="1">ROUND(E1281*F1281,2)</f>
        <v>0</v>
      </c>
    </row>
    <row r="1282" spans="1:7" ht="21.36" thickBot="1" customHeight="1">
      <c r="A1282" s="24" t="s">
        <v>3910</v>
      </c>
      <c r="B1282" s="24" t="s">
        <v>3911</v>
      </c>
      <c r="C1282" s="24" t="s">
        <v>3912</v>
      </c>
      <c r="D1282" s="25" t="s">
        <v>3913</v>
      </c>
      <c r="E1282" s="28">
        <v>0.25000</v>
      </c>
      <c r="F1282" s="29">
        <f ca="1">F1286</f>
        <v>0</v>
      </c>
      <c r="G1282" s="27">
        <f ca="1">ROUND(E1282*F1282,2)</f>
        <v>0</v>
      </c>
    </row>
    <row r="1283" spans="1:7" ht="24.36" thickBot="1" customHeight="1">
      <c r="A1283" s="24" t="s">
        <v>3914</v>
      </c>
      <c r="B1283" s="24" t="s">
        <v>3915</v>
      </c>
      <c r="C1283" s="24" t="s">
        <v>3916</v>
      </c>
      <c r="D1283" s="25" t="s">
        <v>3917</v>
      </c>
      <c r="E1283" s="28">
        <v>1.00000</v>
      </c>
      <c r="F1283" s="29">
        <f ca="1">ROUND(21.000,3)</f>
        <v>0</v>
      </c>
      <c r="G1283" s="27">
        <f ca="1">ROUND(E1283*F1283,2)</f>
        <v>0</v>
      </c>
    </row>
    <row r="1284" spans="1:7" ht="24.36" thickBot="1" customHeight="1">
      <c r="A1284" s="24" t="s">
        <v>3918</v>
      </c>
      <c r="B1284" s="24" t="s">
        <v>3919</v>
      </c>
      <c r="C1284" s="24" t="s">
        <v>3920</v>
      </c>
      <c r="D1284" s="25" t="s">
        <v>3921</v>
      </c>
      <c r="E1284" s="28">
        <v>1.00000</v>
      </c>
      <c r="F1284" s="29">
        <f ca="1">ROUND(19.000,3)</f>
        <v>0</v>
      </c>
      <c r="G1284" s="27">
        <f ca="1">ROUND(E1284*F1284,2)</f>
        <v>0</v>
      </c>
    </row>
    <row r="1285" spans="1:7" ht="24.36" thickBot="1" customHeight="1">
      <c r="A1285" s="24" t="s">
        <v>3922</v>
      </c>
      <c r="B1285" s="24" t="s">
        <v>3923</v>
      </c>
      <c r="C1285" s="24" t="s">
        <v>3924</v>
      </c>
      <c r="D1285" s="25" t="s">
        <v>3925</v>
      </c>
      <c r="E1285" s="28">
        <v>0.20000</v>
      </c>
      <c r="F1285" s="29">
        <f ca="1">ROUND(19.000,3)</f>
        <v>0</v>
      </c>
      <c r="G1285" s="27">
        <f ca="1">ROUND(E1285*F1285,2)</f>
        <v>0</v>
      </c>
    </row>
    <row r="1286" spans="1:7" ht="15.12" thickBot="1" customHeight="1">
      <c r="A1286" s="26"/>
      <c r="B1286" s="26"/>
      <c r="C1286" s="26"/>
      <c r="D1286" s="24" t="s">
        <v>3926</v>
      </c>
      <c r="E1286" s="28">
        <v>0.25000</v>
      </c>
      <c r="F1286" s="29">
        <f ca="1">ROUND((G1283+G1284+G1285),3)</f>
        <v>0</v>
      </c>
      <c r="G1286" s="27">
        <f ca="1">ROUND(E1286*F1286,2)</f>
        <v>0</v>
      </c>
    </row>
    <row r="1287" spans="1:7" ht="15.12" thickBot="1" customHeight="1">
      <c r="A1287" s="24" t="s">
        <v>3927</v>
      </c>
      <c r="B1287" s="24"/>
      <c r="C1287" s="24" t="s">
        <v>3928</v>
      </c>
      <c r="D1287" s="25" t="s">
        <v>3929</v>
      </c>
      <c r="E1287" s="28">
        <v>2.00000</v>
      </c>
      <c r="F1287" s="29">
        <f ca="1">ROUND(10.950,3)</f>
        <v>0</v>
      </c>
      <c r="G1287" s="27">
        <f ca="1">ROUND((E1287*F1287)/100,2)</f>
        <v>0</v>
      </c>
    </row>
    <row r="1288" spans="1:7" ht="15.48" thickBot="1" customHeight="1">
      <c r="A1288" s="30"/>
      <c r="B1288" s="30"/>
      <c r="C1288" s="30"/>
      <c r="D1288" s="31" t="s">
        <v>3930</v>
      </c>
      <c r="E1288" s="30"/>
      <c r="F1288" s="33">
        <f ca="1">ROUND((G1279+G1282+G1287)*(1+G2/100),2)</f>
        <v>0</v>
      </c>
      <c r="G1288" s="30"/>
    </row>
    <row r="1289" spans="1:7" ht="58.32" thickBot="1" customHeight="1">
      <c r="A1289" s="34" t="s">
        <v>3931</v>
      </c>
      <c r="B1289" s="35" t="s">
        <v>3932</v>
      </c>
      <c r="C1289" s="35" t="s">
        <v>3933</v>
      </c>
      <c r="D1289" s="36" t="s">
        <v>3934</v>
      </c>
      <c r="E1289" s="37"/>
      <c r="F1289" s="38">
        <f ca="1">F1300</f>
        <v>0</v>
      </c>
      <c r="G1289" s="37"/>
    </row>
    <row r="1290" spans="1:7" ht="21.36" thickBot="1" customHeight="1">
      <c r="A1290" s="26"/>
      <c r="B1290" s="26"/>
      <c r="C1290" s="26"/>
      <c r="D1290" s="25" t="s">
        <v>3935</v>
      </c>
      <c r="E1290" s="25"/>
      <c r="F1290" s="25"/>
      <c r="G1290" s="25"/>
    </row>
    <row r="1291" spans="1:7" ht="30.60" thickBot="1" customHeight="1">
      <c r="A1291" s="24" t="s">
        <v>3936</v>
      </c>
      <c r="B1291" s="24" t="s">
        <v>3937</v>
      </c>
      <c r="C1291" s="24" t="s">
        <v>3938</v>
      </c>
      <c r="D1291" s="25" t="s">
        <v>3939</v>
      </c>
      <c r="E1291" s="28">
        <v>0.25000</v>
      </c>
      <c r="F1291" s="29">
        <f ca="1">F1293</f>
        <v>0</v>
      </c>
      <c r="G1291" s="27">
        <f ca="1">ROUND(E1291*F1291,2)</f>
        <v>0</v>
      </c>
    </row>
    <row r="1292" spans="1:7" ht="30.60" thickBot="1" customHeight="1">
      <c r="A1292" s="24" t="s">
        <v>3940</v>
      </c>
      <c r="B1292" s="24" t="s">
        <v>3941</v>
      </c>
      <c r="C1292" s="24" t="s">
        <v>3942</v>
      </c>
      <c r="D1292" s="25" t="s">
        <v>3943</v>
      </c>
      <c r="E1292" s="28">
        <v>0.00417</v>
      </c>
      <c r="F1292" s="29">
        <f ca="1">ROUND(999.000,3)</f>
        <v>0</v>
      </c>
      <c r="G1292" s="27">
        <f ca="1">ROUND(E1292*F1292,2)</f>
        <v>0</v>
      </c>
    </row>
    <row r="1293" spans="1:7" ht="15.12" thickBot="1" customHeight="1">
      <c r="A1293" s="26"/>
      <c r="B1293" s="26"/>
      <c r="C1293" s="26"/>
      <c r="D1293" s="24" t="s">
        <v>3944</v>
      </c>
      <c r="E1293" s="28">
        <v>0.25000</v>
      </c>
      <c r="F1293" s="29">
        <f ca="1">ROUND((G1292),3)</f>
        <v>0</v>
      </c>
      <c r="G1293" s="27">
        <f ca="1">ROUND(E1293*F1293,2)</f>
        <v>0</v>
      </c>
    </row>
    <row r="1294" spans="1:7" ht="21.36" thickBot="1" customHeight="1">
      <c r="A1294" s="24" t="s">
        <v>3945</v>
      </c>
      <c r="B1294" s="24" t="s">
        <v>3946</v>
      </c>
      <c r="C1294" s="24" t="s">
        <v>3947</v>
      </c>
      <c r="D1294" s="25" t="s">
        <v>3948</v>
      </c>
      <c r="E1294" s="28">
        <v>0.35000</v>
      </c>
      <c r="F1294" s="29">
        <f ca="1">F1298</f>
        <v>0</v>
      </c>
      <c r="G1294" s="27">
        <f ca="1">ROUND(E1294*F1294,2)</f>
        <v>0</v>
      </c>
    </row>
    <row r="1295" spans="1:7" ht="24.36" thickBot="1" customHeight="1">
      <c r="A1295" s="24" t="s">
        <v>3949</v>
      </c>
      <c r="B1295" s="24" t="s">
        <v>3950</v>
      </c>
      <c r="C1295" s="24" t="s">
        <v>3951</v>
      </c>
      <c r="D1295" s="25" t="s">
        <v>3952</v>
      </c>
      <c r="E1295" s="28">
        <v>1.00000</v>
      </c>
      <c r="F1295" s="29">
        <f ca="1">ROUND(21.000,3)</f>
        <v>0</v>
      </c>
      <c r="G1295" s="27">
        <f ca="1">ROUND(E1295*F1295,2)</f>
        <v>0</v>
      </c>
    </row>
    <row r="1296" spans="1:7" ht="24.36" thickBot="1" customHeight="1">
      <c r="A1296" s="24" t="s">
        <v>3953</v>
      </c>
      <c r="B1296" s="24" t="s">
        <v>3954</v>
      </c>
      <c r="C1296" s="24" t="s">
        <v>3955</v>
      </c>
      <c r="D1296" s="25" t="s">
        <v>3956</v>
      </c>
      <c r="E1296" s="28">
        <v>1.00000</v>
      </c>
      <c r="F1296" s="29">
        <f ca="1">ROUND(19.000,3)</f>
        <v>0</v>
      </c>
      <c r="G1296" s="27">
        <f ca="1">ROUND(E1296*F1296,2)</f>
        <v>0</v>
      </c>
    </row>
    <row r="1297" spans="1:7" ht="24.36" thickBot="1" customHeight="1">
      <c r="A1297" s="24" t="s">
        <v>3957</v>
      </c>
      <c r="B1297" s="24" t="s">
        <v>3958</v>
      </c>
      <c r="C1297" s="24" t="s">
        <v>3959</v>
      </c>
      <c r="D1297" s="25" t="s">
        <v>3960</v>
      </c>
      <c r="E1297" s="28">
        <v>0.20000</v>
      </c>
      <c r="F1297" s="29">
        <f ca="1">ROUND(19.000,3)</f>
        <v>0</v>
      </c>
      <c r="G1297" s="27">
        <f ca="1">ROUND(E1297*F1297,2)</f>
        <v>0</v>
      </c>
    </row>
    <row r="1298" spans="1:7" ht="15.12" thickBot="1" customHeight="1">
      <c r="A1298" s="26"/>
      <c r="B1298" s="26"/>
      <c r="C1298" s="26"/>
      <c r="D1298" s="24" t="s">
        <v>3961</v>
      </c>
      <c r="E1298" s="28">
        <v>0.35000</v>
      </c>
      <c r="F1298" s="29">
        <f ca="1">ROUND((G1295+G1296+G1297),3)</f>
        <v>0</v>
      </c>
      <c r="G1298" s="27">
        <f ca="1">ROUND(E1298*F1298,2)</f>
        <v>0</v>
      </c>
    </row>
    <row r="1299" spans="1:7" ht="15.12" thickBot="1" customHeight="1">
      <c r="A1299" s="24" t="s">
        <v>3962</v>
      </c>
      <c r="B1299" s="24"/>
      <c r="C1299" s="24" t="s">
        <v>3963</v>
      </c>
      <c r="D1299" s="25" t="s">
        <v>3964</v>
      </c>
      <c r="E1299" s="28">
        <v>2.00000</v>
      </c>
      <c r="F1299" s="29">
        <f ca="1">ROUND(15.330,3)</f>
        <v>0</v>
      </c>
      <c r="G1299" s="27">
        <f ca="1">ROUND((E1299*F1299)/100,2)</f>
        <v>0</v>
      </c>
    </row>
    <row r="1300" spans="1:7" ht="15.48" thickBot="1" customHeight="1">
      <c r="A1300" s="30"/>
      <c r="B1300" s="30"/>
      <c r="C1300" s="30"/>
      <c r="D1300" s="31" t="s">
        <v>3965</v>
      </c>
      <c r="E1300" s="30"/>
      <c r="F1300" s="33">
        <f ca="1">ROUND((G1291+G1294+G1299)*(1+G2/100),2)</f>
        <v>0</v>
      </c>
      <c r="G1300" s="30"/>
    </row>
    <row r="1301" spans="1:7" ht="49.08" thickBot="1" customHeight="1">
      <c r="A1301" s="34" t="s">
        <v>3966</v>
      </c>
      <c r="B1301" s="35" t="s">
        <v>3967</v>
      </c>
      <c r="C1301" s="35" t="s">
        <v>3968</v>
      </c>
      <c r="D1301" s="36" t="s">
        <v>3969</v>
      </c>
      <c r="E1301" s="37"/>
      <c r="F1301" s="38">
        <f ca="1">F1312</f>
        <v>0</v>
      </c>
      <c r="G1301" s="37"/>
    </row>
    <row r="1302" spans="1:7" ht="21.36" thickBot="1" customHeight="1">
      <c r="A1302" s="26"/>
      <c r="B1302" s="26"/>
      <c r="C1302" s="26"/>
      <c r="D1302" s="25" t="s">
        <v>3970</v>
      </c>
      <c r="E1302" s="25"/>
      <c r="F1302" s="25"/>
      <c r="G1302" s="25"/>
    </row>
    <row r="1303" spans="1:7" ht="30.60" thickBot="1" customHeight="1">
      <c r="A1303" s="24" t="s">
        <v>3971</v>
      </c>
      <c r="B1303" s="24" t="s">
        <v>3972</v>
      </c>
      <c r="C1303" s="24" t="s">
        <v>3973</v>
      </c>
      <c r="D1303" s="25" t="s">
        <v>3974</v>
      </c>
      <c r="E1303" s="28">
        <v>0.20000</v>
      </c>
      <c r="F1303" s="29">
        <f ca="1">F1305</f>
        <v>0</v>
      </c>
      <c r="G1303" s="27">
        <f ca="1">ROUND(E1303*F1303,2)</f>
        <v>0</v>
      </c>
    </row>
    <row r="1304" spans="1:7" ht="30.60" thickBot="1" customHeight="1">
      <c r="A1304" s="24" t="s">
        <v>3975</v>
      </c>
      <c r="B1304" s="24" t="s">
        <v>3976</v>
      </c>
      <c r="C1304" s="24" t="s">
        <v>3977</v>
      </c>
      <c r="D1304" s="25" t="s">
        <v>3978</v>
      </c>
      <c r="E1304" s="28">
        <v>0.00417</v>
      </c>
      <c r="F1304" s="29">
        <f ca="1">ROUND(999.000,3)</f>
        <v>0</v>
      </c>
      <c r="G1304" s="27">
        <f ca="1">ROUND(E1304*F1304,2)</f>
        <v>0</v>
      </c>
    </row>
    <row r="1305" spans="1:7" ht="15.12" thickBot="1" customHeight="1">
      <c r="A1305" s="26"/>
      <c r="B1305" s="26"/>
      <c r="C1305" s="26"/>
      <c r="D1305" s="24" t="s">
        <v>3979</v>
      </c>
      <c r="E1305" s="28">
        <v>0.20000</v>
      </c>
      <c r="F1305" s="29">
        <f ca="1">ROUND((G1304),3)</f>
        <v>0</v>
      </c>
      <c r="G1305" s="27">
        <f ca="1">ROUND(E1305*F1305,2)</f>
        <v>0</v>
      </c>
    </row>
    <row r="1306" spans="1:7" ht="21.36" thickBot="1" customHeight="1">
      <c r="A1306" s="24" t="s">
        <v>3980</v>
      </c>
      <c r="B1306" s="24" t="s">
        <v>3981</v>
      </c>
      <c r="C1306" s="24" t="s">
        <v>3982</v>
      </c>
      <c r="D1306" s="25" t="s">
        <v>3983</v>
      </c>
      <c r="E1306" s="28">
        <v>0.20000</v>
      </c>
      <c r="F1306" s="29">
        <f ca="1">F1310</f>
        <v>0</v>
      </c>
      <c r="G1306" s="27">
        <f ca="1">ROUND(E1306*F1306,2)</f>
        <v>0</v>
      </c>
    </row>
    <row r="1307" spans="1:7" ht="24.36" thickBot="1" customHeight="1">
      <c r="A1307" s="24" t="s">
        <v>3984</v>
      </c>
      <c r="B1307" s="24" t="s">
        <v>3985</v>
      </c>
      <c r="C1307" s="24" t="s">
        <v>3986</v>
      </c>
      <c r="D1307" s="25" t="s">
        <v>3987</v>
      </c>
      <c r="E1307" s="28">
        <v>1.00000</v>
      </c>
      <c r="F1307" s="29">
        <f ca="1">ROUND(21.000,3)</f>
        <v>0</v>
      </c>
      <c r="G1307" s="27">
        <f ca="1">ROUND(E1307*F1307,2)</f>
        <v>0</v>
      </c>
    </row>
    <row r="1308" spans="1:7" ht="24.36" thickBot="1" customHeight="1">
      <c r="A1308" s="24" t="s">
        <v>3988</v>
      </c>
      <c r="B1308" s="24" t="s">
        <v>3989</v>
      </c>
      <c r="C1308" s="24" t="s">
        <v>3990</v>
      </c>
      <c r="D1308" s="25" t="s">
        <v>3991</v>
      </c>
      <c r="E1308" s="28">
        <v>1.00000</v>
      </c>
      <c r="F1308" s="29">
        <f ca="1">ROUND(19.000,3)</f>
        <v>0</v>
      </c>
      <c r="G1308" s="27">
        <f ca="1">ROUND(E1308*F1308,2)</f>
        <v>0</v>
      </c>
    </row>
    <row r="1309" spans="1:7" ht="24.36" thickBot="1" customHeight="1">
      <c r="A1309" s="24" t="s">
        <v>3992</v>
      </c>
      <c r="B1309" s="24" t="s">
        <v>3993</v>
      </c>
      <c r="C1309" s="24" t="s">
        <v>3994</v>
      </c>
      <c r="D1309" s="25" t="s">
        <v>3995</v>
      </c>
      <c r="E1309" s="28">
        <v>0.20000</v>
      </c>
      <c r="F1309" s="29">
        <f ca="1">ROUND(19.000,3)</f>
        <v>0</v>
      </c>
      <c r="G1309" s="27">
        <f ca="1">ROUND(E1309*F1309,2)</f>
        <v>0</v>
      </c>
    </row>
    <row r="1310" spans="1:7" ht="15.12" thickBot="1" customHeight="1">
      <c r="A1310" s="26"/>
      <c r="B1310" s="26"/>
      <c r="C1310" s="26"/>
      <c r="D1310" s="24" t="s">
        <v>3996</v>
      </c>
      <c r="E1310" s="28">
        <v>0.20000</v>
      </c>
      <c r="F1310" s="29">
        <f ca="1">ROUND((G1307+G1308+G1309),3)</f>
        <v>0</v>
      </c>
      <c r="G1310" s="27">
        <f ca="1">ROUND(E1310*F1310,2)</f>
        <v>0</v>
      </c>
    </row>
    <row r="1311" spans="1:7" ht="15.12" thickBot="1" customHeight="1">
      <c r="A1311" s="24" t="s">
        <v>3997</v>
      </c>
      <c r="B1311" s="24"/>
      <c r="C1311" s="24" t="s">
        <v>3998</v>
      </c>
      <c r="D1311" s="25" t="s">
        <v>3999</v>
      </c>
      <c r="E1311" s="28">
        <v>2.00000</v>
      </c>
      <c r="F1311" s="29">
        <f ca="1">ROUND(8.760,3)</f>
        <v>0</v>
      </c>
      <c r="G1311" s="27">
        <f ca="1">ROUND((E1311*F1311)/100,2)</f>
        <v>0</v>
      </c>
    </row>
    <row r="1312" spans="1:7" ht="25.08" thickBot="1" customHeight="1">
      <c r="A1312" s="30"/>
      <c r="B1312" s="30"/>
      <c r="C1312" s="30"/>
      <c r="D1312" s="31" t="s">
        <v>4000</v>
      </c>
      <c r="E1312" s="30"/>
      <c r="F1312" s="33">
        <f ca="1">ROUND((G1303+G1306+G1311)*(1+G2/100),2)</f>
        <v>0</v>
      </c>
      <c r="G1312" s="30"/>
    </row>
    <row r="1313" spans="1:7" ht="49.08" thickBot="1" customHeight="1">
      <c r="A1313" s="34" t="s">
        <v>4001</v>
      </c>
      <c r="B1313" s="35" t="s">
        <v>4002</v>
      </c>
      <c r="C1313" s="35" t="s">
        <v>4003</v>
      </c>
      <c r="D1313" s="36" t="s">
        <v>4004</v>
      </c>
      <c r="E1313" s="37"/>
      <c r="F1313" s="38">
        <f ca="1">F1324</f>
        <v>0</v>
      </c>
      <c r="G1313" s="37"/>
    </row>
    <row r="1314" spans="1:7" ht="21.36" thickBot="1" customHeight="1">
      <c r="A1314" s="26"/>
      <c r="B1314" s="26"/>
      <c r="C1314" s="26"/>
      <c r="D1314" s="25" t="s">
        <v>4005</v>
      </c>
      <c r="E1314" s="25"/>
      <c r="F1314" s="25"/>
      <c r="G1314" s="25"/>
    </row>
    <row r="1315" spans="1:7" ht="30.60" thickBot="1" customHeight="1">
      <c r="A1315" s="24" t="s">
        <v>4006</v>
      </c>
      <c r="B1315" s="24" t="s">
        <v>4007</v>
      </c>
      <c r="C1315" s="24" t="s">
        <v>4008</v>
      </c>
      <c r="D1315" s="25" t="s">
        <v>4009</v>
      </c>
      <c r="E1315" s="28">
        <v>0.30000</v>
      </c>
      <c r="F1315" s="29">
        <f ca="1">F1317</f>
        <v>0</v>
      </c>
      <c r="G1315" s="27">
        <f ca="1">ROUND(E1315*F1315,2)</f>
        <v>0</v>
      </c>
    </row>
    <row r="1316" spans="1:7" ht="30.60" thickBot="1" customHeight="1">
      <c r="A1316" s="24" t="s">
        <v>4010</v>
      </c>
      <c r="B1316" s="24" t="s">
        <v>4011</v>
      </c>
      <c r="C1316" s="24" t="s">
        <v>4012</v>
      </c>
      <c r="D1316" s="25" t="s">
        <v>4013</v>
      </c>
      <c r="E1316" s="28">
        <v>0.00417</v>
      </c>
      <c r="F1316" s="29">
        <f ca="1">ROUND(999.000,3)</f>
        <v>0</v>
      </c>
      <c r="G1316" s="27">
        <f ca="1">ROUND(E1316*F1316,2)</f>
        <v>0</v>
      </c>
    </row>
    <row r="1317" spans="1:7" ht="15.12" thickBot="1" customHeight="1">
      <c r="A1317" s="26"/>
      <c r="B1317" s="26"/>
      <c r="C1317" s="26"/>
      <c r="D1317" s="24" t="s">
        <v>4014</v>
      </c>
      <c r="E1317" s="28">
        <v>0.30000</v>
      </c>
      <c r="F1317" s="29">
        <f ca="1">ROUND((G1316),3)</f>
        <v>0</v>
      </c>
      <c r="G1317" s="27">
        <f ca="1">ROUND(E1317*F1317,2)</f>
        <v>0</v>
      </c>
    </row>
    <row r="1318" spans="1:7" ht="21.36" thickBot="1" customHeight="1">
      <c r="A1318" s="24" t="s">
        <v>4015</v>
      </c>
      <c r="B1318" s="24" t="s">
        <v>4016</v>
      </c>
      <c r="C1318" s="24" t="s">
        <v>4017</v>
      </c>
      <c r="D1318" s="25" t="s">
        <v>4018</v>
      </c>
      <c r="E1318" s="28">
        <v>0.30000</v>
      </c>
      <c r="F1318" s="29">
        <f ca="1">F1322</f>
        <v>0</v>
      </c>
      <c r="G1318" s="27">
        <f ca="1">ROUND(E1318*F1318,2)</f>
        <v>0</v>
      </c>
    </row>
    <row r="1319" spans="1:7" ht="24.36" thickBot="1" customHeight="1">
      <c r="A1319" s="24" t="s">
        <v>4019</v>
      </c>
      <c r="B1319" s="24" t="s">
        <v>4020</v>
      </c>
      <c r="C1319" s="24" t="s">
        <v>4021</v>
      </c>
      <c r="D1319" s="25" t="s">
        <v>4022</v>
      </c>
      <c r="E1319" s="28">
        <v>1.00000</v>
      </c>
      <c r="F1319" s="29">
        <f ca="1">ROUND(21.000,3)</f>
        <v>0</v>
      </c>
      <c r="G1319" s="27">
        <f ca="1">ROUND(E1319*F1319,2)</f>
        <v>0</v>
      </c>
    </row>
    <row r="1320" spans="1:7" ht="24.36" thickBot="1" customHeight="1">
      <c r="A1320" s="24" t="s">
        <v>4023</v>
      </c>
      <c r="B1320" s="24" t="s">
        <v>4024</v>
      </c>
      <c r="C1320" s="24" t="s">
        <v>4025</v>
      </c>
      <c r="D1320" s="25" t="s">
        <v>4026</v>
      </c>
      <c r="E1320" s="28">
        <v>1.00000</v>
      </c>
      <c r="F1320" s="29">
        <f ca="1">ROUND(19.000,3)</f>
        <v>0</v>
      </c>
      <c r="G1320" s="27">
        <f ca="1">ROUND(E1320*F1320,2)</f>
        <v>0</v>
      </c>
    </row>
    <row r="1321" spans="1:7" ht="24.36" thickBot="1" customHeight="1">
      <c r="A1321" s="24" t="s">
        <v>4027</v>
      </c>
      <c r="B1321" s="24" t="s">
        <v>4028</v>
      </c>
      <c r="C1321" s="24" t="s">
        <v>4029</v>
      </c>
      <c r="D1321" s="25" t="s">
        <v>4030</v>
      </c>
      <c r="E1321" s="28">
        <v>0.20000</v>
      </c>
      <c r="F1321" s="29">
        <f ca="1">ROUND(19.000,3)</f>
        <v>0</v>
      </c>
      <c r="G1321" s="27">
        <f ca="1">ROUND(E1321*F1321,2)</f>
        <v>0</v>
      </c>
    </row>
    <row r="1322" spans="1:7" ht="15.12" thickBot="1" customHeight="1">
      <c r="A1322" s="26"/>
      <c r="B1322" s="26"/>
      <c r="C1322" s="26"/>
      <c r="D1322" s="24" t="s">
        <v>4031</v>
      </c>
      <c r="E1322" s="28">
        <v>0.30000</v>
      </c>
      <c r="F1322" s="29">
        <f ca="1">ROUND((G1319+G1320+G1321),3)</f>
        <v>0</v>
      </c>
      <c r="G1322" s="27">
        <f ca="1">ROUND(E1322*F1322,2)</f>
        <v>0</v>
      </c>
    </row>
    <row r="1323" spans="1:7" ht="15.12" thickBot="1" customHeight="1">
      <c r="A1323" s="24" t="s">
        <v>4032</v>
      </c>
      <c r="B1323" s="24"/>
      <c r="C1323" s="24" t="s">
        <v>4033</v>
      </c>
      <c r="D1323" s="25" t="s">
        <v>4034</v>
      </c>
      <c r="E1323" s="28">
        <v>2.00000</v>
      </c>
      <c r="F1323" s="29">
        <f ca="1">ROUND(13.140,3)</f>
        <v>0</v>
      </c>
      <c r="G1323" s="27">
        <f ca="1">ROUND((E1323*F1323)/100,2)</f>
        <v>0</v>
      </c>
    </row>
    <row r="1324" spans="1:7" ht="25.08" thickBot="1" customHeight="1">
      <c r="A1324" s="30"/>
      <c r="B1324" s="30"/>
      <c r="C1324" s="30"/>
      <c r="D1324" s="31" t="s">
        <v>4035</v>
      </c>
      <c r="E1324" s="30"/>
      <c r="F1324" s="33">
        <f ca="1">ROUND((G1315+G1318+G1323)*(1+G2/100),2)</f>
        <v>0</v>
      </c>
      <c r="G1324" s="30"/>
    </row>
    <row r="1325" spans="1:7" ht="15.48" thickBot="1" customHeight="1">
      <c r="A1325" s="39"/>
      <c r="B1325" s="39"/>
      <c r="C1325" s="39"/>
      <c r="D1325" s="40" t="s">
        <v>4036</v>
      </c>
      <c r="E1325" s="41"/>
      <c r="F1325" s="41"/>
      <c r="G1325" s="41"/>
    </row>
    <row r="1326" spans="1:7" ht="22.08" thickBot="1" customHeight="1">
      <c r="A1326" s="42" t="s">
        <v>4037</v>
      </c>
      <c r="B1326" s="42" t="s">
        <v>4038</v>
      </c>
      <c r="C1326" s="43"/>
      <c r="D1326" s="44" t="s">
        <v>4039</v>
      </c>
      <c r="E1326" s="43"/>
      <c r="F1326" s="43"/>
      <c r="G1326" s="43"/>
    </row>
    <row r="1327" spans="1:7" ht="49.08" thickBot="1" customHeight="1">
      <c r="A1327" s="10" t="s">
        <v>4040</v>
      </c>
      <c r="B1327" s="24" t="s">
        <v>4041</v>
      </c>
      <c r="C1327" s="24" t="s">
        <v>4042</v>
      </c>
      <c r="D1327" s="25" t="s">
        <v>4043</v>
      </c>
      <c r="E1327" s="26"/>
      <c r="F1327" s="27">
        <f ca="1">F1335</f>
        <v>0</v>
      </c>
      <c r="G1327" s="26"/>
    </row>
    <row r="1328" spans="1:7" ht="21.36" thickBot="1" customHeight="1">
      <c r="A1328" s="26"/>
      <c r="B1328" s="26"/>
      <c r="C1328" s="26"/>
      <c r="D1328" s="25" t="s">
        <v>4044</v>
      </c>
      <c r="E1328" s="25"/>
      <c r="F1328" s="25"/>
      <c r="G1328" s="25"/>
    </row>
    <row r="1329" spans="1:7" ht="21.36" thickBot="1" customHeight="1">
      <c r="A1329" s="24" t="s">
        <v>4045</v>
      </c>
      <c r="B1329" s="24" t="s">
        <v>4046</v>
      </c>
      <c r="C1329" s="24" t="s">
        <v>4047</v>
      </c>
      <c r="D1329" s="25" t="s">
        <v>4048</v>
      </c>
      <c r="E1329" s="28">
        <v>0.50000</v>
      </c>
      <c r="F1329" s="29">
        <f ca="1">F1333</f>
        <v>0</v>
      </c>
      <c r="G1329" s="27">
        <f ca="1">ROUND(E1329*F1329,2)</f>
        <v>0</v>
      </c>
    </row>
    <row r="1330" spans="1:7" ht="24.36" thickBot="1" customHeight="1">
      <c r="A1330" s="24" t="s">
        <v>4049</v>
      </c>
      <c r="B1330" s="24" t="s">
        <v>4050</v>
      </c>
      <c r="C1330" s="24" t="s">
        <v>4051</v>
      </c>
      <c r="D1330" s="25" t="s">
        <v>4052</v>
      </c>
      <c r="E1330" s="28">
        <v>1.00000</v>
      </c>
      <c r="F1330" s="29">
        <f ca="1">ROUND(21.000,3)</f>
        <v>0</v>
      </c>
      <c r="G1330" s="27">
        <f ca="1">ROUND(E1330*F1330,2)</f>
        <v>0</v>
      </c>
    </row>
    <row r="1331" spans="1:7" ht="24.36" thickBot="1" customHeight="1">
      <c r="A1331" s="24" t="s">
        <v>4053</v>
      </c>
      <c r="B1331" s="24" t="s">
        <v>4054</v>
      </c>
      <c r="C1331" s="24" t="s">
        <v>4055</v>
      </c>
      <c r="D1331" s="25" t="s">
        <v>4056</v>
      </c>
      <c r="E1331" s="28">
        <v>1.00000</v>
      </c>
      <c r="F1331" s="29">
        <f ca="1">ROUND(19.000,3)</f>
        <v>0</v>
      </c>
      <c r="G1331" s="27">
        <f ca="1">ROUND(E1331*F1331,2)</f>
        <v>0</v>
      </c>
    </row>
    <row r="1332" spans="1:7" ht="24.36" thickBot="1" customHeight="1">
      <c r="A1332" s="24" t="s">
        <v>4057</v>
      </c>
      <c r="B1332" s="24" t="s">
        <v>4058</v>
      </c>
      <c r="C1332" s="24" t="s">
        <v>4059</v>
      </c>
      <c r="D1332" s="25" t="s">
        <v>4060</v>
      </c>
      <c r="E1332" s="28">
        <v>0.20000</v>
      </c>
      <c r="F1332" s="29">
        <f ca="1">ROUND(19.000,3)</f>
        <v>0</v>
      </c>
      <c r="G1332" s="27">
        <f ca="1">ROUND(E1332*F1332,2)</f>
        <v>0</v>
      </c>
    </row>
    <row r="1333" spans="1:7" ht="15.12" thickBot="1" customHeight="1">
      <c r="A1333" s="26"/>
      <c r="B1333" s="26"/>
      <c r="C1333" s="26"/>
      <c r="D1333" s="24" t="s">
        <v>4061</v>
      </c>
      <c r="E1333" s="28">
        <v>0.50000</v>
      </c>
      <c r="F1333" s="29">
        <f ca="1">ROUND((G1330+G1331+G1332),3)</f>
        <v>0</v>
      </c>
      <c r="G1333" s="27">
        <f ca="1">ROUND(E1333*F1333,2)</f>
        <v>0</v>
      </c>
    </row>
    <row r="1334" spans="1:7" ht="15.12" thickBot="1" customHeight="1">
      <c r="A1334" s="24" t="s">
        <v>4062</v>
      </c>
      <c r="B1334" s="24"/>
      <c r="C1334" s="24" t="s">
        <v>4063</v>
      </c>
      <c r="D1334" s="25" t="s">
        <v>4064</v>
      </c>
      <c r="E1334" s="28">
        <v>5.00000</v>
      </c>
      <c r="F1334" s="29">
        <f ca="1">ROUND(21.900,3)</f>
        <v>0</v>
      </c>
      <c r="G1334" s="27">
        <f ca="1">ROUND((E1334*F1334)/100,2)</f>
        <v>0</v>
      </c>
    </row>
    <row r="1335" spans="1:7" ht="15.48" thickBot="1" customHeight="1">
      <c r="A1335" s="30"/>
      <c r="B1335" s="30"/>
      <c r="C1335" s="30"/>
      <c r="D1335" s="31" t="s">
        <v>4065</v>
      </c>
      <c r="E1335" s="30"/>
      <c r="F1335" s="33">
        <f ca="1">ROUND((G1329+G1334)*(1+G2/100),2)</f>
        <v>0</v>
      </c>
      <c r="G1335" s="30"/>
    </row>
    <row r="1336" spans="1:7" ht="58.32" thickBot="1" customHeight="1">
      <c r="A1336" s="34" t="s">
        <v>4066</v>
      </c>
      <c r="B1336" s="35" t="s">
        <v>4067</v>
      </c>
      <c r="C1336" s="35" t="s">
        <v>4068</v>
      </c>
      <c r="D1336" s="36" t="s">
        <v>4069</v>
      </c>
      <c r="E1336" s="37"/>
      <c r="F1336" s="38">
        <f ca="1">F1344</f>
        <v>0</v>
      </c>
      <c r="G1336" s="37"/>
    </row>
    <row r="1337" spans="1:7" ht="21.36" thickBot="1" customHeight="1">
      <c r="A1337" s="26"/>
      <c r="B1337" s="26"/>
      <c r="C1337" s="26"/>
      <c r="D1337" s="25" t="s">
        <v>4070</v>
      </c>
      <c r="E1337" s="25"/>
      <c r="F1337" s="25"/>
      <c r="G1337" s="25"/>
    </row>
    <row r="1338" spans="1:7" ht="21.36" thickBot="1" customHeight="1">
      <c r="A1338" s="24" t="s">
        <v>4071</v>
      </c>
      <c r="B1338" s="24" t="s">
        <v>4072</v>
      </c>
      <c r="C1338" s="24" t="s">
        <v>4073</v>
      </c>
      <c r="D1338" s="25" t="s">
        <v>4074</v>
      </c>
      <c r="E1338" s="28">
        <v>0.70000</v>
      </c>
      <c r="F1338" s="29">
        <f ca="1">F1342</f>
        <v>0</v>
      </c>
      <c r="G1338" s="27">
        <f ca="1">ROUND(E1338*F1338,2)</f>
        <v>0</v>
      </c>
    </row>
    <row r="1339" spans="1:7" ht="24.36" thickBot="1" customHeight="1">
      <c r="A1339" s="24" t="s">
        <v>4075</v>
      </c>
      <c r="B1339" s="24" t="s">
        <v>4076</v>
      </c>
      <c r="C1339" s="24" t="s">
        <v>4077</v>
      </c>
      <c r="D1339" s="25" t="s">
        <v>4078</v>
      </c>
      <c r="E1339" s="28">
        <v>1.00000</v>
      </c>
      <c r="F1339" s="29">
        <f ca="1">ROUND(21.000,3)</f>
        <v>0</v>
      </c>
      <c r="G1339" s="27">
        <f ca="1">ROUND(E1339*F1339,2)</f>
        <v>0</v>
      </c>
    </row>
    <row r="1340" spans="1:7" ht="24.36" thickBot="1" customHeight="1">
      <c r="A1340" s="24" t="s">
        <v>4079</v>
      </c>
      <c r="B1340" s="24" t="s">
        <v>4080</v>
      </c>
      <c r="C1340" s="24" t="s">
        <v>4081</v>
      </c>
      <c r="D1340" s="25" t="s">
        <v>4082</v>
      </c>
      <c r="E1340" s="28">
        <v>1.00000</v>
      </c>
      <c r="F1340" s="29">
        <f ca="1">ROUND(19.000,3)</f>
        <v>0</v>
      </c>
      <c r="G1340" s="27">
        <f ca="1">ROUND(E1340*F1340,2)</f>
        <v>0</v>
      </c>
    </row>
    <row r="1341" spans="1:7" ht="24.36" thickBot="1" customHeight="1">
      <c r="A1341" s="24" t="s">
        <v>4083</v>
      </c>
      <c r="B1341" s="24" t="s">
        <v>4084</v>
      </c>
      <c r="C1341" s="24" t="s">
        <v>4085</v>
      </c>
      <c r="D1341" s="25" t="s">
        <v>4086</v>
      </c>
      <c r="E1341" s="28">
        <v>0.20000</v>
      </c>
      <c r="F1341" s="29">
        <f ca="1">ROUND(19.000,3)</f>
        <v>0</v>
      </c>
      <c r="G1341" s="27">
        <f ca="1">ROUND(E1341*F1341,2)</f>
        <v>0</v>
      </c>
    </row>
    <row r="1342" spans="1:7" ht="15.12" thickBot="1" customHeight="1">
      <c r="A1342" s="26"/>
      <c r="B1342" s="26"/>
      <c r="C1342" s="26"/>
      <c r="D1342" s="24" t="s">
        <v>4087</v>
      </c>
      <c r="E1342" s="28">
        <v>0.70000</v>
      </c>
      <c r="F1342" s="29">
        <f ca="1">ROUND((G1339+G1340+G1341),3)</f>
        <v>0</v>
      </c>
      <c r="G1342" s="27">
        <f ca="1">ROUND(E1342*F1342,2)</f>
        <v>0</v>
      </c>
    </row>
    <row r="1343" spans="1:7" ht="15.12" thickBot="1" customHeight="1">
      <c r="A1343" s="24" t="s">
        <v>4088</v>
      </c>
      <c r="B1343" s="24"/>
      <c r="C1343" s="24" t="s">
        <v>4089</v>
      </c>
      <c r="D1343" s="25" t="s">
        <v>4090</v>
      </c>
      <c r="E1343" s="28">
        <v>5.00000</v>
      </c>
      <c r="F1343" s="29">
        <f ca="1">ROUND(30.660,3)</f>
        <v>0</v>
      </c>
      <c r="G1343" s="27">
        <f ca="1">ROUND((E1343*F1343)/100,2)</f>
        <v>0</v>
      </c>
    </row>
    <row r="1344" spans="1:7" ht="15.48" thickBot="1" customHeight="1">
      <c r="A1344" s="30"/>
      <c r="B1344" s="30"/>
      <c r="C1344" s="30"/>
      <c r="D1344" s="31" t="s">
        <v>4091</v>
      </c>
      <c r="E1344" s="30"/>
      <c r="F1344" s="33">
        <f ca="1">ROUND((G1338+G1343)*(1+G2/100),2)</f>
        <v>0</v>
      </c>
      <c r="G1344" s="30"/>
    </row>
    <row r="1345" spans="1:7" ht="49.08" thickBot="1" customHeight="1">
      <c r="A1345" s="34" t="s">
        <v>4092</v>
      </c>
      <c r="B1345" s="35" t="s">
        <v>4093</v>
      </c>
      <c r="C1345" s="35" t="s">
        <v>4094</v>
      </c>
      <c r="D1345" s="36" t="s">
        <v>4095</v>
      </c>
      <c r="E1345" s="37"/>
      <c r="F1345" s="38">
        <f ca="1">F1356</f>
        <v>0</v>
      </c>
      <c r="G1345" s="37"/>
    </row>
    <row r="1346" spans="1:7" ht="21.36" thickBot="1" customHeight="1">
      <c r="A1346" s="26"/>
      <c r="B1346" s="26"/>
      <c r="C1346" s="26"/>
      <c r="D1346" s="25" t="s">
        <v>4096</v>
      </c>
      <c r="E1346" s="25"/>
      <c r="F1346" s="25"/>
      <c r="G1346" s="25"/>
    </row>
    <row r="1347" spans="1:7" ht="30.60" thickBot="1" customHeight="1">
      <c r="A1347" s="24" t="s">
        <v>4097</v>
      </c>
      <c r="B1347" s="24" t="s">
        <v>4098</v>
      </c>
      <c r="C1347" s="24" t="s">
        <v>4099</v>
      </c>
      <c r="D1347" s="25" t="s">
        <v>4100</v>
      </c>
      <c r="E1347" s="28">
        <v>0.25000</v>
      </c>
      <c r="F1347" s="29">
        <f ca="1">F1349</f>
        <v>0</v>
      </c>
      <c r="G1347" s="27">
        <f ca="1">ROUND(E1347*F1347,2)</f>
        <v>0</v>
      </c>
    </row>
    <row r="1348" spans="1:7" ht="30.60" thickBot="1" customHeight="1">
      <c r="A1348" s="24" t="s">
        <v>4101</v>
      </c>
      <c r="B1348" s="24" t="s">
        <v>4102</v>
      </c>
      <c r="C1348" s="24" t="s">
        <v>4103</v>
      </c>
      <c r="D1348" s="25" t="s">
        <v>4104</v>
      </c>
      <c r="E1348" s="28">
        <v>0.00417</v>
      </c>
      <c r="F1348" s="29">
        <f ca="1">ROUND(999.000,3)</f>
        <v>0</v>
      </c>
      <c r="G1348" s="27">
        <f ca="1">ROUND(E1348*F1348,2)</f>
        <v>0</v>
      </c>
    </row>
    <row r="1349" spans="1:7" ht="15.12" thickBot="1" customHeight="1">
      <c r="A1349" s="26"/>
      <c r="B1349" s="26"/>
      <c r="C1349" s="26"/>
      <c r="D1349" s="24" t="s">
        <v>4105</v>
      </c>
      <c r="E1349" s="28">
        <v>0.25000</v>
      </c>
      <c r="F1349" s="29">
        <f ca="1">ROUND((G1348),3)</f>
        <v>0</v>
      </c>
      <c r="G1349" s="27">
        <f ca="1">ROUND(E1349*F1349,2)</f>
        <v>0</v>
      </c>
    </row>
    <row r="1350" spans="1:7" ht="21.36" thickBot="1" customHeight="1">
      <c r="A1350" s="24" t="s">
        <v>4106</v>
      </c>
      <c r="B1350" s="24" t="s">
        <v>4107</v>
      </c>
      <c r="C1350" s="24" t="s">
        <v>4108</v>
      </c>
      <c r="D1350" s="25" t="s">
        <v>4109</v>
      </c>
      <c r="E1350" s="28">
        <v>0.25000</v>
      </c>
      <c r="F1350" s="29">
        <f ca="1">F1354</f>
        <v>0</v>
      </c>
      <c r="G1350" s="27">
        <f ca="1">ROUND(E1350*F1350,2)</f>
        <v>0</v>
      </c>
    </row>
    <row r="1351" spans="1:7" ht="24.36" thickBot="1" customHeight="1">
      <c r="A1351" s="24" t="s">
        <v>4110</v>
      </c>
      <c r="B1351" s="24" t="s">
        <v>4111</v>
      </c>
      <c r="C1351" s="24" t="s">
        <v>4112</v>
      </c>
      <c r="D1351" s="25" t="s">
        <v>4113</v>
      </c>
      <c r="E1351" s="28">
        <v>1.00000</v>
      </c>
      <c r="F1351" s="29">
        <f ca="1">ROUND(21.000,3)</f>
        <v>0</v>
      </c>
      <c r="G1351" s="27">
        <f ca="1">ROUND(E1351*F1351,2)</f>
        <v>0</v>
      </c>
    </row>
    <row r="1352" spans="1:7" ht="24.36" thickBot="1" customHeight="1">
      <c r="A1352" s="24" t="s">
        <v>4114</v>
      </c>
      <c r="B1352" s="24" t="s">
        <v>4115</v>
      </c>
      <c r="C1352" s="24" t="s">
        <v>4116</v>
      </c>
      <c r="D1352" s="25" t="s">
        <v>4117</v>
      </c>
      <c r="E1352" s="28">
        <v>1.00000</v>
      </c>
      <c r="F1352" s="29">
        <f ca="1">ROUND(19.000,3)</f>
        <v>0</v>
      </c>
      <c r="G1352" s="27">
        <f ca="1">ROUND(E1352*F1352,2)</f>
        <v>0</v>
      </c>
    </row>
    <row r="1353" spans="1:7" ht="24.36" thickBot="1" customHeight="1">
      <c r="A1353" s="24" t="s">
        <v>4118</v>
      </c>
      <c r="B1353" s="24" t="s">
        <v>4119</v>
      </c>
      <c r="C1353" s="24" t="s">
        <v>4120</v>
      </c>
      <c r="D1353" s="25" t="s">
        <v>4121</v>
      </c>
      <c r="E1353" s="28">
        <v>0.20000</v>
      </c>
      <c r="F1353" s="29">
        <f ca="1">ROUND(19.000,3)</f>
        <v>0</v>
      </c>
      <c r="G1353" s="27">
        <f ca="1">ROUND(E1353*F1353,2)</f>
        <v>0</v>
      </c>
    </row>
    <row r="1354" spans="1:7" ht="15.12" thickBot="1" customHeight="1">
      <c r="A1354" s="26"/>
      <c r="B1354" s="26"/>
      <c r="C1354" s="26"/>
      <c r="D1354" s="24" t="s">
        <v>4122</v>
      </c>
      <c r="E1354" s="28">
        <v>0.25000</v>
      </c>
      <c r="F1354" s="29">
        <f ca="1">ROUND((G1351+G1352+G1353),3)</f>
        <v>0</v>
      </c>
      <c r="G1354" s="27">
        <f ca="1">ROUND(E1354*F1354,2)</f>
        <v>0</v>
      </c>
    </row>
    <row r="1355" spans="1:7" ht="15.12" thickBot="1" customHeight="1">
      <c r="A1355" s="24" t="s">
        <v>4123</v>
      </c>
      <c r="B1355" s="24"/>
      <c r="C1355" s="24" t="s">
        <v>4124</v>
      </c>
      <c r="D1355" s="25" t="s">
        <v>4125</v>
      </c>
      <c r="E1355" s="28">
        <v>2.00000</v>
      </c>
      <c r="F1355" s="29">
        <f ca="1">ROUND(10.950,3)</f>
        <v>0</v>
      </c>
      <c r="G1355" s="27">
        <f ca="1">ROUND((E1355*F1355)/100,2)</f>
        <v>0</v>
      </c>
    </row>
    <row r="1356" spans="1:7" ht="15.48" thickBot="1" customHeight="1">
      <c r="A1356" s="30"/>
      <c r="B1356" s="30"/>
      <c r="C1356" s="30"/>
      <c r="D1356" s="31" t="s">
        <v>4126</v>
      </c>
      <c r="E1356" s="30"/>
      <c r="F1356" s="33">
        <f ca="1">ROUND((G1347+G1350+G1355)*(1+G2/100),2)</f>
        <v>0</v>
      </c>
      <c r="G1356" s="30"/>
    </row>
    <row r="1357" spans="1:7" ht="67.56" thickBot="1" customHeight="1">
      <c r="A1357" s="34" t="s">
        <v>4127</v>
      </c>
      <c r="B1357" s="35" t="s">
        <v>4128</v>
      </c>
      <c r="C1357" s="35" t="s">
        <v>4129</v>
      </c>
      <c r="D1357" s="36" t="s">
        <v>4130</v>
      </c>
      <c r="E1357" s="37"/>
      <c r="F1357" s="38">
        <f ca="1">F1368</f>
        <v>0</v>
      </c>
      <c r="G1357" s="37"/>
    </row>
    <row r="1358" spans="1:7" ht="30.60" thickBot="1" customHeight="1">
      <c r="A1358" s="26"/>
      <c r="B1358" s="26"/>
      <c r="C1358" s="26"/>
      <c r="D1358" s="25" t="s">
        <v>4131</v>
      </c>
      <c r="E1358" s="25"/>
      <c r="F1358" s="25"/>
      <c r="G1358" s="25"/>
    </row>
    <row r="1359" spans="1:7" ht="30.60" thickBot="1" customHeight="1">
      <c r="A1359" s="24" t="s">
        <v>4132</v>
      </c>
      <c r="B1359" s="24" t="s">
        <v>4133</v>
      </c>
      <c r="C1359" s="24" t="s">
        <v>4134</v>
      </c>
      <c r="D1359" s="25" t="s">
        <v>4135</v>
      </c>
      <c r="E1359" s="28">
        <v>0.35000</v>
      </c>
      <c r="F1359" s="29">
        <f ca="1">F1361</f>
        <v>0</v>
      </c>
      <c r="G1359" s="27">
        <f ca="1">ROUND(E1359*F1359,2)</f>
        <v>0</v>
      </c>
    </row>
    <row r="1360" spans="1:7" ht="30.60" thickBot="1" customHeight="1">
      <c r="A1360" s="24" t="s">
        <v>4136</v>
      </c>
      <c r="B1360" s="24" t="s">
        <v>4137</v>
      </c>
      <c r="C1360" s="24" t="s">
        <v>4138</v>
      </c>
      <c r="D1360" s="25" t="s">
        <v>4139</v>
      </c>
      <c r="E1360" s="28">
        <v>0.00417</v>
      </c>
      <c r="F1360" s="29">
        <f ca="1">ROUND(999.000,3)</f>
        <v>0</v>
      </c>
      <c r="G1360" s="27">
        <f ca="1">ROUND(E1360*F1360,2)</f>
        <v>0</v>
      </c>
    </row>
    <row r="1361" spans="1:7" ht="15.12" thickBot="1" customHeight="1">
      <c r="A1361" s="26"/>
      <c r="B1361" s="26"/>
      <c r="C1361" s="26"/>
      <c r="D1361" s="24" t="s">
        <v>4140</v>
      </c>
      <c r="E1361" s="28">
        <v>0.35000</v>
      </c>
      <c r="F1361" s="29">
        <f ca="1">ROUND((G1360),3)</f>
        <v>0</v>
      </c>
      <c r="G1361" s="27">
        <f ca="1">ROUND(E1361*F1361,2)</f>
        <v>0</v>
      </c>
    </row>
    <row r="1362" spans="1:7" ht="21.36" thickBot="1" customHeight="1">
      <c r="A1362" s="24" t="s">
        <v>4141</v>
      </c>
      <c r="B1362" s="24" t="s">
        <v>4142</v>
      </c>
      <c r="C1362" s="24" t="s">
        <v>4143</v>
      </c>
      <c r="D1362" s="25" t="s">
        <v>4144</v>
      </c>
      <c r="E1362" s="28">
        <v>0.35000</v>
      </c>
      <c r="F1362" s="29">
        <f ca="1">F1366</f>
        <v>0</v>
      </c>
      <c r="G1362" s="27">
        <f ca="1">ROUND(E1362*F1362,2)</f>
        <v>0</v>
      </c>
    </row>
    <row r="1363" spans="1:7" ht="24.36" thickBot="1" customHeight="1">
      <c r="A1363" s="24" t="s">
        <v>4145</v>
      </c>
      <c r="B1363" s="24" t="s">
        <v>4146</v>
      </c>
      <c r="C1363" s="24" t="s">
        <v>4147</v>
      </c>
      <c r="D1363" s="25" t="s">
        <v>4148</v>
      </c>
      <c r="E1363" s="28">
        <v>1.00000</v>
      </c>
      <c r="F1363" s="29">
        <f ca="1">ROUND(21.000,3)</f>
        <v>0</v>
      </c>
      <c r="G1363" s="27">
        <f ca="1">ROUND(E1363*F1363,2)</f>
        <v>0</v>
      </c>
    </row>
    <row r="1364" spans="1:7" ht="24.36" thickBot="1" customHeight="1">
      <c r="A1364" s="24" t="s">
        <v>4149</v>
      </c>
      <c r="B1364" s="24" t="s">
        <v>4150</v>
      </c>
      <c r="C1364" s="24" t="s">
        <v>4151</v>
      </c>
      <c r="D1364" s="25" t="s">
        <v>4152</v>
      </c>
      <c r="E1364" s="28">
        <v>1.00000</v>
      </c>
      <c r="F1364" s="29">
        <f ca="1">ROUND(19.000,3)</f>
        <v>0</v>
      </c>
      <c r="G1364" s="27">
        <f ca="1">ROUND(E1364*F1364,2)</f>
        <v>0</v>
      </c>
    </row>
    <row r="1365" spans="1:7" ht="24.36" thickBot="1" customHeight="1">
      <c r="A1365" s="24" t="s">
        <v>4153</v>
      </c>
      <c r="B1365" s="24" t="s">
        <v>4154</v>
      </c>
      <c r="C1365" s="24" t="s">
        <v>4155</v>
      </c>
      <c r="D1365" s="25" t="s">
        <v>4156</v>
      </c>
      <c r="E1365" s="28">
        <v>0.20000</v>
      </c>
      <c r="F1365" s="29">
        <f ca="1">ROUND(19.000,3)</f>
        <v>0</v>
      </c>
      <c r="G1365" s="27">
        <f ca="1">ROUND(E1365*F1365,2)</f>
        <v>0</v>
      </c>
    </row>
    <row r="1366" spans="1:7" ht="15.12" thickBot="1" customHeight="1">
      <c r="A1366" s="26"/>
      <c r="B1366" s="26"/>
      <c r="C1366" s="26"/>
      <c r="D1366" s="24" t="s">
        <v>4157</v>
      </c>
      <c r="E1366" s="28">
        <v>0.35000</v>
      </c>
      <c r="F1366" s="29">
        <f ca="1">ROUND((G1363+G1364+G1365),3)</f>
        <v>0</v>
      </c>
      <c r="G1366" s="27">
        <f ca="1">ROUND(E1366*F1366,2)</f>
        <v>0</v>
      </c>
    </row>
    <row r="1367" spans="1:7" ht="15.12" thickBot="1" customHeight="1">
      <c r="A1367" s="24" t="s">
        <v>4158</v>
      </c>
      <c r="B1367" s="24"/>
      <c r="C1367" s="24" t="s">
        <v>4159</v>
      </c>
      <c r="D1367" s="25" t="s">
        <v>4160</v>
      </c>
      <c r="E1367" s="28">
        <v>2.00000</v>
      </c>
      <c r="F1367" s="29">
        <f ca="1">ROUND(15.330,3)</f>
        <v>0</v>
      </c>
      <c r="G1367" s="27">
        <f ca="1">ROUND((E1367*F1367)/100,2)</f>
        <v>0</v>
      </c>
    </row>
    <row r="1368" spans="1:7" ht="15.48" thickBot="1" customHeight="1">
      <c r="A1368" s="30"/>
      <c r="B1368" s="30"/>
      <c r="C1368" s="30"/>
      <c r="D1368" s="31" t="s">
        <v>4161</v>
      </c>
      <c r="E1368" s="30"/>
      <c r="F1368" s="33">
        <f ca="1">ROUND((G1359+G1362+G1367)*(1+G2/100),2)</f>
        <v>0</v>
      </c>
      <c r="G1368" s="30"/>
    </row>
    <row r="1369" spans="1:7" ht="39.84" thickBot="1" customHeight="1">
      <c r="A1369" s="34" t="s">
        <v>4162</v>
      </c>
      <c r="B1369" s="35" t="s">
        <v>4163</v>
      </c>
      <c r="C1369" s="35" t="s">
        <v>4164</v>
      </c>
      <c r="D1369" s="36" t="s">
        <v>4165</v>
      </c>
      <c r="E1369" s="37"/>
      <c r="F1369" s="38">
        <f ca="1">F1377</f>
        <v>0</v>
      </c>
      <c r="G1369" s="37"/>
    </row>
    <row r="1370" spans="1:7" ht="21.36" thickBot="1" customHeight="1">
      <c r="A1370" s="26"/>
      <c r="B1370" s="26"/>
      <c r="C1370" s="26"/>
      <c r="D1370" s="25" t="s">
        <v>4166</v>
      </c>
      <c r="E1370" s="25"/>
      <c r="F1370" s="25"/>
      <c r="G1370" s="25"/>
    </row>
    <row r="1371" spans="1:7" ht="21.36" thickBot="1" customHeight="1">
      <c r="A1371" s="24" t="s">
        <v>4167</v>
      </c>
      <c r="B1371" s="24" t="s">
        <v>4168</v>
      </c>
      <c r="C1371" s="24" t="s">
        <v>4169</v>
      </c>
      <c r="D1371" s="25" t="s">
        <v>4170</v>
      </c>
      <c r="E1371" s="28">
        <v>0.40000</v>
      </c>
      <c r="F1371" s="29">
        <f ca="1">F1375</f>
        <v>0</v>
      </c>
      <c r="G1371" s="27">
        <f ca="1">ROUND(E1371*F1371,2)</f>
        <v>0</v>
      </c>
    </row>
    <row r="1372" spans="1:7" ht="24.36" thickBot="1" customHeight="1">
      <c r="A1372" s="24" t="s">
        <v>4171</v>
      </c>
      <c r="B1372" s="24" t="s">
        <v>4172</v>
      </c>
      <c r="C1372" s="24" t="s">
        <v>4173</v>
      </c>
      <c r="D1372" s="25" t="s">
        <v>4174</v>
      </c>
      <c r="E1372" s="28">
        <v>1.00000</v>
      </c>
      <c r="F1372" s="29">
        <f ca="1">ROUND(21.000,3)</f>
        <v>0</v>
      </c>
      <c r="G1372" s="27">
        <f ca="1">ROUND(E1372*F1372,2)</f>
        <v>0</v>
      </c>
    </row>
    <row r="1373" spans="1:7" ht="24.36" thickBot="1" customHeight="1">
      <c r="A1373" s="24" t="s">
        <v>4175</v>
      </c>
      <c r="B1373" s="24" t="s">
        <v>4176</v>
      </c>
      <c r="C1373" s="24" t="s">
        <v>4177</v>
      </c>
      <c r="D1373" s="25" t="s">
        <v>4178</v>
      </c>
      <c r="E1373" s="28">
        <v>1.00000</v>
      </c>
      <c r="F1373" s="29">
        <f ca="1">ROUND(19.000,3)</f>
        <v>0</v>
      </c>
      <c r="G1373" s="27">
        <f ca="1">ROUND(E1373*F1373,2)</f>
        <v>0</v>
      </c>
    </row>
    <row r="1374" spans="1:7" ht="24.36" thickBot="1" customHeight="1">
      <c r="A1374" s="24" t="s">
        <v>4179</v>
      </c>
      <c r="B1374" s="24" t="s">
        <v>4180</v>
      </c>
      <c r="C1374" s="24" t="s">
        <v>4181</v>
      </c>
      <c r="D1374" s="25" t="s">
        <v>4182</v>
      </c>
      <c r="E1374" s="28">
        <v>0.20000</v>
      </c>
      <c r="F1374" s="29">
        <f ca="1">ROUND(19.000,3)</f>
        <v>0</v>
      </c>
      <c r="G1374" s="27">
        <f ca="1">ROUND(E1374*F1374,2)</f>
        <v>0</v>
      </c>
    </row>
    <row r="1375" spans="1:7" ht="15.12" thickBot="1" customHeight="1">
      <c r="A1375" s="26"/>
      <c r="B1375" s="26"/>
      <c r="C1375" s="26"/>
      <c r="D1375" s="24" t="s">
        <v>4183</v>
      </c>
      <c r="E1375" s="28">
        <v>0.40000</v>
      </c>
      <c r="F1375" s="29">
        <f ca="1">ROUND((G1372+G1373+G1374),3)</f>
        <v>0</v>
      </c>
      <c r="G1375" s="27">
        <f ca="1">ROUND(E1375*F1375,2)</f>
        <v>0</v>
      </c>
    </row>
    <row r="1376" spans="1:7" ht="15.12" thickBot="1" customHeight="1">
      <c r="A1376" s="24" t="s">
        <v>4184</v>
      </c>
      <c r="B1376" s="24"/>
      <c r="C1376" s="24" t="s">
        <v>4185</v>
      </c>
      <c r="D1376" s="25" t="s">
        <v>4186</v>
      </c>
      <c r="E1376" s="28">
        <v>5.00000</v>
      </c>
      <c r="F1376" s="29">
        <f ca="1">ROUND(17.520,3)</f>
        <v>0</v>
      </c>
      <c r="G1376" s="27">
        <f ca="1">ROUND((E1376*F1376)/100,2)</f>
        <v>0</v>
      </c>
    </row>
    <row r="1377" spans="1:7" ht="25.08" thickBot="1" customHeight="1">
      <c r="A1377" s="30"/>
      <c r="B1377" s="30"/>
      <c r="C1377" s="30"/>
      <c r="D1377" s="31" t="s">
        <v>4187</v>
      </c>
      <c r="E1377" s="30"/>
      <c r="F1377" s="33">
        <f ca="1">ROUND((G1371+G1376)*(1+G2/100),2)</f>
        <v>0</v>
      </c>
      <c r="G1377" s="30"/>
    </row>
    <row r="1378" spans="1:7" ht="39.84" thickBot="1" customHeight="1">
      <c r="A1378" s="34" t="s">
        <v>4188</v>
      </c>
      <c r="B1378" s="35" t="s">
        <v>4189</v>
      </c>
      <c r="C1378" s="35" t="s">
        <v>4190</v>
      </c>
      <c r="D1378" s="36" t="s">
        <v>4191</v>
      </c>
      <c r="E1378" s="37"/>
      <c r="F1378" s="38">
        <f ca="1">F1386</f>
        <v>0</v>
      </c>
      <c r="G1378" s="37"/>
    </row>
    <row r="1379" spans="1:7" ht="21.36" thickBot="1" customHeight="1">
      <c r="A1379" s="26"/>
      <c r="B1379" s="26"/>
      <c r="C1379" s="26"/>
      <c r="D1379" s="25" t="s">
        <v>4192</v>
      </c>
      <c r="E1379" s="25"/>
      <c r="F1379" s="25"/>
      <c r="G1379" s="25"/>
    </row>
    <row r="1380" spans="1:7" ht="21.36" thickBot="1" customHeight="1">
      <c r="A1380" s="24" t="s">
        <v>4193</v>
      </c>
      <c r="B1380" s="24" t="s">
        <v>4194</v>
      </c>
      <c r="C1380" s="24" t="s">
        <v>4195</v>
      </c>
      <c r="D1380" s="25" t="s">
        <v>4196</v>
      </c>
      <c r="E1380" s="28">
        <v>0.56000</v>
      </c>
      <c r="F1380" s="29">
        <f ca="1">F1384</f>
        <v>0</v>
      </c>
      <c r="G1380" s="27">
        <f ca="1">ROUND(E1380*F1380,2)</f>
        <v>0</v>
      </c>
    </row>
    <row r="1381" spans="1:7" ht="24.36" thickBot="1" customHeight="1">
      <c r="A1381" s="24" t="s">
        <v>4197</v>
      </c>
      <c r="B1381" s="24" t="s">
        <v>4198</v>
      </c>
      <c r="C1381" s="24" t="s">
        <v>4199</v>
      </c>
      <c r="D1381" s="25" t="s">
        <v>4200</v>
      </c>
      <c r="E1381" s="28">
        <v>1.00000</v>
      </c>
      <c r="F1381" s="29">
        <f ca="1">ROUND(21.000,3)</f>
        <v>0</v>
      </c>
      <c r="G1381" s="27">
        <f ca="1">ROUND(E1381*F1381,2)</f>
        <v>0</v>
      </c>
    </row>
    <row r="1382" spans="1:7" ht="24.36" thickBot="1" customHeight="1">
      <c r="A1382" s="24" t="s">
        <v>4201</v>
      </c>
      <c r="B1382" s="24" t="s">
        <v>4202</v>
      </c>
      <c r="C1382" s="24" t="s">
        <v>4203</v>
      </c>
      <c r="D1382" s="25" t="s">
        <v>4204</v>
      </c>
      <c r="E1382" s="28">
        <v>1.00000</v>
      </c>
      <c r="F1382" s="29">
        <f ca="1">ROUND(19.000,3)</f>
        <v>0</v>
      </c>
      <c r="G1382" s="27">
        <f ca="1">ROUND(E1382*F1382,2)</f>
        <v>0</v>
      </c>
    </row>
    <row r="1383" spans="1:7" ht="24.36" thickBot="1" customHeight="1">
      <c r="A1383" s="24" t="s">
        <v>4205</v>
      </c>
      <c r="B1383" s="24" t="s">
        <v>4206</v>
      </c>
      <c r="C1383" s="24" t="s">
        <v>4207</v>
      </c>
      <c r="D1383" s="25" t="s">
        <v>4208</v>
      </c>
      <c r="E1383" s="28">
        <v>0.20000</v>
      </c>
      <c r="F1383" s="29">
        <f ca="1">ROUND(19.000,3)</f>
        <v>0</v>
      </c>
      <c r="G1383" s="27">
        <f ca="1">ROUND(E1383*F1383,2)</f>
        <v>0</v>
      </c>
    </row>
    <row r="1384" spans="1:7" ht="15.12" thickBot="1" customHeight="1">
      <c r="A1384" s="26"/>
      <c r="B1384" s="26"/>
      <c r="C1384" s="26"/>
      <c r="D1384" s="24" t="s">
        <v>4209</v>
      </c>
      <c r="E1384" s="28">
        <v>0.56000</v>
      </c>
      <c r="F1384" s="29">
        <f ca="1">ROUND((G1381+G1382+G1383),3)</f>
        <v>0</v>
      </c>
      <c r="G1384" s="27">
        <f ca="1">ROUND(E1384*F1384,2)</f>
        <v>0</v>
      </c>
    </row>
    <row r="1385" spans="1:7" ht="15.12" thickBot="1" customHeight="1">
      <c r="A1385" s="24" t="s">
        <v>4210</v>
      </c>
      <c r="B1385" s="24"/>
      <c r="C1385" s="24" t="s">
        <v>4211</v>
      </c>
      <c r="D1385" s="25" t="s">
        <v>4212</v>
      </c>
      <c r="E1385" s="28">
        <v>5.00000</v>
      </c>
      <c r="F1385" s="29">
        <f ca="1">ROUND(24.530,3)</f>
        <v>0</v>
      </c>
      <c r="G1385" s="27">
        <f ca="1">ROUND((E1385*F1385)/100,2)</f>
        <v>0</v>
      </c>
    </row>
    <row r="1386" spans="1:7" ht="25.08" thickBot="1" customHeight="1">
      <c r="A1386" s="30"/>
      <c r="B1386" s="30"/>
      <c r="C1386" s="30"/>
      <c r="D1386" s="31" t="s">
        <v>4213</v>
      </c>
      <c r="E1386" s="30"/>
      <c r="F1386" s="33">
        <f ca="1">ROUND((G1380+G1385)*(1+G2/100),2)</f>
        <v>0</v>
      </c>
      <c r="G1386" s="30"/>
    </row>
    <row r="1387" spans="1:7" ht="49.08" thickBot="1" customHeight="1">
      <c r="A1387" s="34" t="s">
        <v>4214</v>
      </c>
      <c r="B1387" s="35" t="s">
        <v>4215</v>
      </c>
      <c r="C1387" s="35" t="s">
        <v>4216</v>
      </c>
      <c r="D1387" s="36" t="s">
        <v>4217</v>
      </c>
      <c r="E1387" s="37"/>
      <c r="F1387" s="38">
        <f ca="1">F1398</f>
        <v>0</v>
      </c>
      <c r="G1387" s="37"/>
    </row>
    <row r="1388" spans="1:7" ht="21.36" thickBot="1" customHeight="1">
      <c r="A1388" s="26"/>
      <c r="B1388" s="26"/>
      <c r="C1388" s="26"/>
      <c r="D1388" s="25" t="s">
        <v>4218</v>
      </c>
      <c r="E1388" s="25"/>
      <c r="F1388" s="25"/>
      <c r="G1388" s="25"/>
    </row>
    <row r="1389" spans="1:7" ht="30.60" thickBot="1" customHeight="1">
      <c r="A1389" s="24" t="s">
        <v>4219</v>
      </c>
      <c r="B1389" s="24" t="s">
        <v>4220</v>
      </c>
      <c r="C1389" s="24" t="s">
        <v>4221</v>
      </c>
      <c r="D1389" s="25" t="s">
        <v>4222</v>
      </c>
      <c r="E1389" s="28">
        <v>0.20000</v>
      </c>
      <c r="F1389" s="29">
        <f ca="1">F1391</f>
        <v>0</v>
      </c>
      <c r="G1389" s="27">
        <f ca="1">ROUND(E1389*F1389,2)</f>
        <v>0</v>
      </c>
    </row>
    <row r="1390" spans="1:7" ht="30.60" thickBot="1" customHeight="1">
      <c r="A1390" s="24" t="s">
        <v>4223</v>
      </c>
      <c r="B1390" s="24" t="s">
        <v>4224</v>
      </c>
      <c r="C1390" s="24" t="s">
        <v>4225</v>
      </c>
      <c r="D1390" s="25" t="s">
        <v>4226</v>
      </c>
      <c r="E1390" s="28">
        <v>0.00417</v>
      </c>
      <c r="F1390" s="29">
        <f ca="1">ROUND(999.000,3)</f>
        <v>0</v>
      </c>
      <c r="G1390" s="27">
        <f ca="1">ROUND(E1390*F1390,2)</f>
        <v>0</v>
      </c>
    </row>
    <row r="1391" spans="1:7" ht="15.12" thickBot="1" customHeight="1">
      <c r="A1391" s="26"/>
      <c r="B1391" s="26"/>
      <c r="C1391" s="26"/>
      <c r="D1391" s="24" t="s">
        <v>4227</v>
      </c>
      <c r="E1391" s="28">
        <v>0.20000</v>
      </c>
      <c r="F1391" s="29">
        <f ca="1">ROUND((G1390),3)</f>
        <v>0</v>
      </c>
      <c r="G1391" s="27">
        <f ca="1">ROUND(E1391*F1391,2)</f>
        <v>0</v>
      </c>
    </row>
    <row r="1392" spans="1:7" ht="21.36" thickBot="1" customHeight="1">
      <c r="A1392" s="24" t="s">
        <v>4228</v>
      </c>
      <c r="B1392" s="24" t="s">
        <v>4229</v>
      </c>
      <c r="C1392" s="24" t="s">
        <v>4230</v>
      </c>
      <c r="D1392" s="25" t="s">
        <v>4231</v>
      </c>
      <c r="E1392" s="28">
        <v>0.20000</v>
      </c>
      <c r="F1392" s="29">
        <f ca="1">F1396</f>
        <v>0</v>
      </c>
      <c r="G1392" s="27">
        <f ca="1">ROUND(E1392*F1392,2)</f>
        <v>0</v>
      </c>
    </row>
    <row r="1393" spans="1:7" ht="24.36" thickBot="1" customHeight="1">
      <c r="A1393" s="24" t="s">
        <v>4232</v>
      </c>
      <c r="B1393" s="24" t="s">
        <v>4233</v>
      </c>
      <c r="C1393" s="24" t="s">
        <v>4234</v>
      </c>
      <c r="D1393" s="25" t="s">
        <v>4235</v>
      </c>
      <c r="E1393" s="28">
        <v>1.00000</v>
      </c>
      <c r="F1393" s="29">
        <f ca="1">ROUND(21.000,3)</f>
        <v>0</v>
      </c>
      <c r="G1393" s="27">
        <f ca="1">ROUND(E1393*F1393,2)</f>
        <v>0</v>
      </c>
    </row>
    <row r="1394" spans="1:7" ht="24.36" thickBot="1" customHeight="1">
      <c r="A1394" s="24" t="s">
        <v>4236</v>
      </c>
      <c r="B1394" s="24" t="s">
        <v>4237</v>
      </c>
      <c r="C1394" s="24" t="s">
        <v>4238</v>
      </c>
      <c r="D1394" s="25" t="s">
        <v>4239</v>
      </c>
      <c r="E1394" s="28">
        <v>1.00000</v>
      </c>
      <c r="F1394" s="29">
        <f ca="1">ROUND(19.000,3)</f>
        <v>0</v>
      </c>
      <c r="G1394" s="27">
        <f ca="1">ROUND(E1394*F1394,2)</f>
        <v>0</v>
      </c>
    </row>
    <row r="1395" spans="1:7" ht="24.36" thickBot="1" customHeight="1">
      <c r="A1395" s="24" t="s">
        <v>4240</v>
      </c>
      <c r="B1395" s="24" t="s">
        <v>4241</v>
      </c>
      <c r="C1395" s="24" t="s">
        <v>4242</v>
      </c>
      <c r="D1395" s="25" t="s">
        <v>4243</v>
      </c>
      <c r="E1395" s="28">
        <v>0.20000</v>
      </c>
      <c r="F1395" s="29">
        <f ca="1">ROUND(19.000,3)</f>
        <v>0</v>
      </c>
      <c r="G1395" s="27">
        <f ca="1">ROUND(E1395*F1395,2)</f>
        <v>0</v>
      </c>
    </row>
    <row r="1396" spans="1:7" ht="15.12" thickBot="1" customHeight="1">
      <c r="A1396" s="26"/>
      <c r="B1396" s="26"/>
      <c r="C1396" s="26"/>
      <c r="D1396" s="24" t="s">
        <v>4244</v>
      </c>
      <c r="E1396" s="28">
        <v>0.20000</v>
      </c>
      <c r="F1396" s="29">
        <f ca="1">ROUND((G1393+G1394+G1395),3)</f>
        <v>0</v>
      </c>
      <c r="G1396" s="27">
        <f ca="1">ROUND(E1396*F1396,2)</f>
        <v>0</v>
      </c>
    </row>
    <row r="1397" spans="1:7" ht="15.12" thickBot="1" customHeight="1">
      <c r="A1397" s="24" t="s">
        <v>4245</v>
      </c>
      <c r="B1397" s="24"/>
      <c r="C1397" s="24" t="s">
        <v>4246</v>
      </c>
      <c r="D1397" s="25" t="s">
        <v>4247</v>
      </c>
      <c r="E1397" s="28">
        <v>2.00000</v>
      </c>
      <c r="F1397" s="29">
        <f ca="1">ROUND(8.760,3)</f>
        <v>0</v>
      </c>
      <c r="G1397" s="27">
        <f ca="1">ROUND((E1397*F1397)/100,2)</f>
        <v>0</v>
      </c>
    </row>
    <row r="1398" spans="1:7" ht="25.08" thickBot="1" customHeight="1">
      <c r="A1398" s="30"/>
      <c r="B1398" s="30"/>
      <c r="C1398" s="30"/>
      <c r="D1398" s="31" t="s">
        <v>4248</v>
      </c>
      <c r="E1398" s="30"/>
      <c r="F1398" s="33">
        <f ca="1">ROUND((G1389+G1392+G1397)*(1+G2/100),2)</f>
        <v>0</v>
      </c>
      <c r="G1398" s="30"/>
    </row>
    <row r="1399" spans="1:7" ht="49.08" thickBot="1" customHeight="1">
      <c r="A1399" s="34" t="s">
        <v>4249</v>
      </c>
      <c r="B1399" s="35" t="s">
        <v>4250</v>
      </c>
      <c r="C1399" s="35" t="s">
        <v>4251</v>
      </c>
      <c r="D1399" s="36" t="s">
        <v>4252</v>
      </c>
      <c r="E1399" s="37"/>
      <c r="F1399" s="38">
        <f ca="1">F1410</f>
        <v>0</v>
      </c>
      <c r="G1399" s="37"/>
    </row>
    <row r="1400" spans="1:7" ht="21.36" thickBot="1" customHeight="1">
      <c r="A1400" s="26"/>
      <c r="B1400" s="26"/>
      <c r="C1400" s="26"/>
      <c r="D1400" s="25" t="s">
        <v>4253</v>
      </c>
      <c r="E1400" s="25"/>
      <c r="F1400" s="25"/>
      <c r="G1400" s="25"/>
    </row>
    <row r="1401" spans="1:7" ht="30.60" thickBot="1" customHeight="1">
      <c r="A1401" s="24" t="s">
        <v>4254</v>
      </c>
      <c r="B1401" s="24" t="s">
        <v>4255</v>
      </c>
      <c r="C1401" s="24" t="s">
        <v>4256</v>
      </c>
      <c r="D1401" s="25" t="s">
        <v>4257</v>
      </c>
      <c r="E1401" s="28">
        <v>0.30000</v>
      </c>
      <c r="F1401" s="29">
        <f ca="1">F1403</f>
        <v>0</v>
      </c>
      <c r="G1401" s="27">
        <f ca="1">ROUND(E1401*F1401,2)</f>
        <v>0</v>
      </c>
    </row>
    <row r="1402" spans="1:7" ht="30.60" thickBot="1" customHeight="1">
      <c r="A1402" s="24" t="s">
        <v>4258</v>
      </c>
      <c r="B1402" s="24" t="s">
        <v>4259</v>
      </c>
      <c r="C1402" s="24" t="s">
        <v>4260</v>
      </c>
      <c r="D1402" s="25" t="s">
        <v>4261</v>
      </c>
      <c r="E1402" s="28">
        <v>0.00417</v>
      </c>
      <c r="F1402" s="29">
        <f ca="1">ROUND(999.000,3)</f>
        <v>0</v>
      </c>
      <c r="G1402" s="27">
        <f ca="1">ROUND(E1402*F1402,2)</f>
        <v>0</v>
      </c>
    </row>
    <row r="1403" spans="1:7" ht="15.12" thickBot="1" customHeight="1">
      <c r="A1403" s="26"/>
      <c r="B1403" s="26"/>
      <c r="C1403" s="26"/>
      <c r="D1403" s="24" t="s">
        <v>4262</v>
      </c>
      <c r="E1403" s="28">
        <v>0.30000</v>
      </c>
      <c r="F1403" s="29">
        <f ca="1">ROUND((G1402),3)</f>
        <v>0</v>
      </c>
      <c r="G1403" s="27">
        <f ca="1">ROUND(E1403*F1403,2)</f>
        <v>0</v>
      </c>
    </row>
    <row r="1404" spans="1:7" ht="21.36" thickBot="1" customHeight="1">
      <c r="A1404" s="24" t="s">
        <v>4263</v>
      </c>
      <c r="B1404" s="24" t="s">
        <v>4264</v>
      </c>
      <c r="C1404" s="24" t="s">
        <v>4265</v>
      </c>
      <c r="D1404" s="25" t="s">
        <v>4266</v>
      </c>
      <c r="E1404" s="28">
        <v>0.30000</v>
      </c>
      <c r="F1404" s="29">
        <f ca="1">F1408</f>
        <v>0</v>
      </c>
      <c r="G1404" s="27">
        <f ca="1">ROUND(E1404*F1404,2)</f>
        <v>0</v>
      </c>
    </row>
    <row r="1405" spans="1:7" ht="24.36" thickBot="1" customHeight="1">
      <c r="A1405" s="24" t="s">
        <v>4267</v>
      </c>
      <c r="B1405" s="24" t="s">
        <v>4268</v>
      </c>
      <c r="C1405" s="24" t="s">
        <v>4269</v>
      </c>
      <c r="D1405" s="25" t="s">
        <v>4270</v>
      </c>
      <c r="E1405" s="28">
        <v>1.00000</v>
      </c>
      <c r="F1405" s="29">
        <f ca="1">ROUND(21.000,3)</f>
        <v>0</v>
      </c>
      <c r="G1405" s="27">
        <f ca="1">ROUND(E1405*F1405,2)</f>
        <v>0</v>
      </c>
    </row>
    <row r="1406" spans="1:7" ht="24.36" thickBot="1" customHeight="1">
      <c r="A1406" s="24" t="s">
        <v>4271</v>
      </c>
      <c r="B1406" s="24" t="s">
        <v>4272</v>
      </c>
      <c r="C1406" s="24" t="s">
        <v>4273</v>
      </c>
      <c r="D1406" s="25" t="s">
        <v>4274</v>
      </c>
      <c r="E1406" s="28">
        <v>1.00000</v>
      </c>
      <c r="F1406" s="29">
        <f ca="1">ROUND(19.000,3)</f>
        <v>0</v>
      </c>
      <c r="G1406" s="27">
        <f ca="1">ROUND(E1406*F1406,2)</f>
        <v>0</v>
      </c>
    </row>
    <row r="1407" spans="1:7" ht="24.36" thickBot="1" customHeight="1">
      <c r="A1407" s="24" t="s">
        <v>4275</v>
      </c>
      <c r="B1407" s="24" t="s">
        <v>4276</v>
      </c>
      <c r="C1407" s="24" t="s">
        <v>4277</v>
      </c>
      <c r="D1407" s="25" t="s">
        <v>4278</v>
      </c>
      <c r="E1407" s="28">
        <v>0.20000</v>
      </c>
      <c r="F1407" s="29">
        <f ca="1">ROUND(19.000,3)</f>
        <v>0</v>
      </c>
      <c r="G1407" s="27">
        <f ca="1">ROUND(E1407*F1407,2)</f>
        <v>0</v>
      </c>
    </row>
    <row r="1408" spans="1:7" ht="15.12" thickBot="1" customHeight="1">
      <c r="A1408" s="26"/>
      <c r="B1408" s="26"/>
      <c r="C1408" s="26"/>
      <c r="D1408" s="24" t="s">
        <v>4279</v>
      </c>
      <c r="E1408" s="28">
        <v>0.30000</v>
      </c>
      <c r="F1408" s="29">
        <f ca="1">ROUND((G1405+G1406+G1407),3)</f>
        <v>0</v>
      </c>
      <c r="G1408" s="27">
        <f ca="1">ROUND(E1408*F1408,2)</f>
        <v>0</v>
      </c>
    </row>
    <row r="1409" spans="1:7" ht="15.12" thickBot="1" customHeight="1">
      <c r="A1409" s="24" t="s">
        <v>4280</v>
      </c>
      <c r="B1409" s="24"/>
      <c r="C1409" s="24" t="s">
        <v>4281</v>
      </c>
      <c r="D1409" s="25" t="s">
        <v>4282</v>
      </c>
      <c r="E1409" s="28">
        <v>2.00000</v>
      </c>
      <c r="F1409" s="29">
        <f ca="1">ROUND(13.140,3)</f>
        <v>0</v>
      </c>
      <c r="G1409" s="27">
        <f ca="1">ROUND((E1409*F1409)/100,2)</f>
        <v>0</v>
      </c>
    </row>
    <row r="1410" spans="1:7" ht="25.08" thickBot="1" customHeight="1">
      <c r="A1410" s="30"/>
      <c r="B1410" s="30"/>
      <c r="C1410" s="30"/>
      <c r="D1410" s="31" t="s">
        <v>4283</v>
      </c>
      <c r="E1410" s="30"/>
      <c r="F1410" s="33">
        <f ca="1">ROUND((G1401+G1404+G1409)*(1+G2/100),2)</f>
        <v>0</v>
      </c>
      <c r="G1410" s="30"/>
    </row>
    <row r="1411" spans="1:7" ht="15.48" thickBot="1" customHeight="1">
      <c r="A1411" s="39"/>
      <c r="B1411" s="39"/>
      <c r="C1411" s="39"/>
      <c r="D1411" s="40" t="s">
        <v>4284</v>
      </c>
      <c r="E1411" s="41"/>
      <c r="F1411" s="41"/>
      <c r="G1411" s="41"/>
    </row>
    <row r="1412" spans="1:7" ht="25.08" thickBot="1" customHeight="1">
      <c r="A1412" s="42" t="s">
        <v>4285</v>
      </c>
      <c r="B1412" s="42" t="s">
        <v>4286</v>
      </c>
      <c r="C1412" s="43"/>
      <c r="D1412" s="44" t="s">
        <v>4287</v>
      </c>
      <c r="E1412" s="43"/>
      <c r="F1412" s="60">
        <v>0.00</v>
      </c>
      <c r="G1412" s="43"/>
    </row>
    <row r="1413" spans="1:7" ht="15.48" thickBot="1" customHeight="1">
      <c r="A1413" s="30"/>
      <c r="B1413" s="30"/>
      <c r="C1413" s="30"/>
      <c r="D1413" s="61" t="s">
        <v>4288</v>
      </c>
      <c r="E1413" s="62"/>
      <c r="F1413" s="62"/>
      <c r="G1413" s="62"/>
    </row>
    <row r="1414" spans="1:7" ht="25.08" thickBot="1" customHeight="1">
      <c r="A1414" s="42" t="s">
        <v>4289</v>
      </c>
      <c r="B1414" s="42" t="s">
        <v>4290</v>
      </c>
      <c r="C1414" s="43"/>
      <c r="D1414" s="44" t="s">
        <v>4291</v>
      </c>
      <c r="E1414" s="43"/>
      <c r="F1414" s="43"/>
      <c r="G1414" s="43"/>
    </row>
    <row r="1415" spans="1:7" ht="49.08" thickBot="1" customHeight="1">
      <c r="A1415" s="10" t="s">
        <v>4292</v>
      </c>
      <c r="B1415" s="24" t="s">
        <v>4293</v>
      </c>
      <c r="C1415" s="24" t="s">
        <v>4294</v>
      </c>
      <c r="D1415" s="25" t="s">
        <v>4295</v>
      </c>
      <c r="E1415" s="26"/>
      <c r="F1415" s="27">
        <f ca="1">F1423</f>
        <v>0</v>
      </c>
      <c r="G1415" s="26"/>
    </row>
    <row r="1416" spans="1:7" ht="21.36" thickBot="1" customHeight="1">
      <c r="A1416" s="26"/>
      <c r="B1416" s="26"/>
      <c r="C1416" s="26"/>
      <c r="D1416" s="25" t="s">
        <v>4296</v>
      </c>
      <c r="E1416" s="25"/>
      <c r="F1416" s="25"/>
      <c r="G1416" s="25"/>
    </row>
    <row r="1417" spans="1:7" ht="21.36" thickBot="1" customHeight="1">
      <c r="A1417" s="24" t="s">
        <v>4297</v>
      </c>
      <c r="B1417" s="24" t="s">
        <v>4298</v>
      </c>
      <c r="C1417" s="24" t="s">
        <v>4299</v>
      </c>
      <c r="D1417" s="25" t="s">
        <v>4300</v>
      </c>
      <c r="E1417" s="28">
        <v>0.30000</v>
      </c>
      <c r="F1417" s="29">
        <f ca="1">F1421</f>
        <v>0</v>
      </c>
      <c r="G1417" s="27">
        <f ca="1">ROUND(E1417*F1417,2)</f>
        <v>0</v>
      </c>
    </row>
    <row r="1418" spans="1:7" ht="24.36" thickBot="1" customHeight="1">
      <c r="A1418" s="24" t="s">
        <v>4301</v>
      </c>
      <c r="B1418" s="24" t="s">
        <v>4302</v>
      </c>
      <c r="C1418" s="24" t="s">
        <v>4303</v>
      </c>
      <c r="D1418" s="25" t="s">
        <v>4304</v>
      </c>
      <c r="E1418" s="28">
        <v>1.00000</v>
      </c>
      <c r="F1418" s="29">
        <f ca="1">ROUND(21.000,3)</f>
        <v>0</v>
      </c>
      <c r="G1418" s="27">
        <f ca="1">ROUND(E1418*F1418,2)</f>
        <v>0</v>
      </c>
    </row>
    <row r="1419" spans="1:7" ht="24.36" thickBot="1" customHeight="1">
      <c r="A1419" s="24" t="s">
        <v>4305</v>
      </c>
      <c r="B1419" s="24" t="s">
        <v>4306</v>
      </c>
      <c r="C1419" s="24" t="s">
        <v>4307</v>
      </c>
      <c r="D1419" s="25" t="s">
        <v>4308</v>
      </c>
      <c r="E1419" s="28">
        <v>1.00000</v>
      </c>
      <c r="F1419" s="29">
        <f ca="1">ROUND(19.000,3)</f>
        <v>0</v>
      </c>
      <c r="G1419" s="27">
        <f ca="1">ROUND(E1419*F1419,2)</f>
        <v>0</v>
      </c>
    </row>
    <row r="1420" spans="1:7" ht="24.36" thickBot="1" customHeight="1">
      <c r="A1420" s="24" t="s">
        <v>4309</v>
      </c>
      <c r="B1420" s="24" t="s">
        <v>4310</v>
      </c>
      <c r="C1420" s="24" t="s">
        <v>4311</v>
      </c>
      <c r="D1420" s="25" t="s">
        <v>4312</v>
      </c>
      <c r="E1420" s="28">
        <v>0.20000</v>
      </c>
      <c r="F1420" s="29">
        <f ca="1">ROUND(19.000,3)</f>
        <v>0</v>
      </c>
      <c r="G1420" s="27">
        <f ca="1">ROUND(E1420*F1420,2)</f>
        <v>0</v>
      </c>
    </row>
    <row r="1421" spans="1:7" ht="15.12" thickBot="1" customHeight="1">
      <c r="A1421" s="26"/>
      <c r="B1421" s="26"/>
      <c r="C1421" s="26"/>
      <c r="D1421" s="24" t="s">
        <v>4313</v>
      </c>
      <c r="E1421" s="28">
        <v>0.30000</v>
      </c>
      <c r="F1421" s="29">
        <f ca="1">ROUND((G1418+G1419+G1420),3)</f>
        <v>0</v>
      </c>
      <c r="G1421" s="27">
        <f ca="1">ROUND(E1421*F1421,2)</f>
        <v>0</v>
      </c>
    </row>
    <row r="1422" spans="1:7" ht="15.12" thickBot="1" customHeight="1">
      <c r="A1422" s="24" t="s">
        <v>4314</v>
      </c>
      <c r="B1422" s="24"/>
      <c r="C1422" s="24" t="s">
        <v>4315</v>
      </c>
      <c r="D1422" s="25" t="s">
        <v>4316</v>
      </c>
      <c r="E1422" s="28">
        <v>5.00000</v>
      </c>
      <c r="F1422" s="29">
        <f ca="1">ROUND(13.140,3)</f>
        <v>0</v>
      </c>
      <c r="G1422" s="27">
        <f ca="1">ROUND((E1422*F1422)/100,2)</f>
        <v>0</v>
      </c>
    </row>
    <row r="1423" spans="1:7" ht="25.08" thickBot="1" customHeight="1">
      <c r="A1423" s="30"/>
      <c r="B1423" s="30"/>
      <c r="C1423" s="30"/>
      <c r="D1423" s="31" t="s">
        <v>4317</v>
      </c>
      <c r="E1423" s="30"/>
      <c r="F1423" s="33">
        <f ca="1">ROUND((G1417+G1422)*(1+G2/100),2)</f>
        <v>0</v>
      </c>
      <c r="G1423" s="30"/>
    </row>
    <row r="1424" spans="1:7" ht="49.08" thickBot="1" customHeight="1">
      <c r="A1424" s="34" t="s">
        <v>4318</v>
      </c>
      <c r="B1424" s="35" t="s">
        <v>4319</v>
      </c>
      <c r="C1424" s="35" t="s">
        <v>4320</v>
      </c>
      <c r="D1424" s="36" t="s">
        <v>4321</v>
      </c>
      <c r="E1424" s="37"/>
      <c r="F1424" s="38">
        <f ca="1">F1432</f>
        <v>0</v>
      </c>
      <c r="G1424" s="37"/>
    </row>
    <row r="1425" spans="1:7" ht="21.36" thickBot="1" customHeight="1">
      <c r="A1425" s="26"/>
      <c r="B1425" s="26"/>
      <c r="C1425" s="26"/>
      <c r="D1425" s="25" t="s">
        <v>4322</v>
      </c>
      <c r="E1425" s="25"/>
      <c r="F1425" s="25"/>
      <c r="G1425" s="25"/>
    </row>
    <row r="1426" spans="1:7" ht="21.36" thickBot="1" customHeight="1">
      <c r="A1426" s="24" t="s">
        <v>4323</v>
      </c>
      <c r="B1426" s="24" t="s">
        <v>4324</v>
      </c>
      <c r="C1426" s="24" t="s">
        <v>4325</v>
      </c>
      <c r="D1426" s="25" t="s">
        <v>4326</v>
      </c>
      <c r="E1426" s="28">
        <v>0.42000</v>
      </c>
      <c r="F1426" s="29">
        <f ca="1">F1430</f>
        <v>0</v>
      </c>
      <c r="G1426" s="27">
        <f ca="1">ROUND(E1426*F1426,2)</f>
        <v>0</v>
      </c>
    </row>
    <row r="1427" spans="1:7" ht="24.36" thickBot="1" customHeight="1">
      <c r="A1427" s="24" t="s">
        <v>4327</v>
      </c>
      <c r="B1427" s="24" t="s">
        <v>4328</v>
      </c>
      <c r="C1427" s="24" t="s">
        <v>4329</v>
      </c>
      <c r="D1427" s="25" t="s">
        <v>4330</v>
      </c>
      <c r="E1427" s="28">
        <v>1.00000</v>
      </c>
      <c r="F1427" s="29">
        <f ca="1">ROUND(21.000,3)</f>
        <v>0</v>
      </c>
      <c r="G1427" s="27">
        <f ca="1">ROUND(E1427*F1427,2)</f>
        <v>0</v>
      </c>
    </row>
    <row r="1428" spans="1:7" ht="24.36" thickBot="1" customHeight="1">
      <c r="A1428" s="24" t="s">
        <v>4331</v>
      </c>
      <c r="B1428" s="24" t="s">
        <v>4332</v>
      </c>
      <c r="C1428" s="24" t="s">
        <v>4333</v>
      </c>
      <c r="D1428" s="25" t="s">
        <v>4334</v>
      </c>
      <c r="E1428" s="28">
        <v>1.00000</v>
      </c>
      <c r="F1428" s="29">
        <f ca="1">ROUND(19.000,3)</f>
        <v>0</v>
      </c>
      <c r="G1428" s="27">
        <f ca="1">ROUND(E1428*F1428,2)</f>
        <v>0</v>
      </c>
    </row>
    <row r="1429" spans="1:7" ht="24.36" thickBot="1" customHeight="1">
      <c r="A1429" s="24" t="s">
        <v>4335</v>
      </c>
      <c r="B1429" s="24" t="s">
        <v>4336</v>
      </c>
      <c r="C1429" s="24" t="s">
        <v>4337</v>
      </c>
      <c r="D1429" s="25" t="s">
        <v>4338</v>
      </c>
      <c r="E1429" s="28">
        <v>0.20000</v>
      </c>
      <c r="F1429" s="29">
        <f ca="1">ROUND(19.000,3)</f>
        <v>0</v>
      </c>
      <c r="G1429" s="27">
        <f ca="1">ROUND(E1429*F1429,2)</f>
        <v>0</v>
      </c>
    </row>
    <row r="1430" spans="1:7" ht="15.12" thickBot="1" customHeight="1">
      <c r="A1430" s="26"/>
      <c r="B1430" s="26"/>
      <c r="C1430" s="26"/>
      <c r="D1430" s="24" t="s">
        <v>4339</v>
      </c>
      <c r="E1430" s="28">
        <v>0.42000</v>
      </c>
      <c r="F1430" s="29">
        <f ca="1">ROUND((G1427+G1428+G1429),3)</f>
        <v>0</v>
      </c>
      <c r="G1430" s="27">
        <f ca="1">ROUND(E1430*F1430,2)</f>
        <v>0</v>
      </c>
    </row>
    <row r="1431" spans="1:7" ht="15.12" thickBot="1" customHeight="1">
      <c r="A1431" s="24" t="s">
        <v>4340</v>
      </c>
      <c r="B1431" s="24"/>
      <c r="C1431" s="24" t="s">
        <v>4341</v>
      </c>
      <c r="D1431" s="25" t="s">
        <v>4342</v>
      </c>
      <c r="E1431" s="28">
        <v>5.00000</v>
      </c>
      <c r="F1431" s="29">
        <f ca="1">ROUND(18.400,3)</f>
        <v>0</v>
      </c>
      <c r="G1431" s="27">
        <f ca="1">ROUND((E1431*F1431)/100,2)</f>
        <v>0</v>
      </c>
    </row>
    <row r="1432" spans="1:7" ht="25.08" thickBot="1" customHeight="1">
      <c r="A1432" s="30"/>
      <c r="B1432" s="30"/>
      <c r="C1432" s="30"/>
      <c r="D1432" s="31" t="s">
        <v>4343</v>
      </c>
      <c r="E1432" s="30"/>
      <c r="F1432" s="33">
        <f ca="1">ROUND((G1426+G1431)*(1+G2/100),2)</f>
        <v>0</v>
      </c>
      <c r="G1432" s="30"/>
    </row>
    <row r="1433" spans="1:7" ht="49.08" thickBot="1" customHeight="1">
      <c r="A1433" s="34" t="s">
        <v>4344</v>
      </c>
      <c r="B1433" s="35" t="s">
        <v>4345</v>
      </c>
      <c r="C1433" s="35" t="s">
        <v>4346</v>
      </c>
      <c r="D1433" s="36" t="s">
        <v>4347</v>
      </c>
      <c r="E1433" s="37"/>
      <c r="F1433" s="38">
        <f ca="1">F1441</f>
        <v>0</v>
      </c>
      <c r="G1433" s="37"/>
    </row>
    <row r="1434" spans="1:7" ht="21.36" thickBot="1" customHeight="1">
      <c r="A1434" s="26"/>
      <c r="B1434" s="26"/>
      <c r="C1434" s="26"/>
      <c r="D1434" s="25" t="s">
        <v>4348</v>
      </c>
      <c r="E1434" s="25"/>
      <c r="F1434" s="25"/>
      <c r="G1434" s="25"/>
    </row>
    <row r="1435" spans="1:7" ht="21.36" thickBot="1" customHeight="1">
      <c r="A1435" s="24" t="s">
        <v>4349</v>
      </c>
      <c r="B1435" s="24" t="s">
        <v>4350</v>
      </c>
      <c r="C1435" s="24" t="s">
        <v>4351</v>
      </c>
      <c r="D1435" s="25" t="s">
        <v>4352</v>
      </c>
      <c r="E1435" s="28">
        <v>0.50000</v>
      </c>
      <c r="F1435" s="29">
        <f ca="1">F1439</f>
        <v>0</v>
      </c>
      <c r="G1435" s="27">
        <f ca="1">ROUND(E1435*F1435,2)</f>
        <v>0</v>
      </c>
    </row>
    <row r="1436" spans="1:7" ht="24.36" thickBot="1" customHeight="1">
      <c r="A1436" s="24" t="s">
        <v>4353</v>
      </c>
      <c r="B1436" s="24" t="s">
        <v>4354</v>
      </c>
      <c r="C1436" s="24" t="s">
        <v>4355</v>
      </c>
      <c r="D1436" s="25" t="s">
        <v>4356</v>
      </c>
      <c r="E1436" s="28">
        <v>1.00000</v>
      </c>
      <c r="F1436" s="29">
        <f ca="1">ROUND(21.000,3)</f>
        <v>0</v>
      </c>
      <c r="G1436" s="27">
        <f ca="1">ROUND(E1436*F1436,2)</f>
        <v>0</v>
      </c>
    </row>
    <row r="1437" spans="1:7" ht="24.36" thickBot="1" customHeight="1">
      <c r="A1437" s="24" t="s">
        <v>4357</v>
      </c>
      <c r="B1437" s="24" t="s">
        <v>4358</v>
      </c>
      <c r="C1437" s="24" t="s">
        <v>4359</v>
      </c>
      <c r="D1437" s="25" t="s">
        <v>4360</v>
      </c>
      <c r="E1437" s="28">
        <v>1.00000</v>
      </c>
      <c r="F1437" s="29">
        <f ca="1">ROUND(19.000,3)</f>
        <v>0</v>
      </c>
      <c r="G1437" s="27">
        <f ca="1">ROUND(E1437*F1437,2)</f>
        <v>0</v>
      </c>
    </row>
    <row r="1438" spans="1:7" ht="24.36" thickBot="1" customHeight="1">
      <c r="A1438" s="24" t="s">
        <v>4361</v>
      </c>
      <c r="B1438" s="24" t="s">
        <v>4362</v>
      </c>
      <c r="C1438" s="24" t="s">
        <v>4363</v>
      </c>
      <c r="D1438" s="25" t="s">
        <v>4364</v>
      </c>
      <c r="E1438" s="28">
        <v>0.20000</v>
      </c>
      <c r="F1438" s="29">
        <f ca="1">ROUND(19.000,3)</f>
        <v>0</v>
      </c>
      <c r="G1438" s="27">
        <f ca="1">ROUND(E1438*F1438,2)</f>
        <v>0</v>
      </c>
    </row>
    <row r="1439" spans="1:7" ht="15.12" thickBot="1" customHeight="1">
      <c r="A1439" s="26"/>
      <c r="B1439" s="26"/>
      <c r="C1439" s="26"/>
      <c r="D1439" s="24" t="s">
        <v>4365</v>
      </c>
      <c r="E1439" s="28">
        <v>0.50000</v>
      </c>
      <c r="F1439" s="29">
        <f ca="1">ROUND((G1436+G1437+G1438),3)</f>
        <v>0</v>
      </c>
      <c r="G1439" s="27">
        <f ca="1">ROUND(E1439*F1439,2)</f>
        <v>0</v>
      </c>
    </row>
    <row r="1440" spans="1:7" ht="15.12" thickBot="1" customHeight="1">
      <c r="A1440" s="24" t="s">
        <v>4366</v>
      </c>
      <c r="B1440" s="24"/>
      <c r="C1440" s="24" t="s">
        <v>4367</v>
      </c>
      <c r="D1440" s="25" t="s">
        <v>4368</v>
      </c>
      <c r="E1440" s="28">
        <v>5.00000</v>
      </c>
      <c r="F1440" s="29">
        <f ca="1">ROUND(21.900,3)</f>
        <v>0</v>
      </c>
      <c r="G1440" s="27">
        <f ca="1">ROUND((E1440*F1440)/100,2)</f>
        <v>0</v>
      </c>
    </row>
    <row r="1441" spans="1:7" ht="25.08" thickBot="1" customHeight="1">
      <c r="A1441" s="30"/>
      <c r="B1441" s="30"/>
      <c r="C1441" s="30"/>
      <c r="D1441" s="31" t="s">
        <v>4369</v>
      </c>
      <c r="E1441" s="30"/>
      <c r="F1441" s="33">
        <f ca="1">ROUND((G1435+G1440)*(1+G2/100),2)</f>
        <v>0</v>
      </c>
      <c r="G1441" s="30"/>
    </row>
    <row r="1442" spans="1:7" ht="49.08" thickBot="1" customHeight="1">
      <c r="A1442" s="34" t="s">
        <v>4370</v>
      </c>
      <c r="B1442" s="35" t="s">
        <v>4371</v>
      </c>
      <c r="C1442" s="35" t="s">
        <v>4372</v>
      </c>
      <c r="D1442" s="36" t="s">
        <v>4373</v>
      </c>
      <c r="E1442" s="37"/>
      <c r="F1442" s="38">
        <f ca="1">F1450</f>
        <v>0</v>
      </c>
      <c r="G1442" s="37"/>
    </row>
    <row r="1443" spans="1:7" ht="21.36" thickBot="1" customHeight="1">
      <c r="A1443" s="26"/>
      <c r="B1443" s="26"/>
      <c r="C1443" s="26"/>
      <c r="D1443" s="25" t="s">
        <v>4374</v>
      </c>
      <c r="E1443" s="25"/>
      <c r="F1443" s="25"/>
      <c r="G1443" s="25"/>
    </row>
    <row r="1444" spans="1:7" ht="21.36" thickBot="1" customHeight="1">
      <c r="A1444" s="24" t="s">
        <v>4375</v>
      </c>
      <c r="B1444" s="24" t="s">
        <v>4376</v>
      </c>
      <c r="C1444" s="24" t="s">
        <v>4377</v>
      </c>
      <c r="D1444" s="25" t="s">
        <v>4378</v>
      </c>
      <c r="E1444" s="28">
        <v>0.70000</v>
      </c>
      <c r="F1444" s="29">
        <f ca="1">F1448</f>
        <v>0</v>
      </c>
      <c r="G1444" s="27">
        <f ca="1">ROUND(E1444*F1444,2)</f>
        <v>0</v>
      </c>
    </row>
    <row r="1445" spans="1:7" ht="24.36" thickBot="1" customHeight="1">
      <c r="A1445" s="24" t="s">
        <v>4379</v>
      </c>
      <c r="B1445" s="24" t="s">
        <v>4380</v>
      </c>
      <c r="C1445" s="24" t="s">
        <v>4381</v>
      </c>
      <c r="D1445" s="25" t="s">
        <v>4382</v>
      </c>
      <c r="E1445" s="28">
        <v>1.00000</v>
      </c>
      <c r="F1445" s="29">
        <f ca="1">ROUND(21.000,3)</f>
        <v>0</v>
      </c>
      <c r="G1445" s="27">
        <f ca="1">ROUND(E1445*F1445,2)</f>
        <v>0</v>
      </c>
    </row>
    <row r="1446" spans="1:7" ht="24.36" thickBot="1" customHeight="1">
      <c r="A1446" s="24" t="s">
        <v>4383</v>
      </c>
      <c r="B1446" s="24" t="s">
        <v>4384</v>
      </c>
      <c r="C1446" s="24" t="s">
        <v>4385</v>
      </c>
      <c r="D1446" s="25" t="s">
        <v>4386</v>
      </c>
      <c r="E1446" s="28">
        <v>1.00000</v>
      </c>
      <c r="F1446" s="29">
        <f ca="1">ROUND(19.000,3)</f>
        <v>0</v>
      </c>
      <c r="G1446" s="27">
        <f ca="1">ROUND(E1446*F1446,2)</f>
        <v>0</v>
      </c>
    </row>
    <row r="1447" spans="1:7" ht="24.36" thickBot="1" customHeight="1">
      <c r="A1447" s="24" t="s">
        <v>4387</v>
      </c>
      <c r="B1447" s="24" t="s">
        <v>4388</v>
      </c>
      <c r="C1447" s="24" t="s">
        <v>4389</v>
      </c>
      <c r="D1447" s="25" t="s">
        <v>4390</v>
      </c>
      <c r="E1447" s="28">
        <v>0.20000</v>
      </c>
      <c r="F1447" s="29">
        <f ca="1">ROUND(19.000,3)</f>
        <v>0</v>
      </c>
      <c r="G1447" s="27">
        <f ca="1">ROUND(E1447*F1447,2)</f>
        <v>0</v>
      </c>
    </row>
    <row r="1448" spans="1:7" ht="15.12" thickBot="1" customHeight="1">
      <c r="A1448" s="26"/>
      <c r="B1448" s="26"/>
      <c r="C1448" s="26"/>
      <c r="D1448" s="24" t="s">
        <v>4391</v>
      </c>
      <c r="E1448" s="28">
        <v>0.70000</v>
      </c>
      <c r="F1448" s="29">
        <f ca="1">ROUND((G1445+G1446+G1447),3)</f>
        <v>0</v>
      </c>
      <c r="G1448" s="27">
        <f ca="1">ROUND(E1448*F1448,2)</f>
        <v>0</v>
      </c>
    </row>
    <row r="1449" spans="1:7" ht="15.12" thickBot="1" customHeight="1">
      <c r="A1449" s="24" t="s">
        <v>4392</v>
      </c>
      <c r="B1449" s="24"/>
      <c r="C1449" s="24" t="s">
        <v>4393</v>
      </c>
      <c r="D1449" s="25" t="s">
        <v>4394</v>
      </c>
      <c r="E1449" s="28">
        <v>5.00000</v>
      </c>
      <c r="F1449" s="29">
        <f ca="1">ROUND(30.660,3)</f>
        <v>0</v>
      </c>
      <c r="G1449" s="27">
        <f ca="1">ROUND((E1449*F1449)/100,2)</f>
        <v>0</v>
      </c>
    </row>
    <row r="1450" spans="1:7" ht="25.08" thickBot="1" customHeight="1">
      <c r="A1450" s="30"/>
      <c r="B1450" s="30"/>
      <c r="C1450" s="30"/>
      <c r="D1450" s="31" t="s">
        <v>4395</v>
      </c>
      <c r="E1450" s="30"/>
      <c r="F1450" s="33">
        <f ca="1">ROUND((G1444+G1449)*(1+G2/100),2)</f>
        <v>0</v>
      </c>
      <c r="G1450" s="30"/>
    </row>
    <row r="1451" spans="1:7" ht="15.48" thickBot="1" customHeight="1">
      <c r="A1451" s="39"/>
      <c r="B1451" s="39"/>
      <c r="C1451" s="39"/>
      <c r="D1451" s="40" t="s">
        <v>4396</v>
      </c>
      <c r="E1451" s="41"/>
      <c r="F1451" s="41"/>
      <c r="G1451" s="41"/>
    </row>
    <row r="1452" spans="1:7" ht="22.08" thickBot="1" customHeight="1">
      <c r="A1452" s="42" t="s">
        <v>4397</v>
      </c>
      <c r="B1452" s="42" t="s">
        <v>4398</v>
      </c>
      <c r="C1452" s="43"/>
      <c r="D1452" s="44" t="s">
        <v>4399</v>
      </c>
      <c r="E1452" s="43"/>
      <c r="F1452" s="43"/>
      <c r="G1452" s="43"/>
    </row>
    <row r="1453" spans="1:7" ht="31.68" thickBot="1" customHeight="1">
      <c r="A1453" s="45" t="s">
        <v>4400</v>
      </c>
      <c r="B1453" s="45" t="s">
        <v>4401</v>
      </c>
      <c r="C1453" s="46"/>
      <c r="D1453" s="47" t="s">
        <v>4402</v>
      </c>
      <c r="E1453" s="46"/>
      <c r="F1453" s="63">
        <v>0.00</v>
      </c>
      <c r="G1453" s="46"/>
    </row>
    <row r="1454" spans="1:7" ht="15.48" thickBot="1" customHeight="1">
      <c r="A1454" s="30"/>
      <c r="B1454" s="30"/>
      <c r="C1454" s="30"/>
      <c r="D1454" s="64" t="s">
        <v>4403</v>
      </c>
      <c r="E1454" s="65"/>
      <c r="F1454" s="65"/>
      <c r="G1454" s="65"/>
    </row>
    <row r="1455" spans="1:7" ht="15.48" thickBot="1" customHeight="1">
      <c r="A1455" s="39"/>
      <c r="B1455" s="39"/>
      <c r="C1455" s="39"/>
      <c r="D1455" s="40" t="s">
        <v>4404</v>
      </c>
      <c r="E1455" s="41"/>
      <c r="F1455" s="41"/>
      <c r="G1455" s="41"/>
    </row>
    <row r="1456" spans="1:7" ht="25.08" thickBot="1" customHeight="1">
      <c r="A1456" s="42" t="s">
        <v>4405</v>
      </c>
      <c r="B1456" s="42" t="s">
        <v>4406</v>
      </c>
      <c r="C1456" s="43"/>
      <c r="D1456" s="44" t="s">
        <v>4407</v>
      </c>
      <c r="E1456" s="43"/>
      <c r="F1456" s="43"/>
      <c r="G1456" s="43"/>
    </row>
    <row r="1457" spans="1:7" ht="49.08" thickBot="1" customHeight="1">
      <c r="A1457" s="10" t="s">
        <v>4408</v>
      </c>
      <c r="B1457" s="24" t="s">
        <v>4409</v>
      </c>
      <c r="C1457" s="24" t="s">
        <v>4410</v>
      </c>
      <c r="D1457" s="25" t="s">
        <v>4411</v>
      </c>
      <c r="E1457" s="26"/>
      <c r="F1457" s="27">
        <f ca="1">F1466</f>
        <v>0</v>
      </c>
      <c r="G1457" s="26"/>
    </row>
    <row r="1458" spans="1:7" ht="21.36" thickBot="1" customHeight="1">
      <c r="A1458" s="26"/>
      <c r="B1458" s="26"/>
      <c r="C1458" s="26"/>
      <c r="D1458" s="25" t="s">
        <v>4412</v>
      </c>
      <c r="E1458" s="25"/>
      <c r="F1458" s="25"/>
      <c r="G1458" s="25"/>
    </row>
    <row r="1459" spans="1:7" ht="30.60" thickBot="1" customHeight="1">
      <c r="A1459" s="24" t="s">
        <v>4413</v>
      </c>
      <c r="B1459" s="24" t="s">
        <v>4414</v>
      </c>
      <c r="C1459" s="24" t="s">
        <v>4415</v>
      </c>
      <c r="D1459" s="25" t="s">
        <v>4416</v>
      </c>
      <c r="E1459" s="28">
        <v>0.50000</v>
      </c>
      <c r="F1459" s="29">
        <f ca="1">ROUND(3.740,3)</f>
        <v>0</v>
      </c>
      <c r="G1459" s="27">
        <f ca="1">ROUND(E1459*F1459,2)</f>
        <v>0</v>
      </c>
    </row>
    <row r="1460" spans="1:7" ht="21.36" thickBot="1" customHeight="1">
      <c r="A1460" s="24" t="s">
        <v>4417</v>
      </c>
      <c r="B1460" s="24" t="s">
        <v>4418</v>
      </c>
      <c r="C1460" s="24" t="s">
        <v>4419</v>
      </c>
      <c r="D1460" s="25" t="s">
        <v>4420</v>
      </c>
      <c r="E1460" s="28">
        <v>1.00000</v>
      </c>
      <c r="F1460" s="29">
        <f ca="1">F1464</f>
        <v>0</v>
      </c>
      <c r="G1460" s="27">
        <f ca="1">ROUND(E1460*F1460,2)</f>
        <v>0</v>
      </c>
    </row>
    <row r="1461" spans="1:7" ht="24.36" thickBot="1" customHeight="1">
      <c r="A1461" s="24" t="s">
        <v>4421</v>
      </c>
      <c r="B1461" s="24" t="s">
        <v>4422</v>
      </c>
      <c r="C1461" s="24" t="s">
        <v>4423</v>
      </c>
      <c r="D1461" s="25" t="s">
        <v>4424</v>
      </c>
      <c r="E1461" s="28">
        <v>1.00000</v>
      </c>
      <c r="F1461" s="29">
        <f ca="1">ROUND(21.000,3)</f>
        <v>0</v>
      </c>
      <c r="G1461" s="27">
        <f ca="1">ROUND(E1461*F1461,2)</f>
        <v>0</v>
      </c>
    </row>
    <row r="1462" spans="1:7" ht="24.36" thickBot="1" customHeight="1">
      <c r="A1462" s="24" t="s">
        <v>4425</v>
      </c>
      <c r="B1462" s="24" t="s">
        <v>4426</v>
      </c>
      <c r="C1462" s="24" t="s">
        <v>4427</v>
      </c>
      <c r="D1462" s="25" t="s">
        <v>4428</v>
      </c>
      <c r="E1462" s="28">
        <v>1.00000</v>
      </c>
      <c r="F1462" s="29">
        <f ca="1">ROUND(19.000,3)</f>
        <v>0</v>
      </c>
      <c r="G1462" s="27">
        <f ca="1">ROUND(E1462*F1462,2)</f>
        <v>0</v>
      </c>
    </row>
    <row r="1463" spans="1:7" ht="24.36" thickBot="1" customHeight="1">
      <c r="A1463" s="24" t="s">
        <v>4429</v>
      </c>
      <c r="B1463" s="24" t="s">
        <v>4430</v>
      </c>
      <c r="C1463" s="24" t="s">
        <v>4431</v>
      </c>
      <c r="D1463" s="25" t="s">
        <v>4432</v>
      </c>
      <c r="E1463" s="28">
        <v>0.20000</v>
      </c>
      <c r="F1463" s="29">
        <f ca="1">ROUND(19.000,3)</f>
        <v>0</v>
      </c>
      <c r="G1463" s="27">
        <f ca="1">ROUND(E1463*F1463,2)</f>
        <v>0</v>
      </c>
    </row>
    <row r="1464" spans="1:7" ht="15.12" thickBot="1" customHeight="1">
      <c r="A1464" s="26"/>
      <c r="B1464" s="26"/>
      <c r="C1464" s="26"/>
      <c r="D1464" s="24" t="s">
        <v>4433</v>
      </c>
      <c r="E1464" s="28">
        <v>1.00000</v>
      </c>
      <c r="F1464" s="29">
        <f ca="1">ROUND((G1461+G1462+G1463),3)</f>
        <v>0</v>
      </c>
      <c r="G1464" s="27">
        <f ca="1">ROUND(E1464*F1464,2)</f>
        <v>0</v>
      </c>
    </row>
    <row r="1465" spans="1:7" ht="15.12" thickBot="1" customHeight="1">
      <c r="A1465" s="24" t="s">
        <v>4434</v>
      </c>
      <c r="B1465" s="24"/>
      <c r="C1465" s="24" t="s">
        <v>4435</v>
      </c>
      <c r="D1465" s="25" t="s">
        <v>4436</v>
      </c>
      <c r="E1465" s="28">
        <v>5.00000</v>
      </c>
      <c r="F1465" s="29">
        <f ca="1">ROUND(43.800,3)</f>
        <v>0</v>
      </c>
      <c r="G1465" s="27">
        <f ca="1">ROUND((E1465*F1465)/100,2)</f>
        <v>0</v>
      </c>
    </row>
    <row r="1466" spans="1:7" ht="25.08" thickBot="1" customHeight="1">
      <c r="A1466" s="30"/>
      <c r="B1466" s="30"/>
      <c r="C1466" s="30"/>
      <c r="D1466" s="31" t="s">
        <v>4437</v>
      </c>
      <c r="E1466" s="30"/>
      <c r="F1466" s="33">
        <f ca="1">ROUND((G1459+G1460+G1465)*(1+G2/100),2)</f>
        <v>0</v>
      </c>
      <c r="G1466" s="30"/>
    </row>
    <row r="1467" spans="1:7" ht="15.48" thickBot="1" customHeight="1">
      <c r="A1467" s="39"/>
      <c r="B1467" s="39"/>
      <c r="C1467" s="39"/>
      <c r="D1467" s="40" t="s">
        <v>4438</v>
      </c>
      <c r="E1467" s="41"/>
      <c r="F1467" s="41"/>
      <c r="G1467" s="41"/>
    </row>
    <row r="1468" spans="1:7" ht="22.08" thickBot="1" customHeight="1">
      <c r="A1468" s="42" t="s">
        <v>4439</v>
      </c>
      <c r="B1468" s="42" t="s">
        <v>4440</v>
      </c>
      <c r="C1468" s="43"/>
      <c r="D1468" s="44" t="s">
        <v>4441</v>
      </c>
      <c r="E1468" s="43"/>
      <c r="F1468" s="43"/>
      <c r="G1468" s="43"/>
    </row>
    <row r="1469" spans="1:7" ht="21.36" thickBot="1" customHeight="1">
      <c r="A1469" s="10" t="s">
        <v>4442</v>
      </c>
      <c r="B1469" s="24" t="s">
        <v>4443</v>
      </c>
      <c r="C1469" s="24" t="s">
        <v>4444</v>
      </c>
      <c r="D1469" s="25" t="s">
        <v>4445</v>
      </c>
      <c r="E1469" s="26"/>
      <c r="F1469" s="27">
        <f ca="1">ROUND(0.000*(1+G2/100),2)</f>
        <v>0</v>
      </c>
      <c r="G1469" s="26"/>
    </row>
    <row r="1470" spans="1:7" ht="12.12" thickBot="1" customHeight="1">
      <c r="A1470" s="26"/>
      <c r="B1470" s="26"/>
      <c r="C1470" s="26"/>
      <c r="D1470" s="25" t="s">
        <v>4446</v>
      </c>
      <c r="E1470" s="25"/>
      <c r="F1470" s="25"/>
      <c r="G1470" s="25"/>
    </row>
    <row r="1471" spans="1:7" ht="39.84" thickBot="1" customHeight="1">
      <c r="A1471" s="10" t="s">
        <v>4447</v>
      </c>
      <c r="B1471" s="24" t="s">
        <v>4448</v>
      </c>
      <c r="C1471" s="24" t="s">
        <v>4449</v>
      </c>
      <c r="D1471" s="25" t="s">
        <v>4450</v>
      </c>
      <c r="E1471" s="26"/>
      <c r="F1471" s="27">
        <f ca="1">ROUND(0.000*(1+G2/100),2)</f>
        <v>0</v>
      </c>
      <c r="G1471" s="26"/>
    </row>
    <row r="1472" spans="1:7" ht="21.36" thickBot="1" customHeight="1">
      <c r="A1472" s="26"/>
      <c r="B1472" s="26"/>
      <c r="C1472" s="26"/>
      <c r="D1472" s="25" t="s">
        <v>4451</v>
      </c>
      <c r="E1472" s="25"/>
      <c r="F1472" s="25"/>
      <c r="G1472" s="25"/>
    </row>
    <row r="1473" spans="1:7" ht="21.36" thickBot="1" customHeight="1">
      <c r="A1473" s="10" t="s">
        <v>4452</v>
      </c>
      <c r="B1473" s="24" t="s">
        <v>4453</v>
      </c>
      <c r="C1473" s="24" t="s">
        <v>4454</v>
      </c>
      <c r="D1473" s="25" t="s">
        <v>4455</v>
      </c>
      <c r="E1473" s="26"/>
      <c r="F1473" s="27">
        <f ca="1">ROUND(0.000*(1+G2/100),2)</f>
        <v>0</v>
      </c>
      <c r="G1473" s="26"/>
    </row>
    <row r="1474" spans="1:7" ht="12.12" thickBot="1" customHeight="1">
      <c r="A1474" s="26"/>
      <c r="B1474" s="26"/>
      <c r="C1474" s="26"/>
      <c r="D1474" s="25" t="s">
        <v>4456</v>
      </c>
      <c r="E1474" s="25"/>
      <c r="F1474" s="25"/>
      <c r="G1474" s="25"/>
    </row>
    <row r="1475" spans="1:7" ht="39.84" thickBot="1" customHeight="1">
      <c r="A1475" s="10" t="s">
        <v>4457</v>
      </c>
      <c r="B1475" s="24" t="s">
        <v>4458</v>
      </c>
      <c r="C1475" s="24" t="s">
        <v>4459</v>
      </c>
      <c r="D1475" s="25" t="s">
        <v>4460</v>
      </c>
      <c r="E1475" s="26"/>
      <c r="F1475" s="27">
        <f ca="1">ROUND(0.000*(1+G2/100),2)</f>
        <v>0</v>
      </c>
      <c r="G1475" s="26"/>
    </row>
    <row r="1476" spans="1:7" ht="21.36" thickBot="1" customHeight="1">
      <c r="A1476" s="26"/>
      <c r="B1476" s="26"/>
      <c r="C1476" s="26"/>
      <c r="D1476" s="25" t="s">
        <v>4461</v>
      </c>
      <c r="E1476" s="25"/>
      <c r="F1476" s="25"/>
      <c r="G1476" s="25"/>
    </row>
    <row r="1477" spans="1:7" ht="15.48" thickBot="1" customHeight="1">
      <c r="A1477" s="30"/>
      <c r="B1477" s="30"/>
      <c r="C1477" s="30"/>
      <c r="D1477" s="61" t="s">
        <v>4462</v>
      </c>
      <c r="E1477" s="62"/>
      <c r="F1477" s="62"/>
      <c r="G1477" s="62"/>
    </row>
    <row r="1478" spans="1:7" ht="22.08" thickBot="1" customHeight="1">
      <c r="A1478" s="42" t="s">
        <v>4463</v>
      </c>
      <c r="B1478" s="42" t="s">
        <v>4464</v>
      </c>
      <c r="C1478" s="43"/>
      <c r="D1478" s="44" t="s">
        <v>4465</v>
      </c>
      <c r="E1478" s="43"/>
      <c r="F1478" s="43"/>
      <c r="G1478" s="43"/>
    </row>
    <row r="1479" spans="1:7" ht="30.60" thickBot="1" customHeight="1">
      <c r="A1479" s="10" t="s">
        <v>4466</v>
      </c>
      <c r="B1479" s="24" t="s">
        <v>4467</v>
      </c>
      <c r="C1479" s="24" t="s">
        <v>4468</v>
      </c>
      <c r="D1479" s="25" t="s">
        <v>4469</v>
      </c>
      <c r="E1479" s="26"/>
      <c r="F1479" s="27">
        <f ca="1">F1492</f>
        <v>0</v>
      </c>
      <c r="G1479" s="26"/>
    </row>
    <row r="1480" spans="1:7" ht="21.36" thickBot="1" customHeight="1">
      <c r="A1480" s="26"/>
      <c r="B1480" s="26"/>
      <c r="C1480" s="26"/>
      <c r="D1480" s="25" t="s">
        <v>4470</v>
      </c>
      <c r="E1480" s="25"/>
      <c r="F1480" s="25"/>
      <c r="G1480" s="25"/>
    </row>
    <row r="1481" spans="1:7" ht="30.60" thickBot="1" customHeight="1">
      <c r="A1481" s="24" t="s">
        <v>4471</v>
      </c>
      <c r="B1481" s="24" t="s">
        <v>4472</v>
      </c>
      <c r="C1481" s="24" t="s">
        <v>4473</v>
      </c>
      <c r="D1481" s="25" t="s">
        <v>4474</v>
      </c>
      <c r="E1481" s="28">
        <v>0.40000</v>
      </c>
      <c r="F1481" s="29">
        <f ca="1">ROUND(3.740,3)</f>
        <v>0</v>
      </c>
      <c r="G1481" s="27">
        <f ca="1">ROUND(E1481*F1481,2)</f>
        <v>0</v>
      </c>
    </row>
    <row r="1482" spans="1:7" ht="30.60" thickBot="1" customHeight="1">
      <c r="A1482" s="24" t="s">
        <v>4475</v>
      </c>
      <c r="B1482" s="24" t="s">
        <v>4476</v>
      </c>
      <c r="C1482" s="24" t="s">
        <v>4477</v>
      </c>
      <c r="D1482" s="25" t="s">
        <v>4478</v>
      </c>
      <c r="E1482" s="28">
        <v>0.40000</v>
      </c>
      <c r="F1482" s="29">
        <f ca="1">F1484</f>
        <v>0</v>
      </c>
      <c r="G1482" s="27">
        <f ca="1">ROUND(E1482*F1482,2)</f>
        <v>0</v>
      </c>
    </row>
    <row r="1483" spans="1:7" ht="30.60" thickBot="1" customHeight="1">
      <c r="A1483" s="24" t="s">
        <v>4479</v>
      </c>
      <c r="B1483" s="24" t="s">
        <v>4480</v>
      </c>
      <c r="C1483" s="24" t="s">
        <v>4481</v>
      </c>
      <c r="D1483" s="25" t="s">
        <v>4482</v>
      </c>
      <c r="E1483" s="28">
        <v>0.00417</v>
      </c>
      <c r="F1483" s="29">
        <f ca="1">ROUND(1366.230,3)</f>
        <v>0</v>
      </c>
      <c r="G1483" s="27">
        <f ca="1">ROUND(E1483*F1483,2)</f>
        <v>0</v>
      </c>
    </row>
    <row r="1484" spans="1:7" ht="15.12" thickBot="1" customHeight="1">
      <c r="A1484" s="26"/>
      <c r="B1484" s="26"/>
      <c r="C1484" s="26"/>
      <c r="D1484" s="24" t="s">
        <v>4483</v>
      </c>
      <c r="E1484" s="28">
        <v>0.40000</v>
      </c>
      <c r="F1484" s="29">
        <f ca="1">ROUND((G1483),3)</f>
        <v>0</v>
      </c>
      <c r="G1484" s="27">
        <f ca="1">ROUND(E1484*F1484,2)</f>
        <v>0</v>
      </c>
    </row>
    <row r="1485" spans="1:7" ht="21.36" thickBot="1" customHeight="1">
      <c r="A1485" s="24" t="s">
        <v>4484</v>
      </c>
      <c r="B1485" s="24" t="s">
        <v>4485</v>
      </c>
      <c r="C1485" s="24" t="s">
        <v>4486</v>
      </c>
      <c r="D1485" s="25" t="s">
        <v>4487</v>
      </c>
      <c r="E1485" s="28">
        <v>0.10000</v>
      </c>
      <c r="F1485" s="29">
        <f ca="1">ROUND(3.000,3)</f>
        <v>0</v>
      </c>
      <c r="G1485" s="27">
        <f ca="1">ROUND(E1485*F1485,2)</f>
        <v>0</v>
      </c>
    </row>
    <row r="1486" spans="1:7" ht="21.36" thickBot="1" customHeight="1">
      <c r="A1486" s="24" t="s">
        <v>4488</v>
      </c>
      <c r="B1486" s="24" t="s">
        <v>4489</v>
      </c>
      <c r="C1486" s="24" t="s">
        <v>4490</v>
      </c>
      <c r="D1486" s="25" t="s">
        <v>4491</v>
      </c>
      <c r="E1486" s="28">
        <v>0.70000</v>
      </c>
      <c r="F1486" s="29">
        <f ca="1">F1490</f>
        <v>0</v>
      </c>
      <c r="G1486" s="27">
        <f ca="1">ROUND(E1486*F1486,2)</f>
        <v>0</v>
      </c>
    </row>
    <row r="1487" spans="1:7" ht="24.36" thickBot="1" customHeight="1">
      <c r="A1487" s="24" t="s">
        <v>4492</v>
      </c>
      <c r="B1487" s="24" t="s">
        <v>4493</v>
      </c>
      <c r="C1487" s="24" t="s">
        <v>4494</v>
      </c>
      <c r="D1487" s="25" t="s">
        <v>4495</v>
      </c>
      <c r="E1487" s="28">
        <v>1.00000</v>
      </c>
      <c r="F1487" s="29">
        <f ca="1">ROUND(21.000,3)</f>
        <v>0</v>
      </c>
      <c r="G1487" s="27">
        <f ca="1">ROUND(E1487*F1487,2)</f>
        <v>0</v>
      </c>
    </row>
    <row r="1488" spans="1:7" ht="24.36" thickBot="1" customHeight="1">
      <c r="A1488" s="24" t="s">
        <v>4496</v>
      </c>
      <c r="B1488" s="24" t="s">
        <v>4497</v>
      </c>
      <c r="C1488" s="24" t="s">
        <v>4498</v>
      </c>
      <c r="D1488" s="25" t="s">
        <v>4499</v>
      </c>
      <c r="E1488" s="28">
        <v>1.00000</v>
      </c>
      <c r="F1488" s="29">
        <f ca="1">ROUND(19.000,3)</f>
        <v>0</v>
      </c>
      <c r="G1488" s="27">
        <f ca="1">ROUND(E1488*F1488,2)</f>
        <v>0</v>
      </c>
    </row>
    <row r="1489" spans="1:7" ht="24.36" thickBot="1" customHeight="1">
      <c r="A1489" s="24" t="s">
        <v>4500</v>
      </c>
      <c r="B1489" s="24" t="s">
        <v>4501</v>
      </c>
      <c r="C1489" s="24" t="s">
        <v>4502</v>
      </c>
      <c r="D1489" s="25" t="s">
        <v>4503</v>
      </c>
      <c r="E1489" s="28">
        <v>0.20000</v>
      </c>
      <c r="F1489" s="29">
        <f ca="1">ROUND(19.000,3)</f>
        <v>0</v>
      </c>
      <c r="G1489" s="27">
        <f ca="1">ROUND(E1489*F1489,2)</f>
        <v>0</v>
      </c>
    </row>
    <row r="1490" spans="1:7" ht="15.12" thickBot="1" customHeight="1">
      <c r="A1490" s="26"/>
      <c r="B1490" s="26"/>
      <c r="C1490" s="26"/>
      <c r="D1490" s="24" t="s">
        <v>4504</v>
      </c>
      <c r="E1490" s="28">
        <v>0.70000</v>
      </c>
      <c r="F1490" s="29">
        <f ca="1">ROUND((G1487+G1488+G1489),3)</f>
        <v>0</v>
      </c>
      <c r="G1490" s="27">
        <f ca="1">ROUND(E1490*F1490,2)</f>
        <v>0</v>
      </c>
    </row>
    <row r="1491" spans="1:7" ht="15.12" thickBot="1" customHeight="1">
      <c r="A1491" s="24" t="s">
        <v>4505</v>
      </c>
      <c r="B1491" s="24"/>
      <c r="C1491" s="24" t="s">
        <v>4506</v>
      </c>
      <c r="D1491" s="25" t="s">
        <v>4507</v>
      </c>
      <c r="E1491" s="28">
        <v>3.00000</v>
      </c>
      <c r="F1491" s="29">
        <f ca="1">ROUND(30.660,3)</f>
        <v>0</v>
      </c>
      <c r="G1491" s="27">
        <f ca="1">ROUND((E1491*F1491)/100,2)</f>
        <v>0</v>
      </c>
    </row>
    <row r="1492" spans="1:7" ht="15.48" thickBot="1" customHeight="1">
      <c r="A1492" s="30"/>
      <c r="B1492" s="30"/>
      <c r="C1492" s="30"/>
      <c r="D1492" s="31" t="s">
        <v>4508</v>
      </c>
      <c r="E1492" s="30"/>
      <c r="F1492" s="33">
        <f ca="1">ROUND((G1481+G1482+G1485+G1486+G1491)*(1+G2/100),2)</f>
        <v>0</v>
      </c>
      <c r="G1492" s="30"/>
    </row>
    <row r="1493" spans="1:7" ht="30.60" thickBot="1" customHeight="1">
      <c r="A1493" s="34" t="s">
        <v>4509</v>
      </c>
      <c r="B1493" s="35" t="s">
        <v>4510</v>
      </c>
      <c r="C1493" s="35" t="s">
        <v>4511</v>
      </c>
      <c r="D1493" s="36" t="s">
        <v>4512</v>
      </c>
      <c r="E1493" s="37"/>
      <c r="F1493" s="38">
        <f ca="1">F1505</f>
        <v>0</v>
      </c>
      <c r="G1493" s="37"/>
    </row>
    <row r="1494" spans="1:7" ht="21.36" thickBot="1" customHeight="1">
      <c r="A1494" s="26"/>
      <c r="B1494" s="26"/>
      <c r="C1494" s="26"/>
      <c r="D1494" s="25" t="s">
        <v>4513</v>
      </c>
      <c r="E1494" s="25"/>
      <c r="F1494" s="25"/>
      <c r="G1494" s="25"/>
    </row>
    <row r="1495" spans="1:7" ht="39.84" thickBot="1" customHeight="1">
      <c r="A1495" s="24" t="s">
        <v>4514</v>
      </c>
      <c r="B1495" s="24" t="s">
        <v>4515</v>
      </c>
      <c r="C1495" s="24" t="s">
        <v>4516</v>
      </c>
      <c r="D1495" s="25" t="s">
        <v>4517</v>
      </c>
      <c r="E1495" s="28">
        <v>0.20000</v>
      </c>
      <c r="F1495" s="29">
        <f ca="1">ROUND(2.000,3)</f>
        <v>0</v>
      </c>
      <c r="G1495" s="27">
        <f ca="1">ROUND(E1495*F1495,2)</f>
        <v>0</v>
      </c>
    </row>
    <row r="1496" spans="1:7" ht="30.60" thickBot="1" customHeight="1">
      <c r="A1496" s="24" t="s">
        <v>4518</v>
      </c>
      <c r="B1496" s="24" t="s">
        <v>4519</v>
      </c>
      <c r="C1496" s="24" t="s">
        <v>4520</v>
      </c>
      <c r="D1496" s="25" t="s">
        <v>4521</v>
      </c>
      <c r="E1496" s="28">
        <v>0.20000</v>
      </c>
      <c r="F1496" s="29">
        <f ca="1">ROUND(1.875,3)</f>
        <v>0</v>
      </c>
      <c r="G1496" s="27">
        <f ca="1">ROUND(E1496*F1496,2)</f>
        <v>0</v>
      </c>
    </row>
    <row r="1497" spans="1:7" ht="39.84" thickBot="1" customHeight="1">
      <c r="A1497" s="24" t="s">
        <v>4522</v>
      </c>
      <c r="B1497" s="24" t="s">
        <v>4523</v>
      </c>
      <c r="C1497" s="24" t="s">
        <v>4524</v>
      </c>
      <c r="D1497" s="25" t="s">
        <v>4525</v>
      </c>
      <c r="E1497" s="28">
        <v>0.20000</v>
      </c>
      <c r="F1497" s="29">
        <f ca="1">ROUND(7.565,3)</f>
        <v>0</v>
      </c>
      <c r="G1497" s="27">
        <f ca="1">ROUND(E1497*F1497,2)</f>
        <v>0</v>
      </c>
    </row>
    <row r="1498" spans="1:7" ht="21.36" thickBot="1" customHeight="1">
      <c r="A1498" s="24" t="s">
        <v>4526</v>
      </c>
      <c r="B1498" s="24" t="s">
        <v>4527</v>
      </c>
      <c r="C1498" s="24" t="s">
        <v>4528</v>
      </c>
      <c r="D1498" s="25" t="s">
        <v>4529</v>
      </c>
      <c r="E1498" s="28">
        <v>0.10000</v>
      </c>
      <c r="F1498" s="29">
        <f ca="1">ROUND(3.000,3)</f>
        <v>0</v>
      </c>
      <c r="G1498" s="27">
        <f ca="1">ROUND(E1498*F1498,2)</f>
        <v>0</v>
      </c>
    </row>
    <row r="1499" spans="1:7" ht="21.36" thickBot="1" customHeight="1">
      <c r="A1499" s="24" t="s">
        <v>4530</v>
      </c>
      <c r="B1499" s="24" t="s">
        <v>4531</v>
      </c>
      <c r="C1499" s="24" t="s">
        <v>4532</v>
      </c>
      <c r="D1499" s="25" t="s">
        <v>4533</v>
      </c>
      <c r="E1499" s="28">
        <v>0.53333</v>
      </c>
      <c r="F1499" s="29">
        <f ca="1">F1503</f>
        <v>0</v>
      </c>
      <c r="G1499" s="27">
        <f ca="1">ROUND(E1499*F1499,2)</f>
        <v>0</v>
      </c>
    </row>
    <row r="1500" spans="1:7" ht="24.36" thickBot="1" customHeight="1">
      <c r="A1500" s="24" t="s">
        <v>4534</v>
      </c>
      <c r="B1500" s="24" t="s">
        <v>4535</v>
      </c>
      <c r="C1500" s="24" t="s">
        <v>4536</v>
      </c>
      <c r="D1500" s="25" t="s">
        <v>4537</v>
      </c>
      <c r="E1500" s="28">
        <v>1.00000</v>
      </c>
      <c r="F1500" s="29">
        <f ca="1">ROUND(21.000,3)</f>
        <v>0</v>
      </c>
      <c r="G1500" s="27">
        <f ca="1">ROUND(E1500*F1500,2)</f>
        <v>0</v>
      </c>
    </row>
    <row r="1501" spans="1:7" ht="24.36" thickBot="1" customHeight="1">
      <c r="A1501" s="24" t="s">
        <v>4538</v>
      </c>
      <c r="B1501" s="24" t="s">
        <v>4539</v>
      </c>
      <c r="C1501" s="24" t="s">
        <v>4540</v>
      </c>
      <c r="D1501" s="25" t="s">
        <v>4541</v>
      </c>
      <c r="E1501" s="28">
        <v>1.00000</v>
      </c>
      <c r="F1501" s="29">
        <f ca="1">ROUND(19.000,3)</f>
        <v>0</v>
      </c>
      <c r="G1501" s="27">
        <f ca="1">ROUND(E1501*F1501,2)</f>
        <v>0</v>
      </c>
    </row>
    <row r="1502" spans="1:7" ht="24.36" thickBot="1" customHeight="1">
      <c r="A1502" s="24" t="s">
        <v>4542</v>
      </c>
      <c r="B1502" s="24" t="s">
        <v>4543</v>
      </c>
      <c r="C1502" s="24" t="s">
        <v>4544</v>
      </c>
      <c r="D1502" s="25" t="s">
        <v>4545</v>
      </c>
      <c r="E1502" s="28">
        <v>0.20000</v>
      </c>
      <c r="F1502" s="29">
        <f ca="1">ROUND(19.000,3)</f>
        <v>0</v>
      </c>
      <c r="G1502" s="27">
        <f ca="1">ROUND(E1502*F1502,2)</f>
        <v>0</v>
      </c>
    </row>
    <row r="1503" spans="1:7" ht="15.12" thickBot="1" customHeight="1">
      <c r="A1503" s="26"/>
      <c r="B1503" s="26"/>
      <c r="C1503" s="26"/>
      <c r="D1503" s="24" t="s">
        <v>4546</v>
      </c>
      <c r="E1503" s="28">
        <v>0.53333</v>
      </c>
      <c r="F1503" s="29">
        <f ca="1">ROUND((G1500+G1501+G1502),3)</f>
        <v>0</v>
      </c>
      <c r="G1503" s="27">
        <f ca="1">ROUND(E1503*F1503,2)</f>
        <v>0</v>
      </c>
    </row>
    <row r="1504" spans="1:7" ht="15.12" thickBot="1" customHeight="1">
      <c r="A1504" s="24" t="s">
        <v>4547</v>
      </c>
      <c r="B1504" s="24"/>
      <c r="C1504" s="24" t="s">
        <v>4548</v>
      </c>
      <c r="D1504" s="25" t="s">
        <v>4549</v>
      </c>
      <c r="E1504" s="28">
        <v>3.00000</v>
      </c>
      <c r="F1504" s="29">
        <f ca="1">ROUND(23.360,3)</f>
        <v>0</v>
      </c>
      <c r="G1504" s="27">
        <f ca="1">ROUND((E1504*F1504)/100,2)</f>
        <v>0</v>
      </c>
    </row>
    <row r="1505" spans="1:7" ht="15.48" thickBot="1" customHeight="1">
      <c r="A1505" s="30"/>
      <c r="B1505" s="30"/>
      <c r="C1505" s="30"/>
      <c r="D1505" s="31" t="s">
        <v>4550</v>
      </c>
      <c r="E1505" s="30"/>
      <c r="F1505" s="33">
        <f ca="1">ROUND((G1495+G1496+G1497+G1498+G1499+G1504)*(1+G2/100),2)</f>
        <v>0</v>
      </c>
      <c r="G1505" s="30"/>
    </row>
    <row r="1506" spans="1:7" ht="15.48" thickBot="1" customHeight="1">
      <c r="A1506" s="39"/>
      <c r="B1506" s="39"/>
      <c r="C1506" s="39"/>
      <c r="D1506" s="40" t="s">
        <v>4551</v>
      </c>
      <c r="E1506" s="41"/>
      <c r="F1506" s="41"/>
      <c r="G1506" s="41"/>
    </row>
    <row r="1507" spans="1:7" ht="25.08" thickBot="1" customHeight="1">
      <c r="A1507" s="42" t="s">
        <v>4552</v>
      </c>
      <c r="B1507" s="42" t="s">
        <v>4553</v>
      </c>
      <c r="C1507" s="43"/>
      <c r="D1507" s="44" t="s">
        <v>4554</v>
      </c>
      <c r="E1507" s="43"/>
      <c r="F1507" s="43"/>
      <c r="G1507" s="43"/>
    </row>
    <row r="1508" spans="1:7" ht="31.68" thickBot="1" customHeight="1">
      <c r="A1508" s="45" t="s">
        <v>4555</v>
      </c>
      <c r="B1508" s="45" t="s">
        <v>4556</v>
      </c>
      <c r="C1508" s="46"/>
      <c r="D1508" s="47" t="s">
        <v>4557</v>
      </c>
      <c r="E1508" s="46"/>
      <c r="F1508" s="63">
        <v>0.00</v>
      </c>
      <c r="G1508" s="46"/>
    </row>
    <row r="1509" spans="1:7" ht="15.48" thickBot="1" customHeight="1">
      <c r="A1509" s="30"/>
      <c r="B1509" s="30"/>
      <c r="C1509" s="30"/>
      <c r="D1509" s="64" t="s">
        <v>4558</v>
      </c>
      <c r="E1509" s="65"/>
      <c r="F1509" s="65"/>
      <c r="G1509" s="65"/>
    </row>
    <row r="1510" spans="1:7" ht="22.08" thickBot="1" customHeight="1">
      <c r="A1510" s="66" t="s">
        <v>4559</v>
      </c>
      <c r="B1510" s="66" t="s">
        <v>4560</v>
      </c>
      <c r="C1510" s="67"/>
      <c r="D1510" s="68" t="s">
        <v>4561</v>
      </c>
      <c r="E1510" s="67"/>
      <c r="F1510" s="69">
        <v>0.00</v>
      </c>
      <c r="G1510" s="67"/>
    </row>
    <row r="1511" spans="1:7" ht="15.48" thickBot="1" customHeight="1">
      <c r="A1511" s="30"/>
      <c r="B1511" s="30"/>
      <c r="C1511" s="30"/>
      <c r="D1511" s="64" t="s">
        <v>4562</v>
      </c>
      <c r="E1511" s="65"/>
      <c r="F1511" s="65"/>
      <c r="G1511" s="65"/>
    </row>
    <row r="1512" spans="1:7" ht="25.08" thickBot="1" customHeight="1">
      <c r="A1512" s="66" t="s">
        <v>4563</v>
      </c>
      <c r="B1512" s="66" t="s">
        <v>4564</v>
      </c>
      <c r="C1512" s="67"/>
      <c r="D1512" s="68" t="s">
        <v>4565</v>
      </c>
      <c r="E1512" s="67"/>
      <c r="F1512" s="69">
        <v>0.00</v>
      </c>
      <c r="G1512" s="67"/>
    </row>
    <row r="1513" spans="1:7" ht="15.48" thickBot="1" customHeight="1">
      <c r="A1513" s="30"/>
      <c r="B1513" s="30"/>
      <c r="C1513" s="30"/>
      <c r="D1513" s="64" t="s">
        <v>4566</v>
      </c>
      <c r="E1513" s="65"/>
      <c r="F1513" s="65"/>
      <c r="G1513" s="65"/>
    </row>
    <row r="1514" spans="1:7" ht="15.48" thickBot="1" customHeight="1">
      <c r="A1514" s="39"/>
      <c r="B1514" s="39"/>
      <c r="C1514" s="39"/>
      <c r="D1514" s="40" t="s">
        <v>4567</v>
      </c>
      <c r="E1514" s="41"/>
      <c r="F1514" s="41"/>
      <c r="G1514" s="41"/>
    </row>
    <row r="1515" spans="1:7" ht="15.48" thickBot="1" customHeight="1">
      <c r="A1515" s="39"/>
      <c r="B1515" s="39"/>
      <c r="C1515" s="39"/>
      <c r="D1515" s="50" t="s">
        <v>4568</v>
      </c>
      <c r="E1515" s="51"/>
      <c r="F1515" s="51"/>
      <c r="G1515" s="51"/>
    </row>
    <row r="1516" spans="1:7" ht="25.08" thickBot="1" customHeight="1">
      <c r="A1516" s="52" t="s">
        <v>4569</v>
      </c>
      <c r="B1516" s="52" t="s">
        <v>4570</v>
      </c>
      <c r="C1516" s="53"/>
      <c r="D1516" s="54" t="s">
        <v>4571</v>
      </c>
      <c r="E1516" s="53"/>
      <c r="F1516" s="53"/>
      <c r="G1516" s="53"/>
    </row>
    <row r="1517" spans="1:7" ht="30.60" thickBot="1" customHeight="1">
      <c r="A1517" s="10" t="s">
        <v>4572</v>
      </c>
      <c r="B1517" s="24" t="s">
        <v>4573</v>
      </c>
      <c r="C1517" s="24" t="s">
        <v>4574</v>
      </c>
      <c r="D1517" s="25" t="s">
        <v>4575</v>
      </c>
      <c r="E1517" s="26"/>
      <c r="F1517" s="27">
        <f ca="1">F1525</f>
        <v>0</v>
      </c>
      <c r="G1517" s="26"/>
    </row>
    <row r="1518" spans="1:7" ht="39.84" thickBot="1" customHeight="1">
      <c r="A1518" s="26"/>
      <c r="B1518" s="26"/>
      <c r="C1518" s="26"/>
      <c r="D1518" s="25" t="s">
        <v>4576</v>
      </c>
      <c r="E1518" s="25"/>
      <c r="F1518" s="25"/>
      <c r="G1518" s="25"/>
    </row>
    <row r="1519" spans="1:7" ht="21.36" thickBot="1" customHeight="1">
      <c r="A1519" s="24" t="s">
        <v>4577</v>
      </c>
      <c r="B1519" s="24" t="s">
        <v>4578</v>
      </c>
      <c r="C1519" s="24" t="s">
        <v>4579</v>
      </c>
      <c r="D1519" s="25" t="s">
        <v>4580</v>
      </c>
      <c r="E1519" s="28">
        <v>0.33700</v>
      </c>
      <c r="F1519" s="29">
        <f ca="1">F1523</f>
        <v>0</v>
      </c>
      <c r="G1519" s="27">
        <f ca="1">ROUND(E1519*F1519,2)</f>
        <v>0</v>
      </c>
    </row>
    <row r="1520" spans="1:7" ht="24.36" thickBot="1" customHeight="1">
      <c r="A1520" s="24" t="s">
        <v>4581</v>
      </c>
      <c r="B1520" s="24" t="s">
        <v>4582</v>
      </c>
      <c r="C1520" s="24" t="s">
        <v>4583</v>
      </c>
      <c r="D1520" s="25" t="s">
        <v>4584</v>
      </c>
      <c r="E1520" s="28">
        <v>1.00000</v>
      </c>
      <c r="F1520" s="29">
        <f ca="1">ROUND(21.000,3)</f>
        <v>0</v>
      </c>
      <c r="G1520" s="27">
        <f ca="1">ROUND(E1520*F1520,2)</f>
        <v>0</v>
      </c>
    </row>
    <row r="1521" spans="1:7" ht="24.36" thickBot="1" customHeight="1">
      <c r="A1521" s="24" t="s">
        <v>4585</v>
      </c>
      <c r="B1521" s="24" t="s">
        <v>4586</v>
      </c>
      <c r="C1521" s="24" t="s">
        <v>4587</v>
      </c>
      <c r="D1521" s="25" t="s">
        <v>4588</v>
      </c>
      <c r="E1521" s="28">
        <v>1.00000</v>
      </c>
      <c r="F1521" s="29">
        <f ca="1">ROUND(19.000,3)</f>
        <v>0</v>
      </c>
      <c r="G1521" s="27">
        <f ca="1">ROUND(E1521*F1521,2)</f>
        <v>0</v>
      </c>
    </row>
    <row r="1522" spans="1:7" ht="24.36" thickBot="1" customHeight="1">
      <c r="A1522" s="24" t="s">
        <v>4589</v>
      </c>
      <c r="B1522" s="24" t="s">
        <v>4590</v>
      </c>
      <c r="C1522" s="24" t="s">
        <v>4591</v>
      </c>
      <c r="D1522" s="25" t="s">
        <v>4592</v>
      </c>
      <c r="E1522" s="28">
        <v>0.20000</v>
      </c>
      <c r="F1522" s="29">
        <f ca="1">ROUND(19.000,3)</f>
        <v>0</v>
      </c>
      <c r="G1522" s="27">
        <f ca="1">ROUND(E1522*F1522,2)</f>
        <v>0</v>
      </c>
    </row>
    <row r="1523" spans="1:7" ht="15.12" thickBot="1" customHeight="1">
      <c r="A1523" s="26"/>
      <c r="B1523" s="26"/>
      <c r="C1523" s="26"/>
      <c r="D1523" s="24" t="s">
        <v>4593</v>
      </c>
      <c r="E1523" s="28">
        <v>0.33700</v>
      </c>
      <c r="F1523" s="29">
        <f ca="1">ROUND((G1520+G1521+G1522),3)</f>
        <v>0</v>
      </c>
      <c r="G1523" s="27">
        <f ca="1">ROUND(E1523*F1523,2)</f>
        <v>0</v>
      </c>
    </row>
    <row r="1524" spans="1:7" ht="15.12" thickBot="1" customHeight="1">
      <c r="A1524" s="24" t="s">
        <v>4594</v>
      </c>
      <c r="B1524" s="24"/>
      <c r="C1524" s="24" t="s">
        <v>4595</v>
      </c>
      <c r="D1524" s="25" t="s">
        <v>4596</v>
      </c>
      <c r="E1524" s="28">
        <v>3.00000</v>
      </c>
      <c r="F1524" s="29">
        <f ca="1">ROUND(14.760,3)</f>
        <v>0</v>
      </c>
      <c r="G1524" s="27">
        <f ca="1">ROUND((E1524*F1524)/100,2)</f>
        <v>0</v>
      </c>
    </row>
    <row r="1525" spans="1:7" ht="15.48" thickBot="1" customHeight="1">
      <c r="A1525" s="30"/>
      <c r="B1525" s="30"/>
      <c r="C1525" s="30"/>
      <c r="D1525" s="31" t="s">
        <v>4597</v>
      </c>
      <c r="E1525" s="30"/>
      <c r="F1525" s="33">
        <f ca="1">ROUND((G1519+G1524)*(1+G2/100),2)</f>
        <v>0</v>
      </c>
      <c r="G1525" s="30"/>
    </row>
    <row r="1526" spans="1:7" ht="30.60" thickBot="1" customHeight="1">
      <c r="A1526" s="34" t="s">
        <v>4598</v>
      </c>
      <c r="B1526" s="35" t="s">
        <v>4599</v>
      </c>
      <c r="C1526" s="35" t="s">
        <v>4600</v>
      </c>
      <c r="D1526" s="36" t="s">
        <v>4601</v>
      </c>
      <c r="E1526" s="37"/>
      <c r="F1526" s="38">
        <f ca="1">F1534</f>
        <v>0</v>
      </c>
      <c r="G1526" s="37"/>
    </row>
    <row r="1527" spans="1:7" ht="30.60" thickBot="1" customHeight="1">
      <c r="A1527" s="26"/>
      <c r="B1527" s="26"/>
      <c r="C1527" s="26"/>
      <c r="D1527" s="25" t="s">
        <v>4602</v>
      </c>
      <c r="E1527" s="25"/>
      <c r="F1527" s="25"/>
      <c r="G1527" s="25"/>
    </row>
    <row r="1528" spans="1:7" ht="21.36" thickBot="1" customHeight="1">
      <c r="A1528" s="24" t="s">
        <v>4603</v>
      </c>
      <c r="B1528" s="24" t="s">
        <v>4604</v>
      </c>
      <c r="C1528" s="24" t="s">
        <v>4605</v>
      </c>
      <c r="D1528" s="25" t="s">
        <v>4606</v>
      </c>
      <c r="E1528" s="28">
        <v>0.50000</v>
      </c>
      <c r="F1528" s="29">
        <f ca="1">F1532</f>
        <v>0</v>
      </c>
      <c r="G1528" s="27">
        <f ca="1">ROUND(E1528*F1528,2)</f>
        <v>0</v>
      </c>
    </row>
    <row r="1529" spans="1:7" ht="24.36" thickBot="1" customHeight="1">
      <c r="A1529" s="24" t="s">
        <v>4607</v>
      </c>
      <c r="B1529" s="24" t="s">
        <v>4608</v>
      </c>
      <c r="C1529" s="24" t="s">
        <v>4609</v>
      </c>
      <c r="D1529" s="25" t="s">
        <v>4610</v>
      </c>
      <c r="E1529" s="28">
        <v>1.00000</v>
      </c>
      <c r="F1529" s="29">
        <f ca="1">ROUND(21.000,3)</f>
        <v>0</v>
      </c>
      <c r="G1529" s="27">
        <f ca="1">ROUND(E1529*F1529,2)</f>
        <v>0</v>
      </c>
    </row>
    <row r="1530" spans="1:7" ht="24.36" thickBot="1" customHeight="1">
      <c r="A1530" s="24" t="s">
        <v>4611</v>
      </c>
      <c r="B1530" s="24" t="s">
        <v>4612</v>
      </c>
      <c r="C1530" s="24" t="s">
        <v>4613</v>
      </c>
      <c r="D1530" s="25" t="s">
        <v>4614</v>
      </c>
      <c r="E1530" s="28">
        <v>1.00000</v>
      </c>
      <c r="F1530" s="29">
        <f ca="1">ROUND(19.000,3)</f>
        <v>0</v>
      </c>
      <c r="G1530" s="27">
        <f ca="1">ROUND(E1530*F1530,2)</f>
        <v>0</v>
      </c>
    </row>
    <row r="1531" spans="1:7" ht="24.36" thickBot="1" customHeight="1">
      <c r="A1531" s="24" t="s">
        <v>4615</v>
      </c>
      <c r="B1531" s="24" t="s">
        <v>4616</v>
      </c>
      <c r="C1531" s="24" t="s">
        <v>4617</v>
      </c>
      <c r="D1531" s="25" t="s">
        <v>4618</v>
      </c>
      <c r="E1531" s="28">
        <v>0.20000</v>
      </c>
      <c r="F1531" s="29">
        <f ca="1">ROUND(19.000,3)</f>
        <v>0</v>
      </c>
      <c r="G1531" s="27">
        <f ca="1">ROUND(E1531*F1531,2)</f>
        <v>0</v>
      </c>
    </row>
    <row r="1532" spans="1:7" ht="15.12" thickBot="1" customHeight="1">
      <c r="A1532" s="26"/>
      <c r="B1532" s="26"/>
      <c r="C1532" s="26"/>
      <c r="D1532" s="24" t="s">
        <v>4619</v>
      </c>
      <c r="E1532" s="28">
        <v>0.50000</v>
      </c>
      <c r="F1532" s="29">
        <f ca="1">ROUND((G1529+G1530+G1531),3)</f>
        <v>0</v>
      </c>
      <c r="G1532" s="27">
        <f ca="1">ROUND(E1532*F1532,2)</f>
        <v>0</v>
      </c>
    </row>
    <row r="1533" spans="1:7" ht="15.12" thickBot="1" customHeight="1">
      <c r="A1533" s="24" t="s">
        <v>4620</v>
      </c>
      <c r="B1533" s="24"/>
      <c r="C1533" s="24" t="s">
        <v>4621</v>
      </c>
      <c r="D1533" s="25" t="s">
        <v>4622</v>
      </c>
      <c r="E1533" s="28">
        <v>3.00000</v>
      </c>
      <c r="F1533" s="29">
        <f ca="1">ROUND(21.900,3)</f>
        <v>0</v>
      </c>
      <c r="G1533" s="27">
        <f ca="1">ROUND((E1533*F1533)/100,2)</f>
        <v>0</v>
      </c>
    </row>
    <row r="1534" spans="1:7" ht="15.48" thickBot="1" customHeight="1">
      <c r="A1534" s="30"/>
      <c r="B1534" s="30"/>
      <c r="C1534" s="30"/>
      <c r="D1534" s="31" t="s">
        <v>4623</v>
      </c>
      <c r="E1534" s="30"/>
      <c r="F1534" s="33">
        <f ca="1">ROUND((G1528+G1533)*(1+G2/100),2)</f>
        <v>0</v>
      </c>
      <c r="G1534" s="30"/>
    </row>
    <row r="1535" spans="1:7" ht="30.60" thickBot="1" customHeight="1">
      <c r="A1535" s="34" t="s">
        <v>4624</v>
      </c>
      <c r="B1535" s="35" t="s">
        <v>4625</v>
      </c>
      <c r="C1535" s="35" t="s">
        <v>4626</v>
      </c>
      <c r="D1535" s="36" t="s">
        <v>4627</v>
      </c>
      <c r="E1535" s="37"/>
      <c r="F1535" s="38">
        <f ca="1">F1543</f>
        <v>0</v>
      </c>
      <c r="G1535" s="37"/>
    </row>
    <row r="1536" spans="1:7" ht="12.12" thickBot="1" customHeight="1">
      <c r="A1536" s="26"/>
      <c r="B1536" s="26"/>
      <c r="C1536" s="26"/>
      <c r="D1536" s="25" t="s">
        <v>4628</v>
      </c>
      <c r="E1536" s="25"/>
      <c r="F1536" s="25"/>
      <c r="G1536" s="25"/>
    </row>
    <row r="1537" spans="1:7" ht="24.36" thickBot="1" customHeight="1">
      <c r="A1537" s="24" t="s">
        <v>4629</v>
      </c>
      <c r="B1537" s="24" t="s">
        <v>4630</v>
      </c>
      <c r="C1537" s="24" t="s">
        <v>4631</v>
      </c>
      <c r="D1537" s="25" t="s">
        <v>4632</v>
      </c>
      <c r="E1537" s="28">
        <v>1.00000</v>
      </c>
      <c r="F1537" s="29">
        <f ca="1">F1541</f>
        <v>0</v>
      </c>
      <c r="G1537" s="27">
        <f ca="1">ROUND(E1537*F1537,2)</f>
        <v>0</v>
      </c>
    </row>
    <row r="1538" spans="1:7" ht="24.36" thickBot="1" customHeight="1">
      <c r="A1538" s="24" t="s">
        <v>4633</v>
      </c>
      <c r="B1538" s="24" t="s">
        <v>4634</v>
      </c>
      <c r="C1538" s="24" t="s">
        <v>4635</v>
      </c>
      <c r="D1538" s="25" t="s">
        <v>4636</v>
      </c>
      <c r="E1538" s="28">
        <v>1.00000</v>
      </c>
      <c r="F1538" s="29">
        <f ca="1">ROUND(21.000,3)</f>
        <v>0</v>
      </c>
      <c r="G1538" s="27">
        <f ca="1">ROUND(E1538*F1538,2)</f>
        <v>0</v>
      </c>
    </row>
    <row r="1539" spans="1:7" ht="24.36" thickBot="1" customHeight="1">
      <c r="A1539" s="24" t="s">
        <v>4637</v>
      </c>
      <c r="B1539" s="24" t="s">
        <v>4638</v>
      </c>
      <c r="C1539" s="24" t="s">
        <v>4639</v>
      </c>
      <c r="D1539" s="25" t="s">
        <v>4640</v>
      </c>
      <c r="E1539" s="28">
        <v>1.00000</v>
      </c>
      <c r="F1539" s="29">
        <f ca="1">ROUND(19.000,3)</f>
        <v>0</v>
      </c>
      <c r="G1539" s="27">
        <f ca="1">ROUND(E1539*F1539,2)</f>
        <v>0</v>
      </c>
    </row>
    <row r="1540" spans="1:7" ht="24.36" thickBot="1" customHeight="1">
      <c r="A1540" s="24" t="s">
        <v>4641</v>
      </c>
      <c r="B1540" s="24" t="s">
        <v>4642</v>
      </c>
      <c r="C1540" s="24" t="s">
        <v>4643</v>
      </c>
      <c r="D1540" s="25" t="s">
        <v>4644</v>
      </c>
      <c r="E1540" s="28">
        <v>0.50000</v>
      </c>
      <c r="F1540" s="29">
        <f ca="1">ROUND(19.000,3)</f>
        <v>0</v>
      </c>
      <c r="G1540" s="27">
        <f ca="1">ROUND(E1540*F1540,2)</f>
        <v>0</v>
      </c>
    </row>
    <row r="1541" spans="1:7" ht="15.12" thickBot="1" customHeight="1">
      <c r="A1541" s="26"/>
      <c r="B1541" s="26"/>
      <c r="C1541" s="26"/>
      <c r="D1541" s="24" t="s">
        <v>4645</v>
      </c>
      <c r="E1541" s="28">
        <v>1.00000</v>
      </c>
      <c r="F1541" s="29">
        <f ca="1">ROUND((G1538+G1539+G1540),3)</f>
        <v>0</v>
      </c>
      <c r="G1541" s="27">
        <f ca="1">ROUND(E1541*F1541,2)</f>
        <v>0</v>
      </c>
    </row>
    <row r="1542" spans="1:7" ht="15.12" thickBot="1" customHeight="1">
      <c r="A1542" s="24" t="s">
        <v>4646</v>
      </c>
      <c r="B1542" s="24"/>
      <c r="C1542" s="24" t="s">
        <v>4647</v>
      </c>
      <c r="D1542" s="25" t="s">
        <v>4648</v>
      </c>
      <c r="E1542" s="28">
        <v>0.30000</v>
      </c>
      <c r="F1542" s="29">
        <f ca="1">ROUND(49.500,3)</f>
        <v>0</v>
      </c>
      <c r="G1542" s="27">
        <f ca="1">ROUND((E1542*F1542)/100,2)</f>
        <v>0</v>
      </c>
    </row>
    <row r="1543" spans="1:7" ht="15.48" thickBot="1" customHeight="1">
      <c r="A1543" s="30"/>
      <c r="B1543" s="30"/>
      <c r="C1543" s="30"/>
      <c r="D1543" s="31" t="s">
        <v>4649</v>
      </c>
      <c r="E1543" s="30"/>
      <c r="F1543" s="33">
        <f ca="1">ROUND((G1537+G1542)*(1+G2/100),2)</f>
        <v>0</v>
      </c>
      <c r="G1543" s="30"/>
    </row>
    <row r="1544" spans="1:7" ht="30.60" thickBot="1" customHeight="1">
      <c r="A1544" s="34" t="s">
        <v>4650</v>
      </c>
      <c r="B1544" s="35" t="s">
        <v>4651</v>
      </c>
      <c r="C1544" s="35" t="s">
        <v>4652</v>
      </c>
      <c r="D1544" s="36" t="s">
        <v>4653</v>
      </c>
      <c r="E1544" s="37"/>
      <c r="F1544" s="38">
        <f ca="1">F1552</f>
        <v>0</v>
      </c>
      <c r="G1544" s="37"/>
    </row>
    <row r="1545" spans="1:7" ht="21.36" thickBot="1" customHeight="1">
      <c r="A1545" s="26"/>
      <c r="B1545" s="26"/>
      <c r="C1545" s="26"/>
      <c r="D1545" s="25" t="s">
        <v>4654</v>
      </c>
      <c r="E1545" s="25"/>
      <c r="F1545" s="25"/>
      <c r="G1545" s="25"/>
    </row>
    <row r="1546" spans="1:7" ht="21.36" thickBot="1" customHeight="1">
      <c r="A1546" s="24" t="s">
        <v>4655</v>
      </c>
      <c r="B1546" s="24" t="s">
        <v>4656</v>
      </c>
      <c r="C1546" s="24" t="s">
        <v>4657</v>
      </c>
      <c r="D1546" s="25" t="s">
        <v>4658</v>
      </c>
      <c r="E1546" s="28">
        <v>0.30000</v>
      </c>
      <c r="F1546" s="29">
        <f ca="1">F1550</f>
        <v>0</v>
      </c>
      <c r="G1546" s="27">
        <f ca="1">ROUND(E1546*F1546,2)</f>
        <v>0</v>
      </c>
    </row>
    <row r="1547" spans="1:7" ht="24.36" thickBot="1" customHeight="1">
      <c r="A1547" s="24" t="s">
        <v>4659</v>
      </c>
      <c r="B1547" s="24" t="s">
        <v>4660</v>
      </c>
      <c r="C1547" s="24" t="s">
        <v>4661</v>
      </c>
      <c r="D1547" s="25" t="s">
        <v>4662</v>
      </c>
      <c r="E1547" s="28">
        <v>1.00000</v>
      </c>
      <c r="F1547" s="29">
        <f ca="1">ROUND(21.000,3)</f>
        <v>0</v>
      </c>
      <c r="G1547" s="27">
        <f ca="1">ROUND(E1547*F1547,2)</f>
        <v>0</v>
      </c>
    </row>
    <row r="1548" spans="1:7" ht="24.36" thickBot="1" customHeight="1">
      <c r="A1548" s="24" t="s">
        <v>4663</v>
      </c>
      <c r="B1548" s="24" t="s">
        <v>4664</v>
      </c>
      <c r="C1548" s="24" t="s">
        <v>4665</v>
      </c>
      <c r="D1548" s="25" t="s">
        <v>4666</v>
      </c>
      <c r="E1548" s="28">
        <v>1.00000</v>
      </c>
      <c r="F1548" s="29">
        <f ca="1">ROUND(19.000,3)</f>
        <v>0</v>
      </c>
      <c r="G1548" s="27">
        <f ca="1">ROUND(E1548*F1548,2)</f>
        <v>0</v>
      </c>
    </row>
    <row r="1549" spans="1:7" ht="24.36" thickBot="1" customHeight="1">
      <c r="A1549" s="24" t="s">
        <v>4667</v>
      </c>
      <c r="B1549" s="24" t="s">
        <v>4668</v>
      </c>
      <c r="C1549" s="24" t="s">
        <v>4669</v>
      </c>
      <c r="D1549" s="25" t="s">
        <v>4670</v>
      </c>
      <c r="E1549" s="28">
        <v>0.20000</v>
      </c>
      <c r="F1549" s="29">
        <f ca="1">ROUND(19.000,3)</f>
        <v>0</v>
      </c>
      <c r="G1549" s="27">
        <f ca="1">ROUND(E1549*F1549,2)</f>
        <v>0</v>
      </c>
    </row>
    <row r="1550" spans="1:7" ht="15.12" thickBot="1" customHeight="1">
      <c r="A1550" s="26"/>
      <c r="B1550" s="26"/>
      <c r="C1550" s="26"/>
      <c r="D1550" s="24" t="s">
        <v>4671</v>
      </c>
      <c r="E1550" s="28">
        <v>0.30000</v>
      </c>
      <c r="F1550" s="29">
        <f ca="1">ROUND((G1547+G1548+G1549),3)</f>
        <v>0</v>
      </c>
      <c r="G1550" s="27">
        <f ca="1">ROUND(E1550*F1550,2)</f>
        <v>0</v>
      </c>
    </row>
    <row r="1551" spans="1:7" ht="15.12" thickBot="1" customHeight="1">
      <c r="A1551" s="24" t="s">
        <v>4672</v>
      </c>
      <c r="B1551" s="24"/>
      <c r="C1551" s="24" t="s">
        <v>4673</v>
      </c>
      <c r="D1551" s="25" t="s">
        <v>4674</v>
      </c>
      <c r="E1551" s="28">
        <v>3.00000</v>
      </c>
      <c r="F1551" s="29">
        <f ca="1">ROUND(13.140,3)</f>
        <v>0</v>
      </c>
      <c r="G1551" s="27">
        <f ca="1">ROUND((E1551*F1551)/100,2)</f>
        <v>0</v>
      </c>
    </row>
    <row r="1552" spans="1:7" ht="15.48" thickBot="1" customHeight="1">
      <c r="A1552" s="30"/>
      <c r="B1552" s="30"/>
      <c r="C1552" s="30"/>
      <c r="D1552" s="31" t="s">
        <v>4675</v>
      </c>
      <c r="E1552" s="30"/>
      <c r="F1552" s="33">
        <f ca="1">ROUND((G1546+G1551)*(1+G2/100),2)</f>
        <v>0</v>
      </c>
      <c r="G1552" s="30"/>
    </row>
    <row r="1553" spans="1:7" ht="30.60" thickBot="1" customHeight="1">
      <c r="A1553" s="34" t="s">
        <v>4676</v>
      </c>
      <c r="B1553" s="35" t="s">
        <v>4677</v>
      </c>
      <c r="C1553" s="35" t="s">
        <v>4678</v>
      </c>
      <c r="D1553" s="36" t="s">
        <v>4679</v>
      </c>
      <c r="E1553" s="37"/>
      <c r="F1553" s="38">
        <f ca="1">F1561</f>
        <v>0</v>
      </c>
      <c r="G1553" s="37"/>
    </row>
    <row r="1554" spans="1:7" ht="30.60" thickBot="1" customHeight="1">
      <c r="A1554" s="26"/>
      <c r="B1554" s="26"/>
      <c r="C1554" s="26"/>
      <c r="D1554" s="25" t="s">
        <v>4680</v>
      </c>
      <c r="E1554" s="25"/>
      <c r="F1554" s="25"/>
      <c r="G1554" s="25"/>
    </row>
    <row r="1555" spans="1:7" ht="24.36" thickBot="1" customHeight="1">
      <c r="A1555" s="24" t="s">
        <v>4681</v>
      </c>
      <c r="B1555" s="24" t="s">
        <v>4682</v>
      </c>
      <c r="C1555" s="24" t="s">
        <v>4683</v>
      </c>
      <c r="D1555" s="25" t="s">
        <v>4684</v>
      </c>
      <c r="E1555" s="28">
        <v>0.60000</v>
      </c>
      <c r="F1555" s="29">
        <f ca="1">F1559</f>
        <v>0</v>
      </c>
      <c r="G1555" s="27">
        <f ca="1">ROUND(E1555*F1555,2)</f>
        <v>0</v>
      </c>
    </row>
    <row r="1556" spans="1:7" ht="24.36" thickBot="1" customHeight="1">
      <c r="A1556" s="24" t="s">
        <v>4685</v>
      </c>
      <c r="B1556" s="24" t="s">
        <v>4686</v>
      </c>
      <c r="C1556" s="24" t="s">
        <v>4687</v>
      </c>
      <c r="D1556" s="25" t="s">
        <v>4688</v>
      </c>
      <c r="E1556" s="28">
        <v>1.00000</v>
      </c>
      <c r="F1556" s="29">
        <f ca="1">ROUND(21.000,3)</f>
        <v>0</v>
      </c>
      <c r="G1556" s="27">
        <f ca="1">ROUND(E1556*F1556,2)</f>
        <v>0</v>
      </c>
    </row>
    <row r="1557" spans="1:7" ht="24.36" thickBot="1" customHeight="1">
      <c r="A1557" s="24" t="s">
        <v>4689</v>
      </c>
      <c r="B1557" s="24" t="s">
        <v>4690</v>
      </c>
      <c r="C1557" s="24" t="s">
        <v>4691</v>
      </c>
      <c r="D1557" s="25" t="s">
        <v>4692</v>
      </c>
      <c r="E1557" s="28">
        <v>1.00000</v>
      </c>
      <c r="F1557" s="29">
        <f ca="1">ROUND(19.000,3)</f>
        <v>0</v>
      </c>
      <c r="G1557" s="27">
        <f ca="1">ROUND(E1557*F1557,2)</f>
        <v>0</v>
      </c>
    </row>
    <row r="1558" spans="1:7" ht="24.36" thickBot="1" customHeight="1">
      <c r="A1558" s="24" t="s">
        <v>4693</v>
      </c>
      <c r="B1558" s="24" t="s">
        <v>4694</v>
      </c>
      <c r="C1558" s="24" t="s">
        <v>4695</v>
      </c>
      <c r="D1558" s="25" t="s">
        <v>4696</v>
      </c>
      <c r="E1558" s="28">
        <v>0.50000</v>
      </c>
      <c r="F1558" s="29">
        <f ca="1">ROUND(19.000,3)</f>
        <v>0</v>
      </c>
      <c r="G1558" s="27">
        <f ca="1">ROUND(E1558*F1558,2)</f>
        <v>0</v>
      </c>
    </row>
    <row r="1559" spans="1:7" ht="15.12" thickBot="1" customHeight="1">
      <c r="A1559" s="26"/>
      <c r="B1559" s="26"/>
      <c r="C1559" s="26"/>
      <c r="D1559" s="24" t="s">
        <v>4697</v>
      </c>
      <c r="E1559" s="28">
        <v>0.60000</v>
      </c>
      <c r="F1559" s="29">
        <f ca="1">ROUND((G1556+G1557+G1558),3)</f>
        <v>0</v>
      </c>
      <c r="G1559" s="27">
        <f ca="1">ROUND(E1559*F1559,2)</f>
        <v>0</v>
      </c>
    </row>
    <row r="1560" spans="1:7" ht="15.12" thickBot="1" customHeight="1">
      <c r="A1560" s="24" t="s">
        <v>4698</v>
      </c>
      <c r="B1560" s="24"/>
      <c r="C1560" s="24" t="s">
        <v>4699</v>
      </c>
      <c r="D1560" s="25" t="s">
        <v>4700</v>
      </c>
      <c r="E1560" s="28">
        <v>3.00000</v>
      </c>
      <c r="F1560" s="29">
        <f ca="1">ROUND(29.700,3)</f>
        <v>0</v>
      </c>
      <c r="G1560" s="27">
        <f ca="1">ROUND((E1560*F1560)/100,2)</f>
        <v>0</v>
      </c>
    </row>
    <row r="1561" spans="1:7" ht="15.48" thickBot="1" customHeight="1">
      <c r="A1561" s="30"/>
      <c r="B1561" s="30"/>
      <c r="C1561" s="30"/>
      <c r="D1561" s="31" t="s">
        <v>4701</v>
      </c>
      <c r="E1561" s="30"/>
      <c r="F1561" s="33">
        <f ca="1">ROUND((G1555+G1560)*(1+G2/100),2)</f>
        <v>0</v>
      </c>
      <c r="G1561" s="30"/>
    </row>
    <row r="1562" spans="1:7" ht="30.60" thickBot="1" customHeight="1">
      <c r="A1562" s="34" t="s">
        <v>4702</v>
      </c>
      <c r="B1562" s="35" t="s">
        <v>4703</v>
      </c>
      <c r="C1562" s="35" t="s">
        <v>4704</v>
      </c>
      <c r="D1562" s="36" t="s">
        <v>4705</v>
      </c>
      <c r="E1562" s="37"/>
      <c r="F1562" s="38">
        <f ca="1">F1570</f>
        <v>0</v>
      </c>
      <c r="G1562" s="37"/>
    </row>
    <row r="1563" spans="1:7" ht="21.36" thickBot="1" customHeight="1">
      <c r="A1563" s="26"/>
      <c r="B1563" s="26"/>
      <c r="C1563" s="26"/>
      <c r="D1563" s="25" t="s">
        <v>4706</v>
      </c>
      <c r="E1563" s="25"/>
      <c r="F1563" s="25"/>
      <c r="G1563" s="25"/>
    </row>
    <row r="1564" spans="1:7" ht="21.36" thickBot="1" customHeight="1">
      <c r="A1564" s="24" t="s">
        <v>4707</v>
      </c>
      <c r="B1564" s="24" t="s">
        <v>4708</v>
      </c>
      <c r="C1564" s="24" t="s">
        <v>4709</v>
      </c>
      <c r="D1564" s="25" t="s">
        <v>4710</v>
      </c>
      <c r="E1564" s="28">
        <v>0.16000</v>
      </c>
      <c r="F1564" s="29">
        <f ca="1">F1568</f>
        <v>0</v>
      </c>
      <c r="G1564" s="27">
        <f ca="1">ROUND(E1564*F1564,2)</f>
        <v>0</v>
      </c>
    </row>
    <row r="1565" spans="1:7" ht="24.36" thickBot="1" customHeight="1">
      <c r="A1565" s="24" t="s">
        <v>4711</v>
      </c>
      <c r="B1565" s="24" t="s">
        <v>4712</v>
      </c>
      <c r="C1565" s="24" t="s">
        <v>4713</v>
      </c>
      <c r="D1565" s="25" t="s">
        <v>4714</v>
      </c>
      <c r="E1565" s="28">
        <v>1.00000</v>
      </c>
      <c r="F1565" s="29">
        <f ca="1">ROUND(21.000,3)</f>
        <v>0</v>
      </c>
      <c r="G1565" s="27">
        <f ca="1">ROUND(E1565*F1565,2)</f>
        <v>0</v>
      </c>
    </row>
    <row r="1566" spans="1:7" ht="24.36" thickBot="1" customHeight="1">
      <c r="A1566" s="24" t="s">
        <v>4715</v>
      </c>
      <c r="B1566" s="24" t="s">
        <v>4716</v>
      </c>
      <c r="C1566" s="24" t="s">
        <v>4717</v>
      </c>
      <c r="D1566" s="25" t="s">
        <v>4718</v>
      </c>
      <c r="E1566" s="28">
        <v>1.00000</v>
      </c>
      <c r="F1566" s="29">
        <f ca="1">ROUND(19.000,3)</f>
        <v>0</v>
      </c>
      <c r="G1566" s="27">
        <f ca="1">ROUND(E1566*F1566,2)</f>
        <v>0</v>
      </c>
    </row>
    <row r="1567" spans="1:7" ht="24.36" thickBot="1" customHeight="1">
      <c r="A1567" s="24" t="s">
        <v>4719</v>
      </c>
      <c r="B1567" s="24" t="s">
        <v>4720</v>
      </c>
      <c r="C1567" s="24" t="s">
        <v>4721</v>
      </c>
      <c r="D1567" s="25" t="s">
        <v>4722</v>
      </c>
      <c r="E1567" s="28">
        <v>0.20000</v>
      </c>
      <c r="F1567" s="29">
        <f ca="1">ROUND(19.000,3)</f>
        <v>0</v>
      </c>
      <c r="G1567" s="27">
        <f ca="1">ROUND(E1567*F1567,2)</f>
        <v>0</v>
      </c>
    </row>
    <row r="1568" spans="1:7" ht="15.12" thickBot="1" customHeight="1">
      <c r="A1568" s="26"/>
      <c r="B1568" s="26"/>
      <c r="C1568" s="26"/>
      <c r="D1568" s="24" t="s">
        <v>4723</v>
      </c>
      <c r="E1568" s="28">
        <v>0.16000</v>
      </c>
      <c r="F1568" s="29">
        <f ca="1">ROUND((G1565+G1566+G1567),3)</f>
        <v>0</v>
      </c>
      <c r="G1568" s="27">
        <f ca="1">ROUND(E1568*F1568,2)</f>
        <v>0</v>
      </c>
    </row>
    <row r="1569" spans="1:7" ht="15.12" thickBot="1" customHeight="1">
      <c r="A1569" s="24" t="s">
        <v>4724</v>
      </c>
      <c r="B1569" s="24"/>
      <c r="C1569" s="24" t="s">
        <v>4725</v>
      </c>
      <c r="D1569" s="25" t="s">
        <v>4726</v>
      </c>
      <c r="E1569" s="28">
        <v>3.00000</v>
      </c>
      <c r="F1569" s="29">
        <f ca="1">ROUND(7.010,3)</f>
        <v>0</v>
      </c>
      <c r="G1569" s="27">
        <f ca="1">ROUND((E1569*F1569)/100,2)</f>
        <v>0</v>
      </c>
    </row>
    <row r="1570" spans="1:7" ht="15.48" thickBot="1" customHeight="1">
      <c r="A1570" s="30"/>
      <c r="B1570" s="30"/>
      <c r="C1570" s="30"/>
      <c r="D1570" s="31" t="s">
        <v>4727</v>
      </c>
      <c r="E1570" s="30"/>
      <c r="F1570" s="33">
        <f ca="1">ROUND((G1564+G1569)*(1+G2/100),2)</f>
        <v>0</v>
      </c>
      <c r="G1570" s="30"/>
    </row>
    <row r="1571" spans="1:7" ht="21.36" thickBot="1" customHeight="1">
      <c r="A1571" s="34" t="s">
        <v>4728</v>
      </c>
      <c r="B1571" s="35" t="s">
        <v>4729</v>
      </c>
      <c r="C1571" s="35" t="s">
        <v>4730</v>
      </c>
      <c r="D1571" s="36" t="s">
        <v>4731</v>
      </c>
      <c r="E1571" s="37"/>
      <c r="F1571" s="38">
        <f ca="1">F1578</f>
        <v>0</v>
      </c>
      <c r="G1571" s="37"/>
    </row>
    <row r="1572" spans="1:7" ht="30.60" thickBot="1" customHeight="1">
      <c r="A1572" s="26"/>
      <c r="B1572" s="26"/>
      <c r="C1572" s="26"/>
      <c r="D1572" s="25" t="s">
        <v>4732</v>
      </c>
      <c r="E1572" s="25"/>
      <c r="F1572" s="25"/>
      <c r="G1572" s="25"/>
    </row>
    <row r="1573" spans="1:7" ht="21.36" thickBot="1" customHeight="1">
      <c r="A1573" s="24" t="s">
        <v>4733</v>
      </c>
      <c r="B1573" s="24" t="s">
        <v>4734</v>
      </c>
      <c r="C1573" s="24" t="s">
        <v>4735</v>
      </c>
      <c r="D1573" s="25" t="s">
        <v>4736</v>
      </c>
      <c r="E1573" s="28">
        <v>1.80000</v>
      </c>
      <c r="F1573" s="29">
        <f ca="1">F1577</f>
        <v>0</v>
      </c>
      <c r="G1573" s="27">
        <f ca="1">ROUND(E1573*F1573,2)</f>
        <v>0</v>
      </c>
    </row>
    <row r="1574" spans="1:7" ht="24.36" thickBot="1" customHeight="1">
      <c r="A1574" s="24" t="s">
        <v>4737</v>
      </c>
      <c r="B1574" s="24" t="s">
        <v>4738</v>
      </c>
      <c r="C1574" s="24" t="s">
        <v>4739</v>
      </c>
      <c r="D1574" s="25" t="s">
        <v>4740</v>
      </c>
      <c r="E1574" s="28">
        <v>1.00000</v>
      </c>
      <c r="F1574" s="29">
        <f ca="1">ROUND(21.000,3)</f>
        <v>0</v>
      </c>
      <c r="G1574" s="27">
        <f ca="1">ROUND(E1574*F1574,2)</f>
        <v>0</v>
      </c>
    </row>
    <row r="1575" spans="1:7" ht="24.36" thickBot="1" customHeight="1">
      <c r="A1575" s="24" t="s">
        <v>4741</v>
      </c>
      <c r="B1575" s="24" t="s">
        <v>4742</v>
      </c>
      <c r="C1575" s="24" t="s">
        <v>4743</v>
      </c>
      <c r="D1575" s="25" t="s">
        <v>4744</v>
      </c>
      <c r="E1575" s="28">
        <v>1.00000</v>
      </c>
      <c r="F1575" s="29">
        <f ca="1">ROUND(19.000,3)</f>
        <v>0</v>
      </c>
      <c r="G1575" s="27">
        <f ca="1">ROUND(E1575*F1575,2)</f>
        <v>0</v>
      </c>
    </row>
    <row r="1576" spans="1:7" ht="24.36" thickBot="1" customHeight="1">
      <c r="A1576" s="24" t="s">
        <v>4745</v>
      </c>
      <c r="B1576" s="24" t="s">
        <v>4746</v>
      </c>
      <c r="C1576" s="24" t="s">
        <v>4747</v>
      </c>
      <c r="D1576" s="25" t="s">
        <v>4748</v>
      </c>
      <c r="E1576" s="28">
        <v>0.20000</v>
      </c>
      <c r="F1576" s="29">
        <f ca="1">ROUND(19.000,3)</f>
        <v>0</v>
      </c>
      <c r="G1576" s="27">
        <f ca="1">ROUND(E1576*F1576,2)</f>
        <v>0</v>
      </c>
    </row>
    <row r="1577" spans="1:7" ht="15.12" thickBot="1" customHeight="1">
      <c r="A1577" s="26"/>
      <c r="B1577" s="26"/>
      <c r="C1577" s="26"/>
      <c r="D1577" s="24" t="s">
        <v>4749</v>
      </c>
      <c r="E1577" s="28">
        <v>1.80000</v>
      </c>
      <c r="F1577" s="29">
        <f ca="1">ROUND((G1574+G1575+G1576),3)</f>
        <v>0</v>
      </c>
      <c r="G1577" s="27">
        <f ca="1">ROUND(E1577*F1577,2)</f>
        <v>0</v>
      </c>
    </row>
    <row r="1578" spans="1:7" ht="15.48" thickBot="1" customHeight="1">
      <c r="A1578" s="30"/>
      <c r="B1578" s="30"/>
      <c r="C1578" s="30"/>
      <c r="D1578" s="31" t="s">
        <v>4750</v>
      </c>
      <c r="E1578" s="30"/>
      <c r="F1578" s="33">
        <f ca="1">ROUND((G1573)*(1+G2/100),2)</f>
        <v>0</v>
      </c>
      <c r="G1578" s="30"/>
    </row>
    <row r="1579" spans="1:7" ht="21.36" thickBot="1" customHeight="1">
      <c r="A1579" s="34" t="s">
        <v>4751</v>
      </c>
      <c r="B1579" s="35" t="s">
        <v>4752</v>
      </c>
      <c r="C1579" s="35" t="s">
        <v>4753</v>
      </c>
      <c r="D1579" s="36" t="s">
        <v>4754</v>
      </c>
      <c r="E1579" s="37"/>
      <c r="F1579" s="38">
        <f ca="1">F1587</f>
        <v>0</v>
      </c>
      <c r="G1579" s="37"/>
    </row>
    <row r="1580" spans="1:7" ht="21.36" thickBot="1" customHeight="1">
      <c r="A1580" s="26"/>
      <c r="B1580" s="26"/>
      <c r="C1580" s="26"/>
      <c r="D1580" s="25" t="s">
        <v>4755</v>
      </c>
      <c r="E1580" s="25"/>
      <c r="F1580" s="25"/>
      <c r="G1580" s="25"/>
    </row>
    <row r="1581" spans="1:7" ht="21.36" thickBot="1" customHeight="1">
      <c r="A1581" s="24" t="s">
        <v>4756</v>
      </c>
      <c r="B1581" s="24" t="s">
        <v>4757</v>
      </c>
      <c r="C1581" s="24" t="s">
        <v>4758</v>
      </c>
      <c r="D1581" s="25" t="s">
        <v>4759</v>
      </c>
      <c r="E1581" s="28">
        <v>0.23500</v>
      </c>
      <c r="F1581" s="29">
        <f ca="1">F1585</f>
        <v>0</v>
      </c>
      <c r="G1581" s="27">
        <f ca="1">ROUND(E1581*F1581,2)</f>
        <v>0</v>
      </c>
    </row>
    <row r="1582" spans="1:7" ht="24.36" thickBot="1" customHeight="1">
      <c r="A1582" s="24" t="s">
        <v>4760</v>
      </c>
      <c r="B1582" s="24" t="s">
        <v>4761</v>
      </c>
      <c r="C1582" s="24" t="s">
        <v>4762</v>
      </c>
      <c r="D1582" s="25" t="s">
        <v>4763</v>
      </c>
      <c r="E1582" s="28">
        <v>1.00000</v>
      </c>
      <c r="F1582" s="29">
        <f ca="1">ROUND(21.000,3)</f>
        <v>0</v>
      </c>
      <c r="G1582" s="27">
        <f ca="1">ROUND(E1582*F1582,2)</f>
        <v>0</v>
      </c>
    </row>
    <row r="1583" spans="1:7" ht="24.36" thickBot="1" customHeight="1">
      <c r="A1583" s="24" t="s">
        <v>4764</v>
      </c>
      <c r="B1583" s="24" t="s">
        <v>4765</v>
      </c>
      <c r="C1583" s="24" t="s">
        <v>4766</v>
      </c>
      <c r="D1583" s="25" t="s">
        <v>4767</v>
      </c>
      <c r="E1583" s="28">
        <v>1.00000</v>
      </c>
      <c r="F1583" s="29">
        <f ca="1">ROUND(19.000,3)</f>
        <v>0</v>
      </c>
      <c r="G1583" s="27">
        <f ca="1">ROUND(E1583*F1583,2)</f>
        <v>0</v>
      </c>
    </row>
    <row r="1584" spans="1:7" ht="24.36" thickBot="1" customHeight="1">
      <c r="A1584" s="24" t="s">
        <v>4768</v>
      </c>
      <c r="B1584" s="24" t="s">
        <v>4769</v>
      </c>
      <c r="C1584" s="24" t="s">
        <v>4770</v>
      </c>
      <c r="D1584" s="25" t="s">
        <v>4771</v>
      </c>
      <c r="E1584" s="28">
        <v>0.20000</v>
      </c>
      <c r="F1584" s="29">
        <f ca="1">ROUND(19.000,3)</f>
        <v>0</v>
      </c>
      <c r="G1584" s="27">
        <f ca="1">ROUND(E1584*F1584,2)</f>
        <v>0</v>
      </c>
    </row>
    <row r="1585" spans="1:7" ht="15.12" thickBot="1" customHeight="1">
      <c r="A1585" s="26"/>
      <c r="B1585" s="26"/>
      <c r="C1585" s="26"/>
      <c r="D1585" s="24" t="s">
        <v>4772</v>
      </c>
      <c r="E1585" s="28">
        <v>0.23500</v>
      </c>
      <c r="F1585" s="29">
        <f ca="1">ROUND((G1582+G1583+G1584),3)</f>
        <v>0</v>
      </c>
      <c r="G1585" s="27">
        <f ca="1">ROUND(E1585*F1585,2)</f>
        <v>0</v>
      </c>
    </row>
    <row r="1586" spans="1:7" ht="15.12" thickBot="1" customHeight="1">
      <c r="A1586" s="24" t="s">
        <v>4773</v>
      </c>
      <c r="B1586" s="24"/>
      <c r="C1586" s="24" t="s">
        <v>4774</v>
      </c>
      <c r="D1586" s="25" t="s">
        <v>4775</v>
      </c>
      <c r="E1586" s="28">
        <v>3.00000</v>
      </c>
      <c r="F1586" s="29">
        <f ca="1">ROUND(10.290,3)</f>
        <v>0</v>
      </c>
      <c r="G1586" s="27">
        <f ca="1">ROUND((E1586*F1586)/100,2)</f>
        <v>0</v>
      </c>
    </row>
    <row r="1587" spans="1:7" ht="15.48" thickBot="1" customHeight="1">
      <c r="A1587" s="30"/>
      <c r="B1587" s="30"/>
      <c r="C1587" s="30"/>
      <c r="D1587" s="31" t="s">
        <v>4776</v>
      </c>
      <c r="E1587" s="30"/>
      <c r="F1587" s="33">
        <f ca="1">ROUND((G1581+G1586)*(1+G2/100),2)</f>
        <v>0</v>
      </c>
      <c r="G1587" s="30"/>
    </row>
    <row r="1588" spans="1:7" ht="30.60" thickBot="1" customHeight="1">
      <c r="A1588" s="34" t="s">
        <v>4777</v>
      </c>
      <c r="B1588" s="35" t="s">
        <v>4778</v>
      </c>
      <c r="C1588" s="35" t="s">
        <v>4779</v>
      </c>
      <c r="D1588" s="36" t="s">
        <v>4780</v>
      </c>
      <c r="E1588" s="37"/>
      <c r="F1588" s="38">
        <f ca="1">F1596</f>
        <v>0</v>
      </c>
      <c r="G1588" s="37"/>
    </row>
    <row r="1589" spans="1:7" ht="30.60" thickBot="1" customHeight="1">
      <c r="A1589" s="26"/>
      <c r="B1589" s="26"/>
      <c r="C1589" s="26"/>
      <c r="D1589" s="25" t="s">
        <v>4781</v>
      </c>
      <c r="E1589" s="25"/>
      <c r="F1589" s="25"/>
      <c r="G1589" s="25"/>
    </row>
    <row r="1590" spans="1:7" ht="24.36" thickBot="1" customHeight="1">
      <c r="A1590" s="24" t="s">
        <v>4782</v>
      </c>
      <c r="B1590" s="24" t="s">
        <v>4783</v>
      </c>
      <c r="C1590" s="24" t="s">
        <v>4784</v>
      </c>
      <c r="D1590" s="25" t="s">
        <v>4785</v>
      </c>
      <c r="E1590" s="28">
        <v>0.35000</v>
      </c>
      <c r="F1590" s="29">
        <f ca="1">F1594</f>
        <v>0</v>
      </c>
      <c r="G1590" s="27">
        <f ca="1">ROUND(E1590*F1590,2)</f>
        <v>0</v>
      </c>
    </row>
    <row r="1591" spans="1:7" ht="24.36" thickBot="1" customHeight="1">
      <c r="A1591" s="24" t="s">
        <v>4786</v>
      </c>
      <c r="B1591" s="24" t="s">
        <v>4787</v>
      </c>
      <c r="C1591" s="24" t="s">
        <v>4788</v>
      </c>
      <c r="D1591" s="25" t="s">
        <v>4789</v>
      </c>
      <c r="E1591" s="28">
        <v>1.00000</v>
      </c>
      <c r="F1591" s="29">
        <f ca="1">ROUND(21.000,3)</f>
        <v>0</v>
      </c>
      <c r="G1591" s="27">
        <f ca="1">ROUND(E1591*F1591,2)</f>
        <v>0</v>
      </c>
    </row>
    <row r="1592" spans="1:7" ht="24.36" thickBot="1" customHeight="1">
      <c r="A1592" s="24" t="s">
        <v>4790</v>
      </c>
      <c r="B1592" s="24" t="s">
        <v>4791</v>
      </c>
      <c r="C1592" s="24" t="s">
        <v>4792</v>
      </c>
      <c r="D1592" s="25" t="s">
        <v>4793</v>
      </c>
      <c r="E1592" s="28">
        <v>1.00000</v>
      </c>
      <c r="F1592" s="29">
        <f ca="1">ROUND(19.000,3)</f>
        <v>0</v>
      </c>
      <c r="G1592" s="27">
        <f ca="1">ROUND(E1592*F1592,2)</f>
        <v>0</v>
      </c>
    </row>
    <row r="1593" spans="1:7" ht="24.36" thickBot="1" customHeight="1">
      <c r="A1593" s="24" t="s">
        <v>4794</v>
      </c>
      <c r="B1593" s="24" t="s">
        <v>4795</v>
      </c>
      <c r="C1593" s="24" t="s">
        <v>4796</v>
      </c>
      <c r="D1593" s="25" t="s">
        <v>4797</v>
      </c>
      <c r="E1593" s="28">
        <v>0.50000</v>
      </c>
      <c r="F1593" s="29">
        <f ca="1">ROUND(19.000,3)</f>
        <v>0</v>
      </c>
      <c r="G1593" s="27">
        <f ca="1">ROUND(E1593*F1593,2)</f>
        <v>0</v>
      </c>
    </row>
    <row r="1594" spans="1:7" ht="15.12" thickBot="1" customHeight="1">
      <c r="A1594" s="26"/>
      <c r="B1594" s="26"/>
      <c r="C1594" s="26"/>
      <c r="D1594" s="24" t="s">
        <v>4798</v>
      </c>
      <c r="E1594" s="28">
        <v>0.35000</v>
      </c>
      <c r="F1594" s="29">
        <f ca="1">ROUND((G1591+G1592+G1593),3)</f>
        <v>0</v>
      </c>
      <c r="G1594" s="27">
        <f ca="1">ROUND(E1594*F1594,2)</f>
        <v>0</v>
      </c>
    </row>
    <row r="1595" spans="1:7" ht="15.12" thickBot="1" customHeight="1">
      <c r="A1595" s="24" t="s">
        <v>4799</v>
      </c>
      <c r="B1595" s="24"/>
      <c r="C1595" s="24" t="s">
        <v>4800</v>
      </c>
      <c r="D1595" s="25" t="s">
        <v>4801</v>
      </c>
      <c r="E1595" s="28">
        <v>3.00000</v>
      </c>
      <c r="F1595" s="29">
        <f ca="1">ROUND(17.330,3)</f>
        <v>0</v>
      </c>
      <c r="G1595" s="27">
        <f ca="1">ROUND((E1595*F1595)/100,2)</f>
        <v>0</v>
      </c>
    </row>
    <row r="1596" spans="1:7" ht="15.48" thickBot="1" customHeight="1">
      <c r="A1596" s="30"/>
      <c r="B1596" s="30"/>
      <c r="C1596" s="30"/>
      <c r="D1596" s="31" t="s">
        <v>4802</v>
      </c>
      <c r="E1596" s="30"/>
      <c r="F1596" s="33">
        <f ca="1">ROUND((G1590+G1595)*(1+G2/100),2)</f>
        <v>0</v>
      </c>
      <c r="G1596" s="30"/>
    </row>
    <row r="1597" spans="1:7" ht="30.60" thickBot="1" customHeight="1">
      <c r="A1597" s="34" t="s">
        <v>4803</v>
      </c>
      <c r="B1597" s="35" t="s">
        <v>4804</v>
      </c>
      <c r="C1597" s="35" t="s">
        <v>4805</v>
      </c>
      <c r="D1597" s="36" t="s">
        <v>4806</v>
      </c>
      <c r="E1597" s="37"/>
      <c r="F1597" s="38">
        <f ca="1">F1606</f>
        <v>0</v>
      </c>
      <c r="G1597" s="37"/>
    </row>
    <row r="1598" spans="1:7" ht="21.36" thickBot="1" customHeight="1">
      <c r="A1598" s="26"/>
      <c r="B1598" s="26"/>
      <c r="C1598" s="26"/>
      <c r="D1598" s="25" t="s">
        <v>4807</v>
      </c>
      <c r="E1598" s="25"/>
      <c r="F1598" s="25"/>
      <c r="G1598" s="25"/>
    </row>
    <row r="1599" spans="1:7" ht="30.60" thickBot="1" customHeight="1">
      <c r="A1599" s="24" t="s">
        <v>4808</v>
      </c>
      <c r="B1599" s="24" t="s">
        <v>4809</v>
      </c>
      <c r="C1599" s="24" t="s">
        <v>4810</v>
      </c>
      <c r="D1599" s="25" t="s">
        <v>4811</v>
      </c>
      <c r="E1599" s="28">
        <v>0.20000</v>
      </c>
      <c r="F1599" s="29">
        <f ca="1">ROUND(4.620,3)</f>
        <v>0</v>
      </c>
      <c r="G1599" s="27">
        <f ca="1">ROUND(E1599*F1599,2)</f>
        <v>0</v>
      </c>
    </row>
    <row r="1600" spans="1:7" ht="21.36" thickBot="1" customHeight="1">
      <c r="A1600" s="24" t="s">
        <v>4812</v>
      </c>
      <c r="B1600" s="24" t="s">
        <v>4813</v>
      </c>
      <c r="C1600" s="24" t="s">
        <v>4814</v>
      </c>
      <c r="D1600" s="25" t="s">
        <v>4815</v>
      </c>
      <c r="E1600" s="28">
        <v>0.30000</v>
      </c>
      <c r="F1600" s="29">
        <f ca="1">F1604</f>
        <v>0</v>
      </c>
      <c r="G1600" s="27">
        <f ca="1">ROUND(E1600*F1600,2)</f>
        <v>0</v>
      </c>
    </row>
    <row r="1601" spans="1:7" ht="24.36" thickBot="1" customHeight="1">
      <c r="A1601" s="24" t="s">
        <v>4816</v>
      </c>
      <c r="B1601" s="24" t="s">
        <v>4817</v>
      </c>
      <c r="C1601" s="24" t="s">
        <v>4818</v>
      </c>
      <c r="D1601" s="25" t="s">
        <v>4819</v>
      </c>
      <c r="E1601" s="28">
        <v>1.00000</v>
      </c>
      <c r="F1601" s="29">
        <f ca="1">ROUND(21.000,3)</f>
        <v>0</v>
      </c>
      <c r="G1601" s="27">
        <f ca="1">ROUND(E1601*F1601,2)</f>
        <v>0</v>
      </c>
    </row>
    <row r="1602" spans="1:7" ht="24.36" thickBot="1" customHeight="1">
      <c r="A1602" s="24" t="s">
        <v>4820</v>
      </c>
      <c r="B1602" s="24" t="s">
        <v>4821</v>
      </c>
      <c r="C1602" s="24" t="s">
        <v>4822</v>
      </c>
      <c r="D1602" s="25" t="s">
        <v>4823</v>
      </c>
      <c r="E1602" s="28">
        <v>1.00000</v>
      </c>
      <c r="F1602" s="29">
        <f ca="1">ROUND(19.000,3)</f>
        <v>0</v>
      </c>
      <c r="G1602" s="27">
        <f ca="1">ROUND(E1602*F1602,2)</f>
        <v>0</v>
      </c>
    </row>
    <row r="1603" spans="1:7" ht="24.36" thickBot="1" customHeight="1">
      <c r="A1603" s="24" t="s">
        <v>4824</v>
      </c>
      <c r="B1603" s="24" t="s">
        <v>4825</v>
      </c>
      <c r="C1603" s="24" t="s">
        <v>4826</v>
      </c>
      <c r="D1603" s="25" t="s">
        <v>4827</v>
      </c>
      <c r="E1603" s="28">
        <v>0.20000</v>
      </c>
      <c r="F1603" s="29">
        <f ca="1">ROUND(19.000,3)</f>
        <v>0</v>
      </c>
      <c r="G1603" s="27">
        <f ca="1">ROUND(E1603*F1603,2)</f>
        <v>0</v>
      </c>
    </row>
    <row r="1604" spans="1:7" ht="15.12" thickBot="1" customHeight="1">
      <c r="A1604" s="26"/>
      <c r="B1604" s="26"/>
      <c r="C1604" s="26"/>
      <c r="D1604" s="24" t="s">
        <v>4828</v>
      </c>
      <c r="E1604" s="28">
        <v>0.30000</v>
      </c>
      <c r="F1604" s="29">
        <f ca="1">ROUND((G1601+G1602+G1603),3)</f>
        <v>0</v>
      </c>
      <c r="G1604" s="27">
        <f ca="1">ROUND(E1604*F1604,2)</f>
        <v>0</v>
      </c>
    </row>
    <row r="1605" spans="1:7" ht="15.12" thickBot="1" customHeight="1">
      <c r="A1605" s="24" t="s">
        <v>4829</v>
      </c>
      <c r="B1605" s="24"/>
      <c r="C1605" s="24" t="s">
        <v>4830</v>
      </c>
      <c r="D1605" s="25" t="s">
        <v>4831</v>
      </c>
      <c r="E1605" s="28">
        <v>3.00000</v>
      </c>
      <c r="F1605" s="29">
        <f ca="1">ROUND(13.140,3)</f>
        <v>0</v>
      </c>
      <c r="G1605" s="27">
        <f ca="1">ROUND((E1605*F1605)/100,2)</f>
        <v>0</v>
      </c>
    </row>
    <row r="1606" spans="1:7" ht="15.48" thickBot="1" customHeight="1">
      <c r="A1606" s="30"/>
      <c r="B1606" s="30"/>
      <c r="C1606" s="30"/>
      <c r="D1606" s="31" t="s">
        <v>4832</v>
      </c>
      <c r="E1606" s="30"/>
      <c r="F1606" s="33">
        <f ca="1">ROUND((G1599+G1600+G1605)*(1+G2/100),2)</f>
        <v>0</v>
      </c>
      <c r="G1606" s="30"/>
    </row>
    <row r="1607" spans="1:7" ht="39.84" thickBot="1" customHeight="1">
      <c r="A1607" s="34" t="s">
        <v>4833</v>
      </c>
      <c r="B1607" s="35" t="s">
        <v>4834</v>
      </c>
      <c r="C1607" s="35" t="s">
        <v>4835</v>
      </c>
      <c r="D1607" s="36" t="s">
        <v>4836</v>
      </c>
      <c r="E1607" s="37"/>
      <c r="F1607" s="38">
        <f ca="1">F1616</f>
        <v>0</v>
      </c>
      <c r="G1607" s="37"/>
    </row>
    <row r="1608" spans="1:7" ht="21.36" thickBot="1" customHeight="1">
      <c r="A1608" s="26"/>
      <c r="B1608" s="26"/>
      <c r="C1608" s="26"/>
      <c r="D1608" s="25" t="s">
        <v>4837</v>
      </c>
      <c r="E1608" s="25"/>
      <c r="F1608" s="25"/>
      <c r="G1608" s="25"/>
    </row>
    <row r="1609" spans="1:7" ht="30.60" thickBot="1" customHeight="1">
      <c r="A1609" s="24" t="s">
        <v>4838</v>
      </c>
      <c r="B1609" s="24" t="s">
        <v>4839</v>
      </c>
      <c r="C1609" s="24" t="s">
        <v>4840</v>
      </c>
      <c r="D1609" s="25" t="s">
        <v>4841</v>
      </c>
      <c r="E1609" s="28">
        <v>0.20000</v>
      </c>
      <c r="F1609" s="29">
        <f ca="1">ROUND(4.620,3)</f>
        <v>0</v>
      </c>
      <c r="G1609" s="27">
        <f ca="1">ROUND(E1609*F1609,2)</f>
        <v>0</v>
      </c>
    </row>
    <row r="1610" spans="1:7" ht="24.36" thickBot="1" customHeight="1">
      <c r="A1610" s="24" t="s">
        <v>4842</v>
      </c>
      <c r="B1610" s="24" t="s">
        <v>4843</v>
      </c>
      <c r="C1610" s="24" t="s">
        <v>4844</v>
      </c>
      <c r="D1610" s="25" t="s">
        <v>4845</v>
      </c>
      <c r="E1610" s="28">
        <v>0.40000</v>
      </c>
      <c r="F1610" s="29">
        <f ca="1">F1614</f>
        <v>0</v>
      </c>
      <c r="G1610" s="27">
        <f ca="1">ROUND(E1610*F1610,2)</f>
        <v>0</v>
      </c>
    </row>
    <row r="1611" spans="1:7" ht="24.36" thickBot="1" customHeight="1">
      <c r="A1611" s="24" t="s">
        <v>4846</v>
      </c>
      <c r="B1611" s="24" t="s">
        <v>4847</v>
      </c>
      <c r="C1611" s="24" t="s">
        <v>4848</v>
      </c>
      <c r="D1611" s="25" t="s">
        <v>4849</v>
      </c>
      <c r="E1611" s="28">
        <v>1.00000</v>
      </c>
      <c r="F1611" s="29">
        <f ca="1">ROUND(21.000,3)</f>
        <v>0</v>
      </c>
      <c r="G1611" s="27">
        <f ca="1">ROUND(E1611*F1611,2)</f>
        <v>0</v>
      </c>
    </row>
    <row r="1612" spans="1:7" ht="24.36" thickBot="1" customHeight="1">
      <c r="A1612" s="24" t="s">
        <v>4850</v>
      </c>
      <c r="B1612" s="24" t="s">
        <v>4851</v>
      </c>
      <c r="C1612" s="24" t="s">
        <v>4852</v>
      </c>
      <c r="D1612" s="25" t="s">
        <v>4853</v>
      </c>
      <c r="E1612" s="28">
        <v>1.00000</v>
      </c>
      <c r="F1612" s="29">
        <f ca="1">ROUND(19.000,3)</f>
        <v>0</v>
      </c>
      <c r="G1612" s="27">
        <f ca="1">ROUND(E1612*F1612,2)</f>
        <v>0</v>
      </c>
    </row>
    <row r="1613" spans="1:7" ht="24.36" thickBot="1" customHeight="1">
      <c r="A1613" s="24" t="s">
        <v>4854</v>
      </c>
      <c r="B1613" s="24" t="s">
        <v>4855</v>
      </c>
      <c r="C1613" s="24" t="s">
        <v>4856</v>
      </c>
      <c r="D1613" s="25" t="s">
        <v>4857</v>
      </c>
      <c r="E1613" s="28">
        <v>0.50000</v>
      </c>
      <c r="F1613" s="29">
        <f ca="1">ROUND(19.000,3)</f>
        <v>0</v>
      </c>
      <c r="G1613" s="27">
        <f ca="1">ROUND(E1613*F1613,2)</f>
        <v>0</v>
      </c>
    </row>
    <row r="1614" spans="1:7" ht="15.12" thickBot="1" customHeight="1">
      <c r="A1614" s="26"/>
      <c r="B1614" s="26"/>
      <c r="C1614" s="26"/>
      <c r="D1614" s="24" t="s">
        <v>4858</v>
      </c>
      <c r="E1614" s="28">
        <v>0.40000</v>
      </c>
      <c r="F1614" s="29">
        <f ca="1">ROUND((G1611+G1612+G1613),3)</f>
        <v>0</v>
      </c>
      <c r="G1614" s="27">
        <f ca="1">ROUND(E1614*F1614,2)</f>
        <v>0</v>
      </c>
    </row>
    <row r="1615" spans="1:7" ht="15.12" thickBot="1" customHeight="1">
      <c r="A1615" s="24" t="s">
        <v>4859</v>
      </c>
      <c r="B1615" s="24"/>
      <c r="C1615" s="24" t="s">
        <v>4860</v>
      </c>
      <c r="D1615" s="25" t="s">
        <v>4861</v>
      </c>
      <c r="E1615" s="28">
        <v>3.00000</v>
      </c>
      <c r="F1615" s="29">
        <f ca="1">ROUND(19.800,3)</f>
        <v>0</v>
      </c>
      <c r="G1615" s="27">
        <f ca="1">ROUND((E1615*F1615)/100,2)</f>
        <v>0</v>
      </c>
    </row>
    <row r="1616" spans="1:7" ht="15.48" thickBot="1" customHeight="1">
      <c r="A1616" s="30"/>
      <c r="B1616" s="30"/>
      <c r="C1616" s="30"/>
      <c r="D1616" s="31" t="s">
        <v>4862</v>
      </c>
      <c r="E1616" s="30"/>
      <c r="F1616" s="33">
        <f ca="1">ROUND((G1609+G1610+G1615)*(1+G2/100),2)</f>
        <v>0</v>
      </c>
      <c r="G1616" s="30"/>
    </row>
    <row r="1617" spans="1:7" ht="21.36" thickBot="1" customHeight="1">
      <c r="A1617" s="34" t="s">
        <v>4863</v>
      </c>
      <c r="B1617" s="35" t="s">
        <v>4864</v>
      </c>
      <c r="C1617" s="35" t="s">
        <v>4865</v>
      </c>
      <c r="D1617" s="36" t="s">
        <v>4866</v>
      </c>
      <c r="E1617" s="37"/>
      <c r="F1617" s="38">
        <f ca="1">F1625</f>
        <v>0</v>
      </c>
      <c r="G1617" s="37"/>
    </row>
    <row r="1618" spans="1:7" ht="30.60" thickBot="1" customHeight="1">
      <c r="A1618" s="26"/>
      <c r="B1618" s="26"/>
      <c r="C1618" s="26"/>
      <c r="D1618" s="25" t="s">
        <v>4867</v>
      </c>
      <c r="E1618" s="25"/>
      <c r="F1618" s="25"/>
      <c r="G1618" s="25"/>
    </row>
    <row r="1619" spans="1:7" ht="21.36" thickBot="1" customHeight="1">
      <c r="A1619" s="24" t="s">
        <v>4868</v>
      </c>
      <c r="B1619" s="24" t="s">
        <v>4869</v>
      </c>
      <c r="C1619" s="24" t="s">
        <v>4870</v>
      </c>
      <c r="D1619" s="25" t="s">
        <v>4871</v>
      </c>
      <c r="E1619" s="28">
        <v>0.10000</v>
      </c>
      <c r="F1619" s="29">
        <f ca="1">F1623</f>
        <v>0</v>
      </c>
      <c r="G1619" s="27">
        <f ca="1">ROUND(E1619*F1619,2)</f>
        <v>0</v>
      </c>
    </row>
    <row r="1620" spans="1:7" ht="24.36" thickBot="1" customHeight="1">
      <c r="A1620" s="24" t="s">
        <v>4872</v>
      </c>
      <c r="B1620" s="24" t="s">
        <v>4873</v>
      </c>
      <c r="C1620" s="24" t="s">
        <v>4874</v>
      </c>
      <c r="D1620" s="25" t="s">
        <v>4875</v>
      </c>
      <c r="E1620" s="28">
        <v>1.00000</v>
      </c>
      <c r="F1620" s="29">
        <f ca="1">ROUND(21.000,3)</f>
        <v>0</v>
      </c>
      <c r="G1620" s="27">
        <f ca="1">ROUND(E1620*F1620,2)</f>
        <v>0</v>
      </c>
    </row>
    <row r="1621" spans="1:7" ht="24.36" thickBot="1" customHeight="1">
      <c r="A1621" s="24" t="s">
        <v>4876</v>
      </c>
      <c r="B1621" s="24" t="s">
        <v>4877</v>
      </c>
      <c r="C1621" s="24" t="s">
        <v>4878</v>
      </c>
      <c r="D1621" s="25" t="s">
        <v>4879</v>
      </c>
      <c r="E1621" s="28">
        <v>1.00000</v>
      </c>
      <c r="F1621" s="29">
        <f ca="1">ROUND(19.000,3)</f>
        <v>0</v>
      </c>
      <c r="G1621" s="27">
        <f ca="1">ROUND(E1621*F1621,2)</f>
        <v>0</v>
      </c>
    </row>
    <row r="1622" spans="1:7" ht="24.36" thickBot="1" customHeight="1">
      <c r="A1622" s="24" t="s">
        <v>4880</v>
      </c>
      <c r="B1622" s="24" t="s">
        <v>4881</v>
      </c>
      <c r="C1622" s="24" t="s">
        <v>4882</v>
      </c>
      <c r="D1622" s="25" t="s">
        <v>4883</v>
      </c>
      <c r="E1622" s="28">
        <v>0.20000</v>
      </c>
      <c r="F1622" s="29">
        <f ca="1">ROUND(19.000,3)</f>
        <v>0</v>
      </c>
      <c r="G1622" s="27">
        <f ca="1">ROUND(E1622*F1622,2)</f>
        <v>0</v>
      </c>
    </row>
    <row r="1623" spans="1:7" ht="15.12" thickBot="1" customHeight="1">
      <c r="A1623" s="26"/>
      <c r="B1623" s="26"/>
      <c r="C1623" s="26"/>
      <c r="D1623" s="24" t="s">
        <v>4884</v>
      </c>
      <c r="E1623" s="28">
        <v>0.10000</v>
      </c>
      <c r="F1623" s="29">
        <f ca="1">ROUND((G1620+G1621+G1622),3)</f>
        <v>0</v>
      </c>
      <c r="G1623" s="27">
        <f ca="1">ROUND(E1623*F1623,2)</f>
        <v>0</v>
      </c>
    </row>
    <row r="1624" spans="1:7" ht="15.12" thickBot="1" customHeight="1">
      <c r="A1624" s="24" t="s">
        <v>4885</v>
      </c>
      <c r="B1624" s="24"/>
      <c r="C1624" s="24" t="s">
        <v>4886</v>
      </c>
      <c r="D1624" s="25" t="s">
        <v>4887</v>
      </c>
      <c r="E1624" s="28">
        <v>3.00000</v>
      </c>
      <c r="F1624" s="29">
        <f ca="1">ROUND(4.380,3)</f>
        <v>0</v>
      </c>
      <c r="G1624" s="27">
        <f ca="1">ROUND((E1624*F1624)/100,2)</f>
        <v>0</v>
      </c>
    </row>
    <row r="1625" spans="1:7" ht="15.48" thickBot="1" customHeight="1">
      <c r="A1625" s="30"/>
      <c r="B1625" s="30"/>
      <c r="C1625" s="30"/>
      <c r="D1625" s="31" t="s">
        <v>4888</v>
      </c>
      <c r="E1625" s="30"/>
      <c r="F1625" s="33">
        <f ca="1">ROUND((G1619+G1624)*(1+G2/100),2)</f>
        <v>0</v>
      </c>
      <c r="G1625" s="30"/>
    </row>
    <row r="1626" spans="1:7" ht="21.36" thickBot="1" customHeight="1">
      <c r="A1626" s="34" t="s">
        <v>4889</v>
      </c>
      <c r="B1626" s="35" t="s">
        <v>4890</v>
      </c>
      <c r="C1626" s="35" t="s">
        <v>4891</v>
      </c>
      <c r="D1626" s="36" t="s">
        <v>4892</v>
      </c>
      <c r="E1626" s="37"/>
      <c r="F1626" s="38">
        <f ca="1">F1634</f>
        <v>0</v>
      </c>
      <c r="G1626" s="37"/>
    </row>
    <row r="1627" spans="1:7" ht="30.60" thickBot="1" customHeight="1">
      <c r="A1627" s="26"/>
      <c r="B1627" s="26"/>
      <c r="C1627" s="26"/>
      <c r="D1627" s="25" t="s">
        <v>4893</v>
      </c>
      <c r="E1627" s="25"/>
      <c r="F1627" s="25"/>
      <c r="G1627" s="25"/>
    </row>
    <row r="1628" spans="1:7" ht="24.36" thickBot="1" customHeight="1">
      <c r="A1628" s="24" t="s">
        <v>4894</v>
      </c>
      <c r="B1628" s="24" t="s">
        <v>4895</v>
      </c>
      <c r="C1628" s="24" t="s">
        <v>4896</v>
      </c>
      <c r="D1628" s="25" t="s">
        <v>4897</v>
      </c>
      <c r="E1628" s="28">
        <v>0.30000</v>
      </c>
      <c r="F1628" s="29">
        <f ca="1">F1632</f>
        <v>0</v>
      </c>
      <c r="G1628" s="27">
        <f ca="1">ROUND(E1628*F1628,2)</f>
        <v>0</v>
      </c>
    </row>
    <row r="1629" spans="1:7" ht="24.36" thickBot="1" customHeight="1">
      <c r="A1629" s="24" t="s">
        <v>4898</v>
      </c>
      <c r="B1629" s="24" t="s">
        <v>4899</v>
      </c>
      <c r="C1629" s="24" t="s">
        <v>4900</v>
      </c>
      <c r="D1629" s="25" t="s">
        <v>4901</v>
      </c>
      <c r="E1629" s="28">
        <v>1.00000</v>
      </c>
      <c r="F1629" s="29">
        <f ca="1">ROUND(21.000,3)</f>
        <v>0</v>
      </c>
      <c r="G1629" s="27">
        <f ca="1">ROUND(E1629*F1629,2)</f>
        <v>0</v>
      </c>
    </row>
    <row r="1630" spans="1:7" ht="24.36" thickBot="1" customHeight="1">
      <c r="A1630" s="24" t="s">
        <v>4902</v>
      </c>
      <c r="B1630" s="24" t="s">
        <v>4903</v>
      </c>
      <c r="C1630" s="24" t="s">
        <v>4904</v>
      </c>
      <c r="D1630" s="25" t="s">
        <v>4905</v>
      </c>
      <c r="E1630" s="28">
        <v>1.00000</v>
      </c>
      <c r="F1630" s="29">
        <f ca="1">ROUND(19.000,3)</f>
        <v>0</v>
      </c>
      <c r="G1630" s="27">
        <f ca="1">ROUND(E1630*F1630,2)</f>
        <v>0</v>
      </c>
    </row>
    <row r="1631" spans="1:7" ht="24.36" thickBot="1" customHeight="1">
      <c r="A1631" s="24" t="s">
        <v>4906</v>
      </c>
      <c r="B1631" s="24" t="s">
        <v>4907</v>
      </c>
      <c r="C1631" s="24" t="s">
        <v>4908</v>
      </c>
      <c r="D1631" s="25" t="s">
        <v>4909</v>
      </c>
      <c r="E1631" s="28">
        <v>0.50000</v>
      </c>
      <c r="F1631" s="29">
        <f ca="1">ROUND(19.000,3)</f>
        <v>0</v>
      </c>
      <c r="G1631" s="27">
        <f ca="1">ROUND(E1631*F1631,2)</f>
        <v>0</v>
      </c>
    </row>
    <row r="1632" spans="1:7" ht="15.12" thickBot="1" customHeight="1">
      <c r="A1632" s="26"/>
      <c r="B1632" s="26"/>
      <c r="C1632" s="26"/>
      <c r="D1632" s="24" t="s">
        <v>4910</v>
      </c>
      <c r="E1632" s="28">
        <v>0.30000</v>
      </c>
      <c r="F1632" s="29">
        <f ca="1">ROUND((G1629+G1630+G1631),3)</f>
        <v>0</v>
      </c>
      <c r="G1632" s="27">
        <f ca="1">ROUND(E1632*F1632,2)</f>
        <v>0</v>
      </c>
    </row>
    <row r="1633" spans="1:7" ht="15.12" thickBot="1" customHeight="1">
      <c r="A1633" s="24" t="s">
        <v>4911</v>
      </c>
      <c r="B1633" s="24"/>
      <c r="C1633" s="24" t="s">
        <v>4912</v>
      </c>
      <c r="D1633" s="25" t="s">
        <v>4913</v>
      </c>
      <c r="E1633" s="28">
        <v>3.00000</v>
      </c>
      <c r="F1633" s="29">
        <f ca="1">ROUND(14.850,3)</f>
        <v>0</v>
      </c>
      <c r="G1633" s="27">
        <f ca="1">ROUND((E1633*F1633)/100,2)</f>
        <v>0</v>
      </c>
    </row>
    <row r="1634" spans="1:7" ht="15.48" thickBot="1" customHeight="1">
      <c r="A1634" s="30"/>
      <c r="B1634" s="30"/>
      <c r="C1634" s="30"/>
      <c r="D1634" s="31" t="s">
        <v>4914</v>
      </c>
      <c r="E1634" s="30"/>
      <c r="F1634" s="33">
        <f ca="1">ROUND((G1628+G1633)*(1+G2/100),2)</f>
        <v>0</v>
      </c>
      <c r="G1634" s="30"/>
    </row>
    <row r="1635" spans="1:7" ht="21.36" thickBot="1" customHeight="1">
      <c r="A1635" s="34" t="s">
        <v>4915</v>
      </c>
      <c r="B1635" s="35" t="s">
        <v>4916</v>
      </c>
      <c r="C1635" s="35" t="s">
        <v>4917</v>
      </c>
      <c r="D1635" s="36" t="s">
        <v>4918</v>
      </c>
      <c r="E1635" s="37"/>
      <c r="F1635" s="38">
        <f ca="1">F1643</f>
        <v>0</v>
      </c>
      <c r="G1635" s="37"/>
    </row>
    <row r="1636" spans="1:7" ht="21.36" thickBot="1" customHeight="1">
      <c r="A1636" s="26"/>
      <c r="B1636" s="26"/>
      <c r="C1636" s="26"/>
      <c r="D1636" s="25" t="s">
        <v>4919</v>
      </c>
      <c r="E1636" s="25"/>
      <c r="F1636" s="25"/>
      <c r="G1636" s="25"/>
    </row>
    <row r="1637" spans="1:7" ht="21.36" thickBot="1" customHeight="1">
      <c r="A1637" s="24" t="s">
        <v>4920</v>
      </c>
      <c r="B1637" s="24" t="s">
        <v>4921</v>
      </c>
      <c r="C1637" s="24" t="s">
        <v>4922</v>
      </c>
      <c r="D1637" s="25" t="s">
        <v>4923</v>
      </c>
      <c r="E1637" s="28">
        <v>0.28500</v>
      </c>
      <c r="F1637" s="29">
        <f ca="1">F1641</f>
        <v>0</v>
      </c>
      <c r="G1637" s="27">
        <f ca="1">ROUND(E1637*F1637,2)</f>
        <v>0</v>
      </c>
    </row>
    <row r="1638" spans="1:7" ht="24.36" thickBot="1" customHeight="1">
      <c r="A1638" s="24" t="s">
        <v>4924</v>
      </c>
      <c r="B1638" s="24" t="s">
        <v>4925</v>
      </c>
      <c r="C1638" s="24" t="s">
        <v>4926</v>
      </c>
      <c r="D1638" s="25" t="s">
        <v>4927</v>
      </c>
      <c r="E1638" s="28">
        <v>1.00000</v>
      </c>
      <c r="F1638" s="29">
        <f ca="1">ROUND(21.000,3)</f>
        <v>0</v>
      </c>
      <c r="G1638" s="27">
        <f ca="1">ROUND(E1638*F1638,2)</f>
        <v>0</v>
      </c>
    </row>
    <row r="1639" spans="1:7" ht="24.36" thickBot="1" customHeight="1">
      <c r="A1639" s="24" t="s">
        <v>4928</v>
      </c>
      <c r="B1639" s="24" t="s">
        <v>4929</v>
      </c>
      <c r="C1639" s="24" t="s">
        <v>4930</v>
      </c>
      <c r="D1639" s="25" t="s">
        <v>4931</v>
      </c>
      <c r="E1639" s="28">
        <v>1.00000</v>
      </c>
      <c r="F1639" s="29">
        <f ca="1">ROUND(19.000,3)</f>
        <v>0</v>
      </c>
      <c r="G1639" s="27">
        <f ca="1">ROUND(E1639*F1639,2)</f>
        <v>0</v>
      </c>
    </row>
    <row r="1640" spans="1:7" ht="24.36" thickBot="1" customHeight="1">
      <c r="A1640" s="24" t="s">
        <v>4932</v>
      </c>
      <c r="B1640" s="24" t="s">
        <v>4933</v>
      </c>
      <c r="C1640" s="24" t="s">
        <v>4934</v>
      </c>
      <c r="D1640" s="25" t="s">
        <v>4935</v>
      </c>
      <c r="E1640" s="28">
        <v>0.20000</v>
      </c>
      <c r="F1640" s="29">
        <f ca="1">ROUND(19.000,3)</f>
        <v>0</v>
      </c>
      <c r="G1640" s="27">
        <f ca="1">ROUND(E1640*F1640,2)</f>
        <v>0</v>
      </c>
    </row>
    <row r="1641" spans="1:7" ht="15.12" thickBot="1" customHeight="1">
      <c r="A1641" s="26"/>
      <c r="B1641" s="26"/>
      <c r="C1641" s="26"/>
      <c r="D1641" s="24" t="s">
        <v>4936</v>
      </c>
      <c r="E1641" s="28">
        <v>0.28500</v>
      </c>
      <c r="F1641" s="29">
        <f ca="1">ROUND((G1638+G1639+G1640),3)</f>
        <v>0</v>
      </c>
      <c r="G1641" s="27">
        <f ca="1">ROUND(E1641*F1641,2)</f>
        <v>0</v>
      </c>
    </row>
    <row r="1642" spans="1:7" ht="15.12" thickBot="1" customHeight="1">
      <c r="A1642" s="24" t="s">
        <v>4937</v>
      </c>
      <c r="B1642" s="24"/>
      <c r="C1642" s="24" t="s">
        <v>4938</v>
      </c>
      <c r="D1642" s="25" t="s">
        <v>4939</v>
      </c>
      <c r="E1642" s="28">
        <v>3.00000</v>
      </c>
      <c r="F1642" s="29">
        <f ca="1">ROUND(12.480,3)</f>
        <v>0</v>
      </c>
      <c r="G1642" s="27">
        <f ca="1">ROUND((E1642*F1642)/100,2)</f>
        <v>0</v>
      </c>
    </row>
    <row r="1643" spans="1:7" ht="15.48" thickBot="1" customHeight="1">
      <c r="A1643" s="30"/>
      <c r="B1643" s="30"/>
      <c r="C1643" s="30"/>
      <c r="D1643" s="31" t="s">
        <v>4940</v>
      </c>
      <c r="E1643" s="30"/>
      <c r="F1643" s="33">
        <f ca="1">ROUND((G1637+G1642)*(1+G2/100),2)</f>
        <v>0</v>
      </c>
      <c r="G1643" s="30"/>
    </row>
    <row r="1644" spans="1:7" ht="30.60" thickBot="1" customHeight="1">
      <c r="A1644" s="34" t="s">
        <v>4941</v>
      </c>
      <c r="B1644" s="35" t="s">
        <v>4942</v>
      </c>
      <c r="C1644" s="35" t="s">
        <v>4943</v>
      </c>
      <c r="D1644" s="36" t="s">
        <v>4944</v>
      </c>
      <c r="E1644" s="37"/>
      <c r="F1644" s="38">
        <f ca="1">F1652</f>
        <v>0</v>
      </c>
      <c r="G1644" s="37"/>
    </row>
    <row r="1645" spans="1:7" ht="30.60" thickBot="1" customHeight="1">
      <c r="A1645" s="26"/>
      <c r="B1645" s="26"/>
      <c r="C1645" s="26"/>
      <c r="D1645" s="25" t="s">
        <v>4945</v>
      </c>
      <c r="E1645" s="25"/>
      <c r="F1645" s="25"/>
      <c r="G1645" s="25"/>
    </row>
    <row r="1646" spans="1:7" ht="24.36" thickBot="1" customHeight="1">
      <c r="A1646" s="24" t="s">
        <v>4946</v>
      </c>
      <c r="B1646" s="24" t="s">
        <v>4947</v>
      </c>
      <c r="C1646" s="24" t="s">
        <v>4948</v>
      </c>
      <c r="D1646" s="25" t="s">
        <v>4949</v>
      </c>
      <c r="E1646" s="28">
        <v>0.42000</v>
      </c>
      <c r="F1646" s="29">
        <f ca="1">F1650</f>
        <v>0</v>
      </c>
      <c r="G1646" s="27">
        <f ca="1">ROUND(E1646*F1646,2)</f>
        <v>0</v>
      </c>
    </row>
    <row r="1647" spans="1:7" ht="24.36" thickBot="1" customHeight="1">
      <c r="A1647" s="24" t="s">
        <v>4950</v>
      </c>
      <c r="B1647" s="24" t="s">
        <v>4951</v>
      </c>
      <c r="C1647" s="24" t="s">
        <v>4952</v>
      </c>
      <c r="D1647" s="25" t="s">
        <v>4953</v>
      </c>
      <c r="E1647" s="28">
        <v>1.00000</v>
      </c>
      <c r="F1647" s="29">
        <f ca="1">ROUND(21.000,3)</f>
        <v>0</v>
      </c>
      <c r="G1647" s="27">
        <f ca="1">ROUND(E1647*F1647,2)</f>
        <v>0</v>
      </c>
    </row>
    <row r="1648" spans="1:7" ht="24.36" thickBot="1" customHeight="1">
      <c r="A1648" s="24" t="s">
        <v>4954</v>
      </c>
      <c r="B1648" s="24" t="s">
        <v>4955</v>
      </c>
      <c r="C1648" s="24" t="s">
        <v>4956</v>
      </c>
      <c r="D1648" s="25" t="s">
        <v>4957</v>
      </c>
      <c r="E1648" s="28">
        <v>1.00000</v>
      </c>
      <c r="F1648" s="29">
        <f ca="1">ROUND(19.000,3)</f>
        <v>0</v>
      </c>
      <c r="G1648" s="27">
        <f ca="1">ROUND(E1648*F1648,2)</f>
        <v>0</v>
      </c>
    </row>
    <row r="1649" spans="1:7" ht="24.36" thickBot="1" customHeight="1">
      <c r="A1649" s="24" t="s">
        <v>4958</v>
      </c>
      <c r="B1649" s="24" t="s">
        <v>4959</v>
      </c>
      <c r="C1649" s="24" t="s">
        <v>4960</v>
      </c>
      <c r="D1649" s="25" t="s">
        <v>4961</v>
      </c>
      <c r="E1649" s="28">
        <v>0.50000</v>
      </c>
      <c r="F1649" s="29">
        <f ca="1">ROUND(19.000,3)</f>
        <v>0</v>
      </c>
      <c r="G1649" s="27">
        <f ca="1">ROUND(E1649*F1649,2)</f>
        <v>0</v>
      </c>
    </row>
    <row r="1650" spans="1:7" ht="15.12" thickBot="1" customHeight="1">
      <c r="A1650" s="26"/>
      <c r="B1650" s="26"/>
      <c r="C1650" s="26"/>
      <c r="D1650" s="24" t="s">
        <v>4962</v>
      </c>
      <c r="E1650" s="28">
        <v>0.42000</v>
      </c>
      <c r="F1650" s="29">
        <f ca="1">ROUND((G1647+G1648+G1649),3)</f>
        <v>0</v>
      </c>
      <c r="G1650" s="27">
        <f ca="1">ROUND(E1650*F1650,2)</f>
        <v>0</v>
      </c>
    </row>
    <row r="1651" spans="1:7" ht="15.12" thickBot="1" customHeight="1">
      <c r="A1651" s="24" t="s">
        <v>4963</v>
      </c>
      <c r="B1651" s="24"/>
      <c r="C1651" s="24" t="s">
        <v>4964</v>
      </c>
      <c r="D1651" s="25" t="s">
        <v>4965</v>
      </c>
      <c r="E1651" s="28">
        <v>3.00000</v>
      </c>
      <c r="F1651" s="29">
        <f ca="1">ROUND(20.790,3)</f>
        <v>0</v>
      </c>
      <c r="G1651" s="27">
        <f ca="1">ROUND((E1651*F1651)/100,2)</f>
        <v>0</v>
      </c>
    </row>
    <row r="1652" spans="1:7" ht="15.48" thickBot="1" customHeight="1">
      <c r="A1652" s="30"/>
      <c r="B1652" s="30"/>
      <c r="C1652" s="30"/>
      <c r="D1652" s="31" t="s">
        <v>4966</v>
      </c>
      <c r="E1652" s="30"/>
      <c r="F1652" s="33">
        <f ca="1">ROUND((G1646+G1651)*(1+G2/100),2)</f>
        <v>0</v>
      </c>
      <c r="G1652" s="30"/>
    </row>
    <row r="1653" spans="1:7" ht="21.36" thickBot="1" customHeight="1">
      <c r="A1653" s="34" t="s">
        <v>4967</v>
      </c>
      <c r="B1653" s="35" t="s">
        <v>4968</v>
      </c>
      <c r="C1653" s="35" t="s">
        <v>4969</v>
      </c>
      <c r="D1653" s="36" t="s">
        <v>4970</v>
      </c>
      <c r="E1653" s="37"/>
      <c r="F1653" s="38">
        <f ca="1">F1660</f>
        <v>0</v>
      </c>
      <c r="G1653" s="37"/>
    </row>
    <row r="1654" spans="1:7" ht="39.84" thickBot="1" customHeight="1">
      <c r="A1654" s="26"/>
      <c r="B1654" s="26"/>
      <c r="C1654" s="26"/>
      <c r="D1654" s="25" t="s">
        <v>4971</v>
      </c>
      <c r="E1654" s="25"/>
      <c r="F1654" s="25"/>
      <c r="G1654" s="25"/>
    </row>
    <row r="1655" spans="1:7" ht="21.36" thickBot="1" customHeight="1">
      <c r="A1655" s="24" t="s">
        <v>4972</v>
      </c>
      <c r="B1655" s="24" t="s">
        <v>4973</v>
      </c>
      <c r="C1655" s="24" t="s">
        <v>4974</v>
      </c>
      <c r="D1655" s="25" t="s">
        <v>4975</v>
      </c>
      <c r="E1655" s="28">
        <v>0.35000</v>
      </c>
      <c r="F1655" s="29">
        <f ca="1">F1659</f>
        <v>0</v>
      </c>
      <c r="G1655" s="27">
        <f ca="1">ROUND(E1655*F1655,2)</f>
        <v>0</v>
      </c>
    </row>
    <row r="1656" spans="1:7" ht="24.36" thickBot="1" customHeight="1">
      <c r="A1656" s="24" t="s">
        <v>4976</v>
      </c>
      <c r="B1656" s="24" t="s">
        <v>4977</v>
      </c>
      <c r="C1656" s="24" t="s">
        <v>4978</v>
      </c>
      <c r="D1656" s="25" t="s">
        <v>4979</v>
      </c>
      <c r="E1656" s="28">
        <v>1.00000</v>
      </c>
      <c r="F1656" s="29">
        <f ca="1">ROUND(21.000,3)</f>
        <v>0</v>
      </c>
      <c r="G1656" s="27">
        <f ca="1">ROUND(E1656*F1656,2)</f>
        <v>0</v>
      </c>
    </row>
    <row r="1657" spans="1:7" ht="24.36" thickBot="1" customHeight="1">
      <c r="A1657" s="24" t="s">
        <v>4980</v>
      </c>
      <c r="B1657" s="24" t="s">
        <v>4981</v>
      </c>
      <c r="C1657" s="24" t="s">
        <v>4982</v>
      </c>
      <c r="D1657" s="25" t="s">
        <v>4983</v>
      </c>
      <c r="E1657" s="28">
        <v>1.00000</v>
      </c>
      <c r="F1657" s="29">
        <f ca="1">ROUND(19.000,3)</f>
        <v>0</v>
      </c>
      <c r="G1657" s="27">
        <f ca="1">ROUND(E1657*F1657,2)</f>
        <v>0</v>
      </c>
    </row>
    <row r="1658" spans="1:7" ht="24.36" thickBot="1" customHeight="1">
      <c r="A1658" s="24" t="s">
        <v>4984</v>
      </c>
      <c r="B1658" s="24" t="s">
        <v>4985</v>
      </c>
      <c r="C1658" s="24" t="s">
        <v>4986</v>
      </c>
      <c r="D1658" s="25" t="s">
        <v>4987</v>
      </c>
      <c r="E1658" s="28">
        <v>0.20000</v>
      </c>
      <c r="F1658" s="29">
        <f ca="1">ROUND(19.000,3)</f>
        <v>0</v>
      </c>
      <c r="G1658" s="27">
        <f ca="1">ROUND(E1658*F1658,2)</f>
        <v>0</v>
      </c>
    </row>
    <row r="1659" spans="1:7" ht="15.12" thickBot="1" customHeight="1">
      <c r="A1659" s="26"/>
      <c r="B1659" s="26"/>
      <c r="C1659" s="26"/>
      <c r="D1659" s="24" t="s">
        <v>4988</v>
      </c>
      <c r="E1659" s="28">
        <v>0.35000</v>
      </c>
      <c r="F1659" s="29">
        <f ca="1">ROUND((G1656+G1657+G1658),3)</f>
        <v>0</v>
      </c>
      <c r="G1659" s="27">
        <f ca="1">ROUND(E1659*F1659,2)</f>
        <v>0</v>
      </c>
    </row>
    <row r="1660" spans="1:7" ht="15.48" thickBot="1" customHeight="1">
      <c r="A1660" s="30"/>
      <c r="B1660" s="30"/>
      <c r="C1660" s="30"/>
      <c r="D1660" s="31" t="s">
        <v>4989</v>
      </c>
      <c r="E1660" s="30"/>
      <c r="F1660" s="33">
        <f ca="1">ROUND((G1655)*(1+G2/100),2)</f>
        <v>0</v>
      </c>
      <c r="G1660" s="30"/>
    </row>
    <row r="1661" spans="1:7" ht="21.36" thickBot="1" customHeight="1">
      <c r="A1661" s="34" t="s">
        <v>4990</v>
      </c>
      <c r="B1661" s="35" t="s">
        <v>4991</v>
      </c>
      <c r="C1661" s="35" t="s">
        <v>4992</v>
      </c>
      <c r="D1661" s="36" t="s">
        <v>4993</v>
      </c>
      <c r="E1661" s="37"/>
      <c r="F1661" s="38">
        <f ca="1">F1668</f>
        <v>0</v>
      </c>
      <c r="G1661" s="37"/>
    </row>
    <row r="1662" spans="1:7" ht="30.60" thickBot="1" customHeight="1">
      <c r="A1662" s="26"/>
      <c r="B1662" s="26"/>
      <c r="C1662" s="26"/>
      <c r="D1662" s="25" t="s">
        <v>4994</v>
      </c>
      <c r="E1662" s="25"/>
      <c r="F1662" s="25"/>
      <c r="G1662" s="25"/>
    </row>
    <row r="1663" spans="1:7" ht="21.36" thickBot="1" customHeight="1">
      <c r="A1663" s="24" t="s">
        <v>4995</v>
      </c>
      <c r="B1663" s="24" t="s">
        <v>4996</v>
      </c>
      <c r="C1663" s="24" t="s">
        <v>4997</v>
      </c>
      <c r="D1663" s="25" t="s">
        <v>4998</v>
      </c>
      <c r="E1663" s="28">
        <v>0.52000</v>
      </c>
      <c r="F1663" s="29">
        <f ca="1">F1667</f>
        <v>0</v>
      </c>
      <c r="G1663" s="27">
        <f ca="1">ROUND(E1663*F1663,2)</f>
        <v>0</v>
      </c>
    </row>
    <row r="1664" spans="1:7" ht="24.36" thickBot="1" customHeight="1">
      <c r="A1664" s="24" t="s">
        <v>4999</v>
      </c>
      <c r="B1664" s="24" t="s">
        <v>5000</v>
      </c>
      <c r="C1664" s="24" t="s">
        <v>5001</v>
      </c>
      <c r="D1664" s="25" t="s">
        <v>5002</v>
      </c>
      <c r="E1664" s="28">
        <v>1.00000</v>
      </c>
      <c r="F1664" s="29">
        <f ca="1">ROUND(21.000,3)</f>
        <v>0</v>
      </c>
      <c r="G1664" s="27">
        <f ca="1">ROUND(E1664*F1664,2)</f>
        <v>0</v>
      </c>
    </row>
    <row r="1665" spans="1:7" ht="24.36" thickBot="1" customHeight="1">
      <c r="A1665" s="24" t="s">
        <v>5003</v>
      </c>
      <c r="B1665" s="24" t="s">
        <v>5004</v>
      </c>
      <c r="C1665" s="24" t="s">
        <v>5005</v>
      </c>
      <c r="D1665" s="25" t="s">
        <v>5006</v>
      </c>
      <c r="E1665" s="28">
        <v>1.00000</v>
      </c>
      <c r="F1665" s="29">
        <f ca="1">ROUND(19.000,3)</f>
        <v>0</v>
      </c>
      <c r="G1665" s="27">
        <f ca="1">ROUND(E1665*F1665,2)</f>
        <v>0</v>
      </c>
    </row>
    <row r="1666" spans="1:7" ht="24.36" thickBot="1" customHeight="1">
      <c r="A1666" s="24" t="s">
        <v>5007</v>
      </c>
      <c r="B1666" s="24" t="s">
        <v>5008</v>
      </c>
      <c r="C1666" s="24" t="s">
        <v>5009</v>
      </c>
      <c r="D1666" s="25" t="s">
        <v>5010</v>
      </c>
      <c r="E1666" s="28">
        <v>0.20000</v>
      </c>
      <c r="F1666" s="29">
        <f ca="1">ROUND(19.000,3)</f>
        <v>0</v>
      </c>
      <c r="G1666" s="27">
        <f ca="1">ROUND(E1666*F1666,2)</f>
        <v>0</v>
      </c>
    </row>
    <row r="1667" spans="1:7" ht="15.12" thickBot="1" customHeight="1">
      <c r="A1667" s="26"/>
      <c r="B1667" s="26"/>
      <c r="C1667" s="26"/>
      <c r="D1667" s="24" t="s">
        <v>5011</v>
      </c>
      <c r="E1667" s="28">
        <v>0.52000</v>
      </c>
      <c r="F1667" s="29">
        <f ca="1">ROUND((G1664+G1665+G1666),3)</f>
        <v>0</v>
      </c>
      <c r="G1667" s="27">
        <f ca="1">ROUND(E1667*F1667,2)</f>
        <v>0</v>
      </c>
    </row>
    <row r="1668" spans="1:7" ht="15.48" thickBot="1" customHeight="1">
      <c r="A1668" s="30"/>
      <c r="B1668" s="30"/>
      <c r="C1668" s="30"/>
      <c r="D1668" s="31" t="s">
        <v>5012</v>
      </c>
      <c r="E1668" s="30"/>
      <c r="F1668" s="33">
        <f ca="1">ROUND((G1663)*(1+G2/100),2)</f>
        <v>0</v>
      </c>
      <c r="G1668" s="30"/>
    </row>
    <row r="1669" spans="1:7" ht="21.36" thickBot="1" customHeight="1">
      <c r="A1669" s="34" t="s">
        <v>5013</v>
      </c>
      <c r="B1669" s="35" t="s">
        <v>5014</v>
      </c>
      <c r="C1669" s="35" t="s">
        <v>5015</v>
      </c>
      <c r="D1669" s="36" t="s">
        <v>5016</v>
      </c>
      <c r="E1669" s="37"/>
      <c r="F1669" s="38">
        <f ca="1">F1676</f>
        <v>0</v>
      </c>
      <c r="G1669" s="37"/>
    </row>
    <row r="1670" spans="1:7" ht="21.36" thickBot="1" customHeight="1">
      <c r="A1670" s="26"/>
      <c r="B1670" s="26"/>
      <c r="C1670" s="26"/>
      <c r="D1670" s="25" t="s">
        <v>5017</v>
      </c>
      <c r="E1670" s="25"/>
      <c r="F1670" s="25"/>
      <c r="G1670" s="25"/>
    </row>
    <row r="1671" spans="1:7" ht="21.36" thickBot="1" customHeight="1">
      <c r="A1671" s="24" t="s">
        <v>5018</v>
      </c>
      <c r="B1671" s="24" t="s">
        <v>5019</v>
      </c>
      <c r="C1671" s="24" t="s">
        <v>5020</v>
      </c>
      <c r="D1671" s="25" t="s">
        <v>5021</v>
      </c>
      <c r="E1671" s="28">
        <v>0.16667</v>
      </c>
      <c r="F1671" s="29">
        <f ca="1">F1675</f>
        <v>0</v>
      </c>
      <c r="G1671" s="27">
        <f ca="1">ROUND(E1671*F1671,2)</f>
        <v>0</v>
      </c>
    </row>
    <row r="1672" spans="1:7" ht="24.36" thickBot="1" customHeight="1">
      <c r="A1672" s="24" t="s">
        <v>5022</v>
      </c>
      <c r="B1672" s="24" t="s">
        <v>5023</v>
      </c>
      <c r="C1672" s="24" t="s">
        <v>5024</v>
      </c>
      <c r="D1672" s="25" t="s">
        <v>5025</v>
      </c>
      <c r="E1672" s="28">
        <v>1.00000</v>
      </c>
      <c r="F1672" s="29">
        <f ca="1">ROUND(21.000,3)</f>
        <v>0</v>
      </c>
      <c r="G1672" s="27">
        <f ca="1">ROUND(E1672*F1672,2)</f>
        <v>0</v>
      </c>
    </row>
    <row r="1673" spans="1:7" ht="24.36" thickBot="1" customHeight="1">
      <c r="A1673" s="24" t="s">
        <v>5026</v>
      </c>
      <c r="B1673" s="24" t="s">
        <v>5027</v>
      </c>
      <c r="C1673" s="24" t="s">
        <v>5028</v>
      </c>
      <c r="D1673" s="25" t="s">
        <v>5029</v>
      </c>
      <c r="E1673" s="28">
        <v>1.00000</v>
      </c>
      <c r="F1673" s="29">
        <f ca="1">ROUND(19.000,3)</f>
        <v>0</v>
      </c>
      <c r="G1673" s="27">
        <f ca="1">ROUND(E1673*F1673,2)</f>
        <v>0</v>
      </c>
    </row>
    <row r="1674" spans="1:7" ht="24.36" thickBot="1" customHeight="1">
      <c r="A1674" s="24" t="s">
        <v>5030</v>
      </c>
      <c r="B1674" s="24" t="s">
        <v>5031</v>
      </c>
      <c r="C1674" s="24" t="s">
        <v>5032</v>
      </c>
      <c r="D1674" s="25" t="s">
        <v>5033</v>
      </c>
      <c r="E1674" s="28">
        <v>0.20000</v>
      </c>
      <c r="F1674" s="29">
        <f ca="1">ROUND(19.000,3)</f>
        <v>0</v>
      </c>
      <c r="G1674" s="27">
        <f ca="1">ROUND(E1674*F1674,2)</f>
        <v>0</v>
      </c>
    </row>
    <row r="1675" spans="1:7" ht="15.12" thickBot="1" customHeight="1">
      <c r="A1675" s="26"/>
      <c r="B1675" s="26"/>
      <c r="C1675" s="26"/>
      <c r="D1675" s="24" t="s">
        <v>5034</v>
      </c>
      <c r="E1675" s="28">
        <v>0.16667</v>
      </c>
      <c r="F1675" s="29">
        <f ca="1">ROUND((G1672+G1673+G1674),3)</f>
        <v>0</v>
      </c>
      <c r="G1675" s="27">
        <f ca="1">ROUND(E1675*F1675,2)</f>
        <v>0</v>
      </c>
    </row>
    <row r="1676" spans="1:7" ht="15.48" thickBot="1" customHeight="1">
      <c r="A1676" s="30"/>
      <c r="B1676" s="30"/>
      <c r="C1676" s="30"/>
      <c r="D1676" s="31" t="s">
        <v>5035</v>
      </c>
      <c r="E1676" s="30"/>
      <c r="F1676" s="33">
        <f ca="1">ROUND((G1671)*(1+G2/100),2)</f>
        <v>0</v>
      </c>
      <c r="G1676" s="30"/>
    </row>
    <row r="1677" spans="1:7" ht="21.36" thickBot="1" customHeight="1">
      <c r="A1677" s="34" t="s">
        <v>5036</v>
      </c>
      <c r="B1677" s="35" t="s">
        <v>5037</v>
      </c>
      <c r="C1677" s="35" t="s">
        <v>5038</v>
      </c>
      <c r="D1677" s="36" t="s">
        <v>5039</v>
      </c>
      <c r="E1677" s="37"/>
      <c r="F1677" s="38">
        <f ca="1">F1684</f>
        <v>0</v>
      </c>
      <c r="G1677" s="37"/>
    </row>
    <row r="1678" spans="1:7" ht="30.60" thickBot="1" customHeight="1">
      <c r="A1678" s="26"/>
      <c r="B1678" s="26"/>
      <c r="C1678" s="26"/>
      <c r="D1678" s="25" t="s">
        <v>5040</v>
      </c>
      <c r="E1678" s="25"/>
      <c r="F1678" s="25"/>
      <c r="G1678" s="25"/>
    </row>
    <row r="1679" spans="1:7" ht="21.36" thickBot="1" customHeight="1">
      <c r="A1679" s="24" t="s">
        <v>5041</v>
      </c>
      <c r="B1679" s="24" t="s">
        <v>5042</v>
      </c>
      <c r="C1679" s="24" t="s">
        <v>5043</v>
      </c>
      <c r="D1679" s="25" t="s">
        <v>5044</v>
      </c>
      <c r="E1679" s="28">
        <v>0.21000</v>
      </c>
      <c r="F1679" s="29">
        <f ca="1">F1683</f>
        <v>0</v>
      </c>
      <c r="G1679" s="27">
        <f ca="1">ROUND(E1679*F1679,2)</f>
        <v>0</v>
      </c>
    </row>
    <row r="1680" spans="1:7" ht="24.36" thickBot="1" customHeight="1">
      <c r="A1680" s="24" t="s">
        <v>5045</v>
      </c>
      <c r="B1680" s="24" t="s">
        <v>5046</v>
      </c>
      <c r="C1680" s="24" t="s">
        <v>5047</v>
      </c>
      <c r="D1680" s="25" t="s">
        <v>5048</v>
      </c>
      <c r="E1680" s="28">
        <v>1.00000</v>
      </c>
      <c r="F1680" s="29">
        <f ca="1">ROUND(21.000,3)</f>
        <v>0</v>
      </c>
      <c r="G1680" s="27">
        <f ca="1">ROUND(E1680*F1680,2)</f>
        <v>0</v>
      </c>
    </row>
    <row r="1681" spans="1:7" ht="24.36" thickBot="1" customHeight="1">
      <c r="A1681" s="24" t="s">
        <v>5049</v>
      </c>
      <c r="B1681" s="24" t="s">
        <v>5050</v>
      </c>
      <c r="C1681" s="24" t="s">
        <v>5051</v>
      </c>
      <c r="D1681" s="25" t="s">
        <v>5052</v>
      </c>
      <c r="E1681" s="28">
        <v>1.00000</v>
      </c>
      <c r="F1681" s="29">
        <f ca="1">ROUND(19.000,3)</f>
        <v>0</v>
      </c>
      <c r="G1681" s="27">
        <f ca="1">ROUND(E1681*F1681,2)</f>
        <v>0</v>
      </c>
    </row>
    <row r="1682" spans="1:7" ht="24.36" thickBot="1" customHeight="1">
      <c r="A1682" s="24" t="s">
        <v>5053</v>
      </c>
      <c r="B1682" s="24" t="s">
        <v>5054</v>
      </c>
      <c r="C1682" s="24" t="s">
        <v>5055</v>
      </c>
      <c r="D1682" s="25" t="s">
        <v>5056</v>
      </c>
      <c r="E1682" s="28">
        <v>0.20000</v>
      </c>
      <c r="F1682" s="29">
        <f ca="1">ROUND(19.000,3)</f>
        <v>0</v>
      </c>
      <c r="G1682" s="27">
        <f ca="1">ROUND(E1682*F1682,2)</f>
        <v>0</v>
      </c>
    </row>
    <row r="1683" spans="1:7" ht="15.12" thickBot="1" customHeight="1">
      <c r="A1683" s="26"/>
      <c r="B1683" s="26"/>
      <c r="C1683" s="26"/>
      <c r="D1683" s="24" t="s">
        <v>5057</v>
      </c>
      <c r="E1683" s="28">
        <v>0.21000</v>
      </c>
      <c r="F1683" s="29">
        <f ca="1">ROUND((G1680+G1681+G1682),3)</f>
        <v>0</v>
      </c>
      <c r="G1683" s="27">
        <f ca="1">ROUND(E1683*F1683,2)</f>
        <v>0</v>
      </c>
    </row>
    <row r="1684" spans="1:7" ht="15.48" thickBot="1" customHeight="1">
      <c r="A1684" s="30"/>
      <c r="B1684" s="30"/>
      <c r="C1684" s="30"/>
      <c r="D1684" s="31" t="s">
        <v>5058</v>
      </c>
      <c r="E1684" s="30"/>
      <c r="F1684" s="33">
        <f ca="1">ROUND((G1679)*(1+G2/100),2)</f>
        <v>0</v>
      </c>
      <c r="G1684" s="30"/>
    </row>
    <row r="1685" spans="1:7" ht="15.48" thickBot="1" customHeight="1">
      <c r="A1685" s="34" t="s">
        <v>5059</v>
      </c>
      <c r="B1685" s="35" t="s">
        <v>5060</v>
      </c>
      <c r="C1685" s="35" t="s">
        <v>5061</v>
      </c>
      <c r="D1685" s="36" t="s">
        <v>5062</v>
      </c>
      <c r="E1685" s="37"/>
      <c r="F1685" s="38">
        <f ca="1">F1696</f>
        <v>0</v>
      </c>
      <c r="G1685" s="37"/>
    </row>
    <row r="1686" spans="1:7" ht="76.80" thickBot="1" customHeight="1">
      <c r="A1686" s="26"/>
      <c r="B1686" s="26"/>
      <c r="C1686" s="26"/>
      <c r="D1686" s="25" t="s">
        <v>5063</v>
      </c>
      <c r="E1686" s="25"/>
      <c r="F1686" s="25"/>
      <c r="G1686" s="25"/>
    </row>
    <row r="1687" spans="1:7" ht="30.60" thickBot="1" customHeight="1">
      <c r="A1687" s="24" t="s">
        <v>5064</v>
      </c>
      <c r="B1687" s="24" t="s">
        <v>5065</v>
      </c>
      <c r="C1687" s="24" t="s">
        <v>5066</v>
      </c>
      <c r="D1687" s="25" t="s">
        <v>5067</v>
      </c>
      <c r="E1687" s="28">
        <v>0.50000</v>
      </c>
      <c r="F1687" s="29">
        <f ca="1">ROUND(1.875,3)</f>
        <v>0</v>
      </c>
      <c r="G1687" s="27">
        <f ca="1">ROUND(E1687*F1687,2)</f>
        <v>0</v>
      </c>
    </row>
    <row r="1688" spans="1:7" ht="39.84" thickBot="1" customHeight="1">
      <c r="A1688" s="24" t="s">
        <v>5068</v>
      </c>
      <c r="B1688" s="24" t="s">
        <v>5069</v>
      </c>
      <c r="C1688" s="24" t="s">
        <v>5070</v>
      </c>
      <c r="D1688" s="25" t="s">
        <v>5071</v>
      </c>
      <c r="E1688" s="28">
        <v>0.50000</v>
      </c>
      <c r="F1688" s="29">
        <f ca="1">ROUND(2.000,3)</f>
        <v>0</v>
      </c>
      <c r="G1688" s="27">
        <f ca="1">ROUND(E1688*F1688,2)</f>
        <v>0</v>
      </c>
    </row>
    <row r="1689" spans="1:7" ht="39.84" thickBot="1" customHeight="1">
      <c r="A1689" s="24" t="s">
        <v>5072</v>
      </c>
      <c r="B1689" s="24" t="s">
        <v>5073</v>
      </c>
      <c r="C1689" s="24" t="s">
        <v>5074</v>
      </c>
      <c r="D1689" s="25" t="s">
        <v>5075</v>
      </c>
      <c r="E1689" s="28">
        <v>0.50000</v>
      </c>
      <c r="F1689" s="29">
        <f ca="1">ROUND(7.565,3)</f>
        <v>0</v>
      </c>
      <c r="G1689" s="27">
        <f ca="1">ROUND(E1689*F1689,2)</f>
        <v>0</v>
      </c>
    </row>
    <row r="1690" spans="1:7" ht="21.36" thickBot="1" customHeight="1">
      <c r="A1690" s="24" t="s">
        <v>5076</v>
      </c>
      <c r="B1690" s="24" t="s">
        <v>5077</v>
      </c>
      <c r="C1690" s="24" t="s">
        <v>5078</v>
      </c>
      <c r="D1690" s="25" t="s">
        <v>5079</v>
      </c>
      <c r="E1690" s="28">
        <v>0.50000</v>
      </c>
      <c r="F1690" s="29">
        <f ca="1">F1694</f>
        <v>0</v>
      </c>
      <c r="G1690" s="27">
        <f ca="1">ROUND(E1690*F1690,2)</f>
        <v>0</v>
      </c>
    </row>
    <row r="1691" spans="1:7" ht="24.36" thickBot="1" customHeight="1">
      <c r="A1691" s="24" t="s">
        <v>5080</v>
      </c>
      <c r="B1691" s="24" t="s">
        <v>5081</v>
      </c>
      <c r="C1691" s="24" t="s">
        <v>5082</v>
      </c>
      <c r="D1691" s="25" t="s">
        <v>5083</v>
      </c>
      <c r="E1691" s="28">
        <v>1.00000</v>
      </c>
      <c r="F1691" s="29">
        <f ca="1">ROUND(21.000,3)</f>
        <v>0</v>
      </c>
      <c r="G1691" s="27">
        <f ca="1">ROUND(E1691*F1691,2)</f>
        <v>0</v>
      </c>
    </row>
    <row r="1692" spans="1:7" ht="24.36" thickBot="1" customHeight="1">
      <c r="A1692" s="24" t="s">
        <v>5084</v>
      </c>
      <c r="B1692" s="24" t="s">
        <v>5085</v>
      </c>
      <c r="C1692" s="24" t="s">
        <v>5086</v>
      </c>
      <c r="D1692" s="25" t="s">
        <v>5087</v>
      </c>
      <c r="E1692" s="28">
        <v>1.00000</v>
      </c>
      <c r="F1692" s="29">
        <f ca="1">ROUND(19.000,3)</f>
        <v>0</v>
      </c>
      <c r="G1692" s="27">
        <f ca="1">ROUND(E1692*F1692,2)</f>
        <v>0</v>
      </c>
    </row>
    <row r="1693" spans="1:7" ht="24.36" thickBot="1" customHeight="1">
      <c r="A1693" s="24" t="s">
        <v>5088</v>
      </c>
      <c r="B1693" s="24" t="s">
        <v>5089</v>
      </c>
      <c r="C1693" s="24" t="s">
        <v>5090</v>
      </c>
      <c r="D1693" s="25" t="s">
        <v>5091</v>
      </c>
      <c r="E1693" s="28">
        <v>0.20000</v>
      </c>
      <c r="F1693" s="29">
        <f ca="1">ROUND(19.000,3)</f>
        <v>0</v>
      </c>
      <c r="G1693" s="27">
        <f ca="1">ROUND(E1693*F1693,2)</f>
        <v>0</v>
      </c>
    </row>
    <row r="1694" spans="1:7" ht="15.12" thickBot="1" customHeight="1">
      <c r="A1694" s="26"/>
      <c r="B1694" s="26"/>
      <c r="C1694" s="26"/>
      <c r="D1694" s="24" t="s">
        <v>5092</v>
      </c>
      <c r="E1694" s="28">
        <v>0.50000</v>
      </c>
      <c r="F1694" s="29">
        <f ca="1">ROUND((G1691+G1692+G1693),3)</f>
        <v>0</v>
      </c>
      <c r="G1694" s="27">
        <f ca="1">ROUND(E1694*F1694,2)</f>
        <v>0</v>
      </c>
    </row>
    <row r="1695" spans="1:7" ht="15.12" thickBot="1" customHeight="1">
      <c r="A1695" s="24" t="s">
        <v>5093</v>
      </c>
      <c r="B1695" s="24"/>
      <c r="C1695" s="24" t="s">
        <v>5094</v>
      </c>
      <c r="D1695" s="25" t="s">
        <v>5095</v>
      </c>
      <c r="E1695" s="28">
        <v>3.00000</v>
      </c>
      <c r="F1695" s="29">
        <f ca="1">ROUND(21.900,3)</f>
        <v>0</v>
      </c>
      <c r="G1695" s="27">
        <f ca="1">ROUND((E1695*F1695)/100,2)</f>
        <v>0</v>
      </c>
    </row>
    <row r="1696" spans="1:7" ht="15.48" thickBot="1" customHeight="1">
      <c r="A1696" s="30"/>
      <c r="B1696" s="30"/>
      <c r="C1696" s="30"/>
      <c r="D1696" s="31" t="s">
        <v>5096</v>
      </c>
      <c r="E1696" s="30"/>
      <c r="F1696" s="33">
        <f ca="1">ROUND((G1687+G1688+G1689+G1690+G1695)*(1+G2/100),2)</f>
        <v>0</v>
      </c>
      <c r="G1696" s="30"/>
    </row>
    <row r="1697" spans="1:7" ht="21.36" thickBot="1" customHeight="1">
      <c r="A1697" s="34" t="s">
        <v>5097</v>
      </c>
      <c r="B1697" s="35" t="s">
        <v>5098</v>
      </c>
      <c r="C1697" s="35" t="s">
        <v>5099</v>
      </c>
      <c r="D1697" s="36" t="s">
        <v>5100</v>
      </c>
      <c r="E1697" s="37"/>
      <c r="F1697" s="38">
        <f ca="1">F1706</f>
        <v>0</v>
      </c>
      <c r="G1697" s="37"/>
    </row>
    <row r="1698" spans="1:7" ht="49.08" thickBot="1" customHeight="1">
      <c r="A1698" s="26"/>
      <c r="B1698" s="26"/>
      <c r="C1698" s="26"/>
      <c r="D1698" s="25" t="s">
        <v>5101</v>
      </c>
      <c r="E1698" s="25"/>
      <c r="F1698" s="25"/>
      <c r="G1698" s="25"/>
    </row>
    <row r="1699" spans="1:7" ht="30.60" thickBot="1" customHeight="1">
      <c r="A1699" s="24" t="s">
        <v>5102</v>
      </c>
      <c r="B1699" s="24" t="s">
        <v>5103</v>
      </c>
      <c r="C1699" s="24" t="s">
        <v>5104</v>
      </c>
      <c r="D1699" s="25" t="s">
        <v>5105</v>
      </c>
      <c r="E1699" s="28">
        <v>0.20000</v>
      </c>
      <c r="F1699" s="29">
        <f ca="1">ROUND(3.740,3)</f>
        <v>0</v>
      </c>
      <c r="G1699" s="27">
        <f ca="1">ROUND(E1699*F1699,2)</f>
        <v>0</v>
      </c>
    </row>
    <row r="1700" spans="1:7" ht="39.84" thickBot="1" customHeight="1">
      <c r="A1700" s="24" t="s">
        <v>5106</v>
      </c>
      <c r="B1700" s="24" t="s">
        <v>5107</v>
      </c>
      <c r="C1700" s="24" t="s">
        <v>5108</v>
      </c>
      <c r="D1700" s="25" t="s">
        <v>5109</v>
      </c>
      <c r="E1700" s="28">
        <v>0.20000</v>
      </c>
      <c r="F1700" s="29">
        <f ca="1">ROUND(7.565,3)</f>
        <v>0</v>
      </c>
      <c r="G1700" s="27">
        <f ca="1">ROUND(E1700*F1700,2)</f>
        <v>0</v>
      </c>
    </row>
    <row r="1701" spans="1:7" ht="21.36" thickBot="1" customHeight="1">
      <c r="A1701" s="24" t="s">
        <v>5110</v>
      </c>
      <c r="B1701" s="24" t="s">
        <v>5111</v>
      </c>
      <c r="C1701" s="24" t="s">
        <v>5112</v>
      </c>
      <c r="D1701" s="25" t="s">
        <v>5113</v>
      </c>
      <c r="E1701" s="28">
        <v>0.70000</v>
      </c>
      <c r="F1701" s="29">
        <f ca="1">F1705</f>
        <v>0</v>
      </c>
      <c r="G1701" s="27">
        <f ca="1">ROUND(E1701*F1701,2)</f>
        <v>0</v>
      </c>
    </row>
    <row r="1702" spans="1:7" ht="24.36" thickBot="1" customHeight="1">
      <c r="A1702" s="24" t="s">
        <v>5114</v>
      </c>
      <c r="B1702" s="24" t="s">
        <v>5115</v>
      </c>
      <c r="C1702" s="24" t="s">
        <v>5116</v>
      </c>
      <c r="D1702" s="25" t="s">
        <v>5117</v>
      </c>
      <c r="E1702" s="28">
        <v>1.00000</v>
      </c>
      <c r="F1702" s="29">
        <f ca="1">ROUND(21.000,3)</f>
        <v>0</v>
      </c>
      <c r="G1702" s="27">
        <f ca="1">ROUND(E1702*F1702,2)</f>
        <v>0</v>
      </c>
    </row>
    <row r="1703" spans="1:7" ht="24.36" thickBot="1" customHeight="1">
      <c r="A1703" s="24" t="s">
        <v>5118</v>
      </c>
      <c r="B1703" s="24" t="s">
        <v>5119</v>
      </c>
      <c r="C1703" s="24" t="s">
        <v>5120</v>
      </c>
      <c r="D1703" s="25" t="s">
        <v>5121</v>
      </c>
      <c r="E1703" s="28">
        <v>1.00000</v>
      </c>
      <c r="F1703" s="29">
        <f ca="1">ROUND(19.000,3)</f>
        <v>0</v>
      </c>
      <c r="G1703" s="27">
        <f ca="1">ROUND(E1703*F1703,2)</f>
        <v>0</v>
      </c>
    </row>
    <row r="1704" spans="1:7" ht="24.36" thickBot="1" customHeight="1">
      <c r="A1704" s="24" t="s">
        <v>5122</v>
      </c>
      <c r="B1704" s="24" t="s">
        <v>5123</v>
      </c>
      <c r="C1704" s="24" t="s">
        <v>5124</v>
      </c>
      <c r="D1704" s="25" t="s">
        <v>5125</v>
      </c>
      <c r="E1704" s="28">
        <v>0.20000</v>
      </c>
      <c r="F1704" s="29">
        <f ca="1">ROUND(19.000,3)</f>
        <v>0</v>
      </c>
      <c r="G1704" s="27">
        <f ca="1">ROUND(E1704*F1704,2)</f>
        <v>0</v>
      </c>
    </row>
    <row r="1705" spans="1:7" ht="15.12" thickBot="1" customHeight="1">
      <c r="A1705" s="26"/>
      <c r="B1705" s="26"/>
      <c r="C1705" s="26"/>
      <c r="D1705" s="24" t="s">
        <v>5126</v>
      </c>
      <c r="E1705" s="28">
        <v>0.70000</v>
      </c>
      <c r="F1705" s="29">
        <f ca="1">ROUND((G1702+G1703+G1704),3)</f>
        <v>0</v>
      </c>
      <c r="G1705" s="27">
        <f ca="1">ROUND(E1705*F1705,2)</f>
        <v>0</v>
      </c>
    </row>
    <row r="1706" spans="1:7" ht="15.48" thickBot="1" customHeight="1">
      <c r="A1706" s="30"/>
      <c r="B1706" s="30"/>
      <c r="C1706" s="30"/>
      <c r="D1706" s="31" t="s">
        <v>5127</v>
      </c>
      <c r="E1706" s="30"/>
      <c r="F1706" s="33">
        <f ca="1">ROUND((G1699+G1700+G1701)*(1+G2/100),2)</f>
        <v>0</v>
      </c>
      <c r="G1706" s="30"/>
    </row>
    <row r="1707" spans="1:7" ht="21.36" thickBot="1" customHeight="1">
      <c r="A1707" s="34" t="s">
        <v>5128</v>
      </c>
      <c r="B1707" s="35" t="s">
        <v>5129</v>
      </c>
      <c r="C1707" s="35" t="s">
        <v>5130</v>
      </c>
      <c r="D1707" s="36" t="s">
        <v>5131</v>
      </c>
      <c r="E1707" s="37"/>
      <c r="F1707" s="38">
        <f ca="1">F1718</f>
        <v>0</v>
      </c>
      <c r="G1707" s="37"/>
    </row>
    <row r="1708" spans="1:7" ht="21.36" thickBot="1" customHeight="1">
      <c r="A1708" s="26"/>
      <c r="B1708" s="26"/>
      <c r="C1708" s="26"/>
      <c r="D1708" s="25" t="s">
        <v>5132</v>
      </c>
      <c r="E1708" s="25"/>
      <c r="F1708" s="25"/>
      <c r="G1708" s="25"/>
    </row>
    <row r="1709" spans="1:7" ht="30.60" thickBot="1" customHeight="1">
      <c r="A1709" s="24" t="s">
        <v>5133</v>
      </c>
      <c r="B1709" s="24" t="s">
        <v>5134</v>
      </c>
      <c r="C1709" s="24" t="s">
        <v>5135</v>
      </c>
      <c r="D1709" s="25" t="s">
        <v>5136</v>
      </c>
      <c r="E1709" s="28">
        <v>7.00000</v>
      </c>
      <c r="F1709" s="29">
        <f ca="1">ROUND(1.875,3)</f>
        <v>0</v>
      </c>
      <c r="G1709" s="27">
        <f ca="1">ROUND(E1709*F1709,2)</f>
        <v>0</v>
      </c>
    </row>
    <row r="1710" spans="1:7" ht="39.84" thickBot="1" customHeight="1">
      <c r="A1710" s="24" t="s">
        <v>5137</v>
      </c>
      <c r="B1710" s="24" t="s">
        <v>5138</v>
      </c>
      <c r="C1710" s="24" t="s">
        <v>5139</v>
      </c>
      <c r="D1710" s="25" t="s">
        <v>5140</v>
      </c>
      <c r="E1710" s="28">
        <v>7.00000</v>
      </c>
      <c r="F1710" s="29">
        <f ca="1">ROUND(2.000,3)</f>
        <v>0</v>
      </c>
      <c r="G1710" s="27">
        <f ca="1">ROUND(E1710*F1710,2)</f>
        <v>0</v>
      </c>
    </row>
    <row r="1711" spans="1:7" ht="39.84" thickBot="1" customHeight="1">
      <c r="A1711" s="24" t="s">
        <v>5141</v>
      </c>
      <c r="B1711" s="24" t="s">
        <v>5142</v>
      </c>
      <c r="C1711" s="24" t="s">
        <v>5143</v>
      </c>
      <c r="D1711" s="25" t="s">
        <v>5144</v>
      </c>
      <c r="E1711" s="28">
        <v>7.00000</v>
      </c>
      <c r="F1711" s="29">
        <f ca="1">ROUND(7.565,3)</f>
        <v>0</v>
      </c>
      <c r="G1711" s="27">
        <f ca="1">ROUND(E1711*F1711,2)</f>
        <v>0</v>
      </c>
    </row>
    <row r="1712" spans="1:7" ht="21.36" thickBot="1" customHeight="1">
      <c r="A1712" s="24" t="s">
        <v>5145</v>
      </c>
      <c r="B1712" s="24" t="s">
        <v>5146</v>
      </c>
      <c r="C1712" s="24" t="s">
        <v>5147</v>
      </c>
      <c r="D1712" s="25" t="s">
        <v>5148</v>
      </c>
      <c r="E1712" s="28">
        <v>2.00000</v>
      </c>
      <c r="F1712" s="29">
        <f ca="1">ROUND(3.000,3)</f>
        <v>0</v>
      </c>
      <c r="G1712" s="27">
        <f ca="1">ROUND(E1712*F1712,2)</f>
        <v>0</v>
      </c>
    </row>
    <row r="1713" spans="1:7" ht="21.36" thickBot="1" customHeight="1">
      <c r="A1713" s="24" t="s">
        <v>5149</v>
      </c>
      <c r="B1713" s="24" t="s">
        <v>5150</v>
      </c>
      <c r="C1713" s="24" t="s">
        <v>5151</v>
      </c>
      <c r="D1713" s="25" t="s">
        <v>5152</v>
      </c>
      <c r="E1713" s="28">
        <v>10.00000</v>
      </c>
      <c r="F1713" s="29">
        <f ca="1">F1717</f>
        <v>0</v>
      </c>
      <c r="G1713" s="27">
        <f ca="1">ROUND(E1713*F1713,2)</f>
        <v>0</v>
      </c>
    </row>
    <row r="1714" spans="1:7" ht="24.36" thickBot="1" customHeight="1">
      <c r="A1714" s="24" t="s">
        <v>5153</v>
      </c>
      <c r="B1714" s="24" t="s">
        <v>5154</v>
      </c>
      <c r="C1714" s="24" t="s">
        <v>5155</v>
      </c>
      <c r="D1714" s="25" t="s">
        <v>5156</v>
      </c>
      <c r="E1714" s="28">
        <v>1.00000</v>
      </c>
      <c r="F1714" s="29">
        <f ca="1">ROUND(21.000,3)</f>
        <v>0</v>
      </c>
      <c r="G1714" s="27">
        <f ca="1">ROUND(E1714*F1714,2)</f>
        <v>0</v>
      </c>
    </row>
    <row r="1715" spans="1:7" ht="24.36" thickBot="1" customHeight="1">
      <c r="A1715" s="24" t="s">
        <v>5157</v>
      </c>
      <c r="B1715" s="24" t="s">
        <v>5158</v>
      </c>
      <c r="C1715" s="24" t="s">
        <v>5159</v>
      </c>
      <c r="D1715" s="25" t="s">
        <v>5160</v>
      </c>
      <c r="E1715" s="28">
        <v>1.00000</v>
      </c>
      <c r="F1715" s="29">
        <f ca="1">ROUND(19.000,3)</f>
        <v>0</v>
      </c>
      <c r="G1715" s="27">
        <f ca="1">ROUND(E1715*F1715,2)</f>
        <v>0</v>
      </c>
    </row>
    <row r="1716" spans="1:7" ht="24.36" thickBot="1" customHeight="1">
      <c r="A1716" s="24" t="s">
        <v>5161</v>
      </c>
      <c r="B1716" s="24" t="s">
        <v>5162</v>
      </c>
      <c r="C1716" s="24" t="s">
        <v>5163</v>
      </c>
      <c r="D1716" s="25" t="s">
        <v>5164</v>
      </c>
      <c r="E1716" s="28">
        <v>0.20000</v>
      </c>
      <c r="F1716" s="29">
        <f ca="1">ROUND(19.000,3)</f>
        <v>0</v>
      </c>
      <c r="G1716" s="27">
        <f ca="1">ROUND(E1716*F1716,2)</f>
        <v>0</v>
      </c>
    </row>
    <row r="1717" spans="1:7" ht="15.12" thickBot="1" customHeight="1">
      <c r="A1717" s="26"/>
      <c r="B1717" s="26"/>
      <c r="C1717" s="26"/>
      <c r="D1717" s="24" t="s">
        <v>5165</v>
      </c>
      <c r="E1717" s="28">
        <v>10.00000</v>
      </c>
      <c r="F1717" s="29">
        <f ca="1">ROUND((G1714+G1715+G1716),3)</f>
        <v>0</v>
      </c>
      <c r="G1717" s="27">
        <f ca="1">ROUND(E1717*F1717,2)</f>
        <v>0</v>
      </c>
    </row>
    <row r="1718" spans="1:7" ht="15.48" thickBot="1" customHeight="1">
      <c r="A1718" s="30"/>
      <c r="B1718" s="30"/>
      <c r="C1718" s="30"/>
      <c r="D1718" s="31" t="s">
        <v>5166</v>
      </c>
      <c r="E1718" s="30"/>
      <c r="F1718" s="33">
        <f ca="1">ROUND((G1709+G1710+G1711+G1712+G1713)*(1+G2/100),2)</f>
        <v>0</v>
      </c>
      <c r="G1718" s="30"/>
    </row>
    <row r="1719" spans="1:7" ht="30.60" thickBot="1" customHeight="1">
      <c r="A1719" s="34" t="s">
        <v>5167</v>
      </c>
      <c r="B1719" s="35" t="s">
        <v>5168</v>
      </c>
      <c r="C1719" s="35" t="s">
        <v>5169</v>
      </c>
      <c r="D1719" s="36" t="s">
        <v>5170</v>
      </c>
      <c r="E1719" s="37"/>
      <c r="F1719" s="38">
        <f ca="1">F1731</f>
        <v>0</v>
      </c>
      <c r="G1719" s="37"/>
    </row>
    <row r="1720" spans="1:7" ht="39.84" thickBot="1" customHeight="1">
      <c r="A1720" s="26"/>
      <c r="B1720" s="26"/>
      <c r="C1720" s="26"/>
      <c r="D1720" s="25" t="s">
        <v>5171</v>
      </c>
      <c r="E1720" s="25"/>
      <c r="F1720" s="25"/>
      <c r="G1720" s="25"/>
    </row>
    <row r="1721" spans="1:7" ht="30.60" thickBot="1" customHeight="1">
      <c r="A1721" s="24" t="s">
        <v>5172</v>
      </c>
      <c r="B1721" s="24" t="s">
        <v>5173</v>
      </c>
      <c r="C1721" s="24" t="s">
        <v>5174</v>
      </c>
      <c r="D1721" s="25" t="s">
        <v>5175</v>
      </c>
      <c r="E1721" s="28">
        <v>0.20000</v>
      </c>
      <c r="F1721" s="29">
        <f ca="1">ROUND(1.875,3)</f>
        <v>0</v>
      </c>
      <c r="G1721" s="27">
        <f ca="1">ROUND(E1721*F1721,2)</f>
        <v>0</v>
      </c>
    </row>
    <row r="1722" spans="1:7" ht="39.84" thickBot="1" customHeight="1">
      <c r="A1722" s="24" t="s">
        <v>5176</v>
      </c>
      <c r="B1722" s="24" t="s">
        <v>5177</v>
      </c>
      <c r="C1722" s="24" t="s">
        <v>5178</v>
      </c>
      <c r="D1722" s="25" t="s">
        <v>5179</v>
      </c>
      <c r="E1722" s="28">
        <v>0.20000</v>
      </c>
      <c r="F1722" s="29">
        <f ca="1">ROUND(2.000,3)</f>
        <v>0</v>
      </c>
      <c r="G1722" s="27">
        <f ca="1">ROUND(E1722*F1722,2)</f>
        <v>0</v>
      </c>
    </row>
    <row r="1723" spans="1:7" ht="39.84" thickBot="1" customHeight="1">
      <c r="A1723" s="24" t="s">
        <v>5180</v>
      </c>
      <c r="B1723" s="24" t="s">
        <v>5181</v>
      </c>
      <c r="C1723" s="24" t="s">
        <v>5182</v>
      </c>
      <c r="D1723" s="25" t="s">
        <v>5183</v>
      </c>
      <c r="E1723" s="28">
        <v>0.20000</v>
      </c>
      <c r="F1723" s="29">
        <f ca="1">ROUND(7.565,3)</f>
        <v>0</v>
      </c>
      <c r="G1723" s="27">
        <f ca="1">ROUND(E1723*F1723,2)</f>
        <v>0</v>
      </c>
    </row>
    <row r="1724" spans="1:7" ht="21.36" thickBot="1" customHeight="1">
      <c r="A1724" s="24" t="s">
        <v>5184</v>
      </c>
      <c r="B1724" s="24" t="s">
        <v>5185</v>
      </c>
      <c r="C1724" s="24" t="s">
        <v>5186</v>
      </c>
      <c r="D1724" s="25" t="s">
        <v>5187</v>
      </c>
      <c r="E1724" s="28">
        <v>0.10000</v>
      </c>
      <c r="F1724" s="29">
        <f ca="1">ROUND(3.000,3)</f>
        <v>0</v>
      </c>
      <c r="G1724" s="27">
        <f ca="1">ROUND(E1724*F1724,2)</f>
        <v>0</v>
      </c>
    </row>
    <row r="1725" spans="1:7" ht="49.08" thickBot="1" customHeight="1">
      <c r="A1725" s="24" t="s">
        <v>5188</v>
      </c>
      <c r="B1725" s="24" t="s">
        <v>5189</v>
      </c>
      <c r="C1725" s="24" t="s">
        <v>5190</v>
      </c>
      <c r="D1725" s="25" t="s">
        <v>5191</v>
      </c>
      <c r="E1725" s="28">
        <v>0.03000</v>
      </c>
      <c r="F1725" s="29">
        <f ca="1">ROUND(127.000,3)</f>
        <v>0</v>
      </c>
      <c r="G1725" s="27">
        <f ca="1">ROUND(E1725*F1725,2)</f>
        <v>0</v>
      </c>
    </row>
    <row r="1726" spans="1:7" ht="21.36" thickBot="1" customHeight="1">
      <c r="A1726" s="24" t="s">
        <v>5192</v>
      </c>
      <c r="B1726" s="24" t="s">
        <v>5193</v>
      </c>
      <c r="C1726" s="24" t="s">
        <v>5194</v>
      </c>
      <c r="D1726" s="25" t="s">
        <v>5195</v>
      </c>
      <c r="E1726" s="28">
        <v>0.52000</v>
      </c>
      <c r="F1726" s="29">
        <f ca="1">F1730</f>
        <v>0</v>
      </c>
      <c r="G1726" s="27">
        <f ca="1">ROUND(E1726*F1726,2)</f>
        <v>0</v>
      </c>
    </row>
    <row r="1727" spans="1:7" ht="24.36" thickBot="1" customHeight="1">
      <c r="A1727" s="24" t="s">
        <v>5196</v>
      </c>
      <c r="B1727" s="24" t="s">
        <v>5197</v>
      </c>
      <c r="C1727" s="24" t="s">
        <v>5198</v>
      </c>
      <c r="D1727" s="25" t="s">
        <v>5199</v>
      </c>
      <c r="E1727" s="28">
        <v>1.00000</v>
      </c>
      <c r="F1727" s="29">
        <f ca="1">ROUND(21.000,3)</f>
        <v>0</v>
      </c>
      <c r="G1727" s="27">
        <f ca="1">ROUND(E1727*F1727,2)</f>
        <v>0</v>
      </c>
    </row>
    <row r="1728" spans="1:7" ht="24.36" thickBot="1" customHeight="1">
      <c r="A1728" s="24" t="s">
        <v>5200</v>
      </c>
      <c r="B1728" s="24" t="s">
        <v>5201</v>
      </c>
      <c r="C1728" s="24" t="s">
        <v>5202</v>
      </c>
      <c r="D1728" s="25" t="s">
        <v>5203</v>
      </c>
      <c r="E1728" s="28">
        <v>1.00000</v>
      </c>
      <c r="F1728" s="29">
        <f ca="1">ROUND(19.000,3)</f>
        <v>0</v>
      </c>
      <c r="G1728" s="27">
        <f ca="1">ROUND(E1728*F1728,2)</f>
        <v>0</v>
      </c>
    </row>
    <row r="1729" spans="1:7" ht="24.36" thickBot="1" customHeight="1">
      <c r="A1729" s="24" t="s">
        <v>5204</v>
      </c>
      <c r="B1729" s="24" t="s">
        <v>5205</v>
      </c>
      <c r="C1729" s="24" t="s">
        <v>5206</v>
      </c>
      <c r="D1729" s="25" t="s">
        <v>5207</v>
      </c>
      <c r="E1729" s="28">
        <v>0.20000</v>
      </c>
      <c r="F1729" s="29">
        <f ca="1">ROUND(19.000,3)</f>
        <v>0</v>
      </c>
      <c r="G1729" s="27">
        <f ca="1">ROUND(E1729*F1729,2)</f>
        <v>0</v>
      </c>
    </row>
    <row r="1730" spans="1:7" ht="15.12" thickBot="1" customHeight="1">
      <c r="A1730" s="26"/>
      <c r="B1730" s="26"/>
      <c r="C1730" s="26"/>
      <c r="D1730" s="24" t="s">
        <v>5208</v>
      </c>
      <c r="E1730" s="28">
        <v>0.52000</v>
      </c>
      <c r="F1730" s="29">
        <f ca="1">ROUND((G1727+G1728+G1729),3)</f>
        <v>0</v>
      </c>
      <c r="G1730" s="27">
        <f ca="1">ROUND(E1730*F1730,2)</f>
        <v>0</v>
      </c>
    </row>
    <row r="1731" spans="1:7" ht="15.48" thickBot="1" customHeight="1">
      <c r="A1731" s="30"/>
      <c r="B1731" s="30"/>
      <c r="C1731" s="30"/>
      <c r="D1731" s="31" t="s">
        <v>5209</v>
      </c>
      <c r="E1731" s="30"/>
      <c r="F1731" s="33">
        <f ca="1">ROUND((G1721+G1722+G1723+G1724+G1725+G1726)*(1+G2/100),2)</f>
        <v>0</v>
      </c>
      <c r="G1731" s="30"/>
    </row>
    <row r="1732" spans="1:7" ht="39.84" thickBot="1" customHeight="1">
      <c r="A1732" s="34" t="s">
        <v>5210</v>
      </c>
      <c r="B1732" s="35" t="s">
        <v>5211</v>
      </c>
      <c r="C1732" s="35" t="s">
        <v>5212</v>
      </c>
      <c r="D1732" s="36" t="s">
        <v>5213</v>
      </c>
      <c r="E1732" s="37"/>
      <c r="F1732" s="38">
        <f ca="1">F1743</f>
        <v>0</v>
      </c>
      <c r="G1732" s="37"/>
    </row>
    <row r="1733" spans="1:7" ht="21.36" thickBot="1" customHeight="1">
      <c r="A1733" s="26"/>
      <c r="B1733" s="26"/>
      <c r="C1733" s="26"/>
      <c r="D1733" s="25" t="s">
        <v>5214</v>
      </c>
      <c r="E1733" s="25"/>
      <c r="F1733" s="25"/>
      <c r="G1733" s="25"/>
    </row>
    <row r="1734" spans="1:7" ht="39.84" thickBot="1" customHeight="1">
      <c r="A1734" s="24" t="s">
        <v>5215</v>
      </c>
      <c r="B1734" s="24" t="s">
        <v>5216</v>
      </c>
      <c r="C1734" s="24" t="s">
        <v>5217</v>
      </c>
      <c r="D1734" s="25" t="s">
        <v>5218</v>
      </c>
      <c r="E1734" s="28">
        <v>0.20000</v>
      </c>
      <c r="F1734" s="29">
        <f ca="1">ROUND(2.000,3)</f>
        <v>0</v>
      </c>
      <c r="G1734" s="27">
        <f ca="1">ROUND(E1734*F1734,2)</f>
        <v>0</v>
      </c>
    </row>
    <row r="1735" spans="1:7" ht="30.60" thickBot="1" customHeight="1">
      <c r="A1735" s="24" t="s">
        <v>5219</v>
      </c>
      <c r="B1735" s="24" t="s">
        <v>5220</v>
      </c>
      <c r="C1735" s="24" t="s">
        <v>5221</v>
      </c>
      <c r="D1735" s="25" t="s">
        <v>5222</v>
      </c>
      <c r="E1735" s="28">
        <v>0.00001</v>
      </c>
      <c r="F1735" s="29">
        <f ca="1">ROUND(1.875,3)</f>
        <v>0</v>
      </c>
      <c r="G1735" s="27">
        <f ca="1">ROUND(E1735*F1735,2)</f>
        <v>0</v>
      </c>
    </row>
    <row r="1736" spans="1:7" ht="39.84" thickBot="1" customHeight="1">
      <c r="A1736" s="24" t="s">
        <v>5223</v>
      </c>
      <c r="B1736" s="24" t="s">
        <v>5224</v>
      </c>
      <c r="C1736" s="24" t="s">
        <v>5225</v>
      </c>
      <c r="D1736" s="25" t="s">
        <v>5226</v>
      </c>
      <c r="E1736" s="28">
        <v>0.20000</v>
      </c>
      <c r="F1736" s="29">
        <f ca="1">ROUND(7.565,3)</f>
        <v>0</v>
      </c>
      <c r="G1736" s="27">
        <f ca="1">ROUND(E1736*F1736,2)</f>
        <v>0</v>
      </c>
    </row>
    <row r="1737" spans="1:7" ht="21.36" thickBot="1" customHeight="1">
      <c r="A1737" s="24" t="s">
        <v>5227</v>
      </c>
      <c r="B1737" s="24" t="s">
        <v>5228</v>
      </c>
      <c r="C1737" s="24" t="s">
        <v>5229</v>
      </c>
      <c r="D1737" s="25" t="s">
        <v>5230</v>
      </c>
      <c r="E1737" s="28">
        <v>0.32000</v>
      </c>
      <c r="F1737" s="29">
        <f ca="1">F1741</f>
        <v>0</v>
      </c>
      <c r="G1737" s="27">
        <f ca="1">ROUND(E1737*F1737,2)</f>
        <v>0</v>
      </c>
    </row>
    <row r="1738" spans="1:7" ht="24.36" thickBot="1" customHeight="1">
      <c r="A1738" s="24" t="s">
        <v>5231</v>
      </c>
      <c r="B1738" s="24" t="s">
        <v>5232</v>
      </c>
      <c r="C1738" s="24" t="s">
        <v>5233</v>
      </c>
      <c r="D1738" s="25" t="s">
        <v>5234</v>
      </c>
      <c r="E1738" s="28">
        <v>1.00000</v>
      </c>
      <c r="F1738" s="29">
        <f ca="1">ROUND(21.000,3)</f>
        <v>0</v>
      </c>
      <c r="G1738" s="27">
        <f ca="1">ROUND(E1738*F1738,2)</f>
        <v>0</v>
      </c>
    </row>
    <row r="1739" spans="1:7" ht="24.36" thickBot="1" customHeight="1">
      <c r="A1739" s="24" t="s">
        <v>5235</v>
      </c>
      <c r="B1739" s="24" t="s">
        <v>5236</v>
      </c>
      <c r="C1739" s="24" t="s">
        <v>5237</v>
      </c>
      <c r="D1739" s="25" t="s">
        <v>5238</v>
      </c>
      <c r="E1739" s="28">
        <v>1.00000</v>
      </c>
      <c r="F1739" s="29">
        <f ca="1">ROUND(19.000,3)</f>
        <v>0</v>
      </c>
      <c r="G1739" s="27">
        <f ca="1">ROUND(E1739*F1739,2)</f>
        <v>0</v>
      </c>
    </row>
    <row r="1740" spans="1:7" ht="24.36" thickBot="1" customHeight="1">
      <c r="A1740" s="24" t="s">
        <v>5239</v>
      </c>
      <c r="B1740" s="24" t="s">
        <v>5240</v>
      </c>
      <c r="C1740" s="24" t="s">
        <v>5241</v>
      </c>
      <c r="D1740" s="25" t="s">
        <v>5242</v>
      </c>
      <c r="E1740" s="28">
        <v>0.20000</v>
      </c>
      <c r="F1740" s="29">
        <f ca="1">ROUND(19.000,3)</f>
        <v>0</v>
      </c>
      <c r="G1740" s="27">
        <f ca="1">ROUND(E1740*F1740,2)</f>
        <v>0</v>
      </c>
    </row>
    <row r="1741" spans="1:7" ht="15.12" thickBot="1" customHeight="1">
      <c r="A1741" s="26"/>
      <c r="B1741" s="26"/>
      <c r="C1741" s="26"/>
      <c r="D1741" s="24" t="s">
        <v>5243</v>
      </c>
      <c r="E1741" s="28">
        <v>0.32000</v>
      </c>
      <c r="F1741" s="29">
        <f ca="1">ROUND((G1738+G1739+G1740),3)</f>
        <v>0</v>
      </c>
      <c r="G1741" s="27">
        <f ca="1">ROUND(E1741*F1741,2)</f>
        <v>0</v>
      </c>
    </row>
    <row r="1742" spans="1:7" ht="15.12" thickBot="1" customHeight="1">
      <c r="A1742" s="24" t="s">
        <v>5244</v>
      </c>
      <c r="B1742" s="24"/>
      <c r="C1742" s="24" t="s">
        <v>5245</v>
      </c>
      <c r="D1742" s="25" t="s">
        <v>5246</v>
      </c>
      <c r="E1742" s="28">
        <v>3.00000</v>
      </c>
      <c r="F1742" s="29">
        <f ca="1">ROUND(14.020,3)</f>
        <v>0</v>
      </c>
      <c r="G1742" s="27">
        <f ca="1">ROUND((E1742*F1742)/100,2)</f>
        <v>0</v>
      </c>
    </row>
    <row r="1743" spans="1:7" ht="15.48" thickBot="1" customHeight="1">
      <c r="A1743" s="30"/>
      <c r="B1743" s="30"/>
      <c r="C1743" s="30"/>
      <c r="D1743" s="31" t="s">
        <v>5247</v>
      </c>
      <c r="E1743" s="30"/>
      <c r="F1743" s="33">
        <f ca="1">ROUND((G1734+G1735+G1736+G1737+G1742)*(1+G2/100),2)</f>
        <v>0</v>
      </c>
      <c r="G1743" s="30"/>
    </row>
    <row r="1744" spans="1:7" ht="21.36" thickBot="1" customHeight="1">
      <c r="A1744" s="34" t="s">
        <v>5248</v>
      </c>
      <c r="B1744" s="35" t="s">
        <v>5249</v>
      </c>
      <c r="C1744" s="35" t="s">
        <v>5250</v>
      </c>
      <c r="D1744" s="36" t="s">
        <v>5251</v>
      </c>
      <c r="E1744" s="37"/>
      <c r="F1744" s="38">
        <f ca="1">F1753</f>
        <v>0</v>
      </c>
      <c r="G1744" s="37"/>
    </row>
    <row r="1745" spans="1:7" ht="21.36" thickBot="1" customHeight="1">
      <c r="A1745" s="26"/>
      <c r="B1745" s="26"/>
      <c r="C1745" s="26"/>
      <c r="D1745" s="25" t="s">
        <v>5252</v>
      </c>
      <c r="E1745" s="25"/>
      <c r="F1745" s="25"/>
      <c r="G1745" s="25"/>
    </row>
    <row r="1746" spans="1:7" ht="30.60" thickBot="1" customHeight="1">
      <c r="A1746" s="24" t="s">
        <v>5253</v>
      </c>
      <c r="B1746" s="24" t="s">
        <v>5254</v>
      </c>
      <c r="C1746" s="24" t="s">
        <v>5255</v>
      </c>
      <c r="D1746" s="25" t="s">
        <v>5256</v>
      </c>
      <c r="E1746" s="28">
        <v>0.10000</v>
      </c>
      <c r="F1746" s="29">
        <f ca="1">ROUND(3.740,3)</f>
        <v>0</v>
      </c>
      <c r="G1746" s="27">
        <f ca="1">ROUND(E1746*F1746,2)</f>
        <v>0</v>
      </c>
    </row>
    <row r="1747" spans="1:7" ht="21.36" thickBot="1" customHeight="1">
      <c r="A1747" s="24" t="s">
        <v>5257</v>
      </c>
      <c r="B1747" s="24" t="s">
        <v>5258</v>
      </c>
      <c r="C1747" s="24" t="s">
        <v>5259</v>
      </c>
      <c r="D1747" s="25" t="s">
        <v>5260</v>
      </c>
      <c r="E1747" s="28">
        <v>0.30000</v>
      </c>
      <c r="F1747" s="29">
        <f ca="1">F1751</f>
        <v>0</v>
      </c>
      <c r="G1747" s="27">
        <f ca="1">ROUND(E1747*F1747,2)</f>
        <v>0</v>
      </c>
    </row>
    <row r="1748" spans="1:7" ht="24.36" thickBot="1" customHeight="1">
      <c r="A1748" s="24" t="s">
        <v>5261</v>
      </c>
      <c r="B1748" s="24" t="s">
        <v>5262</v>
      </c>
      <c r="C1748" s="24" t="s">
        <v>5263</v>
      </c>
      <c r="D1748" s="25" t="s">
        <v>5264</v>
      </c>
      <c r="E1748" s="28">
        <v>1.00000</v>
      </c>
      <c r="F1748" s="29">
        <f ca="1">ROUND(21.000,3)</f>
        <v>0</v>
      </c>
      <c r="G1748" s="27">
        <f ca="1">ROUND(E1748*F1748,2)</f>
        <v>0</v>
      </c>
    </row>
    <row r="1749" spans="1:7" ht="24.36" thickBot="1" customHeight="1">
      <c r="A1749" s="24" t="s">
        <v>5265</v>
      </c>
      <c r="B1749" s="24" t="s">
        <v>5266</v>
      </c>
      <c r="C1749" s="24" t="s">
        <v>5267</v>
      </c>
      <c r="D1749" s="25" t="s">
        <v>5268</v>
      </c>
      <c r="E1749" s="28">
        <v>1.00000</v>
      </c>
      <c r="F1749" s="29">
        <f ca="1">ROUND(19.000,3)</f>
        <v>0</v>
      </c>
      <c r="G1749" s="27">
        <f ca="1">ROUND(E1749*F1749,2)</f>
        <v>0</v>
      </c>
    </row>
    <row r="1750" spans="1:7" ht="24.36" thickBot="1" customHeight="1">
      <c r="A1750" s="24" t="s">
        <v>5269</v>
      </c>
      <c r="B1750" s="24" t="s">
        <v>5270</v>
      </c>
      <c r="C1750" s="24" t="s">
        <v>5271</v>
      </c>
      <c r="D1750" s="25" t="s">
        <v>5272</v>
      </c>
      <c r="E1750" s="28">
        <v>0.20000</v>
      </c>
      <c r="F1750" s="29">
        <f ca="1">ROUND(19.000,3)</f>
        <v>0</v>
      </c>
      <c r="G1750" s="27">
        <f ca="1">ROUND(E1750*F1750,2)</f>
        <v>0</v>
      </c>
    </row>
    <row r="1751" spans="1:7" ht="15.12" thickBot="1" customHeight="1">
      <c r="A1751" s="26"/>
      <c r="B1751" s="26"/>
      <c r="C1751" s="26"/>
      <c r="D1751" s="24" t="s">
        <v>5273</v>
      </c>
      <c r="E1751" s="28">
        <v>0.30000</v>
      </c>
      <c r="F1751" s="29">
        <f ca="1">ROUND((G1748+G1749+G1750),3)</f>
        <v>0</v>
      </c>
      <c r="G1751" s="27">
        <f ca="1">ROUND(E1751*F1751,2)</f>
        <v>0</v>
      </c>
    </row>
    <row r="1752" spans="1:7" ht="15.12" thickBot="1" customHeight="1">
      <c r="A1752" s="24" t="s">
        <v>5274</v>
      </c>
      <c r="B1752" s="24"/>
      <c r="C1752" s="24" t="s">
        <v>5275</v>
      </c>
      <c r="D1752" s="25" t="s">
        <v>5276</v>
      </c>
      <c r="E1752" s="28">
        <v>3.00000</v>
      </c>
      <c r="F1752" s="29">
        <f ca="1">ROUND(13.140,3)</f>
        <v>0</v>
      </c>
      <c r="G1752" s="27">
        <f ca="1">ROUND((E1752*F1752)/100,2)</f>
        <v>0</v>
      </c>
    </row>
    <row r="1753" spans="1:7" ht="15.48" thickBot="1" customHeight="1">
      <c r="A1753" s="30"/>
      <c r="B1753" s="30"/>
      <c r="C1753" s="30"/>
      <c r="D1753" s="31" t="s">
        <v>5277</v>
      </c>
      <c r="E1753" s="30"/>
      <c r="F1753" s="33">
        <f ca="1">ROUND((G1746+G1747+G1752)*(1+G2/100),2)</f>
        <v>0</v>
      </c>
      <c r="G1753" s="30"/>
    </row>
    <row r="1754" spans="1:7" ht="30.60" thickBot="1" customHeight="1">
      <c r="A1754" s="34" t="s">
        <v>5278</v>
      </c>
      <c r="B1754" s="35" t="s">
        <v>5279</v>
      </c>
      <c r="C1754" s="35" t="s">
        <v>5280</v>
      </c>
      <c r="D1754" s="36" t="s">
        <v>5281</v>
      </c>
      <c r="E1754" s="37"/>
      <c r="F1754" s="38">
        <f ca="1">F1762</f>
        <v>0</v>
      </c>
      <c r="G1754" s="37"/>
    </row>
    <row r="1755" spans="1:7" ht="30.60" thickBot="1" customHeight="1">
      <c r="A1755" s="26"/>
      <c r="B1755" s="26"/>
      <c r="C1755" s="26"/>
      <c r="D1755" s="25" t="s">
        <v>5282</v>
      </c>
      <c r="E1755" s="25"/>
      <c r="F1755" s="25"/>
      <c r="G1755" s="25"/>
    </row>
    <row r="1756" spans="1:7" ht="24.36" thickBot="1" customHeight="1">
      <c r="A1756" s="24" t="s">
        <v>5283</v>
      </c>
      <c r="B1756" s="24" t="s">
        <v>5284</v>
      </c>
      <c r="C1756" s="24" t="s">
        <v>5285</v>
      </c>
      <c r="D1756" s="25" t="s">
        <v>5286</v>
      </c>
      <c r="E1756" s="28">
        <v>0.45000</v>
      </c>
      <c r="F1756" s="29">
        <f ca="1">F1760</f>
        <v>0</v>
      </c>
      <c r="G1756" s="27">
        <f ca="1">ROUND(E1756*F1756,2)</f>
        <v>0</v>
      </c>
    </row>
    <row r="1757" spans="1:7" ht="24.36" thickBot="1" customHeight="1">
      <c r="A1757" s="24" t="s">
        <v>5287</v>
      </c>
      <c r="B1757" s="24" t="s">
        <v>5288</v>
      </c>
      <c r="C1757" s="24" t="s">
        <v>5289</v>
      </c>
      <c r="D1757" s="25" t="s">
        <v>5290</v>
      </c>
      <c r="E1757" s="28">
        <v>1.00000</v>
      </c>
      <c r="F1757" s="29">
        <f ca="1">ROUND(21.000,3)</f>
        <v>0</v>
      </c>
      <c r="G1757" s="27">
        <f ca="1">ROUND(E1757*F1757,2)</f>
        <v>0</v>
      </c>
    </row>
    <row r="1758" spans="1:7" ht="24.36" thickBot="1" customHeight="1">
      <c r="A1758" s="24" t="s">
        <v>5291</v>
      </c>
      <c r="B1758" s="24" t="s">
        <v>5292</v>
      </c>
      <c r="C1758" s="24" t="s">
        <v>5293</v>
      </c>
      <c r="D1758" s="25" t="s">
        <v>5294</v>
      </c>
      <c r="E1758" s="28">
        <v>1.00000</v>
      </c>
      <c r="F1758" s="29">
        <f ca="1">ROUND(19.000,3)</f>
        <v>0</v>
      </c>
      <c r="G1758" s="27">
        <f ca="1">ROUND(E1758*F1758,2)</f>
        <v>0</v>
      </c>
    </row>
    <row r="1759" spans="1:7" ht="24.36" thickBot="1" customHeight="1">
      <c r="A1759" s="24" t="s">
        <v>5295</v>
      </c>
      <c r="B1759" s="24" t="s">
        <v>5296</v>
      </c>
      <c r="C1759" s="24" t="s">
        <v>5297</v>
      </c>
      <c r="D1759" s="25" t="s">
        <v>5298</v>
      </c>
      <c r="E1759" s="28">
        <v>0.50000</v>
      </c>
      <c r="F1759" s="29">
        <f ca="1">ROUND(19.000,3)</f>
        <v>0</v>
      </c>
      <c r="G1759" s="27">
        <f ca="1">ROUND(E1759*F1759,2)</f>
        <v>0</v>
      </c>
    </row>
    <row r="1760" spans="1:7" ht="15.12" thickBot="1" customHeight="1">
      <c r="A1760" s="26"/>
      <c r="B1760" s="26"/>
      <c r="C1760" s="26"/>
      <c r="D1760" s="24" t="s">
        <v>5299</v>
      </c>
      <c r="E1760" s="28">
        <v>0.45000</v>
      </c>
      <c r="F1760" s="29">
        <f ca="1">ROUND((G1757+G1758+G1759),3)</f>
        <v>0</v>
      </c>
      <c r="G1760" s="27">
        <f ca="1">ROUND(E1760*F1760,2)</f>
        <v>0</v>
      </c>
    </row>
    <row r="1761" spans="1:7" ht="15.12" thickBot="1" customHeight="1">
      <c r="A1761" s="24" t="s">
        <v>5300</v>
      </c>
      <c r="B1761" s="24"/>
      <c r="C1761" s="24" t="s">
        <v>5301</v>
      </c>
      <c r="D1761" s="25" t="s">
        <v>5302</v>
      </c>
      <c r="E1761" s="28">
        <v>3.00000</v>
      </c>
      <c r="F1761" s="29">
        <f ca="1">ROUND(22.280,3)</f>
        <v>0</v>
      </c>
      <c r="G1761" s="27">
        <f ca="1">ROUND((E1761*F1761)/100,2)</f>
        <v>0</v>
      </c>
    </row>
    <row r="1762" spans="1:7" ht="15.48" thickBot="1" customHeight="1">
      <c r="A1762" s="30"/>
      <c r="B1762" s="30"/>
      <c r="C1762" s="30"/>
      <c r="D1762" s="31" t="s">
        <v>5303</v>
      </c>
      <c r="E1762" s="30"/>
      <c r="F1762" s="33">
        <f ca="1">ROUND((G1756+G1761)*(1+G2/100),2)</f>
        <v>0</v>
      </c>
      <c r="G1762" s="30"/>
    </row>
    <row r="1763" spans="1:7" ht="21.36" thickBot="1" customHeight="1">
      <c r="A1763" s="34" t="s">
        <v>5304</v>
      </c>
      <c r="B1763" s="35" t="s">
        <v>5305</v>
      </c>
      <c r="C1763" s="35" t="s">
        <v>5306</v>
      </c>
      <c r="D1763" s="36" t="s">
        <v>5307</v>
      </c>
      <c r="E1763" s="37"/>
      <c r="F1763" s="38">
        <f ca="1">F1771</f>
        <v>0</v>
      </c>
      <c r="G1763" s="37"/>
    </row>
    <row r="1764" spans="1:7" ht="21.36" thickBot="1" customHeight="1">
      <c r="A1764" s="26"/>
      <c r="B1764" s="26"/>
      <c r="C1764" s="26"/>
      <c r="D1764" s="25" t="s">
        <v>5308</v>
      </c>
      <c r="E1764" s="25"/>
      <c r="F1764" s="25"/>
      <c r="G1764" s="25"/>
    </row>
    <row r="1765" spans="1:7" ht="21.36" thickBot="1" customHeight="1">
      <c r="A1765" s="24" t="s">
        <v>5309</v>
      </c>
      <c r="B1765" s="24" t="s">
        <v>5310</v>
      </c>
      <c r="C1765" s="24" t="s">
        <v>5311</v>
      </c>
      <c r="D1765" s="25" t="s">
        <v>5312</v>
      </c>
      <c r="E1765" s="28">
        <v>0.35000</v>
      </c>
      <c r="F1765" s="29">
        <f ca="1">F1769</f>
        <v>0</v>
      </c>
      <c r="G1765" s="27">
        <f ca="1">ROUND(E1765*F1765,2)</f>
        <v>0</v>
      </c>
    </row>
    <row r="1766" spans="1:7" ht="24.36" thickBot="1" customHeight="1">
      <c r="A1766" s="24" t="s">
        <v>5313</v>
      </c>
      <c r="B1766" s="24" t="s">
        <v>5314</v>
      </c>
      <c r="C1766" s="24" t="s">
        <v>5315</v>
      </c>
      <c r="D1766" s="25" t="s">
        <v>5316</v>
      </c>
      <c r="E1766" s="28">
        <v>1.00000</v>
      </c>
      <c r="F1766" s="29">
        <f ca="1">ROUND(21.000,3)</f>
        <v>0</v>
      </c>
      <c r="G1766" s="27">
        <f ca="1">ROUND(E1766*F1766,2)</f>
        <v>0</v>
      </c>
    </row>
    <row r="1767" spans="1:7" ht="24.36" thickBot="1" customHeight="1">
      <c r="A1767" s="24" t="s">
        <v>5317</v>
      </c>
      <c r="B1767" s="24" t="s">
        <v>5318</v>
      </c>
      <c r="C1767" s="24" t="s">
        <v>5319</v>
      </c>
      <c r="D1767" s="25" t="s">
        <v>5320</v>
      </c>
      <c r="E1767" s="28">
        <v>1.00000</v>
      </c>
      <c r="F1767" s="29">
        <f ca="1">ROUND(19.000,3)</f>
        <v>0</v>
      </c>
      <c r="G1767" s="27">
        <f ca="1">ROUND(E1767*F1767,2)</f>
        <v>0</v>
      </c>
    </row>
    <row r="1768" spans="1:7" ht="24.36" thickBot="1" customHeight="1">
      <c r="A1768" s="24" t="s">
        <v>5321</v>
      </c>
      <c r="B1768" s="24" t="s">
        <v>5322</v>
      </c>
      <c r="C1768" s="24" t="s">
        <v>5323</v>
      </c>
      <c r="D1768" s="25" t="s">
        <v>5324</v>
      </c>
      <c r="E1768" s="28">
        <v>0.20000</v>
      </c>
      <c r="F1768" s="29">
        <f ca="1">ROUND(19.000,3)</f>
        <v>0</v>
      </c>
      <c r="G1768" s="27">
        <f ca="1">ROUND(E1768*F1768,2)</f>
        <v>0</v>
      </c>
    </row>
    <row r="1769" spans="1:7" ht="15.12" thickBot="1" customHeight="1">
      <c r="A1769" s="26"/>
      <c r="B1769" s="26"/>
      <c r="C1769" s="26"/>
      <c r="D1769" s="24" t="s">
        <v>5325</v>
      </c>
      <c r="E1769" s="28">
        <v>0.35000</v>
      </c>
      <c r="F1769" s="29">
        <f ca="1">ROUND((G1766+G1767+G1768),3)</f>
        <v>0</v>
      </c>
      <c r="G1769" s="27">
        <f ca="1">ROUND(E1769*F1769,2)</f>
        <v>0</v>
      </c>
    </row>
    <row r="1770" spans="1:7" ht="15.12" thickBot="1" customHeight="1">
      <c r="A1770" s="24" t="s">
        <v>5326</v>
      </c>
      <c r="B1770" s="24"/>
      <c r="C1770" s="24" t="s">
        <v>5327</v>
      </c>
      <c r="D1770" s="25" t="s">
        <v>5328</v>
      </c>
      <c r="E1770" s="28">
        <v>3.00000</v>
      </c>
      <c r="F1770" s="29">
        <f ca="1">ROUND(15.330,3)</f>
        <v>0</v>
      </c>
      <c r="G1770" s="27">
        <f ca="1">ROUND((E1770*F1770)/100,2)</f>
        <v>0</v>
      </c>
    </row>
    <row r="1771" spans="1:7" ht="15.48" thickBot="1" customHeight="1">
      <c r="A1771" s="30"/>
      <c r="B1771" s="30"/>
      <c r="C1771" s="30"/>
      <c r="D1771" s="31" t="s">
        <v>5329</v>
      </c>
      <c r="E1771" s="30"/>
      <c r="F1771" s="33">
        <f ca="1">ROUND((G1765+G1770)*(1+G2/100),2)</f>
        <v>0</v>
      </c>
      <c r="G1771" s="30"/>
    </row>
    <row r="1772" spans="1:7" ht="30.60" thickBot="1" customHeight="1">
      <c r="A1772" s="34" t="s">
        <v>5330</v>
      </c>
      <c r="B1772" s="35" t="s">
        <v>5331</v>
      </c>
      <c r="C1772" s="35" t="s">
        <v>5332</v>
      </c>
      <c r="D1772" s="36" t="s">
        <v>5333</v>
      </c>
      <c r="E1772" s="37"/>
      <c r="F1772" s="38">
        <f ca="1">F1780</f>
        <v>0</v>
      </c>
      <c r="G1772" s="37"/>
    </row>
    <row r="1773" spans="1:7" ht="21.36" thickBot="1" customHeight="1">
      <c r="A1773" s="26"/>
      <c r="B1773" s="26"/>
      <c r="C1773" s="26"/>
      <c r="D1773" s="25" t="s">
        <v>5334</v>
      </c>
      <c r="E1773" s="25"/>
      <c r="F1773" s="25"/>
      <c r="G1773" s="25"/>
    </row>
    <row r="1774" spans="1:7" ht="24.36" thickBot="1" customHeight="1">
      <c r="A1774" s="24" t="s">
        <v>5335</v>
      </c>
      <c r="B1774" s="24" t="s">
        <v>5336</v>
      </c>
      <c r="C1774" s="24" t="s">
        <v>5337</v>
      </c>
      <c r="D1774" s="25" t="s">
        <v>5338</v>
      </c>
      <c r="E1774" s="28">
        <v>0.52500</v>
      </c>
      <c r="F1774" s="29">
        <f ca="1">F1778</f>
        <v>0</v>
      </c>
      <c r="G1774" s="27">
        <f ca="1">ROUND(E1774*F1774,2)</f>
        <v>0</v>
      </c>
    </row>
    <row r="1775" spans="1:7" ht="24.36" thickBot="1" customHeight="1">
      <c r="A1775" s="24" t="s">
        <v>5339</v>
      </c>
      <c r="B1775" s="24" t="s">
        <v>5340</v>
      </c>
      <c r="C1775" s="24" t="s">
        <v>5341</v>
      </c>
      <c r="D1775" s="25" t="s">
        <v>5342</v>
      </c>
      <c r="E1775" s="28">
        <v>1.00000</v>
      </c>
      <c r="F1775" s="29">
        <f ca="1">ROUND(21.000,3)</f>
        <v>0</v>
      </c>
      <c r="G1775" s="27">
        <f ca="1">ROUND(E1775*F1775,2)</f>
        <v>0</v>
      </c>
    </row>
    <row r="1776" spans="1:7" ht="24.36" thickBot="1" customHeight="1">
      <c r="A1776" s="24" t="s">
        <v>5343</v>
      </c>
      <c r="B1776" s="24" t="s">
        <v>5344</v>
      </c>
      <c r="C1776" s="24" t="s">
        <v>5345</v>
      </c>
      <c r="D1776" s="25" t="s">
        <v>5346</v>
      </c>
      <c r="E1776" s="28">
        <v>1.00000</v>
      </c>
      <c r="F1776" s="29">
        <f ca="1">ROUND(19.000,3)</f>
        <v>0</v>
      </c>
      <c r="G1776" s="27">
        <f ca="1">ROUND(E1776*F1776,2)</f>
        <v>0</v>
      </c>
    </row>
    <row r="1777" spans="1:7" ht="24.36" thickBot="1" customHeight="1">
      <c r="A1777" s="24" t="s">
        <v>5347</v>
      </c>
      <c r="B1777" s="24" t="s">
        <v>5348</v>
      </c>
      <c r="C1777" s="24" t="s">
        <v>5349</v>
      </c>
      <c r="D1777" s="25" t="s">
        <v>5350</v>
      </c>
      <c r="E1777" s="28">
        <v>0.50000</v>
      </c>
      <c r="F1777" s="29">
        <f ca="1">ROUND(19.000,3)</f>
        <v>0</v>
      </c>
      <c r="G1777" s="27">
        <f ca="1">ROUND(E1777*F1777,2)</f>
        <v>0</v>
      </c>
    </row>
    <row r="1778" spans="1:7" ht="15.12" thickBot="1" customHeight="1">
      <c r="A1778" s="26"/>
      <c r="B1778" s="26"/>
      <c r="C1778" s="26"/>
      <c r="D1778" s="24" t="s">
        <v>5351</v>
      </c>
      <c r="E1778" s="28">
        <v>0.52500</v>
      </c>
      <c r="F1778" s="29">
        <f ca="1">ROUND((G1775+G1776+G1777),3)</f>
        <v>0</v>
      </c>
      <c r="G1778" s="27">
        <f ca="1">ROUND(E1778*F1778,2)</f>
        <v>0</v>
      </c>
    </row>
    <row r="1779" spans="1:7" ht="15.12" thickBot="1" customHeight="1">
      <c r="A1779" s="24" t="s">
        <v>5352</v>
      </c>
      <c r="B1779" s="24"/>
      <c r="C1779" s="24" t="s">
        <v>5353</v>
      </c>
      <c r="D1779" s="25" t="s">
        <v>5354</v>
      </c>
      <c r="E1779" s="28">
        <v>3.00000</v>
      </c>
      <c r="F1779" s="29">
        <f ca="1">ROUND(25.990,3)</f>
        <v>0</v>
      </c>
      <c r="G1779" s="27">
        <f ca="1">ROUND((E1779*F1779)/100,2)</f>
        <v>0</v>
      </c>
    </row>
    <row r="1780" spans="1:7" ht="15.48" thickBot="1" customHeight="1">
      <c r="A1780" s="30"/>
      <c r="B1780" s="30"/>
      <c r="C1780" s="30"/>
      <c r="D1780" s="31" t="s">
        <v>5355</v>
      </c>
      <c r="E1780" s="30"/>
      <c r="F1780" s="33">
        <f ca="1">ROUND((G1774+G1779)*(1+G2/100),2)</f>
        <v>0</v>
      </c>
      <c r="G1780" s="30"/>
    </row>
    <row r="1781" spans="1:7" ht="30.60" thickBot="1" customHeight="1">
      <c r="A1781" s="34" t="s">
        <v>5356</v>
      </c>
      <c r="B1781" s="35" t="s">
        <v>5357</v>
      </c>
      <c r="C1781" s="35" t="s">
        <v>5358</v>
      </c>
      <c r="D1781" s="36" t="s">
        <v>5359</v>
      </c>
      <c r="E1781" s="37"/>
      <c r="F1781" s="38">
        <f ca="1">F1790</f>
        <v>0</v>
      </c>
      <c r="G1781" s="37"/>
    </row>
    <row r="1782" spans="1:7" ht="39.84" thickBot="1" customHeight="1">
      <c r="A1782" s="26"/>
      <c r="B1782" s="26"/>
      <c r="C1782" s="26"/>
      <c r="D1782" s="25" t="s">
        <v>5360</v>
      </c>
      <c r="E1782" s="25"/>
      <c r="F1782" s="25"/>
      <c r="G1782" s="25"/>
    </row>
    <row r="1783" spans="1:7" ht="21.36" thickBot="1" customHeight="1">
      <c r="A1783" s="24" t="s">
        <v>5361</v>
      </c>
      <c r="B1783" s="24" t="s">
        <v>5362</v>
      </c>
      <c r="C1783" s="24" t="s">
        <v>5363</v>
      </c>
      <c r="D1783" s="25" t="s">
        <v>5364</v>
      </c>
      <c r="E1783" s="28">
        <v>1.00000</v>
      </c>
      <c r="F1783" s="29">
        <f ca="1">F1787</f>
        <v>0</v>
      </c>
      <c r="G1783" s="27">
        <f ca="1">ROUND(E1783*F1783,2)</f>
        <v>0</v>
      </c>
    </row>
    <row r="1784" spans="1:7" ht="24.36" thickBot="1" customHeight="1">
      <c r="A1784" s="24" t="s">
        <v>5365</v>
      </c>
      <c r="B1784" s="24" t="s">
        <v>5366</v>
      </c>
      <c r="C1784" s="24" t="s">
        <v>5367</v>
      </c>
      <c r="D1784" s="25" t="s">
        <v>5368</v>
      </c>
      <c r="E1784" s="28">
        <v>1.00000</v>
      </c>
      <c r="F1784" s="29">
        <f ca="1">ROUND(21.000,3)</f>
        <v>0</v>
      </c>
      <c r="G1784" s="27">
        <f ca="1">ROUND(E1784*F1784,2)</f>
        <v>0</v>
      </c>
    </row>
    <row r="1785" spans="1:7" ht="24.36" thickBot="1" customHeight="1">
      <c r="A1785" s="24" t="s">
        <v>5369</v>
      </c>
      <c r="B1785" s="24" t="s">
        <v>5370</v>
      </c>
      <c r="C1785" s="24" t="s">
        <v>5371</v>
      </c>
      <c r="D1785" s="25" t="s">
        <v>5372</v>
      </c>
      <c r="E1785" s="28">
        <v>1.00000</v>
      </c>
      <c r="F1785" s="29">
        <f ca="1">ROUND(19.000,3)</f>
        <v>0</v>
      </c>
      <c r="G1785" s="27">
        <f ca="1">ROUND(E1785*F1785,2)</f>
        <v>0</v>
      </c>
    </row>
    <row r="1786" spans="1:7" ht="24.36" thickBot="1" customHeight="1">
      <c r="A1786" s="24" t="s">
        <v>5373</v>
      </c>
      <c r="B1786" s="24" t="s">
        <v>5374</v>
      </c>
      <c r="C1786" s="24" t="s">
        <v>5375</v>
      </c>
      <c r="D1786" s="25" t="s">
        <v>5376</v>
      </c>
      <c r="E1786" s="28">
        <v>0.20000</v>
      </c>
      <c r="F1786" s="29">
        <f ca="1">ROUND(19.000,3)</f>
        <v>0</v>
      </c>
      <c r="G1786" s="27">
        <f ca="1">ROUND(E1786*F1786,2)</f>
        <v>0</v>
      </c>
    </row>
    <row r="1787" spans="1:7" ht="15.12" thickBot="1" customHeight="1">
      <c r="A1787" s="26"/>
      <c r="B1787" s="26"/>
      <c r="C1787" s="26"/>
      <c r="D1787" s="24" t="s">
        <v>5377</v>
      </c>
      <c r="E1787" s="28">
        <v>1.00000</v>
      </c>
      <c r="F1787" s="29">
        <f ca="1">ROUND((G1784+G1785+G1786),3)</f>
        <v>0</v>
      </c>
      <c r="G1787" s="27">
        <f ca="1">ROUND(E1787*F1787,2)</f>
        <v>0</v>
      </c>
    </row>
    <row r="1788" spans="1:7" ht="21.36" thickBot="1" customHeight="1">
      <c r="A1788" s="24" t="s">
        <v>5378</v>
      </c>
      <c r="B1788" s="24" t="s">
        <v>5379</v>
      </c>
      <c r="C1788" s="24" t="s">
        <v>5380</v>
      </c>
      <c r="D1788" s="25" t="s">
        <v>5381</v>
      </c>
      <c r="E1788" s="28">
        <v>0.40000</v>
      </c>
      <c r="F1788" s="29">
        <f ca="1">ROUND(3.300,3)</f>
        <v>0</v>
      </c>
      <c r="G1788" s="27">
        <f ca="1">ROUND(E1788*F1788,2)</f>
        <v>0</v>
      </c>
    </row>
    <row r="1789" spans="1:7" ht="15.12" thickBot="1" customHeight="1">
      <c r="A1789" s="24" t="s">
        <v>5382</v>
      </c>
      <c r="B1789" s="24"/>
      <c r="C1789" s="24" t="s">
        <v>5383</v>
      </c>
      <c r="D1789" s="25" t="s">
        <v>5384</v>
      </c>
      <c r="E1789" s="28">
        <v>5.00000</v>
      </c>
      <c r="F1789" s="29">
        <f ca="1">ROUND(43.800,3)</f>
        <v>0</v>
      </c>
      <c r="G1789" s="27">
        <f ca="1">ROUND((E1789*F1789)/100,2)</f>
        <v>0</v>
      </c>
    </row>
    <row r="1790" spans="1:7" ht="15.48" thickBot="1" customHeight="1">
      <c r="A1790" s="30"/>
      <c r="B1790" s="30"/>
      <c r="C1790" s="30"/>
      <c r="D1790" s="31" t="s">
        <v>5385</v>
      </c>
      <c r="E1790" s="30"/>
      <c r="F1790" s="33">
        <f ca="1">ROUND((G1783+G1788+G1789)*(1+G2/100),2)</f>
        <v>0</v>
      </c>
      <c r="G1790" s="30"/>
    </row>
    <row r="1791" spans="1:7" ht="30.60" thickBot="1" customHeight="1">
      <c r="A1791" s="34" t="s">
        <v>5386</v>
      </c>
      <c r="B1791" s="35" t="s">
        <v>5387</v>
      </c>
      <c r="C1791" s="35" t="s">
        <v>5388</v>
      </c>
      <c r="D1791" s="36" t="s">
        <v>5389</v>
      </c>
      <c r="E1791" s="37"/>
      <c r="F1791" s="38">
        <f ca="1">F1803</f>
        <v>0</v>
      </c>
      <c r="G1791" s="37"/>
    </row>
    <row r="1792" spans="1:7" ht="49.08" thickBot="1" customHeight="1">
      <c r="A1792" s="26"/>
      <c r="B1792" s="26"/>
      <c r="C1792" s="26"/>
      <c r="D1792" s="25" t="s">
        <v>5390</v>
      </c>
      <c r="E1792" s="25"/>
      <c r="F1792" s="25"/>
      <c r="G1792" s="25"/>
    </row>
    <row r="1793" spans="1:7" ht="30.60" thickBot="1" customHeight="1">
      <c r="A1793" s="24" t="s">
        <v>5391</v>
      </c>
      <c r="B1793" s="24" t="s">
        <v>5392</v>
      </c>
      <c r="C1793" s="24" t="s">
        <v>5393</v>
      </c>
      <c r="D1793" s="25" t="s">
        <v>5394</v>
      </c>
      <c r="E1793" s="28">
        <v>0.40000</v>
      </c>
      <c r="F1793" s="29">
        <f ca="1">F1795</f>
        <v>0</v>
      </c>
      <c r="G1793" s="27">
        <f ca="1">ROUND(E1793*F1793,2)</f>
        <v>0</v>
      </c>
    </row>
    <row r="1794" spans="1:7" ht="30.60" thickBot="1" customHeight="1">
      <c r="A1794" s="24" t="s">
        <v>5395</v>
      </c>
      <c r="B1794" s="24" t="s">
        <v>5396</v>
      </c>
      <c r="C1794" s="24" t="s">
        <v>5397</v>
      </c>
      <c r="D1794" s="25" t="s">
        <v>5398</v>
      </c>
      <c r="E1794" s="28">
        <v>0.00417</v>
      </c>
      <c r="F1794" s="29">
        <f ca="1">ROUND(999.000,3)</f>
        <v>0</v>
      </c>
      <c r="G1794" s="27">
        <f ca="1">ROUND(E1794*F1794,2)</f>
        <v>0</v>
      </c>
    </row>
    <row r="1795" spans="1:7" ht="15.12" thickBot="1" customHeight="1">
      <c r="A1795" s="26"/>
      <c r="B1795" s="26"/>
      <c r="C1795" s="26"/>
      <c r="D1795" s="24" t="s">
        <v>5399</v>
      </c>
      <c r="E1795" s="28">
        <v>0.40000</v>
      </c>
      <c r="F1795" s="29">
        <f ca="1">ROUND((G1794),3)</f>
        <v>0</v>
      </c>
      <c r="G1795" s="27">
        <f ca="1">ROUND(E1795*F1795,2)</f>
        <v>0</v>
      </c>
    </row>
    <row r="1796" spans="1:7" ht="21.36" thickBot="1" customHeight="1">
      <c r="A1796" s="24" t="s">
        <v>5400</v>
      </c>
      <c r="B1796" s="24" t="s">
        <v>5401</v>
      </c>
      <c r="C1796" s="24" t="s">
        <v>5402</v>
      </c>
      <c r="D1796" s="25" t="s">
        <v>5403</v>
      </c>
      <c r="E1796" s="28">
        <v>0.10000</v>
      </c>
      <c r="F1796" s="29">
        <f ca="1">ROUND(3.300,3)</f>
        <v>0</v>
      </c>
      <c r="G1796" s="27">
        <f ca="1">ROUND(E1796*F1796,2)</f>
        <v>0</v>
      </c>
    </row>
    <row r="1797" spans="1:7" ht="21.36" thickBot="1" customHeight="1">
      <c r="A1797" s="24" t="s">
        <v>5404</v>
      </c>
      <c r="B1797" s="24" t="s">
        <v>5405</v>
      </c>
      <c r="C1797" s="24" t="s">
        <v>5406</v>
      </c>
      <c r="D1797" s="25" t="s">
        <v>5407</v>
      </c>
      <c r="E1797" s="28">
        <v>0.66666</v>
      </c>
      <c r="F1797" s="29">
        <f ca="1">F1801</f>
        <v>0</v>
      </c>
      <c r="G1797" s="27">
        <f ca="1">ROUND(E1797*F1797,2)</f>
        <v>0</v>
      </c>
    </row>
    <row r="1798" spans="1:7" ht="24.36" thickBot="1" customHeight="1">
      <c r="A1798" s="24" t="s">
        <v>5408</v>
      </c>
      <c r="B1798" s="24" t="s">
        <v>5409</v>
      </c>
      <c r="C1798" s="24" t="s">
        <v>5410</v>
      </c>
      <c r="D1798" s="25" t="s">
        <v>5411</v>
      </c>
      <c r="E1798" s="28">
        <v>1.00000</v>
      </c>
      <c r="F1798" s="29">
        <f ca="1">ROUND(21.000,3)</f>
        <v>0</v>
      </c>
      <c r="G1798" s="27">
        <f ca="1">ROUND(E1798*F1798,2)</f>
        <v>0</v>
      </c>
    </row>
    <row r="1799" spans="1:7" ht="24.36" thickBot="1" customHeight="1">
      <c r="A1799" s="24" t="s">
        <v>5412</v>
      </c>
      <c r="B1799" s="24" t="s">
        <v>5413</v>
      </c>
      <c r="C1799" s="24" t="s">
        <v>5414</v>
      </c>
      <c r="D1799" s="25" t="s">
        <v>5415</v>
      </c>
      <c r="E1799" s="28">
        <v>1.00000</v>
      </c>
      <c r="F1799" s="29">
        <f ca="1">ROUND(19.000,3)</f>
        <v>0</v>
      </c>
      <c r="G1799" s="27">
        <f ca="1">ROUND(E1799*F1799,2)</f>
        <v>0</v>
      </c>
    </row>
    <row r="1800" spans="1:7" ht="24.36" thickBot="1" customHeight="1">
      <c r="A1800" s="24" t="s">
        <v>5416</v>
      </c>
      <c r="B1800" s="24" t="s">
        <v>5417</v>
      </c>
      <c r="C1800" s="24" t="s">
        <v>5418</v>
      </c>
      <c r="D1800" s="25" t="s">
        <v>5419</v>
      </c>
      <c r="E1800" s="28">
        <v>0.20000</v>
      </c>
      <c r="F1800" s="29">
        <f ca="1">ROUND(19.000,3)</f>
        <v>0</v>
      </c>
      <c r="G1800" s="27">
        <f ca="1">ROUND(E1800*F1800,2)</f>
        <v>0</v>
      </c>
    </row>
    <row r="1801" spans="1:7" ht="15.12" thickBot="1" customHeight="1">
      <c r="A1801" s="26"/>
      <c r="B1801" s="26"/>
      <c r="C1801" s="26"/>
      <c r="D1801" s="24" t="s">
        <v>5420</v>
      </c>
      <c r="E1801" s="28">
        <v>0.66666</v>
      </c>
      <c r="F1801" s="29">
        <f ca="1">ROUND((G1798+G1799+G1800),3)</f>
        <v>0</v>
      </c>
      <c r="G1801" s="27">
        <f ca="1">ROUND(E1801*F1801,2)</f>
        <v>0</v>
      </c>
    </row>
    <row r="1802" spans="1:7" ht="15.12" thickBot="1" customHeight="1">
      <c r="A1802" s="24" t="s">
        <v>5421</v>
      </c>
      <c r="B1802" s="24"/>
      <c r="C1802" s="24" t="s">
        <v>5422</v>
      </c>
      <c r="D1802" s="25" t="s">
        <v>5423</v>
      </c>
      <c r="E1802" s="28">
        <v>2.00000</v>
      </c>
      <c r="F1802" s="29">
        <f ca="1">ROUND(29.200,3)</f>
        <v>0</v>
      </c>
      <c r="G1802" s="27">
        <f ca="1">ROUND((E1802*F1802)/100,2)</f>
        <v>0</v>
      </c>
    </row>
    <row r="1803" spans="1:7" ht="15.48" thickBot="1" customHeight="1">
      <c r="A1803" s="30"/>
      <c r="B1803" s="30"/>
      <c r="C1803" s="30"/>
      <c r="D1803" s="31" t="s">
        <v>5424</v>
      </c>
      <c r="E1803" s="30"/>
      <c r="F1803" s="33">
        <f ca="1">ROUND((G1793+G1796+G1797+G1802)*(1+G2/100),2)</f>
        <v>0</v>
      </c>
      <c r="G1803" s="30"/>
    </row>
    <row r="1804" spans="1:7" ht="15.48" thickBot="1" customHeight="1">
      <c r="A1804" s="34" t="s">
        <v>5425</v>
      </c>
      <c r="B1804" s="35" t="s">
        <v>5426</v>
      </c>
      <c r="C1804" s="35" t="s">
        <v>5427</v>
      </c>
      <c r="D1804" s="36" t="s">
        <v>5428</v>
      </c>
      <c r="E1804" s="37"/>
      <c r="F1804" s="38">
        <f ca="1">F1814</f>
        <v>0</v>
      </c>
      <c r="G1804" s="37"/>
    </row>
    <row r="1805" spans="1:7" ht="30.60" thickBot="1" customHeight="1">
      <c r="A1805" s="26"/>
      <c r="B1805" s="26"/>
      <c r="C1805" s="26"/>
      <c r="D1805" s="25" t="s">
        <v>5429</v>
      </c>
      <c r="E1805" s="25"/>
      <c r="F1805" s="25"/>
      <c r="G1805" s="25"/>
    </row>
    <row r="1806" spans="1:7" ht="21.36" thickBot="1" customHeight="1">
      <c r="A1806" s="24" t="s">
        <v>5430</v>
      </c>
      <c r="B1806" s="24" t="s">
        <v>5431</v>
      </c>
      <c r="C1806" s="24" t="s">
        <v>5432</v>
      </c>
      <c r="D1806" s="25" t="s">
        <v>5433</v>
      </c>
      <c r="E1806" s="28">
        <v>3.60000</v>
      </c>
      <c r="F1806" s="29">
        <f ca="1">F1810</f>
        <v>0</v>
      </c>
      <c r="G1806" s="27">
        <f ca="1">ROUND(E1806*F1806,2)</f>
        <v>0</v>
      </c>
    </row>
    <row r="1807" spans="1:7" ht="24.36" thickBot="1" customHeight="1">
      <c r="A1807" s="24" t="s">
        <v>5434</v>
      </c>
      <c r="B1807" s="24" t="s">
        <v>5435</v>
      </c>
      <c r="C1807" s="24" t="s">
        <v>5436</v>
      </c>
      <c r="D1807" s="25" t="s">
        <v>5437</v>
      </c>
      <c r="E1807" s="28">
        <v>1.00000</v>
      </c>
      <c r="F1807" s="29">
        <f ca="1">ROUND(21.000,3)</f>
        <v>0</v>
      </c>
      <c r="G1807" s="27">
        <f ca="1">ROUND(E1807*F1807,2)</f>
        <v>0</v>
      </c>
    </row>
    <row r="1808" spans="1:7" ht="24.36" thickBot="1" customHeight="1">
      <c r="A1808" s="24" t="s">
        <v>5438</v>
      </c>
      <c r="B1808" s="24" t="s">
        <v>5439</v>
      </c>
      <c r="C1808" s="24" t="s">
        <v>5440</v>
      </c>
      <c r="D1808" s="25" t="s">
        <v>5441</v>
      </c>
      <c r="E1808" s="28">
        <v>1.00000</v>
      </c>
      <c r="F1808" s="29">
        <f ca="1">ROUND(19.000,3)</f>
        <v>0</v>
      </c>
      <c r="G1808" s="27">
        <f ca="1">ROUND(E1808*F1808,2)</f>
        <v>0</v>
      </c>
    </row>
    <row r="1809" spans="1:7" ht="24.36" thickBot="1" customHeight="1">
      <c r="A1809" s="24" t="s">
        <v>5442</v>
      </c>
      <c r="B1809" s="24" t="s">
        <v>5443</v>
      </c>
      <c r="C1809" s="24" t="s">
        <v>5444</v>
      </c>
      <c r="D1809" s="25" t="s">
        <v>5445</v>
      </c>
      <c r="E1809" s="28">
        <v>0.20000</v>
      </c>
      <c r="F1809" s="29">
        <f ca="1">ROUND(19.000,3)</f>
        <v>0</v>
      </c>
      <c r="G1809" s="27">
        <f ca="1">ROUND(E1809*F1809,2)</f>
        <v>0</v>
      </c>
    </row>
    <row r="1810" spans="1:7" ht="15.12" thickBot="1" customHeight="1">
      <c r="A1810" s="26"/>
      <c r="B1810" s="26"/>
      <c r="C1810" s="26"/>
      <c r="D1810" s="24" t="s">
        <v>5446</v>
      </c>
      <c r="E1810" s="28">
        <v>3.60000</v>
      </c>
      <c r="F1810" s="29">
        <f ca="1">ROUND((G1807+G1808+G1809),3)</f>
        <v>0</v>
      </c>
      <c r="G1810" s="27">
        <f ca="1">ROUND(E1810*F1810,2)</f>
        <v>0</v>
      </c>
    </row>
    <row r="1811" spans="1:7" ht="39.84" thickBot="1" customHeight="1">
      <c r="A1811" s="24" t="s">
        <v>5447</v>
      </c>
      <c r="B1811" s="24" t="s">
        <v>5448</v>
      </c>
      <c r="C1811" s="24" t="s">
        <v>5449</v>
      </c>
      <c r="D1811" s="25" t="s">
        <v>5450</v>
      </c>
      <c r="E1811" s="28">
        <v>0.50000</v>
      </c>
      <c r="F1811" s="29">
        <f ca="1">ROUND(7.565,3)</f>
        <v>0</v>
      </c>
      <c r="G1811" s="27">
        <f ca="1">ROUND(E1811*F1811,2)</f>
        <v>0</v>
      </c>
    </row>
    <row r="1812" spans="1:7" ht="39.84" thickBot="1" customHeight="1">
      <c r="A1812" s="24" t="s">
        <v>5451</v>
      </c>
      <c r="B1812" s="24" t="s">
        <v>5452</v>
      </c>
      <c r="C1812" s="24" t="s">
        <v>5453</v>
      </c>
      <c r="D1812" s="25" t="s">
        <v>5454</v>
      </c>
      <c r="E1812" s="28">
        <v>0.50000</v>
      </c>
      <c r="F1812" s="29">
        <f ca="1">ROUND(2.000,3)</f>
        <v>0</v>
      </c>
      <c r="G1812" s="27">
        <f ca="1">ROUND(E1812*F1812,2)</f>
        <v>0</v>
      </c>
    </row>
    <row r="1813" spans="1:7" ht="15.12" thickBot="1" customHeight="1">
      <c r="A1813" s="24" t="s">
        <v>5455</v>
      </c>
      <c r="B1813" s="24"/>
      <c r="C1813" s="24" t="s">
        <v>5456</v>
      </c>
      <c r="D1813" s="25" t="s">
        <v>5457</v>
      </c>
      <c r="E1813" s="28">
        <v>2.00000</v>
      </c>
      <c r="F1813" s="29">
        <f ca="1">ROUND(157.680,3)</f>
        <v>0</v>
      </c>
      <c r="G1813" s="27">
        <f ca="1">ROUND((E1813*F1813)/100,2)</f>
        <v>0</v>
      </c>
    </row>
    <row r="1814" spans="1:7" ht="15.48" thickBot="1" customHeight="1">
      <c r="A1814" s="30"/>
      <c r="B1814" s="30"/>
      <c r="C1814" s="30"/>
      <c r="D1814" s="31" t="s">
        <v>5458</v>
      </c>
      <c r="E1814" s="30"/>
      <c r="F1814" s="33">
        <f ca="1">ROUND((G1806+G1811+G1812+G1813)*(1+G2/100),2)</f>
        <v>0</v>
      </c>
      <c r="G1814" s="30"/>
    </row>
    <row r="1815" spans="1:7" ht="30.60" thickBot="1" customHeight="1">
      <c r="A1815" s="34" t="s">
        <v>5459</v>
      </c>
      <c r="B1815" s="35" t="s">
        <v>5460</v>
      </c>
      <c r="C1815" s="35" t="s">
        <v>5461</v>
      </c>
      <c r="D1815" s="36" t="s">
        <v>5462</v>
      </c>
      <c r="E1815" s="37"/>
      <c r="F1815" s="38">
        <f ca="1">F1823</f>
        <v>0</v>
      </c>
      <c r="G1815" s="37"/>
    </row>
    <row r="1816" spans="1:7" ht="30.60" thickBot="1" customHeight="1">
      <c r="A1816" s="26"/>
      <c r="B1816" s="26"/>
      <c r="C1816" s="26"/>
      <c r="D1816" s="25" t="s">
        <v>5463</v>
      </c>
      <c r="E1816" s="25"/>
      <c r="F1816" s="25"/>
      <c r="G1816" s="25"/>
    </row>
    <row r="1817" spans="1:7" ht="21.36" thickBot="1" customHeight="1">
      <c r="A1817" s="24" t="s">
        <v>5464</v>
      </c>
      <c r="B1817" s="24" t="s">
        <v>5465</v>
      </c>
      <c r="C1817" s="24" t="s">
        <v>5466</v>
      </c>
      <c r="D1817" s="25" t="s">
        <v>5467</v>
      </c>
      <c r="E1817" s="28">
        <v>0.10000</v>
      </c>
      <c r="F1817" s="29">
        <f ca="1">F1821</f>
        <v>0</v>
      </c>
      <c r="G1817" s="27">
        <f ca="1">ROUND(E1817*F1817,2)</f>
        <v>0</v>
      </c>
    </row>
    <row r="1818" spans="1:7" ht="24.36" thickBot="1" customHeight="1">
      <c r="A1818" s="24" t="s">
        <v>5468</v>
      </c>
      <c r="B1818" s="24" t="s">
        <v>5469</v>
      </c>
      <c r="C1818" s="24" t="s">
        <v>5470</v>
      </c>
      <c r="D1818" s="25" t="s">
        <v>5471</v>
      </c>
      <c r="E1818" s="28">
        <v>1.00000</v>
      </c>
      <c r="F1818" s="29">
        <f ca="1">ROUND(21.000,3)</f>
        <v>0</v>
      </c>
      <c r="G1818" s="27">
        <f ca="1">ROUND(E1818*F1818,2)</f>
        <v>0</v>
      </c>
    </row>
    <row r="1819" spans="1:7" ht="24.36" thickBot="1" customHeight="1">
      <c r="A1819" s="24" t="s">
        <v>5472</v>
      </c>
      <c r="B1819" s="24" t="s">
        <v>5473</v>
      </c>
      <c r="C1819" s="24" t="s">
        <v>5474</v>
      </c>
      <c r="D1819" s="25" t="s">
        <v>5475</v>
      </c>
      <c r="E1819" s="28">
        <v>1.00000</v>
      </c>
      <c r="F1819" s="29">
        <f ca="1">ROUND(19.000,3)</f>
        <v>0</v>
      </c>
      <c r="G1819" s="27">
        <f ca="1">ROUND(E1819*F1819,2)</f>
        <v>0</v>
      </c>
    </row>
    <row r="1820" spans="1:7" ht="24.36" thickBot="1" customHeight="1">
      <c r="A1820" s="24" t="s">
        <v>5476</v>
      </c>
      <c r="B1820" s="24" t="s">
        <v>5477</v>
      </c>
      <c r="C1820" s="24" t="s">
        <v>5478</v>
      </c>
      <c r="D1820" s="25" t="s">
        <v>5479</v>
      </c>
      <c r="E1820" s="28">
        <v>0.20000</v>
      </c>
      <c r="F1820" s="29">
        <f ca="1">ROUND(19.000,3)</f>
        <v>0</v>
      </c>
      <c r="G1820" s="27">
        <f ca="1">ROUND(E1820*F1820,2)</f>
        <v>0</v>
      </c>
    </row>
    <row r="1821" spans="1:7" ht="15.12" thickBot="1" customHeight="1">
      <c r="A1821" s="26"/>
      <c r="B1821" s="26"/>
      <c r="C1821" s="26"/>
      <c r="D1821" s="24" t="s">
        <v>5480</v>
      </c>
      <c r="E1821" s="28">
        <v>0.10000</v>
      </c>
      <c r="F1821" s="29">
        <f ca="1">ROUND((G1818+G1819+G1820),3)</f>
        <v>0</v>
      </c>
      <c r="G1821" s="27">
        <f ca="1">ROUND(E1821*F1821,2)</f>
        <v>0</v>
      </c>
    </row>
    <row r="1822" spans="1:7" ht="15.12" thickBot="1" customHeight="1">
      <c r="A1822" s="24" t="s">
        <v>5481</v>
      </c>
      <c r="B1822" s="24"/>
      <c r="C1822" s="24" t="s">
        <v>5482</v>
      </c>
      <c r="D1822" s="25" t="s">
        <v>5483</v>
      </c>
      <c r="E1822" s="28">
        <v>2.00000</v>
      </c>
      <c r="F1822" s="29">
        <f ca="1">ROUND(4.380,3)</f>
        <v>0</v>
      </c>
      <c r="G1822" s="27">
        <f ca="1">ROUND((E1822*F1822)/100,2)</f>
        <v>0</v>
      </c>
    </row>
    <row r="1823" spans="1:7" ht="15.48" thickBot="1" customHeight="1">
      <c r="A1823" s="30"/>
      <c r="B1823" s="30"/>
      <c r="C1823" s="30"/>
      <c r="D1823" s="31" t="s">
        <v>5484</v>
      </c>
      <c r="E1823" s="30"/>
      <c r="F1823" s="33">
        <f ca="1">ROUND((G1817+G1822)*(1+G2/100),2)</f>
        <v>0</v>
      </c>
      <c r="G1823" s="30"/>
    </row>
    <row r="1824" spans="1:7" ht="15.48" thickBot="1" customHeight="1">
      <c r="A1824" s="34" t="s">
        <v>5485</v>
      </c>
      <c r="B1824" s="35" t="s">
        <v>5486</v>
      </c>
      <c r="C1824" s="35" t="s">
        <v>5487</v>
      </c>
      <c r="D1824" s="36" t="s">
        <v>5488</v>
      </c>
      <c r="E1824" s="37"/>
      <c r="F1824" s="38">
        <f ca="1">F1832</f>
        <v>0</v>
      </c>
      <c r="G1824" s="37"/>
    </row>
    <row r="1825" spans="1:7" ht="30.60" thickBot="1" customHeight="1">
      <c r="A1825" s="26"/>
      <c r="B1825" s="26"/>
      <c r="C1825" s="26"/>
      <c r="D1825" s="25" t="s">
        <v>5489</v>
      </c>
      <c r="E1825" s="25"/>
      <c r="F1825" s="25"/>
      <c r="G1825" s="25"/>
    </row>
    <row r="1826" spans="1:7" ht="21.36" thickBot="1" customHeight="1">
      <c r="A1826" s="24" t="s">
        <v>5490</v>
      </c>
      <c r="B1826" s="24" t="s">
        <v>5491</v>
      </c>
      <c r="C1826" s="24" t="s">
        <v>5492</v>
      </c>
      <c r="D1826" s="25" t="s">
        <v>5493</v>
      </c>
      <c r="E1826" s="28">
        <v>0.22000</v>
      </c>
      <c r="F1826" s="29">
        <f ca="1">F1830</f>
        <v>0</v>
      </c>
      <c r="G1826" s="27">
        <f ca="1">ROUND(E1826*F1826,2)</f>
        <v>0</v>
      </c>
    </row>
    <row r="1827" spans="1:7" ht="24.36" thickBot="1" customHeight="1">
      <c r="A1827" s="24" t="s">
        <v>5494</v>
      </c>
      <c r="B1827" s="24" t="s">
        <v>5495</v>
      </c>
      <c r="C1827" s="24" t="s">
        <v>5496</v>
      </c>
      <c r="D1827" s="25" t="s">
        <v>5497</v>
      </c>
      <c r="E1827" s="28">
        <v>1.00000</v>
      </c>
      <c r="F1827" s="29">
        <f ca="1">ROUND(21.000,3)</f>
        <v>0</v>
      </c>
      <c r="G1827" s="27">
        <f ca="1">ROUND(E1827*F1827,2)</f>
        <v>0</v>
      </c>
    </row>
    <row r="1828" spans="1:7" ht="24.36" thickBot="1" customHeight="1">
      <c r="A1828" s="24" t="s">
        <v>5498</v>
      </c>
      <c r="B1828" s="24" t="s">
        <v>5499</v>
      </c>
      <c r="C1828" s="24" t="s">
        <v>5500</v>
      </c>
      <c r="D1828" s="25" t="s">
        <v>5501</v>
      </c>
      <c r="E1828" s="28">
        <v>1.00000</v>
      </c>
      <c r="F1828" s="29">
        <f ca="1">ROUND(19.000,3)</f>
        <v>0</v>
      </c>
      <c r="G1828" s="27">
        <f ca="1">ROUND(E1828*F1828,2)</f>
        <v>0</v>
      </c>
    </row>
    <row r="1829" spans="1:7" ht="24.36" thickBot="1" customHeight="1">
      <c r="A1829" s="24" t="s">
        <v>5502</v>
      </c>
      <c r="B1829" s="24" t="s">
        <v>5503</v>
      </c>
      <c r="C1829" s="24" t="s">
        <v>5504</v>
      </c>
      <c r="D1829" s="25" t="s">
        <v>5505</v>
      </c>
      <c r="E1829" s="28">
        <v>0.20000</v>
      </c>
      <c r="F1829" s="29">
        <f ca="1">ROUND(19.000,3)</f>
        <v>0</v>
      </c>
      <c r="G1829" s="27">
        <f ca="1">ROUND(E1829*F1829,2)</f>
        <v>0</v>
      </c>
    </row>
    <row r="1830" spans="1:7" ht="15.12" thickBot="1" customHeight="1">
      <c r="A1830" s="26"/>
      <c r="B1830" s="26"/>
      <c r="C1830" s="26"/>
      <c r="D1830" s="24" t="s">
        <v>5506</v>
      </c>
      <c r="E1830" s="28">
        <v>0.22000</v>
      </c>
      <c r="F1830" s="29">
        <f ca="1">ROUND((G1827+G1828+G1829),3)</f>
        <v>0</v>
      </c>
      <c r="G1830" s="27">
        <f ca="1">ROUND(E1830*F1830,2)</f>
        <v>0</v>
      </c>
    </row>
    <row r="1831" spans="1:7" ht="15.12" thickBot="1" customHeight="1">
      <c r="A1831" s="24" t="s">
        <v>5507</v>
      </c>
      <c r="B1831" s="24"/>
      <c r="C1831" s="24" t="s">
        <v>5508</v>
      </c>
      <c r="D1831" s="25" t="s">
        <v>5509</v>
      </c>
      <c r="E1831" s="28">
        <v>3.00000</v>
      </c>
      <c r="F1831" s="29">
        <f ca="1">ROUND(9.640,3)</f>
        <v>0</v>
      </c>
      <c r="G1831" s="27">
        <f ca="1">ROUND((E1831*F1831)/100,2)</f>
        <v>0</v>
      </c>
    </row>
    <row r="1832" spans="1:7" ht="15.48" thickBot="1" customHeight="1">
      <c r="A1832" s="30"/>
      <c r="B1832" s="30"/>
      <c r="C1832" s="30"/>
      <c r="D1832" s="31" t="s">
        <v>5510</v>
      </c>
      <c r="E1832" s="30"/>
      <c r="F1832" s="33">
        <f ca="1">ROUND((G1826+G1831)*(1+G2/100),2)</f>
        <v>0</v>
      </c>
      <c r="G1832" s="30"/>
    </row>
    <row r="1833" spans="1:7" ht="15.48" thickBot="1" customHeight="1">
      <c r="A1833" s="39"/>
      <c r="B1833" s="39"/>
      <c r="C1833" s="39"/>
      <c r="D1833" s="50" t="s">
        <v>5511</v>
      </c>
      <c r="E1833" s="51"/>
      <c r="F1833" s="51"/>
      <c r="G1833" s="51"/>
    </row>
    <row r="1834" spans="1:7" ht="34.68" thickBot="1" customHeight="1">
      <c r="A1834" s="52" t="s">
        <v>5512</v>
      </c>
      <c r="B1834" s="52" t="s">
        <v>5513</v>
      </c>
      <c r="C1834" s="53"/>
      <c r="D1834" s="54" t="s">
        <v>5514</v>
      </c>
      <c r="E1834" s="53"/>
      <c r="F1834" s="53"/>
      <c r="G1834" s="53"/>
    </row>
    <row r="1835" spans="1:7" ht="15.48" thickBot="1" customHeight="1">
      <c r="A1835" s="21" t="s">
        <v>5515</v>
      </c>
      <c r="B1835" s="21" t="s">
        <v>5516</v>
      </c>
      <c r="C1835" s="22"/>
      <c r="D1835" s="23" t="s">
        <v>5517</v>
      </c>
      <c r="E1835" s="22"/>
      <c r="F1835" s="22"/>
      <c r="G1835" s="22"/>
    </row>
    <row r="1836" spans="1:7" ht="30.60" thickBot="1" customHeight="1">
      <c r="A1836" s="10" t="s">
        <v>5518</v>
      </c>
      <c r="B1836" s="24" t="s">
        <v>5519</v>
      </c>
      <c r="C1836" s="24" t="s">
        <v>5520</v>
      </c>
      <c r="D1836" s="25" t="s">
        <v>5521</v>
      </c>
      <c r="E1836" s="26"/>
      <c r="F1836" s="27">
        <f ca="1">F1843</f>
        <v>0</v>
      </c>
      <c r="G1836" s="26"/>
    </row>
    <row r="1837" spans="1:7" ht="30.60" thickBot="1" customHeight="1">
      <c r="A1837" s="26"/>
      <c r="B1837" s="26"/>
      <c r="C1837" s="26"/>
      <c r="D1837" s="25" t="s">
        <v>5522</v>
      </c>
      <c r="E1837" s="25"/>
      <c r="F1837" s="25"/>
      <c r="G1837" s="25"/>
    </row>
    <row r="1838" spans="1:7" ht="21.36" thickBot="1" customHeight="1">
      <c r="A1838" s="24" t="s">
        <v>5523</v>
      </c>
      <c r="B1838" s="24" t="s">
        <v>5524</v>
      </c>
      <c r="C1838" s="24" t="s">
        <v>5525</v>
      </c>
      <c r="D1838" s="25" t="s">
        <v>5526</v>
      </c>
      <c r="E1838" s="28">
        <v>3.50000</v>
      </c>
      <c r="F1838" s="29">
        <f ca="1">F1842</f>
        <v>0</v>
      </c>
      <c r="G1838" s="27">
        <f ca="1">ROUND(E1838*F1838,2)</f>
        <v>0</v>
      </c>
    </row>
    <row r="1839" spans="1:7" ht="24.36" thickBot="1" customHeight="1">
      <c r="A1839" s="24" t="s">
        <v>5527</v>
      </c>
      <c r="B1839" s="24" t="s">
        <v>5528</v>
      </c>
      <c r="C1839" s="24" t="s">
        <v>5529</v>
      </c>
      <c r="D1839" s="25" t="s">
        <v>5530</v>
      </c>
      <c r="E1839" s="28">
        <v>1.00000</v>
      </c>
      <c r="F1839" s="29">
        <f ca="1">ROUND(21.000,3)</f>
        <v>0</v>
      </c>
      <c r="G1839" s="27">
        <f ca="1">ROUND(E1839*F1839,2)</f>
        <v>0</v>
      </c>
    </row>
    <row r="1840" spans="1:7" ht="24.36" thickBot="1" customHeight="1">
      <c r="A1840" s="24" t="s">
        <v>5531</v>
      </c>
      <c r="B1840" s="24" t="s">
        <v>5532</v>
      </c>
      <c r="C1840" s="24" t="s">
        <v>5533</v>
      </c>
      <c r="D1840" s="25" t="s">
        <v>5534</v>
      </c>
      <c r="E1840" s="28">
        <v>1.00000</v>
      </c>
      <c r="F1840" s="29">
        <f ca="1">ROUND(19.000,3)</f>
        <v>0</v>
      </c>
      <c r="G1840" s="27">
        <f ca="1">ROUND(E1840*F1840,2)</f>
        <v>0</v>
      </c>
    </row>
    <row r="1841" spans="1:7" ht="24.36" thickBot="1" customHeight="1">
      <c r="A1841" s="24" t="s">
        <v>5535</v>
      </c>
      <c r="B1841" s="24" t="s">
        <v>5536</v>
      </c>
      <c r="C1841" s="24" t="s">
        <v>5537</v>
      </c>
      <c r="D1841" s="25" t="s">
        <v>5538</v>
      </c>
      <c r="E1841" s="28">
        <v>0.20000</v>
      </c>
      <c r="F1841" s="29">
        <f ca="1">ROUND(19.000,3)</f>
        <v>0</v>
      </c>
      <c r="G1841" s="27">
        <f ca="1">ROUND(E1841*F1841,2)</f>
        <v>0</v>
      </c>
    </row>
    <row r="1842" spans="1:7" ht="15.12" thickBot="1" customHeight="1">
      <c r="A1842" s="26"/>
      <c r="B1842" s="26"/>
      <c r="C1842" s="26"/>
      <c r="D1842" s="24" t="s">
        <v>5539</v>
      </c>
      <c r="E1842" s="28">
        <v>3.50000</v>
      </c>
      <c r="F1842" s="29">
        <f ca="1">ROUND((G1839+G1840+G1841),3)</f>
        <v>0</v>
      </c>
      <c r="G1842" s="27">
        <f ca="1">ROUND(E1842*F1842,2)</f>
        <v>0</v>
      </c>
    </row>
    <row r="1843" spans="1:7" ht="15.48" thickBot="1" customHeight="1">
      <c r="A1843" s="30"/>
      <c r="B1843" s="30"/>
      <c r="C1843" s="30"/>
      <c r="D1843" s="31" t="s">
        <v>5540</v>
      </c>
      <c r="E1843" s="30"/>
      <c r="F1843" s="33">
        <f ca="1">ROUND((G1838)*(1+G2/100),2)</f>
        <v>0</v>
      </c>
      <c r="G1843" s="30"/>
    </row>
    <row r="1844" spans="1:7" ht="21.36" thickBot="1" customHeight="1">
      <c r="A1844" s="34" t="s">
        <v>5541</v>
      </c>
      <c r="B1844" s="35" t="s">
        <v>5542</v>
      </c>
      <c r="C1844" s="35" t="s">
        <v>5543</v>
      </c>
      <c r="D1844" s="36" t="s">
        <v>5544</v>
      </c>
      <c r="E1844" s="37"/>
      <c r="F1844" s="38">
        <f ca="1">F1851</f>
        <v>0</v>
      </c>
      <c r="G1844" s="37"/>
    </row>
    <row r="1845" spans="1:7" ht="30.60" thickBot="1" customHeight="1">
      <c r="A1845" s="26"/>
      <c r="B1845" s="26"/>
      <c r="C1845" s="26"/>
      <c r="D1845" s="25" t="s">
        <v>5545</v>
      </c>
      <c r="E1845" s="25"/>
      <c r="F1845" s="25"/>
      <c r="G1845" s="25"/>
    </row>
    <row r="1846" spans="1:7" ht="21.36" thickBot="1" customHeight="1">
      <c r="A1846" s="24" t="s">
        <v>5546</v>
      </c>
      <c r="B1846" s="24" t="s">
        <v>5547</v>
      </c>
      <c r="C1846" s="24" t="s">
        <v>5548</v>
      </c>
      <c r="D1846" s="25" t="s">
        <v>5549</v>
      </c>
      <c r="E1846" s="28">
        <v>1.00000</v>
      </c>
      <c r="F1846" s="29">
        <f ca="1">F1850</f>
        <v>0</v>
      </c>
      <c r="G1846" s="27">
        <f ca="1">ROUND(E1846*F1846,2)</f>
        <v>0</v>
      </c>
    </row>
    <row r="1847" spans="1:7" ht="24.36" thickBot="1" customHeight="1">
      <c r="A1847" s="24" t="s">
        <v>5550</v>
      </c>
      <c r="B1847" s="24" t="s">
        <v>5551</v>
      </c>
      <c r="C1847" s="24" t="s">
        <v>5552</v>
      </c>
      <c r="D1847" s="25" t="s">
        <v>5553</v>
      </c>
      <c r="E1847" s="28">
        <v>1.00000</v>
      </c>
      <c r="F1847" s="29">
        <f ca="1">ROUND(21.000,3)</f>
        <v>0</v>
      </c>
      <c r="G1847" s="27">
        <f ca="1">ROUND(E1847*F1847,2)</f>
        <v>0</v>
      </c>
    </row>
    <row r="1848" spans="1:7" ht="24.36" thickBot="1" customHeight="1">
      <c r="A1848" s="24" t="s">
        <v>5554</v>
      </c>
      <c r="B1848" s="24" t="s">
        <v>5555</v>
      </c>
      <c r="C1848" s="24" t="s">
        <v>5556</v>
      </c>
      <c r="D1848" s="25" t="s">
        <v>5557</v>
      </c>
      <c r="E1848" s="28">
        <v>1.00000</v>
      </c>
      <c r="F1848" s="29">
        <f ca="1">ROUND(19.000,3)</f>
        <v>0</v>
      </c>
      <c r="G1848" s="27">
        <f ca="1">ROUND(E1848*F1848,2)</f>
        <v>0</v>
      </c>
    </row>
    <row r="1849" spans="1:7" ht="24.36" thickBot="1" customHeight="1">
      <c r="A1849" s="24" t="s">
        <v>5558</v>
      </c>
      <c r="B1849" s="24" t="s">
        <v>5559</v>
      </c>
      <c r="C1849" s="24" t="s">
        <v>5560</v>
      </c>
      <c r="D1849" s="25" t="s">
        <v>5561</v>
      </c>
      <c r="E1849" s="28">
        <v>0.20000</v>
      </c>
      <c r="F1849" s="29">
        <f ca="1">ROUND(19.000,3)</f>
        <v>0</v>
      </c>
      <c r="G1849" s="27">
        <f ca="1">ROUND(E1849*F1849,2)</f>
        <v>0</v>
      </c>
    </row>
    <row r="1850" spans="1:7" ht="15.12" thickBot="1" customHeight="1">
      <c r="A1850" s="26"/>
      <c r="B1850" s="26"/>
      <c r="C1850" s="26"/>
      <c r="D1850" s="24" t="s">
        <v>5562</v>
      </c>
      <c r="E1850" s="28">
        <v>1.00000</v>
      </c>
      <c r="F1850" s="29">
        <f ca="1">ROUND((G1847+G1848+G1849),3)</f>
        <v>0</v>
      </c>
      <c r="G1850" s="27">
        <f ca="1">ROUND(E1850*F1850,2)</f>
        <v>0</v>
      </c>
    </row>
    <row r="1851" spans="1:7" ht="15.48" thickBot="1" customHeight="1">
      <c r="A1851" s="30"/>
      <c r="B1851" s="30"/>
      <c r="C1851" s="30"/>
      <c r="D1851" s="31" t="s">
        <v>5563</v>
      </c>
      <c r="E1851" s="30"/>
      <c r="F1851" s="33">
        <f ca="1">ROUND((G1846)*(1+G2/100),2)</f>
        <v>0</v>
      </c>
      <c r="G1851" s="30"/>
    </row>
    <row r="1852" spans="1:7" ht="15.48" thickBot="1" customHeight="1">
      <c r="A1852" s="34" t="s">
        <v>5564</v>
      </c>
      <c r="B1852" s="35" t="s">
        <v>5565</v>
      </c>
      <c r="C1852" s="35" t="s">
        <v>5566</v>
      </c>
      <c r="D1852" s="36" t="s">
        <v>5567</v>
      </c>
      <c r="E1852" s="37"/>
      <c r="F1852" s="38">
        <f ca="1">F1859</f>
        <v>0</v>
      </c>
      <c r="G1852" s="37"/>
    </row>
    <row r="1853" spans="1:7" ht="39.84" thickBot="1" customHeight="1">
      <c r="A1853" s="26"/>
      <c r="B1853" s="26"/>
      <c r="C1853" s="26"/>
      <c r="D1853" s="25" t="s">
        <v>5568</v>
      </c>
      <c r="E1853" s="25"/>
      <c r="F1853" s="25"/>
      <c r="G1853" s="25"/>
    </row>
    <row r="1854" spans="1:7" ht="21.36" thickBot="1" customHeight="1">
      <c r="A1854" s="24" t="s">
        <v>5569</v>
      </c>
      <c r="B1854" s="24" t="s">
        <v>5570</v>
      </c>
      <c r="C1854" s="24" t="s">
        <v>5571</v>
      </c>
      <c r="D1854" s="25" t="s">
        <v>5572</v>
      </c>
      <c r="E1854" s="28">
        <v>1.50000</v>
      </c>
      <c r="F1854" s="29">
        <f ca="1">F1858</f>
        <v>0</v>
      </c>
      <c r="G1854" s="27">
        <f ca="1">ROUND(E1854*F1854,2)</f>
        <v>0</v>
      </c>
    </row>
    <row r="1855" spans="1:7" ht="24.36" thickBot="1" customHeight="1">
      <c r="A1855" s="24" t="s">
        <v>5573</v>
      </c>
      <c r="B1855" s="24" t="s">
        <v>5574</v>
      </c>
      <c r="C1855" s="24" t="s">
        <v>5575</v>
      </c>
      <c r="D1855" s="25" t="s">
        <v>5576</v>
      </c>
      <c r="E1855" s="28">
        <v>1.00000</v>
      </c>
      <c r="F1855" s="29">
        <f ca="1">ROUND(21.000,3)</f>
        <v>0</v>
      </c>
      <c r="G1855" s="27">
        <f ca="1">ROUND(E1855*F1855,2)</f>
        <v>0</v>
      </c>
    </row>
    <row r="1856" spans="1:7" ht="24.36" thickBot="1" customHeight="1">
      <c r="A1856" s="24" t="s">
        <v>5577</v>
      </c>
      <c r="B1856" s="24" t="s">
        <v>5578</v>
      </c>
      <c r="C1856" s="24" t="s">
        <v>5579</v>
      </c>
      <c r="D1856" s="25" t="s">
        <v>5580</v>
      </c>
      <c r="E1856" s="28">
        <v>1.00000</v>
      </c>
      <c r="F1856" s="29">
        <f ca="1">ROUND(19.000,3)</f>
        <v>0</v>
      </c>
      <c r="G1856" s="27">
        <f ca="1">ROUND(E1856*F1856,2)</f>
        <v>0</v>
      </c>
    </row>
    <row r="1857" spans="1:7" ht="24.36" thickBot="1" customHeight="1">
      <c r="A1857" s="24" t="s">
        <v>5581</v>
      </c>
      <c r="B1857" s="24" t="s">
        <v>5582</v>
      </c>
      <c r="C1857" s="24" t="s">
        <v>5583</v>
      </c>
      <c r="D1857" s="25" t="s">
        <v>5584</v>
      </c>
      <c r="E1857" s="28">
        <v>0.20000</v>
      </c>
      <c r="F1857" s="29">
        <f ca="1">ROUND(19.000,3)</f>
        <v>0</v>
      </c>
      <c r="G1857" s="27">
        <f ca="1">ROUND(E1857*F1857,2)</f>
        <v>0</v>
      </c>
    </row>
    <row r="1858" spans="1:7" ht="15.12" thickBot="1" customHeight="1">
      <c r="A1858" s="26"/>
      <c r="B1858" s="26"/>
      <c r="C1858" s="26"/>
      <c r="D1858" s="24" t="s">
        <v>5585</v>
      </c>
      <c r="E1858" s="28">
        <v>1.50000</v>
      </c>
      <c r="F1858" s="29">
        <f ca="1">ROUND((G1855+G1856+G1857),3)</f>
        <v>0</v>
      </c>
      <c r="G1858" s="27">
        <f ca="1">ROUND(E1858*F1858,2)</f>
        <v>0</v>
      </c>
    </row>
    <row r="1859" spans="1:7" ht="15.48" thickBot="1" customHeight="1">
      <c r="A1859" s="30"/>
      <c r="B1859" s="30"/>
      <c r="C1859" s="30"/>
      <c r="D1859" s="31" t="s">
        <v>5586</v>
      </c>
      <c r="E1859" s="30"/>
      <c r="F1859" s="33">
        <f ca="1">ROUND((G1854)*(1+G2/100),2)</f>
        <v>0</v>
      </c>
      <c r="G1859" s="30"/>
    </row>
    <row r="1860" spans="1:7" ht="21.36" thickBot="1" customHeight="1">
      <c r="A1860" s="34" t="s">
        <v>5587</v>
      </c>
      <c r="B1860" s="35" t="s">
        <v>5588</v>
      </c>
      <c r="C1860" s="35" t="s">
        <v>5589</v>
      </c>
      <c r="D1860" s="36" t="s">
        <v>5590</v>
      </c>
      <c r="E1860" s="37"/>
      <c r="F1860" s="38">
        <f ca="1">F1868</f>
        <v>0</v>
      </c>
      <c r="G1860" s="37"/>
    </row>
    <row r="1861" spans="1:7" ht="39.84" thickBot="1" customHeight="1">
      <c r="A1861" s="26"/>
      <c r="B1861" s="26"/>
      <c r="C1861" s="26"/>
      <c r="D1861" s="25" t="s">
        <v>5591</v>
      </c>
      <c r="E1861" s="25"/>
      <c r="F1861" s="25"/>
      <c r="G1861" s="25"/>
    </row>
    <row r="1862" spans="1:7" ht="15.12" thickBot="1" customHeight="1">
      <c r="A1862" s="24" t="s">
        <v>5592</v>
      </c>
      <c r="B1862" s="24" t="s">
        <v>5593</v>
      </c>
      <c r="C1862" s="24" t="s">
        <v>5594</v>
      </c>
      <c r="D1862" s="25" t="s">
        <v>5595</v>
      </c>
      <c r="E1862" s="28">
        <v>0.13300</v>
      </c>
      <c r="F1862" s="29">
        <f ca="1">ROUND(6.250,3)</f>
        <v>0</v>
      </c>
      <c r="G1862" s="27">
        <f ca="1">ROUND(E1862*F1862,2)</f>
        <v>0</v>
      </c>
    </row>
    <row r="1863" spans="1:7" ht="21.36" thickBot="1" customHeight="1">
      <c r="A1863" s="24" t="s">
        <v>5596</v>
      </c>
      <c r="B1863" s="24" t="s">
        <v>5597</v>
      </c>
      <c r="C1863" s="24" t="s">
        <v>5598</v>
      </c>
      <c r="D1863" s="25" t="s">
        <v>5599</v>
      </c>
      <c r="E1863" s="28">
        <v>0.30000</v>
      </c>
      <c r="F1863" s="29">
        <f ca="1">F1867</f>
        <v>0</v>
      </c>
      <c r="G1863" s="27">
        <f ca="1">ROUND(E1863*F1863,2)</f>
        <v>0</v>
      </c>
    </row>
    <row r="1864" spans="1:7" ht="24.36" thickBot="1" customHeight="1">
      <c r="A1864" s="24" t="s">
        <v>5600</v>
      </c>
      <c r="B1864" s="24" t="s">
        <v>5601</v>
      </c>
      <c r="C1864" s="24" t="s">
        <v>5602</v>
      </c>
      <c r="D1864" s="25" t="s">
        <v>5603</v>
      </c>
      <c r="E1864" s="28">
        <v>1.00000</v>
      </c>
      <c r="F1864" s="29">
        <f ca="1">ROUND(21.000,3)</f>
        <v>0</v>
      </c>
      <c r="G1864" s="27">
        <f ca="1">ROUND(E1864*F1864,2)</f>
        <v>0</v>
      </c>
    </row>
    <row r="1865" spans="1:7" ht="24.36" thickBot="1" customHeight="1">
      <c r="A1865" s="24" t="s">
        <v>5604</v>
      </c>
      <c r="B1865" s="24" t="s">
        <v>5605</v>
      </c>
      <c r="C1865" s="24" t="s">
        <v>5606</v>
      </c>
      <c r="D1865" s="25" t="s">
        <v>5607</v>
      </c>
      <c r="E1865" s="28">
        <v>1.00000</v>
      </c>
      <c r="F1865" s="29">
        <f ca="1">ROUND(19.000,3)</f>
        <v>0</v>
      </c>
      <c r="G1865" s="27">
        <f ca="1">ROUND(E1865*F1865,2)</f>
        <v>0</v>
      </c>
    </row>
    <row r="1866" spans="1:7" ht="24.36" thickBot="1" customHeight="1">
      <c r="A1866" s="24" t="s">
        <v>5608</v>
      </c>
      <c r="B1866" s="24" t="s">
        <v>5609</v>
      </c>
      <c r="C1866" s="24" t="s">
        <v>5610</v>
      </c>
      <c r="D1866" s="25" t="s">
        <v>5611</v>
      </c>
      <c r="E1866" s="28">
        <v>0.20000</v>
      </c>
      <c r="F1866" s="29">
        <f ca="1">ROUND(19.000,3)</f>
        <v>0</v>
      </c>
      <c r="G1866" s="27">
        <f ca="1">ROUND(E1866*F1866,2)</f>
        <v>0</v>
      </c>
    </row>
    <row r="1867" spans="1:7" ht="15.12" thickBot="1" customHeight="1">
      <c r="A1867" s="26"/>
      <c r="B1867" s="26"/>
      <c r="C1867" s="26"/>
      <c r="D1867" s="24" t="s">
        <v>5612</v>
      </c>
      <c r="E1867" s="28">
        <v>0.30000</v>
      </c>
      <c r="F1867" s="29">
        <f ca="1">ROUND((G1864+G1865+G1866),3)</f>
        <v>0</v>
      </c>
      <c r="G1867" s="27">
        <f ca="1">ROUND(E1867*F1867,2)</f>
        <v>0</v>
      </c>
    </row>
    <row r="1868" spans="1:7" ht="15.48" thickBot="1" customHeight="1">
      <c r="A1868" s="30"/>
      <c r="B1868" s="30"/>
      <c r="C1868" s="30"/>
      <c r="D1868" s="31" t="s">
        <v>5613</v>
      </c>
      <c r="E1868" s="30"/>
      <c r="F1868" s="33">
        <f ca="1">ROUND((G1862+G1863)*(1+G2/100),2)</f>
        <v>0</v>
      </c>
      <c r="G1868" s="30"/>
    </row>
    <row r="1869" spans="1:7" ht="30.60" thickBot="1" customHeight="1">
      <c r="A1869" s="34" t="s">
        <v>5614</v>
      </c>
      <c r="B1869" s="35" t="s">
        <v>5615</v>
      </c>
      <c r="C1869" s="35" t="s">
        <v>5616</v>
      </c>
      <c r="D1869" s="36" t="s">
        <v>5617</v>
      </c>
      <c r="E1869" s="37"/>
      <c r="F1869" s="38">
        <f ca="1">F1879</f>
        <v>0</v>
      </c>
      <c r="G1869" s="37"/>
    </row>
    <row r="1870" spans="1:7" ht="39.84" thickBot="1" customHeight="1">
      <c r="A1870" s="26"/>
      <c r="B1870" s="26"/>
      <c r="C1870" s="26"/>
      <c r="D1870" s="25" t="s">
        <v>5618</v>
      </c>
      <c r="E1870" s="25"/>
      <c r="F1870" s="25"/>
      <c r="G1870" s="25"/>
    </row>
    <row r="1871" spans="1:7" ht="21.36" thickBot="1" customHeight="1">
      <c r="A1871" s="24" t="s">
        <v>5619</v>
      </c>
      <c r="B1871" s="24" t="s">
        <v>5620</v>
      </c>
      <c r="C1871" s="24" t="s">
        <v>5621</v>
      </c>
      <c r="D1871" s="25" t="s">
        <v>5622</v>
      </c>
      <c r="E1871" s="28">
        <v>0.30000</v>
      </c>
      <c r="F1871" s="29">
        <f ca="1">ROUND(6.320,3)</f>
        <v>0</v>
      </c>
      <c r="G1871" s="27">
        <f ca="1">ROUND(E1871*F1871,2)</f>
        <v>0</v>
      </c>
    </row>
    <row r="1872" spans="1:7" ht="21.36" thickBot="1" customHeight="1">
      <c r="A1872" s="24" t="s">
        <v>5623</v>
      </c>
      <c r="B1872" s="24" t="s">
        <v>5624</v>
      </c>
      <c r="C1872" s="24" t="s">
        <v>5625</v>
      </c>
      <c r="D1872" s="25" t="s">
        <v>5626</v>
      </c>
      <c r="E1872" s="28">
        <v>1.00000</v>
      </c>
      <c r="F1872" s="29">
        <f ca="1">ROUND(0.900,3)</f>
        <v>0</v>
      </c>
      <c r="G1872" s="27">
        <f ca="1">ROUND(E1872*F1872,2)</f>
        <v>0</v>
      </c>
    </row>
    <row r="1873" spans="1:7" ht="21.36" thickBot="1" customHeight="1">
      <c r="A1873" s="24" t="s">
        <v>5627</v>
      </c>
      <c r="B1873" s="24" t="s">
        <v>5628</v>
      </c>
      <c r="C1873" s="24" t="s">
        <v>5629</v>
      </c>
      <c r="D1873" s="25" t="s">
        <v>5630</v>
      </c>
      <c r="E1873" s="28">
        <v>0.00500</v>
      </c>
      <c r="F1873" s="29">
        <f ca="1">ROUND(4.950,3)</f>
        <v>0</v>
      </c>
      <c r="G1873" s="27">
        <f ca="1">ROUND(E1873*F1873,2)</f>
        <v>0</v>
      </c>
    </row>
    <row r="1874" spans="1:7" ht="21.36" thickBot="1" customHeight="1">
      <c r="A1874" s="24" t="s">
        <v>5631</v>
      </c>
      <c r="B1874" s="24" t="s">
        <v>5632</v>
      </c>
      <c r="C1874" s="24" t="s">
        <v>5633</v>
      </c>
      <c r="D1874" s="25" t="s">
        <v>5634</v>
      </c>
      <c r="E1874" s="28">
        <v>2.00000</v>
      </c>
      <c r="F1874" s="29">
        <f ca="1">F1878</f>
        <v>0</v>
      </c>
      <c r="G1874" s="27">
        <f ca="1">ROUND(E1874*F1874,2)</f>
        <v>0</v>
      </c>
    </row>
    <row r="1875" spans="1:7" ht="24.36" thickBot="1" customHeight="1">
      <c r="A1875" s="24" t="s">
        <v>5635</v>
      </c>
      <c r="B1875" s="24" t="s">
        <v>5636</v>
      </c>
      <c r="C1875" s="24" t="s">
        <v>5637</v>
      </c>
      <c r="D1875" s="25" t="s">
        <v>5638</v>
      </c>
      <c r="E1875" s="28">
        <v>1.00000</v>
      </c>
      <c r="F1875" s="29">
        <f ca="1">ROUND(21.000,3)</f>
        <v>0</v>
      </c>
      <c r="G1875" s="27">
        <f ca="1">ROUND(E1875*F1875,2)</f>
        <v>0</v>
      </c>
    </row>
    <row r="1876" spans="1:7" ht="24.36" thickBot="1" customHeight="1">
      <c r="A1876" s="24" t="s">
        <v>5639</v>
      </c>
      <c r="B1876" s="24" t="s">
        <v>5640</v>
      </c>
      <c r="C1876" s="24" t="s">
        <v>5641</v>
      </c>
      <c r="D1876" s="25" t="s">
        <v>5642</v>
      </c>
      <c r="E1876" s="28">
        <v>1.00000</v>
      </c>
      <c r="F1876" s="29">
        <f ca="1">ROUND(19.000,3)</f>
        <v>0</v>
      </c>
      <c r="G1876" s="27">
        <f ca="1">ROUND(E1876*F1876,2)</f>
        <v>0</v>
      </c>
    </row>
    <row r="1877" spans="1:7" ht="24.36" thickBot="1" customHeight="1">
      <c r="A1877" s="24" t="s">
        <v>5643</v>
      </c>
      <c r="B1877" s="24" t="s">
        <v>5644</v>
      </c>
      <c r="C1877" s="24" t="s">
        <v>5645</v>
      </c>
      <c r="D1877" s="25" t="s">
        <v>5646</v>
      </c>
      <c r="E1877" s="28">
        <v>0.20000</v>
      </c>
      <c r="F1877" s="29">
        <f ca="1">ROUND(19.000,3)</f>
        <v>0</v>
      </c>
      <c r="G1877" s="27">
        <f ca="1">ROUND(E1877*F1877,2)</f>
        <v>0</v>
      </c>
    </row>
    <row r="1878" spans="1:7" ht="15.12" thickBot="1" customHeight="1">
      <c r="A1878" s="26"/>
      <c r="B1878" s="26"/>
      <c r="C1878" s="26"/>
      <c r="D1878" s="24" t="s">
        <v>5647</v>
      </c>
      <c r="E1878" s="28">
        <v>2.00000</v>
      </c>
      <c r="F1878" s="29">
        <f ca="1">ROUND((G1875+G1876+G1877),3)</f>
        <v>0</v>
      </c>
      <c r="G1878" s="27">
        <f ca="1">ROUND(E1878*F1878,2)</f>
        <v>0</v>
      </c>
    </row>
    <row r="1879" spans="1:7" ht="15.48" thickBot="1" customHeight="1">
      <c r="A1879" s="30"/>
      <c r="B1879" s="30"/>
      <c r="C1879" s="30"/>
      <c r="D1879" s="31" t="s">
        <v>5648</v>
      </c>
      <c r="E1879" s="30"/>
      <c r="F1879" s="33">
        <f ca="1">ROUND((G1871+G1872+G1873+G1874)*(1+G2/100),2)</f>
        <v>0</v>
      </c>
      <c r="G1879" s="30"/>
    </row>
    <row r="1880" spans="1:7" ht="30.60" thickBot="1" customHeight="1">
      <c r="A1880" s="34" t="s">
        <v>5649</v>
      </c>
      <c r="B1880" s="35" t="s">
        <v>5650</v>
      </c>
      <c r="C1880" s="35" t="s">
        <v>5651</v>
      </c>
      <c r="D1880" s="36" t="s">
        <v>5652</v>
      </c>
      <c r="E1880" s="37"/>
      <c r="F1880" s="38">
        <f ca="1">F1890</f>
        <v>0</v>
      </c>
      <c r="G1880" s="37"/>
    </row>
    <row r="1881" spans="1:7" ht="49.08" thickBot="1" customHeight="1">
      <c r="A1881" s="26"/>
      <c r="B1881" s="26"/>
      <c r="C1881" s="26"/>
      <c r="D1881" s="25" t="s">
        <v>5653</v>
      </c>
      <c r="E1881" s="25"/>
      <c r="F1881" s="25"/>
      <c r="G1881" s="25"/>
    </row>
    <row r="1882" spans="1:7" ht="21.36" thickBot="1" customHeight="1">
      <c r="A1882" s="24" t="s">
        <v>5654</v>
      </c>
      <c r="B1882" s="24" t="s">
        <v>5655</v>
      </c>
      <c r="C1882" s="24" t="s">
        <v>5656</v>
      </c>
      <c r="D1882" s="25" t="s">
        <v>5657</v>
      </c>
      <c r="E1882" s="28">
        <v>1.00000</v>
      </c>
      <c r="F1882" s="29">
        <f ca="1">ROUND(3.470,3)</f>
        <v>0</v>
      </c>
      <c r="G1882" s="27">
        <f ca="1">ROUND(E1882*F1882,2)</f>
        <v>0</v>
      </c>
    </row>
    <row r="1883" spans="1:7" ht="21.36" thickBot="1" customHeight="1">
      <c r="A1883" s="24" t="s">
        <v>5658</v>
      </c>
      <c r="B1883" s="24" t="s">
        <v>5659</v>
      </c>
      <c r="C1883" s="24" t="s">
        <v>5660</v>
      </c>
      <c r="D1883" s="25" t="s">
        <v>5661</v>
      </c>
      <c r="E1883" s="28">
        <v>0.50000</v>
      </c>
      <c r="F1883" s="29">
        <f ca="1">ROUND(1.320,3)</f>
        <v>0</v>
      </c>
      <c r="G1883" s="27">
        <f ca="1">ROUND(E1883*F1883,2)</f>
        <v>0</v>
      </c>
    </row>
    <row r="1884" spans="1:7" ht="21.36" thickBot="1" customHeight="1">
      <c r="A1884" s="24" t="s">
        <v>5662</v>
      </c>
      <c r="B1884" s="24" t="s">
        <v>5663</v>
      </c>
      <c r="C1884" s="24" t="s">
        <v>5664</v>
      </c>
      <c r="D1884" s="25" t="s">
        <v>5665</v>
      </c>
      <c r="E1884" s="28">
        <v>2.00000</v>
      </c>
      <c r="F1884" s="29">
        <f ca="1">F1888</f>
        <v>0</v>
      </c>
      <c r="G1884" s="27">
        <f ca="1">ROUND(E1884*F1884,2)</f>
        <v>0</v>
      </c>
    </row>
    <row r="1885" spans="1:7" ht="24.36" thickBot="1" customHeight="1">
      <c r="A1885" s="24" t="s">
        <v>5666</v>
      </c>
      <c r="B1885" s="24" t="s">
        <v>5667</v>
      </c>
      <c r="C1885" s="24" t="s">
        <v>5668</v>
      </c>
      <c r="D1885" s="25" t="s">
        <v>5669</v>
      </c>
      <c r="E1885" s="28">
        <v>1.00000</v>
      </c>
      <c r="F1885" s="29">
        <f ca="1">ROUND(21.000,3)</f>
        <v>0</v>
      </c>
      <c r="G1885" s="27">
        <f ca="1">ROUND(E1885*F1885,2)</f>
        <v>0</v>
      </c>
    </row>
    <row r="1886" spans="1:7" ht="24.36" thickBot="1" customHeight="1">
      <c r="A1886" s="24" t="s">
        <v>5670</v>
      </c>
      <c r="B1886" s="24" t="s">
        <v>5671</v>
      </c>
      <c r="C1886" s="24" t="s">
        <v>5672</v>
      </c>
      <c r="D1886" s="25" t="s">
        <v>5673</v>
      </c>
      <c r="E1886" s="28">
        <v>1.00000</v>
      </c>
      <c r="F1886" s="29">
        <f ca="1">ROUND(19.000,3)</f>
        <v>0</v>
      </c>
      <c r="G1886" s="27">
        <f ca="1">ROUND(E1886*F1886,2)</f>
        <v>0</v>
      </c>
    </row>
    <row r="1887" spans="1:7" ht="24.36" thickBot="1" customHeight="1">
      <c r="A1887" s="24" t="s">
        <v>5674</v>
      </c>
      <c r="B1887" s="24" t="s">
        <v>5675</v>
      </c>
      <c r="C1887" s="24" t="s">
        <v>5676</v>
      </c>
      <c r="D1887" s="25" t="s">
        <v>5677</v>
      </c>
      <c r="E1887" s="28">
        <v>0.20000</v>
      </c>
      <c r="F1887" s="29">
        <f ca="1">ROUND(19.000,3)</f>
        <v>0</v>
      </c>
      <c r="G1887" s="27">
        <f ca="1">ROUND(E1887*F1887,2)</f>
        <v>0</v>
      </c>
    </row>
    <row r="1888" spans="1:7" ht="15.12" thickBot="1" customHeight="1">
      <c r="A1888" s="26"/>
      <c r="B1888" s="26"/>
      <c r="C1888" s="26"/>
      <c r="D1888" s="24" t="s">
        <v>5678</v>
      </c>
      <c r="E1888" s="28">
        <v>2.00000</v>
      </c>
      <c r="F1888" s="29">
        <f ca="1">ROUND((G1885+G1886+G1887),3)</f>
        <v>0</v>
      </c>
      <c r="G1888" s="27">
        <f ca="1">ROUND(E1888*F1888,2)</f>
        <v>0</v>
      </c>
    </row>
    <row r="1889" spans="1:7" ht="15.12" thickBot="1" customHeight="1">
      <c r="A1889" s="24" t="s">
        <v>5679</v>
      </c>
      <c r="B1889" s="24"/>
      <c r="C1889" s="24" t="s">
        <v>5680</v>
      </c>
      <c r="D1889" s="25" t="s">
        <v>5681</v>
      </c>
      <c r="E1889" s="28">
        <v>3.00000</v>
      </c>
      <c r="F1889" s="29">
        <f ca="1">ROUND(87.600,3)</f>
        <v>0</v>
      </c>
      <c r="G1889" s="27">
        <f ca="1">ROUND((E1889*F1889)/100,2)</f>
        <v>0</v>
      </c>
    </row>
    <row r="1890" spans="1:7" ht="15.48" thickBot="1" customHeight="1">
      <c r="A1890" s="30"/>
      <c r="B1890" s="30"/>
      <c r="C1890" s="30"/>
      <c r="D1890" s="31" t="s">
        <v>5682</v>
      </c>
      <c r="E1890" s="30"/>
      <c r="F1890" s="33">
        <f ca="1">ROUND((G1882+G1883+G1884+G1889)*(1+G2/100),2)</f>
        <v>0</v>
      </c>
      <c r="G1890" s="30"/>
    </row>
    <row r="1891" spans="1:7" ht="39.84" thickBot="1" customHeight="1">
      <c r="A1891" s="34" t="s">
        <v>5683</v>
      </c>
      <c r="B1891" s="35" t="s">
        <v>5684</v>
      </c>
      <c r="C1891" s="35" t="s">
        <v>5685</v>
      </c>
      <c r="D1891" s="36" t="s">
        <v>5686</v>
      </c>
      <c r="E1891" s="37"/>
      <c r="F1891" s="38">
        <f ca="1">F1901</f>
        <v>0</v>
      </c>
      <c r="G1891" s="37"/>
    </row>
    <row r="1892" spans="1:7" ht="21.36" thickBot="1" customHeight="1">
      <c r="A1892" s="26"/>
      <c r="B1892" s="26"/>
      <c r="C1892" s="26"/>
      <c r="D1892" s="25" t="s">
        <v>5687</v>
      </c>
      <c r="E1892" s="25"/>
      <c r="F1892" s="25"/>
      <c r="G1892" s="25"/>
    </row>
    <row r="1893" spans="1:7" ht="21.36" thickBot="1" customHeight="1">
      <c r="A1893" s="24" t="s">
        <v>5688</v>
      </c>
      <c r="B1893" s="24" t="s">
        <v>5689</v>
      </c>
      <c r="C1893" s="24" t="s">
        <v>5690</v>
      </c>
      <c r="D1893" s="25" t="s">
        <v>5691</v>
      </c>
      <c r="E1893" s="28">
        <v>0.41667</v>
      </c>
      <c r="F1893" s="29">
        <f ca="1">ROUND(30.170,3)</f>
        <v>0</v>
      </c>
      <c r="G1893" s="27">
        <f ca="1">ROUND(E1893*F1893,2)</f>
        <v>0</v>
      </c>
    </row>
    <row r="1894" spans="1:7" ht="21.36" thickBot="1" customHeight="1">
      <c r="A1894" s="24" t="s">
        <v>5692</v>
      </c>
      <c r="B1894" s="24" t="s">
        <v>5693</v>
      </c>
      <c r="C1894" s="24" t="s">
        <v>5694</v>
      </c>
      <c r="D1894" s="25" t="s">
        <v>5695</v>
      </c>
      <c r="E1894" s="28">
        <v>0.06000</v>
      </c>
      <c r="F1894" s="29">
        <f ca="1">ROUND(3.470,3)</f>
        <v>0</v>
      </c>
      <c r="G1894" s="27">
        <f ca="1">ROUND(E1894*F1894,2)</f>
        <v>0</v>
      </c>
    </row>
    <row r="1895" spans="1:7" ht="21.36" thickBot="1" customHeight="1">
      <c r="A1895" s="24" t="s">
        <v>5696</v>
      </c>
      <c r="B1895" s="24" t="s">
        <v>5697</v>
      </c>
      <c r="C1895" s="24" t="s">
        <v>5698</v>
      </c>
      <c r="D1895" s="25" t="s">
        <v>5699</v>
      </c>
      <c r="E1895" s="28">
        <v>0.16000</v>
      </c>
      <c r="F1895" s="29">
        <f ca="1">F1899</f>
        <v>0</v>
      </c>
      <c r="G1895" s="27">
        <f ca="1">ROUND(E1895*F1895,2)</f>
        <v>0</v>
      </c>
    </row>
    <row r="1896" spans="1:7" ht="24.36" thickBot="1" customHeight="1">
      <c r="A1896" s="24" t="s">
        <v>5700</v>
      </c>
      <c r="B1896" s="24" t="s">
        <v>5701</v>
      </c>
      <c r="C1896" s="24" t="s">
        <v>5702</v>
      </c>
      <c r="D1896" s="25" t="s">
        <v>5703</v>
      </c>
      <c r="E1896" s="28">
        <v>1.00000</v>
      </c>
      <c r="F1896" s="29">
        <f ca="1">ROUND(21.000,3)</f>
        <v>0</v>
      </c>
      <c r="G1896" s="27">
        <f ca="1">ROUND(E1896*F1896,2)</f>
        <v>0</v>
      </c>
    </row>
    <row r="1897" spans="1:7" ht="24.36" thickBot="1" customHeight="1">
      <c r="A1897" s="24" t="s">
        <v>5704</v>
      </c>
      <c r="B1897" s="24" t="s">
        <v>5705</v>
      </c>
      <c r="C1897" s="24" t="s">
        <v>5706</v>
      </c>
      <c r="D1897" s="25" t="s">
        <v>5707</v>
      </c>
      <c r="E1897" s="28">
        <v>1.00000</v>
      </c>
      <c r="F1897" s="29">
        <f ca="1">ROUND(19.000,3)</f>
        <v>0</v>
      </c>
      <c r="G1897" s="27">
        <f ca="1">ROUND(E1897*F1897,2)</f>
        <v>0</v>
      </c>
    </row>
    <row r="1898" spans="1:7" ht="24.36" thickBot="1" customHeight="1">
      <c r="A1898" s="24" t="s">
        <v>5708</v>
      </c>
      <c r="B1898" s="24" t="s">
        <v>5709</v>
      </c>
      <c r="C1898" s="24" t="s">
        <v>5710</v>
      </c>
      <c r="D1898" s="25" t="s">
        <v>5711</v>
      </c>
      <c r="E1898" s="28">
        <v>0.20000</v>
      </c>
      <c r="F1898" s="29">
        <f ca="1">ROUND(19.000,3)</f>
        <v>0</v>
      </c>
      <c r="G1898" s="27">
        <f ca="1">ROUND(E1898*F1898,2)</f>
        <v>0</v>
      </c>
    </row>
    <row r="1899" spans="1:7" ht="15.12" thickBot="1" customHeight="1">
      <c r="A1899" s="26"/>
      <c r="B1899" s="26"/>
      <c r="C1899" s="26"/>
      <c r="D1899" s="24" t="s">
        <v>5712</v>
      </c>
      <c r="E1899" s="28">
        <v>0.16000</v>
      </c>
      <c r="F1899" s="29">
        <f ca="1">ROUND((G1896+G1897+G1898),3)</f>
        <v>0</v>
      </c>
      <c r="G1899" s="27">
        <f ca="1">ROUND(E1899*F1899,2)</f>
        <v>0</v>
      </c>
    </row>
    <row r="1900" spans="1:7" ht="15.12" thickBot="1" customHeight="1">
      <c r="A1900" s="24" t="s">
        <v>5713</v>
      </c>
      <c r="B1900" s="24"/>
      <c r="C1900" s="24" t="s">
        <v>5714</v>
      </c>
      <c r="D1900" s="25" t="s">
        <v>5715</v>
      </c>
      <c r="E1900" s="28">
        <v>5.00000</v>
      </c>
      <c r="F1900" s="29">
        <f ca="1">ROUND(7.010,3)</f>
        <v>0</v>
      </c>
      <c r="G1900" s="27">
        <f ca="1">ROUND((E1900*F1900)/100,2)</f>
        <v>0</v>
      </c>
    </row>
    <row r="1901" spans="1:7" ht="15.48" thickBot="1" customHeight="1">
      <c r="A1901" s="30"/>
      <c r="B1901" s="30"/>
      <c r="C1901" s="30"/>
      <c r="D1901" s="31" t="s">
        <v>5716</v>
      </c>
      <c r="E1901" s="30"/>
      <c r="F1901" s="33">
        <f ca="1">ROUND((G1893+G1894+G1895+G1900)*(1+G2/100),2)</f>
        <v>0</v>
      </c>
      <c r="G1901" s="30"/>
    </row>
    <row r="1902" spans="1:7" ht="39.84" thickBot="1" customHeight="1">
      <c r="A1902" s="34" t="s">
        <v>5717</v>
      </c>
      <c r="B1902" s="35" t="s">
        <v>5718</v>
      </c>
      <c r="C1902" s="35" t="s">
        <v>5719</v>
      </c>
      <c r="D1902" s="36" t="s">
        <v>5720</v>
      </c>
      <c r="E1902" s="37"/>
      <c r="F1902" s="38">
        <f ca="1">F1912</f>
        <v>0</v>
      </c>
      <c r="G1902" s="37"/>
    </row>
    <row r="1903" spans="1:7" ht="21.36" thickBot="1" customHeight="1">
      <c r="A1903" s="26"/>
      <c r="B1903" s="26"/>
      <c r="C1903" s="26"/>
      <c r="D1903" s="25" t="s">
        <v>5721</v>
      </c>
      <c r="E1903" s="25"/>
      <c r="F1903" s="25"/>
      <c r="G1903" s="25"/>
    </row>
    <row r="1904" spans="1:7" ht="21.36" thickBot="1" customHeight="1">
      <c r="A1904" s="24" t="s">
        <v>5722</v>
      </c>
      <c r="B1904" s="24" t="s">
        <v>5723</v>
      </c>
      <c r="C1904" s="24" t="s">
        <v>5724</v>
      </c>
      <c r="D1904" s="25" t="s">
        <v>5725</v>
      </c>
      <c r="E1904" s="28">
        <v>0.41667</v>
      </c>
      <c r="F1904" s="29">
        <f ca="1">ROUND(30.170,3)</f>
        <v>0</v>
      </c>
      <c r="G1904" s="27">
        <f ca="1">ROUND(E1904*F1904,2)</f>
        <v>0</v>
      </c>
    </row>
    <row r="1905" spans="1:7" ht="21.36" thickBot="1" customHeight="1">
      <c r="A1905" s="24" t="s">
        <v>5726</v>
      </c>
      <c r="B1905" s="24" t="s">
        <v>5727</v>
      </c>
      <c r="C1905" s="24" t="s">
        <v>5728</v>
      </c>
      <c r="D1905" s="25" t="s">
        <v>5729</v>
      </c>
      <c r="E1905" s="28">
        <v>0.06000</v>
      </c>
      <c r="F1905" s="29">
        <f ca="1">ROUND(3.470,3)</f>
        <v>0</v>
      </c>
      <c r="G1905" s="27">
        <f ca="1">ROUND(E1905*F1905,2)</f>
        <v>0</v>
      </c>
    </row>
    <row r="1906" spans="1:7" ht="21.36" thickBot="1" customHeight="1">
      <c r="A1906" s="24" t="s">
        <v>5730</v>
      </c>
      <c r="B1906" s="24" t="s">
        <v>5731</v>
      </c>
      <c r="C1906" s="24" t="s">
        <v>5732</v>
      </c>
      <c r="D1906" s="25" t="s">
        <v>5733</v>
      </c>
      <c r="E1906" s="28">
        <v>0.40000</v>
      </c>
      <c r="F1906" s="29">
        <f ca="1">F1910</f>
        <v>0</v>
      </c>
      <c r="G1906" s="27">
        <f ca="1">ROUND(E1906*F1906,2)</f>
        <v>0</v>
      </c>
    </row>
    <row r="1907" spans="1:7" ht="24.36" thickBot="1" customHeight="1">
      <c r="A1907" s="24" t="s">
        <v>5734</v>
      </c>
      <c r="B1907" s="24" t="s">
        <v>5735</v>
      </c>
      <c r="C1907" s="24" t="s">
        <v>5736</v>
      </c>
      <c r="D1907" s="25" t="s">
        <v>5737</v>
      </c>
      <c r="E1907" s="28">
        <v>1.00000</v>
      </c>
      <c r="F1907" s="29">
        <f ca="1">ROUND(21.000,3)</f>
        <v>0</v>
      </c>
      <c r="G1907" s="27">
        <f ca="1">ROUND(E1907*F1907,2)</f>
        <v>0</v>
      </c>
    </row>
    <row r="1908" spans="1:7" ht="24.36" thickBot="1" customHeight="1">
      <c r="A1908" s="24" t="s">
        <v>5738</v>
      </c>
      <c r="B1908" s="24" t="s">
        <v>5739</v>
      </c>
      <c r="C1908" s="24" t="s">
        <v>5740</v>
      </c>
      <c r="D1908" s="25" t="s">
        <v>5741</v>
      </c>
      <c r="E1908" s="28">
        <v>1.00000</v>
      </c>
      <c r="F1908" s="29">
        <f ca="1">ROUND(19.000,3)</f>
        <v>0</v>
      </c>
      <c r="G1908" s="27">
        <f ca="1">ROUND(E1908*F1908,2)</f>
        <v>0</v>
      </c>
    </row>
    <row r="1909" spans="1:7" ht="24.36" thickBot="1" customHeight="1">
      <c r="A1909" s="24" t="s">
        <v>5742</v>
      </c>
      <c r="B1909" s="24" t="s">
        <v>5743</v>
      </c>
      <c r="C1909" s="24" t="s">
        <v>5744</v>
      </c>
      <c r="D1909" s="25" t="s">
        <v>5745</v>
      </c>
      <c r="E1909" s="28">
        <v>0.20000</v>
      </c>
      <c r="F1909" s="29">
        <f ca="1">ROUND(19.000,3)</f>
        <v>0</v>
      </c>
      <c r="G1909" s="27">
        <f ca="1">ROUND(E1909*F1909,2)</f>
        <v>0</v>
      </c>
    </row>
    <row r="1910" spans="1:7" ht="15.12" thickBot="1" customHeight="1">
      <c r="A1910" s="26"/>
      <c r="B1910" s="26"/>
      <c r="C1910" s="26"/>
      <c r="D1910" s="24" t="s">
        <v>5746</v>
      </c>
      <c r="E1910" s="28">
        <v>0.40000</v>
      </c>
      <c r="F1910" s="29">
        <f ca="1">ROUND((G1907+G1908+G1909),3)</f>
        <v>0</v>
      </c>
      <c r="G1910" s="27">
        <f ca="1">ROUND(E1910*F1910,2)</f>
        <v>0</v>
      </c>
    </row>
    <row r="1911" spans="1:7" ht="15.12" thickBot="1" customHeight="1">
      <c r="A1911" s="24" t="s">
        <v>5747</v>
      </c>
      <c r="B1911" s="24"/>
      <c r="C1911" s="24" t="s">
        <v>5748</v>
      </c>
      <c r="D1911" s="25" t="s">
        <v>5749</v>
      </c>
      <c r="E1911" s="28">
        <v>5.00000</v>
      </c>
      <c r="F1911" s="29">
        <f ca="1">ROUND(17.520,3)</f>
        <v>0</v>
      </c>
      <c r="G1911" s="27">
        <f ca="1">ROUND((E1911*F1911)/100,2)</f>
        <v>0</v>
      </c>
    </row>
    <row r="1912" spans="1:7" ht="15.48" thickBot="1" customHeight="1">
      <c r="A1912" s="30"/>
      <c r="B1912" s="30"/>
      <c r="C1912" s="30"/>
      <c r="D1912" s="31" t="s">
        <v>5750</v>
      </c>
      <c r="E1912" s="30"/>
      <c r="F1912" s="33">
        <f ca="1">ROUND((G1904+G1905+G1906+G1911)*(1+G2/100),2)</f>
        <v>0</v>
      </c>
      <c r="G1912" s="30"/>
    </row>
    <row r="1913" spans="1:7" ht="21.36" thickBot="1" customHeight="1">
      <c r="A1913" s="34" t="s">
        <v>5751</v>
      </c>
      <c r="B1913" s="35" t="s">
        <v>5752</v>
      </c>
      <c r="C1913" s="35" t="s">
        <v>5753</v>
      </c>
      <c r="D1913" s="36" t="s">
        <v>5754</v>
      </c>
      <c r="E1913" s="37"/>
      <c r="F1913" s="38">
        <f ca="1">F1923</f>
        <v>0</v>
      </c>
      <c r="G1913" s="37"/>
    </row>
    <row r="1914" spans="1:7" ht="49.08" thickBot="1" customHeight="1">
      <c r="A1914" s="26"/>
      <c r="B1914" s="26"/>
      <c r="C1914" s="26"/>
      <c r="D1914" s="25" t="s">
        <v>5755</v>
      </c>
      <c r="E1914" s="25"/>
      <c r="F1914" s="25"/>
      <c r="G1914" s="25"/>
    </row>
    <row r="1915" spans="1:7" ht="21.36" thickBot="1" customHeight="1">
      <c r="A1915" s="24" t="s">
        <v>5756</v>
      </c>
      <c r="B1915" s="24" t="s">
        <v>5757</v>
      </c>
      <c r="C1915" s="24" t="s">
        <v>5758</v>
      </c>
      <c r="D1915" s="25" t="s">
        <v>5759</v>
      </c>
      <c r="E1915" s="28">
        <v>1.00000</v>
      </c>
      <c r="F1915" s="29">
        <f ca="1">ROUND(3.470,3)</f>
        <v>0</v>
      </c>
      <c r="G1915" s="27">
        <f ca="1">ROUND(E1915*F1915,2)</f>
        <v>0</v>
      </c>
    </row>
    <row r="1916" spans="1:7" ht="21.36" thickBot="1" customHeight="1">
      <c r="A1916" s="24" t="s">
        <v>5760</v>
      </c>
      <c r="B1916" s="24" t="s">
        <v>5761</v>
      </c>
      <c r="C1916" s="24" t="s">
        <v>5762</v>
      </c>
      <c r="D1916" s="25" t="s">
        <v>5763</v>
      </c>
      <c r="E1916" s="28">
        <v>1.00000</v>
      </c>
      <c r="F1916" s="29">
        <f ca="1">ROUND(1.320,3)</f>
        <v>0</v>
      </c>
      <c r="G1916" s="27">
        <f ca="1">ROUND(E1916*F1916,2)</f>
        <v>0</v>
      </c>
    </row>
    <row r="1917" spans="1:7" ht="21.36" thickBot="1" customHeight="1">
      <c r="A1917" s="24" t="s">
        <v>5764</v>
      </c>
      <c r="B1917" s="24" t="s">
        <v>5765</v>
      </c>
      <c r="C1917" s="24" t="s">
        <v>5766</v>
      </c>
      <c r="D1917" s="25" t="s">
        <v>5767</v>
      </c>
      <c r="E1917" s="28">
        <v>0.40000</v>
      </c>
      <c r="F1917" s="29">
        <f ca="1">F1921</f>
        <v>0</v>
      </c>
      <c r="G1917" s="27">
        <f ca="1">ROUND(E1917*F1917,2)</f>
        <v>0</v>
      </c>
    </row>
    <row r="1918" spans="1:7" ht="24.36" thickBot="1" customHeight="1">
      <c r="A1918" s="24" t="s">
        <v>5768</v>
      </c>
      <c r="B1918" s="24" t="s">
        <v>5769</v>
      </c>
      <c r="C1918" s="24" t="s">
        <v>5770</v>
      </c>
      <c r="D1918" s="25" t="s">
        <v>5771</v>
      </c>
      <c r="E1918" s="28">
        <v>1.00000</v>
      </c>
      <c r="F1918" s="29">
        <f ca="1">ROUND(21.000,3)</f>
        <v>0</v>
      </c>
      <c r="G1918" s="27">
        <f ca="1">ROUND(E1918*F1918,2)</f>
        <v>0</v>
      </c>
    </row>
    <row r="1919" spans="1:7" ht="24.36" thickBot="1" customHeight="1">
      <c r="A1919" s="24" t="s">
        <v>5772</v>
      </c>
      <c r="B1919" s="24" t="s">
        <v>5773</v>
      </c>
      <c r="C1919" s="24" t="s">
        <v>5774</v>
      </c>
      <c r="D1919" s="25" t="s">
        <v>5775</v>
      </c>
      <c r="E1919" s="28">
        <v>1.00000</v>
      </c>
      <c r="F1919" s="29">
        <f ca="1">ROUND(19.000,3)</f>
        <v>0</v>
      </c>
      <c r="G1919" s="27">
        <f ca="1">ROUND(E1919*F1919,2)</f>
        <v>0</v>
      </c>
    </row>
    <row r="1920" spans="1:7" ht="24.36" thickBot="1" customHeight="1">
      <c r="A1920" s="24" t="s">
        <v>5776</v>
      </c>
      <c r="B1920" s="24" t="s">
        <v>5777</v>
      </c>
      <c r="C1920" s="24" t="s">
        <v>5778</v>
      </c>
      <c r="D1920" s="25" t="s">
        <v>5779</v>
      </c>
      <c r="E1920" s="28">
        <v>0.20000</v>
      </c>
      <c r="F1920" s="29">
        <f ca="1">ROUND(19.000,3)</f>
        <v>0</v>
      </c>
      <c r="G1920" s="27">
        <f ca="1">ROUND(E1920*F1920,2)</f>
        <v>0</v>
      </c>
    </row>
    <row r="1921" spans="1:7" ht="15.12" thickBot="1" customHeight="1">
      <c r="A1921" s="26"/>
      <c r="B1921" s="26"/>
      <c r="C1921" s="26"/>
      <c r="D1921" s="24" t="s">
        <v>5780</v>
      </c>
      <c r="E1921" s="28">
        <v>0.40000</v>
      </c>
      <c r="F1921" s="29">
        <f ca="1">ROUND((G1918+G1919+G1920),3)</f>
        <v>0</v>
      </c>
      <c r="G1921" s="27">
        <f ca="1">ROUND(E1921*F1921,2)</f>
        <v>0</v>
      </c>
    </row>
    <row r="1922" spans="1:7" ht="15.12" thickBot="1" customHeight="1">
      <c r="A1922" s="24" t="s">
        <v>5781</v>
      </c>
      <c r="B1922" s="24"/>
      <c r="C1922" s="24" t="s">
        <v>5782</v>
      </c>
      <c r="D1922" s="25" t="s">
        <v>5783</v>
      </c>
      <c r="E1922" s="28">
        <v>5.00000</v>
      </c>
      <c r="F1922" s="29">
        <f ca="1">ROUND(17.520,3)</f>
        <v>0</v>
      </c>
      <c r="G1922" s="27">
        <f ca="1">ROUND((E1922*F1922)/100,2)</f>
        <v>0</v>
      </c>
    </row>
    <row r="1923" spans="1:7" ht="15.48" thickBot="1" customHeight="1">
      <c r="A1923" s="30"/>
      <c r="B1923" s="30"/>
      <c r="C1923" s="30"/>
      <c r="D1923" s="31" t="s">
        <v>5784</v>
      </c>
      <c r="E1923" s="30"/>
      <c r="F1923" s="33">
        <f ca="1">ROUND((G1915+G1916+G1917+G1922)*(1+G2/100),2)</f>
        <v>0</v>
      </c>
      <c r="G1923" s="30"/>
    </row>
    <row r="1924" spans="1:7" ht="30.60" thickBot="1" customHeight="1">
      <c r="A1924" s="34" t="s">
        <v>5785</v>
      </c>
      <c r="B1924" s="35" t="s">
        <v>5786</v>
      </c>
      <c r="C1924" s="35" t="s">
        <v>5787</v>
      </c>
      <c r="D1924" s="36" t="s">
        <v>5788</v>
      </c>
      <c r="E1924" s="37"/>
      <c r="F1924" s="38">
        <f ca="1">F1932</f>
        <v>0</v>
      </c>
      <c r="G1924" s="37"/>
    </row>
    <row r="1925" spans="1:7" ht="21.36" thickBot="1" customHeight="1">
      <c r="A1925" s="26"/>
      <c r="B1925" s="26"/>
      <c r="C1925" s="26"/>
      <c r="D1925" s="25" t="s">
        <v>5789</v>
      </c>
      <c r="E1925" s="25"/>
      <c r="F1925" s="25"/>
      <c r="G1925" s="25"/>
    </row>
    <row r="1926" spans="1:7" ht="21.36" thickBot="1" customHeight="1">
      <c r="A1926" s="24" t="s">
        <v>5790</v>
      </c>
      <c r="B1926" s="24" t="s">
        <v>5791</v>
      </c>
      <c r="C1926" s="24" t="s">
        <v>5792</v>
      </c>
      <c r="D1926" s="25" t="s">
        <v>5793</v>
      </c>
      <c r="E1926" s="28">
        <v>0.50000</v>
      </c>
      <c r="F1926" s="29">
        <f ca="1">F1930</f>
        <v>0</v>
      </c>
      <c r="G1926" s="27">
        <f ca="1">ROUND(E1926*F1926,2)</f>
        <v>0</v>
      </c>
    </row>
    <row r="1927" spans="1:7" ht="24.36" thickBot="1" customHeight="1">
      <c r="A1927" s="24" t="s">
        <v>5794</v>
      </c>
      <c r="B1927" s="24" t="s">
        <v>5795</v>
      </c>
      <c r="C1927" s="24" t="s">
        <v>5796</v>
      </c>
      <c r="D1927" s="25" t="s">
        <v>5797</v>
      </c>
      <c r="E1927" s="28">
        <v>1.00000</v>
      </c>
      <c r="F1927" s="29">
        <f ca="1">ROUND(21.000,3)</f>
        <v>0</v>
      </c>
      <c r="G1927" s="27">
        <f ca="1">ROUND(E1927*F1927,2)</f>
        <v>0</v>
      </c>
    </row>
    <row r="1928" spans="1:7" ht="24.36" thickBot="1" customHeight="1">
      <c r="A1928" s="24" t="s">
        <v>5798</v>
      </c>
      <c r="B1928" s="24" t="s">
        <v>5799</v>
      </c>
      <c r="C1928" s="24" t="s">
        <v>5800</v>
      </c>
      <c r="D1928" s="25" t="s">
        <v>5801</v>
      </c>
      <c r="E1928" s="28">
        <v>1.00000</v>
      </c>
      <c r="F1928" s="29">
        <f ca="1">ROUND(19.000,3)</f>
        <v>0</v>
      </c>
      <c r="G1928" s="27">
        <f ca="1">ROUND(E1928*F1928,2)</f>
        <v>0</v>
      </c>
    </row>
    <row r="1929" spans="1:7" ht="24.36" thickBot="1" customHeight="1">
      <c r="A1929" s="24" t="s">
        <v>5802</v>
      </c>
      <c r="B1929" s="24" t="s">
        <v>5803</v>
      </c>
      <c r="C1929" s="24" t="s">
        <v>5804</v>
      </c>
      <c r="D1929" s="25" t="s">
        <v>5805</v>
      </c>
      <c r="E1929" s="28">
        <v>0.20000</v>
      </c>
      <c r="F1929" s="29">
        <f ca="1">ROUND(19.000,3)</f>
        <v>0</v>
      </c>
      <c r="G1929" s="27">
        <f ca="1">ROUND(E1929*F1929,2)</f>
        <v>0</v>
      </c>
    </row>
    <row r="1930" spans="1:7" ht="15.12" thickBot="1" customHeight="1">
      <c r="A1930" s="26"/>
      <c r="B1930" s="26"/>
      <c r="C1930" s="26"/>
      <c r="D1930" s="24" t="s">
        <v>5806</v>
      </c>
      <c r="E1930" s="28">
        <v>0.50000</v>
      </c>
      <c r="F1930" s="29">
        <f ca="1">ROUND((G1927+G1928+G1929),3)</f>
        <v>0</v>
      </c>
      <c r="G1930" s="27">
        <f ca="1">ROUND(E1930*F1930,2)</f>
        <v>0</v>
      </c>
    </row>
    <row r="1931" spans="1:7" ht="15.12" thickBot="1" customHeight="1">
      <c r="A1931" s="24" t="s">
        <v>5807</v>
      </c>
      <c r="B1931" s="24"/>
      <c r="C1931" s="24" t="s">
        <v>5808</v>
      </c>
      <c r="D1931" s="25" t="s">
        <v>5809</v>
      </c>
      <c r="E1931" s="28">
        <v>3.00000</v>
      </c>
      <c r="F1931" s="29">
        <f ca="1">ROUND(21.900,3)</f>
        <v>0</v>
      </c>
      <c r="G1931" s="27">
        <f ca="1">ROUND((E1931*F1931)/100,2)</f>
        <v>0</v>
      </c>
    </row>
    <row r="1932" spans="1:7" ht="15.48" thickBot="1" customHeight="1">
      <c r="A1932" s="30"/>
      <c r="B1932" s="30"/>
      <c r="C1932" s="30"/>
      <c r="D1932" s="31" t="s">
        <v>5810</v>
      </c>
      <c r="E1932" s="30"/>
      <c r="F1932" s="33">
        <f ca="1">ROUND((G1926+G1931)*(1+G2/100),2)</f>
        <v>0</v>
      </c>
      <c r="G1932" s="30"/>
    </row>
    <row r="1933" spans="1:7" ht="21.36" thickBot="1" customHeight="1">
      <c r="A1933" s="34" t="s">
        <v>5811</v>
      </c>
      <c r="B1933" s="35" t="s">
        <v>5812</v>
      </c>
      <c r="C1933" s="35" t="s">
        <v>5813</v>
      </c>
      <c r="D1933" s="36" t="s">
        <v>5814</v>
      </c>
      <c r="E1933" s="37"/>
      <c r="F1933" s="38">
        <f ca="1">F1941</f>
        <v>0</v>
      </c>
      <c r="G1933" s="37"/>
    </row>
    <row r="1934" spans="1:7" ht="30.60" thickBot="1" customHeight="1">
      <c r="A1934" s="26"/>
      <c r="B1934" s="26"/>
      <c r="C1934" s="26"/>
      <c r="D1934" s="25" t="s">
        <v>5815</v>
      </c>
      <c r="E1934" s="25"/>
      <c r="F1934" s="25"/>
      <c r="G1934" s="25"/>
    </row>
    <row r="1935" spans="1:7" ht="21.36" thickBot="1" customHeight="1">
      <c r="A1935" s="24" t="s">
        <v>5816</v>
      </c>
      <c r="B1935" s="24" t="s">
        <v>5817</v>
      </c>
      <c r="C1935" s="24" t="s">
        <v>5818</v>
      </c>
      <c r="D1935" s="25" t="s">
        <v>5819</v>
      </c>
      <c r="E1935" s="28">
        <v>0.40000</v>
      </c>
      <c r="F1935" s="29">
        <f ca="1">F1939</f>
        <v>0</v>
      </c>
      <c r="G1935" s="27">
        <f ca="1">ROUND(E1935*F1935,2)</f>
        <v>0</v>
      </c>
    </row>
    <row r="1936" spans="1:7" ht="24.36" thickBot="1" customHeight="1">
      <c r="A1936" s="24" t="s">
        <v>5820</v>
      </c>
      <c r="B1936" s="24" t="s">
        <v>5821</v>
      </c>
      <c r="C1936" s="24" t="s">
        <v>5822</v>
      </c>
      <c r="D1936" s="25" t="s">
        <v>5823</v>
      </c>
      <c r="E1936" s="28">
        <v>1.00000</v>
      </c>
      <c r="F1936" s="29">
        <f ca="1">ROUND(21.000,3)</f>
        <v>0</v>
      </c>
      <c r="G1936" s="27">
        <f ca="1">ROUND(E1936*F1936,2)</f>
        <v>0</v>
      </c>
    </row>
    <row r="1937" spans="1:7" ht="24.36" thickBot="1" customHeight="1">
      <c r="A1937" s="24" t="s">
        <v>5824</v>
      </c>
      <c r="B1937" s="24" t="s">
        <v>5825</v>
      </c>
      <c r="C1937" s="24" t="s">
        <v>5826</v>
      </c>
      <c r="D1937" s="25" t="s">
        <v>5827</v>
      </c>
      <c r="E1937" s="28">
        <v>1.00000</v>
      </c>
      <c r="F1937" s="29">
        <f ca="1">ROUND(19.000,3)</f>
        <v>0</v>
      </c>
      <c r="G1937" s="27">
        <f ca="1">ROUND(E1937*F1937,2)</f>
        <v>0</v>
      </c>
    </row>
    <row r="1938" spans="1:7" ht="24.36" thickBot="1" customHeight="1">
      <c r="A1938" s="24" t="s">
        <v>5828</v>
      </c>
      <c r="B1938" s="24" t="s">
        <v>5829</v>
      </c>
      <c r="C1938" s="24" t="s">
        <v>5830</v>
      </c>
      <c r="D1938" s="25" t="s">
        <v>5831</v>
      </c>
      <c r="E1938" s="28">
        <v>0.20000</v>
      </c>
      <c r="F1938" s="29">
        <f ca="1">ROUND(19.000,3)</f>
        <v>0</v>
      </c>
      <c r="G1938" s="27">
        <f ca="1">ROUND(E1938*F1938,2)</f>
        <v>0</v>
      </c>
    </row>
    <row r="1939" spans="1:7" ht="15.12" thickBot="1" customHeight="1">
      <c r="A1939" s="26"/>
      <c r="B1939" s="26"/>
      <c r="C1939" s="26"/>
      <c r="D1939" s="24" t="s">
        <v>5832</v>
      </c>
      <c r="E1939" s="28">
        <v>0.40000</v>
      </c>
      <c r="F1939" s="29">
        <f ca="1">ROUND((G1936+G1937+G1938),3)</f>
        <v>0</v>
      </c>
      <c r="G1939" s="27">
        <f ca="1">ROUND(E1939*F1939,2)</f>
        <v>0</v>
      </c>
    </row>
    <row r="1940" spans="1:7" ht="15.12" thickBot="1" customHeight="1">
      <c r="A1940" s="24" t="s">
        <v>5833</v>
      </c>
      <c r="B1940" s="24"/>
      <c r="C1940" s="24" t="s">
        <v>5834</v>
      </c>
      <c r="D1940" s="25" t="s">
        <v>5835</v>
      </c>
      <c r="E1940" s="28">
        <v>3.00000</v>
      </c>
      <c r="F1940" s="29">
        <f ca="1">ROUND(17.520,3)</f>
        <v>0</v>
      </c>
      <c r="G1940" s="27">
        <f ca="1">ROUND((E1940*F1940)/100,2)</f>
        <v>0</v>
      </c>
    </row>
    <row r="1941" spans="1:7" ht="15.48" thickBot="1" customHeight="1">
      <c r="A1941" s="30"/>
      <c r="B1941" s="30"/>
      <c r="C1941" s="30"/>
      <c r="D1941" s="31" t="s">
        <v>5836</v>
      </c>
      <c r="E1941" s="30"/>
      <c r="F1941" s="33">
        <f ca="1">ROUND((G1935+G1940)*(1+G2/100),2)</f>
        <v>0</v>
      </c>
      <c r="G1941" s="30"/>
    </row>
    <row r="1942" spans="1:7" ht="21.36" thickBot="1" customHeight="1">
      <c r="A1942" s="34" t="s">
        <v>5837</v>
      </c>
      <c r="B1942" s="35" t="s">
        <v>5838</v>
      </c>
      <c r="C1942" s="35" t="s">
        <v>5839</v>
      </c>
      <c r="D1942" s="36" t="s">
        <v>5840</v>
      </c>
      <c r="E1942" s="37"/>
      <c r="F1942" s="38">
        <f ca="1">F1950</f>
        <v>0</v>
      </c>
      <c r="G1942" s="37"/>
    </row>
    <row r="1943" spans="1:7" ht="39.84" thickBot="1" customHeight="1">
      <c r="A1943" s="26"/>
      <c r="B1943" s="26"/>
      <c r="C1943" s="26"/>
      <c r="D1943" s="25" t="s">
        <v>5841</v>
      </c>
      <c r="E1943" s="25"/>
      <c r="F1943" s="25"/>
      <c r="G1943" s="25"/>
    </row>
    <row r="1944" spans="1:7" ht="24.36" thickBot="1" customHeight="1">
      <c r="A1944" s="24" t="s">
        <v>5842</v>
      </c>
      <c r="B1944" s="24" t="s">
        <v>5843</v>
      </c>
      <c r="C1944" s="24" t="s">
        <v>5844</v>
      </c>
      <c r="D1944" s="25" t="s">
        <v>5845</v>
      </c>
      <c r="E1944" s="28">
        <v>0.60000</v>
      </c>
      <c r="F1944" s="29">
        <f ca="1">F1948</f>
        <v>0</v>
      </c>
      <c r="G1944" s="27">
        <f ca="1">ROUND(E1944*F1944,2)</f>
        <v>0</v>
      </c>
    </row>
    <row r="1945" spans="1:7" ht="24.36" thickBot="1" customHeight="1">
      <c r="A1945" s="24" t="s">
        <v>5846</v>
      </c>
      <c r="B1945" s="24" t="s">
        <v>5847</v>
      </c>
      <c r="C1945" s="24" t="s">
        <v>5848</v>
      </c>
      <c r="D1945" s="25" t="s">
        <v>5849</v>
      </c>
      <c r="E1945" s="28">
        <v>1.00000</v>
      </c>
      <c r="F1945" s="29">
        <f ca="1">ROUND(21.000,3)</f>
        <v>0</v>
      </c>
      <c r="G1945" s="27">
        <f ca="1">ROUND(E1945*F1945,2)</f>
        <v>0</v>
      </c>
    </row>
    <row r="1946" spans="1:7" ht="24.36" thickBot="1" customHeight="1">
      <c r="A1946" s="24" t="s">
        <v>5850</v>
      </c>
      <c r="B1946" s="24" t="s">
        <v>5851</v>
      </c>
      <c r="C1946" s="24" t="s">
        <v>5852</v>
      </c>
      <c r="D1946" s="25" t="s">
        <v>5853</v>
      </c>
      <c r="E1946" s="28">
        <v>1.00000</v>
      </c>
      <c r="F1946" s="29">
        <f ca="1">ROUND(19.000,3)</f>
        <v>0</v>
      </c>
      <c r="G1946" s="27">
        <f ca="1">ROUND(E1946*F1946,2)</f>
        <v>0</v>
      </c>
    </row>
    <row r="1947" spans="1:7" ht="24.36" thickBot="1" customHeight="1">
      <c r="A1947" s="24" t="s">
        <v>5854</v>
      </c>
      <c r="B1947" s="24" t="s">
        <v>5855</v>
      </c>
      <c r="C1947" s="24" t="s">
        <v>5856</v>
      </c>
      <c r="D1947" s="25" t="s">
        <v>5857</v>
      </c>
      <c r="E1947" s="28">
        <v>0.50000</v>
      </c>
      <c r="F1947" s="29">
        <f ca="1">ROUND(19.000,3)</f>
        <v>0</v>
      </c>
      <c r="G1947" s="27">
        <f ca="1">ROUND(E1947*F1947,2)</f>
        <v>0</v>
      </c>
    </row>
    <row r="1948" spans="1:7" ht="15.12" thickBot="1" customHeight="1">
      <c r="A1948" s="26"/>
      <c r="B1948" s="26"/>
      <c r="C1948" s="26"/>
      <c r="D1948" s="24" t="s">
        <v>5858</v>
      </c>
      <c r="E1948" s="28">
        <v>0.60000</v>
      </c>
      <c r="F1948" s="29">
        <f ca="1">ROUND((G1945+G1946+G1947),3)</f>
        <v>0</v>
      </c>
      <c r="G1948" s="27">
        <f ca="1">ROUND(E1948*F1948,2)</f>
        <v>0</v>
      </c>
    </row>
    <row r="1949" spans="1:7" ht="15.12" thickBot="1" customHeight="1">
      <c r="A1949" s="24" t="s">
        <v>5859</v>
      </c>
      <c r="B1949" s="24"/>
      <c r="C1949" s="24" t="s">
        <v>5860</v>
      </c>
      <c r="D1949" s="25" t="s">
        <v>5861</v>
      </c>
      <c r="E1949" s="28">
        <v>3.00000</v>
      </c>
      <c r="F1949" s="29">
        <f ca="1">ROUND(29.700,3)</f>
        <v>0</v>
      </c>
      <c r="G1949" s="27">
        <f ca="1">ROUND((E1949*F1949)/100,2)</f>
        <v>0</v>
      </c>
    </row>
    <row r="1950" spans="1:7" ht="15.48" thickBot="1" customHeight="1">
      <c r="A1950" s="30"/>
      <c r="B1950" s="30"/>
      <c r="C1950" s="30"/>
      <c r="D1950" s="31" t="s">
        <v>5862</v>
      </c>
      <c r="E1950" s="30"/>
      <c r="F1950" s="33">
        <f ca="1">ROUND((G1944+G1949)*(1+G2/100),2)</f>
        <v>0</v>
      </c>
      <c r="G1950" s="30"/>
    </row>
    <row r="1951" spans="1:7" ht="21.36" thickBot="1" customHeight="1">
      <c r="A1951" s="34" t="s">
        <v>5863</v>
      </c>
      <c r="B1951" s="35" t="s">
        <v>5864</v>
      </c>
      <c r="C1951" s="35" t="s">
        <v>5865</v>
      </c>
      <c r="D1951" s="36" t="s">
        <v>5866</v>
      </c>
      <c r="E1951" s="37"/>
      <c r="F1951" s="38">
        <f ca="1">F1959</f>
        <v>0</v>
      </c>
      <c r="G1951" s="37"/>
    </row>
    <row r="1952" spans="1:7" ht="21.36" thickBot="1" customHeight="1">
      <c r="A1952" s="26"/>
      <c r="B1952" s="26"/>
      <c r="C1952" s="26"/>
      <c r="D1952" s="25" t="s">
        <v>5867</v>
      </c>
      <c r="E1952" s="25"/>
      <c r="F1952" s="25"/>
      <c r="G1952" s="25"/>
    </row>
    <row r="1953" spans="1:7" ht="21.36" thickBot="1" customHeight="1">
      <c r="A1953" s="24" t="s">
        <v>5868</v>
      </c>
      <c r="B1953" s="24" t="s">
        <v>5869</v>
      </c>
      <c r="C1953" s="24" t="s">
        <v>5870</v>
      </c>
      <c r="D1953" s="25" t="s">
        <v>5871</v>
      </c>
      <c r="E1953" s="28">
        <v>0.30000</v>
      </c>
      <c r="F1953" s="29">
        <f ca="1">F1957</f>
        <v>0</v>
      </c>
      <c r="G1953" s="27">
        <f ca="1">ROUND(E1953*F1953,2)</f>
        <v>0</v>
      </c>
    </row>
    <row r="1954" spans="1:7" ht="24.36" thickBot="1" customHeight="1">
      <c r="A1954" s="24" t="s">
        <v>5872</v>
      </c>
      <c r="B1954" s="24" t="s">
        <v>5873</v>
      </c>
      <c r="C1954" s="24" t="s">
        <v>5874</v>
      </c>
      <c r="D1954" s="25" t="s">
        <v>5875</v>
      </c>
      <c r="E1954" s="28">
        <v>1.00000</v>
      </c>
      <c r="F1954" s="29">
        <f ca="1">ROUND(21.000,3)</f>
        <v>0</v>
      </c>
      <c r="G1954" s="27">
        <f ca="1">ROUND(E1954*F1954,2)</f>
        <v>0</v>
      </c>
    </row>
    <row r="1955" spans="1:7" ht="24.36" thickBot="1" customHeight="1">
      <c r="A1955" s="24" t="s">
        <v>5876</v>
      </c>
      <c r="B1955" s="24" t="s">
        <v>5877</v>
      </c>
      <c r="C1955" s="24" t="s">
        <v>5878</v>
      </c>
      <c r="D1955" s="25" t="s">
        <v>5879</v>
      </c>
      <c r="E1955" s="28">
        <v>1.00000</v>
      </c>
      <c r="F1955" s="29">
        <f ca="1">ROUND(19.000,3)</f>
        <v>0</v>
      </c>
      <c r="G1955" s="27">
        <f ca="1">ROUND(E1955*F1955,2)</f>
        <v>0</v>
      </c>
    </row>
    <row r="1956" spans="1:7" ht="24.36" thickBot="1" customHeight="1">
      <c r="A1956" s="24" t="s">
        <v>5880</v>
      </c>
      <c r="B1956" s="24" t="s">
        <v>5881</v>
      </c>
      <c r="C1956" s="24" t="s">
        <v>5882</v>
      </c>
      <c r="D1956" s="25" t="s">
        <v>5883</v>
      </c>
      <c r="E1956" s="28">
        <v>0.20000</v>
      </c>
      <c r="F1956" s="29">
        <f ca="1">ROUND(19.000,3)</f>
        <v>0</v>
      </c>
      <c r="G1956" s="27">
        <f ca="1">ROUND(E1956*F1956,2)</f>
        <v>0</v>
      </c>
    </row>
    <row r="1957" spans="1:7" ht="15.12" thickBot="1" customHeight="1">
      <c r="A1957" s="26"/>
      <c r="B1957" s="26"/>
      <c r="C1957" s="26"/>
      <c r="D1957" s="24" t="s">
        <v>5884</v>
      </c>
      <c r="E1957" s="28">
        <v>0.30000</v>
      </c>
      <c r="F1957" s="29">
        <f ca="1">ROUND((G1954+G1955+G1956),3)</f>
        <v>0</v>
      </c>
      <c r="G1957" s="27">
        <f ca="1">ROUND(E1957*F1957,2)</f>
        <v>0</v>
      </c>
    </row>
    <row r="1958" spans="1:7" ht="15.12" thickBot="1" customHeight="1">
      <c r="A1958" s="24" t="s">
        <v>5885</v>
      </c>
      <c r="B1958" s="24"/>
      <c r="C1958" s="24" t="s">
        <v>5886</v>
      </c>
      <c r="D1958" s="25" t="s">
        <v>5887</v>
      </c>
      <c r="E1958" s="28">
        <v>3.00000</v>
      </c>
      <c r="F1958" s="29">
        <f ca="1">ROUND(13.140,3)</f>
        <v>0</v>
      </c>
      <c r="G1958" s="27">
        <f ca="1">ROUND((E1958*F1958)/100,2)</f>
        <v>0</v>
      </c>
    </row>
    <row r="1959" spans="1:7" ht="15.48" thickBot="1" customHeight="1">
      <c r="A1959" s="30"/>
      <c r="B1959" s="30"/>
      <c r="C1959" s="30"/>
      <c r="D1959" s="31" t="s">
        <v>5888</v>
      </c>
      <c r="E1959" s="30"/>
      <c r="F1959" s="33">
        <f ca="1">ROUND((G1953+G1958)*(1+G2/100),2)</f>
        <v>0</v>
      </c>
      <c r="G1959" s="30"/>
    </row>
    <row r="1960" spans="1:7" ht="30.60" thickBot="1" customHeight="1">
      <c r="A1960" s="34" t="s">
        <v>5889</v>
      </c>
      <c r="B1960" s="35" t="s">
        <v>5890</v>
      </c>
      <c r="C1960" s="35" t="s">
        <v>5891</v>
      </c>
      <c r="D1960" s="36" t="s">
        <v>5892</v>
      </c>
      <c r="E1960" s="37"/>
      <c r="F1960" s="38">
        <f ca="1">F1971</f>
        <v>0</v>
      </c>
      <c r="G1960" s="37"/>
    </row>
    <row r="1961" spans="1:7" ht="39.84" thickBot="1" customHeight="1">
      <c r="A1961" s="26"/>
      <c r="B1961" s="26"/>
      <c r="C1961" s="26"/>
      <c r="D1961" s="25" t="s">
        <v>5893</v>
      </c>
      <c r="E1961" s="25"/>
      <c r="F1961" s="25"/>
      <c r="G1961" s="25"/>
    </row>
    <row r="1962" spans="1:7" ht="21.36" thickBot="1" customHeight="1">
      <c r="A1962" s="24" t="s">
        <v>5894</v>
      </c>
      <c r="B1962" s="24" t="s">
        <v>5895</v>
      </c>
      <c r="C1962" s="24" t="s">
        <v>5896</v>
      </c>
      <c r="D1962" s="25" t="s">
        <v>5897</v>
      </c>
      <c r="E1962" s="28">
        <v>0.30000</v>
      </c>
      <c r="F1962" s="29">
        <f ca="1">ROUND(6.320,3)</f>
        <v>0</v>
      </c>
      <c r="G1962" s="27">
        <f ca="1">ROUND(E1962*F1962,2)</f>
        <v>0</v>
      </c>
    </row>
    <row r="1963" spans="1:7" ht="21.36" thickBot="1" customHeight="1">
      <c r="A1963" s="24" t="s">
        <v>5898</v>
      </c>
      <c r="B1963" s="24" t="s">
        <v>5899</v>
      </c>
      <c r="C1963" s="24" t="s">
        <v>5900</v>
      </c>
      <c r="D1963" s="25" t="s">
        <v>5901</v>
      </c>
      <c r="E1963" s="28">
        <v>1.00000</v>
      </c>
      <c r="F1963" s="29">
        <f ca="1">ROUND(0.900,3)</f>
        <v>0</v>
      </c>
      <c r="G1963" s="27">
        <f ca="1">ROUND(E1963*F1963,2)</f>
        <v>0</v>
      </c>
    </row>
    <row r="1964" spans="1:7" ht="21.36" thickBot="1" customHeight="1">
      <c r="A1964" s="24" t="s">
        <v>5902</v>
      </c>
      <c r="B1964" s="24" t="s">
        <v>5903</v>
      </c>
      <c r="C1964" s="24" t="s">
        <v>5904</v>
      </c>
      <c r="D1964" s="25" t="s">
        <v>5905</v>
      </c>
      <c r="E1964" s="28">
        <v>0.00500</v>
      </c>
      <c r="F1964" s="29">
        <f ca="1">ROUND(4.950,3)</f>
        <v>0</v>
      </c>
      <c r="G1964" s="27">
        <f ca="1">ROUND(E1964*F1964,2)</f>
        <v>0</v>
      </c>
    </row>
    <row r="1965" spans="1:7" ht="21.36" thickBot="1" customHeight="1">
      <c r="A1965" s="24" t="s">
        <v>5906</v>
      </c>
      <c r="B1965" s="24" t="s">
        <v>5907</v>
      </c>
      <c r="C1965" s="24" t="s">
        <v>5908</v>
      </c>
      <c r="D1965" s="25" t="s">
        <v>5909</v>
      </c>
      <c r="E1965" s="28">
        <v>1.33300</v>
      </c>
      <c r="F1965" s="29">
        <f ca="1">F1969</f>
        <v>0</v>
      </c>
      <c r="G1965" s="27">
        <f ca="1">ROUND(E1965*F1965,2)</f>
        <v>0</v>
      </c>
    </row>
    <row r="1966" spans="1:7" ht="24.36" thickBot="1" customHeight="1">
      <c r="A1966" s="24" t="s">
        <v>5910</v>
      </c>
      <c r="B1966" s="24" t="s">
        <v>5911</v>
      </c>
      <c r="C1966" s="24" t="s">
        <v>5912</v>
      </c>
      <c r="D1966" s="25" t="s">
        <v>5913</v>
      </c>
      <c r="E1966" s="28">
        <v>1.00000</v>
      </c>
      <c r="F1966" s="29">
        <f ca="1">ROUND(21.000,3)</f>
        <v>0</v>
      </c>
      <c r="G1966" s="27">
        <f ca="1">ROUND(E1966*F1966,2)</f>
        <v>0</v>
      </c>
    </row>
    <row r="1967" spans="1:7" ht="24.36" thickBot="1" customHeight="1">
      <c r="A1967" s="24" t="s">
        <v>5914</v>
      </c>
      <c r="B1967" s="24" t="s">
        <v>5915</v>
      </c>
      <c r="C1967" s="24" t="s">
        <v>5916</v>
      </c>
      <c r="D1967" s="25" t="s">
        <v>5917</v>
      </c>
      <c r="E1967" s="28">
        <v>1.00000</v>
      </c>
      <c r="F1967" s="29">
        <f ca="1">ROUND(19.000,3)</f>
        <v>0</v>
      </c>
      <c r="G1967" s="27">
        <f ca="1">ROUND(E1967*F1967,2)</f>
        <v>0</v>
      </c>
    </row>
    <row r="1968" spans="1:7" ht="24.36" thickBot="1" customHeight="1">
      <c r="A1968" s="24" t="s">
        <v>5918</v>
      </c>
      <c r="B1968" s="24" t="s">
        <v>5919</v>
      </c>
      <c r="C1968" s="24" t="s">
        <v>5920</v>
      </c>
      <c r="D1968" s="25" t="s">
        <v>5921</v>
      </c>
      <c r="E1968" s="28">
        <v>0.20000</v>
      </c>
      <c r="F1968" s="29">
        <f ca="1">ROUND(19.000,3)</f>
        <v>0</v>
      </c>
      <c r="G1968" s="27">
        <f ca="1">ROUND(E1968*F1968,2)</f>
        <v>0</v>
      </c>
    </row>
    <row r="1969" spans="1:7" ht="15.12" thickBot="1" customHeight="1">
      <c r="A1969" s="26"/>
      <c r="B1969" s="26"/>
      <c r="C1969" s="26"/>
      <c r="D1969" s="24" t="s">
        <v>5922</v>
      </c>
      <c r="E1969" s="28">
        <v>1.33300</v>
      </c>
      <c r="F1969" s="29">
        <f ca="1">ROUND((G1966+G1967+G1968),3)</f>
        <v>0</v>
      </c>
      <c r="G1969" s="27">
        <f ca="1">ROUND(E1969*F1969,2)</f>
        <v>0</v>
      </c>
    </row>
    <row r="1970" spans="1:7" ht="15.12" thickBot="1" customHeight="1">
      <c r="A1970" s="24" t="s">
        <v>5923</v>
      </c>
      <c r="B1970" s="24"/>
      <c r="C1970" s="24" t="s">
        <v>5924</v>
      </c>
      <c r="D1970" s="25" t="s">
        <v>5925</v>
      </c>
      <c r="E1970" s="28">
        <v>3.00000</v>
      </c>
      <c r="F1970" s="29">
        <f ca="1">ROUND(58.390,3)</f>
        <v>0</v>
      </c>
      <c r="G1970" s="27">
        <f ca="1">ROUND((E1970*F1970)/100,2)</f>
        <v>0</v>
      </c>
    </row>
    <row r="1971" spans="1:7" ht="15.48" thickBot="1" customHeight="1">
      <c r="A1971" s="30"/>
      <c r="B1971" s="30"/>
      <c r="C1971" s="30"/>
      <c r="D1971" s="31" t="s">
        <v>5926</v>
      </c>
      <c r="E1971" s="30"/>
      <c r="F1971" s="33">
        <f ca="1">ROUND((G1962+G1963+G1964+G1965+G1970)*(1+G2/100),2)</f>
        <v>0</v>
      </c>
      <c r="G1971" s="30"/>
    </row>
    <row r="1972" spans="1:7" ht="30.60" thickBot="1" customHeight="1">
      <c r="A1972" s="34" t="s">
        <v>5927</v>
      </c>
      <c r="B1972" s="35" t="s">
        <v>5928</v>
      </c>
      <c r="C1972" s="35" t="s">
        <v>5929</v>
      </c>
      <c r="D1972" s="36" t="s">
        <v>5930</v>
      </c>
      <c r="E1972" s="37"/>
      <c r="F1972" s="38">
        <f ca="1">F1980</f>
        <v>0</v>
      </c>
      <c r="G1972" s="37"/>
    </row>
    <row r="1973" spans="1:7" ht="21.36" thickBot="1" customHeight="1">
      <c r="A1973" s="26"/>
      <c r="B1973" s="26"/>
      <c r="C1973" s="26"/>
      <c r="D1973" s="25" t="s">
        <v>5931</v>
      </c>
      <c r="E1973" s="25"/>
      <c r="F1973" s="25"/>
      <c r="G1973" s="25"/>
    </row>
    <row r="1974" spans="1:7" ht="21.36" thickBot="1" customHeight="1">
      <c r="A1974" s="24" t="s">
        <v>5932</v>
      </c>
      <c r="B1974" s="24" t="s">
        <v>5933</v>
      </c>
      <c r="C1974" s="24" t="s">
        <v>5934</v>
      </c>
      <c r="D1974" s="25" t="s">
        <v>5935</v>
      </c>
      <c r="E1974" s="28">
        <v>0.40000</v>
      </c>
      <c r="F1974" s="29">
        <f ca="1">F1978</f>
        <v>0</v>
      </c>
      <c r="G1974" s="27">
        <f ca="1">ROUND(E1974*F1974,2)</f>
        <v>0</v>
      </c>
    </row>
    <row r="1975" spans="1:7" ht="24.36" thickBot="1" customHeight="1">
      <c r="A1975" s="24" t="s">
        <v>5936</v>
      </c>
      <c r="B1975" s="24" t="s">
        <v>5937</v>
      </c>
      <c r="C1975" s="24" t="s">
        <v>5938</v>
      </c>
      <c r="D1975" s="25" t="s">
        <v>5939</v>
      </c>
      <c r="E1975" s="28">
        <v>1.00000</v>
      </c>
      <c r="F1975" s="29">
        <f ca="1">ROUND(21.000,3)</f>
        <v>0</v>
      </c>
      <c r="G1975" s="27">
        <f ca="1">ROUND(E1975*F1975,2)</f>
        <v>0</v>
      </c>
    </row>
    <row r="1976" spans="1:7" ht="24.36" thickBot="1" customHeight="1">
      <c r="A1976" s="24" t="s">
        <v>5940</v>
      </c>
      <c r="B1976" s="24" t="s">
        <v>5941</v>
      </c>
      <c r="C1976" s="24" t="s">
        <v>5942</v>
      </c>
      <c r="D1976" s="25" t="s">
        <v>5943</v>
      </c>
      <c r="E1976" s="28">
        <v>1.00000</v>
      </c>
      <c r="F1976" s="29">
        <f ca="1">ROUND(19.000,3)</f>
        <v>0</v>
      </c>
      <c r="G1976" s="27">
        <f ca="1">ROUND(E1976*F1976,2)</f>
        <v>0</v>
      </c>
    </row>
    <row r="1977" spans="1:7" ht="24.36" thickBot="1" customHeight="1">
      <c r="A1977" s="24" t="s">
        <v>5944</v>
      </c>
      <c r="B1977" s="24" t="s">
        <v>5945</v>
      </c>
      <c r="C1977" s="24" t="s">
        <v>5946</v>
      </c>
      <c r="D1977" s="25" t="s">
        <v>5947</v>
      </c>
      <c r="E1977" s="28">
        <v>0.20000</v>
      </c>
      <c r="F1977" s="29">
        <f ca="1">ROUND(19.000,3)</f>
        <v>0</v>
      </c>
      <c r="G1977" s="27">
        <f ca="1">ROUND(E1977*F1977,2)</f>
        <v>0</v>
      </c>
    </row>
    <row r="1978" spans="1:7" ht="15.12" thickBot="1" customHeight="1">
      <c r="A1978" s="26"/>
      <c r="B1978" s="26"/>
      <c r="C1978" s="26"/>
      <c r="D1978" s="24" t="s">
        <v>5948</v>
      </c>
      <c r="E1978" s="28">
        <v>0.40000</v>
      </c>
      <c r="F1978" s="29">
        <f ca="1">ROUND((G1975+G1976+G1977),3)</f>
        <v>0</v>
      </c>
      <c r="G1978" s="27">
        <f ca="1">ROUND(E1978*F1978,2)</f>
        <v>0</v>
      </c>
    </row>
    <row r="1979" spans="1:7" ht="15.12" thickBot="1" customHeight="1">
      <c r="A1979" s="24" t="s">
        <v>5949</v>
      </c>
      <c r="B1979" s="24"/>
      <c r="C1979" s="24" t="s">
        <v>5950</v>
      </c>
      <c r="D1979" s="25" t="s">
        <v>5951</v>
      </c>
      <c r="E1979" s="28">
        <v>3.00000</v>
      </c>
      <c r="F1979" s="29">
        <f ca="1">ROUND(17.520,3)</f>
        <v>0</v>
      </c>
      <c r="G1979" s="27">
        <f ca="1">ROUND((E1979*F1979)/100,2)</f>
        <v>0</v>
      </c>
    </row>
    <row r="1980" spans="1:7" ht="15.48" thickBot="1" customHeight="1">
      <c r="A1980" s="30"/>
      <c r="B1980" s="30"/>
      <c r="C1980" s="30"/>
      <c r="D1980" s="31" t="s">
        <v>5952</v>
      </c>
      <c r="E1980" s="30"/>
      <c r="F1980" s="33">
        <f ca="1">ROUND((G1974+G1979)*(1+G2/100),2)</f>
        <v>0</v>
      </c>
      <c r="G1980" s="30"/>
    </row>
    <row r="1981" spans="1:7" ht="39.84" thickBot="1" customHeight="1">
      <c r="A1981" s="34" t="s">
        <v>5953</v>
      </c>
      <c r="B1981" s="35" t="s">
        <v>5954</v>
      </c>
      <c r="C1981" s="35" t="s">
        <v>5955</v>
      </c>
      <c r="D1981" s="36" t="s">
        <v>5956</v>
      </c>
      <c r="E1981" s="37"/>
      <c r="F1981" s="38">
        <f ca="1">F1993</f>
        <v>0</v>
      </c>
      <c r="G1981" s="37"/>
    </row>
    <row r="1982" spans="1:7" ht="49.08" thickBot="1" customHeight="1">
      <c r="A1982" s="26"/>
      <c r="B1982" s="26"/>
      <c r="C1982" s="26"/>
      <c r="D1982" s="25" t="s">
        <v>5957</v>
      </c>
      <c r="E1982" s="25"/>
      <c r="F1982" s="25"/>
      <c r="G1982" s="25"/>
    </row>
    <row r="1983" spans="1:7" ht="21.36" thickBot="1" customHeight="1">
      <c r="A1983" s="24" t="s">
        <v>5958</v>
      </c>
      <c r="B1983" s="24" t="s">
        <v>5959</v>
      </c>
      <c r="C1983" s="24" t="s">
        <v>5960</v>
      </c>
      <c r="D1983" s="25" t="s">
        <v>5961</v>
      </c>
      <c r="E1983" s="28">
        <v>0.50000</v>
      </c>
      <c r="F1983" s="29">
        <f ca="1">ROUND(3.470,3)</f>
        <v>0</v>
      </c>
      <c r="G1983" s="27">
        <f ca="1">ROUND(E1983*F1983,2)</f>
        <v>0</v>
      </c>
    </row>
    <row r="1984" spans="1:7" ht="21.36" thickBot="1" customHeight="1">
      <c r="A1984" s="24" t="s">
        <v>5962</v>
      </c>
      <c r="B1984" s="24" t="s">
        <v>5963</v>
      </c>
      <c r="C1984" s="24" t="s">
        <v>5964</v>
      </c>
      <c r="D1984" s="25" t="s">
        <v>5965</v>
      </c>
      <c r="E1984" s="28">
        <v>0.10000</v>
      </c>
      <c r="F1984" s="29">
        <f ca="1">ROUND(1.320,3)</f>
        <v>0</v>
      </c>
      <c r="G1984" s="27">
        <f ca="1">ROUND(E1984*F1984,2)</f>
        <v>0</v>
      </c>
    </row>
    <row r="1985" spans="1:7" ht="39.84" thickBot="1" customHeight="1">
      <c r="A1985" s="24" t="s">
        <v>5966</v>
      </c>
      <c r="B1985" s="24" t="s">
        <v>5967</v>
      </c>
      <c r="C1985" s="24" t="s">
        <v>5968</v>
      </c>
      <c r="D1985" s="25" t="s">
        <v>5969</v>
      </c>
      <c r="E1985" s="28">
        <v>0.30000</v>
      </c>
      <c r="F1985" s="29">
        <f ca="1">ROUND(1.750,3)</f>
        <v>0</v>
      </c>
      <c r="G1985" s="27">
        <f ca="1">ROUND(E1985*F1985,2)</f>
        <v>0</v>
      </c>
    </row>
    <row r="1986" spans="1:7" ht="21.36" thickBot="1" customHeight="1">
      <c r="A1986" s="24" t="s">
        <v>5970</v>
      </c>
      <c r="B1986" s="24" t="s">
        <v>5971</v>
      </c>
      <c r="C1986" s="24" t="s">
        <v>5972</v>
      </c>
      <c r="D1986" s="25" t="s">
        <v>5973</v>
      </c>
      <c r="E1986" s="28">
        <v>0.20000</v>
      </c>
      <c r="F1986" s="29">
        <f ca="1">ROUND(0.970,3)</f>
        <v>0</v>
      </c>
      <c r="G1986" s="27">
        <f ca="1">ROUND(E1986*F1986,2)</f>
        <v>0</v>
      </c>
    </row>
    <row r="1987" spans="1:7" ht="21.36" thickBot="1" customHeight="1">
      <c r="A1987" s="24" t="s">
        <v>5974</v>
      </c>
      <c r="B1987" s="24" t="s">
        <v>5975</v>
      </c>
      <c r="C1987" s="24" t="s">
        <v>5976</v>
      </c>
      <c r="D1987" s="25" t="s">
        <v>5977</v>
      </c>
      <c r="E1987" s="28">
        <v>1.00000</v>
      </c>
      <c r="F1987" s="29">
        <f ca="1">F1991</f>
        <v>0</v>
      </c>
      <c r="G1987" s="27">
        <f ca="1">ROUND(E1987*F1987,2)</f>
        <v>0</v>
      </c>
    </row>
    <row r="1988" spans="1:7" ht="24.36" thickBot="1" customHeight="1">
      <c r="A1988" s="24" t="s">
        <v>5978</v>
      </c>
      <c r="B1988" s="24" t="s">
        <v>5979</v>
      </c>
      <c r="C1988" s="24" t="s">
        <v>5980</v>
      </c>
      <c r="D1988" s="25" t="s">
        <v>5981</v>
      </c>
      <c r="E1988" s="28">
        <v>1.00000</v>
      </c>
      <c r="F1988" s="29">
        <f ca="1">ROUND(21.000,3)</f>
        <v>0</v>
      </c>
      <c r="G1988" s="27">
        <f ca="1">ROUND(E1988*F1988,2)</f>
        <v>0</v>
      </c>
    </row>
    <row r="1989" spans="1:7" ht="24.36" thickBot="1" customHeight="1">
      <c r="A1989" s="24" t="s">
        <v>5982</v>
      </c>
      <c r="B1989" s="24" t="s">
        <v>5983</v>
      </c>
      <c r="C1989" s="24" t="s">
        <v>5984</v>
      </c>
      <c r="D1989" s="25" t="s">
        <v>5985</v>
      </c>
      <c r="E1989" s="28">
        <v>1.00000</v>
      </c>
      <c r="F1989" s="29">
        <f ca="1">ROUND(19.000,3)</f>
        <v>0</v>
      </c>
      <c r="G1989" s="27">
        <f ca="1">ROUND(E1989*F1989,2)</f>
        <v>0</v>
      </c>
    </row>
    <row r="1990" spans="1:7" ht="24.36" thickBot="1" customHeight="1">
      <c r="A1990" s="24" t="s">
        <v>5986</v>
      </c>
      <c r="B1990" s="24" t="s">
        <v>5987</v>
      </c>
      <c r="C1990" s="24" t="s">
        <v>5988</v>
      </c>
      <c r="D1990" s="25" t="s">
        <v>5989</v>
      </c>
      <c r="E1990" s="28">
        <v>0.20000</v>
      </c>
      <c r="F1990" s="29">
        <f ca="1">ROUND(19.000,3)</f>
        <v>0</v>
      </c>
      <c r="G1990" s="27">
        <f ca="1">ROUND(E1990*F1990,2)</f>
        <v>0</v>
      </c>
    </row>
    <row r="1991" spans="1:7" ht="15.12" thickBot="1" customHeight="1">
      <c r="A1991" s="26"/>
      <c r="B1991" s="26"/>
      <c r="C1991" s="26"/>
      <c r="D1991" s="24" t="s">
        <v>5990</v>
      </c>
      <c r="E1991" s="28">
        <v>1.00000</v>
      </c>
      <c r="F1991" s="29">
        <f ca="1">ROUND((G1988+G1989+G1990),3)</f>
        <v>0</v>
      </c>
      <c r="G1991" s="27">
        <f ca="1">ROUND(E1991*F1991,2)</f>
        <v>0</v>
      </c>
    </row>
    <row r="1992" spans="1:7" ht="15.12" thickBot="1" customHeight="1">
      <c r="A1992" s="24" t="s">
        <v>5991</v>
      </c>
      <c r="B1992" s="24"/>
      <c r="C1992" s="24" t="s">
        <v>5992</v>
      </c>
      <c r="D1992" s="25" t="s">
        <v>5993</v>
      </c>
      <c r="E1992" s="28">
        <v>3.00000</v>
      </c>
      <c r="F1992" s="29">
        <f ca="1">ROUND(43.800,3)</f>
        <v>0</v>
      </c>
      <c r="G1992" s="27">
        <f ca="1">ROUND((E1992*F1992)/100,2)</f>
        <v>0</v>
      </c>
    </row>
    <row r="1993" spans="1:7" ht="15.48" thickBot="1" customHeight="1">
      <c r="A1993" s="30"/>
      <c r="B1993" s="30"/>
      <c r="C1993" s="30"/>
      <c r="D1993" s="31" t="s">
        <v>5994</v>
      </c>
      <c r="E1993" s="30"/>
      <c r="F1993" s="33">
        <f ca="1">ROUND((G1983+G1984+G1985+G1986+G1987+G1992)*(1+G2/100),2)</f>
        <v>0</v>
      </c>
      <c r="G1993" s="30"/>
    </row>
    <row r="1994" spans="1:7" ht="39.84" thickBot="1" customHeight="1">
      <c r="A1994" s="34" t="s">
        <v>5995</v>
      </c>
      <c r="B1994" s="35" t="s">
        <v>5996</v>
      </c>
      <c r="C1994" s="35" t="s">
        <v>5997</v>
      </c>
      <c r="D1994" s="36" t="s">
        <v>5998</v>
      </c>
      <c r="E1994" s="37"/>
      <c r="F1994" s="38">
        <f ca="1">F2004</f>
        <v>0</v>
      </c>
      <c r="G1994" s="37"/>
    </row>
    <row r="1995" spans="1:7" ht="30.60" thickBot="1" customHeight="1">
      <c r="A1995" s="26"/>
      <c r="B1995" s="26"/>
      <c r="C1995" s="26"/>
      <c r="D1995" s="25" t="s">
        <v>5999</v>
      </c>
      <c r="E1995" s="25"/>
      <c r="F1995" s="25"/>
      <c r="G1995" s="25"/>
    </row>
    <row r="1996" spans="1:7" ht="39.84" thickBot="1" customHeight="1">
      <c r="A1996" s="24" t="s">
        <v>6000</v>
      </c>
      <c r="B1996" s="24" t="s">
        <v>6001</v>
      </c>
      <c r="C1996" s="24" t="s">
        <v>6002</v>
      </c>
      <c r="D1996" s="25" t="s">
        <v>6003</v>
      </c>
      <c r="E1996" s="28">
        <v>0.30000</v>
      </c>
      <c r="F1996" s="29">
        <f ca="1">ROUND(1.750,3)</f>
        <v>0</v>
      </c>
      <c r="G1996" s="27">
        <f ca="1">ROUND(E1996*F1996,2)</f>
        <v>0</v>
      </c>
    </row>
    <row r="1997" spans="1:7" ht="21.36" thickBot="1" customHeight="1">
      <c r="A1997" s="24" t="s">
        <v>6004</v>
      </c>
      <c r="B1997" s="24" t="s">
        <v>6005</v>
      </c>
      <c r="C1997" s="24" t="s">
        <v>6006</v>
      </c>
      <c r="D1997" s="25" t="s">
        <v>6007</v>
      </c>
      <c r="E1997" s="28">
        <v>0.20000</v>
      </c>
      <c r="F1997" s="29">
        <f ca="1">ROUND(0.970,3)</f>
        <v>0</v>
      </c>
      <c r="G1997" s="27">
        <f ca="1">ROUND(E1997*F1997,2)</f>
        <v>0</v>
      </c>
    </row>
    <row r="1998" spans="1:7" ht="21.36" thickBot="1" customHeight="1">
      <c r="A1998" s="24" t="s">
        <v>6008</v>
      </c>
      <c r="B1998" s="24" t="s">
        <v>6009</v>
      </c>
      <c r="C1998" s="24" t="s">
        <v>6010</v>
      </c>
      <c r="D1998" s="25" t="s">
        <v>6011</v>
      </c>
      <c r="E1998" s="28">
        <v>0.60000</v>
      </c>
      <c r="F1998" s="29">
        <f ca="1">F2002</f>
        <v>0</v>
      </c>
      <c r="G1998" s="27">
        <f ca="1">ROUND(E1998*F1998,2)</f>
        <v>0</v>
      </c>
    </row>
    <row r="1999" spans="1:7" ht="24.36" thickBot="1" customHeight="1">
      <c r="A1999" s="24" t="s">
        <v>6012</v>
      </c>
      <c r="B1999" s="24" t="s">
        <v>6013</v>
      </c>
      <c r="C1999" s="24" t="s">
        <v>6014</v>
      </c>
      <c r="D1999" s="25" t="s">
        <v>6015</v>
      </c>
      <c r="E1999" s="28">
        <v>1.00000</v>
      </c>
      <c r="F1999" s="29">
        <f ca="1">ROUND(21.000,3)</f>
        <v>0</v>
      </c>
      <c r="G1999" s="27">
        <f ca="1">ROUND(E1999*F1999,2)</f>
        <v>0</v>
      </c>
    </row>
    <row r="2000" spans="1:7" ht="24.36" thickBot="1" customHeight="1">
      <c r="A2000" s="24" t="s">
        <v>6016</v>
      </c>
      <c r="B2000" s="24" t="s">
        <v>6017</v>
      </c>
      <c r="C2000" s="24" t="s">
        <v>6018</v>
      </c>
      <c r="D2000" s="25" t="s">
        <v>6019</v>
      </c>
      <c r="E2000" s="28">
        <v>1.00000</v>
      </c>
      <c r="F2000" s="29">
        <f ca="1">ROUND(19.000,3)</f>
        <v>0</v>
      </c>
      <c r="G2000" s="27">
        <f ca="1">ROUND(E2000*F2000,2)</f>
        <v>0</v>
      </c>
    </row>
    <row r="2001" spans="1:7" ht="24.36" thickBot="1" customHeight="1">
      <c r="A2001" s="24" t="s">
        <v>6020</v>
      </c>
      <c r="B2001" s="24" t="s">
        <v>6021</v>
      </c>
      <c r="C2001" s="24" t="s">
        <v>6022</v>
      </c>
      <c r="D2001" s="25" t="s">
        <v>6023</v>
      </c>
      <c r="E2001" s="28">
        <v>0.20000</v>
      </c>
      <c r="F2001" s="29">
        <f ca="1">ROUND(19.000,3)</f>
        <v>0</v>
      </c>
      <c r="G2001" s="27">
        <f ca="1">ROUND(E2001*F2001,2)</f>
        <v>0</v>
      </c>
    </row>
    <row r="2002" spans="1:7" ht="15.12" thickBot="1" customHeight="1">
      <c r="A2002" s="26"/>
      <c r="B2002" s="26"/>
      <c r="C2002" s="26"/>
      <c r="D2002" s="24" t="s">
        <v>6024</v>
      </c>
      <c r="E2002" s="28">
        <v>0.60000</v>
      </c>
      <c r="F2002" s="29">
        <f ca="1">ROUND((G1999+G2000+G2001),3)</f>
        <v>0</v>
      </c>
      <c r="G2002" s="27">
        <f ca="1">ROUND(E2002*F2002,2)</f>
        <v>0</v>
      </c>
    </row>
    <row r="2003" spans="1:7" ht="15.12" thickBot="1" customHeight="1">
      <c r="A2003" s="24" t="s">
        <v>6025</v>
      </c>
      <c r="B2003" s="24"/>
      <c r="C2003" s="24" t="s">
        <v>6026</v>
      </c>
      <c r="D2003" s="25" t="s">
        <v>6027</v>
      </c>
      <c r="E2003" s="28">
        <v>3.00000</v>
      </c>
      <c r="F2003" s="29">
        <f ca="1">ROUND(26.280,3)</f>
        <v>0</v>
      </c>
      <c r="G2003" s="27">
        <f ca="1">ROUND((E2003*F2003)/100,2)</f>
        <v>0</v>
      </c>
    </row>
    <row r="2004" spans="1:7" ht="15.48" thickBot="1" customHeight="1">
      <c r="A2004" s="30"/>
      <c r="B2004" s="30"/>
      <c r="C2004" s="30"/>
      <c r="D2004" s="31" t="s">
        <v>6028</v>
      </c>
      <c r="E2004" s="30"/>
      <c r="F2004" s="33">
        <f ca="1">ROUND((G1996+G1997+G1998+G2003)*(1+G2/100),2)</f>
        <v>0</v>
      </c>
      <c r="G2004" s="30"/>
    </row>
    <row r="2005" spans="1:7" ht="15.48" thickBot="1" customHeight="1">
      <c r="A2005" s="34" t="s">
        <v>6029</v>
      </c>
      <c r="B2005" s="35" t="s">
        <v>6030</v>
      </c>
      <c r="C2005" s="35" t="s">
        <v>6031</v>
      </c>
      <c r="D2005" s="36" t="s">
        <v>6032</v>
      </c>
      <c r="E2005" s="37"/>
      <c r="F2005" s="38">
        <f ca="1">F2013</f>
        <v>0</v>
      </c>
      <c r="G2005" s="37"/>
    </row>
    <row r="2006" spans="1:7" ht="30.60" thickBot="1" customHeight="1">
      <c r="A2006" s="26"/>
      <c r="B2006" s="26"/>
      <c r="C2006" s="26"/>
      <c r="D2006" s="25" t="s">
        <v>6033</v>
      </c>
      <c r="E2006" s="25"/>
      <c r="F2006" s="25"/>
      <c r="G2006" s="25"/>
    </row>
    <row r="2007" spans="1:7" ht="21.36" thickBot="1" customHeight="1">
      <c r="A2007" s="24" t="s">
        <v>6034</v>
      </c>
      <c r="B2007" s="24" t="s">
        <v>6035</v>
      </c>
      <c r="C2007" s="24" t="s">
        <v>6036</v>
      </c>
      <c r="D2007" s="25" t="s">
        <v>6037</v>
      </c>
      <c r="E2007" s="28">
        <v>0.20000</v>
      </c>
      <c r="F2007" s="29">
        <f ca="1">F2011</f>
        <v>0</v>
      </c>
      <c r="G2007" s="27">
        <f ca="1">ROUND(E2007*F2007,2)</f>
        <v>0</v>
      </c>
    </row>
    <row r="2008" spans="1:7" ht="24.36" thickBot="1" customHeight="1">
      <c r="A2008" s="24" t="s">
        <v>6038</v>
      </c>
      <c r="B2008" s="24" t="s">
        <v>6039</v>
      </c>
      <c r="C2008" s="24" t="s">
        <v>6040</v>
      </c>
      <c r="D2008" s="25" t="s">
        <v>6041</v>
      </c>
      <c r="E2008" s="28">
        <v>1.00000</v>
      </c>
      <c r="F2008" s="29">
        <f ca="1">ROUND(21.000,3)</f>
        <v>0</v>
      </c>
      <c r="G2008" s="27">
        <f ca="1">ROUND(E2008*F2008,2)</f>
        <v>0</v>
      </c>
    </row>
    <row r="2009" spans="1:7" ht="24.36" thickBot="1" customHeight="1">
      <c r="A2009" s="24" t="s">
        <v>6042</v>
      </c>
      <c r="B2009" s="24" t="s">
        <v>6043</v>
      </c>
      <c r="C2009" s="24" t="s">
        <v>6044</v>
      </c>
      <c r="D2009" s="25" t="s">
        <v>6045</v>
      </c>
      <c r="E2009" s="28">
        <v>1.00000</v>
      </c>
      <c r="F2009" s="29">
        <f ca="1">ROUND(19.000,3)</f>
        <v>0</v>
      </c>
      <c r="G2009" s="27">
        <f ca="1">ROUND(E2009*F2009,2)</f>
        <v>0</v>
      </c>
    </row>
    <row r="2010" spans="1:7" ht="24.36" thickBot="1" customHeight="1">
      <c r="A2010" s="24" t="s">
        <v>6046</v>
      </c>
      <c r="B2010" s="24" t="s">
        <v>6047</v>
      </c>
      <c r="C2010" s="24" t="s">
        <v>6048</v>
      </c>
      <c r="D2010" s="25" t="s">
        <v>6049</v>
      </c>
      <c r="E2010" s="28">
        <v>0.20000</v>
      </c>
      <c r="F2010" s="29">
        <f ca="1">ROUND(19.000,3)</f>
        <v>0</v>
      </c>
      <c r="G2010" s="27">
        <f ca="1">ROUND(E2010*F2010,2)</f>
        <v>0</v>
      </c>
    </row>
    <row r="2011" spans="1:7" ht="15.12" thickBot="1" customHeight="1">
      <c r="A2011" s="26"/>
      <c r="B2011" s="26"/>
      <c r="C2011" s="26"/>
      <c r="D2011" s="24" t="s">
        <v>6050</v>
      </c>
      <c r="E2011" s="28">
        <v>0.20000</v>
      </c>
      <c r="F2011" s="29">
        <f ca="1">ROUND((G2008+G2009+G2010),3)</f>
        <v>0</v>
      </c>
      <c r="G2011" s="27">
        <f ca="1">ROUND(E2011*F2011,2)</f>
        <v>0</v>
      </c>
    </row>
    <row r="2012" spans="1:7" ht="15.12" thickBot="1" customHeight="1">
      <c r="A2012" s="24" t="s">
        <v>6051</v>
      </c>
      <c r="B2012" s="24"/>
      <c r="C2012" s="24" t="s">
        <v>6052</v>
      </c>
      <c r="D2012" s="25" t="s">
        <v>6053</v>
      </c>
      <c r="E2012" s="28">
        <v>3.00000</v>
      </c>
      <c r="F2012" s="29">
        <f ca="1">ROUND(8.760,3)</f>
        <v>0</v>
      </c>
      <c r="G2012" s="27">
        <f ca="1">ROUND((E2012*F2012)/100,2)</f>
        <v>0</v>
      </c>
    </row>
    <row r="2013" spans="1:7" ht="15.48" thickBot="1" customHeight="1">
      <c r="A2013" s="30"/>
      <c r="B2013" s="30"/>
      <c r="C2013" s="30"/>
      <c r="D2013" s="31" t="s">
        <v>6054</v>
      </c>
      <c r="E2013" s="30"/>
      <c r="F2013" s="33">
        <f ca="1">ROUND((G2007+G2012)*(1+G2/100),2)</f>
        <v>0</v>
      </c>
      <c r="G2013" s="30"/>
    </row>
    <row r="2014" spans="1:7" ht="21.36" thickBot="1" customHeight="1">
      <c r="A2014" s="34" t="s">
        <v>6055</v>
      </c>
      <c r="B2014" s="35" t="s">
        <v>6056</v>
      </c>
      <c r="C2014" s="35" t="s">
        <v>6057</v>
      </c>
      <c r="D2014" s="36" t="s">
        <v>6058</v>
      </c>
      <c r="E2014" s="37"/>
      <c r="F2014" s="38">
        <f ca="1">F2027</f>
        <v>0</v>
      </c>
      <c r="G2014" s="37"/>
    </row>
    <row r="2015" spans="1:7" ht="58.32" thickBot="1" customHeight="1">
      <c r="A2015" s="26"/>
      <c r="B2015" s="26"/>
      <c r="C2015" s="26"/>
      <c r="D2015" s="25" t="s">
        <v>6059</v>
      </c>
      <c r="E2015" s="25"/>
      <c r="F2015" s="25"/>
      <c r="G2015" s="25"/>
    </row>
    <row r="2016" spans="1:7" ht="21.36" thickBot="1" customHeight="1">
      <c r="A2016" s="24" t="s">
        <v>6060</v>
      </c>
      <c r="B2016" s="24" t="s">
        <v>6061</v>
      </c>
      <c r="C2016" s="24" t="s">
        <v>6062</v>
      </c>
      <c r="D2016" s="25" t="s">
        <v>6063</v>
      </c>
      <c r="E2016" s="28">
        <v>0.10000</v>
      </c>
      <c r="F2016" s="29">
        <f ca="1">ROUND(6.490,3)</f>
        <v>0</v>
      </c>
      <c r="G2016" s="27">
        <f ca="1">ROUND(E2016*F2016,2)</f>
        <v>0</v>
      </c>
    </row>
    <row r="2017" spans="1:7" ht="21.36" thickBot="1" customHeight="1">
      <c r="A2017" s="24" t="s">
        <v>6064</v>
      </c>
      <c r="B2017" s="24" t="s">
        <v>6065</v>
      </c>
      <c r="C2017" s="24" t="s">
        <v>6066</v>
      </c>
      <c r="D2017" s="25" t="s">
        <v>6067</v>
      </c>
      <c r="E2017" s="28">
        <v>0.50000</v>
      </c>
      <c r="F2017" s="29">
        <f ca="1">ROUND(3.470,3)</f>
        <v>0</v>
      </c>
      <c r="G2017" s="27">
        <f ca="1">ROUND(E2017*F2017,2)</f>
        <v>0</v>
      </c>
    </row>
    <row r="2018" spans="1:7" ht="21.36" thickBot="1" customHeight="1">
      <c r="A2018" s="24" t="s">
        <v>6068</v>
      </c>
      <c r="B2018" s="24" t="s">
        <v>6069</v>
      </c>
      <c r="C2018" s="24" t="s">
        <v>6070</v>
      </c>
      <c r="D2018" s="25" t="s">
        <v>6071</v>
      </c>
      <c r="E2018" s="28">
        <v>0.10000</v>
      </c>
      <c r="F2018" s="29">
        <f ca="1">ROUND(1.320,3)</f>
        <v>0</v>
      </c>
      <c r="G2018" s="27">
        <f ca="1">ROUND(E2018*F2018,2)</f>
        <v>0</v>
      </c>
    </row>
    <row r="2019" spans="1:7" ht="21.36" thickBot="1" customHeight="1">
      <c r="A2019" s="24" t="s">
        <v>6072</v>
      </c>
      <c r="B2019" s="24" t="s">
        <v>6073</v>
      </c>
      <c r="C2019" s="24" t="s">
        <v>6074</v>
      </c>
      <c r="D2019" s="25" t="s">
        <v>6075</v>
      </c>
      <c r="E2019" s="28">
        <v>0.30000</v>
      </c>
      <c r="F2019" s="29">
        <f ca="1">ROUND(2.000,3)</f>
        <v>0</v>
      </c>
      <c r="G2019" s="27">
        <f ca="1">ROUND(E2019*F2019,2)</f>
        <v>0</v>
      </c>
    </row>
    <row r="2020" spans="1:7" ht="30.60" thickBot="1" customHeight="1">
      <c r="A2020" s="24" t="s">
        <v>6076</v>
      </c>
      <c r="B2020" s="24" t="s">
        <v>6077</v>
      </c>
      <c r="C2020" s="24" t="s">
        <v>6078</v>
      </c>
      <c r="D2020" s="25" t="s">
        <v>6079</v>
      </c>
      <c r="E2020" s="28">
        <v>0.25000</v>
      </c>
      <c r="F2020" s="29">
        <f ca="1">ROUND(4.920,3)</f>
        <v>0</v>
      </c>
      <c r="G2020" s="27">
        <f ca="1">ROUND(E2020*F2020,2)</f>
        <v>0</v>
      </c>
    </row>
    <row r="2021" spans="1:7" ht="21.36" thickBot="1" customHeight="1">
      <c r="A2021" s="24" t="s">
        <v>6080</v>
      </c>
      <c r="B2021" s="24" t="s">
        <v>6081</v>
      </c>
      <c r="C2021" s="24" t="s">
        <v>6082</v>
      </c>
      <c r="D2021" s="25" t="s">
        <v>6083</v>
      </c>
      <c r="E2021" s="28">
        <v>1.20000</v>
      </c>
      <c r="F2021" s="29">
        <f ca="1">F2025</f>
        <v>0</v>
      </c>
      <c r="G2021" s="27">
        <f ca="1">ROUND(E2021*F2021,2)</f>
        <v>0</v>
      </c>
    </row>
    <row r="2022" spans="1:7" ht="24.36" thickBot="1" customHeight="1">
      <c r="A2022" s="24" t="s">
        <v>6084</v>
      </c>
      <c r="B2022" s="24" t="s">
        <v>6085</v>
      </c>
      <c r="C2022" s="24" t="s">
        <v>6086</v>
      </c>
      <c r="D2022" s="25" t="s">
        <v>6087</v>
      </c>
      <c r="E2022" s="28">
        <v>1.00000</v>
      </c>
      <c r="F2022" s="29">
        <f ca="1">ROUND(21.000,3)</f>
        <v>0</v>
      </c>
      <c r="G2022" s="27">
        <f ca="1">ROUND(E2022*F2022,2)</f>
        <v>0</v>
      </c>
    </row>
    <row r="2023" spans="1:7" ht="24.36" thickBot="1" customHeight="1">
      <c r="A2023" s="24" t="s">
        <v>6088</v>
      </c>
      <c r="B2023" s="24" t="s">
        <v>6089</v>
      </c>
      <c r="C2023" s="24" t="s">
        <v>6090</v>
      </c>
      <c r="D2023" s="25" t="s">
        <v>6091</v>
      </c>
      <c r="E2023" s="28">
        <v>1.00000</v>
      </c>
      <c r="F2023" s="29">
        <f ca="1">ROUND(19.000,3)</f>
        <v>0</v>
      </c>
      <c r="G2023" s="27">
        <f ca="1">ROUND(E2023*F2023,2)</f>
        <v>0</v>
      </c>
    </row>
    <row r="2024" spans="1:7" ht="24.36" thickBot="1" customHeight="1">
      <c r="A2024" s="24" t="s">
        <v>6092</v>
      </c>
      <c r="B2024" s="24" t="s">
        <v>6093</v>
      </c>
      <c r="C2024" s="24" t="s">
        <v>6094</v>
      </c>
      <c r="D2024" s="25" t="s">
        <v>6095</v>
      </c>
      <c r="E2024" s="28">
        <v>0.20000</v>
      </c>
      <c r="F2024" s="29">
        <f ca="1">ROUND(19.000,3)</f>
        <v>0</v>
      </c>
      <c r="G2024" s="27">
        <f ca="1">ROUND(E2024*F2024,2)</f>
        <v>0</v>
      </c>
    </row>
    <row r="2025" spans="1:7" ht="15.12" thickBot="1" customHeight="1">
      <c r="A2025" s="26"/>
      <c r="B2025" s="26"/>
      <c r="C2025" s="26"/>
      <c r="D2025" s="24" t="s">
        <v>6096</v>
      </c>
      <c r="E2025" s="28">
        <v>1.20000</v>
      </c>
      <c r="F2025" s="29">
        <f ca="1">ROUND((G2022+G2023+G2024),3)</f>
        <v>0</v>
      </c>
      <c r="G2025" s="27">
        <f ca="1">ROUND(E2025*F2025,2)</f>
        <v>0</v>
      </c>
    </row>
    <row r="2026" spans="1:7" ht="15.12" thickBot="1" customHeight="1">
      <c r="A2026" s="24" t="s">
        <v>6097</v>
      </c>
      <c r="B2026" s="24"/>
      <c r="C2026" s="24" t="s">
        <v>6098</v>
      </c>
      <c r="D2026" s="25" t="s">
        <v>6099</v>
      </c>
      <c r="E2026" s="28">
        <v>3.00000</v>
      </c>
      <c r="F2026" s="29">
        <f ca="1">ROUND(52.560,3)</f>
        <v>0</v>
      </c>
      <c r="G2026" s="27">
        <f ca="1">ROUND((E2026*F2026)/100,2)</f>
        <v>0</v>
      </c>
    </row>
    <row r="2027" spans="1:7" ht="15.48" thickBot="1" customHeight="1">
      <c r="A2027" s="30"/>
      <c r="B2027" s="30"/>
      <c r="C2027" s="30"/>
      <c r="D2027" s="31" t="s">
        <v>6100</v>
      </c>
      <c r="E2027" s="30"/>
      <c r="F2027" s="33">
        <f ca="1">ROUND((G2016+G2017+G2018+G2019+G2020+G2021+G2026)*(1+G2/100),2)</f>
        <v>0</v>
      </c>
      <c r="G2027" s="30"/>
    </row>
    <row r="2028" spans="1:7" ht="21.36" thickBot="1" customHeight="1">
      <c r="A2028" s="34" t="s">
        <v>6101</v>
      </c>
      <c r="B2028" s="35" t="s">
        <v>6102</v>
      </c>
      <c r="C2028" s="35" t="s">
        <v>6103</v>
      </c>
      <c r="D2028" s="36" t="s">
        <v>6104</v>
      </c>
      <c r="E2028" s="37"/>
      <c r="F2028" s="38">
        <f ca="1">F2041</f>
        <v>0</v>
      </c>
      <c r="G2028" s="37"/>
    </row>
    <row r="2029" spans="1:7" ht="58.32" thickBot="1" customHeight="1">
      <c r="A2029" s="26"/>
      <c r="B2029" s="26"/>
      <c r="C2029" s="26"/>
      <c r="D2029" s="25" t="s">
        <v>6105</v>
      </c>
      <c r="E2029" s="25"/>
      <c r="F2029" s="25"/>
      <c r="G2029" s="25"/>
    </row>
    <row r="2030" spans="1:7" ht="21.36" thickBot="1" customHeight="1">
      <c r="A2030" s="24" t="s">
        <v>6106</v>
      </c>
      <c r="B2030" s="24" t="s">
        <v>6107</v>
      </c>
      <c r="C2030" s="24" t="s">
        <v>6108</v>
      </c>
      <c r="D2030" s="25" t="s">
        <v>6109</v>
      </c>
      <c r="E2030" s="28">
        <v>0.10000</v>
      </c>
      <c r="F2030" s="29">
        <f ca="1">ROUND(6.490,3)</f>
        <v>0</v>
      </c>
      <c r="G2030" s="27">
        <f ca="1">ROUND(E2030*F2030,2)</f>
        <v>0</v>
      </c>
    </row>
    <row r="2031" spans="1:7" ht="21.36" thickBot="1" customHeight="1">
      <c r="A2031" s="24" t="s">
        <v>6110</v>
      </c>
      <c r="B2031" s="24" t="s">
        <v>6111</v>
      </c>
      <c r="C2031" s="24" t="s">
        <v>6112</v>
      </c>
      <c r="D2031" s="25" t="s">
        <v>6113</v>
      </c>
      <c r="E2031" s="28">
        <v>0.50000</v>
      </c>
      <c r="F2031" s="29">
        <f ca="1">ROUND(3.470,3)</f>
        <v>0</v>
      </c>
      <c r="G2031" s="27">
        <f ca="1">ROUND(E2031*F2031,2)</f>
        <v>0</v>
      </c>
    </row>
    <row r="2032" spans="1:7" ht="21.36" thickBot="1" customHeight="1">
      <c r="A2032" s="24" t="s">
        <v>6114</v>
      </c>
      <c r="B2032" s="24" t="s">
        <v>6115</v>
      </c>
      <c r="C2032" s="24" t="s">
        <v>6116</v>
      </c>
      <c r="D2032" s="25" t="s">
        <v>6117</v>
      </c>
      <c r="E2032" s="28">
        <v>0.10000</v>
      </c>
      <c r="F2032" s="29">
        <f ca="1">ROUND(1.320,3)</f>
        <v>0</v>
      </c>
      <c r="G2032" s="27">
        <f ca="1">ROUND(E2032*F2032,2)</f>
        <v>0</v>
      </c>
    </row>
    <row r="2033" spans="1:7" ht="21.36" thickBot="1" customHeight="1">
      <c r="A2033" s="24" t="s">
        <v>6118</v>
      </c>
      <c r="B2033" s="24" t="s">
        <v>6119</v>
      </c>
      <c r="C2033" s="24" t="s">
        <v>6120</v>
      </c>
      <c r="D2033" s="25" t="s">
        <v>6121</v>
      </c>
      <c r="E2033" s="28">
        <v>0.30000</v>
      </c>
      <c r="F2033" s="29">
        <f ca="1">ROUND(2.000,3)</f>
        <v>0</v>
      </c>
      <c r="G2033" s="27">
        <f ca="1">ROUND(E2033*F2033,2)</f>
        <v>0</v>
      </c>
    </row>
    <row r="2034" spans="1:7" ht="30.60" thickBot="1" customHeight="1">
      <c r="A2034" s="24" t="s">
        <v>6122</v>
      </c>
      <c r="B2034" s="24" t="s">
        <v>6123</v>
      </c>
      <c r="C2034" s="24" t="s">
        <v>6124</v>
      </c>
      <c r="D2034" s="25" t="s">
        <v>6125</v>
      </c>
      <c r="E2034" s="28">
        <v>0.25000</v>
      </c>
      <c r="F2034" s="29">
        <f ca="1">ROUND(4.920,3)</f>
        <v>0</v>
      </c>
      <c r="G2034" s="27">
        <f ca="1">ROUND(E2034*F2034,2)</f>
        <v>0</v>
      </c>
    </row>
    <row r="2035" spans="1:7" ht="21.36" thickBot="1" customHeight="1">
      <c r="A2035" s="24" t="s">
        <v>6126</v>
      </c>
      <c r="B2035" s="24" t="s">
        <v>6127</v>
      </c>
      <c r="C2035" s="24" t="s">
        <v>6128</v>
      </c>
      <c r="D2035" s="25" t="s">
        <v>6129</v>
      </c>
      <c r="E2035" s="28">
        <v>3.00000</v>
      </c>
      <c r="F2035" s="29">
        <f ca="1">F2039</f>
        <v>0</v>
      </c>
      <c r="G2035" s="27">
        <f ca="1">ROUND(E2035*F2035,2)</f>
        <v>0</v>
      </c>
    </row>
    <row r="2036" spans="1:7" ht="24.36" thickBot="1" customHeight="1">
      <c r="A2036" s="24" t="s">
        <v>6130</v>
      </c>
      <c r="B2036" s="24" t="s">
        <v>6131</v>
      </c>
      <c r="C2036" s="24" t="s">
        <v>6132</v>
      </c>
      <c r="D2036" s="25" t="s">
        <v>6133</v>
      </c>
      <c r="E2036" s="28">
        <v>1.00000</v>
      </c>
      <c r="F2036" s="29">
        <f ca="1">ROUND(21.000,3)</f>
        <v>0</v>
      </c>
      <c r="G2036" s="27">
        <f ca="1">ROUND(E2036*F2036,2)</f>
        <v>0</v>
      </c>
    </row>
    <row r="2037" spans="1:7" ht="24.36" thickBot="1" customHeight="1">
      <c r="A2037" s="24" t="s">
        <v>6134</v>
      </c>
      <c r="B2037" s="24" t="s">
        <v>6135</v>
      </c>
      <c r="C2037" s="24" t="s">
        <v>6136</v>
      </c>
      <c r="D2037" s="25" t="s">
        <v>6137</v>
      </c>
      <c r="E2037" s="28">
        <v>1.00000</v>
      </c>
      <c r="F2037" s="29">
        <f ca="1">ROUND(19.000,3)</f>
        <v>0</v>
      </c>
      <c r="G2037" s="27">
        <f ca="1">ROUND(E2037*F2037,2)</f>
        <v>0</v>
      </c>
    </row>
    <row r="2038" spans="1:7" ht="24.36" thickBot="1" customHeight="1">
      <c r="A2038" s="24" t="s">
        <v>6138</v>
      </c>
      <c r="B2038" s="24" t="s">
        <v>6139</v>
      </c>
      <c r="C2038" s="24" t="s">
        <v>6140</v>
      </c>
      <c r="D2038" s="25" t="s">
        <v>6141</v>
      </c>
      <c r="E2038" s="28">
        <v>0.20000</v>
      </c>
      <c r="F2038" s="29">
        <f ca="1">ROUND(19.000,3)</f>
        <v>0</v>
      </c>
      <c r="G2038" s="27">
        <f ca="1">ROUND(E2038*F2038,2)</f>
        <v>0</v>
      </c>
    </row>
    <row r="2039" spans="1:7" ht="15.12" thickBot="1" customHeight="1">
      <c r="A2039" s="26"/>
      <c r="B2039" s="26"/>
      <c r="C2039" s="26"/>
      <c r="D2039" s="24" t="s">
        <v>6142</v>
      </c>
      <c r="E2039" s="28">
        <v>3.00000</v>
      </c>
      <c r="F2039" s="29">
        <f ca="1">ROUND((G2036+G2037+G2038),3)</f>
        <v>0</v>
      </c>
      <c r="G2039" s="27">
        <f ca="1">ROUND(E2039*F2039,2)</f>
        <v>0</v>
      </c>
    </row>
    <row r="2040" spans="1:7" ht="15.12" thickBot="1" customHeight="1">
      <c r="A2040" s="24" t="s">
        <v>6143</v>
      </c>
      <c r="B2040" s="24"/>
      <c r="C2040" s="24" t="s">
        <v>6144</v>
      </c>
      <c r="D2040" s="25" t="s">
        <v>6145</v>
      </c>
      <c r="E2040" s="28">
        <v>3.00000</v>
      </c>
      <c r="F2040" s="29">
        <f ca="1">ROUND(131.400,3)</f>
        <v>0</v>
      </c>
      <c r="G2040" s="27">
        <f ca="1">ROUND((E2040*F2040)/100,2)</f>
        <v>0</v>
      </c>
    </row>
    <row r="2041" spans="1:7" ht="15.48" thickBot="1" customHeight="1">
      <c r="A2041" s="30"/>
      <c r="B2041" s="30"/>
      <c r="C2041" s="30"/>
      <c r="D2041" s="31" t="s">
        <v>6146</v>
      </c>
      <c r="E2041" s="30"/>
      <c r="F2041" s="33">
        <f ca="1">ROUND((G2030+G2031+G2032+G2033+G2034+G2035+G2040)*(1+G2/100),2)</f>
        <v>0</v>
      </c>
      <c r="G2041" s="30"/>
    </row>
    <row r="2042" spans="1:7" ht="30.60" thickBot="1" customHeight="1">
      <c r="A2042" s="34" t="s">
        <v>6147</v>
      </c>
      <c r="B2042" s="35" t="s">
        <v>6148</v>
      </c>
      <c r="C2042" s="35" t="s">
        <v>6149</v>
      </c>
      <c r="D2042" s="36" t="s">
        <v>6150</v>
      </c>
      <c r="E2042" s="37"/>
      <c r="F2042" s="38">
        <f ca="1">F2050</f>
        <v>0</v>
      </c>
      <c r="G2042" s="37"/>
    </row>
    <row r="2043" spans="1:7" ht="30.60" thickBot="1" customHeight="1">
      <c r="A2043" s="26"/>
      <c r="B2043" s="26"/>
      <c r="C2043" s="26"/>
      <c r="D2043" s="25" t="s">
        <v>6151</v>
      </c>
      <c r="E2043" s="25"/>
      <c r="F2043" s="25"/>
      <c r="G2043" s="25"/>
    </row>
    <row r="2044" spans="1:7" ht="21.36" thickBot="1" customHeight="1">
      <c r="A2044" s="24" t="s">
        <v>6152</v>
      </c>
      <c r="B2044" s="24" t="s">
        <v>6153</v>
      </c>
      <c r="C2044" s="24" t="s">
        <v>6154</v>
      </c>
      <c r="D2044" s="25" t="s">
        <v>6155</v>
      </c>
      <c r="E2044" s="28">
        <v>1.00000</v>
      </c>
      <c r="F2044" s="29">
        <f ca="1">F2048</f>
        <v>0</v>
      </c>
      <c r="G2044" s="27">
        <f ca="1">ROUND(E2044*F2044,2)</f>
        <v>0</v>
      </c>
    </row>
    <row r="2045" spans="1:7" ht="24.36" thickBot="1" customHeight="1">
      <c r="A2045" s="24" t="s">
        <v>6156</v>
      </c>
      <c r="B2045" s="24" t="s">
        <v>6157</v>
      </c>
      <c r="C2045" s="24" t="s">
        <v>6158</v>
      </c>
      <c r="D2045" s="25" t="s">
        <v>6159</v>
      </c>
      <c r="E2045" s="28">
        <v>1.00000</v>
      </c>
      <c r="F2045" s="29">
        <f ca="1">ROUND(21.000,3)</f>
        <v>0</v>
      </c>
      <c r="G2045" s="27">
        <f ca="1">ROUND(E2045*F2045,2)</f>
        <v>0</v>
      </c>
    </row>
    <row r="2046" spans="1:7" ht="24.36" thickBot="1" customHeight="1">
      <c r="A2046" s="24" t="s">
        <v>6160</v>
      </c>
      <c r="B2046" s="24" t="s">
        <v>6161</v>
      </c>
      <c r="C2046" s="24" t="s">
        <v>6162</v>
      </c>
      <c r="D2046" s="25" t="s">
        <v>6163</v>
      </c>
      <c r="E2046" s="28">
        <v>1.00000</v>
      </c>
      <c r="F2046" s="29">
        <f ca="1">ROUND(19.000,3)</f>
        <v>0</v>
      </c>
      <c r="G2046" s="27">
        <f ca="1">ROUND(E2046*F2046,2)</f>
        <v>0</v>
      </c>
    </row>
    <row r="2047" spans="1:7" ht="24.36" thickBot="1" customHeight="1">
      <c r="A2047" s="24" t="s">
        <v>6164</v>
      </c>
      <c r="B2047" s="24" t="s">
        <v>6165</v>
      </c>
      <c r="C2047" s="24" t="s">
        <v>6166</v>
      </c>
      <c r="D2047" s="25" t="s">
        <v>6167</v>
      </c>
      <c r="E2047" s="28">
        <v>0.20000</v>
      </c>
      <c r="F2047" s="29">
        <f ca="1">ROUND(19.000,3)</f>
        <v>0</v>
      </c>
      <c r="G2047" s="27">
        <f ca="1">ROUND(E2047*F2047,2)</f>
        <v>0</v>
      </c>
    </row>
    <row r="2048" spans="1:7" ht="15.12" thickBot="1" customHeight="1">
      <c r="A2048" s="26"/>
      <c r="B2048" s="26"/>
      <c r="C2048" s="26"/>
      <c r="D2048" s="24" t="s">
        <v>6168</v>
      </c>
      <c r="E2048" s="28">
        <v>1.00000</v>
      </c>
      <c r="F2048" s="29">
        <f ca="1">ROUND((G2045+G2046+G2047),3)</f>
        <v>0</v>
      </c>
      <c r="G2048" s="27">
        <f ca="1">ROUND(E2048*F2048,2)</f>
        <v>0</v>
      </c>
    </row>
    <row r="2049" spans="1:7" ht="15.12" thickBot="1" customHeight="1">
      <c r="A2049" s="24" t="s">
        <v>6169</v>
      </c>
      <c r="B2049" s="24"/>
      <c r="C2049" s="24" t="s">
        <v>6170</v>
      </c>
      <c r="D2049" s="25" t="s">
        <v>6171</v>
      </c>
      <c r="E2049" s="28">
        <v>3.00000</v>
      </c>
      <c r="F2049" s="29">
        <f ca="1">ROUND(43.800,3)</f>
        <v>0</v>
      </c>
      <c r="G2049" s="27">
        <f ca="1">ROUND((E2049*F2049)/100,2)</f>
        <v>0</v>
      </c>
    </row>
    <row r="2050" spans="1:7" ht="15.48" thickBot="1" customHeight="1">
      <c r="A2050" s="30"/>
      <c r="B2050" s="30"/>
      <c r="C2050" s="30"/>
      <c r="D2050" s="31" t="s">
        <v>6172</v>
      </c>
      <c r="E2050" s="30"/>
      <c r="F2050" s="33">
        <f ca="1">ROUND((G2044+G2049)*(1+G2/100),2)</f>
        <v>0</v>
      </c>
      <c r="G2050" s="30"/>
    </row>
    <row r="2051" spans="1:7" ht="21.36" thickBot="1" customHeight="1">
      <c r="A2051" s="34" t="s">
        <v>6173</v>
      </c>
      <c r="B2051" s="35" t="s">
        <v>6174</v>
      </c>
      <c r="C2051" s="35" t="s">
        <v>6175</v>
      </c>
      <c r="D2051" s="36" t="s">
        <v>6176</v>
      </c>
      <c r="E2051" s="37"/>
      <c r="F2051" s="38">
        <f ca="1">F2061</f>
        <v>0</v>
      </c>
      <c r="G2051" s="37"/>
    </row>
    <row r="2052" spans="1:7" ht="30.60" thickBot="1" customHeight="1">
      <c r="A2052" s="26"/>
      <c r="B2052" s="26"/>
      <c r="C2052" s="26"/>
      <c r="D2052" s="25" t="s">
        <v>6177</v>
      </c>
      <c r="E2052" s="25"/>
      <c r="F2052" s="25"/>
      <c r="G2052" s="25"/>
    </row>
    <row r="2053" spans="1:7" ht="30.60" thickBot="1" customHeight="1">
      <c r="A2053" s="24" t="s">
        <v>6178</v>
      </c>
      <c r="B2053" s="24" t="s">
        <v>6179</v>
      </c>
      <c r="C2053" s="24" t="s">
        <v>6180</v>
      </c>
      <c r="D2053" s="25" t="s">
        <v>6181</v>
      </c>
      <c r="E2053" s="28">
        <v>0.04000</v>
      </c>
      <c r="F2053" s="29">
        <f ca="1">ROUND(0.850,3)</f>
        <v>0</v>
      </c>
      <c r="G2053" s="27">
        <f ca="1">ROUND(E2053*F2053,2)</f>
        <v>0</v>
      </c>
    </row>
    <row r="2054" spans="1:7" ht="24.36" thickBot="1" customHeight="1">
      <c r="A2054" s="24" t="s">
        <v>6182</v>
      </c>
      <c r="B2054" s="24" t="s">
        <v>6183</v>
      </c>
      <c r="C2054" s="24" t="s">
        <v>6184</v>
      </c>
      <c r="D2054" s="25" t="s">
        <v>6185</v>
      </c>
      <c r="E2054" s="28">
        <v>0.01000</v>
      </c>
      <c r="F2054" s="29">
        <f ca="1">ROUND(9.480,3)</f>
        <v>0</v>
      </c>
      <c r="G2054" s="27">
        <f ca="1">ROUND(E2054*F2054,2)</f>
        <v>0</v>
      </c>
    </row>
    <row r="2055" spans="1:7" ht="21.36" thickBot="1" customHeight="1">
      <c r="A2055" s="24" t="s">
        <v>6186</v>
      </c>
      <c r="B2055" s="24" t="s">
        <v>6187</v>
      </c>
      <c r="C2055" s="24" t="s">
        <v>6188</v>
      </c>
      <c r="D2055" s="25" t="s">
        <v>6189</v>
      </c>
      <c r="E2055" s="28">
        <v>0.12900</v>
      </c>
      <c r="F2055" s="29">
        <f ca="1">F2059</f>
        <v>0</v>
      </c>
      <c r="G2055" s="27">
        <f ca="1">ROUND(E2055*F2055,2)</f>
        <v>0</v>
      </c>
    </row>
    <row r="2056" spans="1:7" ht="24.36" thickBot="1" customHeight="1">
      <c r="A2056" s="24" t="s">
        <v>6190</v>
      </c>
      <c r="B2056" s="24" t="s">
        <v>6191</v>
      </c>
      <c r="C2056" s="24" t="s">
        <v>6192</v>
      </c>
      <c r="D2056" s="25" t="s">
        <v>6193</v>
      </c>
      <c r="E2056" s="28">
        <v>1.00000</v>
      </c>
      <c r="F2056" s="29">
        <f ca="1">ROUND(21.000,3)</f>
        <v>0</v>
      </c>
      <c r="G2056" s="27">
        <f ca="1">ROUND(E2056*F2056,2)</f>
        <v>0</v>
      </c>
    </row>
    <row r="2057" spans="1:7" ht="24.36" thickBot="1" customHeight="1">
      <c r="A2057" s="24" t="s">
        <v>6194</v>
      </c>
      <c r="B2057" s="24" t="s">
        <v>6195</v>
      </c>
      <c r="C2057" s="24" t="s">
        <v>6196</v>
      </c>
      <c r="D2057" s="25" t="s">
        <v>6197</v>
      </c>
      <c r="E2057" s="28">
        <v>1.00000</v>
      </c>
      <c r="F2057" s="29">
        <f ca="1">ROUND(19.000,3)</f>
        <v>0</v>
      </c>
      <c r="G2057" s="27">
        <f ca="1">ROUND(E2057*F2057,2)</f>
        <v>0</v>
      </c>
    </row>
    <row r="2058" spans="1:7" ht="24.36" thickBot="1" customHeight="1">
      <c r="A2058" s="24" t="s">
        <v>6198</v>
      </c>
      <c r="B2058" s="24" t="s">
        <v>6199</v>
      </c>
      <c r="C2058" s="24" t="s">
        <v>6200</v>
      </c>
      <c r="D2058" s="25" t="s">
        <v>6201</v>
      </c>
      <c r="E2058" s="28">
        <v>0.20000</v>
      </c>
      <c r="F2058" s="29">
        <f ca="1">ROUND(19.000,3)</f>
        <v>0</v>
      </c>
      <c r="G2058" s="27">
        <f ca="1">ROUND(E2058*F2058,2)</f>
        <v>0</v>
      </c>
    </row>
    <row r="2059" spans="1:7" ht="15.12" thickBot="1" customHeight="1">
      <c r="A2059" s="26"/>
      <c r="B2059" s="26"/>
      <c r="C2059" s="26"/>
      <c r="D2059" s="24" t="s">
        <v>6202</v>
      </c>
      <c r="E2059" s="28">
        <v>0.12900</v>
      </c>
      <c r="F2059" s="29">
        <f ca="1">ROUND((G2056+G2057+G2058),3)</f>
        <v>0</v>
      </c>
      <c r="G2059" s="27">
        <f ca="1">ROUND(E2059*F2059,2)</f>
        <v>0</v>
      </c>
    </row>
    <row r="2060" spans="1:7" ht="15.12" thickBot="1" customHeight="1">
      <c r="A2060" s="24" t="s">
        <v>6203</v>
      </c>
      <c r="B2060" s="24"/>
      <c r="C2060" s="24" t="s">
        <v>6204</v>
      </c>
      <c r="D2060" s="25" t="s">
        <v>6205</v>
      </c>
      <c r="E2060" s="28">
        <v>3.00000</v>
      </c>
      <c r="F2060" s="29">
        <f ca="1">ROUND(5.650,3)</f>
        <v>0</v>
      </c>
      <c r="G2060" s="27">
        <f ca="1">ROUND((E2060*F2060)/100,2)</f>
        <v>0</v>
      </c>
    </row>
    <row r="2061" spans="1:7" ht="15.48" thickBot="1" customHeight="1">
      <c r="A2061" s="30"/>
      <c r="B2061" s="30"/>
      <c r="C2061" s="30"/>
      <c r="D2061" s="31" t="s">
        <v>6206</v>
      </c>
      <c r="E2061" s="30"/>
      <c r="F2061" s="33">
        <f ca="1">ROUND((G2053+G2054+G2055+G2060)*(1+G2/100),2)</f>
        <v>0</v>
      </c>
      <c r="G2061" s="30"/>
    </row>
    <row r="2062" spans="1:7" ht="21.36" thickBot="1" customHeight="1">
      <c r="A2062" s="34" t="s">
        <v>6207</v>
      </c>
      <c r="B2062" s="35" t="s">
        <v>6208</v>
      </c>
      <c r="C2062" s="35" t="s">
        <v>6209</v>
      </c>
      <c r="D2062" s="36" t="s">
        <v>6210</v>
      </c>
      <c r="E2062" s="37"/>
      <c r="F2062" s="38">
        <f ca="1">F2070</f>
        <v>0</v>
      </c>
      <c r="G2062" s="37"/>
    </row>
    <row r="2063" spans="1:7" ht="39.84" thickBot="1" customHeight="1">
      <c r="A2063" s="26"/>
      <c r="B2063" s="26"/>
      <c r="C2063" s="26"/>
      <c r="D2063" s="25" t="s">
        <v>6211</v>
      </c>
      <c r="E2063" s="25"/>
      <c r="F2063" s="25"/>
      <c r="G2063" s="25"/>
    </row>
    <row r="2064" spans="1:7" ht="21.36" thickBot="1" customHeight="1">
      <c r="A2064" s="24" t="s">
        <v>6212</v>
      </c>
      <c r="B2064" s="24" t="s">
        <v>6213</v>
      </c>
      <c r="C2064" s="24" t="s">
        <v>6214</v>
      </c>
      <c r="D2064" s="25" t="s">
        <v>6215</v>
      </c>
      <c r="E2064" s="28">
        <v>0.70000</v>
      </c>
      <c r="F2064" s="29">
        <f ca="1">F2068</f>
        <v>0</v>
      </c>
      <c r="G2064" s="27">
        <f ca="1">ROUND(E2064*F2064,2)</f>
        <v>0</v>
      </c>
    </row>
    <row r="2065" spans="1:7" ht="24.36" thickBot="1" customHeight="1">
      <c r="A2065" s="24" t="s">
        <v>6216</v>
      </c>
      <c r="B2065" s="24" t="s">
        <v>6217</v>
      </c>
      <c r="C2065" s="24" t="s">
        <v>6218</v>
      </c>
      <c r="D2065" s="25" t="s">
        <v>6219</v>
      </c>
      <c r="E2065" s="28">
        <v>1.00000</v>
      </c>
      <c r="F2065" s="29">
        <f ca="1">ROUND(21.000,3)</f>
        <v>0</v>
      </c>
      <c r="G2065" s="27">
        <f ca="1">ROUND(E2065*F2065,2)</f>
        <v>0</v>
      </c>
    </row>
    <row r="2066" spans="1:7" ht="24.36" thickBot="1" customHeight="1">
      <c r="A2066" s="24" t="s">
        <v>6220</v>
      </c>
      <c r="B2066" s="24" t="s">
        <v>6221</v>
      </c>
      <c r="C2066" s="24" t="s">
        <v>6222</v>
      </c>
      <c r="D2066" s="25" t="s">
        <v>6223</v>
      </c>
      <c r="E2066" s="28">
        <v>1.00000</v>
      </c>
      <c r="F2066" s="29">
        <f ca="1">ROUND(19.000,3)</f>
        <v>0</v>
      </c>
      <c r="G2066" s="27">
        <f ca="1">ROUND(E2066*F2066,2)</f>
        <v>0</v>
      </c>
    </row>
    <row r="2067" spans="1:7" ht="24.36" thickBot="1" customHeight="1">
      <c r="A2067" s="24" t="s">
        <v>6224</v>
      </c>
      <c r="B2067" s="24" t="s">
        <v>6225</v>
      </c>
      <c r="C2067" s="24" t="s">
        <v>6226</v>
      </c>
      <c r="D2067" s="25" t="s">
        <v>6227</v>
      </c>
      <c r="E2067" s="28">
        <v>0.20000</v>
      </c>
      <c r="F2067" s="29">
        <f ca="1">ROUND(19.000,3)</f>
        <v>0</v>
      </c>
      <c r="G2067" s="27">
        <f ca="1">ROUND(E2067*F2067,2)</f>
        <v>0</v>
      </c>
    </row>
    <row r="2068" spans="1:7" ht="15.12" thickBot="1" customHeight="1">
      <c r="A2068" s="26"/>
      <c r="B2068" s="26"/>
      <c r="C2068" s="26"/>
      <c r="D2068" s="24" t="s">
        <v>6228</v>
      </c>
      <c r="E2068" s="28">
        <v>0.70000</v>
      </c>
      <c r="F2068" s="29">
        <f ca="1">ROUND((G2065+G2066+G2067),3)</f>
        <v>0</v>
      </c>
      <c r="G2068" s="27">
        <f ca="1">ROUND(E2068*F2068,2)</f>
        <v>0</v>
      </c>
    </row>
    <row r="2069" spans="1:7" ht="15.12" thickBot="1" customHeight="1">
      <c r="A2069" s="24" t="s">
        <v>6229</v>
      </c>
      <c r="B2069" s="24"/>
      <c r="C2069" s="24" t="s">
        <v>6230</v>
      </c>
      <c r="D2069" s="25" t="s">
        <v>6231</v>
      </c>
      <c r="E2069" s="28">
        <v>3.00000</v>
      </c>
      <c r="F2069" s="29">
        <f ca="1">ROUND(30.660,3)</f>
        <v>0</v>
      </c>
      <c r="G2069" s="27">
        <f ca="1">ROUND((E2069*F2069)/100,2)</f>
        <v>0</v>
      </c>
    </row>
    <row r="2070" spans="1:7" ht="15.48" thickBot="1" customHeight="1">
      <c r="A2070" s="30"/>
      <c r="B2070" s="30"/>
      <c r="C2070" s="30"/>
      <c r="D2070" s="31" t="s">
        <v>6232</v>
      </c>
      <c r="E2070" s="30"/>
      <c r="F2070" s="33">
        <f ca="1">ROUND((G2064+G2069)*(1+G2/100),2)</f>
        <v>0</v>
      </c>
      <c r="G2070" s="30"/>
    </row>
    <row r="2071" spans="1:7" ht="21.36" thickBot="1" customHeight="1">
      <c r="A2071" s="34" t="s">
        <v>6233</v>
      </c>
      <c r="B2071" s="35" t="s">
        <v>6234</v>
      </c>
      <c r="C2071" s="35" t="s">
        <v>6235</v>
      </c>
      <c r="D2071" s="36" t="s">
        <v>6236</v>
      </c>
      <c r="E2071" s="37"/>
      <c r="F2071" s="38">
        <f ca="1">F2080</f>
        <v>0</v>
      </c>
      <c r="G2071" s="37"/>
    </row>
    <row r="2072" spans="1:7" ht="30.60" thickBot="1" customHeight="1">
      <c r="A2072" s="26"/>
      <c r="B2072" s="26"/>
      <c r="C2072" s="26"/>
      <c r="D2072" s="25" t="s">
        <v>6237</v>
      </c>
      <c r="E2072" s="25"/>
      <c r="F2072" s="25"/>
      <c r="G2072" s="25"/>
    </row>
    <row r="2073" spans="1:7" ht="21.36" thickBot="1" customHeight="1">
      <c r="A2073" s="24" t="s">
        <v>6238</v>
      </c>
      <c r="B2073" s="24" t="s">
        <v>6239</v>
      </c>
      <c r="C2073" s="24" t="s">
        <v>6240</v>
      </c>
      <c r="D2073" s="25" t="s">
        <v>6241</v>
      </c>
      <c r="E2073" s="28">
        <v>0.10000</v>
      </c>
      <c r="F2073" s="29">
        <f ca="1">ROUND(1.320,3)</f>
        <v>0</v>
      </c>
      <c r="G2073" s="27">
        <f ca="1">ROUND(E2073*F2073,2)</f>
        <v>0</v>
      </c>
    </row>
    <row r="2074" spans="1:7" ht="21.36" thickBot="1" customHeight="1">
      <c r="A2074" s="24" t="s">
        <v>6242</v>
      </c>
      <c r="B2074" s="24" t="s">
        <v>6243</v>
      </c>
      <c r="C2074" s="24" t="s">
        <v>6244</v>
      </c>
      <c r="D2074" s="25" t="s">
        <v>6245</v>
      </c>
      <c r="E2074" s="28">
        <v>0.35000</v>
      </c>
      <c r="F2074" s="29">
        <f ca="1">F2078</f>
        <v>0</v>
      </c>
      <c r="G2074" s="27">
        <f ca="1">ROUND(E2074*F2074,2)</f>
        <v>0</v>
      </c>
    </row>
    <row r="2075" spans="1:7" ht="24.36" thickBot="1" customHeight="1">
      <c r="A2075" s="24" t="s">
        <v>6246</v>
      </c>
      <c r="B2075" s="24" t="s">
        <v>6247</v>
      </c>
      <c r="C2075" s="24" t="s">
        <v>6248</v>
      </c>
      <c r="D2075" s="25" t="s">
        <v>6249</v>
      </c>
      <c r="E2075" s="28">
        <v>1.00000</v>
      </c>
      <c r="F2075" s="29">
        <f ca="1">ROUND(21.000,3)</f>
        <v>0</v>
      </c>
      <c r="G2075" s="27">
        <f ca="1">ROUND(E2075*F2075,2)</f>
        <v>0</v>
      </c>
    </row>
    <row r="2076" spans="1:7" ht="24.36" thickBot="1" customHeight="1">
      <c r="A2076" s="24" t="s">
        <v>6250</v>
      </c>
      <c r="B2076" s="24" t="s">
        <v>6251</v>
      </c>
      <c r="C2076" s="24" t="s">
        <v>6252</v>
      </c>
      <c r="D2076" s="25" t="s">
        <v>6253</v>
      </c>
      <c r="E2076" s="28">
        <v>1.00000</v>
      </c>
      <c r="F2076" s="29">
        <f ca="1">ROUND(19.000,3)</f>
        <v>0</v>
      </c>
      <c r="G2076" s="27">
        <f ca="1">ROUND(E2076*F2076,2)</f>
        <v>0</v>
      </c>
    </row>
    <row r="2077" spans="1:7" ht="24.36" thickBot="1" customHeight="1">
      <c r="A2077" s="24" t="s">
        <v>6254</v>
      </c>
      <c r="B2077" s="24" t="s">
        <v>6255</v>
      </c>
      <c r="C2077" s="24" t="s">
        <v>6256</v>
      </c>
      <c r="D2077" s="25" t="s">
        <v>6257</v>
      </c>
      <c r="E2077" s="28">
        <v>0.20000</v>
      </c>
      <c r="F2077" s="29">
        <f ca="1">ROUND(19.000,3)</f>
        <v>0</v>
      </c>
      <c r="G2077" s="27">
        <f ca="1">ROUND(E2077*F2077,2)</f>
        <v>0</v>
      </c>
    </row>
    <row r="2078" spans="1:7" ht="15.12" thickBot="1" customHeight="1">
      <c r="A2078" s="26"/>
      <c r="B2078" s="26"/>
      <c r="C2078" s="26"/>
      <c r="D2078" s="24" t="s">
        <v>6258</v>
      </c>
      <c r="E2078" s="28">
        <v>0.35000</v>
      </c>
      <c r="F2078" s="29">
        <f ca="1">ROUND((G2075+G2076+G2077),3)</f>
        <v>0</v>
      </c>
      <c r="G2078" s="27">
        <f ca="1">ROUND(E2078*F2078,2)</f>
        <v>0</v>
      </c>
    </row>
    <row r="2079" spans="1:7" ht="15.12" thickBot="1" customHeight="1">
      <c r="A2079" s="24" t="s">
        <v>6259</v>
      </c>
      <c r="B2079" s="24"/>
      <c r="C2079" s="24" t="s">
        <v>6260</v>
      </c>
      <c r="D2079" s="25" t="s">
        <v>6261</v>
      </c>
      <c r="E2079" s="28">
        <v>3.00000</v>
      </c>
      <c r="F2079" s="29">
        <f ca="1">ROUND(15.330,3)</f>
        <v>0</v>
      </c>
      <c r="G2079" s="27">
        <f ca="1">ROUND((E2079*F2079)/100,2)</f>
        <v>0</v>
      </c>
    </row>
    <row r="2080" spans="1:7" ht="15.48" thickBot="1" customHeight="1">
      <c r="A2080" s="30"/>
      <c r="B2080" s="30"/>
      <c r="C2080" s="30"/>
      <c r="D2080" s="31" t="s">
        <v>6262</v>
      </c>
      <c r="E2080" s="30"/>
      <c r="F2080" s="33">
        <f ca="1">ROUND((G2073+G2074+G2079)*(1+G2/100),2)</f>
        <v>0</v>
      </c>
      <c r="G2080" s="30"/>
    </row>
    <row r="2081" spans="1:7" ht="30.60" thickBot="1" customHeight="1">
      <c r="A2081" s="34" t="s">
        <v>6263</v>
      </c>
      <c r="B2081" s="35" t="s">
        <v>6264</v>
      </c>
      <c r="C2081" s="35" t="s">
        <v>6265</v>
      </c>
      <c r="D2081" s="36" t="s">
        <v>6266</v>
      </c>
      <c r="E2081" s="37"/>
      <c r="F2081" s="38">
        <f ca="1">F2090</f>
        <v>0</v>
      </c>
      <c r="G2081" s="37"/>
    </row>
    <row r="2082" spans="1:7" ht="21.36" thickBot="1" customHeight="1">
      <c r="A2082" s="26"/>
      <c r="B2082" s="26"/>
      <c r="C2082" s="26"/>
      <c r="D2082" s="25" t="s">
        <v>6267</v>
      </c>
      <c r="E2082" s="25"/>
      <c r="F2082" s="25"/>
      <c r="G2082" s="25"/>
    </row>
    <row r="2083" spans="1:7" ht="24.36" thickBot="1" customHeight="1">
      <c r="A2083" s="24" t="s">
        <v>6268</v>
      </c>
      <c r="B2083" s="24" t="s">
        <v>6269</v>
      </c>
      <c r="C2083" s="24" t="s">
        <v>6270</v>
      </c>
      <c r="D2083" s="25" t="s">
        <v>6271</v>
      </c>
      <c r="E2083" s="28">
        <v>0.01000</v>
      </c>
      <c r="F2083" s="29">
        <f ca="1">ROUND(5.800,3)</f>
        <v>0</v>
      </c>
      <c r="G2083" s="27">
        <f ca="1">ROUND(E2083*F2083,2)</f>
        <v>0</v>
      </c>
    </row>
    <row r="2084" spans="1:7" ht="21.36" thickBot="1" customHeight="1">
      <c r="A2084" s="24" t="s">
        <v>6272</v>
      </c>
      <c r="B2084" s="24" t="s">
        <v>6273</v>
      </c>
      <c r="C2084" s="24" t="s">
        <v>6274</v>
      </c>
      <c r="D2084" s="25" t="s">
        <v>6275</v>
      </c>
      <c r="E2084" s="28">
        <v>0.20000</v>
      </c>
      <c r="F2084" s="29">
        <f ca="1">F2088</f>
        <v>0</v>
      </c>
      <c r="G2084" s="27">
        <f ca="1">ROUND(E2084*F2084,2)</f>
        <v>0</v>
      </c>
    </row>
    <row r="2085" spans="1:7" ht="24.36" thickBot="1" customHeight="1">
      <c r="A2085" s="24" t="s">
        <v>6276</v>
      </c>
      <c r="B2085" s="24" t="s">
        <v>6277</v>
      </c>
      <c r="C2085" s="24" t="s">
        <v>6278</v>
      </c>
      <c r="D2085" s="25" t="s">
        <v>6279</v>
      </c>
      <c r="E2085" s="28">
        <v>1.00000</v>
      </c>
      <c r="F2085" s="29">
        <f ca="1">ROUND(21.000,3)</f>
        <v>0</v>
      </c>
      <c r="G2085" s="27">
        <f ca="1">ROUND(E2085*F2085,2)</f>
        <v>0</v>
      </c>
    </row>
    <row r="2086" spans="1:7" ht="24.36" thickBot="1" customHeight="1">
      <c r="A2086" s="24" t="s">
        <v>6280</v>
      </c>
      <c r="B2086" s="24" t="s">
        <v>6281</v>
      </c>
      <c r="C2086" s="24" t="s">
        <v>6282</v>
      </c>
      <c r="D2086" s="25" t="s">
        <v>6283</v>
      </c>
      <c r="E2086" s="28">
        <v>1.00000</v>
      </c>
      <c r="F2086" s="29">
        <f ca="1">ROUND(19.000,3)</f>
        <v>0</v>
      </c>
      <c r="G2086" s="27">
        <f ca="1">ROUND(E2086*F2086,2)</f>
        <v>0</v>
      </c>
    </row>
    <row r="2087" spans="1:7" ht="24.36" thickBot="1" customHeight="1">
      <c r="A2087" s="24" t="s">
        <v>6284</v>
      </c>
      <c r="B2087" s="24" t="s">
        <v>6285</v>
      </c>
      <c r="C2087" s="24" t="s">
        <v>6286</v>
      </c>
      <c r="D2087" s="25" t="s">
        <v>6287</v>
      </c>
      <c r="E2087" s="28">
        <v>0.20000</v>
      </c>
      <c r="F2087" s="29">
        <f ca="1">ROUND(19.000,3)</f>
        <v>0</v>
      </c>
      <c r="G2087" s="27">
        <f ca="1">ROUND(E2087*F2087,2)</f>
        <v>0</v>
      </c>
    </row>
    <row r="2088" spans="1:7" ht="15.12" thickBot="1" customHeight="1">
      <c r="A2088" s="26"/>
      <c r="B2088" s="26"/>
      <c r="C2088" s="26"/>
      <c r="D2088" s="24" t="s">
        <v>6288</v>
      </c>
      <c r="E2088" s="28">
        <v>0.20000</v>
      </c>
      <c r="F2088" s="29">
        <f ca="1">ROUND((G2085+G2086+G2087),3)</f>
        <v>0</v>
      </c>
      <c r="G2088" s="27">
        <f ca="1">ROUND(E2088*F2088,2)</f>
        <v>0</v>
      </c>
    </row>
    <row r="2089" spans="1:7" ht="15.12" thickBot="1" customHeight="1">
      <c r="A2089" s="24" t="s">
        <v>6289</v>
      </c>
      <c r="B2089" s="24"/>
      <c r="C2089" s="24" t="s">
        <v>6290</v>
      </c>
      <c r="D2089" s="25" t="s">
        <v>6291</v>
      </c>
      <c r="E2089" s="28">
        <v>3.00000</v>
      </c>
      <c r="F2089" s="29">
        <f ca="1">ROUND(8.760,3)</f>
        <v>0</v>
      </c>
      <c r="G2089" s="27">
        <f ca="1">ROUND((E2089*F2089)/100,2)</f>
        <v>0</v>
      </c>
    </row>
    <row r="2090" spans="1:7" ht="15.48" thickBot="1" customHeight="1">
      <c r="A2090" s="30"/>
      <c r="B2090" s="30"/>
      <c r="C2090" s="30"/>
      <c r="D2090" s="31" t="s">
        <v>6292</v>
      </c>
      <c r="E2090" s="30"/>
      <c r="F2090" s="33">
        <f ca="1">ROUND((G2083+G2084+G2089)*(1+G2/100),2)</f>
        <v>0</v>
      </c>
      <c r="G2090" s="30"/>
    </row>
    <row r="2091" spans="1:7" ht="21.36" thickBot="1" customHeight="1">
      <c r="A2091" s="34" t="s">
        <v>6293</v>
      </c>
      <c r="B2091" s="35" t="s">
        <v>6294</v>
      </c>
      <c r="C2091" s="35" t="s">
        <v>6295</v>
      </c>
      <c r="D2091" s="36" t="s">
        <v>6296</v>
      </c>
      <c r="E2091" s="37"/>
      <c r="F2091" s="38">
        <f ca="1">F2102</f>
        <v>0</v>
      </c>
      <c r="G2091" s="37"/>
    </row>
    <row r="2092" spans="1:7" ht="58.32" thickBot="1" customHeight="1">
      <c r="A2092" s="26"/>
      <c r="B2092" s="26"/>
      <c r="C2092" s="26"/>
      <c r="D2092" s="25" t="s">
        <v>6297</v>
      </c>
      <c r="E2092" s="25"/>
      <c r="F2092" s="25"/>
      <c r="G2092" s="25"/>
    </row>
    <row r="2093" spans="1:7" ht="21.36" thickBot="1" customHeight="1">
      <c r="A2093" s="24" t="s">
        <v>6298</v>
      </c>
      <c r="B2093" s="24" t="s">
        <v>6299</v>
      </c>
      <c r="C2093" s="24" t="s">
        <v>6300</v>
      </c>
      <c r="D2093" s="25" t="s">
        <v>6301</v>
      </c>
      <c r="E2093" s="28">
        <v>0.10000</v>
      </c>
      <c r="F2093" s="29">
        <f ca="1">ROUND(6.490,3)</f>
        <v>0</v>
      </c>
      <c r="G2093" s="27">
        <f ca="1">ROUND(E2093*F2093,2)</f>
        <v>0</v>
      </c>
    </row>
    <row r="2094" spans="1:7" ht="21.36" thickBot="1" customHeight="1">
      <c r="A2094" s="24" t="s">
        <v>6302</v>
      </c>
      <c r="B2094" s="24" t="s">
        <v>6303</v>
      </c>
      <c r="C2094" s="24" t="s">
        <v>6304</v>
      </c>
      <c r="D2094" s="25" t="s">
        <v>6305</v>
      </c>
      <c r="E2094" s="28">
        <v>0.30000</v>
      </c>
      <c r="F2094" s="29">
        <f ca="1">ROUND(2.000,3)</f>
        <v>0</v>
      </c>
      <c r="G2094" s="27">
        <f ca="1">ROUND(E2094*F2094,2)</f>
        <v>0</v>
      </c>
    </row>
    <row r="2095" spans="1:7" ht="30.60" thickBot="1" customHeight="1">
      <c r="A2095" s="24" t="s">
        <v>6306</v>
      </c>
      <c r="B2095" s="24" t="s">
        <v>6307</v>
      </c>
      <c r="C2095" s="24" t="s">
        <v>6308</v>
      </c>
      <c r="D2095" s="25" t="s">
        <v>6309</v>
      </c>
      <c r="E2095" s="28">
        <v>0.25000</v>
      </c>
      <c r="F2095" s="29">
        <f ca="1">ROUND(4.920,3)</f>
        <v>0</v>
      </c>
      <c r="G2095" s="27">
        <f ca="1">ROUND(E2095*F2095,2)</f>
        <v>0</v>
      </c>
    </row>
    <row r="2096" spans="1:7" ht="21.36" thickBot="1" customHeight="1">
      <c r="A2096" s="24" t="s">
        <v>6310</v>
      </c>
      <c r="B2096" s="24" t="s">
        <v>6311</v>
      </c>
      <c r="C2096" s="24" t="s">
        <v>6312</v>
      </c>
      <c r="D2096" s="25" t="s">
        <v>6313</v>
      </c>
      <c r="E2096" s="28">
        <v>0.66600</v>
      </c>
      <c r="F2096" s="29">
        <f ca="1">F2100</f>
        <v>0</v>
      </c>
      <c r="G2096" s="27">
        <f ca="1">ROUND(E2096*F2096,2)</f>
        <v>0</v>
      </c>
    </row>
    <row r="2097" spans="1:7" ht="24.36" thickBot="1" customHeight="1">
      <c r="A2097" s="24" t="s">
        <v>6314</v>
      </c>
      <c r="B2097" s="24" t="s">
        <v>6315</v>
      </c>
      <c r="C2097" s="24" t="s">
        <v>6316</v>
      </c>
      <c r="D2097" s="25" t="s">
        <v>6317</v>
      </c>
      <c r="E2097" s="28">
        <v>1.00000</v>
      </c>
      <c r="F2097" s="29">
        <f ca="1">ROUND(21.000,3)</f>
        <v>0</v>
      </c>
      <c r="G2097" s="27">
        <f ca="1">ROUND(E2097*F2097,2)</f>
        <v>0</v>
      </c>
    </row>
    <row r="2098" spans="1:7" ht="24.36" thickBot="1" customHeight="1">
      <c r="A2098" s="24" t="s">
        <v>6318</v>
      </c>
      <c r="B2098" s="24" t="s">
        <v>6319</v>
      </c>
      <c r="C2098" s="24" t="s">
        <v>6320</v>
      </c>
      <c r="D2098" s="25" t="s">
        <v>6321</v>
      </c>
      <c r="E2098" s="28">
        <v>1.00000</v>
      </c>
      <c r="F2098" s="29">
        <f ca="1">ROUND(19.000,3)</f>
        <v>0</v>
      </c>
      <c r="G2098" s="27">
        <f ca="1">ROUND(E2098*F2098,2)</f>
        <v>0</v>
      </c>
    </row>
    <row r="2099" spans="1:7" ht="24.36" thickBot="1" customHeight="1">
      <c r="A2099" s="24" t="s">
        <v>6322</v>
      </c>
      <c r="B2099" s="24" t="s">
        <v>6323</v>
      </c>
      <c r="C2099" s="24" t="s">
        <v>6324</v>
      </c>
      <c r="D2099" s="25" t="s">
        <v>6325</v>
      </c>
      <c r="E2099" s="28">
        <v>0.20000</v>
      </c>
      <c r="F2099" s="29">
        <f ca="1">ROUND(19.000,3)</f>
        <v>0</v>
      </c>
      <c r="G2099" s="27">
        <f ca="1">ROUND(E2099*F2099,2)</f>
        <v>0</v>
      </c>
    </row>
    <row r="2100" spans="1:7" ht="15.12" thickBot="1" customHeight="1">
      <c r="A2100" s="26"/>
      <c r="B2100" s="26"/>
      <c r="C2100" s="26"/>
      <c r="D2100" s="24" t="s">
        <v>6326</v>
      </c>
      <c r="E2100" s="28">
        <v>0.66600</v>
      </c>
      <c r="F2100" s="29">
        <f ca="1">ROUND((G2097+G2098+G2099),3)</f>
        <v>0</v>
      </c>
      <c r="G2100" s="27">
        <f ca="1">ROUND(E2100*F2100,2)</f>
        <v>0</v>
      </c>
    </row>
    <row r="2101" spans="1:7" ht="15.12" thickBot="1" customHeight="1">
      <c r="A2101" s="24" t="s">
        <v>6327</v>
      </c>
      <c r="B2101" s="24"/>
      <c r="C2101" s="24" t="s">
        <v>6328</v>
      </c>
      <c r="D2101" s="25" t="s">
        <v>6329</v>
      </c>
      <c r="E2101" s="28">
        <v>3.00000</v>
      </c>
      <c r="F2101" s="29">
        <f ca="1">ROUND(29.170,3)</f>
        <v>0</v>
      </c>
      <c r="G2101" s="27">
        <f ca="1">ROUND((E2101*F2101)/100,2)</f>
        <v>0</v>
      </c>
    </row>
    <row r="2102" spans="1:7" ht="15.48" thickBot="1" customHeight="1">
      <c r="A2102" s="30"/>
      <c r="B2102" s="30"/>
      <c r="C2102" s="30"/>
      <c r="D2102" s="31" t="s">
        <v>6330</v>
      </c>
      <c r="E2102" s="30"/>
      <c r="F2102" s="33">
        <f ca="1">ROUND((G2093+G2094+G2095+G2096+G2101)*(1+G2/100),2)</f>
        <v>0</v>
      </c>
      <c r="G2102" s="30"/>
    </row>
    <row r="2103" spans="1:7" ht="21.36" thickBot="1" customHeight="1">
      <c r="A2103" s="34" t="s">
        <v>6331</v>
      </c>
      <c r="B2103" s="35" t="s">
        <v>6332</v>
      </c>
      <c r="C2103" s="35" t="s">
        <v>6333</v>
      </c>
      <c r="D2103" s="36" t="s">
        <v>6334</v>
      </c>
      <c r="E2103" s="37"/>
      <c r="F2103" s="38">
        <f ca="1">F2113</f>
        <v>0</v>
      </c>
      <c r="G2103" s="37"/>
    </row>
    <row r="2104" spans="1:7" ht="21.36" thickBot="1" customHeight="1">
      <c r="A2104" s="26"/>
      <c r="B2104" s="26"/>
      <c r="C2104" s="26"/>
      <c r="D2104" s="25" t="s">
        <v>6335</v>
      </c>
      <c r="E2104" s="25"/>
      <c r="F2104" s="25"/>
      <c r="G2104" s="25"/>
    </row>
    <row r="2105" spans="1:7" ht="39.84" thickBot="1" customHeight="1">
      <c r="A2105" s="24" t="s">
        <v>6336</v>
      </c>
      <c r="B2105" s="24" t="s">
        <v>6337</v>
      </c>
      <c r="C2105" s="24" t="s">
        <v>6338</v>
      </c>
      <c r="D2105" s="25" t="s">
        <v>6339</v>
      </c>
      <c r="E2105" s="28">
        <v>0.30000</v>
      </c>
      <c r="F2105" s="29">
        <f ca="1">ROUND(1.750,3)</f>
        <v>0</v>
      </c>
      <c r="G2105" s="27">
        <f ca="1">ROUND(E2105*F2105,2)</f>
        <v>0</v>
      </c>
    </row>
    <row r="2106" spans="1:7" ht="21.36" thickBot="1" customHeight="1">
      <c r="A2106" s="24" t="s">
        <v>6340</v>
      </c>
      <c r="B2106" s="24" t="s">
        <v>6341</v>
      </c>
      <c r="C2106" s="24" t="s">
        <v>6342</v>
      </c>
      <c r="D2106" s="25" t="s">
        <v>6343</v>
      </c>
      <c r="E2106" s="28">
        <v>0.04000</v>
      </c>
      <c r="F2106" s="29">
        <f ca="1">ROUND(0.970,3)</f>
        <v>0</v>
      </c>
      <c r="G2106" s="27">
        <f ca="1">ROUND(E2106*F2106,2)</f>
        <v>0</v>
      </c>
    </row>
    <row r="2107" spans="1:7" ht="21.36" thickBot="1" customHeight="1">
      <c r="A2107" s="24" t="s">
        <v>6344</v>
      </c>
      <c r="B2107" s="24" t="s">
        <v>6345</v>
      </c>
      <c r="C2107" s="24" t="s">
        <v>6346</v>
      </c>
      <c r="D2107" s="25" t="s">
        <v>6347</v>
      </c>
      <c r="E2107" s="28">
        <v>0.28000</v>
      </c>
      <c r="F2107" s="29">
        <f ca="1">F2111</f>
        <v>0</v>
      </c>
      <c r="G2107" s="27">
        <f ca="1">ROUND(E2107*F2107,2)</f>
        <v>0</v>
      </c>
    </row>
    <row r="2108" spans="1:7" ht="24.36" thickBot="1" customHeight="1">
      <c r="A2108" s="24" t="s">
        <v>6348</v>
      </c>
      <c r="B2108" s="24" t="s">
        <v>6349</v>
      </c>
      <c r="C2108" s="24" t="s">
        <v>6350</v>
      </c>
      <c r="D2108" s="25" t="s">
        <v>6351</v>
      </c>
      <c r="E2108" s="28">
        <v>1.00000</v>
      </c>
      <c r="F2108" s="29">
        <f ca="1">ROUND(21.000,3)</f>
        <v>0</v>
      </c>
      <c r="G2108" s="27">
        <f ca="1">ROUND(E2108*F2108,2)</f>
        <v>0</v>
      </c>
    </row>
    <row r="2109" spans="1:7" ht="24.36" thickBot="1" customHeight="1">
      <c r="A2109" s="24" t="s">
        <v>6352</v>
      </c>
      <c r="B2109" s="24" t="s">
        <v>6353</v>
      </c>
      <c r="C2109" s="24" t="s">
        <v>6354</v>
      </c>
      <c r="D2109" s="25" t="s">
        <v>6355</v>
      </c>
      <c r="E2109" s="28">
        <v>1.00000</v>
      </c>
      <c r="F2109" s="29">
        <f ca="1">ROUND(19.000,3)</f>
        <v>0</v>
      </c>
      <c r="G2109" s="27">
        <f ca="1">ROUND(E2109*F2109,2)</f>
        <v>0</v>
      </c>
    </row>
    <row r="2110" spans="1:7" ht="24.36" thickBot="1" customHeight="1">
      <c r="A2110" s="24" t="s">
        <v>6356</v>
      </c>
      <c r="B2110" s="24" t="s">
        <v>6357</v>
      </c>
      <c r="C2110" s="24" t="s">
        <v>6358</v>
      </c>
      <c r="D2110" s="25" t="s">
        <v>6359</v>
      </c>
      <c r="E2110" s="28">
        <v>0.20000</v>
      </c>
      <c r="F2110" s="29">
        <f ca="1">ROUND(19.000,3)</f>
        <v>0</v>
      </c>
      <c r="G2110" s="27">
        <f ca="1">ROUND(E2110*F2110,2)</f>
        <v>0</v>
      </c>
    </row>
    <row r="2111" spans="1:7" ht="15.12" thickBot="1" customHeight="1">
      <c r="A2111" s="26"/>
      <c r="B2111" s="26"/>
      <c r="C2111" s="26"/>
      <c r="D2111" s="24" t="s">
        <v>6360</v>
      </c>
      <c r="E2111" s="28">
        <v>0.28000</v>
      </c>
      <c r="F2111" s="29">
        <f ca="1">ROUND((G2108+G2109+G2110),3)</f>
        <v>0</v>
      </c>
      <c r="G2111" s="27">
        <f ca="1">ROUND(E2111*F2111,2)</f>
        <v>0</v>
      </c>
    </row>
    <row r="2112" spans="1:7" ht="15.12" thickBot="1" customHeight="1">
      <c r="A2112" s="24" t="s">
        <v>6361</v>
      </c>
      <c r="B2112" s="24"/>
      <c r="C2112" s="24" t="s">
        <v>6362</v>
      </c>
      <c r="D2112" s="25" t="s">
        <v>6363</v>
      </c>
      <c r="E2112" s="28">
        <v>3.00000</v>
      </c>
      <c r="F2112" s="29">
        <f ca="1">ROUND(12.260,3)</f>
        <v>0</v>
      </c>
      <c r="G2112" s="27">
        <f ca="1">ROUND((E2112*F2112)/100,2)</f>
        <v>0</v>
      </c>
    </row>
    <row r="2113" spans="1:7" ht="15.48" thickBot="1" customHeight="1">
      <c r="A2113" s="30"/>
      <c r="B2113" s="30"/>
      <c r="C2113" s="30"/>
      <c r="D2113" s="31" t="s">
        <v>6364</v>
      </c>
      <c r="E2113" s="30"/>
      <c r="F2113" s="33">
        <f ca="1">ROUND((G2105+G2106+G2107+G2112)*(1+G2/100),2)</f>
        <v>0</v>
      </c>
      <c r="G2113" s="30"/>
    </row>
    <row r="2114" spans="1:7" ht="30.60" thickBot="1" customHeight="1">
      <c r="A2114" s="34" t="s">
        <v>6365</v>
      </c>
      <c r="B2114" s="35" t="s">
        <v>6366</v>
      </c>
      <c r="C2114" s="35" t="s">
        <v>6367</v>
      </c>
      <c r="D2114" s="36" t="s">
        <v>6368</v>
      </c>
      <c r="E2114" s="37"/>
      <c r="F2114" s="38">
        <f ca="1">F2129</f>
        <v>0</v>
      </c>
      <c r="G2114" s="37"/>
    </row>
    <row r="2115" spans="1:7" ht="39.84" thickBot="1" customHeight="1">
      <c r="A2115" s="26"/>
      <c r="B2115" s="26"/>
      <c r="C2115" s="26"/>
      <c r="D2115" s="25" t="s">
        <v>6369</v>
      </c>
      <c r="E2115" s="25"/>
      <c r="F2115" s="25"/>
      <c r="G2115" s="25"/>
    </row>
    <row r="2116" spans="1:7" ht="30.60" thickBot="1" customHeight="1">
      <c r="A2116" s="24" t="s">
        <v>6370</v>
      </c>
      <c r="B2116" s="24" t="s">
        <v>6371</v>
      </c>
      <c r="C2116" s="24" t="s">
        <v>6372</v>
      </c>
      <c r="D2116" s="25" t="s">
        <v>6373</v>
      </c>
      <c r="E2116" s="28">
        <v>0.20000</v>
      </c>
      <c r="F2116" s="29">
        <f ca="1">ROUND(22.450,3)</f>
        <v>0</v>
      </c>
      <c r="G2116" s="27">
        <f ca="1">ROUND(E2116*F2116,2)</f>
        <v>0</v>
      </c>
    </row>
    <row r="2117" spans="1:7" ht="30.60" thickBot="1" customHeight="1">
      <c r="A2117" s="24" t="s">
        <v>6374</v>
      </c>
      <c r="B2117" s="24" t="s">
        <v>6375</v>
      </c>
      <c r="C2117" s="24" t="s">
        <v>6376</v>
      </c>
      <c r="D2117" s="25" t="s">
        <v>6377</v>
      </c>
      <c r="E2117" s="28">
        <v>0.04400</v>
      </c>
      <c r="F2117" s="29">
        <f ca="1">ROUND(16.810,3)</f>
        <v>0</v>
      </c>
      <c r="G2117" s="27">
        <f ca="1">ROUND(E2117*F2117,2)</f>
        <v>0</v>
      </c>
    </row>
    <row r="2118" spans="1:7" ht="30.60" thickBot="1" customHeight="1">
      <c r="A2118" s="24" t="s">
        <v>6378</v>
      </c>
      <c r="B2118" s="24" t="s">
        <v>6379</v>
      </c>
      <c r="C2118" s="24" t="s">
        <v>6380</v>
      </c>
      <c r="D2118" s="25" t="s">
        <v>6381</v>
      </c>
      <c r="E2118" s="28">
        <v>0.20000</v>
      </c>
      <c r="F2118" s="29">
        <f ca="1">F2120</f>
        <v>0</v>
      </c>
      <c r="G2118" s="27">
        <f ca="1">ROUND(E2118*F2118,2)</f>
        <v>0</v>
      </c>
    </row>
    <row r="2119" spans="1:7" ht="30.60" thickBot="1" customHeight="1">
      <c r="A2119" s="24" t="s">
        <v>6382</v>
      </c>
      <c r="B2119" s="24" t="s">
        <v>6383</v>
      </c>
      <c r="C2119" s="24" t="s">
        <v>6384</v>
      </c>
      <c r="D2119" s="25" t="s">
        <v>6385</v>
      </c>
      <c r="E2119" s="28">
        <v>0.00417</v>
      </c>
      <c r="F2119" s="29">
        <f ca="1">ROUND(999.000,3)</f>
        <v>0</v>
      </c>
      <c r="G2119" s="27">
        <f ca="1">ROUND(E2119*F2119,2)</f>
        <v>0</v>
      </c>
    </row>
    <row r="2120" spans="1:7" ht="15.12" thickBot="1" customHeight="1">
      <c r="A2120" s="26"/>
      <c r="B2120" s="26"/>
      <c r="C2120" s="26"/>
      <c r="D2120" s="24" t="s">
        <v>6386</v>
      </c>
      <c r="E2120" s="28">
        <v>0.20000</v>
      </c>
      <c r="F2120" s="29">
        <f ca="1">ROUND((G2119),3)</f>
        <v>0</v>
      </c>
      <c r="G2120" s="27">
        <f ca="1">ROUND(E2120*F2120,2)</f>
        <v>0</v>
      </c>
    </row>
    <row r="2121" spans="1:7" ht="39.84" thickBot="1" customHeight="1">
      <c r="A2121" s="24" t="s">
        <v>6387</v>
      </c>
      <c r="B2121" s="24" t="s">
        <v>6388</v>
      </c>
      <c r="C2121" s="24" t="s">
        <v>6389</v>
      </c>
      <c r="D2121" s="25" t="s">
        <v>6390</v>
      </c>
      <c r="E2121" s="28">
        <v>0.20000</v>
      </c>
      <c r="F2121" s="29">
        <f ca="1">ROUND(1.750,3)</f>
        <v>0</v>
      </c>
      <c r="G2121" s="27">
        <f ca="1">ROUND(E2121*F2121,2)</f>
        <v>0</v>
      </c>
    </row>
    <row r="2122" spans="1:7" ht="21.36" thickBot="1" customHeight="1">
      <c r="A2122" s="24" t="s">
        <v>6391</v>
      </c>
      <c r="B2122" s="24" t="s">
        <v>6392</v>
      </c>
      <c r="C2122" s="24" t="s">
        <v>6393</v>
      </c>
      <c r="D2122" s="25" t="s">
        <v>6394</v>
      </c>
      <c r="E2122" s="28">
        <v>0.25000</v>
      </c>
      <c r="F2122" s="29">
        <f ca="1">ROUND(0.970,3)</f>
        <v>0</v>
      </c>
      <c r="G2122" s="27">
        <f ca="1">ROUND(E2122*F2122,2)</f>
        <v>0</v>
      </c>
    </row>
    <row r="2123" spans="1:7" ht="21.36" thickBot="1" customHeight="1">
      <c r="A2123" s="24" t="s">
        <v>6395</v>
      </c>
      <c r="B2123" s="24" t="s">
        <v>6396</v>
      </c>
      <c r="C2123" s="24" t="s">
        <v>6397</v>
      </c>
      <c r="D2123" s="25" t="s">
        <v>6398</v>
      </c>
      <c r="E2123" s="28">
        <v>1.00000</v>
      </c>
      <c r="F2123" s="29">
        <f ca="1">F2127</f>
        <v>0</v>
      </c>
      <c r="G2123" s="27">
        <f ca="1">ROUND(E2123*F2123,2)</f>
        <v>0</v>
      </c>
    </row>
    <row r="2124" spans="1:7" ht="24.36" thickBot="1" customHeight="1">
      <c r="A2124" s="24" t="s">
        <v>6399</v>
      </c>
      <c r="B2124" s="24" t="s">
        <v>6400</v>
      </c>
      <c r="C2124" s="24" t="s">
        <v>6401</v>
      </c>
      <c r="D2124" s="25" t="s">
        <v>6402</v>
      </c>
      <c r="E2124" s="28">
        <v>1.00000</v>
      </c>
      <c r="F2124" s="29">
        <f ca="1">ROUND(21.000,3)</f>
        <v>0</v>
      </c>
      <c r="G2124" s="27">
        <f ca="1">ROUND(E2124*F2124,2)</f>
        <v>0</v>
      </c>
    </row>
    <row r="2125" spans="1:7" ht="24.36" thickBot="1" customHeight="1">
      <c r="A2125" s="24" t="s">
        <v>6403</v>
      </c>
      <c r="B2125" s="24" t="s">
        <v>6404</v>
      </c>
      <c r="C2125" s="24" t="s">
        <v>6405</v>
      </c>
      <c r="D2125" s="25" t="s">
        <v>6406</v>
      </c>
      <c r="E2125" s="28">
        <v>1.00000</v>
      </c>
      <c r="F2125" s="29">
        <f ca="1">ROUND(19.000,3)</f>
        <v>0</v>
      </c>
      <c r="G2125" s="27">
        <f ca="1">ROUND(E2125*F2125,2)</f>
        <v>0</v>
      </c>
    </row>
    <row r="2126" spans="1:7" ht="24.36" thickBot="1" customHeight="1">
      <c r="A2126" s="24" t="s">
        <v>6407</v>
      </c>
      <c r="B2126" s="24" t="s">
        <v>6408</v>
      </c>
      <c r="C2126" s="24" t="s">
        <v>6409</v>
      </c>
      <c r="D2126" s="25" t="s">
        <v>6410</v>
      </c>
      <c r="E2126" s="28">
        <v>0.20000</v>
      </c>
      <c r="F2126" s="29">
        <f ca="1">ROUND(19.000,3)</f>
        <v>0</v>
      </c>
      <c r="G2126" s="27">
        <f ca="1">ROUND(E2126*F2126,2)</f>
        <v>0</v>
      </c>
    </row>
    <row r="2127" spans="1:7" ht="15.12" thickBot="1" customHeight="1">
      <c r="A2127" s="26"/>
      <c r="B2127" s="26"/>
      <c r="C2127" s="26"/>
      <c r="D2127" s="24" t="s">
        <v>6411</v>
      </c>
      <c r="E2127" s="28">
        <v>1.00000</v>
      </c>
      <c r="F2127" s="29">
        <f ca="1">ROUND((G2124+G2125+G2126),3)</f>
        <v>0</v>
      </c>
      <c r="G2127" s="27">
        <f ca="1">ROUND(E2127*F2127,2)</f>
        <v>0</v>
      </c>
    </row>
    <row r="2128" spans="1:7" ht="15.12" thickBot="1" customHeight="1">
      <c r="A2128" s="24" t="s">
        <v>6412</v>
      </c>
      <c r="B2128" s="24"/>
      <c r="C2128" s="24" t="s">
        <v>6413</v>
      </c>
      <c r="D2128" s="25" t="s">
        <v>6414</v>
      </c>
      <c r="E2128" s="28">
        <v>3.00000</v>
      </c>
      <c r="F2128" s="29">
        <f ca="1">ROUND(43.800,3)</f>
        <v>0</v>
      </c>
      <c r="G2128" s="27">
        <f ca="1">ROUND((E2128*F2128)/100,2)</f>
        <v>0</v>
      </c>
    </row>
    <row r="2129" spans="1:7" ht="15.48" thickBot="1" customHeight="1">
      <c r="A2129" s="30"/>
      <c r="B2129" s="30"/>
      <c r="C2129" s="30"/>
      <c r="D2129" s="31" t="s">
        <v>6415</v>
      </c>
      <c r="E2129" s="30"/>
      <c r="F2129" s="33">
        <f ca="1">ROUND((G2116+G2117+G2118+G2121+G2122+G2123+G2128)*(1+G2/100),2)</f>
        <v>0</v>
      </c>
      <c r="G2129" s="30"/>
    </row>
    <row r="2130" spans="1:7" ht="95.28" thickBot="1" customHeight="1">
      <c r="A2130" s="34" t="s">
        <v>6416</v>
      </c>
      <c r="B2130" s="35" t="s">
        <v>6417</v>
      </c>
      <c r="C2130" s="35" t="s">
        <v>6418</v>
      </c>
      <c r="D2130" s="36" t="s">
        <v>6419</v>
      </c>
      <c r="E2130" s="37"/>
      <c r="F2130" s="38">
        <f ca="1">F2140</f>
        <v>0</v>
      </c>
      <c r="G2130" s="37"/>
    </row>
    <row r="2131" spans="1:7" ht="58.32" thickBot="1" customHeight="1">
      <c r="A2131" s="26"/>
      <c r="B2131" s="26"/>
      <c r="C2131" s="26"/>
      <c r="D2131" s="25" t="s">
        <v>6420</v>
      </c>
      <c r="E2131" s="25"/>
      <c r="F2131" s="25"/>
      <c r="G2131" s="25"/>
    </row>
    <row r="2132" spans="1:7" ht="21.36" thickBot="1" customHeight="1">
      <c r="A2132" s="24" t="s">
        <v>6421</v>
      </c>
      <c r="B2132" s="24" t="s">
        <v>6422</v>
      </c>
      <c r="C2132" s="24" t="s">
        <v>6423</v>
      </c>
      <c r="D2132" s="25" t="s">
        <v>6424</v>
      </c>
      <c r="E2132" s="28">
        <v>0.75000</v>
      </c>
      <c r="F2132" s="29">
        <f ca="1">ROUND(3.470,3)</f>
        <v>0</v>
      </c>
      <c r="G2132" s="27">
        <f ca="1">ROUND(E2132*F2132,2)</f>
        <v>0</v>
      </c>
    </row>
    <row r="2133" spans="1:7" ht="21.36" thickBot="1" customHeight="1">
      <c r="A2133" s="24" t="s">
        <v>6425</v>
      </c>
      <c r="B2133" s="24" t="s">
        <v>6426</v>
      </c>
      <c r="C2133" s="24" t="s">
        <v>6427</v>
      </c>
      <c r="D2133" s="25" t="s">
        <v>6428</v>
      </c>
      <c r="E2133" s="28">
        <v>0.20000</v>
      </c>
      <c r="F2133" s="29">
        <f ca="1">ROUND(1.320,3)</f>
        <v>0</v>
      </c>
      <c r="G2133" s="27">
        <f ca="1">ROUND(E2133*F2133,2)</f>
        <v>0</v>
      </c>
    </row>
    <row r="2134" spans="1:7" ht="21.36" thickBot="1" customHeight="1">
      <c r="A2134" s="24" t="s">
        <v>6429</v>
      </c>
      <c r="B2134" s="24" t="s">
        <v>6430</v>
      </c>
      <c r="C2134" s="24" t="s">
        <v>6431</v>
      </c>
      <c r="D2134" s="25" t="s">
        <v>6432</v>
      </c>
      <c r="E2134" s="28">
        <v>2.50000</v>
      </c>
      <c r="F2134" s="29">
        <f ca="1">F2138</f>
        <v>0</v>
      </c>
      <c r="G2134" s="27">
        <f ca="1">ROUND(E2134*F2134,2)</f>
        <v>0</v>
      </c>
    </row>
    <row r="2135" spans="1:7" ht="24.36" thickBot="1" customHeight="1">
      <c r="A2135" s="24" t="s">
        <v>6433</v>
      </c>
      <c r="B2135" s="24" t="s">
        <v>6434</v>
      </c>
      <c r="C2135" s="24" t="s">
        <v>6435</v>
      </c>
      <c r="D2135" s="25" t="s">
        <v>6436</v>
      </c>
      <c r="E2135" s="28">
        <v>1.00000</v>
      </c>
      <c r="F2135" s="29">
        <f ca="1">ROUND(21.000,3)</f>
        <v>0</v>
      </c>
      <c r="G2135" s="27">
        <f ca="1">ROUND(E2135*F2135,2)</f>
        <v>0</v>
      </c>
    </row>
    <row r="2136" spans="1:7" ht="24.36" thickBot="1" customHeight="1">
      <c r="A2136" s="24" t="s">
        <v>6437</v>
      </c>
      <c r="B2136" s="24" t="s">
        <v>6438</v>
      </c>
      <c r="C2136" s="24" t="s">
        <v>6439</v>
      </c>
      <c r="D2136" s="25" t="s">
        <v>6440</v>
      </c>
      <c r="E2136" s="28">
        <v>1.00000</v>
      </c>
      <c r="F2136" s="29">
        <f ca="1">ROUND(19.000,3)</f>
        <v>0</v>
      </c>
      <c r="G2136" s="27">
        <f ca="1">ROUND(E2136*F2136,2)</f>
        <v>0</v>
      </c>
    </row>
    <row r="2137" spans="1:7" ht="24.36" thickBot="1" customHeight="1">
      <c r="A2137" s="24" t="s">
        <v>6441</v>
      </c>
      <c r="B2137" s="24" t="s">
        <v>6442</v>
      </c>
      <c r="C2137" s="24" t="s">
        <v>6443</v>
      </c>
      <c r="D2137" s="25" t="s">
        <v>6444</v>
      </c>
      <c r="E2137" s="28">
        <v>0.20000</v>
      </c>
      <c r="F2137" s="29">
        <f ca="1">ROUND(19.000,3)</f>
        <v>0</v>
      </c>
      <c r="G2137" s="27">
        <f ca="1">ROUND(E2137*F2137,2)</f>
        <v>0</v>
      </c>
    </row>
    <row r="2138" spans="1:7" ht="15.12" thickBot="1" customHeight="1">
      <c r="A2138" s="26"/>
      <c r="B2138" s="26"/>
      <c r="C2138" s="26"/>
      <c r="D2138" s="24" t="s">
        <v>6445</v>
      </c>
      <c r="E2138" s="28">
        <v>2.50000</v>
      </c>
      <c r="F2138" s="29">
        <f ca="1">ROUND((G2135+G2136+G2137),3)</f>
        <v>0</v>
      </c>
      <c r="G2138" s="27">
        <f ca="1">ROUND(E2138*F2138,2)</f>
        <v>0</v>
      </c>
    </row>
    <row r="2139" spans="1:7" ht="15.12" thickBot="1" customHeight="1">
      <c r="A2139" s="24" t="s">
        <v>6446</v>
      </c>
      <c r="B2139" s="24"/>
      <c r="C2139" s="24" t="s">
        <v>6447</v>
      </c>
      <c r="D2139" s="25" t="s">
        <v>6448</v>
      </c>
      <c r="E2139" s="28">
        <v>3.00000</v>
      </c>
      <c r="F2139" s="29">
        <f ca="1">ROUND(109.500,3)</f>
        <v>0</v>
      </c>
      <c r="G2139" s="27">
        <f ca="1">ROUND((E2139*F2139)/100,2)</f>
        <v>0</v>
      </c>
    </row>
    <row r="2140" spans="1:7" ht="15.48" thickBot="1" customHeight="1">
      <c r="A2140" s="30"/>
      <c r="B2140" s="30"/>
      <c r="C2140" s="30"/>
      <c r="D2140" s="31" t="s">
        <v>6449</v>
      </c>
      <c r="E2140" s="30"/>
      <c r="F2140" s="33">
        <f ca="1">ROUND((G2132+G2133+G2134+G2139)*(1+G2/100),2)</f>
        <v>0</v>
      </c>
      <c r="G2140" s="30"/>
    </row>
    <row r="2141" spans="1:7" ht="95.28" thickBot="1" customHeight="1">
      <c r="A2141" s="34" t="s">
        <v>6450</v>
      </c>
      <c r="B2141" s="35" t="s">
        <v>6451</v>
      </c>
      <c r="C2141" s="35" t="s">
        <v>6452</v>
      </c>
      <c r="D2141" s="36" t="s">
        <v>6453</v>
      </c>
      <c r="E2141" s="37"/>
      <c r="F2141" s="38">
        <f ca="1">F2151</f>
        <v>0</v>
      </c>
      <c r="G2141" s="37"/>
    </row>
    <row r="2142" spans="1:7" ht="58.32" thickBot="1" customHeight="1">
      <c r="A2142" s="26"/>
      <c r="B2142" s="26"/>
      <c r="C2142" s="26"/>
      <c r="D2142" s="25" t="s">
        <v>6454</v>
      </c>
      <c r="E2142" s="25"/>
      <c r="F2142" s="25"/>
      <c r="G2142" s="25"/>
    </row>
    <row r="2143" spans="1:7" ht="21.36" thickBot="1" customHeight="1">
      <c r="A2143" s="24" t="s">
        <v>6455</v>
      </c>
      <c r="B2143" s="24" t="s">
        <v>6456</v>
      </c>
      <c r="C2143" s="24" t="s">
        <v>6457</v>
      </c>
      <c r="D2143" s="25" t="s">
        <v>6458</v>
      </c>
      <c r="E2143" s="28">
        <v>1.00000</v>
      </c>
      <c r="F2143" s="29">
        <f ca="1">ROUND(3.470,3)</f>
        <v>0</v>
      </c>
      <c r="G2143" s="27">
        <f ca="1">ROUND(E2143*F2143,2)</f>
        <v>0</v>
      </c>
    </row>
    <row r="2144" spans="1:7" ht="21.36" thickBot="1" customHeight="1">
      <c r="A2144" s="24" t="s">
        <v>6459</v>
      </c>
      <c r="B2144" s="24" t="s">
        <v>6460</v>
      </c>
      <c r="C2144" s="24" t="s">
        <v>6461</v>
      </c>
      <c r="D2144" s="25" t="s">
        <v>6462</v>
      </c>
      <c r="E2144" s="28">
        <v>0.25000</v>
      </c>
      <c r="F2144" s="29">
        <f ca="1">ROUND(1.320,3)</f>
        <v>0</v>
      </c>
      <c r="G2144" s="27">
        <f ca="1">ROUND(E2144*F2144,2)</f>
        <v>0</v>
      </c>
    </row>
    <row r="2145" spans="1:7" ht="21.36" thickBot="1" customHeight="1">
      <c r="A2145" s="24" t="s">
        <v>6463</v>
      </c>
      <c r="B2145" s="24" t="s">
        <v>6464</v>
      </c>
      <c r="C2145" s="24" t="s">
        <v>6465</v>
      </c>
      <c r="D2145" s="25" t="s">
        <v>6466</v>
      </c>
      <c r="E2145" s="28">
        <v>2.80000</v>
      </c>
      <c r="F2145" s="29">
        <f ca="1">F2149</f>
        <v>0</v>
      </c>
      <c r="G2145" s="27">
        <f ca="1">ROUND(E2145*F2145,2)</f>
        <v>0</v>
      </c>
    </row>
    <row r="2146" spans="1:7" ht="24.36" thickBot="1" customHeight="1">
      <c r="A2146" s="24" t="s">
        <v>6467</v>
      </c>
      <c r="B2146" s="24" t="s">
        <v>6468</v>
      </c>
      <c r="C2146" s="24" t="s">
        <v>6469</v>
      </c>
      <c r="D2146" s="25" t="s">
        <v>6470</v>
      </c>
      <c r="E2146" s="28">
        <v>1.00000</v>
      </c>
      <c r="F2146" s="29">
        <f ca="1">ROUND(21.000,3)</f>
        <v>0</v>
      </c>
      <c r="G2146" s="27">
        <f ca="1">ROUND(E2146*F2146,2)</f>
        <v>0</v>
      </c>
    </row>
    <row r="2147" spans="1:7" ht="24.36" thickBot="1" customHeight="1">
      <c r="A2147" s="24" t="s">
        <v>6471</v>
      </c>
      <c r="B2147" s="24" t="s">
        <v>6472</v>
      </c>
      <c r="C2147" s="24" t="s">
        <v>6473</v>
      </c>
      <c r="D2147" s="25" t="s">
        <v>6474</v>
      </c>
      <c r="E2147" s="28">
        <v>1.00000</v>
      </c>
      <c r="F2147" s="29">
        <f ca="1">ROUND(19.000,3)</f>
        <v>0</v>
      </c>
      <c r="G2147" s="27">
        <f ca="1">ROUND(E2147*F2147,2)</f>
        <v>0</v>
      </c>
    </row>
    <row r="2148" spans="1:7" ht="24.36" thickBot="1" customHeight="1">
      <c r="A2148" s="24" t="s">
        <v>6475</v>
      </c>
      <c r="B2148" s="24" t="s">
        <v>6476</v>
      </c>
      <c r="C2148" s="24" t="s">
        <v>6477</v>
      </c>
      <c r="D2148" s="25" t="s">
        <v>6478</v>
      </c>
      <c r="E2148" s="28">
        <v>0.20000</v>
      </c>
      <c r="F2148" s="29">
        <f ca="1">ROUND(19.000,3)</f>
        <v>0</v>
      </c>
      <c r="G2148" s="27">
        <f ca="1">ROUND(E2148*F2148,2)</f>
        <v>0</v>
      </c>
    </row>
    <row r="2149" spans="1:7" ht="15.12" thickBot="1" customHeight="1">
      <c r="A2149" s="26"/>
      <c r="B2149" s="26"/>
      <c r="C2149" s="26"/>
      <c r="D2149" s="24" t="s">
        <v>6479</v>
      </c>
      <c r="E2149" s="28">
        <v>2.80000</v>
      </c>
      <c r="F2149" s="29">
        <f ca="1">ROUND((G2146+G2147+G2148),3)</f>
        <v>0</v>
      </c>
      <c r="G2149" s="27">
        <f ca="1">ROUND(E2149*F2149,2)</f>
        <v>0</v>
      </c>
    </row>
    <row r="2150" spans="1:7" ht="15.12" thickBot="1" customHeight="1">
      <c r="A2150" s="24" t="s">
        <v>6480</v>
      </c>
      <c r="B2150" s="24"/>
      <c r="C2150" s="24" t="s">
        <v>6481</v>
      </c>
      <c r="D2150" s="25" t="s">
        <v>6482</v>
      </c>
      <c r="E2150" s="28">
        <v>3.00000</v>
      </c>
      <c r="F2150" s="29">
        <f ca="1">ROUND(122.640,3)</f>
        <v>0</v>
      </c>
      <c r="G2150" s="27">
        <f ca="1">ROUND((E2150*F2150)/100,2)</f>
        <v>0</v>
      </c>
    </row>
    <row r="2151" spans="1:7" ht="15.48" thickBot="1" customHeight="1">
      <c r="A2151" s="30"/>
      <c r="B2151" s="30"/>
      <c r="C2151" s="30"/>
      <c r="D2151" s="31" t="s">
        <v>6483</v>
      </c>
      <c r="E2151" s="30"/>
      <c r="F2151" s="33">
        <f ca="1">ROUND((G2143+G2144+G2145+G2150)*(1+G2/100),2)</f>
        <v>0</v>
      </c>
      <c r="G2151" s="30"/>
    </row>
    <row r="2152" spans="1:7" ht="86.04" thickBot="1" customHeight="1">
      <c r="A2152" s="34" t="s">
        <v>6484</v>
      </c>
      <c r="B2152" s="35" t="s">
        <v>6485</v>
      </c>
      <c r="C2152" s="35" t="s">
        <v>6486</v>
      </c>
      <c r="D2152" s="36" t="s">
        <v>6487</v>
      </c>
      <c r="E2152" s="37"/>
      <c r="F2152" s="38">
        <f ca="1">F2162</f>
        <v>0</v>
      </c>
      <c r="G2152" s="37"/>
    </row>
    <row r="2153" spans="1:7" ht="30.60" thickBot="1" customHeight="1">
      <c r="A2153" s="26"/>
      <c r="B2153" s="26"/>
      <c r="C2153" s="26"/>
      <c r="D2153" s="25" t="s">
        <v>6488</v>
      </c>
      <c r="E2153" s="25"/>
      <c r="F2153" s="25"/>
      <c r="G2153" s="25"/>
    </row>
    <row r="2154" spans="1:7" ht="21.36" thickBot="1" customHeight="1">
      <c r="A2154" s="24" t="s">
        <v>6489</v>
      </c>
      <c r="B2154" s="24" t="s">
        <v>6490</v>
      </c>
      <c r="C2154" s="24" t="s">
        <v>6491</v>
      </c>
      <c r="D2154" s="25" t="s">
        <v>6492</v>
      </c>
      <c r="E2154" s="28">
        <v>1.00000</v>
      </c>
      <c r="F2154" s="29">
        <f ca="1">ROUND(6.320,3)</f>
        <v>0</v>
      </c>
      <c r="G2154" s="27">
        <f ca="1">ROUND(E2154*F2154,2)</f>
        <v>0</v>
      </c>
    </row>
    <row r="2155" spans="1:7" ht="21.36" thickBot="1" customHeight="1">
      <c r="A2155" s="24" t="s">
        <v>6493</v>
      </c>
      <c r="B2155" s="24" t="s">
        <v>6494</v>
      </c>
      <c r="C2155" s="24" t="s">
        <v>6495</v>
      </c>
      <c r="D2155" s="25" t="s">
        <v>6496</v>
      </c>
      <c r="E2155" s="28">
        <v>0.10000</v>
      </c>
      <c r="F2155" s="29">
        <f ca="1">ROUND(1.320,3)</f>
        <v>0</v>
      </c>
      <c r="G2155" s="27">
        <f ca="1">ROUND(E2155*F2155,2)</f>
        <v>0</v>
      </c>
    </row>
    <row r="2156" spans="1:7" ht="21.36" thickBot="1" customHeight="1">
      <c r="A2156" s="24" t="s">
        <v>6497</v>
      </c>
      <c r="B2156" s="24" t="s">
        <v>6498</v>
      </c>
      <c r="C2156" s="24" t="s">
        <v>6499</v>
      </c>
      <c r="D2156" s="25" t="s">
        <v>6500</v>
      </c>
      <c r="E2156" s="28">
        <v>0.50000</v>
      </c>
      <c r="F2156" s="29">
        <f ca="1">F2160</f>
        <v>0</v>
      </c>
      <c r="G2156" s="27">
        <f ca="1">ROUND(E2156*F2156,2)</f>
        <v>0</v>
      </c>
    </row>
    <row r="2157" spans="1:7" ht="24.36" thickBot="1" customHeight="1">
      <c r="A2157" s="24" t="s">
        <v>6501</v>
      </c>
      <c r="B2157" s="24" t="s">
        <v>6502</v>
      </c>
      <c r="C2157" s="24" t="s">
        <v>6503</v>
      </c>
      <c r="D2157" s="25" t="s">
        <v>6504</v>
      </c>
      <c r="E2157" s="28">
        <v>1.00000</v>
      </c>
      <c r="F2157" s="29">
        <f ca="1">ROUND(21.000,3)</f>
        <v>0</v>
      </c>
      <c r="G2157" s="27">
        <f ca="1">ROUND(E2157*F2157,2)</f>
        <v>0</v>
      </c>
    </row>
    <row r="2158" spans="1:7" ht="24.36" thickBot="1" customHeight="1">
      <c r="A2158" s="24" t="s">
        <v>6505</v>
      </c>
      <c r="B2158" s="24" t="s">
        <v>6506</v>
      </c>
      <c r="C2158" s="24" t="s">
        <v>6507</v>
      </c>
      <c r="D2158" s="25" t="s">
        <v>6508</v>
      </c>
      <c r="E2158" s="28">
        <v>1.00000</v>
      </c>
      <c r="F2158" s="29">
        <f ca="1">ROUND(19.000,3)</f>
        <v>0</v>
      </c>
      <c r="G2158" s="27">
        <f ca="1">ROUND(E2158*F2158,2)</f>
        <v>0</v>
      </c>
    </row>
    <row r="2159" spans="1:7" ht="24.36" thickBot="1" customHeight="1">
      <c r="A2159" s="24" t="s">
        <v>6509</v>
      </c>
      <c r="B2159" s="24" t="s">
        <v>6510</v>
      </c>
      <c r="C2159" s="24" t="s">
        <v>6511</v>
      </c>
      <c r="D2159" s="25" t="s">
        <v>6512</v>
      </c>
      <c r="E2159" s="28">
        <v>0.20000</v>
      </c>
      <c r="F2159" s="29">
        <f ca="1">ROUND(19.000,3)</f>
        <v>0</v>
      </c>
      <c r="G2159" s="27">
        <f ca="1">ROUND(E2159*F2159,2)</f>
        <v>0</v>
      </c>
    </row>
    <row r="2160" spans="1:7" ht="15.12" thickBot="1" customHeight="1">
      <c r="A2160" s="26"/>
      <c r="B2160" s="26"/>
      <c r="C2160" s="26"/>
      <c r="D2160" s="24" t="s">
        <v>6513</v>
      </c>
      <c r="E2160" s="28">
        <v>0.50000</v>
      </c>
      <c r="F2160" s="29">
        <f ca="1">ROUND((G2157+G2158+G2159),3)</f>
        <v>0</v>
      </c>
      <c r="G2160" s="27">
        <f ca="1">ROUND(E2160*F2160,2)</f>
        <v>0</v>
      </c>
    </row>
    <row r="2161" spans="1:7" ht="15.12" thickBot="1" customHeight="1">
      <c r="A2161" s="24" t="s">
        <v>6514</v>
      </c>
      <c r="B2161" s="24"/>
      <c r="C2161" s="24" t="s">
        <v>6515</v>
      </c>
      <c r="D2161" s="25" t="s">
        <v>6516</v>
      </c>
      <c r="E2161" s="28">
        <v>3.00000</v>
      </c>
      <c r="F2161" s="29">
        <f ca="1">ROUND(21.900,3)</f>
        <v>0</v>
      </c>
      <c r="G2161" s="27">
        <f ca="1">ROUND((E2161*F2161)/100,2)</f>
        <v>0</v>
      </c>
    </row>
    <row r="2162" spans="1:7" ht="15.48" thickBot="1" customHeight="1">
      <c r="A2162" s="30"/>
      <c r="B2162" s="30"/>
      <c r="C2162" s="30"/>
      <c r="D2162" s="31" t="s">
        <v>6517</v>
      </c>
      <c r="E2162" s="30"/>
      <c r="F2162" s="33">
        <f ca="1">ROUND((G2154+G2155+G2156+G2161)*(1+G2/100),2)</f>
        <v>0</v>
      </c>
      <c r="G2162" s="30"/>
    </row>
    <row r="2163" spans="1:7" ht="39.84" thickBot="1" customHeight="1">
      <c r="A2163" s="34" t="s">
        <v>6518</v>
      </c>
      <c r="B2163" s="35" t="s">
        <v>6519</v>
      </c>
      <c r="C2163" s="35" t="s">
        <v>6520</v>
      </c>
      <c r="D2163" s="36" t="s">
        <v>6521</v>
      </c>
      <c r="E2163" s="37"/>
      <c r="F2163" s="38">
        <f ca="1">F2174</f>
        <v>0</v>
      </c>
      <c r="G2163" s="37"/>
    </row>
    <row r="2164" spans="1:7" ht="21.36" thickBot="1" customHeight="1">
      <c r="A2164" s="26"/>
      <c r="B2164" s="26"/>
      <c r="C2164" s="26"/>
      <c r="D2164" s="25" t="s">
        <v>6522</v>
      </c>
      <c r="E2164" s="25"/>
      <c r="F2164" s="25"/>
      <c r="G2164" s="25"/>
    </row>
    <row r="2165" spans="1:7" ht="21.36" thickBot="1" customHeight="1">
      <c r="A2165" s="24" t="s">
        <v>6523</v>
      </c>
      <c r="B2165" s="24" t="s">
        <v>6524</v>
      </c>
      <c r="C2165" s="24" t="s">
        <v>6525</v>
      </c>
      <c r="D2165" s="25" t="s">
        <v>6526</v>
      </c>
      <c r="E2165" s="28">
        <v>0.50000</v>
      </c>
      <c r="F2165" s="29">
        <f ca="1">ROUND(6.320,3)</f>
        <v>0</v>
      </c>
      <c r="G2165" s="27">
        <f ca="1">ROUND(E2165*F2165,2)</f>
        <v>0</v>
      </c>
    </row>
    <row r="2166" spans="1:7" ht="21.36" thickBot="1" customHeight="1">
      <c r="A2166" s="24" t="s">
        <v>6527</v>
      </c>
      <c r="B2166" s="24" t="s">
        <v>6528</v>
      </c>
      <c r="C2166" s="24" t="s">
        <v>6529</v>
      </c>
      <c r="D2166" s="25" t="s">
        <v>6530</v>
      </c>
      <c r="E2166" s="28">
        <v>1.00000</v>
      </c>
      <c r="F2166" s="29">
        <f ca="1">ROUND(0.900,3)</f>
        <v>0</v>
      </c>
      <c r="G2166" s="27">
        <f ca="1">ROUND(E2166*F2166,2)</f>
        <v>0</v>
      </c>
    </row>
    <row r="2167" spans="1:7" ht="21.36" thickBot="1" customHeight="1">
      <c r="A2167" s="24" t="s">
        <v>6531</v>
      </c>
      <c r="B2167" s="24" t="s">
        <v>6532</v>
      </c>
      <c r="C2167" s="24" t="s">
        <v>6533</v>
      </c>
      <c r="D2167" s="25" t="s">
        <v>6534</v>
      </c>
      <c r="E2167" s="28">
        <v>0.00500</v>
      </c>
      <c r="F2167" s="29">
        <f ca="1">ROUND(4.950,3)</f>
        <v>0</v>
      </c>
      <c r="G2167" s="27">
        <f ca="1">ROUND(E2167*F2167,2)</f>
        <v>0</v>
      </c>
    </row>
    <row r="2168" spans="1:7" ht="21.36" thickBot="1" customHeight="1">
      <c r="A2168" s="24" t="s">
        <v>6535</v>
      </c>
      <c r="B2168" s="24" t="s">
        <v>6536</v>
      </c>
      <c r="C2168" s="24" t="s">
        <v>6537</v>
      </c>
      <c r="D2168" s="25" t="s">
        <v>6538</v>
      </c>
      <c r="E2168" s="28">
        <v>0.66667</v>
      </c>
      <c r="F2168" s="29">
        <f ca="1">F2172</f>
        <v>0</v>
      </c>
      <c r="G2168" s="27">
        <f ca="1">ROUND(E2168*F2168,2)</f>
        <v>0</v>
      </c>
    </row>
    <row r="2169" spans="1:7" ht="24.36" thickBot="1" customHeight="1">
      <c r="A2169" s="24" t="s">
        <v>6539</v>
      </c>
      <c r="B2169" s="24" t="s">
        <v>6540</v>
      </c>
      <c r="C2169" s="24" t="s">
        <v>6541</v>
      </c>
      <c r="D2169" s="25" t="s">
        <v>6542</v>
      </c>
      <c r="E2169" s="28">
        <v>1.00000</v>
      </c>
      <c r="F2169" s="29">
        <f ca="1">ROUND(21.000,3)</f>
        <v>0</v>
      </c>
      <c r="G2169" s="27">
        <f ca="1">ROUND(E2169*F2169,2)</f>
        <v>0</v>
      </c>
    </row>
    <row r="2170" spans="1:7" ht="24.36" thickBot="1" customHeight="1">
      <c r="A2170" s="24" t="s">
        <v>6543</v>
      </c>
      <c r="B2170" s="24" t="s">
        <v>6544</v>
      </c>
      <c r="C2170" s="24" t="s">
        <v>6545</v>
      </c>
      <c r="D2170" s="25" t="s">
        <v>6546</v>
      </c>
      <c r="E2170" s="28">
        <v>1.00000</v>
      </c>
      <c r="F2170" s="29">
        <f ca="1">ROUND(19.000,3)</f>
        <v>0</v>
      </c>
      <c r="G2170" s="27">
        <f ca="1">ROUND(E2170*F2170,2)</f>
        <v>0</v>
      </c>
    </row>
    <row r="2171" spans="1:7" ht="24.36" thickBot="1" customHeight="1">
      <c r="A2171" s="24" t="s">
        <v>6547</v>
      </c>
      <c r="B2171" s="24" t="s">
        <v>6548</v>
      </c>
      <c r="C2171" s="24" t="s">
        <v>6549</v>
      </c>
      <c r="D2171" s="25" t="s">
        <v>6550</v>
      </c>
      <c r="E2171" s="28">
        <v>0.20000</v>
      </c>
      <c r="F2171" s="29">
        <f ca="1">ROUND(19.000,3)</f>
        <v>0</v>
      </c>
      <c r="G2171" s="27">
        <f ca="1">ROUND(E2171*F2171,2)</f>
        <v>0</v>
      </c>
    </row>
    <row r="2172" spans="1:7" ht="15.12" thickBot="1" customHeight="1">
      <c r="A2172" s="26"/>
      <c r="B2172" s="26"/>
      <c r="C2172" s="26"/>
      <c r="D2172" s="24" t="s">
        <v>6551</v>
      </c>
      <c r="E2172" s="28">
        <v>0.66667</v>
      </c>
      <c r="F2172" s="29">
        <f ca="1">ROUND((G2169+G2170+G2171),3)</f>
        <v>0</v>
      </c>
      <c r="G2172" s="27">
        <f ca="1">ROUND(E2172*F2172,2)</f>
        <v>0</v>
      </c>
    </row>
    <row r="2173" spans="1:7" ht="15.12" thickBot="1" customHeight="1">
      <c r="A2173" s="24" t="s">
        <v>6552</v>
      </c>
      <c r="B2173" s="24"/>
      <c r="C2173" s="24" t="s">
        <v>6553</v>
      </c>
      <c r="D2173" s="25" t="s">
        <v>6554</v>
      </c>
      <c r="E2173" s="28">
        <v>3.00000</v>
      </c>
      <c r="F2173" s="29">
        <f ca="1">ROUND(29.200,3)</f>
        <v>0</v>
      </c>
      <c r="G2173" s="27">
        <f ca="1">ROUND((E2173*F2173)/100,2)</f>
        <v>0</v>
      </c>
    </row>
    <row r="2174" spans="1:7" ht="15.48" thickBot="1" customHeight="1">
      <c r="A2174" s="30"/>
      <c r="B2174" s="30"/>
      <c r="C2174" s="30"/>
      <c r="D2174" s="31" t="s">
        <v>6555</v>
      </c>
      <c r="E2174" s="30"/>
      <c r="F2174" s="33">
        <f ca="1">ROUND((G2165+G2166+G2167+G2168+G2173)*(1+G2/100),2)</f>
        <v>0</v>
      </c>
      <c r="G2174" s="30"/>
    </row>
    <row r="2175" spans="1:7" ht="15.48" thickBot="1" customHeight="1">
      <c r="A2175" s="39"/>
      <c r="B2175" s="39"/>
      <c r="C2175" s="39"/>
      <c r="D2175" s="40" t="s">
        <v>6556</v>
      </c>
      <c r="E2175" s="41"/>
      <c r="F2175" s="41"/>
      <c r="G2175" s="41"/>
    </row>
    <row r="2176" spans="1:7" ht="22.08" thickBot="1" customHeight="1">
      <c r="A2176" s="42" t="s">
        <v>6557</v>
      </c>
      <c r="B2176" s="42" t="s">
        <v>6558</v>
      </c>
      <c r="C2176" s="43"/>
      <c r="D2176" s="44" t="s">
        <v>6559</v>
      </c>
      <c r="E2176" s="43"/>
      <c r="F2176" s="43"/>
      <c r="G2176" s="43"/>
    </row>
    <row r="2177" spans="1:7" ht="30.60" thickBot="1" customHeight="1">
      <c r="A2177" s="10" t="s">
        <v>6560</v>
      </c>
      <c r="B2177" s="24" t="s">
        <v>6561</v>
      </c>
      <c r="C2177" s="24" t="s">
        <v>6562</v>
      </c>
      <c r="D2177" s="25" t="s">
        <v>6563</v>
      </c>
      <c r="E2177" s="26"/>
      <c r="F2177" s="27">
        <f ca="1">F2189</f>
        <v>0</v>
      </c>
      <c r="G2177" s="26"/>
    </row>
    <row r="2178" spans="1:7" ht="49.08" thickBot="1" customHeight="1">
      <c r="A2178" s="26"/>
      <c r="B2178" s="26"/>
      <c r="C2178" s="26"/>
      <c r="D2178" s="25" t="s">
        <v>6564</v>
      </c>
      <c r="E2178" s="25"/>
      <c r="F2178" s="25"/>
      <c r="G2178" s="25"/>
    </row>
    <row r="2179" spans="1:7" ht="21.36" thickBot="1" customHeight="1">
      <c r="A2179" s="24" t="s">
        <v>6565</v>
      </c>
      <c r="B2179" s="24" t="s">
        <v>6566</v>
      </c>
      <c r="C2179" s="24" t="s">
        <v>6567</v>
      </c>
      <c r="D2179" s="25" t="s">
        <v>6568</v>
      </c>
      <c r="E2179" s="28">
        <v>0.25000</v>
      </c>
      <c r="F2179" s="29">
        <f ca="1">ROUND(3.470,3)</f>
        <v>0</v>
      </c>
      <c r="G2179" s="27">
        <f ca="1">ROUND(E2179*F2179,2)</f>
        <v>0</v>
      </c>
    </row>
    <row r="2180" spans="1:7" ht="21.36" thickBot="1" customHeight="1">
      <c r="A2180" s="24" t="s">
        <v>6569</v>
      </c>
      <c r="B2180" s="24" t="s">
        <v>6570</v>
      </c>
      <c r="C2180" s="24" t="s">
        <v>6571</v>
      </c>
      <c r="D2180" s="25" t="s">
        <v>6572</v>
      </c>
      <c r="E2180" s="28">
        <v>0.10000</v>
      </c>
      <c r="F2180" s="29">
        <f ca="1">ROUND(1.320,3)</f>
        <v>0</v>
      </c>
      <c r="G2180" s="27">
        <f ca="1">ROUND(E2180*F2180,2)</f>
        <v>0</v>
      </c>
    </row>
    <row r="2181" spans="1:7" ht="39.84" thickBot="1" customHeight="1">
      <c r="A2181" s="24" t="s">
        <v>6573</v>
      </c>
      <c r="B2181" s="24" t="s">
        <v>6574</v>
      </c>
      <c r="C2181" s="24" t="s">
        <v>6575</v>
      </c>
      <c r="D2181" s="25" t="s">
        <v>6576</v>
      </c>
      <c r="E2181" s="28">
        <v>0.40000</v>
      </c>
      <c r="F2181" s="29">
        <f ca="1">ROUND(1.750,3)</f>
        <v>0</v>
      </c>
      <c r="G2181" s="27">
        <f ca="1">ROUND(E2181*F2181,2)</f>
        <v>0</v>
      </c>
    </row>
    <row r="2182" spans="1:7" ht="21.36" thickBot="1" customHeight="1">
      <c r="A2182" s="24" t="s">
        <v>6577</v>
      </c>
      <c r="B2182" s="24" t="s">
        <v>6578</v>
      </c>
      <c r="C2182" s="24" t="s">
        <v>6579</v>
      </c>
      <c r="D2182" s="25" t="s">
        <v>6580</v>
      </c>
      <c r="E2182" s="28">
        <v>0.50000</v>
      </c>
      <c r="F2182" s="29">
        <f ca="1">ROUND(0.970,3)</f>
        <v>0</v>
      </c>
      <c r="G2182" s="27">
        <f ca="1">ROUND(E2182*F2182,2)</f>
        <v>0</v>
      </c>
    </row>
    <row r="2183" spans="1:7" ht="21.36" thickBot="1" customHeight="1">
      <c r="A2183" s="24" t="s">
        <v>6581</v>
      </c>
      <c r="B2183" s="24" t="s">
        <v>6582</v>
      </c>
      <c r="C2183" s="24" t="s">
        <v>6583</v>
      </c>
      <c r="D2183" s="25" t="s">
        <v>6584</v>
      </c>
      <c r="E2183" s="28">
        <v>0.90000</v>
      </c>
      <c r="F2183" s="29">
        <f ca="1">F2187</f>
        <v>0</v>
      </c>
      <c r="G2183" s="27">
        <f ca="1">ROUND(E2183*F2183,2)</f>
        <v>0</v>
      </c>
    </row>
    <row r="2184" spans="1:7" ht="24.36" thickBot="1" customHeight="1">
      <c r="A2184" s="24" t="s">
        <v>6585</v>
      </c>
      <c r="B2184" s="24" t="s">
        <v>6586</v>
      </c>
      <c r="C2184" s="24" t="s">
        <v>6587</v>
      </c>
      <c r="D2184" s="25" t="s">
        <v>6588</v>
      </c>
      <c r="E2184" s="28">
        <v>1.00000</v>
      </c>
      <c r="F2184" s="29">
        <f ca="1">ROUND(21.000,3)</f>
        <v>0</v>
      </c>
      <c r="G2184" s="27">
        <f ca="1">ROUND(E2184*F2184,2)</f>
        <v>0</v>
      </c>
    </row>
    <row r="2185" spans="1:7" ht="24.36" thickBot="1" customHeight="1">
      <c r="A2185" s="24" t="s">
        <v>6589</v>
      </c>
      <c r="B2185" s="24" t="s">
        <v>6590</v>
      </c>
      <c r="C2185" s="24" t="s">
        <v>6591</v>
      </c>
      <c r="D2185" s="25" t="s">
        <v>6592</v>
      </c>
      <c r="E2185" s="28">
        <v>1.00000</v>
      </c>
      <c r="F2185" s="29">
        <f ca="1">ROUND(19.000,3)</f>
        <v>0</v>
      </c>
      <c r="G2185" s="27">
        <f ca="1">ROUND(E2185*F2185,2)</f>
        <v>0</v>
      </c>
    </row>
    <row r="2186" spans="1:7" ht="24.36" thickBot="1" customHeight="1">
      <c r="A2186" s="24" t="s">
        <v>6593</v>
      </c>
      <c r="B2186" s="24" t="s">
        <v>6594</v>
      </c>
      <c r="C2186" s="24" t="s">
        <v>6595</v>
      </c>
      <c r="D2186" s="25" t="s">
        <v>6596</v>
      </c>
      <c r="E2186" s="28">
        <v>0.20000</v>
      </c>
      <c r="F2186" s="29">
        <f ca="1">ROUND(19.000,3)</f>
        <v>0</v>
      </c>
      <c r="G2186" s="27">
        <f ca="1">ROUND(E2186*F2186,2)</f>
        <v>0</v>
      </c>
    </row>
    <row r="2187" spans="1:7" ht="15.12" thickBot="1" customHeight="1">
      <c r="A2187" s="26"/>
      <c r="B2187" s="26"/>
      <c r="C2187" s="26"/>
      <c r="D2187" s="24" t="s">
        <v>6597</v>
      </c>
      <c r="E2187" s="28">
        <v>0.90000</v>
      </c>
      <c r="F2187" s="29">
        <f ca="1">ROUND((G2184+G2185+G2186),3)</f>
        <v>0</v>
      </c>
      <c r="G2187" s="27">
        <f ca="1">ROUND(E2187*F2187,2)</f>
        <v>0</v>
      </c>
    </row>
    <row r="2188" spans="1:7" ht="15.12" thickBot="1" customHeight="1">
      <c r="A2188" s="24" t="s">
        <v>6598</v>
      </c>
      <c r="B2188" s="24"/>
      <c r="C2188" s="24" t="s">
        <v>6599</v>
      </c>
      <c r="D2188" s="25" t="s">
        <v>6600</v>
      </c>
      <c r="E2188" s="28">
        <v>3.00000</v>
      </c>
      <c r="F2188" s="29">
        <f ca="1">ROUND(39.420,3)</f>
        <v>0</v>
      </c>
      <c r="G2188" s="27">
        <f ca="1">ROUND((E2188*F2188)/100,2)</f>
        <v>0</v>
      </c>
    </row>
    <row r="2189" spans="1:7" ht="15.48" thickBot="1" customHeight="1">
      <c r="A2189" s="30"/>
      <c r="B2189" s="30"/>
      <c r="C2189" s="30"/>
      <c r="D2189" s="31" t="s">
        <v>6601</v>
      </c>
      <c r="E2189" s="30"/>
      <c r="F2189" s="33">
        <f ca="1">ROUND((G2179+G2180+G2181+G2182+G2183+G2188)*(1+G2/100),2)</f>
        <v>0</v>
      </c>
      <c r="G2189" s="30"/>
    </row>
    <row r="2190" spans="1:7" ht="30.60" thickBot="1" customHeight="1">
      <c r="A2190" s="34" t="s">
        <v>6602</v>
      </c>
      <c r="B2190" s="35" t="s">
        <v>6603</v>
      </c>
      <c r="C2190" s="35" t="s">
        <v>6604</v>
      </c>
      <c r="D2190" s="36" t="s">
        <v>6605</v>
      </c>
      <c r="E2190" s="37"/>
      <c r="F2190" s="38">
        <f ca="1">F2200</f>
        <v>0</v>
      </c>
      <c r="G2190" s="37"/>
    </row>
    <row r="2191" spans="1:7" ht="21.36" thickBot="1" customHeight="1">
      <c r="A2191" s="26"/>
      <c r="B2191" s="26"/>
      <c r="C2191" s="26"/>
      <c r="D2191" s="25" t="s">
        <v>6606</v>
      </c>
      <c r="E2191" s="25"/>
      <c r="F2191" s="25"/>
      <c r="G2191" s="25"/>
    </row>
    <row r="2192" spans="1:7" ht="39.84" thickBot="1" customHeight="1">
      <c r="A2192" s="24" t="s">
        <v>6607</v>
      </c>
      <c r="B2192" s="24" t="s">
        <v>6608</v>
      </c>
      <c r="C2192" s="24" t="s">
        <v>6609</v>
      </c>
      <c r="D2192" s="25" t="s">
        <v>6610</v>
      </c>
      <c r="E2192" s="28">
        <v>0.30000</v>
      </c>
      <c r="F2192" s="29">
        <f ca="1">ROUND(1.750,3)</f>
        <v>0</v>
      </c>
      <c r="G2192" s="27">
        <f ca="1">ROUND(E2192*F2192,2)</f>
        <v>0</v>
      </c>
    </row>
    <row r="2193" spans="1:7" ht="21.36" thickBot="1" customHeight="1">
      <c r="A2193" s="24" t="s">
        <v>6611</v>
      </c>
      <c r="B2193" s="24" t="s">
        <v>6612</v>
      </c>
      <c r="C2193" s="24" t="s">
        <v>6613</v>
      </c>
      <c r="D2193" s="25" t="s">
        <v>6614</v>
      </c>
      <c r="E2193" s="28">
        <v>0.20000</v>
      </c>
      <c r="F2193" s="29">
        <f ca="1">ROUND(0.970,3)</f>
        <v>0</v>
      </c>
      <c r="G2193" s="27">
        <f ca="1">ROUND(E2193*F2193,2)</f>
        <v>0</v>
      </c>
    </row>
    <row r="2194" spans="1:7" ht="21.36" thickBot="1" customHeight="1">
      <c r="A2194" s="24" t="s">
        <v>6615</v>
      </c>
      <c r="B2194" s="24" t="s">
        <v>6616</v>
      </c>
      <c r="C2194" s="24" t="s">
        <v>6617</v>
      </c>
      <c r="D2194" s="25" t="s">
        <v>6618</v>
      </c>
      <c r="E2194" s="28">
        <v>0.75000</v>
      </c>
      <c r="F2194" s="29">
        <f ca="1">F2198</f>
        <v>0</v>
      </c>
      <c r="G2194" s="27">
        <f ca="1">ROUND(E2194*F2194,2)</f>
        <v>0</v>
      </c>
    </row>
    <row r="2195" spans="1:7" ht="24.36" thickBot="1" customHeight="1">
      <c r="A2195" s="24" t="s">
        <v>6619</v>
      </c>
      <c r="B2195" s="24" t="s">
        <v>6620</v>
      </c>
      <c r="C2195" s="24" t="s">
        <v>6621</v>
      </c>
      <c r="D2195" s="25" t="s">
        <v>6622</v>
      </c>
      <c r="E2195" s="28">
        <v>1.00000</v>
      </c>
      <c r="F2195" s="29">
        <f ca="1">ROUND(21.000,3)</f>
        <v>0</v>
      </c>
      <c r="G2195" s="27">
        <f ca="1">ROUND(E2195*F2195,2)</f>
        <v>0</v>
      </c>
    </row>
    <row r="2196" spans="1:7" ht="24.36" thickBot="1" customHeight="1">
      <c r="A2196" s="24" t="s">
        <v>6623</v>
      </c>
      <c r="B2196" s="24" t="s">
        <v>6624</v>
      </c>
      <c r="C2196" s="24" t="s">
        <v>6625</v>
      </c>
      <c r="D2196" s="25" t="s">
        <v>6626</v>
      </c>
      <c r="E2196" s="28">
        <v>1.00000</v>
      </c>
      <c r="F2196" s="29">
        <f ca="1">ROUND(19.000,3)</f>
        <v>0</v>
      </c>
      <c r="G2196" s="27">
        <f ca="1">ROUND(E2196*F2196,2)</f>
        <v>0</v>
      </c>
    </row>
    <row r="2197" spans="1:7" ht="24.36" thickBot="1" customHeight="1">
      <c r="A2197" s="24" t="s">
        <v>6627</v>
      </c>
      <c r="B2197" s="24" t="s">
        <v>6628</v>
      </c>
      <c r="C2197" s="24" t="s">
        <v>6629</v>
      </c>
      <c r="D2197" s="25" t="s">
        <v>6630</v>
      </c>
      <c r="E2197" s="28">
        <v>0.20000</v>
      </c>
      <c r="F2197" s="29">
        <f ca="1">ROUND(19.000,3)</f>
        <v>0</v>
      </c>
      <c r="G2197" s="27">
        <f ca="1">ROUND(E2197*F2197,2)</f>
        <v>0</v>
      </c>
    </row>
    <row r="2198" spans="1:7" ht="15.12" thickBot="1" customHeight="1">
      <c r="A2198" s="26"/>
      <c r="B2198" s="26"/>
      <c r="C2198" s="26"/>
      <c r="D2198" s="24" t="s">
        <v>6631</v>
      </c>
      <c r="E2198" s="28">
        <v>0.75000</v>
      </c>
      <c r="F2198" s="29">
        <f ca="1">ROUND((G2195+G2196+G2197),3)</f>
        <v>0</v>
      </c>
      <c r="G2198" s="27">
        <f ca="1">ROUND(E2198*F2198,2)</f>
        <v>0</v>
      </c>
    </row>
    <row r="2199" spans="1:7" ht="15.12" thickBot="1" customHeight="1">
      <c r="A2199" s="24" t="s">
        <v>6632</v>
      </c>
      <c r="B2199" s="24"/>
      <c r="C2199" s="24" t="s">
        <v>6633</v>
      </c>
      <c r="D2199" s="25" t="s">
        <v>6634</v>
      </c>
      <c r="E2199" s="28">
        <v>3.00000</v>
      </c>
      <c r="F2199" s="29">
        <f ca="1">ROUND(32.850,3)</f>
        <v>0</v>
      </c>
      <c r="G2199" s="27">
        <f ca="1">ROUND((E2199*F2199)/100,2)</f>
        <v>0</v>
      </c>
    </row>
    <row r="2200" spans="1:7" ht="15.48" thickBot="1" customHeight="1">
      <c r="A2200" s="30"/>
      <c r="B2200" s="30"/>
      <c r="C2200" s="30"/>
      <c r="D2200" s="31" t="s">
        <v>6635</v>
      </c>
      <c r="E2200" s="30"/>
      <c r="F2200" s="33">
        <f ca="1">ROUND((G2192+G2193+G2194+G2199)*(1+G2/100),2)</f>
        <v>0</v>
      </c>
      <c r="G2200" s="30"/>
    </row>
    <row r="2201" spans="1:7" ht="30.60" thickBot="1" customHeight="1">
      <c r="A2201" s="34" t="s">
        <v>6636</v>
      </c>
      <c r="B2201" s="35" t="s">
        <v>6637</v>
      </c>
      <c r="C2201" s="35" t="s">
        <v>6638</v>
      </c>
      <c r="D2201" s="36" t="s">
        <v>6639</v>
      </c>
      <c r="E2201" s="37"/>
      <c r="F2201" s="38">
        <f ca="1">F2213</f>
        <v>0</v>
      </c>
      <c r="G2201" s="37"/>
    </row>
    <row r="2202" spans="1:7" ht="49.08" thickBot="1" customHeight="1">
      <c r="A2202" s="26"/>
      <c r="B2202" s="26"/>
      <c r="C2202" s="26"/>
      <c r="D2202" s="25" t="s">
        <v>6640</v>
      </c>
      <c r="E2202" s="25"/>
      <c r="F2202" s="25"/>
      <c r="G2202" s="25"/>
    </row>
    <row r="2203" spans="1:7" ht="21.36" thickBot="1" customHeight="1">
      <c r="A2203" s="24" t="s">
        <v>6641</v>
      </c>
      <c r="B2203" s="24" t="s">
        <v>6642</v>
      </c>
      <c r="C2203" s="24" t="s">
        <v>6643</v>
      </c>
      <c r="D2203" s="25" t="s">
        <v>6644</v>
      </c>
      <c r="E2203" s="28">
        <v>0.25000</v>
      </c>
      <c r="F2203" s="29">
        <f ca="1">ROUND(3.470,3)</f>
        <v>0</v>
      </c>
      <c r="G2203" s="27">
        <f ca="1">ROUND(E2203*F2203,2)</f>
        <v>0</v>
      </c>
    </row>
    <row r="2204" spans="1:7" ht="21.36" thickBot="1" customHeight="1">
      <c r="A2204" s="24" t="s">
        <v>6645</v>
      </c>
      <c r="B2204" s="24" t="s">
        <v>6646</v>
      </c>
      <c r="C2204" s="24" t="s">
        <v>6647</v>
      </c>
      <c r="D2204" s="25" t="s">
        <v>6648</v>
      </c>
      <c r="E2204" s="28">
        <v>0.10000</v>
      </c>
      <c r="F2204" s="29">
        <f ca="1">ROUND(1.320,3)</f>
        <v>0</v>
      </c>
      <c r="G2204" s="27">
        <f ca="1">ROUND(E2204*F2204,2)</f>
        <v>0</v>
      </c>
    </row>
    <row r="2205" spans="1:7" ht="39.84" thickBot="1" customHeight="1">
      <c r="A2205" s="24" t="s">
        <v>6649</v>
      </c>
      <c r="B2205" s="24" t="s">
        <v>6650</v>
      </c>
      <c r="C2205" s="24" t="s">
        <v>6651</v>
      </c>
      <c r="D2205" s="25" t="s">
        <v>6652</v>
      </c>
      <c r="E2205" s="28">
        <v>0.20000</v>
      </c>
      <c r="F2205" s="29">
        <f ca="1">ROUND(1.750,3)</f>
        <v>0</v>
      </c>
      <c r="G2205" s="27">
        <f ca="1">ROUND(E2205*F2205,2)</f>
        <v>0</v>
      </c>
    </row>
    <row r="2206" spans="1:7" ht="21.36" thickBot="1" customHeight="1">
      <c r="A2206" s="24" t="s">
        <v>6653</v>
      </c>
      <c r="B2206" s="24" t="s">
        <v>6654</v>
      </c>
      <c r="C2206" s="24" t="s">
        <v>6655</v>
      </c>
      <c r="D2206" s="25" t="s">
        <v>6656</v>
      </c>
      <c r="E2206" s="28">
        <v>0.33333</v>
      </c>
      <c r="F2206" s="29">
        <f ca="1">ROUND(0.970,3)</f>
        <v>0</v>
      </c>
      <c r="G2206" s="27">
        <f ca="1">ROUND(E2206*F2206,2)</f>
        <v>0</v>
      </c>
    </row>
    <row r="2207" spans="1:7" ht="21.36" thickBot="1" customHeight="1">
      <c r="A2207" s="24" t="s">
        <v>6657</v>
      </c>
      <c r="B2207" s="24" t="s">
        <v>6658</v>
      </c>
      <c r="C2207" s="24" t="s">
        <v>6659</v>
      </c>
      <c r="D2207" s="25" t="s">
        <v>6660</v>
      </c>
      <c r="E2207" s="28">
        <v>0.80000</v>
      </c>
      <c r="F2207" s="29">
        <f ca="1">F2211</f>
        <v>0</v>
      </c>
      <c r="G2207" s="27">
        <f ca="1">ROUND(E2207*F2207,2)</f>
        <v>0</v>
      </c>
    </row>
    <row r="2208" spans="1:7" ht="24.36" thickBot="1" customHeight="1">
      <c r="A2208" s="24" t="s">
        <v>6661</v>
      </c>
      <c r="B2208" s="24" t="s">
        <v>6662</v>
      </c>
      <c r="C2208" s="24" t="s">
        <v>6663</v>
      </c>
      <c r="D2208" s="25" t="s">
        <v>6664</v>
      </c>
      <c r="E2208" s="28">
        <v>1.00000</v>
      </c>
      <c r="F2208" s="29">
        <f ca="1">ROUND(21.000,3)</f>
        <v>0</v>
      </c>
      <c r="G2208" s="27">
        <f ca="1">ROUND(E2208*F2208,2)</f>
        <v>0</v>
      </c>
    </row>
    <row r="2209" spans="1:7" ht="24.36" thickBot="1" customHeight="1">
      <c r="A2209" s="24" t="s">
        <v>6665</v>
      </c>
      <c r="B2209" s="24" t="s">
        <v>6666</v>
      </c>
      <c r="C2209" s="24" t="s">
        <v>6667</v>
      </c>
      <c r="D2209" s="25" t="s">
        <v>6668</v>
      </c>
      <c r="E2209" s="28">
        <v>1.00000</v>
      </c>
      <c r="F2209" s="29">
        <f ca="1">ROUND(19.000,3)</f>
        <v>0</v>
      </c>
      <c r="G2209" s="27">
        <f ca="1">ROUND(E2209*F2209,2)</f>
        <v>0</v>
      </c>
    </row>
    <row r="2210" spans="1:7" ht="24.36" thickBot="1" customHeight="1">
      <c r="A2210" s="24" t="s">
        <v>6669</v>
      </c>
      <c r="B2210" s="24" t="s">
        <v>6670</v>
      </c>
      <c r="C2210" s="24" t="s">
        <v>6671</v>
      </c>
      <c r="D2210" s="25" t="s">
        <v>6672</v>
      </c>
      <c r="E2210" s="28">
        <v>0.20000</v>
      </c>
      <c r="F2210" s="29">
        <f ca="1">ROUND(19.000,3)</f>
        <v>0</v>
      </c>
      <c r="G2210" s="27">
        <f ca="1">ROUND(E2210*F2210,2)</f>
        <v>0</v>
      </c>
    </row>
    <row r="2211" spans="1:7" ht="15.12" thickBot="1" customHeight="1">
      <c r="A2211" s="26"/>
      <c r="B2211" s="26"/>
      <c r="C2211" s="26"/>
      <c r="D2211" s="24" t="s">
        <v>6673</v>
      </c>
      <c r="E2211" s="28">
        <v>0.80000</v>
      </c>
      <c r="F2211" s="29">
        <f ca="1">ROUND((G2208+G2209+G2210),3)</f>
        <v>0</v>
      </c>
      <c r="G2211" s="27">
        <f ca="1">ROUND(E2211*F2211,2)</f>
        <v>0</v>
      </c>
    </row>
    <row r="2212" spans="1:7" ht="15.12" thickBot="1" customHeight="1">
      <c r="A2212" s="24" t="s">
        <v>6674</v>
      </c>
      <c r="B2212" s="24"/>
      <c r="C2212" s="24" t="s">
        <v>6675</v>
      </c>
      <c r="D2212" s="25" t="s">
        <v>6676</v>
      </c>
      <c r="E2212" s="28">
        <v>3.00000</v>
      </c>
      <c r="F2212" s="29">
        <f ca="1">ROUND(35.040,3)</f>
        <v>0</v>
      </c>
      <c r="G2212" s="27">
        <f ca="1">ROUND((E2212*F2212)/100,2)</f>
        <v>0</v>
      </c>
    </row>
    <row r="2213" spans="1:7" ht="25.08" thickBot="1" customHeight="1">
      <c r="A2213" s="30"/>
      <c r="B2213" s="30"/>
      <c r="C2213" s="30"/>
      <c r="D2213" s="31" t="s">
        <v>6677</v>
      </c>
      <c r="E2213" s="30"/>
      <c r="F2213" s="33">
        <f ca="1">ROUND((G2203+G2204+G2205+G2206+G2207+G2212)*(1+G2/100),2)</f>
        <v>0</v>
      </c>
      <c r="G2213" s="30"/>
    </row>
    <row r="2214" spans="1:7" ht="30.60" thickBot="1" customHeight="1">
      <c r="A2214" s="34" t="s">
        <v>6678</v>
      </c>
      <c r="B2214" s="35" t="s">
        <v>6679</v>
      </c>
      <c r="C2214" s="35" t="s">
        <v>6680</v>
      </c>
      <c r="D2214" s="36" t="s">
        <v>6681</v>
      </c>
      <c r="E2214" s="37"/>
      <c r="F2214" s="38">
        <f ca="1">F2224</f>
        <v>0</v>
      </c>
      <c r="G2214" s="37"/>
    </row>
    <row r="2215" spans="1:7" ht="30.60" thickBot="1" customHeight="1">
      <c r="A2215" s="26"/>
      <c r="B2215" s="26"/>
      <c r="C2215" s="26"/>
      <c r="D2215" s="25" t="s">
        <v>6682</v>
      </c>
      <c r="E2215" s="25"/>
      <c r="F2215" s="25"/>
      <c r="G2215" s="25"/>
    </row>
    <row r="2216" spans="1:7" ht="39.84" thickBot="1" customHeight="1">
      <c r="A2216" s="24" t="s">
        <v>6683</v>
      </c>
      <c r="B2216" s="24" t="s">
        <v>6684</v>
      </c>
      <c r="C2216" s="24" t="s">
        <v>6685</v>
      </c>
      <c r="D2216" s="25" t="s">
        <v>6686</v>
      </c>
      <c r="E2216" s="28">
        <v>0.20000</v>
      </c>
      <c r="F2216" s="29">
        <f ca="1">ROUND(1.750,3)</f>
        <v>0</v>
      </c>
      <c r="G2216" s="27">
        <f ca="1">ROUND(E2216*F2216,2)</f>
        <v>0</v>
      </c>
    </row>
    <row r="2217" spans="1:7" ht="21.36" thickBot="1" customHeight="1">
      <c r="A2217" s="24" t="s">
        <v>6687</v>
      </c>
      <c r="B2217" s="24" t="s">
        <v>6688</v>
      </c>
      <c r="C2217" s="24" t="s">
        <v>6689</v>
      </c>
      <c r="D2217" s="25" t="s">
        <v>6690</v>
      </c>
      <c r="E2217" s="28">
        <v>0.33333</v>
      </c>
      <c r="F2217" s="29">
        <f ca="1">ROUND(0.970,3)</f>
        <v>0</v>
      </c>
      <c r="G2217" s="27">
        <f ca="1">ROUND(E2217*F2217,2)</f>
        <v>0</v>
      </c>
    </row>
    <row r="2218" spans="1:7" ht="21.36" thickBot="1" customHeight="1">
      <c r="A2218" s="24" t="s">
        <v>6691</v>
      </c>
      <c r="B2218" s="24" t="s">
        <v>6692</v>
      </c>
      <c r="C2218" s="24" t="s">
        <v>6693</v>
      </c>
      <c r="D2218" s="25" t="s">
        <v>6694</v>
      </c>
      <c r="E2218" s="28">
        <v>0.60000</v>
      </c>
      <c r="F2218" s="29">
        <f ca="1">F2222</f>
        <v>0</v>
      </c>
      <c r="G2218" s="27">
        <f ca="1">ROUND(E2218*F2218,2)</f>
        <v>0</v>
      </c>
    </row>
    <row r="2219" spans="1:7" ht="24.36" thickBot="1" customHeight="1">
      <c r="A2219" s="24" t="s">
        <v>6695</v>
      </c>
      <c r="B2219" s="24" t="s">
        <v>6696</v>
      </c>
      <c r="C2219" s="24" t="s">
        <v>6697</v>
      </c>
      <c r="D2219" s="25" t="s">
        <v>6698</v>
      </c>
      <c r="E2219" s="28">
        <v>1.00000</v>
      </c>
      <c r="F2219" s="29">
        <f ca="1">ROUND(21.000,3)</f>
        <v>0</v>
      </c>
      <c r="G2219" s="27">
        <f ca="1">ROUND(E2219*F2219,2)</f>
        <v>0</v>
      </c>
    </row>
    <row r="2220" spans="1:7" ht="24.36" thickBot="1" customHeight="1">
      <c r="A2220" s="24" t="s">
        <v>6699</v>
      </c>
      <c r="B2220" s="24" t="s">
        <v>6700</v>
      </c>
      <c r="C2220" s="24" t="s">
        <v>6701</v>
      </c>
      <c r="D2220" s="25" t="s">
        <v>6702</v>
      </c>
      <c r="E2220" s="28">
        <v>1.00000</v>
      </c>
      <c r="F2220" s="29">
        <f ca="1">ROUND(19.000,3)</f>
        <v>0</v>
      </c>
      <c r="G2220" s="27">
        <f ca="1">ROUND(E2220*F2220,2)</f>
        <v>0</v>
      </c>
    </row>
    <row r="2221" spans="1:7" ht="24.36" thickBot="1" customHeight="1">
      <c r="A2221" s="24" t="s">
        <v>6703</v>
      </c>
      <c r="B2221" s="24" t="s">
        <v>6704</v>
      </c>
      <c r="C2221" s="24" t="s">
        <v>6705</v>
      </c>
      <c r="D2221" s="25" t="s">
        <v>6706</v>
      </c>
      <c r="E2221" s="28">
        <v>0.20000</v>
      </c>
      <c r="F2221" s="29">
        <f ca="1">ROUND(19.000,3)</f>
        <v>0</v>
      </c>
      <c r="G2221" s="27">
        <f ca="1">ROUND(E2221*F2221,2)</f>
        <v>0</v>
      </c>
    </row>
    <row r="2222" spans="1:7" ht="15.12" thickBot="1" customHeight="1">
      <c r="A2222" s="26"/>
      <c r="B2222" s="26"/>
      <c r="C2222" s="26"/>
      <c r="D2222" s="24" t="s">
        <v>6707</v>
      </c>
      <c r="E2222" s="28">
        <v>0.60000</v>
      </c>
      <c r="F2222" s="29">
        <f ca="1">ROUND((G2219+G2220+G2221),3)</f>
        <v>0</v>
      </c>
      <c r="G2222" s="27">
        <f ca="1">ROUND(E2222*F2222,2)</f>
        <v>0</v>
      </c>
    </row>
    <row r="2223" spans="1:7" ht="15.12" thickBot="1" customHeight="1">
      <c r="A2223" s="24" t="s">
        <v>6708</v>
      </c>
      <c r="B2223" s="24"/>
      <c r="C2223" s="24" t="s">
        <v>6709</v>
      </c>
      <c r="D2223" s="25" t="s">
        <v>6710</v>
      </c>
      <c r="E2223" s="28">
        <v>3.00000</v>
      </c>
      <c r="F2223" s="29">
        <f ca="1">ROUND(26.280,3)</f>
        <v>0</v>
      </c>
      <c r="G2223" s="27">
        <f ca="1">ROUND((E2223*F2223)/100,2)</f>
        <v>0</v>
      </c>
    </row>
    <row r="2224" spans="1:7" ht="25.08" thickBot="1" customHeight="1">
      <c r="A2224" s="30"/>
      <c r="B2224" s="30"/>
      <c r="C2224" s="30"/>
      <c r="D2224" s="31" t="s">
        <v>6711</v>
      </c>
      <c r="E2224" s="30"/>
      <c r="F2224" s="33">
        <f ca="1">ROUND((G2216+G2217+G2218+G2223)*(1+G2/100),2)</f>
        <v>0</v>
      </c>
      <c r="G2224" s="30"/>
    </row>
    <row r="2225" spans="1:7" ht="15.48" thickBot="1" customHeight="1">
      <c r="A2225" s="39"/>
      <c r="B2225" s="39"/>
      <c r="C2225" s="39"/>
      <c r="D2225" s="40" t="s">
        <v>6712</v>
      </c>
      <c r="E2225" s="41"/>
      <c r="F2225" s="41"/>
      <c r="G2225" s="41"/>
    </row>
    <row r="2226" spans="1:7" ht="15.48" thickBot="1" customHeight="1">
      <c r="A2226" s="42" t="s">
        <v>6713</v>
      </c>
      <c r="B2226" s="42" t="s">
        <v>6714</v>
      </c>
      <c r="C2226" s="43"/>
      <c r="D2226" s="44" t="s">
        <v>6715</v>
      </c>
      <c r="E2226" s="43"/>
      <c r="F2226" s="43"/>
      <c r="G2226" s="43"/>
    </row>
    <row r="2227" spans="1:7" ht="25.08" thickBot="1" customHeight="1">
      <c r="A2227" s="45" t="s">
        <v>6716</v>
      </c>
      <c r="B2227" s="45" t="s">
        <v>6717</v>
      </c>
      <c r="C2227" s="46"/>
      <c r="D2227" s="47" t="s">
        <v>6718</v>
      </c>
      <c r="E2227" s="46"/>
      <c r="F2227" s="46"/>
      <c r="G2227" s="46"/>
    </row>
    <row r="2228" spans="1:7" ht="21.36" thickBot="1" customHeight="1">
      <c r="A2228" s="10" t="s">
        <v>6719</v>
      </c>
      <c r="B2228" s="24" t="s">
        <v>6720</v>
      </c>
      <c r="C2228" s="24" t="s">
        <v>6721</v>
      </c>
      <c r="D2228" s="25" t="s">
        <v>6722</v>
      </c>
      <c r="E2228" s="26"/>
      <c r="F2228" s="27">
        <f ca="1">F2237</f>
        <v>0</v>
      </c>
      <c r="G2228" s="26"/>
    </row>
    <row r="2229" spans="1:7" ht="12.12" thickBot="1" customHeight="1">
      <c r="A2229" s="26"/>
      <c r="B2229" s="26"/>
      <c r="C2229" s="26"/>
      <c r="D2229" s="25" t="s">
        <v>6723</v>
      </c>
      <c r="E2229" s="25"/>
      <c r="F2229" s="25"/>
      <c r="G2229" s="25"/>
    </row>
    <row r="2230" spans="1:7" ht="30.60" thickBot="1" customHeight="1">
      <c r="A2230" s="24" t="s">
        <v>6724</v>
      </c>
      <c r="B2230" s="24" t="s">
        <v>6725</v>
      </c>
      <c r="C2230" s="24" t="s">
        <v>6726</v>
      </c>
      <c r="D2230" s="25" t="s">
        <v>6727</v>
      </c>
      <c r="E2230" s="28">
        <v>1.00000</v>
      </c>
      <c r="F2230" s="29">
        <f ca="1">ROUND(12.390,3)</f>
        <v>0</v>
      </c>
      <c r="G2230" s="27">
        <f ca="1">ROUND(E2230*F2230,2)</f>
        <v>0</v>
      </c>
    </row>
    <row r="2231" spans="1:7" ht="24.36" thickBot="1" customHeight="1">
      <c r="A2231" s="24" t="s">
        <v>6728</v>
      </c>
      <c r="B2231" s="24" t="s">
        <v>6729</v>
      </c>
      <c r="C2231" s="24" t="s">
        <v>6730</v>
      </c>
      <c r="D2231" s="25" t="s">
        <v>6731</v>
      </c>
      <c r="E2231" s="28">
        <v>0.20000</v>
      </c>
      <c r="F2231" s="29">
        <f ca="1">ROUND(1.100,3)</f>
        <v>0</v>
      </c>
      <c r="G2231" s="27">
        <f ca="1">ROUND(E2231*F2231,2)</f>
        <v>0</v>
      </c>
    </row>
    <row r="2232" spans="1:7" ht="21.36" thickBot="1" customHeight="1">
      <c r="A2232" s="24" t="s">
        <v>6732</v>
      </c>
      <c r="B2232" s="24" t="s">
        <v>6733</v>
      </c>
      <c r="C2232" s="24" t="s">
        <v>6734</v>
      </c>
      <c r="D2232" s="25" t="s">
        <v>6735</v>
      </c>
      <c r="E2232" s="28">
        <v>0.40000</v>
      </c>
      <c r="F2232" s="29">
        <f ca="1">F2235</f>
        <v>0</v>
      </c>
      <c r="G2232" s="27">
        <f ca="1">ROUND(E2232*F2232,2)</f>
        <v>0</v>
      </c>
    </row>
    <row r="2233" spans="1:7" ht="24.36" thickBot="1" customHeight="1">
      <c r="A2233" s="24" t="s">
        <v>6736</v>
      </c>
      <c r="B2233" s="24" t="s">
        <v>6737</v>
      </c>
      <c r="C2233" s="24" t="s">
        <v>6738</v>
      </c>
      <c r="D2233" s="25" t="s">
        <v>6739</v>
      </c>
      <c r="E2233" s="28">
        <v>1.00000</v>
      </c>
      <c r="F2233" s="29">
        <f ca="1">ROUND(21.000,3)</f>
        <v>0</v>
      </c>
      <c r="G2233" s="27">
        <f ca="1">ROUND(E2233*F2233,2)</f>
        <v>0</v>
      </c>
    </row>
    <row r="2234" spans="1:7" ht="24.36" thickBot="1" customHeight="1">
      <c r="A2234" s="24" t="s">
        <v>6740</v>
      </c>
      <c r="B2234" s="24" t="s">
        <v>6741</v>
      </c>
      <c r="C2234" s="24" t="s">
        <v>6742</v>
      </c>
      <c r="D2234" s="25" t="s">
        <v>6743</v>
      </c>
      <c r="E2234" s="28">
        <v>1.00000</v>
      </c>
      <c r="F2234" s="29">
        <f ca="1">ROUND(19.000,3)</f>
        <v>0</v>
      </c>
      <c r="G2234" s="27">
        <f ca="1">ROUND(E2234*F2234,2)</f>
        <v>0</v>
      </c>
    </row>
    <row r="2235" spans="1:7" ht="15.12" thickBot="1" customHeight="1">
      <c r="A2235" s="26"/>
      <c r="B2235" s="26"/>
      <c r="C2235" s="26"/>
      <c r="D2235" s="24" t="s">
        <v>6744</v>
      </c>
      <c r="E2235" s="28">
        <v>0.40000</v>
      </c>
      <c r="F2235" s="29">
        <f ca="1">ROUND((G2233+G2234),3)</f>
        <v>0</v>
      </c>
      <c r="G2235" s="27">
        <f ca="1">ROUND(E2235*F2235,2)</f>
        <v>0</v>
      </c>
    </row>
    <row r="2236" spans="1:7" ht="15.12" thickBot="1" customHeight="1">
      <c r="A2236" s="24" t="s">
        <v>6745</v>
      </c>
      <c r="B2236" s="24"/>
      <c r="C2236" s="24" t="s">
        <v>6746</v>
      </c>
      <c r="D2236" s="25" t="s">
        <v>6747</v>
      </c>
      <c r="E2236" s="28">
        <v>3.00000</v>
      </c>
      <c r="F2236" s="29">
        <f ca="1">ROUND(16.000,3)</f>
        <v>0</v>
      </c>
      <c r="G2236" s="27">
        <f ca="1">ROUND((E2236*F2236)/100,2)</f>
        <v>0</v>
      </c>
    </row>
    <row r="2237" spans="1:7" ht="15.48" thickBot="1" customHeight="1">
      <c r="A2237" s="30"/>
      <c r="B2237" s="30"/>
      <c r="C2237" s="30"/>
      <c r="D2237" s="31" t="s">
        <v>6748</v>
      </c>
      <c r="E2237" s="30"/>
      <c r="F2237" s="33">
        <f ca="1">ROUND((G2230+G2231+G2232+G2236)*(1+G2/100),2)</f>
        <v>0</v>
      </c>
      <c r="G2237" s="30"/>
    </row>
    <row r="2238" spans="1:7" ht="49.08" thickBot="1" customHeight="1">
      <c r="A2238" s="34" t="s">
        <v>6749</v>
      </c>
      <c r="B2238" s="35" t="s">
        <v>6750</v>
      </c>
      <c r="C2238" s="35" t="s">
        <v>6751</v>
      </c>
      <c r="D2238" s="36" t="s">
        <v>6752</v>
      </c>
      <c r="E2238" s="37"/>
      <c r="F2238" s="38">
        <f ca="1">F2248</f>
        <v>0</v>
      </c>
      <c r="G2238" s="37"/>
    </row>
    <row r="2239" spans="1:7" ht="39.84" thickBot="1" customHeight="1">
      <c r="A2239" s="26"/>
      <c r="B2239" s="26"/>
      <c r="C2239" s="26"/>
      <c r="D2239" s="25" t="s">
        <v>6753</v>
      </c>
      <c r="E2239" s="25"/>
      <c r="F2239" s="25"/>
      <c r="G2239" s="25"/>
    </row>
    <row r="2240" spans="1:7" ht="30.60" thickBot="1" customHeight="1">
      <c r="A2240" s="24" t="s">
        <v>6754</v>
      </c>
      <c r="B2240" s="24" t="s">
        <v>6755</v>
      </c>
      <c r="C2240" s="24" t="s">
        <v>6756</v>
      </c>
      <c r="D2240" s="25" t="s">
        <v>6757</v>
      </c>
      <c r="E2240" s="28">
        <v>0.06000</v>
      </c>
      <c r="F2240" s="29">
        <f ca="1">ROUND(110.660,3)</f>
        <v>0</v>
      </c>
      <c r="G2240" s="27">
        <f ca="1">ROUND(E2240*F2240,2)</f>
        <v>0</v>
      </c>
    </row>
    <row r="2241" spans="1:7" ht="24.36" thickBot="1" customHeight="1">
      <c r="A2241" s="24" t="s">
        <v>6758</v>
      </c>
      <c r="B2241" s="24" t="s">
        <v>6759</v>
      </c>
      <c r="C2241" s="24" t="s">
        <v>6760</v>
      </c>
      <c r="D2241" s="25" t="s">
        <v>6761</v>
      </c>
      <c r="E2241" s="28">
        <v>0.05000</v>
      </c>
      <c r="F2241" s="29">
        <f ca="1">ROUND(4.630,3)</f>
        <v>0</v>
      </c>
      <c r="G2241" s="27">
        <f ca="1">ROUND(E2241*F2241,2)</f>
        <v>0</v>
      </c>
    </row>
    <row r="2242" spans="1:7" ht="21.36" thickBot="1" customHeight="1">
      <c r="A2242" s="24" t="s">
        <v>6762</v>
      </c>
      <c r="B2242" s="24" t="s">
        <v>6763</v>
      </c>
      <c r="C2242" s="24" t="s">
        <v>6764</v>
      </c>
      <c r="D2242" s="25" t="s">
        <v>6765</v>
      </c>
      <c r="E2242" s="28">
        <v>0.10000</v>
      </c>
      <c r="F2242" s="29">
        <f ca="1">F2246</f>
        <v>0</v>
      </c>
      <c r="G2242" s="27">
        <f ca="1">ROUND(E2242*F2242,2)</f>
        <v>0</v>
      </c>
    </row>
    <row r="2243" spans="1:7" ht="24.36" thickBot="1" customHeight="1">
      <c r="A2243" s="24" t="s">
        <v>6766</v>
      </c>
      <c r="B2243" s="24" t="s">
        <v>6767</v>
      </c>
      <c r="C2243" s="24" t="s">
        <v>6768</v>
      </c>
      <c r="D2243" s="25" t="s">
        <v>6769</v>
      </c>
      <c r="E2243" s="28">
        <v>1.00000</v>
      </c>
      <c r="F2243" s="29">
        <f ca="1">ROUND(21.000,3)</f>
        <v>0</v>
      </c>
      <c r="G2243" s="27">
        <f ca="1">ROUND(E2243*F2243,2)</f>
        <v>0</v>
      </c>
    </row>
    <row r="2244" spans="1:7" ht="24.36" thickBot="1" customHeight="1">
      <c r="A2244" s="24" t="s">
        <v>6770</v>
      </c>
      <c r="B2244" s="24" t="s">
        <v>6771</v>
      </c>
      <c r="C2244" s="24" t="s">
        <v>6772</v>
      </c>
      <c r="D2244" s="25" t="s">
        <v>6773</v>
      </c>
      <c r="E2244" s="28">
        <v>1.00000</v>
      </c>
      <c r="F2244" s="29">
        <f ca="1">ROUND(19.000,3)</f>
        <v>0</v>
      </c>
      <c r="G2244" s="27">
        <f ca="1">ROUND(E2244*F2244,2)</f>
        <v>0</v>
      </c>
    </row>
    <row r="2245" spans="1:7" ht="24.36" thickBot="1" customHeight="1">
      <c r="A2245" s="24" t="s">
        <v>6774</v>
      </c>
      <c r="B2245" s="24" t="s">
        <v>6775</v>
      </c>
      <c r="C2245" s="24" t="s">
        <v>6776</v>
      </c>
      <c r="D2245" s="25" t="s">
        <v>6777</v>
      </c>
      <c r="E2245" s="28">
        <v>0.20000</v>
      </c>
      <c r="F2245" s="29">
        <f ca="1">ROUND(19.000,3)</f>
        <v>0</v>
      </c>
      <c r="G2245" s="27">
        <f ca="1">ROUND(E2245*F2245,2)</f>
        <v>0</v>
      </c>
    </row>
    <row r="2246" spans="1:7" ht="15.12" thickBot="1" customHeight="1">
      <c r="A2246" s="26"/>
      <c r="B2246" s="26"/>
      <c r="C2246" s="26"/>
      <c r="D2246" s="24" t="s">
        <v>6778</v>
      </c>
      <c r="E2246" s="28">
        <v>0.10000</v>
      </c>
      <c r="F2246" s="29">
        <f ca="1">ROUND((G2243+G2244+G2245),3)</f>
        <v>0</v>
      </c>
      <c r="G2246" s="27">
        <f ca="1">ROUND(E2246*F2246,2)</f>
        <v>0</v>
      </c>
    </row>
    <row r="2247" spans="1:7" ht="15.12" thickBot="1" customHeight="1">
      <c r="A2247" s="24" t="s">
        <v>6779</v>
      </c>
      <c r="B2247" s="24"/>
      <c r="C2247" s="24" t="s">
        <v>6780</v>
      </c>
      <c r="D2247" s="25" t="s">
        <v>6781</v>
      </c>
      <c r="E2247" s="28">
        <v>5.00000</v>
      </c>
      <c r="F2247" s="29">
        <f ca="1">ROUND(4.380,3)</f>
        <v>0</v>
      </c>
      <c r="G2247" s="27">
        <f ca="1">ROUND((E2247*F2247)/100,2)</f>
        <v>0</v>
      </c>
    </row>
    <row r="2248" spans="1:7" ht="15.48" thickBot="1" customHeight="1">
      <c r="A2248" s="30"/>
      <c r="B2248" s="30"/>
      <c r="C2248" s="30"/>
      <c r="D2248" s="31" t="s">
        <v>6782</v>
      </c>
      <c r="E2248" s="30"/>
      <c r="F2248" s="33">
        <f ca="1">ROUND((G2240+G2241+G2242+G2247)*(1+G2/100),2)</f>
        <v>0</v>
      </c>
      <c r="G2248" s="30"/>
    </row>
    <row r="2249" spans="1:7" ht="49.08" thickBot="1" customHeight="1">
      <c r="A2249" s="34" t="s">
        <v>6783</v>
      </c>
      <c r="B2249" s="35" t="s">
        <v>6784</v>
      </c>
      <c r="C2249" s="35" t="s">
        <v>6785</v>
      </c>
      <c r="D2249" s="36" t="s">
        <v>6786</v>
      </c>
      <c r="E2249" s="37"/>
      <c r="F2249" s="38">
        <f ca="1">F2259</f>
        <v>0</v>
      </c>
      <c r="G2249" s="37"/>
    </row>
    <row r="2250" spans="1:7" ht="39.84" thickBot="1" customHeight="1">
      <c r="A2250" s="26"/>
      <c r="B2250" s="26"/>
      <c r="C2250" s="26"/>
      <c r="D2250" s="25" t="s">
        <v>6787</v>
      </c>
      <c r="E2250" s="25"/>
      <c r="F2250" s="25"/>
      <c r="G2250" s="25"/>
    </row>
    <row r="2251" spans="1:7" ht="30.60" thickBot="1" customHeight="1">
      <c r="A2251" s="24" t="s">
        <v>6788</v>
      </c>
      <c r="B2251" s="24" t="s">
        <v>6789</v>
      </c>
      <c r="C2251" s="24" t="s">
        <v>6790</v>
      </c>
      <c r="D2251" s="25" t="s">
        <v>6791</v>
      </c>
      <c r="E2251" s="28">
        <v>0.12500</v>
      </c>
      <c r="F2251" s="29">
        <f ca="1">ROUND(62.730,3)</f>
        <v>0</v>
      </c>
      <c r="G2251" s="27">
        <f ca="1">ROUND(E2251*F2251,2)</f>
        <v>0</v>
      </c>
    </row>
    <row r="2252" spans="1:7" ht="24.36" thickBot="1" customHeight="1">
      <c r="A2252" s="24" t="s">
        <v>6792</v>
      </c>
      <c r="B2252" s="24" t="s">
        <v>6793</v>
      </c>
      <c r="C2252" s="24" t="s">
        <v>6794</v>
      </c>
      <c r="D2252" s="25" t="s">
        <v>6795</v>
      </c>
      <c r="E2252" s="28">
        <v>0.05000</v>
      </c>
      <c r="F2252" s="29">
        <f ca="1">ROUND(4.630,3)</f>
        <v>0</v>
      </c>
      <c r="G2252" s="27">
        <f ca="1">ROUND(E2252*F2252,2)</f>
        <v>0</v>
      </c>
    </row>
    <row r="2253" spans="1:7" ht="21.36" thickBot="1" customHeight="1">
      <c r="A2253" s="24" t="s">
        <v>6796</v>
      </c>
      <c r="B2253" s="24" t="s">
        <v>6797</v>
      </c>
      <c r="C2253" s="24" t="s">
        <v>6798</v>
      </c>
      <c r="D2253" s="25" t="s">
        <v>6799</v>
      </c>
      <c r="E2253" s="28">
        <v>0.10000</v>
      </c>
      <c r="F2253" s="29">
        <f ca="1">F2257</f>
        <v>0</v>
      </c>
      <c r="G2253" s="27">
        <f ca="1">ROUND(E2253*F2253,2)</f>
        <v>0</v>
      </c>
    </row>
    <row r="2254" spans="1:7" ht="24.36" thickBot="1" customHeight="1">
      <c r="A2254" s="24" t="s">
        <v>6800</v>
      </c>
      <c r="B2254" s="24" t="s">
        <v>6801</v>
      </c>
      <c r="C2254" s="24" t="s">
        <v>6802</v>
      </c>
      <c r="D2254" s="25" t="s">
        <v>6803</v>
      </c>
      <c r="E2254" s="28">
        <v>1.00000</v>
      </c>
      <c r="F2254" s="29">
        <f ca="1">ROUND(21.000,3)</f>
        <v>0</v>
      </c>
      <c r="G2254" s="27">
        <f ca="1">ROUND(E2254*F2254,2)</f>
        <v>0</v>
      </c>
    </row>
    <row r="2255" spans="1:7" ht="24.36" thickBot="1" customHeight="1">
      <c r="A2255" s="24" t="s">
        <v>6804</v>
      </c>
      <c r="B2255" s="24" t="s">
        <v>6805</v>
      </c>
      <c r="C2255" s="24" t="s">
        <v>6806</v>
      </c>
      <c r="D2255" s="25" t="s">
        <v>6807</v>
      </c>
      <c r="E2255" s="28">
        <v>1.00000</v>
      </c>
      <c r="F2255" s="29">
        <f ca="1">ROUND(19.000,3)</f>
        <v>0</v>
      </c>
      <c r="G2255" s="27">
        <f ca="1">ROUND(E2255*F2255,2)</f>
        <v>0</v>
      </c>
    </row>
    <row r="2256" spans="1:7" ht="24.36" thickBot="1" customHeight="1">
      <c r="A2256" s="24" t="s">
        <v>6808</v>
      </c>
      <c r="B2256" s="24" t="s">
        <v>6809</v>
      </c>
      <c r="C2256" s="24" t="s">
        <v>6810</v>
      </c>
      <c r="D2256" s="25" t="s">
        <v>6811</v>
      </c>
      <c r="E2256" s="28">
        <v>0.20000</v>
      </c>
      <c r="F2256" s="29">
        <f ca="1">ROUND(19.000,3)</f>
        <v>0</v>
      </c>
      <c r="G2256" s="27">
        <f ca="1">ROUND(E2256*F2256,2)</f>
        <v>0</v>
      </c>
    </row>
    <row r="2257" spans="1:7" ht="15.12" thickBot="1" customHeight="1">
      <c r="A2257" s="26"/>
      <c r="B2257" s="26"/>
      <c r="C2257" s="26"/>
      <c r="D2257" s="24" t="s">
        <v>6812</v>
      </c>
      <c r="E2257" s="28">
        <v>0.10000</v>
      </c>
      <c r="F2257" s="29">
        <f ca="1">ROUND((G2254+G2255+G2256),3)</f>
        <v>0</v>
      </c>
      <c r="G2257" s="27">
        <f ca="1">ROUND(E2257*F2257,2)</f>
        <v>0</v>
      </c>
    </row>
    <row r="2258" spans="1:7" ht="15.12" thickBot="1" customHeight="1">
      <c r="A2258" s="24" t="s">
        <v>6813</v>
      </c>
      <c r="B2258" s="24"/>
      <c r="C2258" s="24" t="s">
        <v>6814</v>
      </c>
      <c r="D2258" s="25" t="s">
        <v>6815</v>
      </c>
      <c r="E2258" s="28">
        <v>3.00000</v>
      </c>
      <c r="F2258" s="29">
        <f ca="1">ROUND(4.380,3)</f>
        <v>0</v>
      </c>
      <c r="G2258" s="27">
        <f ca="1">ROUND((E2258*F2258)/100,2)</f>
        <v>0</v>
      </c>
    </row>
    <row r="2259" spans="1:7" ht="15.48" thickBot="1" customHeight="1">
      <c r="A2259" s="30"/>
      <c r="B2259" s="30"/>
      <c r="C2259" s="30"/>
      <c r="D2259" s="31" t="s">
        <v>6816</v>
      </c>
      <c r="E2259" s="30"/>
      <c r="F2259" s="33">
        <f ca="1">ROUND((G2251+G2252+G2253+G2258)*(1+G2/100),2)</f>
        <v>0</v>
      </c>
      <c r="G2259" s="30"/>
    </row>
    <row r="2260" spans="1:7" ht="49.08" thickBot="1" customHeight="1">
      <c r="A2260" s="34" t="s">
        <v>6817</v>
      </c>
      <c r="B2260" s="35" t="s">
        <v>6818</v>
      </c>
      <c r="C2260" s="35" t="s">
        <v>6819</v>
      </c>
      <c r="D2260" s="36" t="s">
        <v>6820</v>
      </c>
      <c r="E2260" s="37"/>
      <c r="F2260" s="38">
        <f ca="1">F2270</f>
        <v>0</v>
      </c>
      <c r="G2260" s="37"/>
    </row>
    <row r="2261" spans="1:7" ht="21.36" thickBot="1" customHeight="1">
      <c r="A2261" s="26"/>
      <c r="B2261" s="26"/>
      <c r="C2261" s="26"/>
      <c r="D2261" s="25" t="s">
        <v>6821</v>
      </c>
      <c r="E2261" s="25"/>
      <c r="F2261" s="25"/>
      <c r="G2261" s="25"/>
    </row>
    <row r="2262" spans="1:7" ht="30.60" thickBot="1" customHeight="1">
      <c r="A2262" s="24" t="s">
        <v>6822</v>
      </c>
      <c r="B2262" s="24" t="s">
        <v>6823</v>
      </c>
      <c r="C2262" s="24" t="s">
        <v>6824</v>
      </c>
      <c r="D2262" s="25" t="s">
        <v>6825</v>
      </c>
      <c r="E2262" s="28">
        <v>0.26250</v>
      </c>
      <c r="F2262" s="29">
        <f ca="1">ROUND(73.890,3)</f>
        <v>0</v>
      </c>
      <c r="G2262" s="27">
        <f ca="1">ROUND(E2262*F2262,2)</f>
        <v>0</v>
      </c>
    </row>
    <row r="2263" spans="1:7" ht="24.36" thickBot="1" customHeight="1">
      <c r="A2263" s="24" t="s">
        <v>6826</v>
      </c>
      <c r="B2263" s="24" t="s">
        <v>6827</v>
      </c>
      <c r="C2263" s="24" t="s">
        <v>6828</v>
      </c>
      <c r="D2263" s="25" t="s">
        <v>6829</v>
      </c>
      <c r="E2263" s="28">
        <v>0.10000</v>
      </c>
      <c r="F2263" s="29">
        <f ca="1">ROUND(4.630,3)</f>
        <v>0</v>
      </c>
      <c r="G2263" s="27">
        <f ca="1">ROUND(E2263*F2263,2)</f>
        <v>0</v>
      </c>
    </row>
    <row r="2264" spans="1:7" ht="21.36" thickBot="1" customHeight="1">
      <c r="A2264" s="24" t="s">
        <v>6830</v>
      </c>
      <c r="B2264" s="24" t="s">
        <v>6831</v>
      </c>
      <c r="C2264" s="24" t="s">
        <v>6832</v>
      </c>
      <c r="D2264" s="25" t="s">
        <v>6833</v>
      </c>
      <c r="E2264" s="28">
        <v>0.53333</v>
      </c>
      <c r="F2264" s="29">
        <f ca="1">F2268</f>
        <v>0</v>
      </c>
      <c r="G2264" s="27">
        <f ca="1">ROUND(E2264*F2264,2)</f>
        <v>0</v>
      </c>
    </row>
    <row r="2265" spans="1:7" ht="24.36" thickBot="1" customHeight="1">
      <c r="A2265" s="24" t="s">
        <v>6834</v>
      </c>
      <c r="B2265" s="24" t="s">
        <v>6835</v>
      </c>
      <c r="C2265" s="24" t="s">
        <v>6836</v>
      </c>
      <c r="D2265" s="25" t="s">
        <v>6837</v>
      </c>
      <c r="E2265" s="28">
        <v>1.00000</v>
      </c>
      <c r="F2265" s="29">
        <f ca="1">ROUND(21.000,3)</f>
        <v>0</v>
      </c>
      <c r="G2265" s="27">
        <f ca="1">ROUND(E2265*F2265,2)</f>
        <v>0</v>
      </c>
    </row>
    <row r="2266" spans="1:7" ht="24.36" thickBot="1" customHeight="1">
      <c r="A2266" s="24" t="s">
        <v>6838</v>
      </c>
      <c r="B2266" s="24" t="s">
        <v>6839</v>
      </c>
      <c r="C2266" s="24" t="s">
        <v>6840</v>
      </c>
      <c r="D2266" s="25" t="s">
        <v>6841</v>
      </c>
      <c r="E2266" s="28">
        <v>1.00000</v>
      </c>
      <c r="F2266" s="29">
        <f ca="1">ROUND(19.000,3)</f>
        <v>0</v>
      </c>
      <c r="G2266" s="27">
        <f ca="1">ROUND(E2266*F2266,2)</f>
        <v>0</v>
      </c>
    </row>
    <row r="2267" spans="1:7" ht="24.36" thickBot="1" customHeight="1">
      <c r="A2267" s="24" t="s">
        <v>6842</v>
      </c>
      <c r="B2267" s="24" t="s">
        <v>6843</v>
      </c>
      <c r="C2267" s="24" t="s">
        <v>6844</v>
      </c>
      <c r="D2267" s="25" t="s">
        <v>6845</v>
      </c>
      <c r="E2267" s="28">
        <v>0.20000</v>
      </c>
      <c r="F2267" s="29">
        <f ca="1">ROUND(19.000,3)</f>
        <v>0</v>
      </c>
      <c r="G2267" s="27">
        <f ca="1">ROUND(E2267*F2267,2)</f>
        <v>0</v>
      </c>
    </row>
    <row r="2268" spans="1:7" ht="15.12" thickBot="1" customHeight="1">
      <c r="A2268" s="26"/>
      <c r="B2268" s="26"/>
      <c r="C2268" s="26"/>
      <c r="D2268" s="24" t="s">
        <v>6846</v>
      </c>
      <c r="E2268" s="28">
        <v>0.53333</v>
      </c>
      <c r="F2268" s="29">
        <f ca="1">ROUND((G2265+G2266+G2267),3)</f>
        <v>0</v>
      </c>
      <c r="G2268" s="27">
        <f ca="1">ROUND(E2268*F2268,2)</f>
        <v>0</v>
      </c>
    </row>
    <row r="2269" spans="1:7" ht="15.12" thickBot="1" customHeight="1">
      <c r="A2269" s="24" t="s">
        <v>6847</v>
      </c>
      <c r="B2269" s="24"/>
      <c r="C2269" s="24" t="s">
        <v>6848</v>
      </c>
      <c r="D2269" s="25" t="s">
        <v>6849</v>
      </c>
      <c r="E2269" s="28">
        <v>5.00000</v>
      </c>
      <c r="F2269" s="29">
        <f ca="1">ROUND(23.360,3)</f>
        <v>0</v>
      </c>
      <c r="G2269" s="27">
        <f ca="1">ROUND((E2269*F2269)/100,2)</f>
        <v>0</v>
      </c>
    </row>
    <row r="2270" spans="1:7" ht="15.48" thickBot="1" customHeight="1">
      <c r="A2270" s="30"/>
      <c r="B2270" s="30"/>
      <c r="C2270" s="30"/>
      <c r="D2270" s="31" t="s">
        <v>6850</v>
      </c>
      <c r="E2270" s="30"/>
      <c r="F2270" s="33">
        <f ca="1">ROUND((G2262+G2263+G2264+G2269)*(1+G2/100),2)</f>
        <v>0</v>
      </c>
      <c r="G2270" s="30"/>
    </row>
    <row r="2271" spans="1:7" ht="58.32" thickBot="1" customHeight="1">
      <c r="A2271" s="34" t="s">
        <v>6851</v>
      </c>
      <c r="B2271" s="35" t="s">
        <v>6852</v>
      </c>
      <c r="C2271" s="35" t="s">
        <v>6853</v>
      </c>
      <c r="D2271" s="36" t="s">
        <v>6854</v>
      </c>
      <c r="E2271" s="37"/>
      <c r="F2271" s="38">
        <f ca="1">F2281</f>
        <v>0</v>
      </c>
      <c r="G2271" s="37"/>
    </row>
    <row r="2272" spans="1:7" ht="39.84" thickBot="1" customHeight="1">
      <c r="A2272" s="26"/>
      <c r="B2272" s="26"/>
      <c r="C2272" s="26"/>
      <c r="D2272" s="25" t="s">
        <v>6855</v>
      </c>
      <c r="E2272" s="25"/>
      <c r="F2272" s="25"/>
      <c r="G2272" s="25"/>
    </row>
    <row r="2273" spans="1:7" ht="30.60" thickBot="1" customHeight="1">
      <c r="A2273" s="24" t="s">
        <v>6856</v>
      </c>
      <c r="B2273" s="24" t="s">
        <v>6857</v>
      </c>
      <c r="C2273" s="24" t="s">
        <v>6858</v>
      </c>
      <c r="D2273" s="25" t="s">
        <v>6859</v>
      </c>
      <c r="E2273" s="28">
        <v>0.18000</v>
      </c>
      <c r="F2273" s="29">
        <f ca="1">ROUND(110.660,3)</f>
        <v>0</v>
      </c>
      <c r="G2273" s="27">
        <f ca="1">ROUND(E2273*F2273,2)</f>
        <v>0</v>
      </c>
    </row>
    <row r="2274" spans="1:7" ht="24.36" thickBot="1" customHeight="1">
      <c r="A2274" s="24" t="s">
        <v>6860</v>
      </c>
      <c r="B2274" s="24" t="s">
        <v>6861</v>
      </c>
      <c r="C2274" s="24" t="s">
        <v>6862</v>
      </c>
      <c r="D2274" s="25" t="s">
        <v>6863</v>
      </c>
      <c r="E2274" s="28">
        <v>0.12000</v>
      </c>
      <c r="F2274" s="29">
        <f ca="1">ROUND(4.630,3)</f>
        <v>0</v>
      </c>
      <c r="G2274" s="27">
        <f ca="1">ROUND(E2274*F2274,2)</f>
        <v>0</v>
      </c>
    </row>
    <row r="2275" spans="1:7" ht="21.36" thickBot="1" customHeight="1">
      <c r="A2275" s="24" t="s">
        <v>6864</v>
      </c>
      <c r="B2275" s="24" t="s">
        <v>6865</v>
      </c>
      <c r="C2275" s="24" t="s">
        <v>6866</v>
      </c>
      <c r="D2275" s="25" t="s">
        <v>6867</v>
      </c>
      <c r="E2275" s="28">
        <v>0.26667</v>
      </c>
      <c r="F2275" s="29">
        <f ca="1">F2279</f>
        <v>0</v>
      </c>
      <c r="G2275" s="27">
        <f ca="1">ROUND(E2275*F2275,2)</f>
        <v>0</v>
      </c>
    </row>
    <row r="2276" spans="1:7" ht="24.36" thickBot="1" customHeight="1">
      <c r="A2276" s="24" t="s">
        <v>6868</v>
      </c>
      <c r="B2276" s="24" t="s">
        <v>6869</v>
      </c>
      <c r="C2276" s="24" t="s">
        <v>6870</v>
      </c>
      <c r="D2276" s="25" t="s">
        <v>6871</v>
      </c>
      <c r="E2276" s="28">
        <v>1.00000</v>
      </c>
      <c r="F2276" s="29">
        <f ca="1">ROUND(21.000,3)</f>
        <v>0</v>
      </c>
      <c r="G2276" s="27">
        <f ca="1">ROUND(E2276*F2276,2)</f>
        <v>0</v>
      </c>
    </row>
    <row r="2277" spans="1:7" ht="24.36" thickBot="1" customHeight="1">
      <c r="A2277" s="24" t="s">
        <v>6872</v>
      </c>
      <c r="B2277" s="24" t="s">
        <v>6873</v>
      </c>
      <c r="C2277" s="24" t="s">
        <v>6874</v>
      </c>
      <c r="D2277" s="25" t="s">
        <v>6875</v>
      </c>
      <c r="E2277" s="28">
        <v>1.00000</v>
      </c>
      <c r="F2277" s="29">
        <f ca="1">ROUND(19.000,3)</f>
        <v>0</v>
      </c>
      <c r="G2277" s="27">
        <f ca="1">ROUND(E2277*F2277,2)</f>
        <v>0</v>
      </c>
    </row>
    <row r="2278" spans="1:7" ht="24.36" thickBot="1" customHeight="1">
      <c r="A2278" s="24" t="s">
        <v>6876</v>
      </c>
      <c r="B2278" s="24" t="s">
        <v>6877</v>
      </c>
      <c r="C2278" s="24" t="s">
        <v>6878</v>
      </c>
      <c r="D2278" s="25" t="s">
        <v>6879</v>
      </c>
      <c r="E2278" s="28">
        <v>0.20000</v>
      </c>
      <c r="F2278" s="29">
        <f ca="1">ROUND(19.000,3)</f>
        <v>0</v>
      </c>
      <c r="G2278" s="27">
        <f ca="1">ROUND(E2278*F2278,2)</f>
        <v>0</v>
      </c>
    </row>
    <row r="2279" spans="1:7" ht="15.12" thickBot="1" customHeight="1">
      <c r="A2279" s="26"/>
      <c r="B2279" s="26"/>
      <c r="C2279" s="26"/>
      <c r="D2279" s="24" t="s">
        <v>6880</v>
      </c>
      <c r="E2279" s="28">
        <v>0.26667</v>
      </c>
      <c r="F2279" s="29">
        <f ca="1">ROUND((G2276+G2277+G2278),3)</f>
        <v>0</v>
      </c>
      <c r="G2279" s="27">
        <f ca="1">ROUND(E2279*F2279,2)</f>
        <v>0</v>
      </c>
    </row>
    <row r="2280" spans="1:7" ht="15.12" thickBot="1" customHeight="1">
      <c r="A2280" s="24" t="s">
        <v>6881</v>
      </c>
      <c r="B2280" s="24"/>
      <c r="C2280" s="24" t="s">
        <v>6882</v>
      </c>
      <c r="D2280" s="25" t="s">
        <v>6883</v>
      </c>
      <c r="E2280" s="28">
        <v>3.00000</v>
      </c>
      <c r="F2280" s="29">
        <f ca="1">ROUND(11.680,3)</f>
        <v>0</v>
      </c>
      <c r="G2280" s="27">
        <f ca="1">ROUND((E2280*F2280)/100,2)</f>
        <v>0</v>
      </c>
    </row>
    <row r="2281" spans="1:7" ht="15.48" thickBot="1" customHeight="1">
      <c r="A2281" s="30"/>
      <c r="B2281" s="30"/>
      <c r="C2281" s="30"/>
      <c r="D2281" s="31" t="s">
        <v>6884</v>
      </c>
      <c r="E2281" s="30"/>
      <c r="F2281" s="33">
        <f ca="1">ROUND((G2273+G2274+G2275+G2280)*(1+G2/100),2)</f>
        <v>0</v>
      </c>
      <c r="G2281" s="30"/>
    </row>
    <row r="2282" spans="1:7" ht="58.32" thickBot="1" customHeight="1">
      <c r="A2282" s="34" t="s">
        <v>6885</v>
      </c>
      <c r="B2282" s="35" t="s">
        <v>6886</v>
      </c>
      <c r="C2282" s="35" t="s">
        <v>6887</v>
      </c>
      <c r="D2282" s="36" t="s">
        <v>6888</v>
      </c>
      <c r="E2282" s="37"/>
      <c r="F2282" s="38">
        <f ca="1">F2292</f>
        <v>0</v>
      </c>
      <c r="G2282" s="37"/>
    </row>
    <row r="2283" spans="1:7" ht="39.84" thickBot="1" customHeight="1">
      <c r="A2283" s="26"/>
      <c r="B2283" s="26"/>
      <c r="C2283" s="26"/>
      <c r="D2283" s="25" t="s">
        <v>6889</v>
      </c>
      <c r="E2283" s="25"/>
      <c r="F2283" s="25"/>
      <c r="G2283" s="25"/>
    </row>
    <row r="2284" spans="1:7" ht="30.60" thickBot="1" customHeight="1">
      <c r="A2284" s="24" t="s">
        <v>6890</v>
      </c>
      <c r="B2284" s="24" t="s">
        <v>6891</v>
      </c>
      <c r="C2284" s="24" t="s">
        <v>6892</v>
      </c>
      <c r="D2284" s="25" t="s">
        <v>6893</v>
      </c>
      <c r="E2284" s="28">
        <v>0.30000</v>
      </c>
      <c r="F2284" s="29">
        <f ca="1">ROUND(62.730,3)</f>
        <v>0</v>
      </c>
      <c r="G2284" s="27">
        <f ca="1">ROUND(E2284*F2284,2)</f>
        <v>0</v>
      </c>
    </row>
    <row r="2285" spans="1:7" ht="24.36" thickBot="1" customHeight="1">
      <c r="A2285" s="24" t="s">
        <v>6894</v>
      </c>
      <c r="B2285" s="24" t="s">
        <v>6895</v>
      </c>
      <c r="C2285" s="24" t="s">
        <v>6896</v>
      </c>
      <c r="D2285" s="25" t="s">
        <v>6897</v>
      </c>
      <c r="E2285" s="28">
        <v>0.12000</v>
      </c>
      <c r="F2285" s="29">
        <f ca="1">ROUND(4.630,3)</f>
        <v>0</v>
      </c>
      <c r="G2285" s="27">
        <f ca="1">ROUND(E2285*F2285,2)</f>
        <v>0</v>
      </c>
    </row>
    <row r="2286" spans="1:7" ht="21.36" thickBot="1" customHeight="1">
      <c r="A2286" s="24" t="s">
        <v>6898</v>
      </c>
      <c r="B2286" s="24" t="s">
        <v>6899</v>
      </c>
      <c r="C2286" s="24" t="s">
        <v>6900</v>
      </c>
      <c r="D2286" s="25" t="s">
        <v>6901</v>
      </c>
      <c r="E2286" s="28">
        <v>0.26667</v>
      </c>
      <c r="F2286" s="29">
        <f ca="1">F2290</f>
        <v>0</v>
      </c>
      <c r="G2286" s="27">
        <f ca="1">ROUND(E2286*F2286,2)</f>
        <v>0</v>
      </c>
    </row>
    <row r="2287" spans="1:7" ht="24.36" thickBot="1" customHeight="1">
      <c r="A2287" s="24" t="s">
        <v>6902</v>
      </c>
      <c r="B2287" s="24" t="s">
        <v>6903</v>
      </c>
      <c r="C2287" s="24" t="s">
        <v>6904</v>
      </c>
      <c r="D2287" s="25" t="s">
        <v>6905</v>
      </c>
      <c r="E2287" s="28">
        <v>1.00000</v>
      </c>
      <c r="F2287" s="29">
        <f ca="1">ROUND(21.000,3)</f>
        <v>0</v>
      </c>
      <c r="G2287" s="27">
        <f ca="1">ROUND(E2287*F2287,2)</f>
        <v>0</v>
      </c>
    </row>
    <row r="2288" spans="1:7" ht="24.36" thickBot="1" customHeight="1">
      <c r="A2288" s="24" t="s">
        <v>6906</v>
      </c>
      <c r="B2288" s="24" t="s">
        <v>6907</v>
      </c>
      <c r="C2288" s="24" t="s">
        <v>6908</v>
      </c>
      <c r="D2288" s="25" t="s">
        <v>6909</v>
      </c>
      <c r="E2288" s="28">
        <v>1.00000</v>
      </c>
      <c r="F2288" s="29">
        <f ca="1">ROUND(19.000,3)</f>
        <v>0</v>
      </c>
      <c r="G2288" s="27">
        <f ca="1">ROUND(E2288*F2288,2)</f>
        <v>0</v>
      </c>
    </row>
    <row r="2289" spans="1:7" ht="24.36" thickBot="1" customHeight="1">
      <c r="A2289" s="24" t="s">
        <v>6910</v>
      </c>
      <c r="B2289" s="24" t="s">
        <v>6911</v>
      </c>
      <c r="C2289" s="24" t="s">
        <v>6912</v>
      </c>
      <c r="D2289" s="25" t="s">
        <v>6913</v>
      </c>
      <c r="E2289" s="28">
        <v>0.20000</v>
      </c>
      <c r="F2289" s="29">
        <f ca="1">ROUND(19.000,3)</f>
        <v>0</v>
      </c>
      <c r="G2289" s="27">
        <f ca="1">ROUND(E2289*F2289,2)</f>
        <v>0</v>
      </c>
    </row>
    <row r="2290" spans="1:7" ht="15.12" thickBot="1" customHeight="1">
      <c r="A2290" s="26"/>
      <c r="B2290" s="26"/>
      <c r="C2290" s="26"/>
      <c r="D2290" s="24" t="s">
        <v>6914</v>
      </c>
      <c r="E2290" s="28">
        <v>0.26667</v>
      </c>
      <c r="F2290" s="29">
        <f ca="1">ROUND((G2287+G2288+G2289),3)</f>
        <v>0</v>
      </c>
      <c r="G2290" s="27">
        <f ca="1">ROUND(E2290*F2290,2)</f>
        <v>0</v>
      </c>
    </row>
    <row r="2291" spans="1:7" ht="15.12" thickBot="1" customHeight="1">
      <c r="A2291" s="24" t="s">
        <v>6915</v>
      </c>
      <c r="B2291" s="24"/>
      <c r="C2291" s="24" t="s">
        <v>6916</v>
      </c>
      <c r="D2291" s="25" t="s">
        <v>6917</v>
      </c>
      <c r="E2291" s="28">
        <v>5.00000</v>
      </c>
      <c r="F2291" s="29">
        <f ca="1">ROUND(11.680,3)</f>
        <v>0</v>
      </c>
      <c r="G2291" s="27">
        <f ca="1">ROUND((E2291*F2291)/100,2)</f>
        <v>0</v>
      </c>
    </row>
    <row r="2292" spans="1:7" ht="15.48" thickBot="1" customHeight="1">
      <c r="A2292" s="30"/>
      <c r="B2292" s="30"/>
      <c r="C2292" s="30"/>
      <c r="D2292" s="31" t="s">
        <v>6918</v>
      </c>
      <c r="E2292" s="30"/>
      <c r="F2292" s="33">
        <f ca="1">ROUND((G2284+G2285+G2286+G2291)*(1+G2/100),2)</f>
        <v>0</v>
      </c>
      <c r="G2292" s="30"/>
    </row>
    <row r="2293" spans="1:7" ht="39.84" thickBot="1" customHeight="1">
      <c r="A2293" s="34" t="s">
        <v>6919</v>
      </c>
      <c r="B2293" s="35" t="s">
        <v>6920</v>
      </c>
      <c r="C2293" s="35" t="s">
        <v>6921</v>
      </c>
      <c r="D2293" s="36" t="s">
        <v>6922</v>
      </c>
      <c r="E2293" s="37"/>
      <c r="F2293" s="38">
        <f ca="1">F2303</f>
        <v>0</v>
      </c>
      <c r="G2293" s="37"/>
    </row>
    <row r="2294" spans="1:7" ht="21.36" thickBot="1" customHeight="1">
      <c r="A2294" s="26"/>
      <c r="B2294" s="26"/>
      <c r="C2294" s="26"/>
      <c r="D2294" s="25" t="s">
        <v>6923</v>
      </c>
      <c r="E2294" s="25"/>
      <c r="F2294" s="25"/>
      <c r="G2294" s="25"/>
    </row>
    <row r="2295" spans="1:7" ht="30.60" thickBot="1" customHeight="1">
      <c r="A2295" s="24" t="s">
        <v>6924</v>
      </c>
      <c r="B2295" s="24" t="s">
        <v>6925</v>
      </c>
      <c r="C2295" s="24" t="s">
        <v>6926</v>
      </c>
      <c r="D2295" s="25" t="s">
        <v>6927</v>
      </c>
      <c r="E2295" s="28">
        <v>0.05250</v>
      </c>
      <c r="F2295" s="29">
        <f ca="1">ROUND(73.890,3)</f>
        <v>0</v>
      </c>
      <c r="G2295" s="27">
        <f ca="1">ROUND(E2295*F2295,2)</f>
        <v>0</v>
      </c>
    </row>
    <row r="2296" spans="1:7" ht="24.36" thickBot="1" customHeight="1">
      <c r="A2296" s="24" t="s">
        <v>6928</v>
      </c>
      <c r="B2296" s="24" t="s">
        <v>6929</v>
      </c>
      <c r="C2296" s="24" t="s">
        <v>6930</v>
      </c>
      <c r="D2296" s="25" t="s">
        <v>6931</v>
      </c>
      <c r="E2296" s="28">
        <v>0.10000</v>
      </c>
      <c r="F2296" s="29">
        <f ca="1">ROUND(4.630,3)</f>
        <v>0</v>
      </c>
      <c r="G2296" s="27">
        <f ca="1">ROUND(E2296*F2296,2)</f>
        <v>0</v>
      </c>
    </row>
    <row r="2297" spans="1:7" ht="21.36" thickBot="1" customHeight="1">
      <c r="A2297" s="24" t="s">
        <v>6932</v>
      </c>
      <c r="B2297" s="24" t="s">
        <v>6933</v>
      </c>
      <c r="C2297" s="24" t="s">
        <v>6934</v>
      </c>
      <c r="D2297" s="25" t="s">
        <v>6935</v>
      </c>
      <c r="E2297" s="28">
        <v>0.16000</v>
      </c>
      <c r="F2297" s="29">
        <f ca="1">F2301</f>
        <v>0</v>
      </c>
      <c r="G2297" s="27">
        <f ca="1">ROUND(E2297*F2297,2)</f>
        <v>0</v>
      </c>
    </row>
    <row r="2298" spans="1:7" ht="24.36" thickBot="1" customHeight="1">
      <c r="A2298" s="24" t="s">
        <v>6936</v>
      </c>
      <c r="B2298" s="24" t="s">
        <v>6937</v>
      </c>
      <c r="C2298" s="24" t="s">
        <v>6938</v>
      </c>
      <c r="D2298" s="25" t="s">
        <v>6939</v>
      </c>
      <c r="E2298" s="28">
        <v>1.00000</v>
      </c>
      <c r="F2298" s="29">
        <f ca="1">ROUND(21.000,3)</f>
        <v>0</v>
      </c>
      <c r="G2298" s="27">
        <f ca="1">ROUND(E2298*F2298,2)</f>
        <v>0</v>
      </c>
    </row>
    <row r="2299" spans="1:7" ht="24.36" thickBot="1" customHeight="1">
      <c r="A2299" s="24" t="s">
        <v>6940</v>
      </c>
      <c r="B2299" s="24" t="s">
        <v>6941</v>
      </c>
      <c r="C2299" s="24" t="s">
        <v>6942</v>
      </c>
      <c r="D2299" s="25" t="s">
        <v>6943</v>
      </c>
      <c r="E2299" s="28">
        <v>1.00000</v>
      </c>
      <c r="F2299" s="29">
        <f ca="1">ROUND(19.000,3)</f>
        <v>0</v>
      </c>
      <c r="G2299" s="27">
        <f ca="1">ROUND(E2299*F2299,2)</f>
        <v>0</v>
      </c>
    </row>
    <row r="2300" spans="1:7" ht="24.36" thickBot="1" customHeight="1">
      <c r="A2300" s="24" t="s">
        <v>6944</v>
      </c>
      <c r="B2300" s="24" t="s">
        <v>6945</v>
      </c>
      <c r="C2300" s="24" t="s">
        <v>6946</v>
      </c>
      <c r="D2300" s="25" t="s">
        <v>6947</v>
      </c>
      <c r="E2300" s="28">
        <v>0.20000</v>
      </c>
      <c r="F2300" s="29">
        <f ca="1">ROUND(19.000,3)</f>
        <v>0</v>
      </c>
      <c r="G2300" s="27">
        <f ca="1">ROUND(E2300*F2300,2)</f>
        <v>0</v>
      </c>
    </row>
    <row r="2301" spans="1:7" ht="15.12" thickBot="1" customHeight="1">
      <c r="A2301" s="26"/>
      <c r="B2301" s="26"/>
      <c r="C2301" s="26"/>
      <c r="D2301" s="24" t="s">
        <v>6948</v>
      </c>
      <c r="E2301" s="28">
        <v>0.16000</v>
      </c>
      <c r="F2301" s="29">
        <f ca="1">ROUND((G2298+G2299+G2300),3)</f>
        <v>0</v>
      </c>
      <c r="G2301" s="27">
        <f ca="1">ROUND(E2301*F2301,2)</f>
        <v>0</v>
      </c>
    </row>
    <row r="2302" spans="1:7" ht="15.12" thickBot="1" customHeight="1">
      <c r="A2302" s="24" t="s">
        <v>6949</v>
      </c>
      <c r="B2302" s="24"/>
      <c r="C2302" s="24" t="s">
        <v>6950</v>
      </c>
      <c r="D2302" s="25" t="s">
        <v>6951</v>
      </c>
      <c r="E2302" s="28">
        <v>5.00000</v>
      </c>
      <c r="F2302" s="29">
        <f ca="1">ROUND(7.010,3)</f>
        <v>0</v>
      </c>
      <c r="G2302" s="27">
        <f ca="1">ROUND((E2302*F2302)/100,2)</f>
        <v>0</v>
      </c>
    </row>
    <row r="2303" spans="1:7" ht="15.48" thickBot="1" customHeight="1">
      <c r="A2303" s="30"/>
      <c r="B2303" s="30"/>
      <c r="C2303" s="30"/>
      <c r="D2303" s="31" t="s">
        <v>6952</v>
      </c>
      <c r="E2303" s="30"/>
      <c r="F2303" s="33">
        <f ca="1">ROUND((G2295+G2296+G2297+G2302)*(1+G2/100),2)</f>
        <v>0</v>
      </c>
      <c r="G2303" s="30"/>
    </row>
    <row r="2304" spans="1:7" ht="39.84" thickBot="1" customHeight="1">
      <c r="A2304" s="34" t="s">
        <v>6953</v>
      </c>
      <c r="B2304" s="35" t="s">
        <v>6954</v>
      </c>
      <c r="C2304" s="35" t="s">
        <v>6955</v>
      </c>
      <c r="D2304" s="36" t="s">
        <v>6956</v>
      </c>
      <c r="E2304" s="37"/>
      <c r="F2304" s="38">
        <f ca="1">F2313</f>
        <v>0</v>
      </c>
      <c r="G2304" s="37"/>
    </row>
    <row r="2305" spans="1:7" ht="21.36" thickBot="1" customHeight="1">
      <c r="A2305" s="26"/>
      <c r="B2305" s="26"/>
      <c r="C2305" s="26"/>
      <c r="D2305" s="25" t="s">
        <v>6957</v>
      </c>
      <c r="E2305" s="25"/>
      <c r="F2305" s="25"/>
      <c r="G2305" s="25"/>
    </row>
    <row r="2306" spans="1:7" ht="30.60" thickBot="1" customHeight="1">
      <c r="A2306" s="24" t="s">
        <v>6958</v>
      </c>
      <c r="B2306" s="24" t="s">
        <v>6959</v>
      </c>
      <c r="C2306" s="24" t="s">
        <v>6960</v>
      </c>
      <c r="D2306" s="25" t="s">
        <v>6961</v>
      </c>
      <c r="E2306" s="28">
        <v>0.11000</v>
      </c>
      <c r="F2306" s="29">
        <f ca="1">ROUND(73.890,3)</f>
        <v>0</v>
      </c>
      <c r="G2306" s="27">
        <f ca="1">ROUND(E2306*F2306,2)</f>
        <v>0</v>
      </c>
    </row>
    <row r="2307" spans="1:7" ht="21.36" thickBot="1" customHeight="1">
      <c r="A2307" s="24" t="s">
        <v>6962</v>
      </c>
      <c r="B2307" s="24" t="s">
        <v>6963</v>
      </c>
      <c r="C2307" s="24" t="s">
        <v>6964</v>
      </c>
      <c r="D2307" s="25" t="s">
        <v>6965</v>
      </c>
      <c r="E2307" s="28">
        <v>0.40000</v>
      </c>
      <c r="F2307" s="29">
        <f ca="1">F2311</f>
        <v>0</v>
      </c>
      <c r="G2307" s="27">
        <f ca="1">ROUND(E2307*F2307,2)</f>
        <v>0</v>
      </c>
    </row>
    <row r="2308" spans="1:7" ht="24.36" thickBot="1" customHeight="1">
      <c r="A2308" s="24" t="s">
        <v>6966</v>
      </c>
      <c r="B2308" s="24" t="s">
        <v>6967</v>
      </c>
      <c r="C2308" s="24" t="s">
        <v>6968</v>
      </c>
      <c r="D2308" s="25" t="s">
        <v>6969</v>
      </c>
      <c r="E2308" s="28">
        <v>1.00000</v>
      </c>
      <c r="F2308" s="29">
        <f ca="1">ROUND(21.000,3)</f>
        <v>0</v>
      </c>
      <c r="G2308" s="27">
        <f ca="1">ROUND(E2308*F2308,2)</f>
        <v>0</v>
      </c>
    </row>
    <row r="2309" spans="1:7" ht="24.36" thickBot="1" customHeight="1">
      <c r="A2309" s="24" t="s">
        <v>6970</v>
      </c>
      <c r="B2309" s="24" t="s">
        <v>6971</v>
      </c>
      <c r="C2309" s="24" t="s">
        <v>6972</v>
      </c>
      <c r="D2309" s="25" t="s">
        <v>6973</v>
      </c>
      <c r="E2309" s="28">
        <v>1.00000</v>
      </c>
      <c r="F2309" s="29">
        <f ca="1">ROUND(19.000,3)</f>
        <v>0</v>
      </c>
      <c r="G2309" s="27">
        <f ca="1">ROUND(E2309*F2309,2)</f>
        <v>0</v>
      </c>
    </row>
    <row r="2310" spans="1:7" ht="24.36" thickBot="1" customHeight="1">
      <c r="A2310" s="24" t="s">
        <v>6974</v>
      </c>
      <c r="B2310" s="24" t="s">
        <v>6975</v>
      </c>
      <c r="C2310" s="24" t="s">
        <v>6976</v>
      </c>
      <c r="D2310" s="25" t="s">
        <v>6977</v>
      </c>
      <c r="E2310" s="28">
        <v>0.20000</v>
      </c>
      <c r="F2310" s="29">
        <f ca="1">ROUND(19.000,3)</f>
        <v>0</v>
      </c>
      <c r="G2310" s="27">
        <f ca="1">ROUND(E2310*F2310,2)</f>
        <v>0</v>
      </c>
    </row>
    <row r="2311" spans="1:7" ht="15.12" thickBot="1" customHeight="1">
      <c r="A2311" s="26"/>
      <c r="B2311" s="26"/>
      <c r="C2311" s="26"/>
      <c r="D2311" s="24" t="s">
        <v>6978</v>
      </c>
      <c r="E2311" s="28">
        <v>0.40000</v>
      </c>
      <c r="F2311" s="29">
        <f ca="1">ROUND((G2308+G2309+G2310),3)</f>
        <v>0</v>
      </c>
      <c r="G2311" s="27">
        <f ca="1">ROUND(E2311*F2311,2)</f>
        <v>0</v>
      </c>
    </row>
    <row r="2312" spans="1:7" ht="15.12" thickBot="1" customHeight="1">
      <c r="A2312" s="24" t="s">
        <v>6979</v>
      </c>
      <c r="B2312" s="24"/>
      <c r="C2312" s="24" t="s">
        <v>6980</v>
      </c>
      <c r="D2312" s="25" t="s">
        <v>6981</v>
      </c>
      <c r="E2312" s="28">
        <v>5.00000</v>
      </c>
      <c r="F2312" s="29">
        <f ca="1">ROUND(17.520,3)</f>
        <v>0</v>
      </c>
      <c r="G2312" s="27">
        <f ca="1">ROUND((E2312*F2312)/100,2)</f>
        <v>0</v>
      </c>
    </row>
    <row r="2313" spans="1:7" ht="15.48" thickBot="1" customHeight="1">
      <c r="A2313" s="30"/>
      <c r="B2313" s="30"/>
      <c r="C2313" s="30"/>
      <c r="D2313" s="31" t="s">
        <v>6982</v>
      </c>
      <c r="E2313" s="30"/>
      <c r="F2313" s="33">
        <f ca="1">ROUND((G2306+G2307+G2312)*(1+G2/100),2)</f>
        <v>0</v>
      </c>
      <c r="G2313" s="30"/>
    </row>
    <row r="2314" spans="1:7" ht="39.84" thickBot="1" customHeight="1">
      <c r="A2314" s="34" t="s">
        <v>6983</v>
      </c>
      <c r="B2314" s="35" t="s">
        <v>6984</v>
      </c>
      <c r="C2314" s="35" t="s">
        <v>6985</v>
      </c>
      <c r="D2314" s="36" t="s">
        <v>6986</v>
      </c>
      <c r="E2314" s="37"/>
      <c r="F2314" s="38">
        <f ca="1">F2323</f>
        <v>0</v>
      </c>
      <c r="G2314" s="37"/>
    </row>
    <row r="2315" spans="1:7" ht="21.36" thickBot="1" customHeight="1">
      <c r="A2315" s="26"/>
      <c r="B2315" s="26"/>
      <c r="C2315" s="26"/>
      <c r="D2315" s="25" t="s">
        <v>6987</v>
      </c>
      <c r="E2315" s="25"/>
      <c r="F2315" s="25"/>
      <c r="G2315" s="25"/>
    </row>
    <row r="2316" spans="1:7" ht="30.60" thickBot="1" customHeight="1">
      <c r="A2316" s="24" t="s">
        <v>6988</v>
      </c>
      <c r="B2316" s="24" t="s">
        <v>6989</v>
      </c>
      <c r="C2316" s="24" t="s">
        <v>6990</v>
      </c>
      <c r="D2316" s="25" t="s">
        <v>6991</v>
      </c>
      <c r="E2316" s="28">
        <v>0.06667</v>
      </c>
      <c r="F2316" s="29">
        <f ca="1">ROUND(43.890,3)</f>
        <v>0</v>
      </c>
      <c r="G2316" s="27">
        <f ca="1">ROUND(E2316*F2316,2)</f>
        <v>0</v>
      </c>
    </row>
    <row r="2317" spans="1:7" ht="21.36" thickBot="1" customHeight="1">
      <c r="A2317" s="24" t="s">
        <v>6992</v>
      </c>
      <c r="B2317" s="24" t="s">
        <v>6993</v>
      </c>
      <c r="C2317" s="24" t="s">
        <v>6994</v>
      </c>
      <c r="D2317" s="25" t="s">
        <v>6995</v>
      </c>
      <c r="E2317" s="28">
        <v>0.40000</v>
      </c>
      <c r="F2317" s="29">
        <f ca="1">F2321</f>
        <v>0</v>
      </c>
      <c r="G2317" s="27">
        <f ca="1">ROUND(E2317*F2317,2)</f>
        <v>0</v>
      </c>
    </row>
    <row r="2318" spans="1:7" ht="24.36" thickBot="1" customHeight="1">
      <c r="A2318" s="24" t="s">
        <v>6996</v>
      </c>
      <c r="B2318" s="24" t="s">
        <v>6997</v>
      </c>
      <c r="C2318" s="24" t="s">
        <v>6998</v>
      </c>
      <c r="D2318" s="25" t="s">
        <v>6999</v>
      </c>
      <c r="E2318" s="28">
        <v>1.00000</v>
      </c>
      <c r="F2318" s="29">
        <f ca="1">ROUND(21.000,3)</f>
        <v>0</v>
      </c>
      <c r="G2318" s="27">
        <f ca="1">ROUND(E2318*F2318,2)</f>
        <v>0</v>
      </c>
    </row>
    <row r="2319" spans="1:7" ht="24.36" thickBot="1" customHeight="1">
      <c r="A2319" s="24" t="s">
        <v>7000</v>
      </c>
      <c r="B2319" s="24" t="s">
        <v>7001</v>
      </c>
      <c r="C2319" s="24" t="s">
        <v>7002</v>
      </c>
      <c r="D2319" s="25" t="s">
        <v>7003</v>
      </c>
      <c r="E2319" s="28">
        <v>1.00000</v>
      </c>
      <c r="F2319" s="29">
        <f ca="1">ROUND(19.000,3)</f>
        <v>0</v>
      </c>
      <c r="G2319" s="27">
        <f ca="1">ROUND(E2319*F2319,2)</f>
        <v>0</v>
      </c>
    </row>
    <row r="2320" spans="1:7" ht="24.36" thickBot="1" customHeight="1">
      <c r="A2320" s="24" t="s">
        <v>7004</v>
      </c>
      <c r="B2320" s="24" t="s">
        <v>7005</v>
      </c>
      <c r="C2320" s="24" t="s">
        <v>7006</v>
      </c>
      <c r="D2320" s="25" t="s">
        <v>7007</v>
      </c>
      <c r="E2320" s="28">
        <v>0.20000</v>
      </c>
      <c r="F2320" s="29">
        <f ca="1">ROUND(19.000,3)</f>
        <v>0</v>
      </c>
      <c r="G2320" s="27">
        <f ca="1">ROUND(E2320*F2320,2)</f>
        <v>0</v>
      </c>
    </row>
    <row r="2321" spans="1:7" ht="15.12" thickBot="1" customHeight="1">
      <c r="A2321" s="26"/>
      <c r="B2321" s="26"/>
      <c r="C2321" s="26"/>
      <c r="D2321" s="24" t="s">
        <v>7008</v>
      </c>
      <c r="E2321" s="28">
        <v>0.40000</v>
      </c>
      <c r="F2321" s="29">
        <f ca="1">ROUND((G2318+G2319+G2320),3)</f>
        <v>0</v>
      </c>
      <c r="G2321" s="27">
        <f ca="1">ROUND(E2321*F2321,2)</f>
        <v>0</v>
      </c>
    </row>
    <row r="2322" spans="1:7" ht="15.12" thickBot="1" customHeight="1">
      <c r="A2322" s="24" t="s">
        <v>7009</v>
      </c>
      <c r="B2322" s="24"/>
      <c r="C2322" s="24" t="s">
        <v>7010</v>
      </c>
      <c r="D2322" s="25" t="s">
        <v>7011</v>
      </c>
      <c r="E2322" s="28">
        <v>5.00000</v>
      </c>
      <c r="F2322" s="29">
        <f ca="1">ROUND(17.520,3)</f>
        <v>0</v>
      </c>
      <c r="G2322" s="27">
        <f ca="1">ROUND((E2322*F2322)/100,2)</f>
        <v>0</v>
      </c>
    </row>
    <row r="2323" spans="1:7" ht="15.48" thickBot="1" customHeight="1">
      <c r="A2323" s="30"/>
      <c r="B2323" s="30"/>
      <c r="C2323" s="30"/>
      <c r="D2323" s="31" t="s">
        <v>7012</v>
      </c>
      <c r="E2323" s="30"/>
      <c r="F2323" s="33">
        <f ca="1">ROUND((G2316+G2317+G2322)*(1+G2/100),2)</f>
        <v>0</v>
      </c>
      <c r="G2323" s="30"/>
    </row>
    <row r="2324" spans="1:7" ht="39.84" thickBot="1" customHeight="1">
      <c r="A2324" s="34" t="s">
        <v>7013</v>
      </c>
      <c r="B2324" s="35" t="s">
        <v>7014</v>
      </c>
      <c r="C2324" s="35" t="s">
        <v>7015</v>
      </c>
      <c r="D2324" s="36" t="s">
        <v>7016</v>
      </c>
      <c r="E2324" s="37"/>
      <c r="F2324" s="38">
        <f ca="1">F2334</f>
        <v>0</v>
      </c>
      <c r="G2324" s="37"/>
    </row>
    <row r="2325" spans="1:7" ht="21.36" thickBot="1" customHeight="1">
      <c r="A2325" s="26"/>
      <c r="B2325" s="26"/>
      <c r="C2325" s="26"/>
      <c r="D2325" s="25" t="s">
        <v>7017</v>
      </c>
      <c r="E2325" s="25"/>
      <c r="F2325" s="25"/>
      <c r="G2325" s="25"/>
    </row>
    <row r="2326" spans="1:7" ht="30.60" thickBot="1" customHeight="1">
      <c r="A2326" s="24" t="s">
        <v>7018</v>
      </c>
      <c r="B2326" s="24" t="s">
        <v>7019</v>
      </c>
      <c r="C2326" s="24" t="s">
        <v>7020</v>
      </c>
      <c r="D2326" s="25" t="s">
        <v>7021</v>
      </c>
      <c r="E2326" s="28">
        <v>0.08333</v>
      </c>
      <c r="F2326" s="29">
        <f ca="1">ROUND(73.890,3)</f>
        <v>0</v>
      </c>
      <c r="G2326" s="27">
        <f ca="1">ROUND(E2326*F2326,2)</f>
        <v>0</v>
      </c>
    </row>
    <row r="2327" spans="1:7" ht="24.36" thickBot="1" customHeight="1">
      <c r="A2327" s="24" t="s">
        <v>7022</v>
      </c>
      <c r="B2327" s="24" t="s">
        <v>7023</v>
      </c>
      <c r="C2327" s="24" t="s">
        <v>7024</v>
      </c>
      <c r="D2327" s="25" t="s">
        <v>7025</v>
      </c>
      <c r="E2327" s="28">
        <v>0.16000</v>
      </c>
      <c r="F2327" s="29">
        <f ca="1">ROUND(1.100,3)</f>
        <v>0</v>
      </c>
      <c r="G2327" s="27">
        <f ca="1">ROUND(E2327*F2327,2)</f>
        <v>0</v>
      </c>
    </row>
    <row r="2328" spans="1:7" ht="21.36" thickBot="1" customHeight="1">
      <c r="A2328" s="24" t="s">
        <v>7026</v>
      </c>
      <c r="B2328" s="24" t="s">
        <v>7027</v>
      </c>
      <c r="C2328" s="24" t="s">
        <v>7028</v>
      </c>
      <c r="D2328" s="25" t="s">
        <v>7029</v>
      </c>
      <c r="E2328" s="28">
        <v>0.40000</v>
      </c>
      <c r="F2328" s="29">
        <f ca="1">F2332</f>
        <v>0</v>
      </c>
      <c r="G2328" s="27">
        <f ca="1">ROUND(E2328*F2328,2)</f>
        <v>0</v>
      </c>
    </row>
    <row r="2329" spans="1:7" ht="24.36" thickBot="1" customHeight="1">
      <c r="A2329" s="24" t="s">
        <v>7030</v>
      </c>
      <c r="B2329" s="24" t="s">
        <v>7031</v>
      </c>
      <c r="C2329" s="24" t="s">
        <v>7032</v>
      </c>
      <c r="D2329" s="25" t="s">
        <v>7033</v>
      </c>
      <c r="E2329" s="28">
        <v>1.00000</v>
      </c>
      <c r="F2329" s="29">
        <f ca="1">ROUND(21.000,3)</f>
        <v>0</v>
      </c>
      <c r="G2329" s="27">
        <f ca="1">ROUND(E2329*F2329,2)</f>
        <v>0</v>
      </c>
    </row>
    <row r="2330" spans="1:7" ht="24.36" thickBot="1" customHeight="1">
      <c r="A2330" s="24" t="s">
        <v>7034</v>
      </c>
      <c r="B2330" s="24" t="s">
        <v>7035</v>
      </c>
      <c r="C2330" s="24" t="s">
        <v>7036</v>
      </c>
      <c r="D2330" s="25" t="s">
        <v>7037</v>
      </c>
      <c r="E2330" s="28">
        <v>1.00000</v>
      </c>
      <c r="F2330" s="29">
        <f ca="1">ROUND(19.000,3)</f>
        <v>0</v>
      </c>
      <c r="G2330" s="27">
        <f ca="1">ROUND(E2330*F2330,2)</f>
        <v>0</v>
      </c>
    </row>
    <row r="2331" spans="1:7" ht="24.36" thickBot="1" customHeight="1">
      <c r="A2331" s="24" t="s">
        <v>7038</v>
      </c>
      <c r="B2331" s="24" t="s">
        <v>7039</v>
      </c>
      <c r="C2331" s="24" t="s">
        <v>7040</v>
      </c>
      <c r="D2331" s="25" t="s">
        <v>7041</v>
      </c>
      <c r="E2331" s="28">
        <v>0.20000</v>
      </c>
      <c r="F2331" s="29">
        <f ca="1">ROUND(19.000,3)</f>
        <v>0</v>
      </c>
      <c r="G2331" s="27">
        <f ca="1">ROUND(E2331*F2331,2)</f>
        <v>0</v>
      </c>
    </row>
    <row r="2332" spans="1:7" ht="15.12" thickBot="1" customHeight="1">
      <c r="A2332" s="26"/>
      <c r="B2332" s="26"/>
      <c r="C2332" s="26"/>
      <c r="D2332" s="24" t="s">
        <v>7042</v>
      </c>
      <c r="E2332" s="28">
        <v>0.40000</v>
      </c>
      <c r="F2332" s="29">
        <f ca="1">ROUND((G2329+G2330+G2331),3)</f>
        <v>0</v>
      </c>
      <c r="G2332" s="27">
        <f ca="1">ROUND(E2332*F2332,2)</f>
        <v>0</v>
      </c>
    </row>
    <row r="2333" spans="1:7" ht="15.12" thickBot="1" customHeight="1">
      <c r="A2333" s="24" t="s">
        <v>7043</v>
      </c>
      <c r="B2333" s="24"/>
      <c r="C2333" s="24" t="s">
        <v>7044</v>
      </c>
      <c r="D2333" s="25" t="s">
        <v>7045</v>
      </c>
      <c r="E2333" s="28">
        <v>3.00000</v>
      </c>
      <c r="F2333" s="29">
        <f ca="1">ROUND(17.520,3)</f>
        <v>0</v>
      </c>
      <c r="G2333" s="27">
        <f ca="1">ROUND((E2333*F2333)/100,2)</f>
        <v>0</v>
      </c>
    </row>
    <row r="2334" spans="1:7" ht="15.48" thickBot="1" customHeight="1">
      <c r="A2334" s="30"/>
      <c r="B2334" s="30"/>
      <c r="C2334" s="30"/>
      <c r="D2334" s="31" t="s">
        <v>7046</v>
      </c>
      <c r="E2334" s="30"/>
      <c r="F2334" s="33">
        <f ca="1">ROUND((G2326+G2327+G2328+G2333)*(1+G2/100),2)</f>
        <v>0</v>
      </c>
      <c r="G2334" s="30"/>
    </row>
    <row r="2335" spans="1:7" ht="39.84" thickBot="1" customHeight="1">
      <c r="A2335" s="34" t="s">
        <v>7047</v>
      </c>
      <c r="B2335" s="35" t="s">
        <v>7048</v>
      </c>
      <c r="C2335" s="35" t="s">
        <v>7049</v>
      </c>
      <c r="D2335" s="36" t="s">
        <v>7050</v>
      </c>
      <c r="E2335" s="37"/>
      <c r="F2335" s="38">
        <f ca="1">F2345</f>
        <v>0</v>
      </c>
      <c r="G2335" s="37"/>
    </row>
    <row r="2336" spans="1:7" ht="21.36" thickBot="1" customHeight="1">
      <c r="A2336" s="26"/>
      <c r="B2336" s="26"/>
      <c r="C2336" s="26"/>
      <c r="D2336" s="25" t="s">
        <v>7051</v>
      </c>
      <c r="E2336" s="25"/>
      <c r="F2336" s="25"/>
      <c r="G2336" s="25"/>
    </row>
    <row r="2337" spans="1:7" ht="30.60" thickBot="1" customHeight="1">
      <c r="A2337" s="24" t="s">
        <v>7052</v>
      </c>
      <c r="B2337" s="24" t="s">
        <v>7053</v>
      </c>
      <c r="C2337" s="24" t="s">
        <v>7054</v>
      </c>
      <c r="D2337" s="25" t="s">
        <v>7055</v>
      </c>
      <c r="E2337" s="28">
        <v>0.08333</v>
      </c>
      <c r="F2337" s="29">
        <f ca="1">ROUND(62.730,3)</f>
        <v>0</v>
      </c>
      <c r="G2337" s="27">
        <f ca="1">ROUND(E2337*F2337,2)</f>
        <v>0</v>
      </c>
    </row>
    <row r="2338" spans="1:7" ht="24.36" thickBot="1" customHeight="1">
      <c r="A2338" s="24" t="s">
        <v>7056</v>
      </c>
      <c r="B2338" s="24" t="s">
        <v>7057</v>
      </c>
      <c r="C2338" s="24" t="s">
        <v>7058</v>
      </c>
      <c r="D2338" s="25" t="s">
        <v>7059</v>
      </c>
      <c r="E2338" s="28">
        <v>0.16000</v>
      </c>
      <c r="F2338" s="29">
        <f ca="1">ROUND(1.100,3)</f>
        <v>0</v>
      </c>
      <c r="G2338" s="27">
        <f ca="1">ROUND(E2338*F2338,2)</f>
        <v>0</v>
      </c>
    </row>
    <row r="2339" spans="1:7" ht="21.36" thickBot="1" customHeight="1">
      <c r="A2339" s="24" t="s">
        <v>7060</v>
      </c>
      <c r="B2339" s="24" t="s">
        <v>7061</v>
      </c>
      <c r="C2339" s="24" t="s">
        <v>7062</v>
      </c>
      <c r="D2339" s="25" t="s">
        <v>7063</v>
      </c>
      <c r="E2339" s="28">
        <v>0.40000</v>
      </c>
      <c r="F2339" s="29">
        <f ca="1">F2343</f>
        <v>0</v>
      </c>
      <c r="G2339" s="27">
        <f ca="1">ROUND(E2339*F2339,2)</f>
        <v>0</v>
      </c>
    </row>
    <row r="2340" spans="1:7" ht="24.36" thickBot="1" customHeight="1">
      <c r="A2340" s="24" t="s">
        <v>7064</v>
      </c>
      <c r="B2340" s="24" t="s">
        <v>7065</v>
      </c>
      <c r="C2340" s="24" t="s">
        <v>7066</v>
      </c>
      <c r="D2340" s="25" t="s">
        <v>7067</v>
      </c>
      <c r="E2340" s="28">
        <v>1.00000</v>
      </c>
      <c r="F2340" s="29">
        <f ca="1">ROUND(21.000,3)</f>
        <v>0</v>
      </c>
      <c r="G2340" s="27">
        <f ca="1">ROUND(E2340*F2340,2)</f>
        <v>0</v>
      </c>
    </row>
    <row r="2341" spans="1:7" ht="24.36" thickBot="1" customHeight="1">
      <c r="A2341" s="24" t="s">
        <v>7068</v>
      </c>
      <c r="B2341" s="24" t="s">
        <v>7069</v>
      </c>
      <c r="C2341" s="24" t="s">
        <v>7070</v>
      </c>
      <c r="D2341" s="25" t="s">
        <v>7071</v>
      </c>
      <c r="E2341" s="28">
        <v>1.00000</v>
      </c>
      <c r="F2341" s="29">
        <f ca="1">ROUND(19.000,3)</f>
        <v>0</v>
      </c>
      <c r="G2341" s="27">
        <f ca="1">ROUND(E2341*F2341,2)</f>
        <v>0</v>
      </c>
    </row>
    <row r="2342" spans="1:7" ht="24.36" thickBot="1" customHeight="1">
      <c r="A2342" s="24" t="s">
        <v>7072</v>
      </c>
      <c r="B2342" s="24" t="s">
        <v>7073</v>
      </c>
      <c r="C2342" s="24" t="s">
        <v>7074</v>
      </c>
      <c r="D2342" s="25" t="s">
        <v>7075</v>
      </c>
      <c r="E2342" s="28">
        <v>0.20000</v>
      </c>
      <c r="F2342" s="29">
        <f ca="1">ROUND(19.000,3)</f>
        <v>0</v>
      </c>
      <c r="G2342" s="27">
        <f ca="1">ROUND(E2342*F2342,2)</f>
        <v>0</v>
      </c>
    </row>
    <row r="2343" spans="1:7" ht="15.12" thickBot="1" customHeight="1">
      <c r="A2343" s="26"/>
      <c r="B2343" s="26"/>
      <c r="C2343" s="26"/>
      <c r="D2343" s="24" t="s">
        <v>7076</v>
      </c>
      <c r="E2343" s="28">
        <v>0.40000</v>
      </c>
      <c r="F2343" s="29">
        <f ca="1">ROUND((G2340+G2341+G2342),3)</f>
        <v>0</v>
      </c>
      <c r="G2343" s="27">
        <f ca="1">ROUND(E2343*F2343,2)</f>
        <v>0</v>
      </c>
    </row>
    <row r="2344" spans="1:7" ht="15.12" thickBot="1" customHeight="1">
      <c r="A2344" s="24" t="s">
        <v>7077</v>
      </c>
      <c r="B2344" s="24"/>
      <c r="C2344" s="24" t="s">
        <v>7078</v>
      </c>
      <c r="D2344" s="25" t="s">
        <v>7079</v>
      </c>
      <c r="E2344" s="28">
        <v>5.00000</v>
      </c>
      <c r="F2344" s="29">
        <f ca="1">ROUND(17.520,3)</f>
        <v>0</v>
      </c>
      <c r="G2344" s="27">
        <f ca="1">ROUND((E2344*F2344)/100,2)</f>
        <v>0</v>
      </c>
    </row>
    <row r="2345" spans="1:7" ht="15.48" thickBot="1" customHeight="1">
      <c r="A2345" s="30"/>
      <c r="B2345" s="30"/>
      <c r="C2345" s="30"/>
      <c r="D2345" s="31" t="s">
        <v>7080</v>
      </c>
      <c r="E2345" s="30"/>
      <c r="F2345" s="33">
        <f ca="1">ROUND((G2337+G2338+G2339+G2344)*(1+G2/100),2)</f>
        <v>0</v>
      </c>
      <c r="G2345" s="30"/>
    </row>
    <row r="2346" spans="1:7" ht="39.84" thickBot="1" customHeight="1">
      <c r="A2346" s="34" t="s">
        <v>7081</v>
      </c>
      <c r="B2346" s="35" t="s">
        <v>7082</v>
      </c>
      <c r="C2346" s="35" t="s">
        <v>7083</v>
      </c>
      <c r="D2346" s="36" t="s">
        <v>7084</v>
      </c>
      <c r="E2346" s="37"/>
      <c r="F2346" s="38">
        <f ca="1">F2356</f>
        <v>0</v>
      </c>
      <c r="G2346" s="37"/>
    </row>
    <row r="2347" spans="1:7" ht="21.36" thickBot="1" customHeight="1">
      <c r="A2347" s="26"/>
      <c r="B2347" s="26"/>
      <c r="C2347" s="26"/>
      <c r="D2347" s="25" t="s">
        <v>7085</v>
      </c>
      <c r="E2347" s="25"/>
      <c r="F2347" s="25"/>
      <c r="G2347" s="25"/>
    </row>
    <row r="2348" spans="1:7" ht="30.60" thickBot="1" customHeight="1">
      <c r="A2348" s="24" t="s">
        <v>7086</v>
      </c>
      <c r="B2348" s="24" t="s">
        <v>7087</v>
      </c>
      <c r="C2348" s="24" t="s">
        <v>7088</v>
      </c>
      <c r="D2348" s="25" t="s">
        <v>7089</v>
      </c>
      <c r="E2348" s="28">
        <v>0.06667</v>
      </c>
      <c r="F2348" s="29">
        <f ca="1">ROUND(9.040,3)</f>
        <v>0</v>
      </c>
      <c r="G2348" s="27">
        <f ca="1">ROUND(E2348*F2348,2)</f>
        <v>0</v>
      </c>
    </row>
    <row r="2349" spans="1:7" ht="30.60" thickBot="1" customHeight="1">
      <c r="A2349" s="24" t="s">
        <v>7090</v>
      </c>
      <c r="B2349" s="24" t="s">
        <v>7091</v>
      </c>
      <c r="C2349" s="24" t="s">
        <v>7092</v>
      </c>
      <c r="D2349" s="25" t="s">
        <v>7093</v>
      </c>
      <c r="E2349" s="28">
        <v>0.07000</v>
      </c>
      <c r="F2349" s="29">
        <f ca="1">ROUND(14.090,3)</f>
        <v>0</v>
      </c>
      <c r="G2349" s="27">
        <f ca="1">ROUND(E2349*F2349,2)</f>
        <v>0</v>
      </c>
    </row>
    <row r="2350" spans="1:7" ht="21.36" thickBot="1" customHeight="1">
      <c r="A2350" s="24" t="s">
        <v>7094</v>
      </c>
      <c r="B2350" s="24" t="s">
        <v>7095</v>
      </c>
      <c r="C2350" s="24" t="s">
        <v>7096</v>
      </c>
      <c r="D2350" s="25" t="s">
        <v>7097</v>
      </c>
      <c r="E2350" s="28">
        <v>0.50000</v>
      </c>
      <c r="F2350" s="29">
        <f ca="1">F2354</f>
        <v>0</v>
      </c>
      <c r="G2350" s="27">
        <f ca="1">ROUND(E2350*F2350,2)</f>
        <v>0</v>
      </c>
    </row>
    <row r="2351" spans="1:7" ht="24.36" thickBot="1" customHeight="1">
      <c r="A2351" s="24" t="s">
        <v>7098</v>
      </c>
      <c r="B2351" s="24" t="s">
        <v>7099</v>
      </c>
      <c r="C2351" s="24" t="s">
        <v>7100</v>
      </c>
      <c r="D2351" s="25" t="s">
        <v>7101</v>
      </c>
      <c r="E2351" s="28">
        <v>1.00000</v>
      </c>
      <c r="F2351" s="29">
        <f ca="1">ROUND(21.000,3)</f>
        <v>0</v>
      </c>
      <c r="G2351" s="27">
        <f ca="1">ROUND(E2351*F2351,2)</f>
        <v>0</v>
      </c>
    </row>
    <row r="2352" spans="1:7" ht="24.36" thickBot="1" customHeight="1">
      <c r="A2352" s="24" t="s">
        <v>7102</v>
      </c>
      <c r="B2352" s="24" t="s">
        <v>7103</v>
      </c>
      <c r="C2352" s="24" t="s">
        <v>7104</v>
      </c>
      <c r="D2352" s="25" t="s">
        <v>7105</v>
      </c>
      <c r="E2352" s="28">
        <v>1.00000</v>
      </c>
      <c r="F2352" s="29">
        <f ca="1">ROUND(19.000,3)</f>
        <v>0</v>
      </c>
      <c r="G2352" s="27">
        <f ca="1">ROUND(E2352*F2352,2)</f>
        <v>0</v>
      </c>
    </row>
    <row r="2353" spans="1:7" ht="24.36" thickBot="1" customHeight="1">
      <c r="A2353" s="24" t="s">
        <v>7106</v>
      </c>
      <c r="B2353" s="24" t="s">
        <v>7107</v>
      </c>
      <c r="C2353" s="24" t="s">
        <v>7108</v>
      </c>
      <c r="D2353" s="25" t="s">
        <v>7109</v>
      </c>
      <c r="E2353" s="28">
        <v>0.20000</v>
      </c>
      <c r="F2353" s="29">
        <f ca="1">ROUND(19.000,3)</f>
        <v>0</v>
      </c>
      <c r="G2353" s="27">
        <f ca="1">ROUND(E2353*F2353,2)</f>
        <v>0</v>
      </c>
    </row>
    <row r="2354" spans="1:7" ht="15.12" thickBot="1" customHeight="1">
      <c r="A2354" s="26"/>
      <c r="B2354" s="26"/>
      <c r="C2354" s="26"/>
      <c r="D2354" s="24" t="s">
        <v>7110</v>
      </c>
      <c r="E2354" s="28">
        <v>0.50000</v>
      </c>
      <c r="F2354" s="29">
        <f ca="1">ROUND((G2351+G2352+G2353),3)</f>
        <v>0</v>
      </c>
      <c r="G2354" s="27">
        <f ca="1">ROUND(E2354*F2354,2)</f>
        <v>0</v>
      </c>
    </row>
    <row r="2355" spans="1:7" ht="15.12" thickBot="1" customHeight="1">
      <c r="A2355" s="24" t="s">
        <v>7111</v>
      </c>
      <c r="B2355" s="24"/>
      <c r="C2355" s="24" t="s">
        <v>7112</v>
      </c>
      <c r="D2355" s="25" t="s">
        <v>7113</v>
      </c>
      <c r="E2355" s="28">
        <v>5.00000</v>
      </c>
      <c r="F2355" s="29">
        <f ca="1">ROUND(21.900,3)</f>
        <v>0</v>
      </c>
      <c r="G2355" s="27">
        <f ca="1">ROUND((E2355*F2355)/100,2)</f>
        <v>0</v>
      </c>
    </row>
    <row r="2356" spans="1:7" ht="15.48" thickBot="1" customHeight="1">
      <c r="A2356" s="30"/>
      <c r="B2356" s="30"/>
      <c r="C2356" s="30"/>
      <c r="D2356" s="31" t="s">
        <v>7114</v>
      </c>
      <c r="E2356" s="30"/>
      <c r="F2356" s="33">
        <f ca="1">ROUND((G2348+G2349+G2350+G2355)*(1+G2/100),2)</f>
        <v>0</v>
      </c>
      <c r="G2356" s="30"/>
    </row>
    <row r="2357" spans="1:7" ht="30.60" thickBot="1" customHeight="1">
      <c r="A2357" s="34" t="s">
        <v>7115</v>
      </c>
      <c r="B2357" s="35" t="s">
        <v>7116</v>
      </c>
      <c r="C2357" s="35" t="s">
        <v>7117</v>
      </c>
      <c r="D2357" s="36" t="s">
        <v>7118</v>
      </c>
      <c r="E2357" s="37"/>
      <c r="F2357" s="38">
        <f ca="1">F2367</f>
        <v>0</v>
      </c>
      <c r="G2357" s="37"/>
    </row>
    <row r="2358" spans="1:7" ht="21.36" thickBot="1" customHeight="1">
      <c r="A2358" s="26"/>
      <c r="B2358" s="26"/>
      <c r="C2358" s="26"/>
      <c r="D2358" s="25" t="s">
        <v>7119</v>
      </c>
      <c r="E2358" s="25"/>
      <c r="F2358" s="25"/>
      <c r="G2358" s="25"/>
    </row>
    <row r="2359" spans="1:7" ht="30.60" thickBot="1" customHeight="1">
      <c r="A2359" s="24" t="s">
        <v>7120</v>
      </c>
      <c r="B2359" s="24" t="s">
        <v>7121</v>
      </c>
      <c r="C2359" s="24" t="s">
        <v>7122</v>
      </c>
      <c r="D2359" s="25" t="s">
        <v>7123</v>
      </c>
      <c r="E2359" s="28">
        <v>0.05000</v>
      </c>
      <c r="F2359" s="29">
        <f ca="1">ROUND(9.040,3)</f>
        <v>0</v>
      </c>
      <c r="G2359" s="27">
        <f ca="1">ROUND(E2359*F2359,2)</f>
        <v>0</v>
      </c>
    </row>
    <row r="2360" spans="1:7" ht="30.60" thickBot="1" customHeight="1">
      <c r="A2360" s="24" t="s">
        <v>7124</v>
      </c>
      <c r="B2360" s="24" t="s">
        <v>7125</v>
      </c>
      <c r="C2360" s="24" t="s">
        <v>7126</v>
      </c>
      <c r="D2360" s="25" t="s">
        <v>7127</v>
      </c>
      <c r="E2360" s="28">
        <v>0.05250</v>
      </c>
      <c r="F2360" s="29">
        <f ca="1">ROUND(14.090,3)</f>
        <v>0</v>
      </c>
      <c r="G2360" s="27">
        <f ca="1">ROUND(E2360*F2360,2)</f>
        <v>0</v>
      </c>
    </row>
    <row r="2361" spans="1:7" ht="21.36" thickBot="1" customHeight="1">
      <c r="A2361" s="24" t="s">
        <v>7128</v>
      </c>
      <c r="B2361" s="24" t="s">
        <v>7129</v>
      </c>
      <c r="C2361" s="24" t="s">
        <v>7130</v>
      </c>
      <c r="D2361" s="25" t="s">
        <v>7131</v>
      </c>
      <c r="E2361" s="28">
        <v>0.40000</v>
      </c>
      <c r="F2361" s="29">
        <f ca="1">F2365</f>
        <v>0</v>
      </c>
      <c r="G2361" s="27">
        <f ca="1">ROUND(E2361*F2361,2)</f>
        <v>0</v>
      </c>
    </row>
    <row r="2362" spans="1:7" ht="24.36" thickBot="1" customHeight="1">
      <c r="A2362" s="24" t="s">
        <v>7132</v>
      </c>
      <c r="B2362" s="24" t="s">
        <v>7133</v>
      </c>
      <c r="C2362" s="24" t="s">
        <v>7134</v>
      </c>
      <c r="D2362" s="25" t="s">
        <v>7135</v>
      </c>
      <c r="E2362" s="28">
        <v>1.00000</v>
      </c>
      <c r="F2362" s="29">
        <f ca="1">ROUND(21.000,3)</f>
        <v>0</v>
      </c>
      <c r="G2362" s="27">
        <f ca="1">ROUND(E2362*F2362,2)</f>
        <v>0</v>
      </c>
    </row>
    <row r="2363" spans="1:7" ht="24.36" thickBot="1" customHeight="1">
      <c r="A2363" s="24" t="s">
        <v>7136</v>
      </c>
      <c r="B2363" s="24" t="s">
        <v>7137</v>
      </c>
      <c r="C2363" s="24" t="s">
        <v>7138</v>
      </c>
      <c r="D2363" s="25" t="s">
        <v>7139</v>
      </c>
      <c r="E2363" s="28">
        <v>1.00000</v>
      </c>
      <c r="F2363" s="29">
        <f ca="1">ROUND(19.000,3)</f>
        <v>0</v>
      </c>
      <c r="G2363" s="27">
        <f ca="1">ROUND(E2363*F2363,2)</f>
        <v>0</v>
      </c>
    </row>
    <row r="2364" spans="1:7" ht="24.36" thickBot="1" customHeight="1">
      <c r="A2364" s="24" t="s">
        <v>7140</v>
      </c>
      <c r="B2364" s="24" t="s">
        <v>7141</v>
      </c>
      <c r="C2364" s="24" t="s">
        <v>7142</v>
      </c>
      <c r="D2364" s="25" t="s">
        <v>7143</v>
      </c>
      <c r="E2364" s="28">
        <v>0.20000</v>
      </c>
      <c r="F2364" s="29">
        <f ca="1">ROUND(19.000,3)</f>
        <v>0</v>
      </c>
      <c r="G2364" s="27">
        <f ca="1">ROUND(E2364*F2364,2)</f>
        <v>0</v>
      </c>
    </row>
    <row r="2365" spans="1:7" ht="15.12" thickBot="1" customHeight="1">
      <c r="A2365" s="26"/>
      <c r="B2365" s="26"/>
      <c r="C2365" s="26"/>
      <c r="D2365" s="24" t="s">
        <v>7144</v>
      </c>
      <c r="E2365" s="28">
        <v>0.40000</v>
      </c>
      <c r="F2365" s="29">
        <f ca="1">ROUND((G2362+G2363+G2364),3)</f>
        <v>0</v>
      </c>
      <c r="G2365" s="27">
        <f ca="1">ROUND(E2365*F2365,2)</f>
        <v>0</v>
      </c>
    </row>
    <row r="2366" spans="1:7" ht="15.12" thickBot="1" customHeight="1">
      <c r="A2366" s="24" t="s">
        <v>7145</v>
      </c>
      <c r="B2366" s="24"/>
      <c r="C2366" s="24" t="s">
        <v>7146</v>
      </c>
      <c r="D2366" s="25" t="s">
        <v>7147</v>
      </c>
      <c r="E2366" s="28">
        <v>5.00000</v>
      </c>
      <c r="F2366" s="29">
        <f ca="1">ROUND(17.520,3)</f>
        <v>0</v>
      </c>
      <c r="G2366" s="27">
        <f ca="1">ROUND((E2366*F2366)/100,2)</f>
        <v>0</v>
      </c>
    </row>
    <row r="2367" spans="1:7" ht="15.48" thickBot="1" customHeight="1">
      <c r="A2367" s="30"/>
      <c r="B2367" s="30"/>
      <c r="C2367" s="30"/>
      <c r="D2367" s="31" t="s">
        <v>7148</v>
      </c>
      <c r="E2367" s="30"/>
      <c r="F2367" s="33">
        <f ca="1">ROUND((G2359+G2360+G2361+G2366)*(1+G2/100),2)</f>
        <v>0</v>
      </c>
      <c r="G2367" s="30"/>
    </row>
    <row r="2368" spans="1:7" ht="49.08" thickBot="1" customHeight="1">
      <c r="A2368" s="34" t="s">
        <v>7149</v>
      </c>
      <c r="B2368" s="35" t="s">
        <v>7150</v>
      </c>
      <c r="C2368" s="35" t="s">
        <v>7151</v>
      </c>
      <c r="D2368" s="36" t="s">
        <v>7152</v>
      </c>
      <c r="E2368" s="37"/>
      <c r="F2368" s="38">
        <f ca="1">F2378</f>
        <v>0</v>
      </c>
      <c r="G2368" s="37"/>
    </row>
    <row r="2369" spans="1:7" ht="21.36" thickBot="1" customHeight="1">
      <c r="A2369" s="26"/>
      <c r="B2369" s="26"/>
      <c r="C2369" s="26"/>
      <c r="D2369" s="25" t="s">
        <v>7153</v>
      </c>
      <c r="E2369" s="25"/>
      <c r="F2369" s="25"/>
      <c r="G2369" s="25"/>
    </row>
    <row r="2370" spans="1:7" ht="39.84" thickBot="1" customHeight="1">
      <c r="A2370" s="24" t="s">
        <v>7154</v>
      </c>
      <c r="B2370" s="24" t="s">
        <v>7155</v>
      </c>
      <c r="C2370" s="24" t="s">
        <v>7156</v>
      </c>
      <c r="D2370" s="25" t="s">
        <v>7157</v>
      </c>
      <c r="E2370" s="28">
        <v>0.18000</v>
      </c>
      <c r="F2370" s="29">
        <f ca="1">ROUND(1.750,3)</f>
        <v>0</v>
      </c>
      <c r="G2370" s="27">
        <f ca="1">ROUND(E2370*F2370,2)</f>
        <v>0</v>
      </c>
    </row>
    <row r="2371" spans="1:7" ht="30.60" thickBot="1" customHeight="1">
      <c r="A2371" s="24" t="s">
        <v>7158</v>
      </c>
      <c r="B2371" s="24" t="s">
        <v>7159</v>
      </c>
      <c r="C2371" s="24" t="s">
        <v>7160</v>
      </c>
      <c r="D2371" s="25" t="s">
        <v>7161</v>
      </c>
      <c r="E2371" s="28">
        <v>0.04500</v>
      </c>
      <c r="F2371" s="29">
        <f ca="1">ROUND(24.450,3)</f>
        <v>0</v>
      </c>
      <c r="G2371" s="27">
        <f ca="1">ROUND(E2371*F2371,2)</f>
        <v>0</v>
      </c>
    </row>
    <row r="2372" spans="1:7" ht="21.36" thickBot="1" customHeight="1">
      <c r="A2372" s="24" t="s">
        <v>7162</v>
      </c>
      <c r="B2372" s="24" t="s">
        <v>7163</v>
      </c>
      <c r="C2372" s="24" t="s">
        <v>7164</v>
      </c>
      <c r="D2372" s="25" t="s">
        <v>7165</v>
      </c>
      <c r="E2372" s="28">
        <v>0.18000</v>
      </c>
      <c r="F2372" s="29">
        <f ca="1">F2376</f>
        <v>0</v>
      </c>
      <c r="G2372" s="27">
        <f ca="1">ROUND(E2372*F2372,2)</f>
        <v>0</v>
      </c>
    </row>
    <row r="2373" spans="1:7" ht="24.36" thickBot="1" customHeight="1">
      <c r="A2373" s="24" t="s">
        <v>7166</v>
      </c>
      <c r="B2373" s="24" t="s">
        <v>7167</v>
      </c>
      <c r="C2373" s="24" t="s">
        <v>7168</v>
      </c>
      <c r="D2373" s="25" t="s">
        <v>7169</v>
      </c>
      <c r="E2373" s="28">
        <v>1.00000</v>
      </c>
      <c r="F2373" s="29">
        <f ca="1">ROUND(21.000,3)</f>
        <v>0</v>
      </c>
      <c r="G2373" s="27">
        <f ca="1">ROUND(E2373*F2373,2)</f>
        <v>0</v>
      </c>
    </row>
    <row r="2374" spans="1:7" ht="24.36" thickBot="1" customHeight="1">
      <c r="A2374" s="24" t="s">
        <v>7170</v>
      </c>
      <c r="B2374" s="24" t="s">
        <v>7171</v>
      </c>
      <c r="C2374" s="24" t="s">
        <v>7172</v>
      </c>
      <c r="D2374" s="25" t="s">
        <v>7173</v>
      </c>
      <c r="E2374" s="28">
        <v>1.00000</v>
      </c>
      <c r="F2374" s="29">
        <f ca="1">ROUND(19.000,3)</f>
        <v>0</v>
      </c>
      <c r="G2374" s="27">
        <f ca="1">ROUND(E2374*F2374,2)</f>
        <v>0</v>
      </c>
    </row>
    <row r="2375" spans="1:7" ht="24.36" thickBot="1" customHeight="1">
      <c r="A2375" s="24" t="s">
        <v>7174</v>
      </c>
      <c r="B2375" s="24" t="s">
        <v>7175</v>
      </c>
      <c r="C2375" s="24" t="s">
        <v>7176</v>
      </c>
      <c r="D2375" s="25" t="s">
        <v>7177</v>
      </c>
      <c r="E2375" s="28">
        <v>0.20000</v>
      </c>
      <c r="F2375" s="29">
        <f ca="1">ROUND(19.000,3)</f>
        <v>0</v>
      </c>
      <c r="G2375" s="27">
        <f ca="1">ROUND(E2375*F2375,2)</f>
        <v>0</v>
      </c>
    </row>
    <row r="2376" spans="1:7" ht="15.12" thickBot="1" customHeight="1">
      <c r="A2376" s="26"/>
      <c r="B2376" s="26"/>
      <c r="C2376" s="26"/>
      <c r="D2376" s="24" t="s">
        <v>7178</v>
      </c>
      <c r="E2376" s="28">
        <v>0.18000</v>
      </c>
      <c r="F2376" s="29">
        <f ca="1">ROUND((G2373+G2374+G2375),3)</f>
        <v>0</v>
      </c>
      <c r="G2376" s="27">
        <f ca="1">ROUND(E2376*F2376,2)</f>
        <v>0</v>
      </c>
    </row>
    <row r="2377" spans="1:7" ht="15.12" thickBot="1" customHeight="1">
      <c r="A2377" s="24" t="s">
        <v>7179</v>
      </c>
      <c r="B2377" s="24"/>
      <c r="C2377" s="24" t="s">
        <v>7180</v>
      </c>
      <c r="D2377" s="25" t="s">
        <v>7181</v>
      </c>
      <c r="E2377" s="28">
        <v>3.00000</v>
      </c>
      <c r="F2377" s="29">
        <f ca="1">ROUND(7.880,3)</f>
        <v>0</v>
      </c>
      <c r="G2377" s="27">
        <f ca="1">ROUND((E2377*F2377)/100,2)</f>
        <v>0</v>
      </c>
    </row>
    <row r="2378" spans="1:7" ht="25.08" thickBot="1" customHeight="1">
      <c r="A2378" s="30"/>
      <c r="B2378" s="30"/>
      <c r="C2378" s="30"/>
      <c r="D2378" s="31" t="s">
        <v>7182</v>
      </c>
      <c r="E2378" s="30"/>
      <c r="F2378" s="33">
        <f ca="1">ROUND((G2370+G2371+G2372+G2377)*(1+G2/100),2)</f>
        <v>0</v>
      </c>
      <c r="G2378" s="30"/>
    </row>
    <row r="2379" spans="1:7" ht="49.08" thickBot="1" customHeight="1">
      <c r="A2379" s="34" t="s">
        <v>7183</v>
      </c>
      <c r="B2379" s="35" t="s">
        <v>7184</v>
      </c>
      <c r="C2379" s="35" t="s">
        <v>7185</v>
      </c>
      <c r="D2379" s="36" t="s">
        <v>7186</v>
      </c>
      <c r="E2379" s="37"/>
      <c r="F2379" s="38">
        <f ca="1">F2389</f>
        <v>0</v>
      </c>
      <c r="G2379" s="37"/>
    </row>
    <row r="2380" spans="1:7" ht="21.36" thickBot="1" customHeight="1">
      <c r="A2380" s="26"/>
      <c r="B2380" s="26"/>
      <c r="C2380" s="26"/>
      <c r="D2380" s="25" t="s">
        <v>7187</v>
      </c>
      <c r="E2380" s="25"/>
      <c r="F2380" s="25"/>
      <c r="G2380" s="25"/>
    </row>
    <row r="2381" spans="1:7" ht="39.84" thickBot="1" customHeight="1">
      <c r="A2381" s="24" t="s">
        <v>7188</v>
      </c>
      <c r="B2381" s="24" t="s">
        <v>7189</v>
      </c>
      <c r="C2381" s="24" t="s">
        <v>7190</v>
      </c>
      <c r="D2381" s="25" t="s">
        <v>7191</v>
      </c>
      <c r="E2381" s="28">
        <v>0.12000</v>
      </c>
      <c r="F2381" s="29">
        <f ca="1">ROUND(1.750,3)</f>
        <v>0</v>
      </c>
      <c r="G2381" s="27">
        <f ca="1">ROUND(E2381*F2381,2)</f>
        <v>0</v>
      </c>
    </row>
    <row r="2382" spans="1:7" ht="30.60" thickBot="1" customHeight="1">
      <c r="A2382" s="24" t="s">
        <v>7192</v>
      </c>
      <c r="B2382" s="24" t="s">
        <v>7193</v>
      </c>
      <c r="C2382" s="24" t="s">
        <v>7194</v>
      </c>
      <c r="D2382" s="25" t="s">
        <v>7195</v>
      </c>
      <c r="E2382" s="28">
        <v>0.03333</v>
      </c>
      <c r="F2382" s="29">
        <f ca="1">ROUND(24.450,3)</f>
        <v>0</v>
      </c>
      <c r="G2382" s="27">
        <f ca="1">ROUND(E2382*F2382,2)</f>
        <v>0</v>
      </c>
    </row>
    <row r="2383" spans="1:7" ht="21.36" thickBot="1" customHeight="1">
      <c r="A2383" s="24" t="s">
        <v>7196</v>
      </c>
      <c r="B2383" s="24" t="s">
        <v>7197</v>
      </c>
      <c r="C2383" s="24" t="s">
        <v>7198</v>
      </c>
      <c r="D2383" s="25" t="s">
        <v>7199</v>
      </c>
      <c r="E2383" s="28">
        <v>0.12000</v>
      </c>
      <c r="F2383" s="29">
        <f ca="1">F2387</f>
        <v>0</v>
      </c>
      <c r="G2383" s="27">
        <f ca="1">ROUND(E2383*F2383,2)</f>
        <v>0</v>
      </c>
    </row>
    <row r="2384" spans="1:7" ht="24.36" thickBot="1" customHeight="1">
      <c r="A2384" s="24" t="s">
        <v>7200</v>
      </c>
      <c r="B2384" s="24" t="s">
        <v>7201</v>
      </c>
      <c r="C2384" s="24" t="s">
        <v>7202</v>
      </c>
      <c r="D2384" s="25" t="s">
        <v>7203</v>
      </c>
      <c r="E2384" s="28">
        <v>1.00000</v>
      </c>
      <c r="F2384" s="29">
        <f ca="1">ROUND(21.000,3)</f>
        <v>0</v>
      </c>
      <c r="G2384" s="27">
        <f ca="1">ROUND(E2384*F2384,2)</f>
        <v>0</v>
      </c>
    </row>
    <row r="2385" spans="1:7" ht="24.36" thickBot="1" customHeight="1">
      <c r="A2385" s="24" t="s">
        <v>7204</v>
      </c>
      <c r="B2385" s="24" t="s">
        <v>7205</v>
      </c>
      <c r="C2385" s="24" t="s">
        <v>7206</v>
      </c>
      <c r="D2385" s="25" t="s">
        <v>7207</v>
      </c>
      <c r="E2385" s="28">
        <v>1.00000</v>
      </c>
      <c r="F2385" s="29">
        <f ca="1">ROUND(19.000,3)</f>
        <v>0</v>
      </c>
      <c r="G2385" s="27">
        <f ca="1">ROUND(E2385*F2385,2)</f>
        <v>0</v>
      </c>
    </row>
    <row r="2386" spans="1:7" ht="24.36" thickBot="1" customHeight="1">
      <c r="A2386" s="24" t="s">
        <v>7208</v>
      </c>
      <c r="B2386" s="24" t="s">
        <v>7209</v>
      </c>
      <c r="C2386" s="24" t="s">
        <v>7210</v>
      </c>
      <c r="D2386" s="25" t="s">
        <v>7211</v>
      </c>
      <c r="E2386" s="28">
        <v>0.20000</v>
      </c>
      <c r="F2386" s="29">
        <f ca="1">ROUND(19.000,3)</f>
        <v>0</v>
      </c>
      <c r="G2386" s="27">
        <f ca="1">ROUND(E2386*F2386,2)</f>
        <v>0</v>
      </c>
    </row>
    <row r="2387" spans="1:7" ht="15.12" thickBot="1" customHeight="1">
      <c r="A2387" s="26"/>
      <c r="B2387" s="26"/>
      <c r="C2387" s="26"/>
      <c r="D2387" s="24" t="s">
        <v>7212</v>
      </c>
      <c r="E2387" s="28">
        <v>0.12000</v>
      </c>
      <c r="F2387" s="29">
        <f ca="1">ROUND((G2384+G2385+G2386),3)</f>
        <v>0</v>
      </c>
      <c r="G2387" s="27">
        <f ca="1">ROUND(E2387*F2387,2)</f>
        <v>0</v>
      </c>
    </row>
    <row r="2388" spans="1:7" ht="15.12" thickBot="1" customHeight="1">
      <c r="A2388" s="24" t="s">
        <v>7213</v>
      </c>
      <c r="B2388" s="24"/>
      <c r="C2388" s="24" t="s">
        <v>7214</v>
      </c>
      <c r="D2388" s="25" t="s">
        <v>7215</v>
      </c>
      <c r="E2388" s="28">
        <v>3.00000</v>
      </c>
      <c r="F2388" s="29">
        <f ca="1">ROUND(5.260,3)</f>
        <v>0</v>
      </c>
      <c r="G2388" s="27">
        <f ca="1">ROUND((E2388*F2388)/100,2)</f>
        <v>0</v>
      </c>
    </row>
    <row r="2389" spans="1:7" ht="25.08" thickBot="1" customHeight="1">
      <c r="A2389" s="30"/>
      <c r="B2389" s="30"/>
      <c r="C2389" s="30"/>
      <c r="D2389" s="31" t="s">
        <v>7216</v>
      </c>
      <c r="E2389" s="30"/>
      <c r="F2389" s="33">
        <f ca="1">ROUND((G2381+G2382+G2383+G2388)*(1+G2/100),2)</f>
        <v>0</v>
      </c>
      <c r="G2389" s="30"/>
    </row>
    <row r="2390" spans="1:7" ht="49.08" thickBot="1" customHeight="1">
      <c r="A2390" s="34" t="s">
        <v>7217</v>
      </c>
      <c r="B2390" s="35" t="s">
        <v>7218</v>
      </c>
      <c r="C2390" s="35" t="s">
        <v>7219</v>
      </c>
      <c r="D2390" s="36" t="s">
        <v>7220</v>
      </c>
      <c r="E2390" s="37"/>
      <c r="F2390" s="38">
        <f ca="1">F2400</f>
        <v>0</v>
      </c>
      <c r="G2390" s="37"/>
    </row>
    <row r="2391" spans="1:7" ht="21.36" thickBot="1" customHeight="1">
      <c r="A2391" s="26"/>
      <c r="B2391" s="26"/>
      <c r="C2391" s="26"/>
      <c r="D2391" s="25" t="s">
        <v>7221</v>
      </c>
      <c r="E2391" s="25"/>
      <c r="F2391" s="25"/>
      <c r="G2391" s="25"/>
    </row>
    <row r="2392" spans="1:7" ht="39.84" thickBot="1" customHeight="1">
      <c r="A2392" s="24" t="s">
        <v>7222</v>
      </c>
      <c r="B2392" s="24" t="s">
        <v>7223</v>
      </c>
      <c r="C2392" s="24" t="s">
        <v>7224</v>
      </c>
      <c r="D2392" s="25" t="s">
        <v>7225</v>
      </c>
      <c r="E2392" s="28">
        <v>0.30000</v>
      </c>
      <c r="F2392" s="29">
        <f ca="1">ROUND(1.750,3)</f>
        <v>0</v>
      </c>
      <c r="G2392" s="27">
        <f ca="1">ROUND(E2392*F2392,2)</f>
        <v>0</v>
      </c>
    </row>
    <row r="2393" spans="1:7" ht="30.60" thickBot="1" customHeight="1">
      <c r="A2393" s="24" t="s">
        <v>7226</v>
      </c>
      <c r="B2393" s="24" t="s">
        <v>7227</v>
      </c>
      <c r="C2393" s="24" t="s">
        <v>7228</v>
      </c>
      <c r="D2393" s="25" t="s">
        <v>7229</v>
      </c>
      <c r="E2393" s="28">
        <v>0.11250</v>
      </c>
      <c r="F2393" s="29">
        <f ca="1">ROUND(24.450,3)</f>
        <v>0</v>
      </c>
      <c r="G2393" s="27">
        <f ca="1">ROUND(E2393*F2393,2)</f>
        <v>0</v>
      </c>
    </row>
    <row r="2394" spans="1:7" ht="21.36" thickBot="1" customHeight="1">
      <c r="A2394" s="24" t="s">
        <v>7230</v>
      </c>
      <c r="B2394" s="24" t="s">
        <v>7231</v>
      </c>
      <c r="C2394" s="24" t="s">
        <v>7232</v>
      </c>
      <c r="D2394" s="25" t="s">
        <v>7233</v>
      </c>
      <c r="E2394" s="28">
        <v>0.30000</v>
      </c>
      <c r="F2394" s="29">
        <f ca="1">F2398</f>
        <v>0</v>
      </c>
      <c r="G2394" s="27">
        <f ca="1">ROUND(E2394*F2394,2)</f>
        <v>0</v>
      </c>
    </row>
    <row r="2395" spans="1:7" ht="24.36" thickBot="1" customHeight="1">
      <c r="A2395" s="24" t="s">
        <v>7234</v>
      </c>
      <c r="B2395" s="24" t="s">
        <v>7235</v>
      </c>
      <c r="C2395" s="24" t="s">
        <v>7236</v>
      </c>
      <c r="D2395" s="25" t="s">
        <v>7237</v>
      </c>
      <c r="E2395" s="28">
        <v>1.00000</v>
      </c>
      <c r="F2395" s="29">
        <f ca="1">ROUND(21.000,3)</f>
        <v>0</v>
      </c>
      <c r="G2395" s="27">
        <f ca="1">ROUND(E2395*F2395,2)</f>
        <v>0</v>
      </c>
    </row>
    <row r="2396" spans="1:7" ht="24.36" thickBot="1" customHeight="1">
      <c r="A2396" s="24" t="s">
        <v>7238</v>
      </c>
      <c r="B2396" s="24" t="s">
        <v>7239</v>
      </c>
      <c r="C2396" s="24" t="s">
        <v>7240</v>
      </c>
      <c r="D2396" s="25" t="s">
        <v>7241</v>
      </c>
      <c r="E2396" s="28">
        <v>1.00000</v>
      </c>
      <c r="F2396" s="29">
        <f ca="1">ROUND(19.000,3)</f>
        <v>0</v>
      </c>
      <c r="G2396" s="27">
        <f ca="1">ROUND(E2396*F2396,2)</f>
        <v>0</v>
      </c>
    </row>
    <row r="2397" spans="1:7" ht="24.36" thickBot="1" customHeight="1">
      <c r="A2397" s="24" t="s">
        <v>7242</v>
      </c>
      <c r="B2397" s="24" t="s">
        <v>7243</v>
      </c>
      <c r="C2397" s="24" t="s">
        <v>7244</v>
      </c>
      <c r="D2397" s="25" t="s">
        <v>7245</v>
      </c>
      <c r="E2397" s="28">
        <v>0.20000</v>
      </c>
      <c r="F2397" s="29">
        <f ca="1">ROUND(19.000,3)</f>
        <v>0</v>
      </c>
      <c r="G2397" s="27">
        <f ca="1">ROUND(E2397*F2397,2)</f>
        <v>0</v>
      </c>
    </row>
    <row r="2398" spans="1:7" ht="15.12" thickBot="1" customHeight="1">
      <c r="A2398" s="26"/>
      <c r="B2398" s="26"/>
      <c r="C2398" s="26"/>
      <c r="D2398" s="24" t="s">
        <v>7246</v>
      </c>
      <c r="E2398" s="28">
        <v>0.30000</v>
      </c>
      <c r="F2398" s="29">
        <f ca="1">ROUND((G2395+G2396+G2397),3)</f>
        <v>0</v>
      </c>
      <c r="G2398" s="27">
        <f ca="1">ROUND(E2398*F2398,2)</f>
        <v>0</v>
      </c>
    </row>
    <row r="2399" spans="1:7" ht="15.12" thickBot="1" customHeight="1">
      <c r="A2399" s="24" t="s">
        <v>7247</v>
      </c>
      <c r="B2399" s="24"/>
      <c r="C2399" s="24" t="s">
        <v>7248</v>
      </c>
      <c r="D2399" s="25" t="s">
        <v>7249</v>
      </c>
      <c r="E2399" s="28">
        <v>3.00000</v>
      </c>
      <c r="F2399" s="29">
        <f ca="1">ROUND(13.140,3)</f>
        <v>0</v>
      </c>
      <c r="G2399" s="27">
        <f ca="1">ROUND((E2399*F2399)/100,2)</f>
        <v>0</v>
      </c>
    </row>
    <row r="2400" spans="1:7" ht="25.08" thickBot="1" customHeight="1">
      <c r="A2400" s="30"/>
      <c r="B2400" s="30"/>
      <c r="C2400" s="30"/>
      <c r="D2400" s="31" t="s">
        <v>7250</v>
      </c>
      <c r="E2400" s="30"/>
      <c r="F2400" s="33">
        <f ca="1">ROUND((G2392+G2393+G2394+G2399)*(1+G2/100),2)</f>
        <v>0</v>
      </c>
      <c r="G2400" s="30"/>
    </row>
    <row r="2401" spans="1:7" ht="49.08" thickBot="1" customHeight="1">
      <c r="A2401" s="34" t="s">
        <v>7251</v>
      </c>
      <c r="B2401" s="35" t="s">
        <v>7252</v>
      </c>
      <c r="C2401" s="35" t="s">
        <v>7253</v>
      </c>
      <c r="D2401" s="36" t="s">
        <v>7254</v>
      </c>
      <c r="E2401" s="37"/>
      <c r="F2401" s="38">
        <f ca="1">F2411</f>
        <v>0</v>
      </c>
      <c r="G2401" s="37"/>
    </row>
    <row r="2402" spans="1:7" ht="21.36" thickBot="1" customHeight="1">
      <c r="A2402" s="26"/>
      <c r="B2402" s="26"/>
      <c r="C2402" s="26"/>
      <c r="D2402" s="25" t="s">
        <v>7255</v>
      </c>
      <c r="E2402" s="25"/>
      <c r="F2402" s="25"/>
      <c r="G2402" s="25"/>
    </row>
    <row r="2403" spans="1:7" ht="39.84" thickBot="1" customHeight="1">
      <c r="A2403" s="24" t="s">
        <v>7256</v>
      </c>
      <c r="B2403" s="24" t="s">
        <v>7257</v>
      </c>
      <c r="C2403" s="24" t="s">
        <v>7258</v>
      </c>
      <c r="D2403" s="25" t="s">
        <v>7259</v>
      </c>
      <c r="E2403" s="28">
        <v>0.20000</v>
      </c>
      <c r="F2403" s="29">
        <f ca="1">ROUND(1.750,3)</f>
        <v>0</v>
      </c>
      <c r="G2403" s="27">
        <f ca="1">ROUND(E2403*F2403,2)</f>
        <v>0</v>
      </c>
    </row>
    <row r="2404" spans="1:7" ht="30.60" thickBot="1" customHeight="1">
      <c r="A2404" s="24" t="s">
        <v>7260</v>
      </c>
      <c r="B2404" s="24" t="s">
        <v>7261</v>
      </c>
      <c r="C2404" s="24" t="s">
        <v>7262</v>
      </c>
      <c r="D2404" s="25" t="s">
        <v>7263</v>
      </c>
      <c r="E2404" s="28">
        <v>0.08800</v>
      </c>
      <c r="F2404" s="29">
        <f ca="1">ROUND(24.450,3)</f>
        <v>0</v>
      </c>
      <c r="G2404" s="27">
        <f ca="1">ROUND(E2404*F2404,2)</f>
        <v>0</v>
      </c>
    </row>
    <row r="2405" spans="1:7" ht="21.36" thickBot="1" customHeight="1">
      <c r="A2405" s="24" t="s">
        <v>7264</v>
      </c>
      <c r="B2405" s="24" t="s">
        <v>7265</v>
      </c>
      <c r="C2405" s="24" t="s">
        <v>7266</v>
      </c>
      <c r="D2405" s="25" t="s">
        <v>7267</v>
      </c>
      <c r="E2405" s="28">
        <v>0.20000</v>
      </c>
      <c r="F2405" s="29">
        <f ca="1">F2409</f>
        <v>0</v>
      </c>
      <c r="G2405" s="27">
        <f ca="1">ROUND(E2405*F2405,2)</f>
        <v>0</v>
      </c>
    </row>
    <row r="2406" spans="1:7" ht="24.36" thickBot="1" customHeight="1">
      <c r="A2406" s="24" t="s">
        <v>7268</v>
      </c>
      <c r="B2406" s="24" t="s">
        <v>7269</v>
      </c>
      <c r="C2406" s="24" t="s">
        <v>7270</v>
      </c>
      <c r="D2406" s="25" t="s">
        <v>7271</v>
      </c>
      <c r="E2406" s="28">
        <v>1.00000</v>
      </c>
      <c r="F2406" s="29">
        <f ca="1">ROUND(21.000,3)</f>
        <v>0</v>
      </c>
      <c r="G2406" s="27">
        <f ca="1">ROUND(E2406*F2406,2)</f>
        <v>0</v>
      </c>
    </row>
    <row r="2407" spans="1:7" ht="24.36" thickBot="1" customHeight="1">
      <c r="A2407" s="24" t="s">
        <v>7272</v>
      </c>
      <c r="B2407" s="24" t="s">
        <v>7273</v>
      </c>
      <c r="C2407" s="24" t="s">
        <v>7274</v>
      </c>
      <c r="D2407" s="25" t="s">
        <v>7275</v>
      </c>
      <c r="E2407" s="28">
        <v>1.00000</v>
      </c>
      <c r="F2407" s="29">
        <f ca="1">ROUND(19.000,3)</f>
        <v>0</v>
      </c>
      <c r="G2407" s="27">
        <f ca="1">ROUND(E2407*F2407,2)</f>
        <v>0</v>
      </c>
    </row>
    <row r="2408" spans="1:7" ht="24.36" thickBot="1" customHeight="1">
      <c r="A2408" s="24" t="s">
        <v>7276</v>
      </c>
      <c r="B2408" s="24" t="s">
        <v>7277</v>
      </c>
      <c r="C2408" s="24" t="s">
        <v>7278</v>
      </c>
      <c r="D2408" s="25" t="s">
        <v>7279</v>
      </c>
      <c r="E2408" s="28">
        <v>0.20000</v>
      </c>
      <c r="F2408" s="29">
        <f ca="1">ROUND(19.000,3)</f>
        <v>0</v>
      </c>
      <c r="G2408" s="27">
        <f ca="1">ROUND(E2408*F2408,2)</f>
        <v>0</v>
      </c>
    </row>
    <row r="2409" spans="1:7" ht="15.12" thickBot="1" customHeight="1">
      <c r="A2409" s="26"/>
      <c r="B2409" s="26"/>
      <c r="C2409" s="26"/>
      <c r="D2409" s="24" t="s">
        <v>7280</v>
      </c>
      <c r="E2409" s="28">
        <v>0.20000</v>
      </c>
      <c r="F2409" s="29">
        <f ca="1">ROUND((G2406+G2407+G2408),3)</f>
        <v>0</v>
      </c>
      <c r="G2409" s="27">
        <f ca="1">ROUND(E2409*F2409,2)</f>
        <v>0</v>
      </c>
    </row>
    <row r="2410" spans="1:7" ht="15.12" thickBot="1" customHeight="1">
      <c r="A2410" s="24" t="s">
        <v>7281</v>
      </c>
      <c r="B2410" s="24"/>
      <c r="C2410" s="24" t="s">
        <v>7282</v>
      </c>
      <c r="D2410" s="25" t="s">
        <v>7283</v>
      </c>
      <c r="E2410" s="28">
        <v>3.00000</v>
      </c>
      <c r="F2410" s="29">
        <f ca="1">ROUND(8.760,3)</f>
        <v>0</v>
      </c>
      <c r="G2410" s="27">
        <f ca="1">ROUND((E2410*F2410)/100,2)</f>
        <v>0</v>
      </c>
    </row>
    <row r="2411" spans="1:7" ht="25.08" thickBot="1" customHeight="1">
      <c r="A2411" s="30"/>
      <c r="B2411" s="30"/>
      <c r="C2411" s="30"/>
      <c r="D2411" s="31" t="s">
        <v>7284</v>
      </c>
      <c r="E2411" s="30"/>
      <c r="F2411" s="33">
        <f ca="1">ROUND((G2403+G2404+G2405+G2410)*(1+G2/100),2)</f>
        <v>0</v>
      </c>
      <c r="G2411" s="30"/>
    </row>
    <row r="2412" spans="1:7" ht="21.36" thickBot="1" customHeight="1">
      <c r="A2412" s="34" t="s">
        <v>7285</v>
      </c>
      <c r="B2412" s="35" t="s">
        <v>7286</v>
      </c>
      <c r="C2412" s="35" t="s">
        <v>7287</v>
      </c>
      <c r="D2412" s="36" t="s">
        <v>7288</v>
      </c>
      <c r="E2412" s="37"/>
      <c r="F2412" s="38">
        <f ca="1">F2422</f>
        <v>0</v>
      </c>
      <c r="G2412" s="37"/>
    </row>
    <row r="2413" spans="1:7" ht="39.84" thickBot="1" customHeight="1">
      <c r="A2413" s="26"/>
      <c r="B2413" s="26"/>
      <c r="C2413" s="26"/>
      <c r="D2413" s="25" t="s">
        <v>7289</v>
      </c>
      <c r="E2413" s="25"/>
      <c r="F2413" s="25"/>
      <c r="G2413" s="25"/>
    </row>
    <row r="2414" spans="1:7" ht="30.60" thickBot="1" customHeight="1">
      <c r="A2414" s="24" t="s">
        <v>7290</v>
      </c>
      <c r="B2414" s="24" t="s">
        <v>7291</v>
      </c>
      <c r="C2414" s="24" t="s">
        <v>7292</v>
      </c>
      <c r="D2414" s="25" t="s">
        <v>7293</v>
      </c>
      <c r="E2414" s="28">
        <v>0.06660</v>
      </c>
      <c r="F2414" s="29">
        <f ca="1">ROUND(110.660,3)</f>
        <v>0</v>
      </c>
      <c r="G2414" s="27">
        <f ca="1">ROUND(E2414*F2414,2)</f>
        <v>0</v>
      </c>
    </row>
    <row r="2415" spans="1:7" ht="24.36" thickBot="1" customHeight="1">
      <c r="A2415" s="24" t="s">
        <v>7294</v>
      </c>
      <c r="B2415" s="24" t="s">
        <v>7295</v>
      </c>
      <c r="C2415" s="24" t="s">
        <v>7296</v>
      </c>
      <c r="D2415" s="25" t="s">
        <v>7297</v>
      </c>
      <c r="E2415" s="28">
        <v>0.11000</v>
      </c>
      <c r="F2415" s="29">
        <f ca="1">ROUND(4.630,3)</f>
        <v>0</v>
      </c>
      <c r="G2415" s="27">
        <f ca="1">ROUND(E2415*F2415,2)</f>
        <v>0</v>
      </c>
    </row>
    <row r="2416" spans="1:7" ht="21.36" thickBot="1" customHeight="1">
      <c r="A2416" s="24" t="s">
        <v>7298</v>
      </c>
      <c r="B2416" s="24" t="s">
        <v>7299</v>
      </c>
      <c r="C2416" s="24" t="s">
        <v>7300</v>
      </c>
      <c r="D2416" s="25" t="s">
        <v>7301</v>
      </c>
      <c r="E2416" s="28">
        <v>0.50000</v>
      </c>
      <c r="F2416" s="29">
        <f ca="1">F2420</f>
        <v>0</v>
      </c>
      <c r="G2416" s="27">
        <f ca="1">ROUND(E2416*F2416,2)</f>
        <v>0</v>
      </c>
    </row>
    <row r="2417" spans="1:7" ht="24.36" thickBot="1" customHeight="1">
      <c r="A2417" s="24" t="s">
        <v>7302</v>
      </c>
      <c r="B2417" s="24" t="s">
        <v>7303</v>
      </c>
      <c r="C2417" s="24" t="s">
        <v>7304</v>
      </c>
      <c r="D2417" s="25" t="s">
        <v>7305</v>
      </c>
      <c r="E2417" s="28">
        <v>1.00000</v>
      </c>
      <c r="F2417" s="29">
        <f ca="1">ROUND(21.000,3)</f>
        <v>0</v>
      </c>
      <c r="G2417" s="27">
        <f ca="1">ROUND(E2417*F2417,2)</f>
        <v>0</v>
      </c>
    </row>
    <row r="2418" spans="1:7" ht="24.36" thickBot="1" customHeight="1">
      <c r="A2418" s="24" t="s">
        <v>7306</v>
      </c>
      <c r="B2418" s="24" t="s">
        <v>7307</v>
      </c>
      <c r="C2418" s="24" t="s">
        <v>7308</v>
      </c>
      <c r="D2418" s="25" t="s">
        <v>7309</v>
      </c>
      <c r="E2418" s="28">
        <v>1.00000</v>
      </c>
      <c r="F2418" s="29">
        <f ca="1">ROUND(19.000,3)</f>
        <v>0</v>
      </c>
      <c r="G2418" s="27">
        <f ca="1">ROUND(E2418*F2418,2)</f>
        <v>0</v>
      </c>
    </row>
    <row r="2419" spans="1:7" ht="24.36" thickBot="1" customHeight="1">
      <c r="A2419" s="24" t="s">
        <v>7310</v>
      </c>
      <c r="B2419" s="24" t="s">
        <v>7311</v>
      </c>
      <c r="C2419" s="24" t="s">
        <v>7312</v>
      </c>
      <c r="D2419" s="25" t="s">
        <v>7313</v>
      </c>
      <c r="E2419" s="28">
        <v>0.20000</v>
      </c>
      <c r="F2419" s="29">
        <f ca="1">ROUND(19.000,3)</f>
        <v>0</v>
      </c>
      <c r="G2419" s="27">
        <f ca="1">ROUND(E2419*F2419,2)</f>
        <v>0</v>
      </c>
    </row>
    <row r="2420" spans="1:7" ht="15.12" thickBot="1" customHeight="1">
      <c r="A2420" s="26"/>
      <c r="B2420" s="26"/>
      <c r="C2420" s="26"/>
      <c r="D2420" s="24" t="s">
        <v>7314</v>
      </c>
      <c r="E2420" s="28">
        <v>0.50000</v>
      </c>
      <c r="F2420" s="29">
        <f ca="1">ROUND((G2417+G2418+G2419),3)</f>
        <v>0</v>
      </c>
      <c r="G2420" s="27">
        <f ca="1">ROUND(E2420*F2420,2)</f>
        <v>0</v>
      </c>
    </row>
    <row r="2421" spans="1:7" ht="15.12" thickBot="1" customHeight="1">
      <c r="A2421" s="24" t="s">
        <v>7315</v>
      </c>
      <c r="B2421" s="24"/>
      <c r="C2421" s="24" t="s">
        <v>7316</v>
      </c>
      <c r="D2421" s="25" t="s">
        <v>7317</v>
      </c>
      <c r="E2421" s="28">
        <v>3.00000</v>
      </c>
      <c r="F2421" s="29">
        <f ca="1">ROUND(21.900,3)</f>
        <v>0</v>
      </c>
      <c r="G2421" s="27">
        <f ca="1">ROUND((E2421*F2421)/100,2)</f>
        <v>0</v>
      </c>
    </row>
    <row r="2422" spans="1:7" ht="15.48" thickBot="1" customHeight="1">
      <c r="A2422" s="30"/>
      <c r="B2422" s="30"/>
      <c r="C2422" s="30"/>
      <c r="D2422" s="31" t="s">
        <v>7318</v>
      </c>
      <c r="E2422" s="30"/>
      <c r="F2422" s="33">
        <f ca="1">ROUND((G2414+G2415+G2416+G2421)*(1+G2/100),2)</f>
        <v>0</v>
      </c>
      <c r="G2422" s="30"/>
    </row>
    <row r="2423" spans="1:7" ht="30.60" thickBot="1" customHeight="1">
      <c r="A2423" s="34" t="s">
        <v>7319</v>
      </c>
      <c r="B2423" s="35" t="s">
        <v>7320</v>
      </c>
      <c r="C2423" s="35" t="s">
        <v>7321</v>
      </c>
      <c r="D2423" s="36" t="s">
        <v>7322</v>
      </c>
      <c r="E2423" s="37"/>
      <c r="F2423" s="38">
        <f ca="1">F2433</f>
        <v>0</v>
      </c>
      <c r="G2423" s="37"/>
    </row>
    <row r="2424" spans="1:7" ht="30.60" thickBot="1" customHeight="1">
      <c r="A2424" s="26"/>
      <c r="B2424" s="26"/>
      <c r="C2424" s="26"/>
      <c r="D2424" s="25" t="s">
        <v>7323</v>
      </c>
      <c r="E2424" s="25"/>
      <c r="F2424" s="25"/>
      <c r="G2424" s="25"/>
    </row>
    <row r="2425" spans="1:7" ht="30.60" thickBot="1" customHeight="1">
      <c r="A2425" s="24" t="s">
        <v>7324</v>
      </c>
      <c r="B2425" s="24" t="s">
        <v>7325</v>
      </c>
      <c r="C2425" s="24" t="s">
        <v>7326</v>
      </c>
      <c r="D2425" s="25" t="s">
        <v>7327</v>
      </c>
      <c r="E2425" s="28">
        <v>0.13200</v>
      </c>
      <c r="F2425" s="29">
        <f ca="1">ROUND(110.660,3)</f>
        <v>0</v>
      </c>
      <c r="G2425" s="27">
        <f ca="1">ROUND(E2425*F2425,2)</f>
        <v>0</v>
      </c>
    </row>
    <row r="2426" spans="1:7" ht="15.12" thickBot="1" customHeight="1">
      <c r="A2426" s="24" t="s">
        <v>7328</v>
      </c>
      <c r="B2426" s="24" t="s">
        <v>7329</v>
      </c>
      <c r="C2426" s="24" t="s">
        <v>7330</v>
      </c>
      <c r="D2426" s="25" t="s">
        <v>7331</v>
      </c>
      <c r="E2426" s="28">
        <v>0.10000</v>
      </c>
      <c r="F2426" s="29">
        <f ca="1">ROUND(5.000,3)</f>
        <v>0</v>
      </c>
      <c r="G2426" s="27">
        <f ca="1">ROUND(E2426*F2426,2)</f>
        <v>0</v>
      </c>
    </row>
    <row r="2427" spans="1:7" ht="21.36" thickBot="1" customHeight="1">
      <c r="A2427" s="24" t="s">
        <v>7332</v>
      </c>
      <c r="B2427" s="24" t="s">
        <v>7333</v>
      </c>
      <c r="C2427" s="24" t="s">
        <v>7334</v>
      </c>
      <c r="D2427" s="25" t="s">
        <v>7335</v>
      </c>
      <c r="E2427" s="28">
        <v>0.50000</v>
      </c>
      <c r="F2427" s="29">
        <f ca="1">F2431</f>
        <v>0</v>
      </c>
      <c r="G2427" s="27">
        <f ca="1">ROUND(E2427*F2427,2)</f>
        <v>0</v>
      </c>
    </row>
    <row r="2428" spans="1:7" ht="24.36" thickBot="1" customHeight="1">
      <c r="A2428" s="24" t="s">
        <v>7336</v>
      </c>
      <c r="B2428" s="24" t="s">
        <v>7337</v>
      </c>
      <c r="C2428" s="24" t="s">
        <v>7338</v>
      </c>
      <c r="D2428" s="25" t="s">
        <v>7339</v>
      </c>
      <c r="E2428" s="28">
        <v>1.00000</v>
      </c>
      <c r="F2428" s="29">
        <f ca="1">ROUND(21.000,3)</f>
        <v>0</v>
      </c>
      <c r="G2428" s="27">
        <f ca="1">ROUND(E2428*F2428,2)</f>
        <v>0</v>
      </c>
    </row>
    <row r="2429" spans="1:7" ht="24.36" thickBot="1" customHeight="1">
      <c r="A2429" s="24" t="s">
        <v>7340</v>
      </c>
      <c r="B2429" s="24" t="s">
        <v>7341</v>
      </c>
      <c r="C2429" s="24" t="s">
        <v>7342</v>
      </c>
      <c r="D2429" s="25" t="s">
        <v>7343</v>
      </c>
      <c r="E2429" s="28">
        <v>1.00000</v>
      </c>
      <c r="F2429" s="29">
        <f ca="1">ROUND(19.000,3)</f>
        <v>0</v>
      </c>
      <c r="G2429" s="27">
        <f ca="1">ROUND(E2429*F2429,2)</f>
        <v>0</v>
      </c>
    </row>
    <row r="2430" spans="1:7" ht="24.36" thickBot="1" customHeight="1">
      <c r="A2430" s="24" t="s">
        <v>7344</v>
      </c>
      <c r="B2430" s="24" t="s">
        <v>7345</v>
      </c>
      <c r="C2430" s="24" t="s">
        <v>7346</v>
      </c>
      <c r="D2430" s="25" t="s">
        <v>7347</v>
      </c>
      <c r="E2430" s="28">
        <v>0.20000</v>
      </c>
      <c r="F2430" s="29">
        <f ca="1">ROUND(19.000,3)</f>
        <v>0</v>
      </c>
      <c r="G2430" s="27">
        <f ca="1">ROUND(E2430*F2430,2)</f>
        <v>0</v>
      </c>
    </row>
    <row r="2431" spans="1:7" ht="15.12" thickBot="1" customHeight="1">
      <c r="A2431" s="26"/>
      <c r="B2431" s="26"/>
      <c r="C2431" s="26"/>
      <c r="D2431" s="24" t="s">
        <v>7348</v>
      </c>
      <c r="E2431" s="28">
        <v>0.50000</v>
      </c>
      <c r="F2431" s="29">
        <f ca="1">ROUND((G2428+G2429+G2430),3)</f>
        <v>0</v>
      </c>
      <c r="G2431" s="27">
        <f ca="1">ROUND(E2431*F2431,2)</f>
        <v>0</v>
      </c>
    </row>
    <row r="2432" spans="1:7" ht="15.12" thickBot="1" customHeight="1">
      <c r="A2432" s="24" t="s">
        <v>7349</v>
      </c>
      <c r="B2432" s="24"/>
      <c r="C2432" s="24" t="s">
        <v>7350</v>
      </c>
      <c r="D2432" s="25" t="s">
        <v>7351</v>
      </c>
      <c r="E2432" s="28">
        <v>3.00000</v>
      </c>
      <c r="F2432" s="29">
        <f ca="1">ROUND(21.900,3)</f>
        <v>0</v>
      </c>
      <c r="G2432" s="27">
        <f ca="1">ROUND((E2432*F2432)/100,2)</f>
        <v>0</v>
      </c>
    </row>
    <row r="2433" spans="1:7" ht="15.48" thickBot="1" customHeight="1">
      <c r="A2433" s="30"/>
      <c r="B2433" s="30"/>
      <c r="C2433" s="30"/>
      <c r="D2433" s="31" t="s">
        <v>7352</v>
      </c>
      <c r="E2433" s="30"/>
      <c r="F2433" s="33">
        <f ca="1">ROUND((G2425+G2426+G2427+G2432)*(1+G2/100),2)</f>
        <v>0</v>
      </c>
      <c r="G2433" s="30"/>
    </row>
    <row r="2434" spans="1:7" ht="49.08" thickBot="1" customHeight="1">
      <c r="A2434" s="34" t="s">
        <v>7353</v>
      </c>
      <c r="B2434" s="35" t="s">
        <v>7354</v>
      </c>
      <c r="C2434" s="35" t="s">
        <v>7355</v>
      </c>
      <c r="D2434" s="36" t="s">
        <v>7356</v>
      </c>
      <c r="E2434" s="37"/>
      <c r="F2434" s="38">
        <f ca="1">F2442</f>
        <v>0</v>
      </c>
      <c r="G2434" s="37"/>
    </row>
    <row r="2435" spans="1:7" ht="21.36" thickBot="1" customHeight="1">
      <c r="A2435" s="26"/>
      <c r="B2435" s="26"/>
      <c r="C2435" s="26"/>
      <c r="D2435" s="25" t="s">
        <v>7357</v>
      </c>
      <c r="E2435" s="25"/>
      <c r="F2435" s="25"/>
      <c r="G2435" s="25"/>
    </row>
    <row r="2436" spans="1:7" ht="21.36" thickBot="1" customHeight="1">
      <c r="A2436" s="24" t="s">
        <v>7358</v>
      </c>
      <c r="B2436" s="24" t="s">
        <v>7359</v>
      </c>
      <c r="C2436" s="24" t="s">
        <v>7360</v>
      </c>
      <c r="D2436" s="25" t="s">
        <v>7361</v>
      </c>
      <c r="E2436" s="28">
        <v>0.20000</v>
      </c>
      <c r="F2436" s="29">
        <f ca="1">F2440</f>
        <v>0</v>
      </c>
      <c r="G2436" s="27">
        <f ca="1">ROUND(E2436*F2436,2)</f>
        <v>0</v>
      </c>
    </row>
    <row r="2437" spans="1:7" ht="24.36" thickBot="1" customHeight="1">
      <c r="A2437" s="24" t="s">
        <v>7362</v>
      </c>
      <c r="B2437" s="24" t="s">
        <v>7363</v>
      </c>
      <c r="C2437" s="24" t="s">
        <v>7364</v>
      </c>
      <c r="D2437" s="25" t="s">
        <v>7365</v>
      </c>
      <c r="E2437" s="28">
        <v>1.00000</v>
      </c>
      <c r="F2437" s="29">
        <f ca="1">ROUND(21.000,3)</f>
        <v>0</v>
      </c>
      <c r="G2437" s="27">
        <f ca="1">ROUND(E2437*F2437,2)</f>
        <v>0</v>
      </c>
    </row>
    <row r="2438" spans="1:7" ht="24.36" thickBot="1" customHeight="1">
      <c r="A2438" s="24" t="s">
        <v>7366</v>
      </c>
      <c r="B2438" s="24" t="s">
        <v>7367</v>
      </c>
      <c r="C2438" s="24" t="s">
        <v>7368</v>
      </c>
      <c r="D2438" s="25" t="s">
        <v>7369</v>
      </c>
      <c r="E2438" s="28">
        <v>1.00000</v>
      </c>
      <c r="F2438" s="29">
        <f ca="1">ROUND(19.000,3)</f>
        <v>0</v>
      </c>
      <c r="G2438" s="27">
        <f ca="1">ROUND(E2438*F2438,2)</f>
        <v>0</v>
      </c>
    </row>
    <row r="2439" spans="1:7" ht="24.36" thickBot="1" customHeight="1">
      <c r="A2439" s="24" t="s">
        <v>7370</v>
      </c>
      <c r="B2439" s="24" t="s">
        <v>7371</v>
      </c>
      <c r="C2439" s="24" t="s">
        <v>7372</v>
      </c>
      <c r="D2439" s="25" t="s">
        <v>7373</v>
      </c>
      <c r="E2439" s="28">
        <v>0.20000</v>
      </c>
      <c r="F2439" s="29">
        <f ca="1">ROUND(19.000,3)</f>
        <v>0</v>
      </c>
      <c r="G2439" s="27">
        <f ca="1">ROUND(E2439*F2439,2)</f>
        <v>0</v>
      </c>
    </row>
    <row r="2440" spans="1:7" ht="15.12" thickBot="1" customHeight="1">
      <c r="A2440" s="26"/>
      <c r="B2440" s="26"/>
      <c r="C2440" s="26"/>
      <c r="D2440" s="24" t="s">
        <v>7374</v>
      </c>
      <c r="E2440" s="28">
        <v>0.20000</v>
      </c>
      <c r="F2440" s="29">
        <f ca="1">ROUND((G2437+G2438+G2439),3)</f>
        <v>0</v>
      </c>
      <c r="G2440" s="27">
        <f ca="1">ROUND(E2440*F2440,2)</f>
        <v>0</v>
      </c>
    </row>
    <row r="2441" spans="1:7" ht="15.12" thickBot="1" customHeight="1">
      <c r="A2441" s="24" t="s">
        <v>7375</v>
      </c>
      <c r="B2441" s="24"/>
      <c r="C2441" s="24" t="s">
        <v>7376</v>
      </c>
      <c r="D2441" s="25" t="s">
        <v>7377</v>
      </c>
      <c r="E2441" s="28">
        <v>5.00000</v>
      </c>
      <c r="F2441" s="29">
        <f ca="1">ROUND(8.760,3)</f>
        <v>0</v>
      </c>
      <c r="G2441" s="27">
        <f ca="1">ROUND((E2441*F2441)/100,2)</f>
        <v>0</v>
      </c>
    </row>
    <row r="2442" spans="1:7" ht="25.08" thickBot="1" customHeight="1">
      <c r="A2442" s="30"/>
      <c r="B2442" s="30"/>
      <c r="C2442" s="30"/>
      <c r="D2442" s="31" t="s">
        <v>7378</v>
      </c>
      <c r="E2442" s="30"/>
      <c r="F2442" s="33">
        <f ca="1">ROUND((G2436+G2441)*(1+G2/100),2)</f>
        <v>0</v>
      </c>
      <c r="G2442" s="30"/>
    </row>
    <row r="2443" spans="1:7" ht="15.48" thickBot="1" customHeight="1">
      <c r="A2443" s="39"/>
      <c r="B2443" s="39"/>
      <c r="C2443" s="39"/>
      <c r="D2443" s="48" t="s">
        <v>7379</v>
      </c>
      <c r="E2443" s="49"/>
      <c r="F2443" s="49"/>
      <c r="G2443" s="49"/>
    </row>
    <row r="2444" spans="1:7" ht="15.48" thickBot="1" customHeight="1">
      <c r="A2444" s="66" t="s">
        <v>7380</v>
      </c>
      <c r="B2444" s="66" t="s">
        <v>7381</v>
      </c>
      <c r="C2444" s="67"/>
      <c r="D2444" s="68" t="s">
        <v>7382</v>
      </c>
      <c r="E2444" s="67"/>
      <c r="F2444" s="67"/>
      <c r="G2444" s="67"/>
    </row>
    <row r="2445" spans="1:7" ht="22.08" thickBot="1" customHeight="1">
      <c r="A2445" s="70" t="s">
        <v>7383</v>
      </c>
      <c r="B2445" s="70" t="s">
        <v>7384</v>
      </c>
      <c r="C2445" s="71"/>
      <c r="D2445" s="72" t="s">
        <v>7385</v>
      </c>
      <c r="E2445" s="71"/>
      <c r="F2445" s="71"/>
      <c r="G2445" s="71"/>
    </row>
    <row r="2446" spans="1:7" ht="86.04" thickBot="1" customHeight="1">
      <c r="A2446" s="10" t="s">
        <v>7386</v>
      </c>
      <c r="B2446" s="24" t="s">
        <v>7387</v>
      </c>
      <c r="C2446" s="24" t="s">
        <v>7388</v>
      </c>
      <c r="D2446" s="25" t="s">
        <v>7389</v>
      </c>
      <c r="E2446" s="26"/>
      <c r="F2446" s="27">
        <f ca="1">F2457</f>
        <v>0</v>
      </c>
      <c r="G2446" s="26"/>
    </row>
    <row r="2447" spans="1:7" ht="30.60" thickBot="1" customHeight="1">
      <c r="A2447" s="26"/>
      <c r="B2447" s="26"/>
      <c r="C2447" s="26"/>
      <c r="D2447" s="25" t="s">
        <v>7390</v>
      </c>
      <c r="E2447" s="25"/>
      <c r="F2447" s="25"/>
      <c r="G2447" s="25"/>
    </row>
    <row r="2448" spans="1:7" ht="24.36" thickBot="1" customHeight="1">
      <c r="A2448" s="24" t="s">
        <v>7391</v>
      </c>
      <c r="B2448" s="24" t="s">
        <v>7392</v>
      </c>
      <c r="C2448" s="24" t="s">
        <v>7393</v>
      </c>
      <c r="D2448" s="25" t="s">
        <v>7394</v>
      </c>
      <c r="E2448" s="28">
        <v>0.02500</v>
      </c>
      <c r="F2448" s="29">
        <f ca="1">ROUND(5.800,3)</f>
        <v>0</v>
      </c>
      <c r="G2448" s="27">
        <f ca="1">ROUND(E2448*F2448,2)</f>
        <v>0</v>
      </c>
    </row>
    <row r="2449" spans="1:7" ht="21.36" thickBot="1" customHeight="1">
      <c r="A2449" s="24" t="s">
        <v>7395</v>
      </c>
      <c r="B2449" s="24" t="s">
        <v>7396</v>
      </c>
      <c r="C2449" s="24" t="s">
        <v>7397</v>
      </c>
      <c r="D2449" s="25" t="s">
        <v>7398</v>
      </c>
      <c r="E2449" s="28">
        <v>1.00000</v>
      </c>
      <c r="F2449" s="29">
        <f ca="1">ROUND(6.320,3)</f>
        <v>0</v>
      </c>
      <c r="G2449" s="27">
        <f ca="1">ROUND(E2449*F2449,2)</f>
        <v>0</v>
      </c>
    </row>
    <row r="2450" spans="1:7" ht="21.36" thickBot="1" customHeight="1">
      <c r="A2450" s="24" t="s">
        <v>7399</v>
      </c>
      <c r="B2450" s="24" t="s">
        <v>7400</v>
      </c>
      <c r="C2450" s="24" t="s">
        <v>7401</v>
      </c>
      <c r="D2450" s="25" t="s">
        <v>7402</v>
      </c>
      <c r="E2450" s="28">
        <v>0.22222</v>
      </c>
      <c r="F2450" s="29">
        <f ca="1">ROUND(1.320,3)</f>
        <v>0</v>
      </c>
      <c r="G2450" s="27">
        <f ca="1">ROUND(E2450*F2450,2)</f>
        <v>0</v>
      </c>
    </row>
    <row r="2451" spans="1:7" ht="21.36" thickBot="1" customHeight="1">
      <c r="A2451" s="24" t="s">
        <v>7403</v>
      </c>
      <c r="B2451" s="24" t="s">
        <v>7404</v>
      </c>
      <c r="C2451" s="24" t="s">
        <v>7405</v>
      </c>
      <c r="D2451" s="25" t="s">
        <v>7406</v>
      </c>
      <c r="E2451" s="28">
        <v>2.00000</v>
      </c>
      <c r="F2451" s="29">
        <f ca="1">F2455</f>
        <v>0</v>
      </c>
      <c r="G2451" s="27">
        <f ca="1">ROUND(E2451*F2451,2)</f>
        <v>0</v>
      </c>
    </row>
    <row r="2452" spans="1:7" ht="24.36" thickBot="1" customHeight="1">
      <c r="A2452" s="24" t="s">
        <v>7407</v>
      </c>
      <c r="B2452" s="24" t="s">
        <v>7408</v>
      </c>
      <c r="C2452" s="24" t="s">
        <v>7409</v>
      </c>
      <c r="D2452" s="25" t="s">
        <v>7410</v>
      </c>
      <c r="E2452" s="28">
        <v>1.00000</v>
      </c>
      <c r="F2452" s="29">
        <f ca="1">ROUND(21.000,3)</f>
        <v>0</v>
      </c>
      <c r="G2452" s="27">
        <f ca="1">ROUND(E2452*F2452,2)</f>
        <v>0</v>
      </c>
    </row>
    <row r="2453" spans="1:7" ht="24.36" thickBot="1" customHeight="1">
      <c r="A2453" s="24" t="s">
        <v>7411</v>
      </c>
      <c r="B2453" s="24" t="s">
        <v>7412</v>
      </c>
      <c r="C2453" s="24" t="s">
        <v>7413</v>
      </c>
      <c r="D2453" s="25" t="s">
        <v>7414</v>
      </c>
      <c r="E2453" s="28">
        <v>1.00000</v>
      </c>
      <c r="F2453" s="29">
        <f ca="1">ROUND(19.000,3)</f>
        <v>0</v>
      </c>
      <c r="G2453" s="27">
        <f ca="1">ROUND(E2453*F2453,2)</f>
        <v>0</v>
      </c>
    </row>
    <row r="2454" spans="1:7" ht="24.36" thickBot="1" customHeight="1">
      <c r="A2454" s="24" t="s">
        <v>7415</v>
      </c>
      <c r="B2454" s="24" t="s">
        <v>7416</v>
      </c>
      <c r="C2454" s="24" t="s">
        <v>7417</v>
      </c>
      <c r="D2454" s="25" t="s">
        <v>7418</v>
      </c>
      <c r="E2454" s="28">
        <v>0.20000</v>
      </c>
      <c r="F2454" s="29">
        <f ca="1">ROUND(19.000,3)</f>
        <v>0</v>
      </c>
      <c r="G2454" s="27">
        <f ca="1">ROUND(E2454*F2454,2)</f>
        <v>0</v>
      </c>
    </row>
    <row r="2455" spans="1:7" ht="15.12" thickBot="1" customHeight="1">
      <c r="A2455" s="26"/>
      <c r="B2455" s="26"/>
      <c r="C2455" s="26"/>
      <c r="D2455" s="24" t="s">
        <v>7419</v>
      </c>
      <c r="E2455" s="28">
        <v>2.00000</v>
      </c>
      <c r="F2455" s="29">
        <f ca="1">ROUND((G2452+G2453+G2454),3)</f>
        <v>0</v>
      </c>
      <c r="G2455" s="27">
        <f ca="1">ROUND(E2455*F2455,2)</f>
        <v>0</v>
      </c>
    </row>
    <row r="2456" spans="1:7" ht="15.12" thickBot="1" customHeight="1">
      <c r="A2456" s="24" t="s">
        <v>7420</v>
      </c>
      <c r="B2456" s="24"/>
      <c r="C2456" s="24" t="s">
        <v>7421</v>
      </c>
      <c r="D2456" s="25" t="s">
        <v>7422</v>
      </c>
      <c r="E2456" s="28">
        <v>5.00000</v>
      </c>
      <c r="F2456" s="29">
        <f ca="1">ROUND(87.600,3)</f>
        <v>0</v>
      </c>
      <c r="G2456" s="27">
        <f ca="1">ROUND((E2456*F2456)/100,2)</f>
        <v>0</v>
      </c>
    </row>
    <row r="2457" spans="1:7" ht="15.48" thickBot="1" customHeight="1">
      <c r="A2457" s="30"/>
      <c r="B2457" s="30"/>
      <c r="C2457" s="30"/>
      <c r="D2457" s="31" t="s">
        <v>7423</v>
      </c>
      <c r="E2457" s="30"/>
      <c r="F2457" s="33">
        <f ca="1">ROUND((G2448+G2449+G2450+G2451+G2456)*(1+G2/100),2)</f>
        <v>0</v>
      </c>
      <c r="G2457" s="30"/>
    </row>
    <row r="2458" spans="1:7" ht="86.04" thickBot="1" customHeight="1">
      <c r="A2458" s="34" t="s">
        <v>7424</v>
      </c>
      <c r="B2458" s="35" t="s">
        <v>7425</v>
      </c>
      <c r="C2458" s="35" t="s">
        <v>7426</v>
      </c>
      <c r="D2458" s="36" t="s">
        <v>7427</v>
      </c>
      <c r="E2458" s="37"/>
      <c r="F2458" s="38">
        <f ca="1">F2469</f>
        <v>0</v>
      </c>
      <c r="G2458" s="37"/>
    </row>
    <row r="2459" spans="1:7" ht="30.60" thickBot="1" customHeight="1">
      <c r="A2459" s="26"/>
      <c r="B2459" s="26"/>
      <c r="C2459" s="26"/>
      <c r="D2459" s="25" t="s">
        <v>7428</v>
      </c>
      <c r="E2459" s="25"/>
      <c r="F2459" s="25"/>
      <c r="G2459" s="25"/>
    </row>
    <row r="2460" spans="1:7" ht="24.36" thickBot="1" customHeight="1">
      <c r="A2460" s="24" t="s">
        <v>7429</v>
      </c>
      <c r="B2460" s="24" t="s">
        <v>7430</v>
      </c>
      <c r="C2460" s="24" t="s">
        <v>7431</v>
      </c>
      <c r="D2460" s="25" t="s">
        <v>7432</v>
      </c>
      <c r="E2460" s="28">
        <v>0.02500</v>
      </c>
      <c r="F2460" s="29">
        <f ca="1">ROUND(5.800,3)</f>
        <v>0</v>
      </c>
      <c r="G2460" s="27">
        <f ca="1">ROUND(E2460*F2460,2)</f>
        <v>0</v>
      </c>
    </row>
    <row r="2461" spans="1:7" ht="21.36" thickBot="1" customHeight="1">
      <c r="A2461" s="24" t="s">
        <v>7433</v>
      </c>
      <c r="B2461" s="24" t="s">
        <v>7434</v>
      </c>
      <c r="C2461" s="24" t="s">
        <v>7435</v>
      </c>
      <c r="D2461" s="25" t="s">
        <v>7436</v>
      </c>
      <c r="E2461" s="28">
        <v>1.00000</v>
      </c>
      <c r="F2461" s="29">
        <f ca="1">ROUND(6.320,3)</f>
        <v>0</v>
      </c>
      <c r="G2461" s="27">
        <f ca="1">ROUND(E2461*F2461,2)</f>
        <v>0</v>
      </c>
    </row>
    <row r="2462" spans="1:7" ht="21.36" thickBot="1" customHeight="1">
      <c r="A2462" s="24" t="s">
        <v>7437</v>
      </c>
      <c r="B2462" s="24" t="s">
        <v>7438</v>
      </c>
      <c r="C2462" s="24" t="s">
        <v>7439</v>
      </c>
      <c r="D2462" s="25" t="s">
        <v>7440</v>
      </c>
      <c r="E2462" s="28">
        <v>0.22222</v>
      </c>
      <c r="F2462" s="29">
        <f ca="1">ROUND(1.320,3)</f>
        <v>0</v>
      </c>
      <c r="G2462" s="27">
        <f ca="1">ROUND(E2462*F2462,2)</f>
        <v>0</v>
      </c>
    </row>
    <row r="2463" spans="1:7" ht="21.36" thickBot="1" customHeight="1">
      <c r="A2463" s="24" t="s">
        <v>7441</v>
      </c>
      <c r="B2463" s="24" t="s">
        <v>7442</v>
      </c>
      <c r="C2463" s="24" t="s">
        <v>7443</v>
      </c>
      <c r="D2463" s="25" t="s">
        <v>7444</v>
      </c>
      <c r="E2463" s="28">
        <v>3.00000</v>
      </c>
      <c r="F2463" s="29">
        <f ca="1">F2467</f>
        <v>0</v>
      </c>
      <c r="G2463" s="27">
        <f ca="1">ROUND(E2463*F2463,2)</f>
        <v>0</v>
      </c>
    </row>
    <row r="2464" spans="1:7" ht="24.36" thickBot="1" customHeight="1">
      <c r="A2464" s="24" t="s">
        <v>7445</v>
      </c>
      <c r="B2464" s="24" t="s">
        <v>7446</v>
      </c>
      <c r="C2464" s="24" t="s">
        <v>7447</v>
      </c>
      <c r="D2464" s="25" t="s">
        <v>7448</v>
      </c>
      <c r="E2464" s="28">
        <v>1.00000</v>
      </c>
      <c r="F2464" s="29">
        <f ca="1">ROUND(21.000,3)</f>
        <v>0</v>
      </c>
      <c r="G2464" s="27">
        <f ca="1">ROUND(E2464*F2464,2)</f>
        <v>0</v>
      </c>
    </row>
    <row r="2465" spans="1:7" ht="24.36" thickBot="1" customHeight="1">
      <c r="A2465" s="24" t="s">
        <v>7449</v>
      </c>
      <c r="B2465" s="24" t="s">
        <v>7450</v>
      </c>
      <c r="C2465" s="24" t="s">
        <v>7451</v>
      </c>
      <c r="D2465" s="25" t="s">
        <v>7452</v>
      </c>
      <c r="E2465" s="28">
        <v>1.00000</v>
      </c>
      <c r="F2465" s="29">
        <f ca="1">ROUND(19.000,3)</f>
        <v>0</v>
      </c>
      <c r="G2465" s="27">
        <f ca="1">ROUND(E2465*F2465,2)</f>
        <v>0</v>
      </c>
    </row>
    <row r="2466" spans="1:7" ht="24.36" thickBot="1" customHeight="1">
      <c r="A2466" s="24" t="s">
        <v>7453</v>
      </c>
      <c r="B2466" s="24" t="s">
        <v>7454</v>
      </c>
      <c r="C2466" s="24" t="s">
        <v>7455</v>
      </c>
      <c r="D2466" s="25" t="s">
        <v>7456</v>
      </c>
      <c r="E2466" s="28">
        <v>0.20000</v>
      </c>
      <c r="F2466" s="29">
        <f ca="1">ROUND(19.000,3)</f>
        <v>0</v>
      </c>
      <c r="G2466" s="27">
        <f ca="1">ROUND(E2466*F2466,2)</f>
        <v>0</v>
      </c>
    </row>
    <row r="2467" spans="1:7" ht="15.12" thickBot="1" customHeight="1">
      <c r="A2467" s="26"/>
      <c r="B2467" s="26"/>
      <c r="C2467" s="26"/>
      <c r="D2467" s="24" t="s">
        <v>7457</v>
      </c>
      <c r="E2467" s="28">
        <v>3.00000</v>
      </c>
      <c r="F2467" s="29">
        <f ca="1">ROUND((G2464+G2465+G2466),3)</f>
        <v>0</v>
      </c>
      <c r="G2467" s="27">
        <f ca="1">ROUND(E2467*F2467,2)</f>
        <v>0</v>
      </c>
    </row>
    <row r="2468" spans="1:7" ht="15.12" thickBot="1" customHeight="1">
      <c r="A2468" s="24" t="s">
        <v>7458</v>
      </c>
      <c r="B2468" s="24"/>
      <c r="C2468" s="24" t="s">
        <v>7459</v>
      </c>
      <c r="D2468" s="25" t="s">
        <v>7460</v>
      </c>
      <c r="E2468" s="28">
        <v>5.00000</v>
      </c>
      <c r="F2468" s="29">
        <f ca="1">ROUND(131.400,3)</f>
        <v>0</v>
      </c>
      <c r="G2468" s="27">
        <f ca="1">ROUND((E2468*F2468)/100,2)</f>
        <v>0</v>
      </c>
    </row>
    <row r="2469" spans="1:7" ht="15.48" thickBot="1" customHeight="1">
      <c r="A2469" s="30"/>
      <c r="B2469" s="30"/>
      <c r="C2469" s="30"/>
      <c r="D2469" s="31" t="s">
        <v>7461</v>
      </c>
      <c r="E2469" s="30"/>
      <c r="F2469" s="33">
        <f ca="1">ROUND((G2460+G2461+G2462+G2463+G2468)*(1+G2/100),2)</f>
        <v>0</v>
      </c>
      <c r="G2469" s="30"/>
    </row>
    <row r="2470" spans="1:7" ht="15.48" thickBot="1" customHeight="1">
      <c r="A2470" s="39"/>
      <c r="B2470" s="39"/>
      <c r="C2470" s="39"/>
      <c r="D2470" s="73" t="s">
        <v>7462</v>
      </c>
      <c r="E2470" s="74"/>
      <c r="F2470" s="74"/>
      <c r="G2470" s="74"/>
    </row>
    <row r="2471" spans="1:7" ht="15.48" thickBot="1" customHeight="1">
      <c r="A2471" s="39"/>
      <c r="B2471" s="39"/>
      <c r="C2471" s="39"/>
      <c r="D2471" s="48" t="s">
        <v>7463</v>
      </c>
      <c r="E2471" s="49"/>
      <c r="F2471" s="49"/>
      <c r="G2471" s="49"/>
    </row>
    <row r="2472" spans="1:7" ht="22.08" thickBot="1" customHeight="1">
      <c r="A2472" s="66" t="s">
        <v>7464</v>
      </c>
      <c r="B2472" s="66" t="s">
        <v>7465</v>
      </c>
      <c r="C2472" s="67"/>
      <c r="D2472" s="68" t="s">
        <v>7466</v>
      </c>
      <c r="E2472" s="67"/>
      <c r="F2472" s="67"/>
      <c r="G2472" s="67"/>
    </row>
    <row r="2473" spans="1:7" ht="30.60" thickBot="1" customHeight="1">
      <c r="A2473" s="10" t="s">
        <v>7467</v>
      </c>
      <c r="B2473" s="24" t="s">
        <v>7468</v>
      </c>
      <c r="C2473" s="24" t="s">
        <v>7469</v>
      </c>
      <c r="D2473" s="25" t="s">
        <v>7470</v>
      </c>
      <c r="E2473" s="26"/>
      <c r="F2473" s="27">
        <f ca="1">F2483</f>
        <v>0</v>
      </c>
      <c r="G2473" s="26"/>
    </row>
    <row r="2474" spans="1:7" ht="12.12" thickBot="1" customHeight="1">
      <c r="A2474" s="26"/>
      <c r="B2474" s="26"/>
      <c r="C2474" s="26"/>
      <c r="D2474" s="25" t="s">
        <v>7471</v>
      </c>
      <c r="E2474" s="25"/>
      <c r="F2474" s="25"/>
      <c r="G2474" s="25"/>
    </row>
    <row r="2475" spans="1:7" ht="21.36" thickBot="1" customHeight="1">
      <c r="A2475" s="24" t="s">
        <v>7472</v>
      </c>
      <c r="B2475" s="24" t="s">
        <v>7473</v>
      </c>
      <c r="C2475" s="24" t="s">
        <v>7474</v>
      </c>
      <c r="D2475" s="25" t="s">
        <v>7475</v>
      </c>
      <c r="E2475" s="28">
        <v>0.50000</v>
      </c>
      <c r="F2475" s="29">
        <f ca="1">ROUND(6.320,3)</f>
        <v>0</v>
      </c>
      <c r="G2475" s="27">
        <f ca="1">ROUND(E2475*F2475,2)</f>
        <v>0</v>
      </c>
    </row>
    <row r="2476" spans="1:7" ht="21.36" thickBot="1" customHeight="1">
      <c r="A2476" s="24" t="s">
        <v>7476</v>
      </c>
      <c r="B2476" s="24" t="s">
        <v>7477</v>
      </c>
      <c r="C2476" s="24" t="s">
        <v>7478</v>
      </c>
      <c r="D2476" s="25" t="s">
        <v>7479</v>
      </c>
      <c r="E2476" s="28">
        <v>0.10000</v>
      </c>
      <c r="F2476" s="29">
        <f ca="1">ROUND(1.320,3)</f>
        <v>0</v>
      </c>
      <c r="G2476" s="27">
        <f ca="1">ROUND(E2476*F2476,2)</f>
        <v>0</v>
      </c>
    </row>
    <row r="2477" spans="1:7" ht="21.36" thickBot="1" customHeight="1">
      <c r="A2477" s="24" t="s">
        <v>7480</v>
      </c>
      <c r="B2477" s="24" t="s">
        <v>7481</v>
      </c>
      <c r="C2477" s="24" t="s">
        <v>7482</v>
      </c>
      <c r="D2477" s="25" t="s">
        <v>7483</v>
      </c>
      <c r="E2477" s="28">
        <v>0.20000</v>
      </c>
      <c r="F2477" s="29">
        <f ca="1">F2481</f>
        <v>0</v>
      </c>
      <c r="G2477" s="27">
        <f ca="1">ROUND(E2477*F2477,2)</f>
        <v>0</v>
      </c>
    </row>
    <row r="2478" spans="1:7" ht="24.36" thickBot="1" customHeight="1">
      <c r="A2478" s="24" t="s">
        <v>7484</v>
      </c>
      <c r="B2478" s="24" t="s">
        <v>7485</v>
      </c>
      <c r="C2478" s="24" t="s">
        <v>7486</v>
      </c>
      <c r="D2478" s="25" t="s">
        <v>7487</v>
      </c>
      <c r="E2478" s="28">
        <v>1.00000</v>
      </c>
      <c r="F2478" s="29">
        <f ca="1">ROUND(21.000,3)</f>
        <v>0</v>
      </c>
      <c r="G2478" s="27">
        <f ca="1">ROUND(E2478*F2478,2)</f>
        <v>0</v>
      </c>
    </row>
    <row r="2479" spans="1:7" ht="24.36" thickBot="1" customHeight="1">
      <c r="A2479" s="24" t="s">
        <v>7488</v>
      </c>
      <c r="B2479" s="24" t="s">
        <v>7489</v>
      </c>
      <c r="C2479" s="24" t="s">
        <v>7490</v>
      </c>
      <c r="D2479" s="25" t="s">
        <v>7491</v>
      </c>
      <c r="E2479" s="28">
        <v>1.00000</v>
      </c>
      <c r="F2479" s="29">
        <f ca="1">ROUND(19.000,3)</f>
        <v>0</v>
      </c>
      <c r="G2479" s="27">
        <f ca="1">ROUND(E2479*F2479,2)</f>
        <v>0</v>
      </c>
    </row>
    <row r="2480" spans="1:7" ht="24.36" thickBot="1" customHeight="1">
      <c r="A2480" s="24" t="s">
        <v>7492</v>
      </c>
      <c r="B2480" s="24" t="s">
        <v>7493</v>
      </c>
      <c r="C2480" s="24" t="s">
        <v>7494</v>
      </c>
      <c r="D2480" s="25" t="s">
        <v>7495</v>
      </c>
      <c r="E2480" s="28">
        <v>0.20000</v>
      </c>
      <c r="F2480" s="29">
        <f ca="1">ROUND(19.000,3)</f>
        <v>0</v>
      </c>
      <c r="G2480" s="27">
        <f ca="1">ROUND(E2480*F2480,2)</f>
        <v>0</v>
      </c>
    </row>
    <row r="2481" spans="1:7" ht="15.12" thickBot="1" customHeight="1">
      <c r="A2481" s="26"/>
      <c r="B2481" s="26"/>
      <c r="C2481" s="26"/>
      <c r="D2481" s="24" t="s">
        <v>7496</v>
      </c>
      <c r="E2481" s="28">
        <v>0.20000</v>
      </c>
      <c r="F2481" s="29">
        <f ca="1">ROUND((G2478+G2479+G2480),3)</f>
        <v>0</v>
      </c>
      <c r="G2481" s="27">
        <f ca="1">ROUND(E2481*F2481,2)</f>
        <v>0</v>
      </c>
    </row>
    <row r="2482" spans="1:7" ht="15.12" thickBot="1" customHeight="1">
      <c r="A2482" s="24" t="s">
        <v>7497</v>
      </c>
      <c r="B2482" s="24"/>
      <c r="C2482" s="24" t="s">
        <v>7498</v>
      </c>
      <c r="D2482" s="25" t="s">
        <v>7499</v>
      </c>
      <c r="E2482" s="28">
        <v>3.00000</v>
      </c>
      <c r="F2482" s="29">
        <f ca="1">ROUND(8.760,3)</f>
        <v>0</v>
      </c>
      <c r="G2482" s="27">
        <f ca="1">ROUND((E2482*F2482)/100,2)</f>
        <v>0</v>
      </c>
    </row>
    <row r="2483" spans="1:7" ht="15.48" thickBot="1" customHeight="1">
      <c r="A2483" s="30"/>
      <c r="B2483" s="30"/>
      <c r="C2483" s="30"/>
      <c r="D2483" s="31" t="s">
        <v>7500</v>
      </c>
      <c r="E2483" s="30"/>
      <c r="F2483" s="33">
        <f ca="1">ROUND((G2475+G2476+G2477+G2482)*(1+G2/100),2)</f>
        <v>0</v>
      </c>
      <c r="G2483" s="30"/>
    </row>
    <row r="2484" spans="1:7" ht="15.48" thickBot="1" customHeight="1">
      <c r="A2484" s="39"/>
      <c r="B2484" s="39"/>
      <c r="C2484" s="39"/>
      <c r="D2484" s="48" t="s">
        <v>7501</v>
      </c>
      <c r="E2484" s="49"/>
      <c r="F2484" s="49"/>
      <c r="G2484" s="49"/>
    </row>
    <row r="2485" spans="1:7" ht="31.68" thickBot="1" customHeight="1">
      <c r="A2485" s="66" t="s">
        <v>7502</v>
      </c>
      <c r="B2485" s="66" t="s">
        <v>7503</v>
      </c>
      <c r="C2485" s="67"/>
      <c r="D2485" s="68" t="s">
        <v>7504</v>
      </c>
      <c r="E2485" s="67"/>
      <c r="F2485" s="67"/>
      <c r="G2485" s="67"/>
    </row>
    <row r="2486" spans="1:7" ht="30.60" thickBot="1" customHeight="1">
      <c r="A2486" s="10" t="s">
        <v>7505</v>
      </c>
      <c r="B2486" s="24" t="s">
        <v>7506</v>
      </c>
      <c r="C2486" s="24" t="s">
        <v>7507</v>
      </c>
      <c r="D2486" s="25" t="s">
        <v>7508</v>
      </c>
      <c r="E2486" s="26"/>
      <c r="F2486" s="27">
        <f ca="1">F2495</f>
        <v>0</v>
      </c>
      <c r="G2486" s="26"/>
    </row>
    <row r="2487" spans="1:7" ht="12.12" thickBot="1" customHeight="1">
      <c r="A2487" s="26"/>
      <c r="B2487" s="26"/>
      <c r="C2487" s="26"/>
      <c r="D2487" s="25" t="s">
        <v>7509</v>
      </c>
      <c r="E2487" s="25"/>
      <c r="F2487" s="25"/>
      <c r="G2487" s="25"/>
    </row>
    <row r="2488" spans="1:7" ht="30.60" thickBot="1" customHeight="1">
      <c r="A2488" s="24" t="s">
        <v>7510</v>
      </c>
      <c r="B2488" s="24" t="s">
        <v>7511</v>
      </c>
      <c r="C2488" s="24" t="s">
        <v>7512</v>
      </c>
      <c r="D2488" s="25" t="s">
        <v>7513</v>
      </c>
      <c r="E2488" s="28">
        <v>30.00000</v>
      </c>
      <c r="F2488" s="29">
        <f ca="1">ROUND(0.170,3)</f>
        <v>0</v>
      </c>
      <c r="G2488" s="27">
        <f ca="1">ROUND(E2488*F2488,2)</f>
        <v>0</v>
      </c>
    </row>
    <row r="2489" spans="1:7" ht="21.36" thickBot="1" customHeight="1">
      <c r="A2489" s="24" t="s">
        <v>7514</v>
      </c>
      <c r="B2489" s="24" t="s">
        <v>7515</v>
      </c>
      <c r="C2489" s="24" t="s">
        <v>7516</v>
      </c>
      <c r="D2489" s="25" t="s">
        <v>7517</v>
      </c>
      <c r="E2489" s="28">
        <v>4.00000</v>
      </c>
      <c r="F2489" s="29">
        <f ca="1">F2493</f>
        <v>0</v>
      </c>
      <c r="G2489" s="27">
        <f ca="1">ROUND(E2489*F2489,2)</f>
        <v>0</v>
      </c>
    </row>
    <row r="2490" spans="1:7" ht="24.36" thickBot="1" customHeight="1">
      <c r="A2490" s="24" t="s">
        <v>7518</v>
      </c>
      <c r="B2490" s="24" t="s">
        <v>7519</v>
      </c>
      <c r="C2490" s="24" t="s">
        <v>7520</v>
      </c>
      <c r="D2490" s="25" t="s">
        <v>7521</v>
      </c>
      <c r="E2490" s="28">
        <v>1.00000</v>
      </c>
      <c r="F2490" s="29">
        <f ca="1">ROUND(21.000,3)</f>
        <v>0</v>
      </c>
      <c r="G2490" s="27">
        <f ca="1">ROUND(E2490*F2490,2)</f>
        <v>0</v>
      </c>
    </row>
    <row r="2491" spans="1:7" ht="24.36" thickBot="1" customHeight="1">
      <c r="A2491" s="24" t="s">
        <v>7522</v>
      </c>
      <c r="B2491" s="24" t="s">
        <v>7523</v>
      </c>
      <c r="C2491" s="24" t="s">
        <v>7524</v>
      </c>
      <c r="D2491" s="25" t="s">
        <v>7525</v>
      </c>
      <c r="E2491" s="28">
        <v>1.00000</v>
      </c>
      <c r="F2491" s="29">
        <f ca="1">ROUND(19.000,3)</f>
        <v>0</v>
      </c>
      <c r="G2491" s="27">
        <f ca="1">ROUND(E2491*F2491,2)</f>
        <v>0</v>
      </c>
    </row>
    <row r="2492" spans="1:7" ht="24.36" thickBot="1" customHeight="1">
      <c r="A2492" s="24" t="s">
        <v>7526</v>
      </c>
      <c r="B2492" s="24" t="s">
        <v>7527</v>
      </c>
      <c r="C2492" s="24" t="s">
        <v>7528</v>
      </c>
      <c r="D2492" s="25" t="s">
        <v>7529</v>
      </c>
      <c r="E2492" s="28">
        <v>0.20000</v>
      </c>
      <c r="F2492" s="29">
        <f ca="1">ROUND(19.000,3)</f>
        <v>0</v>
      </c>
      <c r="G2492" s="27">
        <f ca="1">ROUND(E2492*F2492,2)</f>
        <v>0</v>
      </c>
    </row>
    <row r="2493" spans="1:7" ht="15.12" thickBot="1" customHeight="1">
      <c r="A2493" s="26"/>
      <c r="B2493" s="26"/>
      <c r="C2493" s="26"/>
      <c r="D2493" s="24" t="s">
        <v>7530</v>
      </c>
      <c r="E2493" s="28">
        <v>4.00000</v>
      </c>
      <c r="F2493" s="29">
        <f ca="1">ROUND((G2490+G2491+G2492),3)</f>
        <v>0</v>
      </c>
      <c r="G2493" s="27">
        <f ca="1">ROUND(E2493*F2493,2)</f>
        <v>0</v>
      </c>
    </row>
    <row r="2494" spans="1:7" ht="15.12" thickBot="1" customHeight="1">
      <c r="A2494" s="24" t="s">
        <v>7531</v>
      </c>
      <c r="B2494" s="24"/>
      <c r="C2494" s="24" t="s">
        <v>7532</v>
      </c>
      <c r="D2494" s="25" t="s">
        <v>7533</v>
      </c>
      <c r="E2494" s="28">
        <v>5.00000</v>
      </c>
      <c r="F2494" s="29">
        <f ca="1">ROUND(175.200,3)</f>
        <v>0</v>
      </c>
      <c r="G2494" s="27">
        <f ca="1">ROUND((E2494*F2494)/100,2)</f>
        <v>0</v>
      </c>
    </row>
    <row r="2495" spans="1:7" ht="15.48" thickBot="1" customHeight="1">
      <c r="A2495" s="30"/>
      <c r="B2495" s="30"/>
      <c r="C2495" s="30"/>
      <c r="D2495" s="31" t="s">
        <v>7534</v>
      </c>
      <c r="E2495" s="30"/>
      <c r="F2495" s="33">
        <f ca="1">ROUND((G2488+G2489+G2494)*(1+G2/100),2)</f>
        <v>0</v>
      </c>
      <c r="G2495" s="30"/>
    </row>
    <row r="2496" spans="1:7" ht="30.60" thickBot="1" customHeight="1">
      <c r="A2496" s="34" t="s">
        <v>7535</v>
      </c>
      <c r="B2496" s="35" t="s">
        <v>7536</v>
      </c>
      <c r="C2496" s="35" t="s">
        <v>7537</v>
      </c>
      <c r="D2496" s="36" t="s">
        <v>7538</v>
      </c>
      <c r="E2496" s="37"/>
      <c r="F2496" s="38">
        <f ca="1">F2506</f>
        <v>0</v>
      </c>
      <c r="G2496" s="37"/>
    </row>
    <row r="2497" spans="1:7" ht="12.12" thickBot="1" customHeight="1">
      <c r="A2497" s="26"/>
      <c r="B2497" s="26"/>
      <c r="C2497" s="26"/>
      <c r="D2497" s="25" t="s">
        <v>7539</v>
      </c>
      <c r="E2497" s="25"/>
      <c r="F2497" s="25"/>
      <c r="G2497" s="25"/>
    </row>
    <row r="2498" spans="1:7" ht="21.36" thickBot="1" customHeight="1">
      <c r="A2498" s="24" t="s">
        <v>7540</v>
      </c>
      <c r="B2498" s="24" t="s">
        <v>7541</v>
      </c>
      <c r="C2498" s="24" t="s">
        <v>7542</v>
      </c>
      <c r="D2498" s="25" t="s">
        <v>7543</v>
      </c>
      <c r="E2498" s="28">
        <v>2.00000</v>
      </c>
      <c r="F2498" s="29">
        <f ca="1">ROUND(3.470,3)</f>
        <v>0</v>
      </c>
      <c r="G2498" s="27">
        <f ca="1">ROUND(E2498*F2498,2)</f>
        <v>0</v>
      </c>
    </row>
    <row r="2499" spans="1:7" ht="21.36" thickBot="1" customHeight="1">
      <c r="A2499" s="24" t="s">
        <v>7544</v>
      </c>
      <c r="B2499" s="24" t="s">
        <v>7545</v>
      </c>
      <c r="C2499" s="24" t="s">
        <v>7546</v>
      </c>
      <c r="D2499" s="25" t="s">
        <v>7547</v>
      </c>
      <c r="E2499" s="28">
        <v>2.00000</v>
      </c>
      <c r="F2499" s="29">
        <f ca="1">ROUND(6.320,3)</f>
        <v>0</v>
      </c>
      <c r="G2499" s="27">
        <f ca="1">ROUND(E2499*F2499,2)</f>
        <v>0</v>
      </c>
    </row>
    <row r="2500" spans="1:7" ht="21.36" thickBot="1" customHeight="1">
      <c r="A2500" s="24" t="s">
        <v>7548</v>
      </c>
      <c r="B2500" s="24" t="s">
        <v>7549</v>
      </c>
      <c r="C2500" s="24" t="s">
        <v>7550</v>
      </c>
      <c r="D2500" s="25" t="s">
        <v>7551</v>
      </c>
      <c r="E2500" s="28">
        <v>2.00000</v>
      </c>
      <c r="F2500" s="29">
        <f ca="1">F2504</f>
        <v>0</v>
      </c>
      <c r="G2500" s="27">
        <f ca="1">ROUND(E2500*F2500,2)</f>
        <v>0</v>
      </c>
    </row>
    <row r="2501" spans="1:7" ht="24.36" thickBot="1" customHeight="1">
      <c r="A2501" s="24" t="s">
        <v>7552</v>
      </c>
      <c r="B2501" s="24" t="s">
        <v>7553</v>
      </c>
      <c r="C2501" s="24" t="s">
        <v>7554</v>
      </c>
      <c r="D2501" s="25" t="s">
        <v>7555</v>
      </c>
      <c r="E2501" s="28">
        <v>1.00000</v>
      </c>
      <c r="F2501" s="29">
        <f ca="1">ROUND(21.000,3)</f>
        <v>0</v>
      </c>
      <c r="G2501" s="27">
        <f ca="1">ROUND(E2501*F2501,2)</f>
        <v>0</v>
      </c>
    </row>
    <row r="2502" spans="1:7" ht="24.36" thickBot="1" customHeight="1">
      <c r="A2502" s="24" t="s">
        <v>7556</v>
      </c>
      <c r="B2502" s="24" t="s">
        <v>7557</v>
      </c>
      <c r="C2502" s="24" t="s">
        <v>7558</v>
      </c>
      <c r="D2502" s="25" t="s">
        <v>7559</v>
      </c>
      <c r="E2502" s="28">
        <v>1.00000</v>
      </c>
      <c r="F2502" s="29">
        <f ca="1">ROUND(19.000,3)</f>
        <v>0</v>
      </c>
      <c r="G2502" s="27">
        <f ca="1">ROUND(E2502*F2502,2)</f>
        <v>0</v>
      </c>
    </row>
    <row r="2503" spans="1:7" ht="24.36" thickBot="1" customHeight="1">
      <c r="A2503" s="24" t="s">
        <v>7560</v>
      </c>
      <c r="B2503" s="24" t="s">
        <v>7561</v>
      </c>
      <c r="C2503" s="24" t="s">
        <v>7562</v>
      </c>
      <c r="D2503" s="25" t="s">
        <v>7563</v>
      </c>
      <c r="E2503" s="28">
        <v>0.20000</v>
      </c>
      <c r="F2503" s="29">
        <f ca="1">ROUND(19.000,3)</f>
        <v>0</v>
      </c>
      <c r="G2503" s="27">
        <f ca="1">ROUND(E2503*F2503,2)</f>
        <v>0</v>
      </c>
    </row>
    <row r="2504" spans="1:7" ht="15.12" thickBot="1" customHeight="1">
      <c r="A2504" s="26"/>
      <c r="B2504" s="26"/>
      <c r="C2504" s="26"/>
      <c r="D2504" s="24" t="s">
        <v>7564</v>
      </c>
      <c r="E2504" s="28">
        <v>2.00000</v>
      </c>
      <c r="F2504" s="29">
        <f ca="1">ROUND((G2501+G2502+G2503),3)</f>
        <v>0</v>
      </c>
      <c r="G2504" s="27">
        <f ca="1">ROUND(E2504*F2504,2)</f>
        <v>0</v>
      </c>
    </row>
    <row r="2505" spans="1:7" ht="15.12" thickBot="1" customHeight="1">
      <c r="A2505" s="24" t="s">
        <v>7565</v>
      </c>
      <c r="B2505" s="24"/>
      <c r="C2505" s="24" t="s">
        <v>7566</v>
      </c>
      <c r="D2505" s="25" t="s">
        <v>7567</v>
      </c>
      <c r="E2505" s="28">
        <v>5.00000</v>
      </c>
      <c r="F2505" s="29">
        <f ca="1">ROUND(87.600,3)</f>
        <v>0</v>
      </c>
      <c r="G2505" s="27">
        <f ca="1">ROUND((E2505*F2505)/100,2)</f>
        <v>0</v>
      </c>
    </row>
    <row r="2506" spans="1:7" ht="15.48" thickBot="1" customHeight="1">
      <c r="A2506" s="30"/>
      <c r="B2506" s="30"/>
      <c r="C2506" s="30"/>
      <c r="D2506" s="31" t="s">
        <v>7568</v>
      </c>
      <c r="E2506" s="30"/>
      <c r="F2506" s="33">
        <f ca="1">ROUND((G2498+G2499+G2500+G2505)*(1+G2/100),2)</f>
        <v>0</v>
      </c>
      <c r="G2506" s="30"/>
    </row>
    <row r="2507" spans="1:7" ht="15.48" thickBot="1" customHeight="1">
      <c r="A2507" s="39"/>
      <c r="B2507" s="39"/>
      <c r="C2507" s="39"/>
      <c r="D2507" s="48" t="s">
        <v>7569</v>
      </c>
      <c r="E2507" s="49"/>
      <c r="F2507" s="49"/>
      <c r="G2507" s="49"/>
    </row>
    <row r="2508" spans="1:7" ht="15.48" thickBot="1" customHeight="1">
      <c r="A2508" s="66" t="s">
        <v>7570</v>
      </c>
      <c r="B2508" s="66" t="s">
        <v>7571</v>
      </c>
      <c r="C2508" s="67"/>
      <c r="D2508" s="68" t="s">
        <v>7572</v>
      </c>
      <c r="E2508" s="67"/>
      <c r="F2508" s="67"/>
      <c r="G2508" s="67"/>
    </row>
    <row r="2509" spans="1:7" ht="39.84" thickBot="1" customHeight="1">
      <c r="A2509" s="10" t="s">
        <v>7573</v>
      </c>
      <c r="B2509" s="24" t="s">
        <v>7574</v>
      </c>
      <c r="C2509" s="24" t="s">
        <v>7575</v>
      </c>
      <c r="D2509" s="25" t="s">
        <v>7576</v>
      </c>
      <c r="E2509" s="26"/>
      <c r="F2509" s="27">
        <f ca="1">F2519</f>
        <v>0</v>
      </c>
      <c r="G2509" s="26"/>
    </row>
    <row r="2510" spans="1:7" ht="12.12" thickBot="1" customHeight="1">
      <c r="A2510" s="26"/>
      <c r="B2510" s="26"/>
      <c r="C2510" s="26"/>
      <c r="D2510" s="25" t="s">
        <v>7577</v>
      </c>
      <c r="E2510" s="25"/>
      <c r="F2510" s="25"/>
      <c r="G2510" s="25"/>
    </row>
    <row r="2511" spans="1:7" ht="30.60" thickBot="1" customHeight="1">
      <c r="A2511" s="24" t="s">
        <v>7578</v>
      </c>
      <c r="B2511" s="24" t="s">
        <v>7579</v>
      </c>
      <c r="C2511" s="24" t="s">
        <v>7580</v>
      </c>
      <c r="D2511" s="25" t="s">
        <v>7581</v>
      </c>
      <c r="E2511" s="28">
        <v>0.42857</v>
      </c>
      <c r="F2511" s="29">
        <f ca="1">ROUND(0.850,3)</f>
        <v>0</v>
      </c>
      <c r="G2511" s="27">
        <f ca="1">ROUND(E2511*F2511,2)</f>
        <v>0</v>
      </c>
    </row>
    <row r="2512" spans="1:7" ht="24.36" thickBot="1" customHeight="1">
      <c r="A2512" s="24" t="s">
        <v>7582</v>
      </c>
      <c r="B2512" s="24" t="s">
        <v>7583</v>
      </c>
      <c r="C2512" s="24" t="s">
        <v>7584</v>
      </c>
      <c r="D2512" s="25" t="s">
        <v>7585</v>
      </c>
      <c r="E2512" s="28">
        <v>0.01714</v>
      </c>
      <c r="F2512" s="29">
        <f ca="1">ROUND(9.480,3)</f>
        <v>0</v>
      </c>
      <c r="G2512" s="27">
        <f ca="1">ROUND(E2512*F2512,2)</f>
        <v>0</v>
      </c>
    </row>
    <row r="2513" spans="1:7" ht="21.36" thickBot="1" customHeight="1">
      <c r="A2513" s="24" t="s">
        <v>7586</v>
      </c>
      <c r="B2513" s="24" t="s">
        <v>7587</v>
      </c>
      <c r="C2513" s="24" t="s">
        <v>7588</v>
      </c>
      <c r="D2513" s="25" t="s">
        <v>7589</v>
      </c>
      <c r="E2513" s="28">
        <v>0.03200</v>
      </c>
      <c r="F2513" s="29">
        <f ca="1">F2517</f>
        <v>0</v>
      </c>
      <c r="G2513" s="27">
        <f ca="1">ROUND(E2513*F2513,2)</f>
        <v>0</v>
      </c>
    </row>
    <row r="2514" spans="1:7" ht="24.36" thickBot="1" customHeight="1">
      <c r="A2514" s="24" t="s">
        <v>7590</v>
      </c>
      <c r="B2514" s="24" t="s">
        <v>7591</v>
      </c>
      <c r="C2514" s="24" t="s">
        <v>7592</v>
      </c>
      <c r="D2514" s="25" t="s">
        <v>7593</v>
      </c>
      <c r="E2514" s="28">
        <v>1.00000</v>
      </c>
      <c r="F2514" s="29">
        <f ca="1">ROUND(21.000,3)</f>
        <v>0</v>
      </c>
      <c r="G2514" s="27">
        <f ca="1">ROUND(E2514*F2514,2)</f>
        <v>0</v>
      </c>
    </row>
    <row r="2515" spans="1:7" ht="24.36" thickBot="1" customHeight="1">
      <c r="A2515" s="24" t="s">
        <v>7594</v>
      </c>
      <c r="B2515" s="24" t="s">
        <v>7595</v>
      </c>
      <c r="C2515" s="24" t="s">
        <v>7596</v>
      </c>
      <c r="D2515" s="25" t="s">
        <v>7597</v>
      </c>
      <c r="E2515" s="28">
        <v>1.00000</v>
      </c>
      <c r="F2515" s="29">
        <f ca="1">ROUND(19.000,3)</f>
        <v>0</v>
      </c>
      <c r="G2515" s="27">
        <f ca="1">ROUND(E2515*F2515,2)</f>
        <v>0</v>
      </c>
    </row>
    <row r="2516" spans="1:7" ht="24.36" thickBot="1" customHeight="1">
      <c r="A2516" s="24" t="s">
        <v>7598</v>
      </c>
      <c r="B2516" s="24" t="s">
        <v>7599</v>
      </c>
      <c r="C2516" s="24" t="s">
        <v>7600</v>
      </c>
      <c r="D2516" s="25" t="s">
        <v>7601</v>
      </c>
      <c r="E2516" s="28">
        <v>0.20000</v>
      </c>
      <c r="F2516" s="29">
        <f ca="1">ROUND(19.000,3)</f>
        <v>0</v>
      </c>
      <c r="G2516" s="27">
        <f ca="1">ROUND(E2516*F2516,2)</f>
        <v>0</v>
      </c>
    </row>
    <row r="2517" spans="1:7" ht="15.12" thickBot="1" customHeight="1">
      <c r="A2517" s="26"/>
      <c r="B2517" s="26"/>
      <c r="C2517" s="26"/>
      <c r="D2517" s="24" t="s">
        <v>7602</v>
      </c>
      <c r="E2517" s="28">
        <v>0.03200</v>
      </c>
      <c r="F2517" s="29">
        <f ca="1">ROUND((G2514+G2515+G2516),3)</f>
        <v>0</v>
      </c>
      <c r="G2517" s="27">
        <f ca="1">ROUND(E2517*F2517,2)</f>
        <v>0</v>
      </c>
    </row>
    <row r="2518" spans="1:7" ht="15.12" thickBot="1" customHeight="1">
      <c r="A2518" s="24" t="s">
        <v>7603</v>
      </c>
      <c r="B2518" s="24"/>
      <c r="C2518" s="24" t="s">
        <v>7604</v>
      </c>
      <c r="D2518" s="25" t="s">
        <v>7605</v>
      </c>
      <c r="E2518" s="28">
        <v>3.00000</v>
      </c>
      <c r="F2518" s="29">
        <f ca="1">ROUND(1.400,3)</f>
        <v>0</v>
      </c>
      <c r="G2518" s="27">
        <f ca="1">ROUND((E2518*F2518)/100,2)</f>
        <v>0</v>
      </c>
    </row>
    <row r="2519" spans="1:7" ht="15.48" thickBot="1" customHeight="1">
      <c r="A2519" s="30"/>
      <c r="B2519" s="30"/>
      <c r="C2519" s="30"/>
      <c r="D2519" s="31" t="s">
        <v>7606</v>
      </c>
      <c r="E2519" s="30"/>
      <c r="F2519" s="33">
        <f ca="1">ROUND((G2511+G2512+G2513+G2518)*(1+G2/100),2)</f>
        <v>0</v>
      </c>
      <c r="G2519" s="30"/>
    </row>
    <row r="2520" spans="1:7" ht="15.48" thickBot="1" customHeight="1">
      <c r="A2520" s="39"/>
      <c r="B2520" s="39"/>
      <c r="C2520" s="39"/>
      <c r="D2520" s="48" t="s">
        <v>7607</v>
      </c>
      <c r="E2520" s="49"/>
      <c r="F2520" s="49"/>
      <c r="G2520" s="49"/>
    </row>
    <row r="2521" spans="1:7" ht="15.48" thickBot="1" customHeight="1">
      <c r="A2521" s="39"/>
      <c r="B2521" s="39"/>
      <c r="C2521" s="39"/>
      <c r="D2521" s="40" t="s">
        <v>7608</v>
      </c>
      <c r="E2521" s="41"/>
      <c r="F2521" s="41"/>
      <c r="G2521" s="41"/>
    </row>
    <row r="2522" spans="1:7" ht="15.48" thickBot="1" customHeight="1">
      <c r="A2522" s="42" t="s">
        <v>7609</v>
      </c>
      <c r="B2522" s="42" t="s">
        <v>7610</v>
      </c>
      <c r="C2522" s="43"/>
      <c r="D2522" s="44" t="s">
        <v>7611</v>
      </c>
      <c r="E2522" s="43"/>
      <c r="F2522" s="43"/>
      <c r="G2522" s="43"/>
    </row>
    <row r="2523" spans="1:7" ht="25.08" thickBot="1" customHeight="1">
      <c r="A2523" s="10" t="s">
        <v>7612</v>
      </c>
      <c r="B2523" s="24" t="s">
        <v>7613</v>
      </c>
      <c r="C2523" s="24" t="s">
        <v>7614</v>
      </c>
      <c r="D2523" s="25" t="s">
        <v>7615</v>
      </c>
      <c r="E2523" s="26"/>
      <c r="F2523" s="27">
        <f ca="1">F2533</f>
        <v>0</v>
      </c>
      <c r="G2523" s="26"/>
    </row>
    <row r="2524" spans="1:7" ht="12.12" thickBot="1" customHeight="1">
      <c r="A2524" s="26"/>
      <c r="B2524" s="26"/>
      <c r="C2524" s="26"/>
      <c r="D2524" s="25" t="s">
        <v>7616</v>
      </c>
      <c r="E2524" s="25"/>
      <c r="F2524" s="25"/>
      <c r="G2524" s="25"/>
    </row>
    <row r="2525" spans="1:7" ht="39.84" thickBot="1" customHeight="1">
      <c r="A2525" s="24" t="s">
        <v>7617</v>
      </c>
      <c r="B2525" s="24" t="s">
        <v>7618</v>
      </c>
      <c r="C2525" s="24" t="s">
        <v>7619</v>
      </c>
      <c r="D2525" s="25" t="s">
        <v>7620</v>
      </c>
      <c r="E2525" s="28">
        <v>0.30000</v>
      </c>
      <c r="F2525" s="29">
        <f ca="1">ROUND(1.750,3)</f>
        <v>0</v>
      </c>
      <c r="G2525" s="27">
        <f ca="1">ROUND(E2525*F2525,2)</f>
        <v>0</v>
      </c>
    </row>
    <row r="2526" spans="1:7" ht="21.36" thickBot="1" customHeight="1">
      <c r="A2526" s="24" t="s">
        <v>7621</v>
      </c>
      <c r="B2526" s="24" t="s">
        <v>7622</v>
      </c>
      <c r="C2526" s="24" t="s">
        <v>7623</v>
      </c>
      <c r="D2526" s="25" t="s">
        <v>7624</v>
      </c>
      <c r="E2526" s="28">
        <v>0.04000</v>
      </c>
      <c r="F2526" s="29">
        <f ca="1">ROUND(0.970,3)</f>
        <v>0</v>
      </c>
      <c r="G2526" s="27">
        <f ca="1">ROUND(E2526*F2526,2)</f>
        <v>0</v>
      </c>
    </row>
    <row r="2527" spans="1:7" ht="21.36" thickBot="1" customHeight="1">
      <c r="A2527" s="24" t="s">
        <v>7625</v>
      </c>
      <c r="B2527" s="24" t="s">
        <v>7626</v>
      </c>
      <c r="C2527" s="24" t="s">
        <v>7627</v>
      </c>
      <c r="D2527" s="25" t="s">
        <v>7628</v>
      </c>
      <c r="E2527" s="28">
        <v>0.30000</v>
      </c>
      <c r="F2527" s="29">
        <f ca="1">F2531</f>
        <v>0</v>
      </c>
      <c r="G2527" s="27">
        <f ca="1">ROUND(E2527*F2527,2)</f>
        <v>0</v>
      </c>
    </row>
    <row r="2528" spans="1:7" ht="24.36" thickBot="1" customHeight="1">
      <c r="A2528" s="24" t="s">
        <v>7629</v>
      </c>
      <c r="B2528" s="24" t="s">
        <v>7630</v>
      </c>
      <c r="C2528" s="24" t="s">
        <v>7631</v>
      </c>
      <c r="D2528" s="25" t="s">
        <v>7632</v>
      </c>
      <c r="E2528" s="28">
        <v>1.00000</v>
      </c>
      <c r="F2528" s="29">
        <f ca="1">ROUND(21.000,3)</f>
        <v>0</v>
      </c>
      <c r="G2528" s="27">
        <f ca="1">ROUND(E2528*F2528,2)</f>
        <v>0</v>
      </c>
    </row>
    <row r="2529" spans="1:7" ht="24.36" thickBot="1" customHeight="1">
      <c r="A2529" s="24" t="s">
        <v>7633</v>
      </c>
      <c r="B2529" s="24" t="s">
        <v>7634</v>
      </c>
      <c r="C2529" s="24" t="s">
        <v>7635</v>
      </c>
      <c r="D2529" s="25" t="s">
        <v>7636</v>
      </c>
      <c r="E2529" s="28">
        <v>1.00000</v>
      </c>
      <c r="F2529" s="29">
        <f ca="1">ROUND(19.000,3)</f>
        <v>0</v>
      </c>
      <c r="G2529" s="27">
        <f ca="1">ROUND(E2529*F2529,2)</f>
        <v>0</v>
      </c>
    </row>
    <row r="2530" spans="1:7" ht="24.36" thickBot="1" customHeight="1">
      <c r="A2530" s="24" t="s">
        <v>7637</v>
      </c>
      <c r="B2530" s="24" t="s">
        <v>7638</v>
      </c>
      <c r="C2530" s="24" t="s">
        <v>7639</v>
      </c>
      <c r="D2530" s="25" t="s">
        <v>7640</v>
      </c>
      <c r="E2530" s="28">
        <v>0.20000</v>
      </c>
      <c r="F2530" s="29">
        <f ca="1">ROUND(19.000,3)</f>
        <v>0</v>
      </c>
      <c r="G2530" s="27">
        <f ca="1">ROUND(E2530*F2530,2)</f>
        <v>0</v>
      </c>
    </row>
    <row r="2531" spans="1:7" ht="15.12" thickBot="1" customHeight="1">
      <c r="A2531" s="26"/>
      <c r="B2531" s="26"/>
      <c r="C2531" s="26"/>
      <c r="D2531" s="24" t="s">
        <v>7641</v>
      </c>
      <c r="E2531" s="28">
        <v>0.30000</v>
      </c>
      <c r="F2531" s="29">
        <f ca="1">ROUND((G2528+G2529+G2530),3)</f>
        <v>0</v>
      </c>
      <c r="G2531" s="27">
        <f ca="1">ROUND(E2531*F2531,2)</f>
        <v>0</v>
      </c>
    </row>
    <row r="2532" spans="1:7" ht="15.12" thickBot="1" customHeight="1">
      <c r="A2532" s="24" t="s">
        <v>7642</v>
      </c>
      <c r="B2532" s="24"/>
      <c r="C2532" s="24" t="s">
        <v>7643</v>
      </c>
      <c r="D2532" s="25" t="s">
        <v>7644</v>
      </c>
      <c r="E2532" s="28">
        <v>3.00000</v>
      </c>
      <c r="F2532" s="29">
        <f ca="1">ROUND(13.140,3)</f>
        <v>0</v>
      </c>
      <c r="G2532" s="27">
        <f ca="1">ROUND((E2532*F2532)/100,2)</f>
        <v>0</v>
      </c>
    </row>
    <row r="2533" spans="1:7" ht="15.48" thickBot="1" customHeight="1">
      <c r="A2533" s="30"/>
      <c r="B2533" s="30"/>
      <c r="C2533" s="30"/>
      <c r="D2533" s="31" t="s">
        <v>7645</v>
      </c>
      <c r="E2533" s="30"/>
      <c r="F2533" s="33">
        <f ca="1">ROUND((G2525+G2526+G2527+G2532)*(1+G2/100),2)</f>
        <v>0</v>
      </c>
      <c r="G2533" s="30"/>
    </row>
    <row r="2534" spans="1:7" ht="30.60" thickBot="1" customHeight="1">
      <c r="A2534" s="34" t="s">
        <v>7646</v>
      </c>
      <c r="B2534" s="35" t="s">
        <v>7647</v>
      </c>
      <c r="C2534" s="35" t="s">
        <v>7648</v>
      </c>
      <c r="D2534" s="36" t="s">
        <v>7649</v>
      </c>
      <c r="E2534" s="37"/>
      <c r="F2534" s="38">
        <f ca="1">F2539</f>
        <v>0</v>
      </c>
      <c r="G2534" s="37"/>
    </row>
    <row r="2535" spans="1:7" ht="12.12" thickBot="1" customHeight="1">
      <c r="A2535" s="26"/>
      <c r="B2535" s="26"/>
      <c r="C2535" s="26"/>
      <c r="D2535" s="25" t="s">
        <v>7650</v>
      </c>
      <c r="E2535" s="25"/>
      <c r="F2535" s="25"/>
      <c r="G2535" s="25"/>
    </row>
    <row r="2536" spans="1:7" ht="24.36" thickBot="1" customHeight="1">
      <c r="A2536" s="24" t="s">
        <v>7651</v>
      </c>
      <c r="B2536" s="24" t="s">
        <v>7652</v>
      </c>
      <c r="C2536" s="24" t="s">
        <v>7653</v>
      </c>
      <c r="D2536" s="25" t="s">
        <v>7654</v>
      </c>
      <c r="E2536" s="28">
        <v>0.01000</v>
      </c>
      <c r="F2536" s="29">
        <f ca="1">ROUND(5.800,3)</f>
        <v>0</v>
      </c>
      <c r="G2536" s="27">
        <f ca="1">ROUND(E2536*F2536,2)</f>
        <v>0</v>
      </c>
    </row>
    <row r="2537" spans="1:7" ht="24.36" thickBot="1" customHeight="1">
      <c r="A2537" s="24" t="s">
        <v>7655</v>
      </c>
      <c r="B2537" s="24" t="s">
        <v>7656</v>
      </c>
      <c r="C2537" s="24" t="s">
        <v>7657</v>
      </c>
      <c r="D2537" s="25" t="s">
        <v>7658</v>
      </c>
      <c r="E2537" s="28">
        <v>0.26667</v>
      </c>
      <c r="F2537" s="29">
        <f ca="1">ROUND(19.000,3)</f>
        <v>0</v>
      </c>
      <c r="G2537" s="27">
        <f ca="1">ROUND(E2537*F2537,2)</f>
        <v>0</v>
      </c>
    </row>
    <row r="2538" spans="1:7" ht="15.12" thickBot="1" customHeight="1">
      <c r="A2538" s="24" t="s">
        <v>7659</v>
      </c>
      <c r="B2538" s="24"/>
      <c r="C2538" s="24" t="s">
        <v>7660</v>
      </c>
      <c r="D2538" s="25" t="s">
        <v>7661</v>
      </c>
      <c r="E2538" s="28">
        <v>3.00000</v>
      </c>
      <c r="F2538" s="29">
        <f ca="1">ROUND(5.070,3)</f>
        <v>0</v>
      </c>
      <c r="G2538" s="27">
        <f ca="1">ROUND((E2538*F2538)/100,2)</f>
        <v>0</v>
      </c>
    </row>
    <row r="2539" spans="1:7" ht="15.48" thickBot="1" customHeight="1">
      <c r="A2539" s="30"/>
      <c r="B2539" s="30"/>
      <c r="C2539" s="30"/>
      <c r="D2539" s="31" t="s">
        <v>7662</v>
      </c>
      <c r="E2539" s="30"/>
      <c r="F2539" s="33">
        <f ca="1">ROUND((G2536+G2537+G2538)*(1+G2/100),2)</f>
        <v>0</v>
      </c>
      <c r="G2539" s="30"/>
    </row>
    <row r="2540" spans="1:7" ht="30.60" thickBot="1" customHeight="1">
      <c r="A2540" s="34" t="s">
        <v>7663</v>
      </c>
      <c r="B2540" s="35" t="s">
        <v>7664</v>
      </c>
      <c r="C2540" s="35" t="s">
        <v>7665</v>
      </c>
      <c r="D2540" s="36" t="s">
        <v>7666</v>
      </c>
      <c r="E2540" s="37"/>
      <c r="F2540" s="38">
        <f ca="1">F2548</f>
        <v>0</v>
      </c>
      <c r="G2540" s="37"/>
    </row>
    <row r="2541" spans="1:7" ht="12.12" thickBot="1" customHeight="1">
      <c r="A2541" s="26"/>
      <c r="B2541" s="26"/>
      <c r="C2541" s="26"/>
      <c r="D2541" s="25" t="s">
        <v>7667</v>
      </c>
      <c r="E2541" s="25"/>
      <c r="F2541" s="25"/>
      <c r="G2541" s="25"/>
    </row>
    <row r="2542" spans="1:7" ht="21.36" thickBot="1" customHeight="1">
      <c r="A2542" s="24" t="s">
        <v>7668</v>
      </c>
      <c r="B2542" s="24" t="s">
        <v>7669</v>
      </c>
      <c r="C2542" s="24" t="s">
        <v>7670</v>
      </c>
      <c r="D2542" s="25" t="s">
        <v>7671</v>
      </c>
      <c r="E2542" s="28">
        <v>1.00000</v>
      </c>
      <c r="F2542" s="29">
        <f ca="1">F2546</f>
        <v>0</v>
      </c>
      <c r="G2542" s="27">
        <f ca="1">ROUND(E2542*F2542,2)</f>
        <v>0</v>
      </c>
    </row>
    <row r="2543" spans="1:7" ht="24.36" thickBot="1" customHeight="1">
      <c r="A2543" s="24" t="s">
        <v>7672</v>
      </c>
      <c r="B2543" s="24" t="s">
        <v>7673</v>
      </c>
      <c r="C2543" s="24" t="s">
        <v>7674</v>
      </c>
      <c r="D2543" s="25" t="s">
        <v>7675</v>
      </c>
      <c r="E2543" s="28">
        <v>1.00000</v>
      </c>
      <c r="F2543" s="29">
        <f ca="1">ROUND(21.000,3)</f>
        <v>0</v>
      </c>
      <c r="G2543" s="27">
        <f ca="1">ROUND(E2543*F2543,2)</f>
        <v>0</v>
      </c>
    </row>
    <row r="2544" spans="1:7" ht="24.36" thickBot="1" customHeight="1">
      <c r="A2544" s="24" t="s">
        <v>7676</v>
      </c>
      <c r="B2544" s="24" t="s">
        <v>7677</v>
      </c>
      <c r="C2544" s="24" t="s">
        <v>7678</v>
      </c>
      <c r="D2544" s="25" t="s">
        <v>7679</v>
      </c>
      <c r="E2544" s="28">
        <v>1.00000</v>
      </c>
      <c r="F2544" s="29">
        <f ca="1">ROUND(19.000,3)</f>
        <v>0</v>
      </c>
      <c r="G2544" s="27">
        <f ca="1">ROUND(E2544*F2544,2)</f>
        <v>0</v>
      </c>
    </row>
    <row r="2545" spans="1:7" ht="24.36" thickBot="1" customHeight="1">
      <c r="A2545" s="24" t="s">
        <v>7680</v>
      </c>
      <c r="B2545" s="24" t="s">
        <v>7681</v>
      </c>
      <c r="C2545" s="24" t="s">
        <v>7682</v>
      </c>
      <c r="D2545" s="25" t="s">
        <v>7683</v>
      </c>
      <c r="E2545" s="28">
        <v>0.20000</v>
      </c>
      <c r="F2545" s="29">
        <f ca="1">ROUND(19.000,3)</f>
        <v>0</v>
      </c>
      <c r="G2545" s="27">
        <f ca="1">ROUND(E2545*F2545,2)</f>
        <v>0</v>
      </c>
    </row>
    <row r="2546" spans="1:7" ht="15.12" thickBot="1" customHeight="1">
      <c r="A2546" s="26"/>
      <c r="B2546" s="26"/>
      <c r="C2546" s="26"/>
      <c r="D2546" s="24" t="s">
        <v>7684</v>
      </c>
      <c r="E2546" s="28">
        <v>1.00000</v>
      </c>
      <c r="F2546" s="29">
        <f ca="1">ROUND((G2543+G2544+G2545),3)</f>
        <v>0</v>
      </c>
      <c r="G2546" s="27">
        <f ca="1">ROUND(E2546*F2546,2)</f>
        <v>0</v>
      </c>
    </row>
    <row r="2547" spans="1:7" ht="15.12" thickBot="1" customHeight="1">
      <c r="A2547" s="24" t="s">
        <v>7685</v>
      </c>
      <c r="B2547" s="24"/>
      <c r="C2547" s="24" t="s">
        <v>7686</v>
      </c>
      <c r="D2547" s="25" t="s">
        <v>7687</v>
      </c>
      <c r="E2547" s="28">
        <v>3.00000</v>
      </c>
      <c r="F2547" s="29">
        <f ca="1">ROUND(43.800,3)</f>
        <v>0</v>
      </c>
      <c r="G2547" s="27">
        <f ca="1">ROUND((E2547*F2547)/100,2)</f>
        <v>0</v>
      </c>
    </row>
    <row r="2548" spans="1:7" ht="15.48" thickBot="1" customHeight="1">
      <c r="A2548" s="30"/>
      <c r="B2548" s="30"/>
      <c r="C2548" s="30"/>
      <c r="D2548" s="31" t="s">
        <v>7688</v>
      </c>
      <c r="E2548" s="30"/>
      <c r="F2548" s="33">
        <f ca="1">ROUND((G2542+G2547)*(1+G2/100),2)</f>
        <v>0</v>
      </c>
      <c r="G2548" s="30"/>
    </row>
    <row r="2549" spans="1:7" ht="67.56" thickBot="1" customHeight="1">
      <c r="A2549" s="34" t="s">
        <v>7689</v>
      </c>
      <c r="B2549" s="35" t="s">
        <v>7690</v>
      </c>
      <c r="C2549" s="35" t="s">
        <v>7691</v>
      </c>
      <c r="D2549" s="36" t="s">
        <v>7692</v>
      </c>
      <c r="E2549" s="37"/>
      <c r="F2549" s="38">
        <f ca="1">F2557</f>
        <v>0</v>
      </c>
      <c r="G2549" s="37"/>
    </row>
    <row r="2550" spans="1:7" ht="21.36" thickBot="1" customHeight="1">
      <c r="A2550" s="26"/>
      <c r="B2550" s="26"/>
      <c r="C2550" s="26"/>
      <c r="D2550" s="25" t="s">
        <v>7693</v>
      </c>
      <c r="E2550" s="25"/>
      <c r="F2550" s="25"/>
      <c r="G2550" s="25"/>
    </row>
    <row r="2551" spans="1:7" ht="21.36" thickBot="1" customHeight="1">
      <c r="A2551" s="24" t="s">
        <v>7694</v>
      </c>
      <c r="B2551" s="24" t="s">
        <v>7695</v>
      </c>
      <c r="C2551" s="24" t="s">
        <v>7696</v>
      </c>
      <c r="D2551" s="25" t="s">
        <v>7697</v>
      </c>
      <c r="E2551" s="28">
        <v>0.10000</v>
      </c>
      <c r="F2551" s="29">
        <f ca="1">F2555</f>
        <v>0</v>
      </c>
      <c r="G2551" s="27">
        <f ca="1">ROUND(E2551*F2551,2)</f>
        <v>0</v>
      </c>
    </row>
    <row r="2552" spans="1:7" ht="24.36" thickBot="1" customHeight="1">
      <c r="A2552" s="24" t="s">
        <v>7698</v>
      </c>
      <c r="B2552" s="24" t="s">
        <v>7699</v>
      </c>
      <c r="C2552" s="24" t="s">
        <v>7700</v>
      </c>
      <c r="D2552" s="25" t="s">
        <v>7701</v>
      </c>
      <c r="E2552" s="28">
        <v>1.00000</v>
      </c>
      <c r="F2552" s="29">
        <f ca="1">ROUND(21.000,3)</f>
        <v>0</v>
      </c>
      <c r="G2552" s="27">
        <f ca="1">ROUND(E2552*F2552,2)</f>
        <v>0</v>
      </c>
    </row>
    <row r="2553" spans="1:7" ht="24.36" thickBot="1" customHeight="1">
      <c r="A2553" s="24" t="s">
        <v>7702</v>
      </c>
      <c r="B2553" s="24" t="s">
        <v>7703</v>
      </c>
      <c r="C2553" s="24" t="s">
        <v>7704</v>
      </c>
      <c r="D2553" s="25" t="s">
        <v>7705</v>
      </c>
      <c r="E2553" s="28">
        <v>1.00000</v>
      </c>
      <c r="F2553" s="29">
        <f ca="1">ROUND(19.000,3)</f>
        <v>0</v>
      </c>
      <c r="G2553" s="27">
        <f ca="1">ROUND(E2553*F2553,2)</f>
        <v>0</v>
      </c>
    </row>
    <row r="2554" spans="1:7" ht="24.36" thickBot="1" customHeight="1">
      <c r="A2554" s="24" t="s">
        <v>7706</v>
      </c>
      <c r="B2554" s="24" t="s">
        <v>7707</v>
      </c>
      <c r="C2554" s="24" t="s">
        <v>7708</v>
      </c>
      <c r="D2554" s="25" t="s">
        <v>7709</v>
      </c>
      <c r="E2554" s="28">
        <v>0.20000</v>
      </c>
      <c r="F2554" s="29">
        <f ca="1">ROUND(19.000,3)</f>
        <v>0</v>
      </c>
      <c r="G2554" s="27">
        <f ca="1">ROUND(E2554*F2554,2)</f>
        <v>0</v>
      </c>
    </row>
    <row r="2555" spans="1:7" ht="15.12" thickBot="1" customHeight="1">
      <c r="A2555" s="26"/>
      <c r="B2555" s="26"/>
      <c r="C2555" s="26"/>
      <c r="D2555" s="24" t="s">
        <v>7710</v>
      </c>
      <c r="E2555" s="28">
        <v>0.10000</v>
      </c>
      <c r="F2555" s="29">
        <f ca="1">ROUND((G2552+G2553+G2554),3)</f>
        <v>0</v>
      </c>
      <c r="G2555" s="27">
        <f ca="1">ROUND(E2555*F2555,2)</f>
        <v>0</v>
      </c>
    </row>
    <row r="2556" spans="1:7" ht="15.12" thickBot="1" customHeight="1">
      <c r="A2556" s="24" t="s">
        <v>7711</v>
      </c>
      <c r="B2556" s="24"/>
      <c r="C2556" s="24" t="s">
        <v>7712</v>
      </c>
      <c r="D2556" s="25" t="s">
        <v>7713</v>
      </c>
      <c r="E2556" s="28">
        <v>3.00000</v>
      </c>
      <c r="F2556" s="29">
        <f ca="1">ROUND(4.380,3)</f>
        <v>0</v>
      </c>
      <c r="G2556" s="27">
        <f ca="1">ROUND((E2556*F2556)/100,2)</f>
        <v>0</v>
      </c>
    </row>
    <row r="2557" spans="1:7" ht="15.48" thickBot="1" customHeight="1">
      <c r="A2557" s="30"/>
      <c r="B2557" s="30"/>
      <c r="C2557" s="30"/>
      <c r="D2557" s="31" t="s">
        <v>7714</v>
      </c>
      <c r="E2557" s="30"/>
      <c r="F2557" s="33">
        <f ca="1">ROUND((G2551+G2556)*(1+G2/100),2)</f>
        <v>0</v>
      </c>
      <c r="G2557" s="30"/>
    </row>
    <row r="2558" spans="1:7" ht="15.48" thickBot="1" customHeight="1">
      <c r="A2558" s="39"/>
      <c r="B2558" s="39"/>
      <c r="C2558" s="39"/>
      <c r="D2558" s="40" t="s">
        <v>7715</v>
      </c>
      <c r="E2558" s="41"/>
      <c r="F2558" s="41"/>
      <c r="G2558" s="41"/>
    </row>
    <row r="2559" spans="1:7" ht="25.08" thickBot="1" customHeight="1">
      <c r="A2559" s="39"/>
      <c r="B2559" s="39"/>
      <c r="C2559" s="39"/>
      <c r="D2559" s="50" t="s">
        <v>7716</v>
      </c>
      <c r="E2559" s="51"/>
      <c r="F2559" s="51"/>
      <c r="G2559" s="51"/>
    </row>
    <row r="2560" spans="1:7" ht="22.08" thickBot="1" customHeight="1">
      <c r="A2560" s="52" t="s">
        <v>7717</v>
      </c>
      <c r="B2560" s="52" t="s">
        <v>7718</v>
      </c>
      <c r="C2560" s="53"/>
      <c r="D2560" s="54" t="s">
        <v>7719</v>
      </c>
      <c r="E2560" s="53"/>
      <c r="F2560" s="53"/>
      <c r="G2560" s="53"/>
    </row>
    <row r="2561" spans="1:7" ht="25.08" thickBot="1" customHeight="1">
      <c r="A2561" s="10" t="s">
        <v>7720</v>
      </c>
      <c r="B2561" s="24" t="s">
        <v>7721</v>
      </c>
      <c r="C2561" s="24" t="s">
        <v>7722</v>
      </c>
      <c r="D2561" s="25" t="s">
        <v>7723</v>
      </c>
      <c r="E2561" s="26"/>
      <c r="F2561" s="27">
        <f ca="1">F2569</f>
        <v>0</v>
      </c>
      <c r="G2561" s="26"/>
    </row>
    <row r="2562" spans="1:7" ht="21.36" thickBot="1" customHeight="1">
      <c r="A2562" s="26"/>
      <c r="B2562" s="26"/>
      <c r="C2562" s="26"/>
      <c r="D2562" s="25" t="s">
        <v>7724</v>
      </c>
      <c r="E2562" s="25"/>
      <c r="F2562" s="25"/>
      <c r="G2562" s="25"/>
    </row>
    <row r="2563" spans="1:7" ht="21.36" thickBot="1" customHeight="1">
      <c r="A2563" s="24" t="s">
        <v>7725</v>
      </c>
      <c r="B2563" s="24" t="s">
        <v>7726</v>
      </c>
      <c r="C2563" s="24" t="s">
        <v>7727</v>
      </c>
      <c r="D2563" s="25" t="s">
        <v>7728</v>
      </c>
      <c r="E2563" s="28">
        <v>0.26667</v>
      </c>
      <c r="F2563" s="29">
        <f ca="1">F2567</f>
        <v>0</v>
      </c>
      <c r="G2563" s="27">
        <f ca="1">ROUND(E2563*F2563,2)</f>
        <v>0</v>
      </c>
    </row>
    <row r="2564" spans="1:7" ht="24.36" thickBot="1" customHeight="1">
      <c r="A2564" s="24" t="s">
        <v>7729</v>
      </c>
      <c r="B2564" s="24" t="s">
        <v>7730</v>
      </c>
      <c r="C2564" s="24" t="s">
        <v>7731</v>
      </c>
      <c r="D2564" s="25" t="s">
        <v>7732</v>
      </c>
      <c r="E2564" s="28">
        <v>1.00000</v>
      </c>
      <c r="F2564" s="29">
        <f ca="1">ROUND(21.000,3)</f>
        <v>0</v>
      </c>
      <c r="G2564" s="27">
        <f ca="1">ROUND(E2564*F2564,2)</f>
        <v>0</v>
      </c>
    </row>
    <row r="2565" spans="1:7" ht="24.36" thickBot="1" customHeight="1">
      <c r="A2565" s="24" t="s">
        <v>7733</v>
      </c>
      <c r="B2565" s="24" t="s">
        <v>7734</v>
      </c>
      <c r="C2565" s="24" t="s">
        <v>7735</v>
      </c>
      <c r="D2565" s="25" t="s">
        <v>7736</v>
      </c>
      <c r="E2565" s="28">
        <v>1.00000</v>
      </c>
      <c r="F2565" s="29">
        <f ca="1">ROUND(19.000,3)</f>
        <v>0</v>
      </c>
      <c r="G2565" s="27">
        <f ca="1">ROUND(E2565*F2565,2)</f>
        <v>0</v>
      </c>
    </row>
    <row r="2566" spans="1:7" ht="24.36" thickBot="1" customHeight="1">
      <c r="A2566" s="24" t="s">
        <v>7737</v>
      </c>
      <c r="B2566" s="24" t="s">
        <v>7738</v>
      </c>
      <c r="C2566" s="24" t="s">
        <v>7739</v>
      </c>
      <c r="D2566" s="25" t="s">
        <v>7740</v>
      </c>
      <c r="E2566" s="28">
        <v>0.20000</v>
      </c>
      <c r="F2566" s="29">
        <f ca="1">ROUND(19.000,3)</f>
        <v>0</v>
      </c>
      <c r="G2566" s="27">
        <f ca="1">ROUND(E2566*F2566,2)</f>
        <v>0</v>
      </c>
    </row>
    <row r="2567" spans="1:7" ht="15.12" thickBot="1" customHeight="1">
      <c r="A2567" s="26"/>
      <c r="B2567" s="26"/>
      <c r="C2567" s="26"/>
      <c r="D2567" s="24" t="s">
        <v>7741</v>
      </c>
      <c r="E2567" s="28">
        <v>0.26667</v>
      </c>
      <c r="F2567" s="29">
        <f ca="1">ROUND((G2564+G2565+G2566),3)</f>
        <v>0</v>
      </c>
      <c r="G2567" s="27">
        <f ca="1">ROUND(E2567*F2567,2)</f>
        <v>0</v>
      </c>
    </row>
    <row r="2568" spans="1:7" ht="15.12" thickBot="1" customHeight="1">
      <c r="A2568" s="24" t="s">
        <v>7742</v>
      </c>
      <c r="B2568" s="24"/>
      <c r="C2568" s="24" t="s">
        <v>7743</v>
      </c>
      <c r="D2568" s="25" t="s">
        <v>7744</v>
      </c>
      <c r="E2568" s="28">
        <v>5.00000</v>
      </c>
      <c r="F2568" s="29">
        <f ca="1">ROUND(11.680,3)</f>
        <v>0</v>
      </c>
      <c r="G2568" s="27">
        <f ca="1">ROUND((E2568*F2568)/100,2)</f>
        <v>0</v>
      </c>
    </row>
    <row r="2569" spans="1:7" ht="15.48" thickBot="1" customHeight="1">
      <c r="A2569" s="30"/>
      <c r="B2569" s="30"/>
      <c r="C2569" s="30"/>
      <c r="D2569" s="31" t="s">
        <v>7745</v>
      </c>
      <c r="E2569" s="30"/>
      <c r="F2569" s="33">
        <f ca="1">ROUND((G2563+G2568)*(1+G2/100),2)</f>
        <v>0</v>
      </c>
      <c r="G2569" s="30"/>
    </row>
    <row r="2570" spans="1:7" ht="25.08" thickBot="1" customHeight="1">
      <c r="A2570" s="34" t="s">
        <v>7746</v>
      </c>
      <c r="B2570" s="35" t="s">
        <v>7747</v>
      </c>
      <c r="C2570" s="35" t="s">
        <v>7748</v>
      </c>
      <c r="D2570" s="36" t="s">
        <v>7749</v>
      </c>
      <c r="E2570" s="37"/>
      <c r="F2570" s="38">
        <f ca="1">F2578</f>
        <v>0</v>
      </c>
      <c r="G2570" s="37"/>
    </row>
    <row r="2571" spans="1:7" ht="21.36" thickBot="1" customHeight="1">
      <c r="A2571" s="26"/>
      <c r="B2571" s="26"/>
      <c r="C2571" s="26"/>
      <c r="D2571" s="25" t="s">
        <v>7750</v>
      </c>
      <c r="E2571" s="25"/>
      <c r="F2571" s="25"/>
      <c r="G2571" s="25"/>
    </row>
    <row r="2572" spans="1:7" ht="21.36" thickBot="1" customHeight="1">
      <c r="A2572" s="24" t="s">
        <v>7751</v>
      </c>
      <c r="B2572" s="24" t="s">
        <v>7752</v>
      </c>
      <c r="C2572" s="24" t="s">
        <v>7753</v>
      </c>
      <c r="D2572" s="25" t="s">
        <v>7754</v>
      </c>
      <c r="E2572" s="28">
        <v>0.40000</v>
      </c>
      <c r="F2572" s="29">
        <f ca="1">F2576</f>
        <v>0</v>
      </c>
      <c r="G2572" s="27">
        <f ca="1">ROUND(E2572*F2572,2)</f>
        <v>0</v>
      </c>
    </row>
    <row r="2573" spans="1:7" ht="24.36" thickBot="1" customHeight="1">
      <c r="A2573" s="24" t="s">
        <v>7755</v>
      </c>
      <c r="B2573" s="24" t="s">
        <v>7756</v>
      </c>
      <c r="C2573" s="24" t="s">
        <v>7757</v>
      </c>
      <c r="D2573" s="25" t="s">
        <v>7758</v>
      </c>
      <c r="E2573" s="28">
        <v>1.00000</v>
      </c>
      <c r="F2573" s="29">
        <f ca="1">ROUND(21.000,3)</f>
        <v>0</v>
      </c>
      <c r="G2573" s="27">
        <f ca="1">ROUND(E2573*F2573,2)</f>
        <v>0</v>
      </c>
    </row>
    <row r="2574" spans="1:7" ht="24.36" thickBot="1" customHeight="1">
      <c r="A2574" s="24" t="s">
        <v>7759</v>
      </c>
      <c r="B2574" s="24" t="s">
        <v>7760</v>
      </c>
      <c r="C2574" s="24" t="s">
        <v>7761</v>
      </c>
      <c r="D2574" s="25" t="s">
        <v>7762</v>
      </c>
      <c r="E2574" s="28">
        <v>1.00000</v>
      </c>
      <c r="F2574" s="29">
        <f ca="1">ROUND(19.000,3)</f>
        <v>0</v>
      </c>
      <c r="G2574" s="27">
        <f ca="1">ROUND(E2574*F2574,2)</f>
        <v>0</v>
      </c>
    </row>
    <row r="2575" spans="1:7" ht="24.36" thickBot="1" customHeight="1">
      <c r="A2575" s="24" t="s">
        <v>7763</v>
      </c>
      <c r="B2575" s="24" t="s">
        <v>7764</v>
      </c>
      <c r="C2575" s="24" t="s">
        <v>7765</v>
      </c>
      <c r="D2575" s="25" t="s">
        <v>7766</v>
      </c>
      <c r="E2575" s="28">
        <v>0.20000</v>
      </c>
      <c r="F2575" s="29">
        <f ca="1">ROUND(19.000,3)</f>
        <v>0</v>
      </c>
      <c r="G2575" s="27">
        <f ca="1">ROUND(E2575*F2575,2)</f>
        <v>0</v>
      </c>
    </row>
    <row r="2576" spans="1:7" ht="15.12" thickBot="1" customHeight="1">
      <c r="A2576" s="26"/>
      <c r="B2576" s="26"/>
      <c r="C2576" s="26"/>
      <c r="D2576" s="24" t="s">
        <v>7767</v>
      </c>
      <c r="E2576" s="28">
        <v>0.40000</v>
      </c>
      <c r="F2576" s="29">
        <f ca="1">ROUND((G2573+G2574+G2575),3)</f>
        <v>0</v>
      </c>
      <c r="G2576" s="27">
        <f ca="1">ROUND(E2576*F2576,2)</f>
        <v>0</v>
      </c>
    </row>
    <row r="2577" spans="1:7" ht="15.12" thickBot="1" customHeight="1">
      <c r="A2577" s="24" t="s">
        <v>7768</v>
      </c>
      <c r="B2577" s="24"/>
      <c r="C2577" s="24" t="s">
        <v>7769</v>
      </c>
      <c r="D2577" s="25" t="s">
        <v>7770</v>
      </c>
      <c r="E2577" s="28">
        <v>5.00000</v>
      </c>
      <c r="F2577" s="29">
        <f ca="1">ROUND(17.520,3)</f>
        <v>0</v>
      </c>
      <c r="G2577" s="27">
        <f ca="1">ROUND((E2577*F2577)/100,2)</f>
        <v>0</v>
      </c>
    </row>
    <row r="2578" spans="1:7" ht="15.48" thickBot="1" customHeight="1">
      <c r="A2578" s="30"/>
      <c r="B2578" s="30"/>
      <c r="C2578" s="30"/>
      <c r="D2578" s="31" t="s">
        <v>7771</v>
      </c>
      <c r="E2578" s="30"/>
      <c r="F2578" s="33">
        <f ca="1">ROUND((G2572+G2577)*(1+G2/100),2)</f>
        <v>0</v>
      </c>
      <c r="G2578" s="30"/>
    </row>
    <row r="2579" spans="1:7" ht="15.48" thickBot="1" customHeight="1">
      <c r="A2579" s="39"/>
      <c r="B2579" s="39"/>
      <c r="C2579" s="39"/>
      <c r="D2579" s="50" t="s">
        <v>7772</v>
      </c>
      <c r="E2579" s="51"/>
      <c r="F2579" s="51"/>
      <c r="G2579" s="51"/>
    </row>
    <row r="2580" spans="1:7" ht="15.48" thickBot="1" customHeight="1">
      <c r="A2580" s="39"/>
      <c r="B2580" s="39"/>
      <c r="C2580" s="39"/>
      <c r="D2580" s="55" t="s">
        <v>7773</v>
      </c>
      <c r="E2580" s="56"/>
      <c r="F2580" s="56"/>
      <c r="G2580" s="56"/>
    </row>
    <row r="2581" spans="1:7" ht="15.48" thickBot="1" customHeight="1">
      <c r="A2581" s="57" t="s">
        <v>7774</v>
      </c>
      <c r="B2581" s="57" t="s">
        <v>7775</v>
      </c>
      <c r="C2581" s="58"/>
      <c r="D2581" s="59" t="s">
        <v>7776</v>
      </c>
      <c r="E2581" s="58"/>
      <c r="F2581" s="58"/>
      <c r="G2581" s="58"/>
    </row>
    <row r="2582" spans="1:7" ht="15.48" thickBot="1" customHeight="1">
      <c r="A2582" s="10" t="s">
        <v>7777</v>
      </c>
      <c r="B2582" s="24" t="s">
        <v>7778</v>
      </c>
      <c r="C2582" s="24" t="s">
        <v>7779</v>
      </c>
      <c r="D2582" s="25" t="s">
        <v>7780</v>
      </c>
      <c r="E2582" s="26"/>
      <c r="F2582" s="27">
        <f ca="1">F2593</f>
        <v>0</v>
      </c>
      <c r="G2582" s="26"/>
    </row>
    <row r="2583" spans="1:7" ht="39.84" thickBot="1" customHeight="1">
      <c r="A2583" s="26"/>
      <c r="B2583" s="26"/>
      <c r="C2583" s="26"/>
      <c r="D2583" s="25" t="s">
        <v>7781</v>
      </c>
      <c r="E2583" s="25"/>
      <c r="F2583" s="25"/>
      <c r="G2583" s="25"/>
    </row>
    <row r="2584" spans="1:7" ht="30.60" thickBot="1" customHeight="1">
      <c r="A2584" s="24" t="s">
        <v>7782</v>
      </c>
      <c r="B2584" s="24" t="s">
        <v>7783</v>
      </c>
      <c r="C2584" s="24" t="s">
        <v>7784</v>
      </c>
      <c r="D2584" s="25" t="s">
        <v>7785</v>
      </c>
      <c r="E2584" s="28">
        <v>1.00000</v>
      </c>
      <c r="F2584" s="29">
        <f ca="1">ROUND(11.070,3)</f>
        <v>0</v>
      </c>
      <c r="G2584" s="27">
        <f ca="1">ROUND(E2584*F2584,2)</f>
        <v>0</v>
      </c>
    </row>
    <row r="2585" spans="1:7" ht="15.12" thickBot="1" customHeight="1">
      <c r="A2585" s="24" t="s">
        <v>7786</v>
      </c>
      <c r="B2585" s="24" t="s">
        <v>7787</v>
      </c>
      <c r="C2585" s="24" t="s">
        <v>7788</v>
      </c>
      <c r="D2585" s="25" t="s">
        <v>7789</v>
      </c>
      <c r="E2585" s="28">
        <v>1.00000</v>
      </c>
      <c r="F2585" s="29">
        <f ca="1">ROUND(3.000,3)</f>
        <v>0</v>
      </c>
      <c r="G2585" s="27">
        <f ca="1">ROUND(E2585*F2585,2)</f>
        <v>0</v>
      </c>
    </row>
    <row r="2586" spans="1:7" ht="30.60" thickBot="1" customHeight="1">
      <c r="A2586" s="24" t="s">
        <v>7790</v>
      </c>
      <c r="B2586" s="24" t="s">
        <v>7791</v>
      </c>
      <c r="C2586" s="24" t="s">
        <v>7792</v>
      </c>
      <c r="D2586" s="25" t="s">
        <v>7793</v>
      </c>
      <c r="E2586" s="28">
        <v>0.02500</v>
      </c>
      <c r="F2586" s="29">
        <f ca="1">ROUND(181.020,3)</f>
        <v>0</v>
      </c>
      <c r="G2586" s="27">
        <f ca="1">ROUND(E2586*F2586,2)</f>
        <v>0</v>
      </c>
    </row>
    <row r="2587" spans="1:7" ht="21.36" thickBot="1" customHeight="1">
      <c r="A2587" s="24" t="s">
        <v>7794</v>
      </c>
      <c r="B2587" s="24" t="s">
        <v>7795</v>
      </c>
      <c r="C2587" s="24" t="s">
        <v>7796</v>
      </c>
      <c r="D2587" s="25" t="s">
        <v>7797</v>
      </c>
      <c r="E2587" s="28">
        <v>1.00000</v>
      </c>
      <c r="F2587" s="29">
        <f ca="1">F2591</f>
        <v>0</v>
      </c>
      <c r="G2587" s="27">
        <f ca="1">ROUND(E2587*F2587,2)</f>
        <v>0</v>
      </c>
    </row>
    <row r="2588" spans="1:7" ht="24.36" thickBot="1" customHeight="1">
      <c r="A2588" s="24" t="s">
        <v>7798</v>
      </c>
      <c r="B2588" s="24" t="s">
        <v>7799</v>
      </c>
      <c r="C2588" s="24" t="s">
        <v>7800</v>
      </c>
      <c r="D2588" s="25" t="s">
        <v>7801</v>
      </c>
      <c r="E2588" s="28">
        <v>1.00000</v>
      </c>
      <c r="F2588" s="29">
        <f ca="1">ROUND(21.000,3)</f>
        <v>0</v>
      </c>
      <c r="G2588" s="27">
        <f ca="1">ROUND(E2588*F2588,2)</f>
        <v>0</v>
      </c>
    </row>
    <row r="2589" spans="1:7" ht="24.36" thickBot="1" customHeight="1">
      <c r="A2589" s="24" t="s">
        <v>7802</v>
      </c>
      <c r="B2589" s="24" t="s">
        <v>7803</v>
      </c>
      <c r="C2589" s="24" t="s">
        <v>7804</v>
      </c>
      <c r="D2589" s="25" t="s">
        <v>7805</v>
      </c>
      <c r="E2589" s="28">
        <v>1.00000</v>
      </c>
      <c r="F2589" s="29">
        <f ca="1">ROUND(19.000,3)</f>
        <v>0</v>
      </c>
      <c r="G2589" s="27">
        <f ca="1">ROUND(E2589*F2589,2)</f>
        <v>0</v>
      </c>
    </row>
    <row r="2590" spans="1:7" ht="24.36" thickBot="1" customHeight="1">
      <c r="A2590" s="24" t="s">
        <v>7806</v>
      </c>
      <c r="B2590" s="24" t="s">
        <v>7807</v>
      </c>
      <c r="C2590" s="24" t="s">
        <v>7808</v>
      </c>
      <c r="D2590" s="25" t="s">
        <v>7809</v>
      </c>
      <c r="E2590" s="28">
        <v>0.20000</v>
      </c>
      <c r="F2590" s="29">
        <f ca="1">ROUND(19.000,3)</f>
        <v>0</v>
      </c>
      <c r="G2590" s="27">
        <f ca="1">ROUND(E2590*F2590,2)</f>
        <v>0</v>
      </c>
    </row>
    <row r="2591" spans="1:7" ht="15.12" thickBot="1" customHeight="1">
      <c r="A2591" s="26"/>
      <c r="B2591" s="26"/>
      <c r="C2591" s="26"/>
      <c r="D2591" s="24" t="s">
        <v>7810</v>
      </c>
      <c r="E2591" s="28">
        <v>1.00000</v>
      </c>
      <c r="F2591" s="29">
        <f ca="1">ROUND((G2588+G2589+G2590),3)</f>
        <v>0</v>
      </c>
      <c r="G2591" s="27">
        <f ca="1">ROUND(E2591*F2591,2)</f>
        <v>0</v>
      </c>
    </row>
    <row r="2592" spans="1:7" ht="15.12" thickBot="1" customHeight="1">
      <c r="A2592" s="24" t="s">
        <v>7811</v>
      </c>
      <c r="B2592" s="24"/>
      <c r="C2592" s="24" t="s">
        <v>7812</v>
      </c>
      <c r="D2592" s="25" t="s">
        <v>7813</v>
      </c>
      <c r="E2592" s="28">
        <v>3.00000</v>
      </c>
      <c r="F2592" s="29">
        <f ca="1">ROUND(43.800,3)</f>
        <v>0</v>
      </c>
      <c r="G2592" s="27">
        <f ca="1">ROUND((E2592*F2592)/100,2)</f>
        <v>0</v>
      </c>
    </row>
    <row r="2593" spans="1:7" ht="15.48" thickBot="1" customHeight="1">
      <c r="A2593" s="30"/>
      <c r="B2593" s="30"/>
      <c r="C2593" s="30"/>
      <c r="D2593" s="31" t="s">
        <v>7814</v>
      </c>
      <c r="E2593" s="30"/>
      <c r="F2593" s="33">
        <f ca="1">ROUND((G2584+G2585+G2586+G2587+G2592)*(1+G2/100),2)</f>
        <v>0</v>
      </c>
      <c r="G2593" s="30"/>
    </row>
    <row r="2594" spans="1:7" ht="15.48" thickBot="1" customHeight="1">
      <c r="A2594" s="34" t="s">
        <v>7815</v>
      </c>
      <c r="B2594" s="35" t="s">
        <v>7816</v>
      </c>
      <c r="C2594" s="35" t="s">
        <v>7817</v>
      </c>
      <c r="D2594" s="36" t="s">
        <v>7818</v>
      </c>
      <c r="E2594" s="37"/>
      <c r="F2594" s="38">
        <f ca="1">F2597</f>
        <v>0</v>
      </c>
      <c r="G2594" s="37"/>
    </row>
    <row r="2595" spans="1:7" ht="39.84" thickBot="1" customHeight="1">
      <c r="A2595" s="26"/>
      <c r="B2595" s="26"/>
      <c r="C2595" s="26"/>
      <c r="D2595" s="25" t="s">
        <v>7819</v>
      </c>
      <c r="E2595" s="25"/>
      <c r="F2595" s="25"/>
      <c r="G2595" s="25"/>
    </row>
    <row r="2596" spans="1:7" ht="24.36" thickBot="1" customHeight="1">
      <c r="A2596" s="24" t="s">
        <v>7820</v>
      </c>
      <c r="B2596" s="24" t="s">
        <v>7821</v>
      </c>
      <c r="C2596" s="24" t="s">
        <v>7822</v>
      </c>
      <c r="D2596" s="25" t="s">
        <v>7823</v>
      </c>
      <c r="E2596" s="28">
        <v>0.00100</v>
      </c>
      <c r="F2596" s="29">
        <f ca="1">ROUND(49.500,3)</f>
        <v>0</v>
      </c>
      <c r="G2596" s="27">
        <f ca="1">ROUND(E2596*F2596,2)</f>
        <v>0</v>
      </c>
    </row>
    <row r="2597" spans="1:7" ht="15.48" thickBot="1" customHeight="1">
      <c r="A2597" s="30"/>
      <c r="B2597" s="30"/>
      <c r="C2597" s="30"/>
      <c r="D2597" s="31" t="s">
        <v>7824</v>
      </c>
      <c r="E2597" s="30"/>
      <c r="F2597" s="33">
        <f ca="1">ROUND((G2596)*(1+G2/100),2)</f>
        <v>0</v>
      </c>
      <c r="G2597" s="30"/>
    </row>
    <row r="2598" spans="1:7" ht="15.48" thickBot="1" customHeight="1">
      <c r="A2598" s="39"/>
      <c r="B2598" s="39"/>
      <c r="C2598" s="39"/>
      <c r="D2598" s="55" t="s">
        <v>7825</v>
      </c>
      <c r="E2598" s="56"/>
      <c r="F2598" s="56"/>
      <c r="G2598" s="56"/>
    </row>
    <row r="2599" spans="1:7" ht="15.48" thickBot="1" customHeight="1">
      <c r="A2599" s="57" t="s">
        <v>7826</v>
      </c>
      <c r="B2599" s="57" t="s">
        <v>7827</v>
      </c>
      <c r="C2599" s="58"/>
      <c r="D2599" s="59" t="s">
        <v>7828</v>
      </c>
      <c r="E2599" s="58"/>
      <c r="F2599" s="58"/>
      <c r="G2599" s="58"/>
    </row>
    <row r="2600" spans="1:7" ht="21.36" thickBot="1" customHeight="1">
      <c r="A2600" s="10" t="s">
        <v>7829</v>
      </c>
      <c r="B2600" s="24" t="s">
        <v>7830</v>
      </c>
      <c r="C2600" s="24" t="s">
        <v>7831</v>
      </c>
      <c r="D2600" s="25" t="s">
        <v>7832</v>
      </c>
      <c r="E2600" s="26"/>
      <c r="F2600" s="27">
        <f ca="1">F2607</f>
        <v>0</v>
      </c>
      <c r="G2600" s="26"/>
    </row>
    <row r="2601" spans="1:7" ht="12.12" thickBot="1" customHeight="1">
      <c r="A2601" s="26"/>
      <c r="B2601" s="26"/>
      <c r="C2601" s="26"/>
      <c r="D2601" s="25" t="s">
        <v>7833</v>
      </c>
      <c r="E2601" s="25"/>
      <c r="F2601" s="25"/>
      <c r="G2601" s="25"/>
    </row>
    <row r="2602" spans="1:7" ht="15.12" thickBot="1" customHeight="1">
      <c r="A2602" s="24" t="s">
        <v>7834</v>
      </c>
      <c r="B2602" s="24" t="s">
        <v>7835</v>
      </c>
      <c r="C2602" s="24" t="s">
        <v>7836</v>
      </c>
      <c r="D2602" s="25" t="s">
        <v>7837</v>
      </c>
      <c r="E2602" s="28">
        <v>1.05000</v>
      </c>
      <c r="F2602" s="29">
        <f ca="1">ROUND(108.000,3)</f>
        <v>0</v>
      </c>
      <c r="G2602" s="27">
        <f ca="1">ROUND(E2602*F2602,2)</f>
        <v>0</v>
      </c>
    </row>
    <row r="2603" spans="1:7" ht="21.36" thickBot="1" customHeight="1">
      <c r="A2603" s="24" t="s">
        <v>7838</v>
      </c>
      <c r="B2603" s="24" t="s">
        <v>7839</v>
      </c>
      <c r="C2603" s="24" t="s">
        <v>7840</v>
      </c>
      <c r="D2603" s="25" t="s">
        <v>7841</v>
      </c>
      <c r="E2603" s="28">
        <v>0.14300</v>
      </c>
      <c r="F2603" s="29">
        <f ca="1">ROUND(480.000,3)</f>
        <v>0</v>
      </c>
      <c r="G2603" s="27">
        <f ca="1">ROUND(E2603*F2603,2)</f>
        <v>0</v>
      </c>
    </row>
    <row r="2604" spans="1:7" ht="21.36" thickBot="1" customHeight="1">
      <c r="A2604" s="24" t="s">
        <v>7842</v>
      </c>
      <c r="B2604" s="24" t="s">
        <v>7843</v>
      </c>
      <c r="C2604" s="24" t="s">
        <v>7844</v>
      </c>
      <c r="D2604" s="25" t="s">
        <v>7845</v>
      </c>
      <c r="E2604" s="28">
        <v>0.14300</v>
      </c>
      <c r="F2604" s="29">
        <f ca="1">ROUND(150.000,3)</f>
        <v>0</v>
      </c>
      <c r="G2604" s="27">
        <f ca="1">ROUND(E2604*F2604,2)</f>
        <v>0</v>
      </c>
    </row>
    <row r="2605" spans="1:7" ht="21.36" thickBot="1" customHeight="1">
      <c r="A2605" s="24" t="s">
        <v>7846</v>
      </c>
      <c r="B2605" s="24" t="s">
        <v>7847</v>
      </c>
      <c r="C2605" s="24" t="s">
        <v>7848</v>
      </c>
      <c r="D2605" s="25" t="s">
        <v>7849</v>
      </c>
      <c r="E2605" s="28">
        <v>0.14300</v>
      </c>
      <c r="F2605" s="29">
        <f ca="1">ROUND(85.000,3)</f>
        <v>0</v>
      </c>
      <c r="G2605" s="27">
        <f ca="1">ROUND(E2605*F2605,2)</f>
        <v>0</v>
      </c>
    </row>
    <row r="2606" spans="1:7" ht="24.36" thickBot="1" customHeight="1">
      <c r="A2606" s="24" t="s">
        <v>7850</v>
      </c>
      <c r="B2606" s="24" t="s">
        <v>7851</v>
      </c>
      <c r="C2606" s="24" t="s">
        <v>7852</v>
      </c>
      <c r="D2606" s="25" t="s">
        <v>7853</v>
      </c>
      <c r="E2606" s="28">
        <v>0.35000</v>
      </c>
      <c r="F2606" s="29">
        <f ca="1">ROUND(49.500,3)</f>
        <v>0</v>
      </c>
      <c r="G2606" s="27">
        <f ca="1">ROUND(E2606*F2606,2)</f>
        <v>0</v>
      </c>
    </row>
    <row r="2607" spans="1:7" ht="15.48" thickBot="1" customHeight="1">
      <c r="A2607" s="30"/>
      <c r="B2607" s="30"/>
      <c r="C2607" s="30"/>
      <c r="D2607" s="31" t="s">
        <v>7854</v>
      </c>
      <c r="E2607" s="30"/>
      <c r="F2607" s="33">
        <f ca="1">ROUND((G2602+G2603+G2604+G2605+G2606)*(1+G2/100),2)</f>
        <v>0</v>
      </c>
      <c r="G2607" s="30"/>
    </row>
    <row r="2608" spans="1:7" ht="30.60" thickBot="1" customHeight="1">
      <c r="A2608" s="34" t="s">
        <v>7855</v>
      </c>
      <c r="B2608" s="35" t="s">
        <v>7856</v>
      </c>
      <c r="C2608" s="35" t="s">
        <v>7857</v>
      </c>
      <c r="D2608" s="36" t="s">
        <v>7858</v>
      </c>
      <c r="E2608" s="37"/>
      <c r="F2608" s="38">
        <f ca="1">F2614</f>
        <v>0</v>
      </c>
      <c r="G2608" s="37"/>
    </row>
    <row r="2609" spans="1:7" ht="21.36" thickBot="1" customHeight="1">
      <c r="A2609" s="26"/>
      <c r="B2609" s="26"/>
      <c r="C2609" s="26"/>
      <c r="D2609" s="25" t="s">
        <v>7859</v>
      </c>
      <c r="E2609" s="25"/>
      <c r="F2609" s="25"/>
      <c r="G2609" s="25"/>
    </row>
    <row r="2610" spans="1:7" ht="21.36" thickBot="1" customHeight="1">
      <c r="A2610" s="24" t="s">
        <v>7860</v>
      </c>
      <c r="B2610" s="24" t="s">
        <v>7861</v>
      </c>
      <c r="C2610" s="24" t="s">
        <v>7862</v>
      </c>
      <c r="D2610" s="25" t="s">
        <v>7863</v>
      </c>
      <c r="E2610" s="28">
        <v>1.00000</v>
      </c>
      <c r="F2610" s="29">
        <f ca="1">ROUND(2.290,3)</f>
        <v>0</v>
      </c>
      <c r="G2610" s="27">
        <f ca="1">ROUND(E2610*F2610,2)</f>
        <v>0</v>
      </c>
    </row>
    <row r="2611" spans="1:7" ht="21.36" thickBot="1" customHeight="1">
      <c r="A2611" s="24" t="s">
        <v>7864</v>
      </c>
      <c r="B2611" s="24" t="s">
        <v>7865</v>
      </c>
      <c r="C2611" s="24" t="s">
        <v>7866</v>
      </c>
      <c r="D2611" s="25" t="s">
        <v>7867</v>
      </c>
      <c r="E2611" s="28">
        <v>0.01000</v>
      </c>
      <c r="F2611" s="29">
        <f ca="1">ROUND(2.440,3)</f>
        <v>0</v>
      </c>
      <c r="G2611" s="27">
        <f ca="1">ROUND(E2611*F2611,2)</f>
        <v>0</v>
      </c>
    </row>
    <row r="2612" spans="1:7" ht="30.60" thickBot="1" customHeight="1">
      <c r="A2612" s="24" t="s">
        <v>7868</v>
      </c>
      <c r="B2612" s="24" t="s">
        <v>7869</v>
      </c>
      <c r="C2612" s="24" t="s">
        <v>7870</v>
      </c>
      <c r="D2612" s="25" t="s">
        <v>7871</v>
      </c>
      <c r="E2612" s="28">
        <v>0.10000</v>
      </c>
      <c r="F2612" s="29">
        <f ca="1">ROUND(0.160,3)</f>
        <v>0</v>
      </c>
      <c r="G2612" s="27">
        <f ca="1">ROUND(E2612*F2612,2)</f>
        <v>0</v>
      </c>
    </row>
    <row r="2613" spans="1:7" ht="24.36" thickBot="1" customHeight="1">
      <c r="A2613" s="24" t="s">
        <v>7872</v>
      </c>
      <c r="B2613" s="24" t="s">
        <v>7873</v>
      </c>
      <c r="C2613" s="24" t="s">
        <v>7874</v>
      </c>
      <c r="D2613" s="25" t="s">
        <v>7875</v>
      </c>
      <c r="E2613" s="28">
        <v>0.02000</v>
      </c>
      <c r="F2613" s="29">
        <f ca="1">ROUND(49.500,3)</f>
        <v>0</v>
      </c>
      <c r="G2613" s="27">
        <f ca="1">ROUND(E2613*F2613,2)</f>
        <v>0</v>
      </c>
    </row>
    <row r="2614" spans="1:7" ht="15.48" thickBot="1" customHeight="1">
      <c r="A2614" s="30"/>
      <c r="B2614" s="30"/>
      <c r="C2614" s="30"/>
      <c r="D2614" s="31" t="s">
        <v>7876</v>
      </c>
      <c r="E2614" s="30"/>
      <c r="F2614" s="33">
        <f ca="1">ROUND((G2610+G2611+G2612+G2613)*(1+G2/100),2)</f>
        <v>0</v>
      </c>
      <c r="G2614" s="30"/>
    </row>
    <row r="2615" spans="1:7" ht="21.36" thickBot="1" customHeight="1">
      <c r="A2615" s="34" t="s">
        <v>7877</v>
      </c>
      <c r="B2615" s="35" t="s">
        <v>7878</v>
      </c>
      <c r="C2615" s="35" t="s">
        <v>7879</v>
      </c>
      <c r="D2615" s="36" t="s">
        <v>7880</v>
      </c>
      <c r="E2615" s="37"/>
      <c r="F2615" s="38">
        <f ca="1">F2619</f>
        <v>0</v>
      </c>
      <c r="G2615" s="37"/>
    </row>
    <row r="2616" spans="1:7" ht="21.36" thickBot="1" customHeight="1">
      <c r="A2616" s="26"/>
      <c r="B2616" s="26"/>
      <c r="C2616" s="26"/>
      <c r="D2616" s="25" t="s">
        <v>7881</v>
      </c>
      <c r="E2616" s="25"/>
      <c r="F2616" s="25"/>
      <c r="G2616" s="25"/>
    </row>
    <row r="2617" spans="1:7" ht="24.36" thickBot="1" customHeight="1">
      <c r="A2617" s="24" t="s">
        <v>7882</v>
      </c>
      <c r="B2617" s="24" t="s">
        <v>7883</v>
      </c>
      <c r="C2617" s="24" t="s">
        <v>7884</v>
      </c>
      <c r="D2617" s="25" t="s">
        <v>7885</v>
      </c>
      <c r="E2617" s="28">
        <v>0.00000</v>
      </c>
      <c r="F2617" s="29">
        <f ca="1">ROUND(15.000,3)</f>
        <v>0</v>
      </c>
      <c r="G2617" s="27">
        <f ca="1">ROUND(E2617*F2617,2)</f>
        <v>0</v>
      </c>
    </row>
    <row r="2618" spans="1:7" ht="30.60" thickBot="1" customHeight="1">
      <c r="A2618" s="24" t="s">
        <v>7886</v>
      </c>
      <c r="B2618" s="24" t="s">
        <v>7887</v>
      </c>
      <c r="C2618" s="24" t="s">
        <v>7888</v>
      </c>
      <c r="D2618" s="25" t="s">
        <v>7889</v>
      </c>
      <c r="E2618" s="28">
        <v>0.00000</v>
      </c>
      <c r="F2618" s="29">
        <f ca="1">ROUND(1.430,3)</f>
        <v>0</v>
      </c>
      <c r="G2618" s="27">
        <f ca="1">ROUND(E2618*F2618,2)</f>
        <v>0</v>
      </c>
    </row>
    <row r="2619" spans="1:7" ht="15.48" thickBot="1" customHeight="1">
      <c r="A2619" s="30"/>
      <c r="B2619" s="30"/>
      <c r="C2619" s="30"/>
      <c r="D2619" s="31" t="s">
        <v>7890</v>
      </c>
      <c r="E2619" s="30"/>
      <c r="F2619" s="33">
        <f ca="1">ROUND((G2617+G2618)*(1+G2/100),2)</f>
        <v>0</v>
      </c>
      <c r="G2619" s="30"/>
    </row>
    <row r="2620" spans="1:7" ht="15.48" thickBot="1" customHeight="1">
      <c r="A2620" s="39"/>
      <c r="B2620" s="39"/>
      <c r="C2620" s="39"/>
      <c r="D2620" s="55" t="s">
        <v>7891</v>
      </c>
      <c r="E2620" s="56"/>
      <c r="F2620" s="56"/>
      <c r="G2620" s="56"/>
    </row>
    <row r="2621" spans="1:7" ht="15.48" thickBot="1" customHeight="1">
      <c r="A2621" s="57" t="s">
        <v>7892</v>
      </c>
      <c r="B2621" s="57" t="s">
        <v>7893</v>
      </c>
      <c r="C2621" s="58"/>
      <c r="D2621" s="59" t="s">
        <v>7894</v>
      </c>
      <c r="E2621" s="58"/>
      <c r="F2621" s="58"/>
      <c r="G2621" s="58"/>
    </row>
    <row r="2622" spans="1:7" ht="15.48" thickBot="1" customHeight="1">
      <c r="A2622" s="18" t="s">
        <v>7895</v>
      </c>
      <c r="B2622" s="18" t="s">
        <v>7896</v>
      </c>
      <c r="C2622" s="19"/>
      <c r="D2622" s="20" t="s">
        <v>7897</v>
      </c>
      <c r="E2622" s="19"/>
      <c r="F2622" s="19"/>
      <c r="G2622" s="19"/>
    </row>
    <row r="2623" spans="1:7" ht="30.60" thickBot="1" customHeight="1">
      <c r="A2623" s="10" t="s">
        <v>7898</v>
      </c>
      <c r="B2623" s="24" t="s">
        <v>7899</v>
      </c>
      <c r="C2623" s="24" t="s">
        <v>7900</v>
      </c>
      <c r="D2623" s="25" t="s">
        <v>7901</v>
      </c>
      <c r="E2623" s="26"/>
      <c r="F2623" s="27">
        <f ca="1">F2637</f>
        <v>0</v>
      </c>
      <c r="G2623" s="26"/>
    </row>
    <row r="2624" spans="1:7" ht="95.28" thickBot="1" customHeight="1">
      <c r="A2624" s="26"/>
      <c r="B2624" s="26"/>
      <c r="C2624" s="26"/>
      <c r="D2624" s="25" t="s">
        <v>7902</v>
      </c>
      <c r="E2624" s="25"/>
      <c r="F2624" s="25"/>
      <c r="G2624" s="25"/>
    </row>
    <row r="2625" spans="1:7" ht="24.36" thickBot="1" customHeight="1">
      <c r="A2625" s="24" t="s">
        <v>7903</v>
      </c>
      <c r="B2625" s="24" t="s">
        <v>7904</v>
      </c>
      <c r="C2625" s="24" t="s">
        <v>7905</v>
      </c>
      <c r="D2625" s="25" t="s">
        <v>7906</v>
      </c>
      <c r="E2625" s="28">
        <v>0.03500</v>
      </c>
      <c r="F2625" s="29">
        <f ca="1">ROUND(4.630,3)</f>
        <v>0</v>
      </c>
      <c r="G2625" s="27">
        <f ca="1">ROUND(E2625*F2625,2)</f>
        <v>0</v>
      </c>
    </row>
    <row r="2626" spans="1:7" ht="30.60" thickBot="1" customHeight="1">
      <c r="A2626" s="24" t="s">
        <v>7907</v>
      </c>
      <c r="B2626" s="24" t="s">
        <v>7908</v>
      </c>
      <c r="C2626" s="24" t="s">
        <v>7909</v>
      </c>
      <c r="D2626" s="25" t="s">
        <v>7910</v>
      </c>
      <c r="E2626" s="28">
        <v>1.00000</v>
      </c>
      <c r="F2626" s="29">
        <f ca="1">ROUND(17.450,3)</f>
        <v>0</v>
      </c>
      <c r="G2626" s="27">
        <f ca="1">ROUND(E2626*F2626,2)</f>
        <v>0</v>
      </c>
    </row>
    <row r="2627" spans="1:7" ht="30.60" thickBot="1" customHeight="1">
      <c r="A2627" s="24" t="s">
        <v>7911</v>
      </c>
      <c r="B2627" s="24" t="s">
        <v>7912</v>
      </c>
      <c r="C2627" s="24" t="s">
        <v>7913</v>
      </c>
      <c r="D2627" s="25" t="s">
        <v>7914</v>
      </c>
      <c r="E2627" s="28">
        <v>0.02200</v>
      </c>
      <c r="F2627" s="29">
        <f ca="1">ROUND(27.500,3)</f>
        <v>0</v>
      </c>
      <c r="G2627" s="27">
        <f ca="1">ROUND(E2627*F2627,2)</f>
        <v>0</v>
      </c>
    </row>
    <row r="2628" spans="1:7" ht="30.60" thickBot="1" customHeight="1">
      <c r="A2628" s="24" t="s">
        <v>7915</v>
      </c>
      <c r="B2628" s="24" t="s">
        <v>7916</v>
      </c>
      <c r="C2628" s="24" t="s">
        <v>7917</v>
      </c>
      <c r="D2628" s="25" t="s">
        <v>7918</v>
      </c>
      <c r="E2628" s="28">
        <v>0.10000</v>
      </c>
      <c r="F2628" s="29">
        <f ca="1">ROUND(23.460,3)</f>
        <v>0</v>
      </c>
      <c r="G2628" s="27">
        <f ca="1">ROUND(E2628*F2628,2)</f>
        <v>0</v>
      </c>
    </row>
    <row r="2629" spans="1:7" ht="30.60" thickBot="1" customHeight="1">
      <c r="A2629" s="24" t="s">
        <v>7919</v>
      </c>
      <c r="B2629" s="24" t="s">
        <v>7920</v>
      </c>
      <c r="C2629" s="24" t="s">
        <v>7921</v>
      </c>
      <c r="D2629" s="25" t="s">
        <v>7922</v>
      </c>
      <c r="E2629" s="28">
        <v>0.08000</v>
      </c>
      <c r="F2629" s="29">
        <f ca="1">ROUND(21.500,3)</f>
        <v>0</v>
      </c>
      <c r="G2629" s="27">
        <f ca="1">ROUND(E2629*F2629,2)</f>
        <v>0</v>
      </c>
    </row>
    <row r="2630" spans="1:7" ht="30.60" thickBot="1" customHeight="1">
      <c r="A2630" s="24" t="s">
        <v>7923</v>
      </c>
      <c r="B2630" s="24" t="s">
        <v>7924</v>
      </c>
      <c r="C2630" s="24" t="s">
        <v>7925</v>
      </c>
      <c r="D2630" s="25" t="s">
        <v>7926</v>
      </c>
      <c r="E2630" s="28">
        <v>0.05000</v>
      </c>
      <c r="F2630" s="29">
        <f ca="1">ROUND(16.810,3)</f>
        <v>0</v>
      </c>
      <c r="G2630" s="27">
        <f ca="1">ROUND(E2630*F2630,2)</f>
        <v>0</v>
      </c>
    </row>
    <row r="2631" spans="1:7" ht="21.36" thickBot="1" customHeight="1">
      <c r="A2631" s="24" t="s">
        <v>7927</v>
      </c>
      <c r="B2631" s="24" t="s">
        <v>7928</v>
      </c>
      <c r="C2631" s="24" t="s">
        <v>7929</v>
      </c>
      <c r="D2631" s="25" t="s">
        <v>7930</v>
      </c>
      <c r="E2631" s="28">
        <v>0.88800</v>
      </c>
      <c r="F2631" s="29">
        <f ca="1">F2635</f>
        <v>0</v>
      </c>
      <c r="G2631" s="27">
        <f ca="1">ROUND(E2631*F2631,2)</f>
        <v>0</v>
      </c>
    </row>
    <row r="2632" spans="1:7" ht="24.36" thickBot="1" customHeight="1">
      <c r="A2632" s="24" t="s">
        <v>7931</v>
      </c>
      <c r="B2632" s="24" t="s">
        <v>7932</v>
      </c>
      <c r="C2632" s="24" t="s">
        <v>7933</v>
      </c>
      <c r="D2632" s="25" t="s">
        <v>7934</v>
      </c>
      <c r="E2632" s="28">
        <v>1.00000</v>
      </c>
      <c r="F2632" s="29">
        <f ca="1">ROUND(21.000,3)</f>
        <v>0</v>
      </c>
      <c r="G2632" s="27">
        <f ca="1">ROUND(E2632*F2632,2)</f>
        <v>0</v>
      </c>
    </row>
    <row r="2633" spans="1:7" ht="24.36" thickBot="1" customHeight="1">
      <c r="A2633" s="24" t="s">
        <v>7935</v>
      </c>
      <c r="B2633" s="24" t="s">
        <v>7936</v>
      </c>
      <c r="C2633" s="24" t="s">
        <v>7937</v>
      </c>
      <c r="D2633" s="25" t="s">
        <v>7938</v>
      </c>
      <c r="E2633" s="28">
        <v>1.00000</v>
      </c>
      <c r="F2633" s="29">
        <f ca="1">ROUND(19.000,3)</f>
        <v>0</v>
      </c>
      <c r="G2633" s="27">
        <f ca="1">ROUND(E2633*F2633,2)</f>
        <v>0</v>
      </c>
    </row>
    <row r="2634" spans="1:7" ht="24.36" thickBot="1" customHeight="1">
      <c r="A2634" s="24" t="s">
        <v>7939</v>
      </c>
      <c r="B2634" s="24" t="s">
        <v>7940</v>
      </c>
      <c r="C2634" s="24" t="s">
        <v>7941</v>
      </c>
      <c r="D2634" s="25" t="s">
        <v>7942</v>
      </c>
      <c r="E2634" s="28">
        <v>0.20000</v>
      </c>
      <c r="F2634" s="29">
        <f ca="1">ROUND(19.000,3)</f>
        <v>0</v>
      </c>
      <c r="G2634" s="27">
        <f ca="1">ROUND(E2634*F2634,2)</f>
        <v>0</v>
      </c>
    </row>
    <row r="2635" spans="1:7" ht="15.12" thickBot="1" customHeight="1">
      <c r="A2635" s="26"/>
      <c r="B2635" s="26"/>
      <c r="C2635" s="26"/>
      <c r="D2635" s="24" t="s">
        <v>7943</v>
      </c>
      <c r="E2635" s="28">
        <v>0.88800</v>
      </c>
      <c r="F2635" s="29">
        <f ca="1">ROUND((G2632+G2633+G2634),3)</f>
        <v>0</v>
      </c>
      <c r="G2635" s="27">
        <f ca="1">ROUND(E2635*F2635,2)</f>
        <v>0</v>
      </c>
    </row>
    <row r="2636" spans="1:7" ht="15.12" thickBot="1" customHeight="1">
      <c r="A2636" s="24" t="s">
        <v>7944</v>
      </c>
      <c r="B2636" s="24"/>
      <c r="C2636" s="24" t="s">
        <v>7945</v>
      </c>
      <c r="D2636" s="25" t="s">
        <v>7946</v>
      </c>
      <c r="E2636" s="28">
        <v>2.00000</v>
      </c>
      <c r="F2636" s="29">
        <f ca="1">ROUND(38.890,3)</f>
        <v>0</v>
      </c>
      <c r="G2636" s="27">
        <f ca="1">ROUND((E2636*F2636)/100,2)</f>
        <v>0</v>
      </c>
    </row>
    <row r="2637" spans="1:7" ht="15.48" thickBot="1" customHeight="1">
      <c r="A2637" s="30"/>
      <c r="B2637" s="30"/>
      <c r="C2637" s="30"/>
      <c r="D2637" s="31" t="s">
        <v>7947</v>
      </c>
      <c r="E2637" s="30"/>
      <c r="F2637" s="33">
        <f ca="1">ROUND((G2625+G2626+G2627+G2628+G2629+G2630+G2631+G2636)*(1+G2/100),2)</f>
        <v>0</v>
      </c>
      <c r="G2637" s="30"/>
    </row>
    <row r="2638" spans="1:7" ht="39.84" thickBot="1" customHeight="1">
      <c r="A2638" s="34" t="s">
        <v>7948</v>
      </c>
      <c r="B2638" s="35" t="s">
        <v>7949</v>
      </c>
      <c r="C2638" s="35" t="s">
        <v>7950</v>
      </c>
      <c r="D2638" s="36" t="s">
        <v>7951</v>
      </c>
      <c r="E2638" s="37"/>
      <c r="F2638" s="38">
        <f ca="1">F2652</f>
        <v>0</v>
      </c>
      <c r="G2638" s="37"/>
    </row>
    <row r="2639" spans="1:7" ht="95.28" thickBot="1" customHeight="1">
      <c r="A2639" s="26"/>
      <c r="B2639" s="26"/>
      <c r="C2639" s="26"/>
      <c r="D2639" s="25" t="s">
        <v>7952</v>
      </c>
      <c r="E2639" s="25"/>
      <c r="F2639" s="25"/>
      <c r="G2639" s="25"/>
    </row>
    <row r="2640" spans="1:7" ht="24.36" thickBot="1" customHeight="1">
      <c r="A2640" s="24" t="s">
        <v>7953</v>
      </c>
      <c r="B2640" s="24" t="s">
        <v>7954</v>
      </c>
      <c r="C2640" s="24" t="s">
        <v>7955</v>
      </c>
      <c r="D2640" s="25" t="s">
        <v>7956</v>
      </c>
      <c r="E2640" s="28">
        <v>0.03500</v>
      </c>
      <c r="F2640" s="29">
        <f ca="1">ROUND(4.630,3)</f>
        <v>0</v>
      </c>
      <c r="G2640" s="27">
        <f ca="1">ROUND(E2640*F2640,2)</f>
        <v>0</v>
      </c>
    </row>
    <row r="2641" spans="1:7" ht="30.60" thickBot="1" customHeight="1">
      <c r="A2641" s="24" t="s">
        <v>7957</v>
      </c>
      <c r="B2641" s="24" t="s">
        <v>7958</v>
      </c>
      <c r="C2641" s="24" t="s">
        <v>7959</v>
      </c>
      <c r="D2641" s="25" t="s">
        <v>7960</v>
      </c>
      <c r="E2641" s="28">
        <v>1.00000</v>
      </c>
      <c r="F2641" s="29">
        <f ca="1">ROUND(17.450,3)</f>
        <v>0</v>
      </c>
      <c r="G2641" s="27">
        <f ca="1">ROUND(E2641*F2641,2)</f>
        <v>0</v>
      </c>
    </row>
    <row r="2642" spans="1:7" ht="30.60" thickBot="1" customHeight="1">
      <c r="A2642" s="24" t="s">
        <v>7961</v>
      </c>
      <c r="B2642" s="24" t="s">
        <v>7962</v>
      </c>
      <c r="C2642" s="24" t="s">
        <v>7963</v>
      </c>
      <c r="D2642" s="25" t="s">
        <v>7964</v>
      </c>
      <c r="E2642" s="28">
        <v>0.02200</v>
      </c>
      <c r="F2642" s="29">
        <f ca="1">ROUND(27.500,3)</f>
        <v>0</v>
      </c>
      <c r="G2642" s="27">
        <f ca="1">ROUND(E2642*F2642,2)</f>
        <v>0</v>
      </c>
    </row>
    <row r="2643" spans="1:7" ht="30.60" thickBot="1" customHeight="1">
      <c r="A2643" s="24" t="s">
        <v>7965</v>
      </c>
      <c r="B2643" s="24" t="s">
        <v>7966</v>
      </c>
      <c r="C2643" s="24" t="s">
        <v>7967</v>
      </c>
      <c r="D2643" s="25" t="s">
        <v>7968</v>
      </c>
      <c r="E2643" s="28">
        <v>0.10000</v>
      </c>
      <c r="F2643" s="29">
        <f ca="1">ROUND(23.460,3)</f>
        <v>0</v>
      </c>
      <c r="G2643" s="27">
        <f ca="1">ROUND(E2643*F2643,2)</f>
        <v>0</v>
      </c>
    </row>
    <row r="2644" spans="1:7" ht="30.60" thickBot="1" customHeight="1">
      <c r="A2644" s="24" t="s">
        <v>7969</v>
      </c>
      <c r="B2644" s="24" t="s">
        <v>7970</v>
      </c>
      <c r="C2644" s="24" t="s">
        <v>7971</v>
      </c>
      <c r="D2644" s="25" t="s">
        <v>7972</v>
      </c>
      <c r="E2644" s="28">
        <v>0.08000</v>
      </c>
      <c r="F2644" s="29">
        <f ca="1">ROUND(21.500,3)</f>
        <v>0</v>
      </c>
      <c r="G2644" s="27">
        <f ca="1">ROUND(E2644*F2644,2)</f>
        <v>0</v>
      </c>
    </row>
    <row r="2645" spans="1:7" ht="30.60" thickBot="1" customHeight="1">
      <c r="A2645" s="24" t="s">
        <v>7973</v>
      </c>
      <c r="B2645" s="24" t="s">
        <v>7974</v>
      </c>
      <c r="C2645" s="24" t="s">
        <v>7975</v>
      </c>
      <c r="D2645" s="25" t="s">
        <v>7976</v>
      </c>
      <c r="E2645" s="28">
        <v>0.05000</v>
      </c>
      <c r="F2645" s="29">
        <f ca="1">ROUND(16.810,3)</f>
        <v>0</v>
      </c>
      <c r="G2645" s="27">
        <f ca="1">ROUND(E2645*F2645,2)</f>
        <v>0</v>
      </c>
    </row>
    <row r="2646" spans="1:7" ht="24.36" thickBot="1" customHeight="1">
      <c r="A2646" s="24" t="s">
        <v>7977</v>
      </c>
      <c r="B2646" s="24" t="s">
        <v>7978</v>
      </c>
      <c r="C2646" s="24" t="s">
        <v>7979</v>
      </c>
      <c r="D2646" s="25" t="s">
        <v>7980</v>
      </c>
      <c r="E2646" s="28">
        <v>1.40000</v>
      </c>
      <c r="F2646" s="29">
        <f ca="1">F2650</f>
        <v>0</v>
      </c>
      <c r="G2646" s="27">
        <f ca="1">ROUND(E2646*F2646,2)</f>
        <v>0</v>
      </c>
    </row>
    <row r="2647" spans="1:7" ht="24.36" thickBot="1" customHeight="1">
      <c r="A2647" s="24" t="s">
        <v>7981</v>
      </c>
      <c r="B2647" s="24" t="s">
        <v>7982</v>
      </c>
      <c r="C2647" s="24" t="s">
        <v>7983</v>
      </c>
      <c r="D2647" s="25" t="s">
        <v>7984</v>
      </c>
      <c r="E2647" s="28">
        <v>1.00000</v>
      </c>
      <c r="F2647" s="29">
        <f ca="1">ROUND(21.000,3)</f>
        <v>0</v>
      </c>
      <c r="G2647" s="27">
        <f ca="1">ROUND(E2647*F2647,2)</f>
        <v>0</v>
      </c>
    </row>
    <row r="2648" spans="1:7" ht="24.36" thickBot="1" customHeight="1">
      <c r="A2648" s="24" t="s">
        <v>7985</v>
      </c>
      <c r="B2648" s="24" t="s">
        <v>7986</v>
      </c>
      <c r="C2648" s="24" t="s">
        <v>7987</v>
      </c>
      <c r="D2648" s="25" t="s">
        <v>7988</v>
      </c>
      <c r="E2648" s="28">
        <v>1.00000</v>
      </c>
      <c r="F2648" s="29">
        <f ca="1">ROUND(19.000,3)</f>
        <v>0</v>
      </c>
      <c r="G2648" s="27">
        <f ca="1">ROUND(E2648*F2648,2)</f>
        <v>0</v>
      </c>
    </row>
    <row r="2649" spans="1:7" ht="24.36" thickBot="1" customHeight="1">
      <c r="A2649" s="24" t="s">
        <v>7989</v>
      </c>
      <c r="B2649" s="24" t="s">
        <v>7990</v>
      </c>
      <c r="C2649" s="24" t="s">
        <v>7991</v>
      </c>
      <c r="D2649" s="25" t="s">
        <v>7992</v>
      </c>
      <c r="E2649" s="28">
        <v>0.50000</v>
      </c>
      <c r="F2649" s="29">
        <f ca="1">ROUND(19.000,3)</f>
        <v>0</v>
      </c>
      <c r="G2649" s="27">
        <f ca="1">ROUND(E2649*F2649,2)</f>
        <v>0</v>
      </c>
    </row>
    <row r="2650" spans="1:7" ht="15.12" thickBot="1" customHeight="1">
      <c r="A2650" s="26"/>
      <c r="B2650" s="26"/>
      <c r="C2650" s="26"/>
      <c r="D2650" s="24" t="s">
        <v>7993</v>
      </c>
      <c r="E2650" s="28">
        <v>1.40000</v>
      </c>
      <c r="F2650" s="29">
        <f ca="1">ROUND((G2647+G2648+G2649),3)</f>
        <v>0</v>
      </c>
      <c r="G2650" s="27">
        <f ca="1">ROUND(E2650*F2650,2)</f>
        <v>0</v>
      </c>
    </row>
    <row r="2651" spans="1:7" ht="15.12" thickBot="1" customHeight="1">
      <c r="A2651" s="24" t="s">
        <v>7994</v>
      </c>
      <c r="B2651" s="24"/>
      <c r="C2651" s="24" t="s">
        <v>7995</v>
      </c>
      <c r="D2651" s="25" t="s">
        <v>7996</v>
      </c>
      <c r="E2651" s="28">
        <v>2.00000</v>
      </c>
      <c r="F2651" s="29">
        <f ca="1">ROUND(69.300,3)</f>
        <v>0</v>
      </c>
      <c r="G2651" s="27">
        <f ca="1">ROUND((E2651*F2651)/100,2)</f>
        <v>0</v>
      </c>
    </row>
    <row r="2652" spans="1:7" ht="15.48" thickBot="1" customHeight="1">
      <c r="A2652" s="30"/>
      <c r="B2652" s="30"/>
      <c r="C2652" s="30"/>
      <c r="D2652" s="31" t="s">
        <v>7997</v>
      </c>
      <c r="E2652" s="30"/>
      <c r="F2652" s="33">
        <f ca="1">ROUND((G2640+G2641+G2642+G2643+G2644+G2645+G2646+G2651)*(1+G2/100),2)</f>
        <v>0</v>
      </c>
      <c r="G2652" s="30"/>
    </row>
    <row r="2653" spans="1:7" ht="39.84" thickBot="1" customHeight="1">
      <c r="A2653" s="34" t="s">
        <v>7998</v>
      </c>
      <c r="B2653" s="35" t="s">
        <v>7999</v>
      </c>
      <c r="C2653" s="35" t="s">
        <v>8000</v>
      </c>
      <c r="D2653" s="36" t="s">
        <v>8001</v>
      </c>
      <c r="E2653" s="37"/>
      <c r="F2653" s="38">
        <f ca="1">F2667</f>
        <v>0</v>
      </c>
      <c r="G2653" s="37"/>
    </row>
    <row r="2654" spans="1:7" ht="58.32" thickBot="1" customHeight="1">
      <c r="A2654" s="26"/>
      <c r="B2654" s="26"/>
      <c r="C2654" s="26"/>
      <c r="D2654" s="25" t="s">
        <v>8002</v>
      </c>
      <c r="E2654" s="25"/>
      <c r="F2654" s="25"/>
      <c r="G2654" s="25"/>
    </row>
    <row r="2655" spans="1:7" ht="30.60" thickBot="1" customHeight="1">
      <c r="A2655" s="24" t="s">
        <v>8003</v>
      </c>
      <c r="B2655" s="24" t="s">
        <v>8004</v>
      </c>
      <c r="C2655" s="24" t="s">
        <v>8005</v>
      </c>
      <c r="D2655" s="25" t="s">
        <v>8006</v>
      </c>
      <c r="E2655" s="28">
        <v>0.80000</v>
      </c>
      <c r="F2655" s="29">
        <f ca="1">ROUND(28.550,3)</f>
        <v>0</v>
      </c>
      <c r="G2655" s="27">
        <f ca="1">ROUND(E2655*F2655,2)</f>
        <v>0</v>
      </c>
    </row>
    <row r="2656" spans="1:7" ht="30.60" thickBot="1" customHeight="1">
      <c r="A2656" s="24" t="s">
        <v>8007</v>
      </c>
      <c r="B2656" s="24" t="s">
        <v>8008</v>
      </c>
      <c r="C2656" s="24" t="s">
        <v>8009</v>
      </c>
      <c r="D2656" s="25" t="s">
        <v>8010</v>
      </c>
      <c r="E2656" s="28">
        <v>0.02200</v>
      </c>
      <c r="F2656" s="29">
        <f ca="1">ROUND(27.500,3)</f>
        <v>0</v>
      </c>
      <c r="G2656" s="27">
        <f ca="1">ROUND(E2656*F2656,2)</f>
        <v>0</v>
      </c>
    </row>
    <row r="2657" spans="1:7" ht="21.36" thickBot="1" customHeight="1">
      <c r="A2657" s="24" t="s">
        <v>8011</v>
      </c>
      <c r="B2657" s="24" t="s">
        <v>8012</v>
      </c>
      <c r="C2657" s="24" t="s">
        <v>8013</v>
      </c>
      <c r="D2657" s="25" t="s">
        <v>8014</v>
      </c>
      <c r="E2657" s="28">
        <v>1.00000</v>
      </c>
      <c r="F2657" s="29">
        <f ca="1">ROUND(3.540,3)</f>
        <v>0</v>
      </c>
      <c r="G2657" s="27">
        <f ca="1">ROUND(E2657*F2657,2)</f>
        <v>0</v>
      </c>
    </row>
    <row r="2658" spans="1:7" ht="30.60" thickBot="1" customHeight="1">
      <c r="A2658" s="24" t="s">
        <v>8015</v>
      </c>
      <c r="B2658" s="24" t="s">
        <v>8016</v>
      </c>
      <c r="C2658" s="24" t="s">
        <v>8017</v>
      </c>
      <c r="D2658" s="25" t="s">
        <v>8018</v>
      </c>
      <c r="E2658" s="28">
        <v>0.13000</v>
      </c>
      <c r="F2658" s="29">
        <f ca="1">ROUND(23.460,3)</f>
        <v>0</v>
      </c>
      <c r="G2658" s="27">
        <f ca="1">ROUND(E2658*F2658,2)</f>
        <v>0</v>
      </c>
    </row>
    <row r="2659" spans="1:7" ht="30.60" thickBot="1" customHeight="1">
      <c r="A2659" s="24" t="s">
        <v>8019</v>
      </c>
      <c r="B2659" s="24" t="s">
        <v>8020</v>
      </c>
      <c r="C2659" s="24" t="s">
        <v>8021</v>
      </c>
      <c r="D2659" s="25" t="s">
        <v>8022</v>
      </c>
      <c r="E2659" s="28">
        <v>0.08000</v>
      </c>
      <c r="F2659" s="29">
        <f ca="1">ROUND(21.500,3)</f>
        <v>0</v>
      </c>
      <c r="G2659" s="27">
        <f ca="1">ROUND(E2659*F2659,2)</f>
        <v>0</v>
      </c>
    </row>
    <row r="2660" spans="1:7" ht="30.60" thickBot="1" customHeight="1">
      <c r="A2660" s="24" t="s">
        <v>8023</v>
      </c>
      <c r="B2660" s="24" t="s">
        <v>8024</v>
      </c>
      <c r="C2660" s="24" t="s">
        <v>8025</v>
      </c>
      <c r="D2660" s="25" t="s">
        <v>8026</v>
      </c>
      <c r="E2660" s="28">
        <v>0.05000</v>
      </c>
      <c r="F2660" s="29">
        <f ca="1">ROUND(16.810,3)</f>
        <v>0</v>
      </c>
      <c r="G2660" s="27">
        <f ca="1">ROUND(E2660*F2660,2)</f>
        <v>0</v>
      </c>
    </row>
    <row r="2661" spans="1:7" ht="21.36" thickBot="1" customHeight="1">
      <c r="A2661" s="24" t="s">
        <v>8027</v>
      </c>
      <c r="B2661" s="24" t="s">
        <v>8028</v>
      </c>
      <c r="C2661" s="24" t="s">
        <v>8029</v>
      </c>
      <c r="D2661" s="25" t="s">
        <v>8030</v>
      </c>
      <c r="E2661" s="28">
        <v>0.88800</v>
      </c>
      <c r="F2661" s="29">
        <f ca="1">F2665</f>
        <v>0</v>
      </c>
      <c r="G2661" s="27">
        <f ca="1">ROUND(E2661*F2661,2)</f>
        <v>0</v>
      </c>
    </row>
    <row r="2662" spans="1:7" ht="24.36" thickBot="1" customHeight="1">
      <c r="A2662" s="24" t="s">
        <v>8031</v>
      </c>
      <c r="B2662" s="24" t="s">
        <v>8032</v>
      </c>
      <c r="C2662" s="24" t="s">
        <v>8033</v>
      </c>
      <c r="D2662" s="25" t="s">
        <v>8034</v>
      </c>
      <c r="E2662" s="28">
        <v>1.00000</v>
      </c>
      <c r="F2662" s="29">
        <f ca="1">ROUND(21.000,3)</f>
        <v>0</v>
      </c>
      <c r="G2662" s="27">
        <f ca="1">ROUND(E2662*F2662,2)</f>
        <v>0</v>
      </c>
    </row>
    <row r="2663" spans="1:7" ht="24.36" thickBot="1" customHeight="1">
      <c r="A2663" s="24" t="s">
        <v>8035</v>
      </c>
      <c r="B2663" s="24" t="s">
        <v>8036</v>
      </c>
      <c r="C2663" s="24" t="s">
        <v>8037</v>
      </c>
      <c r="D2663" s="25" t="s">
        <v>8038</v>
      </c>
      <c r="E2663" s="28">
        <v>1.00000</v>
      </c>
      <c r="F2663" s="29">
        <f ca="1">ROUND(19.000,3)</f>
        <v>0</v>
      </c>
      <c r="G2663" s="27">
        <f ca="1">ROUND(E2663*F2663,2)</f>
        <v>0</v>
      </c>
    </row>
    <row r="2664" spans="1:7" ht="24.36" thickBot="1" customHeight="1">
      <c r="A2664" s="24" t="s">
        <v>8039</v>
      </c>
      <c r="B2664" s="24" t="s">
        <v>8040</v>
      </c>
      <c r="C2664" s="24" t="s">
        <v>8041</v>
      </c>
      <c r="D2664" s="25" t="s">
        <v>8042</v>
      </c>
      <c r="E2664" s="28">
        <v>0.20000</v>
      </c>
      <c r="F2664" s="29">
        <f ca="1">ROUND(19.000,3)</f>
        <v>0</v>
      </c>
      <c r="G2664" s="27">
        <f ca="1">ROUND(E2664*F2664,2)</f>
        <v>0</v>
      </c>
    </row>
    <row r="2665" spans="1:7" ht="15.12" thickBot="1" customHeight="1">
      <c r="A2665" s="26"/>
      <c r="B2665" s="26"/>
      <c r="C2665" s="26"/>
      <c r="D2665" s="24" t="s">
        <v>8043</v>
      </c>
      <c r="E2665" s="28">
        <v>0.88800</v>
      </c>
      <c r="F2665" s="29">
        <f ca="1">ROUND((G2662+G2663+G2664),3)</f>
        <v>0</v>
      </c>
      <c r="G2665" s="27">
        <f ca="1">ROUND(E2665*F2665,2)</f>
        <v>0</v>
      </c>
    </row>
    <row r="2666" spans="1:7" ht="15.12" thickBot="1" customHeight="1">
      <c r="A2666" s="24" t="s">
        <v>8044</v>
      </c>
      <c r="B2666" s="24"/>
      <c r="C2666" s="24" t="s">
        <v>8045</v>
      </c>
      <c r="D2666" s="25" t="s">
        <v>8046</v>
      </c>
      <c r="E2666" s="28">
        <v>2.00000</v>
      </c>
      <c r="F2666" s="29">
        <f ca="1">ROUND(38.890,3)</f>
        <v>0</v>
      </c>
      <c r="G2666" s="27">
        <f ca="1">ROUND((E2666*F2666)/100,2)</f>
        <v>0</v>
      </c>
    </row>
    <row r="2667" spans="1:7" ht="15.48" thickBot="1" customHeight="1">
      <c r="A2667" s="30"/>
      <c r="B2667" s="30"/>
      <c r="C2667" s="30"/>
      <c r="D2667" s="31" t="s">
        <v>8047</v>
      </c>
      <c r="E2667" s="30"/>
      <c r="F2667" s="33">
        <f ca="1">ROUND((G2655+G2656+G2657+G2658+G2659+G2660+G2661+G2666)*(1+G2/100),2)</f>
        <v>0</v>
      </c>
      <c r="G2667" s="30"/>
    </row>
    <row r="2668" spans="1:7" ht="30.60" thickBot="1" customHeight="1">
      <c r="A2668" s="34" t="s">
        <v>8048</v>
      </c>
      <c r="B2668" s="35" t="s">
        <v>8049</v>
      </c>
      <c r="C2668" s="35" t="s">
        <v>8050</v>
      </c>
      <c r="D2668" s="36" t="s">
        <v>8051</v>
      </c>
      <c r="E2668" s="37"/>
      <c r="F2668" s="38">
        <f ca="1">F2684</f>
        <v>0</v>
      </c>
      <c r="G2668" s="37"/>
    </row>
    <row r="2669" spans="1:7" ht="95.28" thickBot="1" customHeight="1">
      <c r="A2669" s="26"/>
      <c r="B2669" s="26"/>
      <c r="C2669" s="26"/>
      <c r="D2669" s="25" t="s">
        <v>8052</v>
      </c>
      <c r="E2669" s="25"/>
      <c r="F2669" s="25"/>
      <c r="G2669" s="25"/>
    </row>
    <row r="2670" spans="1:7" ht="24.36" thickBot="1" customHeight="1">
      <c r="A2670" s="24" t="s">
        <v>8053</v>
      </c>
      <c r="B2670" s="24" t="s">
        <v>8054</v>
      </c>
      <c r="C2670" s="24" t="s">
        <v>8055</v>
      </c>
      <c r="D2670" s="25" t="s">
        <v>8056</v>
      </c>
      <c r="E2670" s="28">
        <v>0.03500</v>
      </c>
      <c r="F2670" s="29">
        <f ca="1">ROUND(4.630,3)</f>
        <v>0</v>
      </c>
      <c r="G2670" s="27">
        <f ca="1">ROUND(E2670*F2670,2)</f>
        <v>0</v>
      </c>
    </row>
    <row r="2671" spans="1:7" ht="30.60" thickBot="1" customHeight="1">
      <c r="A2671" s="24" t="s">
        <v>8057</v>
      </c>
      <c r="B2671" s="24" t="s">
        <v>8058</v>
      </c>
      <c r="C2671" s="24" t="s">
        <v>8059</v>
      </c>
      <c r="D2671" s="25" t="s">
        <v>8060</v>
      </c>
      <c r="E2671" s="28">
        <v>1.95000</v>
      </c>
      <c r="F2671" s="29">
        <f ca="1">ROUND(17.450,3)</f>
        <v>0</v>
      </c>
      <c r="G2671" s="27">
        <f ca="1">ROUND(E2671*F2671,2)</f>
        <v>0</v>
      </c>
    </row>
    <row r="2672" spans="1:7" ht="30.60" thickBot="1" customHeight="1">
      <c r="A2672" s="24" t="s">
        <v>8061</v>
      </c>
      <c r="B2672" s="24" t="s">
        <v>8062</v>
      </c>
      <c r="C2672" s="24" t="s">
        <v>8063</v>
      </c>
      <c r="D2672" s="25" t="s">
        <v>8064</v>
      </c>
      <c r="E2672" s="28">
        <v>0.02200</v>
      </c>
      <c r="F2672" s="29">
        <f ca="1">ROUND(27.500,3)</f>
        <v>0</v>
      </c>
      <c r="G2672" s="27">
        <f ca="1">ROUND(E2672*F2672,2)</f>
        <v>0</v>
      </c>
    </row>
    <row r="2673" spans="1:7" ht="21.36" thickBot="1" customHeight="1">
      <c r="A2673" s="24" t="s">
        <v>8065</v>
      </c>
      <c r="B2673" s="24" t="s">
        <v>8066</v>
      </c>
      <c r="C2673" s="24" t="s">
        <v>8067</v>
      </c>
      <c r="D2673" s="25" t="s">
        <v>8068</v>
      </c>
      <c r="E2673" s="28">
        <v>1.00000</v>
      </c>
      <c r="F2673" s="29">
        <f ca="1">ROUND(3.540,3)</f>
        <v>0</v>
      </c>
      <c r="G2673" s="27">
        <f ca="1">ROUND(E2673*F2673,2)</f>
        <v>0</v>
      </c>
    </row>
    <row r="2674" spans="1:7" ht="30.60" thickBot="1" customHeight="1">
      <c r="A2674" s="24" t="s">
        <v>8069</v>
      </c>
      <c r="B2674" s="24" t="s">
        <v>8070</v>
      </c>
      <c r="C2674" s="24" t="s">
        <v>8071</v>
      </c>
      <c r="D2674" s="25" t="s">
        <v>8072</v>
      </c>
      <c r="E2674" s="28">
        <v>0.80000</v>
      </c>
      <c r="F2674" s="29">
        <f ca="1">ROUND(12.310,3)</f>
        <v>0</v>
      </c>
      <c r="G2674" s="27">
        <f ca="1">ROUND(E2674*F2674,2)</f>
        <v>0</v>
      </c>
    </row>
    <row r="2675" spans="1:7" ht="30.60" thickBot="1" customHeight="1">
      <c r="A2675" s="24" t="s">
        <v>8073</v>
      </c>
      <c r="B2675" s="24" t="s">
        <v>8074</v>
      </c>
      <c r="C2675" s="24" t="s">
        <v>8075</v>
      </c>
      <c r="D2675" s="25" t="s">
        <v>8076</v>
      </c>
      <c r="E2675" s="28">
        <v>0.14286</v>
      </c>
      <c r="F2675" s="29">
        <f ca="1">ROUND(23.460,3)</f>
        <v>0</v>
      </c>
      <c r="G2675" s="27">
        <f ca="1">ROUND(E2675*F2675,2)</f>
        <v>0</v>
      </c>
    </row>
    <row r="2676" spans="1:7" ht="30.60" thickBot="1" customHeight="1">
      <c r="A2676" s="24" t="s">
        <v>8077</v>
      </c>
      <c r="B2676" s="24" t="s">
        <v>8078</v>
      </c>
      <c r="C2676" s="24" t="s">
        <v>8079</v>
      </c>
      <c r="D2676" s="25" t="s">
        <v>8080</v>
      </c>
      <c r="E2676" s="28">
        <v>0.08000</v>
      </c>
      <c r="F2676" s="29">
        <f ca="1">ROUND(21.500,3)</f>
        <v>0</v>
      </c>
      <c r="G2676" s="27">
        <f ca="1">ROUND(E2676*F2676,2)</f>
        <v>0</v>
      </c>
    </row>
    <row r="2677" spans="1:7" ht="30.60" thickBot="1" customHeight="1">
      <c r="A2677" s="24" t="s">
        <v>8081</v>
      </c>
      <c r="B2677" s="24" t="s">
        <v>8082</v>
      </c>
      <c r="C2677" s="24" t="s">
        <v>8083</v>
      </c>
      <c r="D2677" s="25" t="s">
        <v>8084</v>
      </c>
      <c r="E2677" s="28">
        <v>0.05000</v>
      </c>
      <c r="F2677" s="29">
        <f ca="1">ROUND(16.810,3)</f>
        <v>0</v>
      </c>
      <c r="G2677" s="27">
        <f ca="1">ROUND(E2677*F2677,2)</f>
        <v>0</v>
      </c>
    </row>
    <row r="2678" spans="1:7" ht="21.36" thickBot="1" customHeight="1">
      <c r="A2678" s="24" t="s">
        <v>8085</v>
      </c>
      <c r="B2678" s="24" t="s">
        <v>8086</v>
      </c>
      <c r="C2678" s="24" t="s">
        <v>8087</v>
      </c>
      <c r="D2678" s="25" t="s">
        <v>8088</v>
      </c>
      <c r="E2678" s="28">
        <v>1.30000</v>
      </c>
      <c r="F2678" s="29">
        <f ca="1">F2682</f>
        <v>0</v>
      </c>
      <c r="G2678" s="27">
        <f ca="1">ROUND(E2678*F2678,2)</f>
        <v>0</v>
      </c>
    </row>
    <row r="2679" spans="1:7" ht="24.36" thickBot="1" customHeight="1">
      <c r="A2679" s="24" t="s">
        <v>8089</v>
      </c>
      <c r="B2679" s="24" t="s">
        <v>8090</v>
      </c>
      <c r="C2679" s="24" t="s">
        <v>8091</v>
      </c>
      <c r="D2679" s="25" t="s">
        <v>8092</v>
      </c>
      <c r="E2679" s="28">
        <v>1.00000</v>
      </c>
      <c r="F2679" s="29">
        <f ca="1">ROUND(21.000,3)</f>
        <v>0</v>
      </c>
      <c r="G2679" s="27">
        <f ca="1">ROUND(E2679*F2679,2)</f>
        <v>0</v>
      </c>
    </row>
    <row r="2680" spans="1:7" ht="24.36" thickBot="1" customHeight="1">
      <c r="A2680" s="24" t="s">
        <v>8093</v>
      </c>
      <c r="B2680" s="24" t="s">
        <v>8094</v>
      </c>
      <c r="C2680" s="24" t="s">
        <v>8095</v>
      </c>
      <c r="D2680" s="25" t="s">
        <v>8096</v>
      </c>
      <c r="E2680" s="28">
        <v>1.00000</v>
      </c>
      <c r="F2680" s="29">
        <f ca="1">ROUND(19.000,3)</f>
        <v>0</v>
      </c>
      <c r="G2680" s="27">
        <f ca="1">ROUND(E2680*F2680,2)</f>
        <v>0</v>
      </c>
    </row>
    <row r="2681" spans="1:7" ht="24.36" thickBot="1" customHeight="1">
      <c r="A2681" s="24" t="s">
        <v>8097</v>
      </c>
      <c r="B2681" s="24" t="s">
        <v>8098</v>
      </c>
      <c r="C2681" s="24" t="s">
        <v>8099</v>
      </c>
      <c r="D2681" s="25" t="s">
        <v>8100</v>
      </c>
      <c r="E2681" s="28">
        <v>0.20000</v>
      </c>
      <c r="F2681" s="29">
        <f ca="1">ROUND(19.000,3)</f>
        <v>0</v>
      </c>
      <c r="G2681" s="27">
        <f ca="1">ROUND(E2681*F2681,2)</f>
        <v>0</v>
      </c>
    </row>
    <row r="2682" spans="1:7" ht="15.12" thickBot="1" customHeight="1">
      <c r="A2682" s="26"/>
      <c r="B2682" s="26"/>
      <c r="C2682" s="26"/>
      <c r="D2682" s="24" t="s">
        <v>8101</v>
      </c>
      <c r="E2682" s="28">
        <v>1.30000</v>
      </c>
      <c r="F2682" s="29">
        <f ca="1">ROUND((G2679+G2680+G2681),3)</f>
        <v>0</v>
      </c>
      <c r="G2682" s="27">
        <f ca="1">ROUND(E2682*F2682,2)</f>
        <v>0</v>
      </c>
    </row>
    <row r="2683" spans="1:7" ht="15.12" thickBot="1" customHeight="1">
      <c r="A2683" s="24" t="s">
        <v>8102</v>
      </c>
      <c r="B2683" s="24"/>
      <c r="C2683" s="24" t="s">
        <v>8103</v>
      </c>
      <c r="D2683" s="25" t="s">
        <v>8104</v>
      </c>
      <c r="E2683" s="28">
        <v>2.00000</v>
      </c>
      <c r="F2683" s="29">
        <f ca="1">ROUND(56.940,3)</f>
        <v>0</v>
      </c>
      <c r="G2683" s="27">
        <f ca="1">ROUND((E2683*F2683)/100,2)</f>
        <v>0</v>
      </c>
    </row>
    <row r="2684" spans="1:7" ht="15.48" thickBot="1" customHeight="1">
      <c r="A2684" s="30"/>
      <c r="B2684" s="30"/>
      <c r="C2684" s="30"/>
      <c r="D2684" s="31" t="s">
        <v>8105</v>
      </c>
      <c r="E2684" s="30"/>
      <c r="F2684" s="33">
        <f ca="1">ROUND((G2670+G2671+G2672+G2673+G2674+G2675+G2676+G2677+G2678+G2683)*(1+G2/100),2)</f>
        <v>0</v>
      </c>
      <c r="G2684" s="30"/>
    </row>
    <row r="2685" spans="1:7" ht="39.84" thickBot="1" customHeight="1">
      <c r="A2685" s="34" t="s">
        <v>8106</v>
      </c>
      <c r="B2685" s="35" t="s">
        <v>8107</v>
      </c>
      <c r="C2685" s="35" t="s">
        <v>8108</v>
      </c>
      <c r="D2685" s="36" t="s">
        <v>8109</v>
      </c>
      <c r="E2685" s="37"/>
      <c r="F2685" s="38">
        <f ca="1">F2701</f>
        <v>0</v>
      </c>
      <c r="G2685" s="37"/>
    </row>
    <row r="2686" spans="1:7" ht="95.28" thickBot="1" customHeight="1">
      <c r="A2686" s="26"/>
      <c r="B2686" s="26"/>
      <c r="C2686" s="26"/>
      <c r="D2686" s="25" t="s">
        <v>8110</v>
      </c>
      <c r="E2686" s="25"/>
      <c r="F2686" s="25"/>
      <c r="G2686" s="25"/>
    </row>
    <row r="2687" spans="1:7" ht="24.36" thickBot="1" customHeight="1">
      <c r="A2687" s="24" t="s">
        <v>8111</v>
      </c>
      <c r="B2687" s="24" t="s">
        <v>8112</v>
      </c>
      <c r="C2687" s="24" t="s">
        <v>8113</v>
      </c>
      <c r="D2687" s="25" t="s">
        <v>8114</v>
      </c>
      <c r="E2687" s="28">
        <v>0.03500</v>
      </c>
      <c r="F2687" s="29">
        <f ca="1">ROUND(4.630,3)</f>
        <v>0</v>
      </c>
      <c r="G2687" s="27">
        <f ca="1">ROUND(E2687*F2687,2)</f>
        <v>0</v>
      </c>
    </row>
    <row r="2688" spans="1:7" ht="30.60" thickBot="1" customHeight="1">
      <c r="A2688" s="24" t="s">
        <v>8115</v>
      </c>
      <c r="B2688" s="24" t="s">
        <v>8116</v>
      </c>
      <c r="C2688" s="24" t="s">
        <v>8117</v>
      </c>
      <c r="D2688" s="25" t="s">
        <v>8118</v>
      </c>
      <c r="E2688" s="28">
        <v>1.95000</v>
      </c>
      <c r="F2688" s="29">
        <f ca="1">ROUND(17.450,3)</f>
        <v>0</v>
      </c>
      <c r="G2688" s="27">
        <f ca="1">ROUND(E2688*F2688,2)</f>
        <v>0</v>
      </c>
    </row>
    <row r="2689" spans="1:7" ht="30.60" thickBot="1" customHeight="1">
      <c r="A2689" s="24" t="s">
        <v>8119</v>
      </c>
      <c r="B2689" s="24" t="s">
        <v>8120</v>
      </c>
      <c r="C2689" s="24" t="s">
        <v>8121</v>
      </c>
      <c r="D2689" s="25" t="s">
        <v>8122</v>
      </c>
      <c r="E2689" s="28">
        <v>0.02200</v>
      </c>
      <c r="F2689" s="29">
        <f ca="1">ROUND(27.500,3)</f>
        <v>0</v>
      </c>
      <c r="G2689" s="27">
        <f ca="1">ROUND(E2689*F2689,2)</f>
        <v>0</v>
      </c>
    </row>
    <row r="2690" spans="1:7" ht="21.36" thickBot="1" customHeight="1">
      <c r="A2690" s="24" t="s">
        <v>8123</v>
      </c>
      <c r="B2690" s="24" t="s">
        <v>8124</v>
      </c>
      <c r="C2690" s="24" t="s">
        <v>8125</v>
      </c>
      <c r="D2690" s="25" t="s">
        <v>8126</v>
      </c>
      <c r="E2690" s="28">
        <v>1.00000</v>
      </c>
      <c r="F2690" s="29">
        <f ca="1">ROUND(3.540,3)</f>
        <v>0</v>
      </c>
      <c r="G2690" s="27">
        <f ca="1">ROUND(E2690*F2690,2)</f>
        <v>0</v>
      </c>
    </row>
    <row r="2691" spans="1:7" ht="30.60" thickBot="1" customHeight="1">
      <c r="A2691" s="24" t="s">
        <v>8127</v>
      </c>
      <c r="B2691" s="24" t="s">
        <v>8128</v>
      </c>
      <c r="C2691" s="24" t="s">
        <v>8129</v>
      </c>
      <c r="D2691" s="25" t="s">
        <v>8130</v>
      </c>
      <c r="E2691" s="28">
        <v>0.80000</v>
      </c>
      <c r="F2691" s="29">
        <f ca="1">ROUND(12.310,3)</f>
        <v>0</v>
      </c>
      <c r="G2691" s="27">
        <f ca="1">ROUND(E2691*F2691,2)</f>
        <v>0</v>
      </c>
    </row>
    <row r="2692" spans="1:7" ht="30.60" thickBot="1" customHeight="1">
      <c r="A2692" s="24" t="s">
        <v>8131</v>
      </c>
      <c r="B2692" s="24" t="s">
        <v>8132</v>
      </c>
      <c r="C2692" s="24" t="s">
        <v>8133</v>
      </c>
      <c r="D2692" s="25" t="s">
        <v>8134</v>
      </c>
      <c r="E2692" s="28">
        <v>0.14286</v>
      </c>
      <c r="F2692" s="29">
        <f ca="1">ROUND(23.460,3)</f>
        <v>0</v>
      </c>
      <c r="G2692" s="27">
        <f ca="1">ROUND(E2692*F2692,2)</f>
        <v>0</v>
      </c>
    </row>
    <row r="2693" spans="1:7" ht="30.60" thickBot="1" customHeight="1">
      <c r="A2693" s="24" t="s">
        <v>8135</v>
      </c>
      <c r="B2693" s="24" t="s">
        <v>8136</v>
      </c>
      <c r="C2693" s="24" t="s">
        <v>8137</v>
      </c>
      <c r="D2693" s="25" t="s">
        <v>8138</v>
      </c>
      <c r="E2693" s="28">
        <v>0.08000</v>
      </c>
      <c r="F2693" s="29">
        <f ca="1">ROUND(21.500,3)</f>
        <v>0</v>
      </c>
      <c r="G2693" s="27">
        <f ca="1">ROUND(E2693*F2693,2)</f>
        <v>0</v>
      </c>
    </row>
    <row r="2694" spans="1:7" ht="30.60" thickBot="1" customHeight="1">
      <c r="A2694" s="24" t="s">
        <v>8139</v>
      </c>
      <c r="B2694" s="24" t="s">
        <v>8140</v>
      </c>
      <c r="C2694" s="24" t="s">
        <v>8141</v>
      </c>
      <c r="D2694" s="25" t="s">
        <v>8142</v>
      </c>
      <c r="E2694" s="28">
        <v>0.05000</v>
      </c>
      <c r="F2694" s="29">
        <f ca="1">ROUND(16.810,3)</f>
        <v>0</v>
      </c>
      <c r="G2694" s="27">
        <f ca="1">ROUND(E2694*F2694,2)</f>
        <v>0</v>
      </c>
    </row>
    <row r="2695" spans="1:7" ht="24.36" thickBot="1" customHeight="1">
      <c r="A2695" s="24" t="s">
        <v>8143</v>
      </c>
      <c r="B2695" s="24" t="s">
        <v>8144</v>
      </c>
      <c r="C2695" s="24" t="s">
        <v>8145</v>
      </c>
      <c r="D2695" s="25" t="s">
        <v>8146</v>
      </c>
      <c r="E2695" s="28">
        <v>1.95000</v>
      </c>
      <c r="F2695" s="29">
        <f ca="1">F2699</f>
        <v>0</v>
      </c>
      <c r="G2695" s="27">
        <f ca="1">ROUND(E2695*F2695,2)</f>
        <v>0</v>
      </c>
    </row>
    <row r="2696" spans="1:7" ht="24.36" thickBot="1" customHeight="1">
      <c r="A2696" s="24" t="s">
        <v>8147</v>
      </c>
      <c r="B2696" s="24" t="s">
        <v>8148</v>
      </c>
      <c r="C2696" s="24" t="s">
        <v>8149</v>
      </c>
      <c r="D2696" s="25" t="s">
        <v>8150</v>
      </c>
      <c r="E2696" s="28">
        <v>1.00000</v>
      </c>
      <c r="F2696" s="29">
        <f ca="1">ROUND(21.000,3)</f>
        <v>0</v>
      </c>
      <c r="G2696" s="27">
        <f ca="1">ROUND(E2696*F2696,2)</f>
        <v>0</v>
      </c>
    </row>
    <row r="2697" spans="1:7" ht="24.36" thickBot="1" customHeight="1">
      <c r="A2697" s="24" t="s">
        <v>8151</v>
      </c>
      <c r="B2697" s="24" t="s">
        <v>8152</v>
      </c>
      <c r="C2697" s="24" t="s">
        <v>8153</v>
      </c>
      <c r="D2697" s="25" t="s">
        <v>8154</v>
      </c>
      <c r="E2697" s="28">
        <v>1.00000</v>
      </c>
      <c r="F2697" s="29">
        <f ca="1">ROUND(19.000,3)</f>
        <v>0</v>
      </c>
      <c r="G2697" s="27">
        <f ca="1">ROUND(E2697*F2697,2)</f>
        <v>0</v>
      </c>
    </row>
    <row r="2698" spans="1:7" ht="24.36" thickBot="1" customHeight="1">
      <c r="A2698" s="24" t="s">
        <v>8155</v>
      </c>
      <c r="B2698" s="24" t="s">
        <v>8156</v>
      </c>
      <c r="C2698" s="24" t="s">
        <v>8157</v>
      </c>
      <c r="D2698" s="25" t="s">
        <v>8158</v>
      </c>
      <c r="E2698" s="28">
        <v>0.50000</v>
      </c>
      <c r="F2698" s="29">
        <f ca="1">ROUND(19.000,3)</f>
        <v>0</v>
      </c>
      <c r="G2698" s="27">
        <f ca="1">ROUND(E2698*F2698,2)</f>
        <v>0</v>
      </c>
    </row>
    <row r="2699" spans="1:7" ht="15.12" thickBot="1" customHeight="1">
      <c r="A2699" s="26"/>
      <c r="B2699" s="26"/>
      <c r="C2699" s="26"/>
      <c r="D2699" s="24" t="s">
        <v>8159</v>
      </c>
      <c r="E2699" s="28">
        <v>1.95000</v>
      </c>
      <c r="F2699" s="29">
        <f ca="1">ROUND((G2696+G2697+G2698),3)</f>
        <v>0</v>
      </c>
      <c r="G2699" s="27">
        <f ca="1">ROUND(E2699*F2699,2)</f>
        <v>0</v>
      </c>
    </row>
    <row r="2700" spans="1:7" ht="15.12" thickBot="1" customHeight="1">
      <c r="A2700" s="24" t="s">
        <v>8160</v>
      </c>
      <c r="B2700" s="24"/>
      <c r="C2700" s="24" t="s">
        <v>8161</v>
      </c>
      <c r="D2700" s="25" t="s">
        <v>8162</v>
      </c>
      <c r="E2700" s="28">
        <v>3.00000</v>
      </c>
      <c r="F2700" s="29">
        <f ca="1">ROUND(96.530,3)</f>
        <v>0</v>
      </c>
      <c r="G2700" s="27">
        <f ca="1">ROUND((E2700*F2700)/100,2)</f>
        <v>0</v>
      </c>
    </row>
    <row r="2701" spans="1:7" ht="15.48" thickBot="1" customHeight="1">
      <c r="A2701" s="30"/>
      <c r="B2701" s="30"/>
      <c r="C2701" s="30"/>
      <c r="D2701" s="31" t="s">
        <v>8163</v>
      </c>
      <c r="E2701" s="30"/>
      <c r="F2701" s="33">
        <f ca="1">ROUND((G2687+G2688+G2689+G2690+G2691+G2692+G2693+G2694+G2695+G2700)*(1+G2/100),2)</f>
        <v>0</v>
      </c>
      <c r="G2701" s="30"/>
    </row>
    <row r="2702" spans="1:7" ht="21.36" thickBot="1" customHeight="1">
      <c r="A2702" s="34" t="s">
        <v>8164</v>
      </c>
      <c r="B2702" s="35" t="s">
        <v>8165</v>
      </c>
      <c r="C2702" s="35" t="s">
        <v>8166</v>
      </c>
      <c r="D2702" s="36" t="s">
        <v>8167</v>
      </c>
      <c r="E2702" s="37"/>
      <c r="F2702" s="38">
        <f ca="1">F2711</f>
        <v>0</v>
      </c>
      <c r="G2702" s="37"/>
    </row>
    <row r="2703" spans="1:7" ht="30.60" thickBot="1" customHeight="1">
      <c r="A2703" s="26"/>
      <c r="B2703" s="26"/>
      <c r="C2703" s="26"/>
      <c r="D2703" s="25" t="s">
        <v>8168</v>
      </c>
      <c r="E2703" s="25"/>
      <c r="F2703" s="25"/>
      <c r="G2703" s="25"/>
    </row>
    <row r="2704" spans="1:7" ht="30.60" thickBot="1" customHeight="1">
      <c r="A2704" s="24" t="s">
        <v>8169</v>
      </c>
      <c r="B2704" s="24" t="s">
        <v>8170</v>
      </c>
      <c r="C2704" s="24" t="s">
        <v>8171</v>
      </c>
      <c r="D2704" s="25" t="s">
        <v>8172</v>
      </c>
      <c r="E2704" s="28">
        <v>0.10000</v>
      </c>
      <c r="F2704" s="29">
        <f ca="1">ROUND(3.740,3)</f>
        <v>0</v>
      </c>
      <c r="G2704" s="27">
        <f ca="1">ROUND(E2704*F2704,2)</f>
        <v>0</v>
      </c>
    </row>
    <row r="2705" spans="1:7" ht="21.36" thickBot="1" customHeight="1">
      <c r="A2705" s="24" t="s">
        <v>8173</v>
      </c>
      <c r="B2705" s="24" t="s">
        <v>8174</v>
      </c>
      <c r="C2705" s="24" t="s">
        <v>8175</v>
      </c>
      <c r="D2705" s="25" t="s">
        <v>8176</v>
      </c>
      <c r="E2705" s="28">
        <v>0.33000</v>
      </c>
      <c r="F2705" s="29">
        <f ca="1">F2709</f>
        <v>0</v>
      </c>
      <c r="G2705" s="27">
        <f ca="1">ROUND(E2705*F2705,2)</f>
        <v>0</v>
      </c>
    </row>
    <row r="2706" spans="1:7" ht="24.36" thickBot="1" customHeight="1">
      <c r="A2706" s="24" t="s">
        <v>8177</v>
      </c>
      <c r="B2706" s="24" t="s">
        <v>8178</v>
      </c>
      <c r="C2706" s="24" t="s">
        <v>8179</v>
      </c>
      <c r="D2706" s="25" t="s">
        <v>8180</v>
      </c>
      <c r="E2706" s="28">
        <v>1.00000</v>
      </c>
      <c r="F2706" s="29">
        <f ca="1">ROUND(21.000,3)</f>
        <v>0</v>
      </c>
      <c r="G2706" s="27">
        <f ca="1">ROUND(E2706*F2706,2)</f>
        <v>0</v>
      </c>
    </row>
    <row r="2707" spans="1:7" ht="24.36" thickBot="1" customHeight="1">
      <c r="A2707" s="24" t="s">
        <v>8181</v>
      </c>
      <c r="B2707" s="24" t="s">
        <v>8182</v>
      </c>
      <c r="C2707" s="24" t="s">
        <v>8183</v>
      </c>
      <c r="D2707" s="25" t="s">
        <v>8184</v>
      </c>
      <c r="E2707" s="28">
        <v>1.00000</v>
      </c>
      <c r="F2707" s="29">
        <f ca="1">ROUND(19.000,3)</f>
        <v>0</v>
      </c>
      <c r="G2707" s="27">
        <f ca="1">ROUND(E2707*F2707,2)</f>
        <v>0</v>
      </c>
    </row>
    <row r="2708" spans="1:7" ht="24.36" thickBot="1" customHeight="1">
      <c r="A2708" s="24" t="s">
        <v>8185</v>
      </c>
      <c r="B2708" s="24" t="s">
        <v>8186</v>
      </c>
      <c r="C2708" s="24" t="s">
        <v>8187</v>
      </c>
      <c r="D2708" s="25" t="s">
        <v>8188</v>
      </c>
      <c r="E2708" s="28">
        <v>0.20000</v>
      </c>
      <c r="F2708" s="29">
        <f ca="1">ROUND(19.000,3)</f>
        <v>0</v>
      </c>
      <c r="G2708" s="27">
        <f ca="1">ROUND(E2708*F2708,2)</f>
        <v>0</v>
      </c>
    </row>
    <row r="2709" spans="1:7" ht="15.12" thickBot="1" customHeight="1">
      <c r="A2709" s="26"/>
      <c r="B2709" s="26"/>
      <c r="C2709" s="26"/>
      <c r="D2709" s="24" t="s">
        <v>8189</v>
      </c>
      <c r="E2709" s="28">
        <v>0.33000</v>
      </c>
      <c r="F2709" s="29">
        <f ca="1">ROUND((G2706+G2707+G2708),3)</f>
        <v>0</v>
      </c>
      <c r="G2709" s="27">
        <f ca="1">ROUND(E2709*F2709,2)</f>
        <v>0</v>
      </c>
    </row>
    <row r="2710" spans="1:7" ht="15.12" thickBot="1" customHeight="1">
      <c r="A2710" s="24" t="s">
        <v>8190</v>
      </c>
      <c r="B2710" s="24"/>
      <c r="C2710" s="24" t="s">
        <v>8191</v>
      </c>
      <c r="D2710" s="25" t="s">
        <v>8192</v>
      </c>
      <c r="E2710" s="28">
        <v>2.00000</v>
      </c>
      <c r="F2710" s="29">
        <f ca="1">ROUND(14.450,3)</f>
        <v>0</v>
      </c>
      <c r="G2710" s="27">
        <f ca="1">ROUND((E2710*F2710)/100,2)</f>
        <v>0</v>
      </c>
    </row>
    <row r="2711" spans="1:7" ht="15.48" thickBot="1" customHeight="1">
      <c r="A2711" s="30"/>
      <c r="B2711" s="30"/>
      <c r="C2711" s="30"/>
      <c r="D2711" s="31" t="s">
        <v>8193</v>
      </c>
      <c r="E2711" s="30"/>
      <c r="F2711" s="33">
        <f ca="1">ROUND((G2704+G2705+G2710)*(1+G2/100),2)</f>
        <v>0</v>
      </c>
      <c r="G2711" s="30"/>
    </row>
    <row r="2712" spans="1:7" ht="30.60" thickBot="1" customHeight="1">
      <c r="A2712" s="34" t="s">
        <v>8194</v>
      </c>
      <c r="B2712" s="35" t="s">
        <v>8195</v>
      </c>
      <c r="C2712" s="35" t="s">
        <v>8196</v>
      </c>
      <c r="D2712" s="36" t="s">
        <v>8197</v>
      </c>
      <c r="E2712" s="37"/>
      <c r="F2712" s="38">
        <f ca="1">F2721</f>
        <v>0</v>
      </c>
      <c r="G2712" s="37"/>
    </row>
    <row r="2713" spans="1:7" ht="30.60" thickBot="1" customHeight="1">
      <c r="A2713" s="26"/>
      <c r="B2713" s="26"/>
      <c r="C2713" s="26"/>
      <c r="D2713" s="25" t="s">
        <v>8198</v>
      </c>
      <c r="E2713" s="25"/>
      <c r="F2713" s="25"/>
      <c r="G2713" s="25"/>
    </row>
    <row r="2714" spans="1:7" ht="30.60" thickBot="1" customHeight="1">
      <c r="A2714" s="24" t="s">
        <v>8199</v>
      </c>
      <c r="B2714" s="24" t="s">
        <v>8200</v>
      </c>
      <c r="C2714" s="24" t="s">
        <v>8201</v>
      </c>
      <c r="D2714" s="25" t="s">
        <v>8202</v>
      </c>
      <c r="E2714" s="28">
        <v>0.10000</v>
      </c>
      <c r="F2714" s="29">
        <f ca="1">ROUND(3.740,3)</f>
        <v>0</v>
      </c>
      <c r="G2714" s="27">
        <f ca="1">ROUND(E2714*F2714,2)</f>
        <v>0</v>
      </c>
    </row>
    <row r="2715" spans="1:7" ht="24.36" thickBot="1" customHeight="1">
      <c r="A2715" s="24" t="s">
        <v>8203</v>
      </c>
      <c r="B2715" s="24" t="s">
        <v>8204</v>
      </c>
      <c r="C2715" s="24" t="s">
        <v>8205</v>
      </c>
      <c r="D2715" s="25" t="s">
        <v>8206</v>
      </c>
      <c r="E2715" s="28">
        <v>0.50000</v>
      </c>
      <c r="F2715" s="29">
        <f ca="1">F2719</f>
        <v>0</v>
      </c>
      <c r="G2715" s="27">
        <f ca="1">ROUND(E2715*F2715,2)</f>
        <v>0</v>
      </c>
    </row>
    <row r="2716" spans="1:7" ht="24.36" thickBot="1" customHeight="1">
      <c r="A2716" s="24" t="s">
        <v>8207</v>
      </c>
      <c r="B2716" s="24" t="s">
        <v>8208</v>
      </c>
      <c r="C2716" s="24" t="s">
        <v>8209</v>
      </c>
      <c r="D2716" s="25" t="s">
        <v>8210</v>
      </c>
      <c r="E2716" s="28">
        <v>1.00000</v>
      </c>
      <c r="F2716" s="29">
        <f ca="1">ROUND(21.000,3)</f>
        <v>0</v>
      </c>
      <c r="G2716" s="27">
        <f ca="1">ROUND(E2716*F2716,2)</f>
        <v>0</v>
      </c>
    </row>
    <row r="2717" spans="1:7" ht="24.36" thickBot="1" customHeight="1">
      <c r="A2717" s="24" t="s">
        <v>8211</v>
      </c>
      <c r="B2717" s="24" t="s">
        <v>8212</v>
      </c>
      <c r="C2717" s="24" t="s">
        <v>8213</v>
      </c>
      <c r="D2717" s="25" t="s">
        <v>8214</v>
      </c>
      <c r="E2717" s="28">
        <v>1.00000</v>
      </c>
      <c r="F2717" s="29">
        <f ca="1">ROUND(19.000,3)</f>
        <v>0</v>
      </c>
      <c r="G2717" s="27">
        <f ca="1">ROUND(E2717*F2717,2)</f>
        <v>0</v>
      </c>
    </row>
    <row r="2718" spans="1:7" ht="24.36" thickBot="1" customHeight="1">
      <c r="A2718" s="24" t="s">
        <v>8215</v>
      </c>
      <c r="B2718" s="24" t="s">
        <v>8216</v>
      </c>
      <c r="C2718" s="24" t="s">
        <v>8217</v>
      </c>
      <c r="D2718" s="25" t="s">
        <v>8218</v>
      </c>
      <c r="E2718" s="28">
        <v>0.50000</v>
      </c>
      <c r="F2718" s="29">
        <f ca="1">ROUND(19.000,3)</f>
        <v>0</v>
      </c>
      <c r="G2718" s="27">
        <f ca="1">ROUND(E2718*F2718,2)</f>
        <v>0</v>
      </c>
    </row>
    <row r="2719" spans="1:7" ht="15.12" thickBot="1" customHeight="1">
      <c r="A2719" s="26"/>
      <c r="B2719" s="26"/>
      <c r="C2719" s="26"/>
      <c r="D2719" s="24" t="s">
        <v>8219</v>
      </c>
      <c r="E2719" s="28">
        <v>0.50000</v>
      </c>
      <c r="F2719" s="29">
        <f ca="1">ROUND((G2716+G2717+G2718),3)</f>
        <v>0</v>
      </c>
      <c r="G2719" s="27">
        <f ca="1">ROUND(E2719*F2719,2)</f>
        <v>0</v>
      </c>
    </row>
    <row r="2720" spans="1:7" ht="15.12" thickBot="1" customHeight="1">
      <c r="A2720" s="24" t="s">
        <v>8220</v>
      </c>
      <c r="B2720" s="24"/>
      <c r="C2720" s="24" t="s">
        <v>8221</v>
      </c>
      <c r="D2720" s="25" t="s">
        <v>8222</v>
      </c>
      <c r="E2720" s="28">
        <v>2.00000</v>
      </c>
      <c r="F2720" s="29">
        <f ca="1">ROUND(24.750,3)</f>
        <v>0</v>
      </c>
      <c r="G2720" s="27">
        <f ca="1">ROUND((E2720*F2720)/100,2)</f>
        <v>0</v>
      </c>
    </row>
    <row r="2721" spans="1:7" ht="15.48" thickBot="1" customHeight="1">
      <c r="A2721" s="30"/>
      <c r="B2721" s="30"/>
      <c r="C2721" s="30"/>
      <c r="D2721" s="31" t="s">
        <v>8223</v>
      </c>
      <c r="E2721" s="30"/>
      <c r="F2721" s="33">
        <f ca="1">ROUND((G2714+G2715+G2720)*(1+G2/100),2)</f>
        <v>0</v>
      </c>
      <c r="G2721" s="30"/>
    </row>
    <row r="2722" spans="1:7" ht="21.36" thickBot="1" customHeight="1">
      <c r="A2722" s="34" t="s">
        <v>8224</v>
      </c>
      <c r="B2722" s="35" t="s">
        <v>8225</v>
      </c>
      <c r="C2722" s="35" t="s">
        <v>8226</v>
      </c>
      <c r="D2722" s="36" t="s">
        <v>8227</v>
      </c>
      <c r="E2722" s="37"/>
      <c r="F2722" s="38">
        <f ca="1">F2732</f>
        <v>0</v>
      </c>
      <c r="G2722" s="37"/>
    </row>
    <row r="2723" spans="1:7" ht="39.84" thickBot="1" customHeight="1">
      <c r="A2723" s="26"/>
      <c r="B2723" s="26"/>
      <c r="C2723" s="26"/>
      <c r="D2723" s="25" t="s">
        <v>8228</v>
      </c>
      <c r="E2723" s="25"/>
      <c r="F2723" s="25"/>
      <c r="G2723" s="25"/>
    </row>
    <row r="2724" spans="1:7" ht="30.60" thickBot="1" customHeight="1">
      <c r="A2724" s="24" t="s">
        <v>8229</v>
      </c>
      <c r="B2724" s="24" t="s">
        <v>8230</v>
      </c>
      <c r="C2724" s="24" t="s">
        <v>8231</v>
      </c>
      <c r="D2724" s="25" t="s">
        <v>8232</v>
      </c>
      <c r="E2724" s="28">
        <v>0.01676</v>
      </c>
      <c r="F2724" s="29">
        <f ca="1">ROUND(18.440,3)</f>
        <v>0</v>
      </c>
      <c r="G2724" s="27">
        <f ca="1">ROUND(E2724*F2724,2)</f>
        <v>0</v>
      </c>
    </row>
    <row r="2725" spans="1:7" ht="30.60" thickBot="1" customHeight="1">
      <c r="A2725" s="24" t="s">
        <v>8233</v>
      </c>
      <c r="B2725" s="24" t="s">
        <v>8234</v>
      </c>
      <c r="C2725" s="24" t="s">
        <v>8235</v>
      </c>
      <c r="D2725" s="25" t="s">
        <v>8236</v>
      </c>
      <c r="E2725" s="28">
        <v>0.30000</v>
      </c>
      <c r="F2725" s="29">
        <f ca="1">ROUND(16.810,3)</f>
        <v>0</v>
      </c>
      <c r="G2725" s="27">
        <f ca="1">ROUND(E2725*F2725,2)</f>
        <v>0</v>
      </c>
    </row>
    <row r="2726" spans="1:7" ht="21.36" thickBot="1" customHeight="1">
      <c r="A2726" s="24" t="s">
        <v>8237</v>
      </c>
      <c r="B2726" s="24" t="s">
        <v>8238</v>
      </c>
      <c r="C2726" s="24" t="s">
        <v>8239</v>
      </c>
      <c r="D2726" s="25" t="s">
        <v>8240</v>
      </c>
      <c r="E2726" s="28">
        <v>0.15000</v>
      </c>
      <c r="F2726" s="29">
        <f ca="1">F2730</f>
        <v>0</v>
      </c>
      <c r="G2726" s="27">
        <f ca="1">ROUND(E2726*F2726,2)</f>
        <v>0</v>
      </c>
    </row>
    <row r="2727" spans="1:7" ht="24.36" thickBot="1" customHeight="1">
      <c r="A2727" s="24" t="s">
        <v>8241</v>
      </c>
      <c r="B2727" s="24" t="s">
        <v>8242</v>
      </c>
      <c r="C2727" s="24" t="s">
        <v>8243</v>
      </c>
      <c r="D2727" s="25" t="s">
        <v>8244</v>
      </c>
      <c r="E2727" s="28">
        <v>1.00000</v>
      </c>
      <c r="F2727" s="29">
        <f ca="1">ROUND(21.000,3)</f>
        <v>0</v>
      </c>
      <c r="G2727" s="27">
        <f ca="1">ROUND(E2727*F2727,2)</f>
        <v>0</v>
      </c>
    </row>
    <row r="2728" spans="1:7" ht="24.36" thickBot="1" customHeight="1">
      <c r="A2728" s="24" t="s">
        <v>8245</v>
      </c>
      <c r="B2728" s="24" t="s">
        <v>8246</v>
      </c>
      <c r="C2728" s="24" t="s">
        <v>8247</v>
      </c>
      <c r="D2728" s="25" t="s">
        <v>8248</v>
      </c>
      <c r="E2728" s="28">
        <v>1.00000</v>
      </c>
      <c r="F2728" s="29">
        <f ca="1">ROUND(19.000,3)</f>
        <v>0</v>
      </c>
      <c r="G2728" s="27">
        <f ca="1">ROUND(E2728*F2728,2)</f>
        <v>0</v>
      </c>
    </row>
    <row r="2729" spans="1:7" ht="24.36" thickBot="1" customHeight="1">
      <c r="A2729" s="24" t="s">
        <v>8249</v>
      </c>
      <c r="B2729" s="24" t="s">
        <v>8250</v>
      </c>
      <c r="C2729" s="24" t="s">
        <v>8251</v>
      </c>
      <c r="D2729" s="25" t="s">
        <v>8252</v>
      </c>
      <c r="E2729" s="28">
        <v>0.20000</v>
      </c>
      <c r="F2729" s="29">
        <f ca="1">ROUND(19.000,3)</f>
        <v>0</v>
      </c>
      <c r="G2729" s="27">
        <f ca="1">ROUND(E2729*F2729,2)</f>
        <v>0</v>
      </c>
    </row>
    <row r="2730" spans="1:7" ht="15.12" thickBot="1" customHeight="1">
      <c r="A2730" s="26"/>
      <c r="B2730" s="26"/>
      <c r="C2730" s="26"/>
      <c r="D2730" s="24" t="s">
        <v>8253</v>
      </c>
      <c r="E2730" s="28">
        <v>0.15000</v>
      </c>
      <c r="F2730" s="29">
        <f ca="1">ROUND((G2727+G2728+G2729),3)</f>
        <v>0</v>
      </c>
      <c r="G2730" s="27">
        <f ca="1">ROUND(E2730*F2730,2)</f>
        <v>0</v>
      </c>
    </row>
    <row r="2731" spans="1:7" ht="15.12" thickBot="1" customHeight="1">
      <c r="A2731" s="24" t="s">
        <v>8254</v>
      </c>
      <c r="B2731" s="24"/>
      <c r="C2731" s="24" t="s">
        <v>8255</v>
      </c>
      <c r="D2731" s="25" t="s">
        <v>8256</v>
      </c>
      <c r="E2731" s="28">
        <v>3.00000</v>
      </c>
      <c r="F2731" s="29">
        <f ca="1">ROUND(6.570,3)</f>
        <v>0</v>
      </c>
      <c r="G2731" s="27">
        <f ca="1">ROUND((E2731*F2731)/100,2)</f>
        <v>0</v>
      </c>
    </row>
    <row r="2732" spans="1:7" ht="15.48" thickBot="1" customHeight="1">
      <c r="A2732" s="30"/>
      <c r="B2732" s="30"/>
      <c r="C2732" s="30"/>
      <c r="D2732" s="31" t="s">
        <v>8257</v>
      </c>
      <c r="E2732" s="30"/>
      <c r="F2732" s="33">
        <f ca="1">ROUND((G2724+G2725+G2726+G2731)*(1+G2/100),2)</f>
        <v>0</v>
      </c>
      <c r="G2732" s="30"/>
    </row>
    <row r="2733" spans="1:7" ht="30.60" thickBot="1" customHeight="1">
      <c r="A2733" s="34" t="s">
        <v>8258</v>
      </c>
      <c r="B2733" s="35" t="s">
        <v>8259</v>
      </c>
      <c r="C2733" s="35" t="s">
        <v>8260</v>
      </c>
      <c r="D2733" s="36" t="s">
        <v>8261</v>
      </c>
      <c r="E2733" s="37"/>
      <c r="F2733" s="38">
        <f ca="1">F2743</f>
        <v>0</v>
      </c>
      <c r="G2733" s="37"/>
    </row>
    <row r="2734" spans="1:7" ht="49.08" thickBot="1" customHeight="1">
      <c r="A2734" s="26"/>
      <c r="B2734" s="26"/>
      <c r="C2734" s="26"/>
      <c r="D2734" s="25" t="s">
        <v>8262</v>
      </c>
      <c r="E2734" s="25"/>
      <c r="F2734" s="25"/>
      <c r="G2734" s="25"/>
    </row>
    <row r="2735" spans="1:7" ht="30.60" thickBot="1" customHeight="1">
      <c r="A2735" s="24" t="s">
        <v>8263</v>
      </c>
      <c r="B2735" s="24" t="s">
        <v>8264</v>
      </c>
      <c r="C2735" s="24" t="s">
        <v>8265</v>
      </c>
      <c r="D2735" s="25" t="s">
        <v>8266</v>
      </c>
      <c r="E2735" s="28">
        <v>0.01676</v>
      </c>
      <c r="F2735" s="29">
        <f ca="1">ROUND(18.440,3)</f>
        <v>0</v>
      </c>
      <c r="G2735" s="27">
        <f ca="1">ROUND(E2735*F2735,2)</f>
        <v>0</v>
      </c>
    </row>
    <row r="2736" spans="1:7" ht="30.60" thickBot="1" customHeight="1">
      <c r="A2736" s="24" t="s">
        <v>8267</v>
      </c>
      <c r="B2736" s="24" t="s">
        <v>8268</v>
      </c>
      <c r="C2736" s="24" t="s">
        <v>8269</v>
      </c>
      <c r="D2736" s="25" t="s">
        <v>8270</v>
      </c>
      <c r="E2736" s="28">
        <v>0.30000</v>
      </c>
      <c r="F2736" s="29">
        <f ca="1">ROUND(16.810,3)</f>
        <v>0</v>
      </c>
      <c r="G2736" s="27">
        <f ca="1">ROUND(E2736*F2736,2)</f>
        <v>0</v>
      </c>
    </row>
    <row r="2737" spans="1:7" ht="24.36" thickBot="1" customHeight="1">
      <c r="A2737" s="24" t="s">
        <v>8271</v>
      </c>
      <c r="B2737" s="24" t="s">
        <v>8272</v>
      </c>
      <c r="C2737" s="24" t="s">
        <v>8273</v>
      </c>
      <c r="D2737" s="25" t="s">
        <v>8274</v>
      </c>
      <c r="E2737" s="28">
        <v>0.22500</v>
      </c>
      <c r="F2737" s="29">
        <f ca="1">F2741</f>
        <v>0</v>
      </c>
      <c r="G2737" s="27">
        <f ca="1">ROUND(E2737*F2737,2)</f>
        <v>0</v>
      </c>
    </row>
    <row r="2738" spans="1:7" ht="24.36" thickBot="1" customHeight="1">
      <c r="A2738" s="24" t="s">
        <v>8275</v>
      </c>
      <c r="B2738" s="24" t="s">
        <v>8276</v>
      </c>
      <c r="C2738" s="24" t="s">
        <v>8277</v>
      </c>
      <c r="D2738" s="25" t="s">
        <v>8278</v>
      </c>
      <c r="E2738" s="28">
        <v>1.00000</v>
      </c>
      <c r="F2738" s="29">
        <f ca="1">ROUND(21.000,3)</f>
        <v>0</v>
      </c>
      <c r="G2738" s="27">
        <f ca="1">ROUND(E2738*F2738,2)</f>
        <v>0</v>
      </c>
    </row>
    <row r="2739" spans="1:7" ht="24.36" thickBot="1" customHeight="1">
      <c r="A2739" s="24" t="s">
        <v>8279</v>
      </c>
      <c r="B2739" s="24" t="s">
        <v>8280</v>
      </c>
      <c r="C2739" s="24" t="s">
        <v>8281</v>
      </c>
      <c r="D2739" s="25" t="s">
        <v>8282</v>
      </c>
      <c r="E2739" s="28">
        <v>1.00000</v>
      </c>
      <c r="F2739" s="29">
        <f ca="1">ROUND(19.000,3)</f>
        <v>0</v>
      </c>
      <c r="G2739" s="27">
        <f ca="1">ROUND(E2739*F2739,2)</f>
        <v>0</v>
      </c>
    </row>
    <row r="2740" spans="1:7" ht="24.36" thickBot="1" customHeight="1">
      <c r="A2740" s="24" t="s">
        <v>8283</v>
      </c>
      <c r="B2740" s="24" t="s">
        <v>8284</v>
      </c>
      <c r="C2740" s="24" t="s">
        <v>8285</v>
      </c>
      <c r="D2740" s="25" t="s">
        <v>8286</v>
      </c>
      <c r="E2740" s="28">
        <v>0.50000</v>
      </c>
      <c r="F2740" s="29">
        <f ca="1">ROUND(19.000,3)</f>
        <v>0</v>
      </c>
      <c r="G2740" s="27">
        <f ca="1">ROUND(E2740*F2740,2)</f>
        <v>0</v>
      </c>
    </row>
    <row r="2741" spans="1:7" ht="15.12" thickBot="1" customHeight="1">
      <c r="A2741" s="26"/>
      <c r="B2741" s="26"/>
      <c r="C2741" s="26"/>
      <c r="D2741" s="24" t="s">
        <v>8287</v>
      </c>
      <c r="E2741" s="28">
        <v>0.22500</v>
      </c>
      <c r="F2741" s="29">
        <f ca="1">ROUND((G2738+G2739+G2740),3)</f>
        <v>0</v>
      </c>
      <c r="G2741" s="27">
        <f ca="1">ROUND(E2741*F2741,2)</f>
        <v>0</v>
      </c>
    </row>
    <row r="2742" spans="1:7" ht="15.12" thickBot="1" customHeight="1">
      <c r="A2742" s="24" t="s">
        <v>8288</v>
      </c>
      <c r="B2742" s="24"/>
      <c r="C2742" s="24" t="s">
        <v>8289</v>
      </c>
      <c r="D2742" s="25" t="s">
        <v>8290</v>
      </c>
      <c r="E2742" s="28">
        <v>3.00000</v>
      </c>
      <c r="F2742" s="29">
        <f ca="1">ROUND(11.140,3)</f>
        <v>0</v>
      </c>
      <c r="G2742" s="27">
        <f ca="1">ROUND((E2742*F2742)/100,2)</f>
        <v>0</v>
      </c>
    </row>
    <row r="2743" spans="1:7" ht="15.48" thickBot="1" customHeight="1">
      <c r="A2743" s="30"/>
      <c r="B2743" s="30"/>
      <c r="C2743" s="30"/>
      <c r="D2743" s="31" t="s">
        <v>8291</v>
      </c>
      <c r="E2743" s="30"/>
      <c r="F2743" s="33">
        <f ca="1">ROUND((G2735+G2736+G2737+G2742)*(1+G2/100),2)</f>
        <v>0</v>
      </c>
      <c r="G2743" s="30"/>
    </row>
    <row r="2744" spans="1:7" ht="21.36" thickBot="1" customHeight="1">
      <c r="A2744" s="34" t="s">
        <v>8292</v>
      </c>
      <c r="B2744" s="35" t="s">
        <v>8293</v>
      </c>
      <c r="C2744" s="35" t="s">
        <v>8294</v>
      </c>
      <c r="D2744" s="36" t="s">
        <v>8295</v>
      </c>
      <c r="E2744" s="37"/>
      <c r="F2744" s="38">
        <f ca="1">F2754</f>
        <v>0</v>
      </c>
      <c r="G2744" s="37"/>
    </row>
    <row r="2745" spans="1:7" ht="39.84" thickBot="1" customHeight="1">
      <c r="A2745" s="26"/>
      <c r="B2745" s="26"/>
      <c r="C2745" s="26"/>
      <c r="D2745" s="25" t="s">
        <v>8296</v>
      </c>
      <c r="E2745" s="25"/>
      <c r="F2745" s="25"/>
      <c r="G2745" s="25"/>
    </row>
    <row r="2746" spans="1:7" ht="49.08" thickBot="1" customHeight="1">
      <c r="A2746" s="24" t="s">
        <v>8297</v>
      </c>
      <c r="B2746" s="24" t="s">
        <v>8298</v>
      </c>
      <c r="C2746" s="24" t="s">
        <v>8299</v>
      </c>
      <c r="D2746" s="25" t="s">
        <v>8300</v>
      </c>
      <c r="E2746" s="28">
        <v>0.30000</v>
      </c>
      <c r="F2746" s="29">
        <f ca="1">ROUND(19.250,3)</f>
        <v>0</v>
      </c>
      <c r="G2746" s="27">
        <f ca="1">ROUND(E2746*F2746,2)</f>
        <v>0</v>
      </c>
    </row>
    <row r="2747" spans="1:7" ht="39.84" thickBot="1" customHeight="1">
      <c r="A2747" s="24" t="s">
        <v>8301</v>
      </c>
      <c r="B2747" s="24" t="s">
        <v>8302</v>
      </c>
      <c r="C2747" s="24" t="s">
        <v>8303</v>
      </c>
      <c r="D2747" s="25" t="s">
        <v>8304</v>
      </c>
      <c r="E2747" s="28">
        <v>0.02200</v>
      </c>
      <c r="F2747" s="29">
        <f ca="1">ROUND(71.070,3)</f>
        <v>0</v>
      </c>
      <c r="G2747" s="27">
        <f ca="1">ROUND(E2747*F2747,2)</f>
        <v>0</v>
      </c>
    </row>
    <row r="2748" spans="1:7" ht="21.36" thickBot="1" customHeight="1">
      <c r="A2748" s="24" t="s">
        <v>8305</v>
      </c>
      <c r="B2748" s="24" t="s">
        <v>8306</v>
      </c>
      <c r="C2748" s="24" t="s">
        <v>8307</v>
      </c>
      <c r="D2748" s="25" t="s">
        <v>8308</v>
      </c>
      <c r="E2748" s="28">
        <v>0.15000</v>
      </c>
      <c r="F2748" s="29">
        <f ca="1">F2752</f>
        <v>0</v>
      </c>
      <c r="G2748" s="27">
        <f ca="1">ROUND(E2748*F2748,2)</f>
        <v>0</v>
      </c>
    </row>
    <row r="2749" spans="1:7" ht="24.36" thickBot="1" customHeight="1">
      <c r="A2749" s="24" t="s">
        <v>8309</v>
      </c>
      <c r="B2749" s="24" t="s">
        <v>8310</v>
      </c>
      <c r="C2749" s="24" t="s">
        <v>8311</v>
      </c>
      <c r="D2749" s="25" t="s">
        <v>8312</v>
      </c>
      <c r="E2749" s="28">
        <v>1.00000</v>
      </c>
      <c r="F2749" s="29">
        <f ca="1">ROUND(21.000,3)</f>
        <v>0</v>
      </c>
      <c r="G2749" s="27">
        <f ca="1">ROUND(E2749*F2749,2)</f>
        <v>0</v>
      </c>
    </row>
    <row r="2750" spans="1:7" ht="24.36" thickBot="1" customHeight="1">
      <c r="A2750" s="24" t="s">
        <v>8313</v>
      </c>
      <c r="B2750" s="24" t="s">
        <v>8314</v>
      </c>
      <c r="C2750" s="24" t="s">
        <v>8315</v>
      </c>
      <c r="D2750" s="25" t="s">
        <v>8316</v>
      </c>
      <c r="E2750" s="28">
        <v>1.00000</v>
      </c>
      <c r="F2750" s="29">
        <f ca="1">ROUND(19.000,3)</f>
        <v>0</v>
      </c>
      <c r="G2750" s="27">
        <f ca="1">ROUND(E2750*F2750,2)</f>
        <v>0</v>
      </c>
    </row>
    <row r="2751" spans="1:7" ht="24.36" thickBot="1" customHeight="1">
      <c r="A2751" s="24" t="s">
        <v>8317</v>
      </c>
      <c r="B2751" s="24" t="s">
        <v>8318</v>
      </c>
      <c r="C2751" s="24" t="s">
        <v>8319</v>
      </c>
      <c r="D2751" s="25" t="s">
        <v>8320</v>
      </c>
      <c r="E2751" s="28">
        <v>0.20000</v>
      </c>
      <c r="F2751" s="29">
        <f ca="1">ROUND(19.000,3)</f>
        <v>0</v>
      </c>
      <c r="G2751" s="27">
        <f ca="1">ROUND(E2751*F2751,2)</f>
        <v>0</v>
      </c>
    </row>
    <row r="2752" spans="1:7" ht="15.12" thickBot="1" customHeight="1">
      <c r="A2752" s="26"/>
      <c r="B2752" s="26"/>
      <c r="C2752" s="26"/>
      <c r="D2752" s="24" t="s">
        <v>8321</v>
      </c>
      <c r="E2752" s="28">
        <v>0.15000</v>
      </c>
      <c r="F2752" s="29">
        <f ca="1">ROUND((G2749+G2750+G2751),3)</f>
        <v>0</v>
      </c>
      <c r="G2752" s="27">
        <f ca="1">ROUND(E2752*F2752,2)</f>
        <v>0</v>
      </c>
    </row>
    <row r="2753" spans="1:7" ht="15.12" thickBot="1" customHeight="1">
      <c r="A2753" s="24" t="s">
        <v>8322</v>
      </c>
      <c r="B2753" s="24"/>
      <c r="C2753" s="24" t="s">
        <v>8323</v>
      </c>
      <c r="D2753" s="25" t="s">
        <v>8324</v>
      </c>
      <c r="E2753" s="28">
        <v>3.00000</v>
      </c>
      <c r="F2753" s="29">
        <f ca="1">ROUND(6.570,3)</f>
        <v>0</v>
      </c>
      <c r="G2753" s="27">
        <f ca="1">ROUND((E2753*F2753)/100,2)</f>
        <v>0</v>
      </c>
    </row>
    <row r="2754" spans="1:7" ht="15.48" thickBot="1" customHeight="1">
      <c r="A2754" s="30"/>
      <c r="B2754" s="30"/>
      <c r="C2754" s="30"/>
      <c r="D2754" s="31" t="s">
        <v>8325</v>
      </c>
      <c r="E2754" s="30"/>
      <c r="F2754" s="33">
        <f ca="1">ROUND((G2746+G2747+G2748+G2753)*(1+G2/100),2)</f>
        <v>0</v>
      </c>
      <c r="G2754" s="30"/>
    </row>
    <row r="2755" spans="1:7" ht="30.60" thickBot="1" customHeight="1">
      <c r="A2755" s="34" t="s">
        <v>8326</v>
      </c>
      <c r="B2755" s="35" t="s">
        <v>8327</v>
      </c>
      <c r="C2755" s="35" t="s">
        <v>8328</v>
      </c>
      <c r="D2755" s="36" t="s">
        <v>8329</v>
      </c>
      <c r="E2755" s="37"/>
      <c r="F2755" s="38">
        <f ca="1">F2766</f>
        <v>0</v>
      </c>
      <c r="G2755" s="37"/>
    </row>
    <row r="2756" spans="1:7" ht="21.36" thickBot="1" customHeight="1">
      <c r="A2756" s="26"/>
      <c r="B2756" s="26"/>
      <c r="C2756" s="26"/>
      <c r="D2756" s="25" t="s">
        <v>8330</v>
      </c>
      <c r="E2756" s="25"/>
      <c r="F2756" s="25"/>
      <c r="G2756" s="25"/>
    </row>
    <row r="2757" spans="1:7" ht="39.84" thickBot="1" customHeight="1">
      <c r="A2757" s="24" t="s">
        <v>8331</v>
      </c>
      <c r="B2757" s="24" t="s">
        <v>8332</v>
      </c>
      <c r="C2757" s="24" t="s">
        <v>8333</v>
      </c>
      <c r="D2757" s="25" t="s">
        <v>8334</v>
      </c>
      <c r="E2757" s="28">
        <v>0.01000</v>
      </c>
      <c r="F2757" s="29">
        <f ca="1">ROUND(11.830,3)</f>
        <v>0</v>
      </c>
      <c r="G2757" s="27">
        <f ca="1">ROUND(E2757*F2757,2)</f>
        <v>0</v>
      </c>
    </row>
    <row r="2758" spans="1:7" ht="30.60" thickBot="1" customHeight="1">
      <c r="A2758" s="24" t="s">
        <v>8335</v>
      </c>
      <c r="B2758" s="24" t="s">
        <v>8336</v>
      </c>
      <c r="C2758" s="24" t="s">
        <v>8337</v>
      </c>
      <c r="D2758" s="25" t="s">
        <v>8338</v>
      </c>
      <c r="E2758" s="28">
        <v>0.02792</v>
      </c>
      <c r="F2758" s="29">
        <f ca="1">ROUND(18.440,3)</f>
        <v>0</v>
      </c>
      <c r="G2758" s="27">
        <f ca="1">ROUND(E2758*F2758,2)</f>
        <v>0</v>
      </c>
    </row>
    <row r="2759" spans="1:7" ht="49.08" thickBot="1" customHeight="1">
      <c r="A2759" s="24" t="s">
        <v>8339</v>
      </c>
      <c r="B2759" s="24" t="s">
        <v>8340</v>
      </c>
      <c r="C2759" s="24" t="s">
        <v>8341</v>
      </c>
      <c r="D2759" s="25" t="s">
        <v>8342</v>
      </c>
      <c r="E2759" s="28">
        <v>0.10000</v>
      </c>
      <c r="F2759" s="29">
        <f ca="1">ROUND(45.570,3)</f>
        <v>0</v>
      </c>
      <c r="G2759" s="27">
        <f ca="1">ROUND(E2759*F2759,2)</f>
        <v>0</v>
      </c>
    </row>
    <row r="2760" spans="1:7" ht="21.36" thickBot="1" customHeight="1">
      <c r="A2760" s="24" t="s">
        <v>8343</v>
      </c>
      <c r="B2760" s="24" t="s">
        <v>8344</v>
      </c>
      <c r="C2760" s="24" t="s">
        <v>8345</v>
      </c>
      <c r="D2760" s="25" t="s">
        <v>8346</v>
      </c>
      <c r="E2760" s="28">
        <v>0.15000</v>
      </c>
      <c r="F2760" s="29">
        <f ca="1">F2764</f>
        <v>0</v>
      </c>
      <c r="G2760" s="27">
        <f ca="1">ROUND(E2760*F2760,2)</f>
        <v>0</v>
      </c>
    </row>
    <row r="2761" spans="1:7" ht="24.36" thickBot="1" customHeight="1">
      <c r="A2761" s="24" t="s">
        <v>8347</v>
      </c>
      <c r="B2761" s="24" t="s">
        <v>8348</v>
      </c>
      <c r="C2761" s="24" t="s">
        <v>8349</v>
      </c>
      <c r="D2761" s="25" t="s">
        <v>8350</v>
      </c>
      <c r="E2761" s="28">
        <v>1.00000</v>
      </c>
      <c r="F2761" s="29">
        <f ca="1">ROUND(21.000,3)</f>
        <v>0</v>
      </c>
      <c r="G2761" s="27">
        <f ca="1">ROUND(E2761*F2761,2)</f>
        <v>0</v>
      </c>
    </row>
    <row r="2762" spans="1:7" ht="24.36" thickBot="1" customHeight="1">
      <c r="A2762" s="24" t="s">
        <v>8351</v>
      </c>
      <c r="B2762" s="24" t="s">
        <v>8352</v>
      </c>
      <c r="C2762" s="24" t="s">
        <v>8353</v>
      </c>
      <c r="D2762" s="25" t="s">
        <v>8354</v>
      </c>
      <c r="E2762" s="28">
        <v>1.00000</v>
      </c>
      <c r="F2762" s="29">
        <f ca="1">ROUND(19.000,3)</f>
        <v>0</v>
      </c>
      <c r="G2762" s="27">
        <f ca="1">ROUND(E2762*F2762,2)</f>
        <v>0</v>
      </c>
    </row>
    <row r="2763" spans="1:7" ht="24.36" thickBot="1" customHeight="1">
      <c r="A2763" s="24" t="s">
        <v>8355</v>
      </c>
      <c r="B2763" s="24" t="s">
        <v>8356</v>
      </c>
      <c r="C2763" s="24" t="s">
        <v>8357</v>
      </c>
      <c r="D2763" s="25" t="s">
        <v>8358</v>
      </c>
      <c r="E2763" s="28">
        <v>0.20000</v>
      </c>
      <c r="F2763" s="29">
        <f ca="1">ROUND(19.000,3)</f>
        <v>0</v>
      </c>
      <c r="G2763" s="27">
        <f ca="1">ROUND(E2763*F2763,2)</f>
        <v>0</v>
      </c>
    </row>
    <row r="2764" spans="1:7" ht="15.12" thickBot="1" customHeight="1">
      <c r="A2764" s="26"/>
      <c r="B2764" s="26"/>
      <c r="C2764" s="26"/>
      <c r="D2764" s="24" t="s">
        <v>8359</v>
      </c>
      <c r="E2764" s="28">
        <v>0.15000</v>
      </c>
      <c r="F2764" s="29">
        <f ca="1">ROUND((G2761+G2762+G2763),3)</f>
        <v>0</v>
      </c>
      <c r="G2764" s="27">
        <f ca="1">ROUND(E2764*F2764,2)</f>
        <v>0</v>
      </c>
    </row>
    <row r="2765" spans="1:7" ht="15.12" thickBot="1" customHeight="1">
      <c r="A2765" s="24" t="s">
        <v>8360</v>
      </c>
      <c r="B2765" s="24"/>
      <c r="C2765" s="24" t="s">
        <v>8361</v>
      </c>
      <c r="D2765" s="25" t="s">
        <v>8362</v>
      </c>
      <c r="E2765" s="28">
        <v>3.00000</v>
      </c>
      <c r="F2765" s="29">
        <f ca="1">ROUND(6.570,3)</f>
        <v>0</v>
      </c>
      <c r="G2765" s="27">
        <f ca="1">ROUND((E2765*F2765)/100,2)</f>
        <v>0</v>
      </c>
    </row>
    <row r="2766" spans="1:7" ht="15.48" thickBot="1" customHeight="1">
      <c r="A2766" s="30"/>
      <c r="B2766" s="30"/>
      <c r="C2766" s="30"/>
      <c r="D2766" s="31" t="s">
        <v>8363</v>
      </c>
      <c r="E2766" s="30"/>
      <c r="F2766" s="33">
        <f ca="1">ROUND((G2757+G2758+G2759+G2760+G2765)*(1+G2/100),2)</f>
        <v>0</v>
      </c>
      <c r="G2766" s="30"/>
    </row>
    <row r="2767" spans="1:7" ht="30.60" thickBot="1" customHeight="1">
      <c r="A2767" s="34" t="s">
        <v>8364</v>
      </c>
      <c r="B2767" s="35" t="s">
        <v>8365</v>
      </c>
      <c r="C2767" s="35" t="s">
        <v>8366</v>
      </c>
      <c r="D2767" s="36" t="s">
        <v>8367</v>
      </c>
      <c r="E2767" s="37"/>
      <c r="F2767" s="38">
        <f ca="1">F2776</f>
        <v>0</v>
      </c>
      <c r="G2767" s="37"/>
    </row>
    <row r="2768" spans="1:7" ht="39.84" thickBot="1" customHeight="1">
      <c r="A2768" s="26"/>
      <c r="B2768" s="26"/>
      <c r="C2768" s="26"/>
      <c r="D2768" s="25" t="s">
        <v>8368</v>
      </c>
      <c r="E2768" s="25"/>
      <c r="F2768" s="25"/>
      <c r="G2768" s="25"/>
    </row>
    <row r="2769" spans="1:7" ht="24.36" thickBot="1" customHeight="1">
      <c r="A2769" s="24" t="s">
        <v>8369</v>
      </c>
      <c r="B2769" s="24" t="s">
        <v>8370</v>
      </c>
      <c r="C2769" s="24" t="s">
        <v>8371</v>
      </c>
      <c r="D2769" s="25" t="s">
        <v>8372</v>
      </c>
      <c r="E2769" s="28">
        <v>0.30000</v>
      </c>
      <c r="F2769" s="29">
        <f ca="1">ROUND(29.060,3)</f>
        <v>0</v>
      </c>
      <c r="G2769" s="27">
        <f ca="1">ROUND(E2769*F2769,2)</f>
        <v>0</v>
      </c>
    </row>
    <row r="2770" spans="1:7" ht="21.36" thickBot="1" customHeight="1">
      <c r="A2770" s="24" t="s">
        <v>8373</v>
      </c>
      <c r="B2770" s="24" t="s">
        <v>8374</v>
      </c>
      <c r="C2770" s="24" t="s">
        <v>8375</v>
      </c>
      <c r="D2770" s="25" t="s">
        <v>8376</v>
      </c>
      <c r="E2770" s="28">
        <v>0.15000</v>
      </c>
      <c r="F2770" s="29">
        <f ca="1">F2774</f>
        <v>0</v>
      </c>
      <c r="G2770" s="27">
        <f ca="1">ROUND(E2770*F2770,2)</f>
        <v>0</v>
      </c>
    </row>
    <row r="2771" spans="1:7" ht="24.36" thickBot="1" customHeight="1">
      <c r="A2771" s="24" t="s">
        <v>8377</v>
      </c>
      <c r="B2771" s="24" t="s">
        <v>8378</v>
      </c>
      <c r="C2771" s="24" t="s">
        <v>8379</v>
      </c>
      <c r="D2771" s="25" t="s">
        <v>8380</v>
      </c>
      <c r="E2771" s="28">
        <v>1.00000</v>
      </c>
      <c r="F2771" s="29">
        <f ca="1">ROUND(21.000,3)</f>
        <v>0</v>
      </c>
      <c r="G2771" s="27">
        <f ca="1">ROUND(E2771*F2771,2)</f>
        <v>0</v>
      </c>
    </row>
    <row r="2772" spans="1:7" ht="24.36" thickBot="1" customHeight="1">
      <c r="A2772" s="24" t="s">
        <v>8381</v>
      </c>
      <c r="B2772" s="24" t="s">
        <v>8382</v>
      </c>
      <c r="C2772" s="24" t="s">
        <v>8383</v>
      </c>
      <c r="D2772" s="25" t="s">
        <v>8384</v>
      </c>
      <c r="E2772" s="28">
        <v>1.00000</v>
      </c>
      <c r="F2772" s="29">
        <f ca="1">ROUND(19.000,3)</f>
        <v>0</v>
      </c>
      <c r="G2772" s="27">
        <f ca="1">ROUND(E2772*F2772,2)</f>
        <v>0</v>
      </c>
    </row>
    <row r="2773" spans="1:7" ht="24.36" thickBot="1" customHeight="1">
      <c r="A2773" s="24" t="s">
        <v>8385</v>
      </c>
      <c r="B2773" s="24" t="s">
        <v>8386</v>
      </c>
      <c r="C2773" s="24" t="s">
        <v>8387</v>
      </c>
      <c r="D2773" s="25" t="s">
        <v>8388</v>
      </c>
      <c r="E2773" s="28">
        <v>0.20000</v>
      </c>
      <c r="F2773" s="29">
        <f ca="1">ROUND(19.000,3)</f>
        <v>0</v>
      </c>
      <c r="G2773" s="27">
        <f ca="1">ROUND(E2773*F2773,2)</f>
        <v>0</v>
      </c>
    </row>
    <row r="2774" spans="1:7" ht="15.12" thickBot="1" customHeight="1">
      <c r="A2774" s="26"/>
      <c r="B2774" s="26"/>
      <c r="C2774" s="26"/>
      <c r="D2774" s="24" t="s">
        <v>8389</v>
      </c>
      <c r="E2774" s="28">
        <v>0.15000</v>
      </c>
      <c r="F2774" s="29">
        <f ca="1">ROUND((G2771+G2772+G2773),3)</f>
        <v>0</v>
      </c>
      <c r="G2774" s="27">
        <f ca="1">ROUND(E2774*F2774,2)</f>
        <v>0</v>
      </c>
    </row>
    <row r="2775" spans="1:7" ht="15.12" thickBot="1" customHeight="1">
      <c r="A2775" s="24" t="s">
        <v>8390</v>
      </c>
      <c r="B2775" s="24"/>
      <c r="C2775" s="24" t="s">
        <v>8391</v>
      </c>
      <c r="D2775" s="25" t="s">
        <v>8392</v>
      </c>
      <c r="E2775" s="28">
        <v>3.00000</v>
      </c>
      <c r="F2775" s="29">
        <f ca="1">ROUND(6.570,3)</f>
        <v>0</v>
      </c>
      <c r="G2775" s="27">
        <f ca="1">ROUND((E2775*F2775)/100,2)</f>
        <v>0</v>
      </c>
    </row>
    <row r="2776" spans="1:7" ht="15.48" thickBot="1" customHeight="1">
      <c r="A2776" s="30"/>
      <c r="B2776" s="30"/>
      <c r="C2776" s="30"/>
      <c r="D2776" s="31" t="s">
        <v>8393</v>
      </c>
      <c r="E2776" s="30"/>
      <c r="F2776" s="33">
        <f ca="1">ROUND((G2769+G2770+G2775)*(1+G2/100),2)</f>
        <v>0</v>
      </c>
      <c r="G2776" s="30"/>
    </row>
    <row r="2777" spans="1:7" ht="30.60" thickBot="1" customHeight="1">
      <c r="A2777" s="34" t="s">
        <v>8394</v>
      </c>
      <c r="B2777" s="35" t="s">
        <v>8395</v>
      </c>
      <c r="C2777" s="35" t="s">
        <v>8396</v>
      </c>
      <c r="D2777" s="36" t="s">
        <v>8397</v>
      </c>
      <c r="E2777" s="37"/>
      <c r="F2777" s="38">
        <f ca="1">F2786</f>
        <v>0</v>
      </c>
      <c r="G2777" s="37"/>
    </row>
    <row r="2778" spans="1:7" ht="49.08" thickBot="1" customHeight="1">
      <c r="A2778" s="26"/>
      <c r="B2778" s="26"/>
      <c r="C2778" s="26"/>
      <c r="D2778" s="25" t="s">
        <v>8398</v>
      </c>
      <c r="E2778" s="25"/>
      <c r="F2778" s="25"/>
      <c r="G2778" s="25"/>
    </row>
    <row r="2779" spans="1:7" ht="30.60" thickBot="1" customHeight="1">
      <c r="A2779" s="24" t="s">
        <v>8399</v>
      </c>
      <c r="B2779" s="24" t="s">
        <v>8400</v>
      </c>
      <c r="C2779" s="24" t="s">
        <v>8401</v>
      </c>
      <c r="D2779" s="25" t="s">
        <v>8402</v>
      </c>
      <c r="E2779" s="28">
        <v>1.10000</v>
      </c>
      <c r="F2779" s="29">
        <f ca="1">ROUND(17.450,3)</f>
        <v>0</v>
      </c>
      <c r="G2779" s="27">
        <f ca="1">ROUND(E2779*F2779,2)</f>
        <v>0</v>
      </c>
    </row>
    <row r="2780" spans="1:7" ht="21.36" thickBot="1" customHeight="1">
      <c r="A2780" s="24" t="s">
        <v>8403</v>
      </c>
      <c r="B2780" s="24" t="s">
        <v>8404</v>
      </c>
      <c r="C2780" s="24" t="s">
        <v>8405</v>
      </c>
      <c r="D2780" s="25" t="s">
        <v>8406</v>
      </c>
      <c r="E2780" s="28">
        <v>0.50000</v>
      </c>
      <c r="F2780" s="29">
        <f ca="1">F2784</f>
        <v>0</v>
      </c>
      <c r="G2780" s="27">
        <f ca="1">ROUND(E2780*F2780,2)</f>
        <v>0</v>
      </c>
    </row>
    <row r="2781" spans="1:7" ht="24.36" thickBot="1" customHeight="1">
      <c r="A2781" s="24" t="s">
        <v>8407</v>
      </c>
      <c r="B2781" s="24" t="s">
        <v>8408</v>
      </c>
      <c r="C2781" s="24" t="s">
        <v>8409</v>
      </c>
      <c r="D2781" s="25" t="s">
        <v>8410</v>
      </c>
      <c r="E2781" s="28">
        <v>1.00000</v>
      </c>
      <c r="F2781" s="29">
        <f ca="1">ROUND(21.000,3)</f>
        <v>0</v>
      </c>
      <c r="G2781" s="27">
        <f ca="1">ROUND(E2781*F2781,2)</f>
        <v>0</v>
      </c>
    </row>
    <row r="2782" spans="1:7" ht="24.36" thickBot="1" customHeight="1">
      <c r="A2782" s="24" t="s">
        <v>8411</v>
      </c>
      <c r="B2782" s="24" t="s">
        <v>8412</v>
      </c>
      <c r="C2782" s="24" t="s">
        <v>8413</v>
      </c>
      <c r="D2782" s="25" t="s">
        <v>8414</v>
      </c>
      <c r="E2782" s="28">
        <v>1.00000</v>
      </c>
      <c r="F2782" s="29">
        <f ca="1">ROUND(19.000,3)</f>
        <v>0</v>
      </c>
      <c r="G2782" s="27">
        <f ca="1">ROUND(E2782*F2782,2)</f>
        <v>0</v>
      </c>
    </row>
    <row r="2783" spans="1:7" ht="24.36" thickBot="1" customHeight="1">
      <c r="A2783" s="24" t="s">
        <v>8415</v>
      </c>
      <c r="B2783" s="24" t="s">
        <v>8416</v>
      </c>
      <c r="C2783" s="24" t="s">
        <v>8417</v>
      </c>
      <c r="D2783" s="25" t="s">
        <v>8418</v>
      </c>
      <c r="E2783" s="28">
        <v>0.20000</v>
      </c>
      <c r="F2783" s="29">
        <f ca="1">ROUND(19.000,3)</f>
        <v>0</v>
      </c>
      <c r="G2783" s="27">
        <f ca="1">ROUND(E2783*F2783,2)</f>
        <v>0</v>
      </c>
    </row>
    <row r="2784" spans="1:7" ht="15.12" thickBot="1" customHeight="1">
      <c r="A2784" s="26"/>
      <c r="B2784" s="26"/>
      <c r="C2784" s="26"/>
      <c r="D2784" s="24" t="s">
        <v>8419</v>
      </c>
      <c r="E2784" s="28">
        <v>0.50000</v>
      </c>
      <c r="F2784" s="29">
        <f ca="1">ROUND((G2781+G2782+G2783),3)</f>
        <v>0</v>
      </c>
      <c r="G2784" s="27">
        <f ca="1">ROUND(E2784*F2784,2)</f>
        <v>0</v>
      </c>
    </row>
    <row r="2785" spans="1:7" ht="15.12" thickBot="1" customHeight="1">
      <c r="A2785" s="24" t="s">
        <v>8420</v>
      </c>
      <c r="B2785" s="24"/>
      <c r="C2785" s="24" t="s">
        <v>8421</v>
      </c>
      <c r="D2785" s="25" t="s">
        <v>8422</v>
      </c>
      <c r="E2785" s="28">
        <v>3.00000</v>
      </c>
      <c r="F2785" s="29">
        <f ca="1">ROUND(21.900,3)</f>
        <v>0</v>
      </c>
      <c r="G2785" s="27">
        <f ca="1">ROUND((E2785*F2785)/100,2)</f>
        <v>0</v>
      </c>
    </row>
    <row r="2786" spans="1:7" ht="15.48" thickBot="1" customHeight="1">
      <c r="A2786" s="30"/>
      <c r="B2786" s="30"/>
      <c r="C2786" s="30"/>
      <c r="D2786" s="31" t="s">
        <v>8423</v>
      </c>
      <c r="E2786" s="30"/>
      <c r="F2786" s="33">
        <f ca="1">ROUND((G2779+G2780+G2785)*(1+G2/100),2)</f>
        <v>0</v>
      </c>
      <c r="G2786" s="30"/>
    </row>
    <row r="2787" spans="1:7" ht="30.60" thickBot="1" customHeight="1">
      <c r="A2787" s="34" t="s">
        <v>8424</v>
      </c>
      <c r="B2787" s="35" t="s">
        <v>8425</v>
      </c>
      <c r="C2787" s="35" t="s">
        <v>8426</v>
      </c>
      <c r="D2787" s="36" t="s">
        <v>8427</v>
      </c>
      <c r="E2787" s="37"/>
      <c r="F2787" s="38">
        <f ca="1">F2796</f>
        <v>0</v>
      </c>
      <c r="G2787" s="37"/>
    </row>
    <row r="2788" spans="1:7" ht="39.84" thickBot="1" customHeight="1">
      <c r="A2788" s="26"/>
      <c r="B2788" s="26"/>
      <c r="C2788" s="26"/>
      <c r="D2788" s="25" t="s">
        <v>8428</v>
      </c>
      <c r="E2788" s="25"/>
      <c r="F2788" s="25"/>
      <c r="G2788" s="25"/>
    </row>
    <row r="2789" spans="1:7" ht="30.60" thickBot="1" customHeight="1">
      <c r="A2789" s="24" t="s">
        <v>8429</v>
      </c>
      <c r="B2789" s="24" t="s">
        <v>8430</v>
      </c>
      <c r="C2789" s="24" t="s">
        <v>8431</v>
      </c>
      <c r="D2789" s="25" t="s">
        <v>8432</v>
      </c>
      <c r="E2789" s="28">
        <v>1.10000</v>
      </c>
      <c r="F2789" s="29">
        <f ca="1">ROUND(28.550,3)</f>
        <v>0</v>
      </c>
      <c r="G2789" s="27">
        <f ca="1">ROUND(E2789*F2789,2)</f>
        <v>0</v>
      </c>
    </row>
    <row r="2790" spans="1:7" ht="21.36" thickBot="1" customHeight="1">
      <c r="A2790" s="24" t="s">
        <v>8433</v>
      </c>
      <c r="B2790" s="24" t="s">
        <v>8434</v>
      </c>
      <c r="C2790" s="24" t="s">
        <v>8435</v>
      </c>
      <c r="D2790" s="25" t="s">
        <v>8436</v>
      </c>
      <c r="E2790" s="28">
        <v>0.50000</v>
      </c>
      <c r="F2790" s="29">
        <f ca="1">F2794</f>
        <v>0</v>
      </c>
      <c r="G2790" s="27">
        <f ca="1">ROUND(E2790*F2790,2)</f>
        <v>0</v>
      </c>
    </row>
    <row r="2791" spans="1:7" ht="24.36" thickBot="1" customHeight="1">
      <c r="A2791" s="24" t="s">
        <v>8437</v>
      </c>
      <c r="B2791" s="24" t="s">
        <v>8438</v>
      </c>
      <c r="C2791" s="24" t="s">
        <v>8439</v>
      </c>
      <c r="D2791" s="25" t="s">
        <v>8440</v>
      </c>
      <c r="E2791" s="28">
        <v>1.00000</v>
      </c>
      <c r="F2791" s="29">
        <f ca="1">ROUND(21.000,3)</f>
        <v>0</v>
      </c>
      <c r="G2791" s="27">
        <f ca="1">ROUND(E2791*F2791,2)</f>
        <v>0</v>
      </c>
    </row>
    <row r="2792" spans="1:7" ht="24.36" thickBot="1" customHeight="1">
      <c r="A2792" s="24" t="s">
        <v>8441</v>
      </c>
      <c r="B2792" s="24" t="s">
        <v>8442</v>
      </c>
      <c r="C2792" s="24" t="s">
        <v>8443</v>
      </c>
      <c r="D2792" s="25" t="s">
        <v>8444</v>
      </c>
      <c r="E2792" s="28">
        <v>1.00000</v>
      </c>
      <c r="F2792" s="29">
        <f ca="1">ROUND(19.000,3)</f>
        <v>0</v>
      </c>
      <c r="G2792" s="27">
        <f ca="1">ROUND(E2792*F2792,2)</f>
        <v>0</v>
      </c>
    </row>
    <row r="2793" spans="1:7" ht="24.36" thickBot="1" customHeight="1">
      <c r="A2793" s="24" t="s">
        <v>8445</v>
      </c>
      <c r="B2793" s="24" t="s">
        <v>8446</v>
      </c>
      <c r="C2793" s="24" t="s">
        <v>8447</v>
      </c>
      <c r="D2793" s="25" t="s">
        <v>8448</v>
      </c>
      <c r="E2793" s="28">
        <v>0.20000</v>
      </c>
      <c r="F2793" s="29">
        <f ca="1">ROUND(19.000,3)</f>
        <v>0</v>
      </c>
      <c r="G2793" s="27">
        <f ca="1">ROUND(E2793*F2793,2)</f>
        <v>0</v>
      </c>
    </row>
    <row r="2794" spans="1:7" ht="15.12" thickBot="1" customHeight="1">
      <c r="A2794" s="26"/>
      <c r="B2794" s="26"/>
      <c r="C2794" s="26"/>
      <c r="D2794" s="24" t="s">
        <v>8449</v>
      </c>
      <c r="E2794" s="28">
        <v>0.50000</v>
      </c>
      <c r="F2794" s="29">
        <f ca="1">ROUND((G2791+G2792+G2793),3)</f>
        <v>0</v>
      </c>
      <c r="G2794" s="27">
        <f ca="1">ROUND(E2794*F2794,2)</f>
        <v>0</v>
      </c>
    </row>
    <row r="2795" spans="1:7" ht="15.12" thickBot="1" customHeight="1">
      <c r="A2795" s="24" t="s">
        <v>8450</v>
      </c>
      <c r="B2795" s="24"/>
      <c r="C2795" s="24" t="s">
        <v>8451</v>
      </c>
      <c r="D2795" s="25" t="s">
        <v>8452</v>
      </c>
      <c r="E2795" s="28">
        <v>3.00000</v>
      </c>
      <c r="F2795" s="29">
        <f ca="1">ROUND(21.900,3)</f>
        <v>0</v>
      </c>
      <c r="G2795" s="27">
        <f ca="1">ROUND((E2795*F2795)/100,2)</f>
        <v>0</v>
      </c>
    </row>
    <row r="2796" spans="1:7" ht="15.48" thickBot="1" customHeight="1">
      <c r="A2796" s="30"/>
      <c r="B2796" s="30"/>
      <c r="C2796" s="30"/>
      <c r="D2796" s="31" t="s">
        <v>8453</v>
      </c>
      <c r="E2796" s="30"/>
      <c r="F2796" s="33">
        <f ca="1">ROUND((G2789+G2790+G2795)*(1+G2/100),2)</f>
        <v>0</v>
      </c>
      <c r="G2796" s="30"/>
    </row>
    <row r="2797" spans="1:7" ht="30.60" thickBot="1" customHeight="1">
      <c r="A2797" s="34" t="s">
        <v>8454</v>
      </c>
      <c r="B2797" s="35" t="s">
        <v>8455</v>
      </c>
      <c r="C2797" s="35" t="s">
        <v>8456</v>
      </c>
      <c r="D2797" s="36" t="s">
        <v>8457</v>
      </c>
      <c r="E2797" s="37"/>
      <c r="F2797" s="38">
        <f ca="1">F2806</f>
        <v>0</v>
      </c>
      <c r="G2797" s="37"/>
    </row>
    <row r="2798" spans="1:7" ht="49.08" thickBot="1" customHeight="1">
      <c r="A2798" s="26"/>
      <c r="B2798" s="26"/>
      <c r="C2798" s="26"/>
      <c r="D2798" s="25" t="s">
        <v>8458</v>
      </c>
      <c r="E2798" s="25"/>
      <c r="F2798" s="25"/>
      <c r="G2798" s="25"/>
    </row>
    <row r="2799" spans="1:7" ht="30.60" thickBot="1" customHeight="1">
      <c r="A2799" s="24" t="s">
        <v>8459</v>
      </c>
      <c r="B2799" s="24" t="s">
        <v>8460</v>
      </c>
      <c r="C2799" s="24" t="s">
        <v>8461</v>
      </c>
      <c r="D2799" s="25" t="s">
        <v>8462</v>
      </c>
      <c r="E2799" s="28">
        <v>1.10000</v>
      </c>
      <c r="F2799" s="29">
        <f ca="1">ROUND(31.350,3)</f>
        <v>0</v>
      </c>
      <c r="G2799" s="27">
        <f ca="1">ROUND(E2799*F2799,2)</f>
        <v>0</v>
      </c>
    </row>
    <row r="2800" spans="1:7" ht="21.36" thickBot="1" customHeight="1">
      <c r="A2800" s="24" t="s">
        <v>8463</v>
      </c>
      <c r="B2800" s="24" t="s">
        <v>8464</v>
      </c>
      <c r="C2800" s="24" t="s">
        <v>8465</v>
      </c>
      <c r="D2800" s="25" t="s">
        <v>8466</v>
      </c>
      <c r="E2800" s="28">
        <v>0.50000</v>
      </c>
      <c r="F2800" s="29">
        <f ca="1">F2804</f>
        <v>0</v>
      </c>
      <c r="G2800" s="27">
        <f ca="1">ROUND(E2800*F2800,2)</f>
        <v>0</v>
      </c>
    </row>
    <row r="2801" spans="1:7" ht="24.36" thickBot="1" customHeight="1">
      <c r="A2801" s="24" t="s">
        <v>8467</v>
      </c>
      <c r="B2801" s="24" t="s">
        <v>8468</v>
      </c>
      <c r="C2801" s="24" t="s">
        <v>8469</v>
      </c>
      <c r="D2801" s="25" t="s">
        <v>8470</v>
      </c>
      <c r="E2801" s="28">
        <v>1.00000</v>
      </c>
      <c r="F2801" s="29">
        <f ca="1">ROUND(21.000,3)</f>
        <v>0</v>
      </c>
      <c r="G2801" s="27">
        <f ca="1">ROUND(E2801*F2801,2)</f>
        <v>0</v>
      </c>
    </row>
    <row r="2802" spans="1:7" ht="24.36" thickBot="1" customHeight="1">
      <c r="A2802" s="24" t="s">
        <v>8471</v>
      </c>
      <c r="B2802" s="24" t="s">
        <v>8472</v>
      </c>
      <c r="C2802" s="24" t="s">
        <v>8473</v>
      </c>
      <c r="D2802" s="25" t="s">
        <v>8474</v>
      </c>
      <c r="E2802" s="28">
        <v>1.00000</v>
      </c>
      <c r="F2802" s="29">
        <f ca="1">ROUND(19.000,3)</f>
        <v>0</v>
      </c>
      <c r="G2802" s="27">
        <f ca="1">ROUND(E2802*F2802,2)</f>
        <v>0</v>
      </c>
    </row>
    <row r="2803" spans="1:7" ht="24.36" thickBot="1" customHeight="1">
      <c r="A2803" s="24" t="s">
        <v>8475</v>
      </c>
      <c r="B2803" s="24" t="s">
        <v>8476</v>
      </c>
      <c r="C2803" s="24" t="s">
        <v>8477</v>
      </c>
      <c r="D2803" s="25" t="s">
        <v>8478</v>
      </c>
      <c r="E2803" s="28">
        <v>0.20000</v>
      </c>
      <c r="F2803" s="29">
        <f ca="1">ROUND(19.000,3)</f>
        <v>0</v>
      </c>
      <c r="G2803" s="27">
        <f ca="1">ROUND(E2803*F2803,2)</f>
        <v>0</v>
      </c>
    </row>
    <row r="2804" spans="1:7" ht="15.12" thickBot="1" customHeight="1">
      <c r="A2804" s="26"/>
      <c r="B2804" s="26"/>
      <c r="C2804" s="26"/>
      <c r="D2804" s="24" t="s">
        <v>8479</v>
      </c>
      <c r="E2804" s="28">
        <v>0.50000</v>
      </c>
      <c r="F2804" s="29">
        <f ca="1">ROUND((G2801+G2802+G2803),3)</f>
        <v>0</v>
      </c>
      <c r="G2804" s="27">
        <f ca="1">ROUND(E2804*F2804,2)</f>
        <v>0</v>
      </c>
    </row>
    <row r="2805" spans="1:7" ht="15.12" thickBot="1" customHeight="1">
      <c r="A2805" s="24" t="s">
        <v>8480</v>
      </c>
      <c r="B2805" s="24"/>
      <c r="C2805" s="24" t="s">
        <v>8481</v>
      </c>
      <c r="D2805" s="25" t="s">
        <v>8482</v>
      </c>
      <c r="E2805" s="28">
        <v>3.00000</v>
      </c>
      <c r="F2805" s="29">
        <f ca="1">ROUND(21.900,3)</f>
        <v>0</v>
      </c>
      <c r="G2805" s="27">
        <f ca="1">ROUND((E2805*F2805)/100,2)</f>
        <v>0</v>
      </c>
    </row>
    <row r="2806" spans="1:7" ht="15.48" thickBot="1" customHeight="1">
      <c r="A2806" s="30"/>
      <c r="B2806" s="30"/>
      <c r="C2806" s="30"/>
      <c r="D2806" s="31" t="s">
        <v>8483</v>
      </c>
      <c r="E2806" s="30"/>
      <c r="F2806" s="33">
        <f ca="1">ROUND((G2799+G2800+G2805)*(1+G2/100),2)</f>
        <v>0</v>
      </c>
      <c r="G2806" s="30"/>
    </row>
    <row r="2807" spans="1:7" ht="30.60" thickBot="1" customHeight="1">
      <c r="A2807" s="34" t="s">
        <v>8484</v>
      </c>
      <c r="B2807" s="35" t="s">
        <v>8485</v>
      </c>
      <c r="C2807" s="35" t="s">
        <v>8486</v>
      </c>
      <c r="D2807" s="36" t="s">
        <v>8487</v>
      </c>
      <c r="E2807" s="37"/>
      <c r="F2807" s="38">
        <f ca="1">F2817</f>
        <v>0</v>
      </c>
      <c r="G2807" s="37"/>
    </row>
    <row r="2808" spans="1:7" ht="49.08" thickBot="1" customHeight="1">
      <c r="A2808" s="26"/>
      <c r="B2808" s="26"/>
      <c r="C2808" s="26"/>
      <c r="D2808" s="25" t="s">
        <v>8488</v>
      </c>
      <c r="E2808" s="25"/>
      <c r="F2808" s="25"/>
      <c r="G2808" s="25"/>
    </row>
    <row r="2809" spans="1:7" ht="49.08" thickBot="1" customHeight="1">
      <c r="A2809" s="24" t="s">
        <v>8489</v>
      </c>
      <c r="B2809" s="24" t="s">
        <v>8490</v>
      </c>
      <c r="C2809" s="24" t="s">
        <v>8491</v>
      </c>
      <c r="D2809" s="25" t="s">
        <v>8492</v>
      </c>
      <c r="E2809" s="28">
        <v>1.32000</v>
      </c>
      <c r="F2809" s="29">
        <f ca="1">ROUND(46.780,3)</f>
        <v>0</v>
      </c>
      <c r="G2809" s="27">
        <f ca="1">ROUND(E2809*F2809,2)</f>
        <v>0</v>
      </c>
    </row>
    <row r="2810" spans="1:7" ht="30.60" thickBot="1" customHeight="1">
      <c r="A2810" s="24" t="s">
        <v>8493</v>
      </c>
      <c r="B2810" s="24" t="s">
        <v>8494</v>
      </c>
      <c r="C2810" s="24" t="s">
        <v>8495</v>
      </c>
      <c r="D2810" s="25" t="s">
        <v>8496</v>
      </c>
      <c r="E2810" s="28">
        <v>0.02200</v>
      </c>
      <c r="F2810" s="29">
        <f ca="1">ROUND(27.500,3)</f>
        <v>0</v>
      </c>
      <c r="G2810" s="27">
        <f ca="1">ROUND(E2810*F2810,2)</f>
        <v>0</v>
      </c>
    </row>
    <row r="2811" spans="1:7" ht="21.36" thickBot="1" customHeight="1">
      <c r="A2811" s="24" t="s">
        <v>8497</v>
      </c>
      <c r="B2811" s="24" t="s">
        <v>8498</v>
      </c>
      <c r="C2811" s="24" t="s">
        <v>8499</v>
      </c>
      <c r="D2811" s="25" t="s">
        <v>8500</v>
      </c>
      <c r="E2811" s="28">
        <v>0.50000</v>
      </c>
      <c r="F2811" s="29">
        <f ca="1">F2815</f>
        <v>0</v>
      </c>
      <c r="G2811" s="27">
        <f ca="1">ROUND(E2811*F2811,2)</f>
        <v>0</v>
      </c>
    </row>
    <row r="2812" spans="1:7" ht="24.36" thickBot="1" customHeight="1">
      <c r="A2812" s="24" t="s">
        <v>8501</v>
      </c>
      <c r="B2812" s="24" t="s">
        <v>8502</v>
      </c>
      <c r="C2812" s="24" t="s">
        <v>8503</v>
      </c>
      <c r="D2812" s="25" t="s">
        <v>8504</v>
      </c>
      <c r="E2812" s="28">
        <v>1.00000</v>
      </c>
      <c r="F2812" s="29">
        <f ca="1">ROUND(21.000,3)</f>
        <v>0</v>
      </c>
      <c r="G2812" s="27">
        <f ca="1">ROUND(E2812*F2812,2)</f>
        <v>0</v>
      </c>
    </row>
    <row r="2813" spans="1:7" ht="24.36" thickBot="1" customHeight="1">
      <c r="A2813" s="24" t="s">
        <v>8505</v>
      </c>
      <c r="B2813" s="24" t="s">
        <v>8506</v>
      </c>
      <c r="C2813" s="24" t="s">
        <v>8507</v>
      </c>
      <c r="D2813" s="25" t="s">
        <v>8508</v>
      </c>
      <c r="E2813" s="28">
        <v>1.00000</v>
      </c>
      <c r="F2813" s="29">
        <f ca="1">ROUND(19.000,3)</f>
        <v>0</v>
      </c>
      <c r="G2813" s="27">
        <f ca="1">ROUND(E2813*F2813,2)</f>
        <v>0</v>
      </c>
    </row>
    <row r="2814" spans="1:7" ht="24.36" thickBot="1" customHeight="1">
      <c r="A2814" s="24" t="s">
        <v>8509</v>
      </c>
      <c r="B2814" s="24" t="s">
        <v>8510</v>
      </c>
      <c r="C2814" s="24" t="s">
        <v>8511</v>
      </c>
      <c r="D2814" s="25" t="s">
        <v>8512</v>
      </c>
      <c r="E2814" s="28">
        <v>0.20000</v>
      </c>
      <c r="F2814" s="29">
        <f ca="1">ROUND(19.000,3)</f>
        <v>0</v>
      </c>
      <c r="G2814" s="27">
        <f ca="1">ROUND(E2814*F2814,2)</f>
        <v>0</v>
      </c>
    </row>
    <row r="2815" spans="1:7" ht="15.12" thickBot="1" customHeight="1">
      <c r="A2815" s="26"/>
      <c r="B2815" s="26"/>
      <c r="C2815" s="26"/>
      <c r="D2815" s="24" t="s">
        <v>8513</v>
      </c>
      <c r="E2815" s="28">
        <v>0.50000</v>
      </c>
      <c r="F2815" s="29">
        <f ca="1">ROUND((G2812+G2813+G2814),3)</f>
        <v>0</v>
      </c>
      <c r="G2815" s="27">
        <f ca="1">ROUND(E2815*F2815,2)</f>
        <v>0</v>
      </c>
    </row>
    <row r="2816" spans="1:7" ht="15.12" thickBot="1" customHeight="1">
      <c r="A2816" s="24" t="s">
        <v>8514</v>
      </c>
      <c r="B2816" s="24"/>
      <c r="C2816" s="24" t="s">
        <v>8515</v>
      </c>
      <c r="D2816" s="25" t="s">
        <v>8516</v>
      </c>
      <c r="E2816" s="28">
        <v>3.00000</v>
      </c>
      <c r="F2816" s="29">
        <f ca="1">ROUND(21.900,3)</f>
        <v>0</v>
      </c>
      <c r="G2816" s="27">
        <f ca="1">ROUND((E2816*F2816)/100,2)</f>
        <v>0</v>
      </c>
    </row>
    <row r="2817" spans="1:7" ht="15.48" thickBot="1" customHeight="1">
      <c r="A2817" s="30"/>
      <c r="B2817" s="30"/>
      <c r="C2817" s="30"/>
      <c r="D2817" s="31" t="s">
        <v>8517</v>
      </c>
      <c r="E2817" s="30"/>
      <c r="F2817" s="33">
        <f ca="1">ROUND((G2809+G2810+G2811+G2816)*(1+G2/100),2)</f>
        <v>0</v>
      </c>
      <c r="G2817" s="30"/>
    </row>
    <row r="2818" spans="1:7" ht="30.60" thickBot="1" customHeight="1">
      <c r="A2818" s="34" t="s">
        <v>8518</v>
      </c>
      <c r="B2818" s="35" t="s">
        <v>8519</v>
      </c>
      <c r="C2818" s="35" t="s">
        <v>8520</v>
      </c>
      <c r="D2818" s="36" t="s">
        <v>8521</v>
      </c>
      <c r="E2818" s="37"/>
      <c r="F2818" s="38">
        <f ca="1">F2828</f>
        <v>0</v>
      </c>
      <c r="G2818" s="37"/>
    </row>
    <row r="2819" spans="1:7" ht="86.04" thickBot="1" customHeight="1">
      <c r="A2819" s="26"/>
      <c r="B2819" s="26"/>
      <c r="C2819" s="26"/>
      <c r="D2819" s="25" t="s">
        <v>8522</v>
      </c>
      <c r="E2819" s="25"/>
      <c r="F2819" s="25"/>
      <c r="G2819" s="25"/>
    </row>
    <row r="2820" spans="1:7" ht="39.84" thickBot="1" customHeight="1">
      <c r="A2820" s="24" t="s">
        <v>8523</v>
      </c>
      <c r="B2820" s="24" t="s">
        <v>8524</v>
      </c>
      <c r="C2820" s="24" t="s">
        <v>8525</v>
      </c>
      <c r="D2820" s="25" t="s">
        <v>8526</v>
      </c>
      <c r="E2820" s="28">
        <v>1.10000</v>
      </c>
      <c r="F2820" s="29">
        <f ca="1">ROUND(24.840,3)</f>
        <v>0</v>
      </c>
      <c r="G2820" s="27">
        <f ca="1">ROUND(E2820*F2820,2)</f>
        <v>0</v>
      </c>
    </row>
    <row r="2821" spans="1:7" ht="30.60" thickBot="1" customHeight="1">
      <c r="A2821" s="24" t="s">
        <v>8527</v>
      </c>
      <c r="B2821" s="24" t="s">
        <v>8528</v>
      </c>
      <c r="C2821" s="24" t="s">
        <v>8529</v>
      </c>
      <c r="D2821" s="25" t="s">
        <v>8530</v>
      </c>
      <c r="E2821" s="28">
        <v>0.02200</v>
      </c>
      <c r="F2821" s="29">
        <f ca="1">ROUND(27.500,3)</f>
        <v>0</v>
      </c>
      <c r="G2821" s="27">
        <f ca="1">ROUND(E2821*F2821,2)</f>
        <v>0</v>
      </c>
    </row>
    <row r="2822" spans="1:7" ht="21.36" thickBot="1" customHeight="1">
      <c r="A2822" s="24" t="s">
        <v>8531</v>
      </c>
      <c r="B2822" s="24" t="s">
        <v>8532</v>
      </c>
      <c r="C2822" s="24" t="s">
        <v>8533</v>
      </c>
      <c r="D2822" s="25" t="s">
        <v>8534</v>
      </c>
      <c r="E2822" s="28">
        <v>0.54000</v>
      </c>
      <c r="F2822" s="29">
        <f ca="1">F2826</f>
        <v>0</v>
      </c>
      <c r="G2822" s="27">
        <f ca="1">ROUND(E2822*F2822,2)</f>
        <v>0</v>
      </c>
    </row>
    <row r="2823" spans="1:7" ht="24.36" thickBot="1" customHeight="1">
      <c r="A2823" s="24" t="s">
        <v>8535</v>
      </c>
      <c r="B2823" s="24" t="s">
        <v>8536</v>
      </c>
      <c r="C2823" s="24" t="s">
        <v>8537</v>
      </c>
      <c r="D2823" s="25" t="s">
        <v>8538</v>
      </c>
      <c r="E2823" s="28">
        <v>1.00000</v>
      </c>
      <c r="F2823" s="29">
        <f ca="1">ROUND(21.000,3)</f>
        <v>0</v>
      </c>
      <c r="G2823" s="27">
        <f ca="1">ROUND(E2823*F2823,2)</f>
        <v>0</v>
      </c>
    </row>
    <row r="2824" spans="1:7" ht="24.36" thickBot="1" customHeight="1">
      <c r="A2824" s="24" t="s">
        <v>8539</v>
      </c>
      <c r="B2824" s="24" t="s">
        <v>8540</v>
      </c>
      <c r="C2824" s="24" t="s">
        <v>8541</v>
      </c>
      <c r="D2824" s="25" t="s">
        <v>8542</v>
      </c>
      <c r="E2824" s="28">
        <v>1.00000</v>
      </c>
      <c r="F2824" s="29">
        <f ca="1">ROUND(19.000,3)</f>
        <v>0</v>
      </c>
      <c r="G2824" s="27">
        <f ca="1">ROUND(E2824*F2824,2)</f>
        <v>0</v>
      </c>
    </row>
    <row r="2825" spans="1:7" ht="24.36" thickBot="1" customHeight="1">
      <c r="A2825" s="24" t="s">
        <v>8543</v>
      </c>
      <c r="B2825" s="24" t="s">
        <v>8544</v>
      </c>
      <c r="C2825" s="24" t="s">
        <v>8545</v>
      </c>
      <c r="D2825" s="25" t="s">
        <v>8546</v>
      </c>
      <c r="E2825" s="28">
        <v>0.20000</v>
      </c>
      <c r="F2825" s="29">
        <f ca="1">ROUND(19.000,3)</f>
        <v>0</v>
      </c>
      <c r="G2825" s="27">
        <f ca="1">ROUND(E2825*F2825,2)</f>
        <v>0</v>
      </c>
    </row>
    <row r="2826" spans="1:7" ht="15.12" thickBot="1" customHeight="1">
      <c r="A2826" s="26"/>
      <c r="B2826" s="26"/>
      <c r="C2826" s="26"/>
      <c r="D2826" s="24" t="s">
        <v>8547</v>
      </c>
      <c r="E2826" s="28">
        <v>0.54000</v>
      </c>
      <c r="F2826" s="29">
        <f ca="1">ROUND((G2823+G2824+G2825),3)</f>
        <v>0</v>
      </c>
      <c r="G2826" s="27">
        <f ca="1">ROUND(E2826*F2826,2)</f>
        <v>0</v>
      </c>
    </row>
    <row r="2827" spans="1:7" ht="15.12" thickBot="1" customHeight="1">
      <c r="A2827" s="24" t="s">
        <v>8548</v>
      </c>
      <c r="B2827" s="24"/>
      <c r="C2827" s="24" t="s">
        <v>8549</v>
      </c>
      <c r="D2827" s="25" t="s">
        <v>8550</v>
      </c>
      <c r="E2827" s="28">
        <v>3.00000</v>
      </c>
      <c r="F2827" s="29">
        <f ca="1">ROUND(23.650,3)</f>
        <v>0</v>
      </c>
      <c r="G2827" s="27">
        <f ca="1">ROUND((E2827*F2827)/100,2)</f>
        <v>0</v>
      </c>
    </row>
    <row r="2828" spans="1:7" ht="15.48" thickBot="1" customHeight="1">
      <c r="A2828" s="30"/>
      <c r="B2828" s="30"/>
      <c r="C2828" s="30"/>
      <c r="D2828" s="31" t="s">
        <v>8551</v>
      </c>
      <c r="E2828" s="30"/>
      <c r="F2828" s="33">
        <f ca="1">ROUND((G2820+G2821+G2822+G2827)*(1+G2/100),2)</f>
        <v>0</v>
      </c>
      <c r="G2828" s="30"/>
    </row>
    <row r="2829" spans="1:7" ht="30.60" thickBot="1" customHeight="1">
      <c r="A2829" s="34" t="s">
        <v>8552</v>
      </c>
      <c r="B2829" s="35" t="s">
        <v>8553</v>
      </c>
      <c r="C2829" s="35" t="s">
        <v>8554</v>
      </c>
      <c r="D2829" s="36" t="s">
        <v>8555</v>
      </c>
      <c r="E2829" s="37"/>
      <c r="F2829" s="38">
        <f ca="1">F2839</f>
        <v>0</v>
      </c>
      <c r="G2829" s="37"/>
    </row>
    <row r="2830" spans="1:7" ht="76.80" thickBot="1" customHeight="1">
      <c r="A2830" s="26"/>
      <c r="B2830" s="26"/>
      <c r="C2830" s="26"/>
      <c r="D2830" s="25" t="s">
        <v>8556</v>
      </c>
      <c r="E2830" s="25"/>
      <c r="F2830" s="25"/>
      <c r="G2830" s="25"/>
    </row>
    <row r="2831" spans="1:7" ht="30.60" thickBot="1" customHeight="1">
      <c r="A2831" s="24" t="s">
        <v>8557</v>
      </c>
      <c r="B2831" s="24" t="s">
        <v>8558</v>
      </c>
      <c r="C2831" s="24" t="s">
        <v>8559</v>
      </c>
      <c r="D2831" s="25" t="s">
        <v>8560</v>
      </c>
      <c r="E2831" s="28">
        <v>0.73400</v>
      </c>
      <c r="F2831" s="29">
        <f ca="1">ROUND(29.840,3)</f>
        <v>0</v>
      </c>
      <c r="G2831" s="27">
        <f ca="1">ROUND(E2831*F2831,2)</f>
        <v>0</v>
      </c>
    </row>
    <row r="2832" spans="1:7" ht="30.60" thickBot="1" customHeight="1">
      <c r="A2832" s="24" t="s">
        <v>8561</v>
      </c>
      <c r="B2832" s="24" t="s">
        <v>8562</v>
      </c>
      <c r="C2832" s="24" t="s">
        <v>8563</v>
      </c>
      <c r="D2832" s="25" t="s">
        <v>8564</v>
      </c>
      <c r="E2832" s="28">
        <v>0.02200</v>
      </c>
      <c r="F2832" s="29">
        <f ca="1">ROUND(27.500,3)</f>
        <v>0</v>
      </c>
      <c r="G2832" s="27">
        <f ca="1">ROUND(E2832*F2832,2)</f>
        <v>0</v>
      </c>
    </row>
    <row r="2833" spans="1:7" ht="21.36" thickBot="1" customHeight="1">
      <c r="A2833" s="24" t="s">
        <v>8565</v>
      </c>
      <c r="B2833" s="24" t="s">
        <v>8566</v>
      </c>
      <c r="C2833" s="24" t="s">
        <v>8567</v>
      </c>
      <c r="D2833" s="25" t="s">
        <v>8568</v>
      </c>
      <c r="E2833" s="28">
        <v>0.36000</v>
      </c>
      <c r="F2833" s="29">
        <f ca="1">F2837</f>
        <v>0</v>
      </c>
      <c r="G2833" s="27">
        <f ca="1">ROUND(E2833*F2833,2)</f>
        <v>0</v>
      </c>
    </row>
    <row r="2834" spans="1:7" ht="24.36" thickBot="1" customHeight="1">
      <c r="A2834" s="24" t="s">
        <v>8569</v>
      </c>
      <c r="B2834" s="24" t="s">
        <v>8570</v>
      </c>
      <c r="C2834" s="24" t="s">
        <v>8571</v>
      </c>
      <c r="D2834" s="25" t="s">
        <v>8572</v>
      </c>
      <c r="E2834" s="28">
        <v>1.00000</v>
      </c>
      <c r="F2834" s="29">
        <f ca="1">ROUND(21.000,3)</f>
        <v>0</v>
      </c>
      <c r="G2834" s="27">
        <f ca="1">ROUND(E2834*F2834,2)</f>
        <v>0</v>
      </c>
    </row>
    <row r="2835" spans="1:7" ht="24.36" thickBot="1" customHeight="1">
      <c r="A2835" s="24" t="s">
        <v>8573</v>
      </c>
      <c r="B2835" s="24" t="s">
        <v>8574</v>
      </c>
      <c r="C2835" s="24" t="s">
        <v>8575</v>
      </c>
      <c r="D2835" s="25" t="s">
        <v>8576</v>
      </c>
      <c r="E2835" s="28">
        <v>1.00000</v>
      </c>
      <c r="F2835" s="29">
        <f ca="1">ROUND(19.000,3)</f>
        <v>0</v>
      </c>
      <c r="G2835" s="27">
        <f ca="1">ROUND(E2835*F2835,2)</f>
        <v>0</v>
      </c>
    </row>
    <row r="2836" spans="1:7" ht="24.36" thickBot="1" customHeight="1">
      <c r="A2836" s="24" t="s">
        <v>8577</v>
      </c>
      <c r="B2836" s="24" t="s">
        <v>8578</v>
      </c>
      <c r="C2836" s="24" t="s">
        <v>8579</v>
      </c>
      <c r="D2836" s="25" t="s">
        <v>8580</v>
      </c>
      <c r="E2836" s="28">
        <v>0.20000</v>
      </c>
      <c r="F2836" s="29">
        <f ca="1">ROUND(19.000,3)</f>
        <v>0</v>
      </c>
      <c r="G2836" s="27">
        <f ca="1">ROUND(E2836*F2836,2)</f>
        <v>0</v>
      </c>
    </row>
    <row r="2837" spans="1:7" ht="15.12" thickBot="1" customHeight="1">
      <c r="A2837" s="26"/>
      <c r="B2837" s="26"/>
      <c r="C2837" s="26"/>
      <c r="D2837" s="24" t="s">
        <v>8581</v>
      </c>
      <c r="E2837" s="28">
        <v>0.36000</v>
      </c>
      <c r="F2837" s="29">
        <f ca="1">ROUND((G2834+G2835+G2836),3)</f>
        <v>0</v>
      </c>
      <c r="G2837" s="27">
        <f ca="1">ROUND(E2837*F2837,2)</f>
        <v>0</v>
      </c>
    </row>
    <row r="2838" spans="1:7" ht="15.12" thickBot="1" customHeight="1">
      <c r="A2838" s="24" t="s">
        <v>8582</v>
      </c>
      <c r="B2838" s="24"/>
      <c r="C2838" s="24" t="s">
        <v>8583</v>
      </c>
      <c r="D2838" s="25" t="s">
        <v>8584</v>
      </c>
      <c r="E2838" s="28">
        <v>3.00000</v>
      </c>
      <c r="F2838" s="29">
        <f ca="1">ROUND(15.770,3)</f>
        <v>0</v>
      </c>
      <c r="G2838" s="27">
        <f ca="1">ROUND((E2838*F2838)/100,2)</f>
        <v>0</v>
      </c>
    </row>
    <row r="2839" spans="1:7" ht="15.48" thickBot="1" customHeight="1">
      <c r="A2839" s="30"/>
      <c r="B2839" s="30"/>
      <c r="C2839" s="30"/>
      <c r="D2839" s="31" t="s">
        <v>8585</v>
      </c>
      <c r="E2839" s="30"/>
      <c r="F2839" s="33">
        <f ca="1">ROUND((G2831+G2832+G2833+G2838)*(1+G2/100),2)</f>
        <v>0</v>
      </c>
      <c r="G2839" s="30"/>
    </row>
    <row r="2840" spans="1:7" ht="30.60" thickBot="1" customHeight="1">
      <c r="A2840" s="34" t="s">
        <v>8586</v>
      </c>
      <c r="B2840" s="35" t="s">
        <v>8587</v>
      </c>
      <c r="C2840" s="35" t="s">
        <v>8588</v>
      </c>
      <c r="D2840" s="36" t="s">
        <v>8589</v>
      </c>
      <c r="E2840" s="37"/>
      <c r="F2840" s="38">
        <f ca="1">F2851</f>
        <v>0</v>
      </c>
      <c r="G2840" s="37"/>
    </row>
    <row r="2841" spans="1:7" ht="76.80" thickBot="1" customHeight="1">
      <c r="A2841" s="26"/>
      <c r="B2841" s="26"/>
      <c r="C2841" s="26"/>
      <c r="D2841" s="25" t="s">
        <v>8590</v>
      </c>
      <c r="E2841" s="25"/>
      <c r="F2841" s="25"/>
      <c r="G2841" s="25"/>
    </row>
    <row r="2842" spans="1:7" ht="58.32" thickBot="1" customHeight="1">
      <c r="A2842" s="24" t="s">
        <v>8591</v>
      </c>
      <c r="B2842" s="24" t="s">
        <v>8592</v>
      </c>
      <c r="C2842" s="24" t="s">
        <v>8593</v>
      </c>
      <c r="D2842" s="25" t="s">
        <v>8594</v>
      </c>
      <c r="E2842" s="28">
        <v>0.34800</v>
      </c>
      <c r="F2842" s="29">
        <f ca="1">ROUND(36.200,3)</f>
        <v>0</v>
      </c>
      <c r="G2842" s="27">
        <f ca="1">ROUND(E2842*F2842,2)</f>
        <v>0</v>
      </c>
    </row>
    <row r="2843" spans="1:7" ht="30.60" thickBot="1" customHeight="1">
      <c r="A2843" s="24" t="s">
        <v>8595</v>
      </c>
      <c r="B2843" s="24" t="s">
        <v>8596</v>
      </c>
      <c r="C2843" s="24" t="s">
        <v>8597</v>
      </c>
      <c r="D2843" s="25" t="s">
        <v>8598</v>
      </c>
      <c r="E2843" s="28">
        <v>0.02200</v>
      </c>
      <c r="F2843" s="29">
        <f ca="1">ROUND(27.500,3)</f>
        <v>0</v>
      </c>
      <c r="G2843" s="27">
        <f ca="1">ROUND(E2843*F2843,2)</f>
        <v>0</v>
      </c>
    </row>
    <row r="2844" spans="1:7" ht="39.84" thickBot="1" customHeight="1">
      <c r="A2844" s="24" t="s">
        <v>8599</v>
      </c>
      <c r="B2844" s="24" t="s">
        <v>8600</v>
      </c>
      <c r="C2844" s="24" t="s">
        <v>8601</v>
      </c>
      <c r="D2844" s="25" t="s">
        <v>8602</v>
      </c>
      <c r="E2844" s="28">
        <v>0.00100</v>
      </c>
      <c r="F2844" s="29">
        <f ca="1">ROUND(2.630,3)</f>
        <v>0</v>
      </c>
      <c r="G2844" s="27">
        <f ca="1">ROUND(E2844*F2844,2)</f>
        <v>0</v>
      </c>
    </row>
    <row r="2845" spans="1:7" ht="21.36" thickBot="1" customHeight="1">
      <c r="A2845" s="24" t="s">
        <v>8603</v>
      </c>
      <c r="B2845" s="24" t="s">
        <v>8604</v>
      </c>
      <c r="C2845" s="24" t="s">
        <v>8605</v>
      </c>
      <c r="D2845" s="25" t="s">
        <v>8606</v>
      </c>
      <c r="E2845" s="28">
        <v>0.18000</v>
      </c>
      <c r="F2845" s="29">
        <f ca="1">F2849</f>
        <v>0</v>
      </c>
      <c r="G2845" s="27">
        <f ca="1">ROUND(E2845*F2845,2)</f>
        <v>0</v>
      </c>
    </row>
    <row r="2846" spans="1:7" ht="24.36" thickBot="1" customHeight="1">
      <c r="A2846" s="24" t="s">
        <v>8607</v>
      </c>
      <c r="B2846" s="24" t="s">
        <v>8608</v>
      </c>
      <c r="C2846" s="24" t="s">
        <v>8609</v>
      </c>
      <c r="D2846" s="25" t="s">
        <v>8610</v>
      </c>
      <c r="E2846" s="28">
        <v>1.00000</v>
      </c>
      <c r="F2846" s="29">
        <f ca="1">ROUND(21.000,3)</f>
        <v>0</v>
      </c>
      <c r="G2846" s="27">
        <f ca="1">ROUND(E2846*F2846,2)</f>
        <v>0</v>
      </c>
    </row>
    <row r="2847" spans="1:7" ht="24.36" thickBot="1" customHeight="1">
      <c r="A2847" s="24" t="s">
        <v>8611</v>
      </c>
      <c r="B2847" s="24" t="s">
        <v>8612</v>
      </c>
      <c r="C2847" s="24" t="s">
        <v>8613</v>
      </c>
      <c r="D2847" s="25" t="s">
        <v>8614</v>
      </c>
      <c r="E2847" s="28">
        <v>1.00000</v>
      </c>
      <c r="F2847" s="29">
        <f ca="1">ROUND(19.000,3)</f>
        <v>0</v>
      </c>
      <c r="G2847" s="27">
        <f ca="1">ROUND(E2847*F2847,2)</f>
        <v>0</v>
      </c>
    </row>
    <row r="2848" spans="1:7" ht="24.36" thickBot="1" customHeight="1">
      <c r="A2848" s="24" t="s">
        <v>8615</v>
      </c>
      <c r="B2848" s="24" t="s">
        <v>8616</v>
      </c>
      <c r="C2848" s="24" t="s">
        <v>8617</v>
      </c>
      <c r="D2848" s="25" t="s">
        <v>8618</v>
      </c>
      <c r="E2848" s="28">
        <v>0.20000</v>
      </c>
      <c r="F2848" s="29">
        <f ca="1">ROUND(19.000,3)</f>
        <v>0</v>
      </c>
      <c r="G2848" s="27">
        <f ca="1">ROUND(E2848*F2848,2)</f>
        <v>0</v>
      </c>
    </row>
    <row r="2849" spans="1:7" ht="15.12" thickBot="1" customHeight="1">
      <c r="A2849" s="26"/>
      <c r="B2849" s="26"/>
      <c r="C2849" s="26"/>
      <c r="D2849" s="24" t="s">
        <v>8619</v>
      </c>
      <c r="E2849" s="28">
        <v>0.18000</v>
      </c>
      <c r="F2849" s="29">
        <f ca="1">ROUND((G2846+G2847+G2848),3)</f>
        <v>0</v>
      </c>
      <c r="G2849" s="27">
        <f ca="1">ROUND(E2849*F2849,2)</f>
        <v>0</v>
      </c>
    </row>
    <row r="2850" spans="1:7" ht="15.12" thickBot="1" customHeight="1">
      <c r="A2850" s="24" t="s">
        <v>8620</v>
      </c>
      <c r="B2850" s="24"/>
      <c r="C2850" s="24" t="s">
        <v>8621</v>
      </c>
      <c r="D2850" s="25" t="s">
        <v>8622</v>
      </c>
      <c r="E2850" s="28">
        <v>3.00000</v>
      </c>
      <c r="F2850" s="29">
        <f ca="1">ROUND(7.880,3)</f>
        <v>0</v>
      </c>
      <c r="G2850" s="27">
        <f ca="1">ROUND((E2850*F2850)/100,2)</f>
        <v>0</v>
      </c>
    </row>
    <row r="2851" spans="1:7" ht="15.48" thickBot="1" customHeight="1">
      <c r="A2851" s="30"/>
      <c r="B2851" s="30"/>
      <c r="C2851" s="30"/>
      <c r="D2851" s="31" t="s">
        <v>8623</v>
      </c>
      <c r="E2851" s="30"/>
      <c r="F2851" s="33">
        <f ca="1">ROUND((G2842+G2843+G2844+G2845+G2850)*(1+G2/100),2)</f>
        <v>0</v>
      </c>
      <c r="G2851" s="30"/>
    </row>
    <row r="2852" spans="1:7" ht="30.60" thickBot="1" customHeight="1">
      <c r="A2852" s="34" t="s">
        <v>8624</v>
      </c>
      <c r="B2852" s="35" t="s">
        <v>8625</v>
      </c>
      <c r="C2852" s="35" t="s">
        <v>8626</v>
      </c>
      <c r="D2852" s="36" t="s">
        <v>8627</v>
      </c>
      <c r="E2852" s="37"/>
      <c r="F2852" s="38">
        <f ca="1">F2863</f>
        <v>0</v>
      </c>
      <c r="G2852" s="37"/>
    </row>
    <row r="2853" spans="1:7" ht="30.60" thickBot="1" customHeight="1">
      <c r="A2853" s="26"/>
      <c r="B2853" s="26"/>
      <c r="C2853" s="26"/>
      <c r="D2853" s="25" t="s">
        <v>8628</v>
      </c>
      <c r="E2853" s="25"/>
      <c r="F2853" s="25"/>
      <c r="G2853" s="25"/>
    </row>
    <row r="2854" spans="1:7" ht="49.08" thickBot="1" customHeight="1">
      <c r="A2854" s="24" t="s">
        <v>8629</v>
      </c>
      <c r="B2854" s="24" t="s">
        <v>8630</v>
      </c>
      <c r="C2854" s="24" t="s">
        <v>8631</v>
      </c>
      <c r="D2854" s="25" t="s">
        <v>8632</v>
      </c>
      <c r="E2854" s="28">
        <v>0.01575</v>
      </c>
      <c r="F2854" s="29">
        <f ca="1">ROUND(45.570,3)</f>
        <v>0</v>
      </c>
      <c r="G2854" s="27">
        <f ca="1">ROUND(E2854*F2854,2)</f>
        <v>0</v>
      </c>
    </row>
    <row r="2855" spans="1:7" ht="30.60" thickBot="1" customHeight="1">
      <c r="A2855" s="24" t="s">
        <v>8633</v>
      </c>
      <c r="B2855" s="24" t="s">
        <v>8634</v>
      </c>
      <c r="C2855" s="24" t="s">
        <v>8635</v>
      </c>
      <c r="D2855" s="25" t="s">
        <v>8636</v>
      </c>
      <c r="E2855" s="28">
        <v>0.13200</v>
      </c>
      <c r="F2855" s="29">
        <f ca="1">ROUND(17.450,3)</f>
        <v>0</v>
      </c>
      <c r="G2855" s="27">
        <f ca="1">ROUND(E2855*F2855,2)</f>
        <v>0</v>
      </c>
    </row>
    <row r="2856" spans="1:7" ht="30.60" thickBot="1" customHeight="1">
      <c r="A2856" s="24" t="s">
        <v>8637</v>
      </c>
      <c r="B2856" s="24" t="s">
        <v>8638</v>
      </c>
      <c r="C2856" s="24" t="s">
        <v>8639</v>
      </c>
      <c r="D2856" s="25" t="s">
        <v>8640</v>
      </c>
      <c r="E2856" s="28">
        <v>0.00200</v>
      </c>
      <c r="F2856" s="29">
        <f ca="1">ROUND(27.500,3)</f>
        <v>0</v>
      </c>
      <c r="G2856" s="27">
        <f ca="1">ROUND(E2856*F2856,2)</f>
        <v>0</v>
      </c>
    </row>
    <row r="2857" spans="1:7" ht="21.36" thickBot="1" customHeight="1">
      <c r="A2857" s="24" t="s">
        <v>8641</v>
      </c>
      <c r="B2857" s="24" t="s">
        <v>8642</v>
      </c>
      <c r="C2857" s="24" t="s">
        <v>8643</v>
      </c>
      <c r="D2857" s="25" t="s">
        <v>8644</v>
      </c>
      <c r="E2857" s="28">
        <v>0.30000</v>
      </c>
      <c r="F2857" s="29">
        <f ca="1">F2861</f>
        <v>0</v>
      </c>
      <c r="G2857" s="27">
        <f ca="1">ROUND(E2857*F2857,2)</f>
        <v>0</v>
      </c>
    </row>
    <row r="2858" spans="1:7" ht="24.36" thickBot="1" customHeight="1">
      <c r="A2858" s="24" t="s">
        <v>8645</v>
      </c>
      <c r="B2858" s="24" t="s">
        <v>8646</v>
      </c>
      <c r="C2858" s="24" t="s">
        <v>8647</v>
      </c>
      <c r="D2858" s="25" t="s">
        <v>8648</v>
      </c>
      <c r="E2858" s="28">
        <v>1.00000</v>
      </c>
      <c r="F2858" s="29">
        <f ca="1">ROUND(21.000,3)</f>
        <v>0</v>
      </c>
      <c r="G2858" s="27">
        <f ca="1">ROUND(E2858*F2858,2)</f>
        <v>0</v>
      </c>
    </row>
    <row r="2859" spans="1:7" ht="24.36" thickBot="1" customHeight="1">
      <c r="A2859" s="24" t="s">
        <v>8649</v>
      </c>
      <c r="B2859" s="24" t="s">
        <v>8650</v>
      </c>
      <c r="C2859" s="24" t="s">
        <v>8651</v>
      </c>
      <c r="D2859" s="25" t="s">
        <v>8652</v>
      </c>
      <c r="E2859" s="28">
        <v>1.00000</v>
      </c>
      <c r="F2859" s="29">
        <f ca="1">ROUND(19.000,3)</f>
        <v>0</v>
      </c>
      <c r="G2859" s="27">
        <f ca="1">ROUND(E2859*F2859,2)</f>
        <v>0</v>
      </c>
    </row>
    <row r="2860" spans="1:7" ht="24.36" thickBot="1" customHeight="1">
      <c r="A2860" s="24" t="s">
        <v>8653</v>
      </c>
      <c r="B2860" s="24" t="s">
        <v>8654</v>
      </c>
      <c r="C2860" s="24" t="s">
        <v>8655</v>
      </c>
      <c r="D2860" s="25" t="s">
        <v>8656</v>
      </c>
      <c r="E2860" s="28">
        <v>0.20000</v>
      </c>
      <c r="F2860" s="29">
        <f ca="1">ROUND(19.000,3)</f>
        <v>0</v>
      </c>
      <c r="G2860" s="27">
        <f ca="1">ROUND(E2860*F2860,2)</f>
        <v>0</v>
      </c>
    </row>
    <row r="2861" spans="1:7" ht="15.12" thickBot="1" customHeight="1">
      <c r="A2861" s="26"/>
      <c r="B2861" s="26"/>
      <c r="C2861" s="26"/>
      <c r="D2861" s="24" t="s">
        <v>8657</v>
      </c>
      <c r="E2861" s="28">
        <v>0.30000</v>
      </c>
      <c r="F2861" s="29">
        <f ca="1">ROUND((G2858+G2859+G2860),3)</f>
        <v>0</v>
      </c>
      <c r="G2861" s="27">
        <f ca="1">ROUND(E2861*F2861,2)</f>
        <v>0</v>
      </c>
    </row>
    <row r="2862" spans="1:7" ht="15.12" thickBot="1" customHeight="1">
      <c r="A2862" s="24" t="s">
        <v>8658</v>
      </c>
      <c r="B2862" s="24"/>
      <c r="C2862" s="24" t="s">
        <v>8659</v>
      </c>
      <c r="D2862" s="25" t="s">
        <v>8660</v>
      </c>
      <c r="E2862" s="28">
        <v>3.00000</v>
      </c>
      <c r="F2862" s="29">
        <f ca="1">ROUND(13.140,3)</f>
        <v>0</v>
      </c>
      <c r="G2862" s="27">
        <f ca="1">ROUND((E2862*F2862)/100,2)</f>
        <v>0</v>
      </c>
    </row>
    <row r="2863" spans="1:7" ht="15.48" thickBot="1" customHeight="1">
      <c r="A2863" s="30"/>
      <c r="B2863" s="30"/>
      <c r="C2863" s="30"/>
      <c r="D2863" s="31" t="s">
        <v>8661</v>
      </c>
      <c r="E2863" s="30"/>
      <c r="F2863" s="33">
        <f ca="1">ROUND((G2854+G2855+G2856+G2857+G2862)*(1+G2/100),2)</f>
        <v>0</v>
      </c>
      <c r="G2863" s="30"/>
    </row>
    <row r="2864" spans="1:7" ht="21.36" thickBot="1" customHeight="1">
      <c r="A2864" s="34" t="s">
        <v>8662</v>
      </c>
      <c r="B2864" s="35" t="s">
        <v>8663</v>
      </c>
      <c r="C2864" s="35" t="s">
        <v>8664</v>
      </c>
      <c r="D2864" s="36" t="s">
        <v>8665</v>
      </c>
      <c r="E2864" s="37"/>
      <c r="F2864" s="38">
        <f ca="1">F2873</f>
        <v>0</v>
      </c>
      <c r="G2864" s="37"/>
    </row>
    <row r="2865" spans="1:7" ht="12.12" thickBot="1" customHeight="1">
      <c r="A2865" s="26"/>
      <c r="B2865" s="26"/>
      <c r="C2865" s="26"/>
      <c r="D2865" s="25" t="s">
        <v>8666</v>
      </c>
      <c r="E2865" s="25"/>
      <c r="F2865" s="25"/>
      <c r="G2865" s="25"/>
    </row>
    <row r="2866" spans="1:7" ht="30.60" thickBot="1" customHeight="1">
      <c r="A2866" s="24" t="s">
        <v>8667</v>
      </c>
      <c r="B2866" s="24" t="s">
        <v>8668</v>
      </c>
      <c r="C2866" s="24" t="s">
        <v>8669</v>
      </c>
      <c r="D2866" s="25" t="s">
        <v>8670</v>
      </c>
      <c r="E2866" s="28">
        <v>0.20000</v>
      </c>
      <c r="F2866" s="29">
        <f ca="1">ROUND(16.810,3)</f>
        <v>0</v>
      </c>
      <c r="G2866" s="27">
        <f ca="1">ROUND(E2866*F2866,2)</f>
        <v>0</v>
      </c>
    </row>
    <row r="2867" spans="1:7" ht="21.36" thickBot="1" customHeight="1">
      <c r="A2867" s="24" t="s">
        <v>8671</v>
      </c>
      <c r="B2867" s="24" t="s">
        <v>8672</v>
      </c>
      <c r="C2867" s="24" t="s">
        <v>8673</v>
      </c>
      <c r="D2867" s="25" t="s">
        <v>8674</v>
      </c>
      <c r="E2867" s="28">
        <v>0.12000</v>
      </c>
      <c r="F2867" s="29">
        <f ca="1">F2871</f>
        <v>0</v>
      </c>
      <c r="G2867" s="27">
        <f ca="1">ROUND(E2867*F2867,2)</f>
        <v>0</v>
      </c>
    </row>
    <row r="2868" spans="1:7" ht="24.36" thickBot="1" customHeight="1">
      <c r="A2868" s="24" t="s">
        <v>8675</v>
      </c>
      <c r="B2868" s="24" t="s">
        <v>8676</v>
      </c>
      <c r="C2868" s="24" t="s">
        <v>8677</v>
      </c>
      <c r="D2868" s="25" t="s">
        <v>8678</v>
      </c>
      <c r="E2868" s="28">
        <v>1.00000</v>
      </c>
      <c r="F2868" s="29">
        <f ca="1">ROUND(21.000,3)</f>
        <v>0</v>
      </c>
      <c r="G2868" s="27">
        <f ca="1">ROUND(E2868*F2868,2)</f>
        <v>0</v>
      </c>
    </row>
    <row r="2869" spans="1:7" ht="24.36" thickBot="1" customHeight="1">
      <c r="A2869" s="24" t="s">
        <v>8679</v>
      </c>
      <c r="B2869" s="24" t="s">
        <v>8680</v>
      </c>
      <c r="C2869" s="24" t="s">
        <v>8681</v>
      </c>
      <c r="D2869" s="25" t="s">
        <v>8682</v>
      </c>
      <c r="E2869" s="28">
        <v>1.00000</v>
      </c>
      <c r="F2869" s="29">
        <f ca="1">ROUND(19.000,3)</f>
        <v>0</v>
      </c>
      <c r="G2869" s="27">
        <f ca="1">ROUND(E2869*F2869,2)</f>
        <v>0</v>
      </c>
    </row>
    <row r="2870" spans="1:7" ht="24.36" thickBot="1" customHeight="1">
      <c r="A2870" s="24" t="s">
        <v>8683</v>
      </c>
      <c r="B2870" s="24" t="s">
        <v>8684</v>
      </c>
      <c r="C2870" s="24" t="s">
        <v>8685</v>
      </c>
      <c r="D2870" s="25" t="s">
        <v>8686</v>
      </c>
      <c r="E2870" s="28">
        <v>0.20000</v>
      </c>
      <c r="F2870" s="29">
        <f ca="1">ROUND(19.000,3)</f>
        <v>0</v>
      </c>
      <c r="G2870" s="27">
        <f ca="1">ROUND(E2870*F2870,2)</f>
        <v>0</v>
      </c>
    </row>
    <row r="2871" spans="1:7" ht="15.12" thickBot="1" customHeight="1">
      <c r="A2871" s="26"/>
      <c r="B2871" s="26"/>
      <c r="C2871" s="26"/>
      <c r="D2871" s="24" t="s">
        <v>8687</v>
      </c>
      <c r="E2871" s="28">
        <v>0.12000</v>
      </c>
      <c r="F2871" s="29">
        <f ca="1">ROUND((G2868+G2869+G2870),3)</f>
        <v>0</v>
      </c>
      <c r="G2871" s="27">
        <f ca="1">ROUND(E2871*F2871,2)</f>
        <v>0</v>
      </c>
    </row>
    <row r="2872" spans="1:7" ht="15.12" thickBot="1" customHeight="1">
      <c r="A2872" s="24" t="s">
        <v>8688</v>
      </c>
      <c r="B2872" s="24"/>
      <c r="C2872" s="24" t="s">
        <v>8689</v>
      </c>
      <c r="D2872" s="25" t="s">
        <v>8690</v>
      </c>
      <c r="E2872" s="28">
        <v>3.00000</v>
      </c>
      <c r="F2872" s="29">
        <f ca="1">ROUND(5.260,3)</f>
        <v>0</v>
      </c>
      <c r="G2872" s="27">
        <f ca="1">ROUND((E2872*F2872)/100,2)</f>
        <v>0</v>
      </c>
    </row>
    <row r="2873" spans="1:7" ht="15.48" thickBot="1" customHeight="1">
      <c r="A2873" s="30"/>
      <c r="B2873" s="30"/>
      <c r="C2873" s="30"/>
      <c r="D2873" s="31" t="s">
        <v>8691</v>
      </c>
      <c r="E2873" s="30"/>
      <c r="F2873" s="33">
        <f ca="1">ROUND((G2866+G2867+G2872)*(1+G2/100),2)</f>
        <v>0</v>
      </c>
      <c r="G2873" s="30"/>
    </row>
    <row r="2874" spans="1:7" ht="21.36" thickBot="1" customHeight="1">
      <c r="A2874" s="34" t="s">
        <v>8692</v>
      </c>
      <c r="B2874" s="35" t="s">
        <v>8693</v>
      </c>
      <c r="C2874" s="35" t="s">
        <v>8694</v>
      </c>
      <c r="D2874" s="36" t="s">
        <v>8695</v>
      </c>
      <c r="E2874" s="37"/>
      <c r="F2874" s="38">
        <f ca="1">F2878</f>
        <v>0</v>
      </c>
      <c r="G2874" s="37"/>
    </row>
    <row r="2875" spans="1:7" ht="39.84" thickBot="1" customHeight="1">
      <c r="A2875" s="26"/>
      <c r="B2875" s="26"/>
      <c r="C2875" s="26"/>
      <c r="D2875" s="25" t="s">
        <v>8696</v>
      </c>
      <c r="E2875" s="25"/>
      <c r="F2875" s="25"/>
      <c r="G2875" s="25"/>
    </row>
    <row r="2876" spans="1:7" ht="15.12" thickBot="1" customHeight="1">
      <c r="A2876" s="24" t="s">
        <v>8697</v>
      </c>
      <c r="B2876" s="24" t="s">
        <v>8698</v>
      </c>
      <c r="C2876" s="24" t="s">
        <v>8699</v>
      </c>
      <c r="D2876" s="25" t="s">
        <v>8700</v>
      </c>
      <c r="E2876" s="28">
        <v>1.00000</v>
      </c>
      <c r="F2876" s="29">
        <f ca="1">ROUND(380.000,3)</f>
        <v>0</v>
      </c>
      <c r="G2876" s="27">
        <f ca="1">ROUND(E2876*F2876,2)</f>
        <v>0</v>
      </c>
    </row>
    <row r="2877" spans="1:7" ht="30.60" thickBot="1" customHeight="1">
      <c r="A2877" s="24" t="s">
        <v>8701</v>
      </c>
      <c r="B2877" s="24" t="s">
        <v>8702</v>
      </c>
      <c r="C2877" s="24" t="s">
        <v>8703</v>
      </c>
      <c r="D2877" s="25" t="s">
        <v>8704</v>
      </c>
      <c r="E2877" s="28">
        <v>1.00000</v>
      </c>
      <c r="F2877" s="29">
        <f ca="1">ROUND(265.000,3)</f>
        <v>0</v>
      </c>
      <c r="G2877" s="27">
        <f ca="1">ROUND(E2877*F2877,2)</f>
        <v>0</v>
      </c>
    </row>
    <row r="2878" spans="1:7" ht="15.48" thickBot="1" customHeight="1">
      <c r="A2878" s="30"/>
      <c r="B2878" s="30"/>
      <c r="C2878" s="30"/>
      <c r="D2878" s="31" t="s">
        <v>8705</v>
      </c>
      <c r="E2878" s="30"/>
      <c r="F2878" s="33">
        <f ca="1">ROUND((G2876+G2877)*(1+G2/100),2)</f>
        <v>0</v>
      </c>
      <c r="G2878" s="30"/>
    </row>
    <row r="2879" spans="1:7" ht="15.48" thickBot="1" customHeight="1">
      <c r="A2879" s="34" t="s">
        <v>8706</v>
      </c>
      <c r="B2879" s="35" t="s">
        <v>8707</v>
      </c>
      <c r="C2879" s="35" t="s">
        <v>8708</v>
      </c>
      <c r="D2879" s="36" t="s">
        <v>8709</v>
      </c>
      <c r="E2879" s="37"/>
      <c r="F2879" s="38">
        <f ca="1">F2893</f>
        <v>0</v>
      </c>
      <c r="G2879" s="37"/>
    </row>
    <row r="2880" spans="1:7" ht="113.76" thickBot="1" customHeight="1">
      <c r="A2880" s="26"/>
      <c r="B2880" s="26"/>
      <c r="C2880" s="26"/>
      <c r="D2880" s="25" t="s">
        <v>8710</v>
      </c>
      <c r="E2880" s="25"/>
      <c r="F2880" s="25"/>
      <c r="G2880" s="25"/>
    </row>
    <row r="2881" spans="1:7" ht="30.60" thickBot="1" customHeight="1">
      <c r="A2881" s="24" t="s">
        <v>8711</v>
      </c>
      <c r="B2881" s="24" t="s">
        <v>8712</v>
      </c>
      <c r="C2881" s="24" t="s">
        <v>8713</v>
      </c>
      <c r="D2881" s="25" t="s">
        <v>8714</v>
      </c>
      <c r="E2881" s="28">
        <v>0.11000</v>
      </c>
      <c r="F2881" s="29">
        <f ca="1">ROUND(23.460,3)</f>
        <v>0</v>
      </c>
      <c r="G2881" s="27">
        <f ca="1">ROUND(E2881*F2881,2)</f>
        <v>0</v>
      </c>
    </row>
    <row r="2882" spans="1:7" ht="21.36" thickBot="1" customHeight="1">
      <c r="A2882" s="24" t="s">
        <v>8715</v>
      </c>
      <c r="B2882" s="24" t="s">
        <v>8716</v>
      </c>
      <c r="C2882" s="24" t="s">
        <v>8717</v>
      </c>
      <c r="D2882" s="25" t="s">
        <v>8718</v>
      </c>
      <c r="E2882" s="28">
        <v>0.05000</v>
      </c>
      <c r="F2882" s="29">
        <f ca="1">ROUND(30.170,3)</f>
        <v>0</v>
      </c>
      <c r="G2882" s="27">
        <f ca="1">ROUND(E2882*F2882,2)</f>
        <v>0</v>
      </c>
    </row>
    <row r="2883" spans="1:7" ht="30.60" thickBot="1" customHeight="1">
      <c r="A2883" s="24" t="s">
        <v>8719</v>
      </c>
      <c r="B2883" s="24" t="s">
        <v>8720</v>
      </c>
      <c r="C2883" s="24" t="s">
        <v>8721</v>
      </c>
      <c r="D2883" s="25" t="s">
        <v>8722</v>
      </c>
      <c r="E2883" s="28">
        <v>0.03000</v>
      </c>
      <c r="F2883" s="29">
        <f ca="1">ROUND(21.500,3)</f>
        <v>0</v>
      </c>
      <c r="G2883" s="27">
        <f ca="1">ROUND(E2883*F2883,2)</f>
        <v>0</v>
      </c>
    </row>
    <row r="2884" spans="1:7" ht="21.36" thickBot="1" customHeight="1">
      <c r="A2884" s="24" t="s">
        <v>8723</v>
      </c>
      <c r="B2884" s="24" t="s">
        <v>8724</v>
      </c>
      <c r="C2884" s="24" t="s">
        <v>8725</v>
      </c>
      <c r="D2884" s="25" t="s">
        <v>8726</v>
      </c>
      <c r="E2884" s="28">
        <v>10.00000</v>
      </c>
      <c r="F2884" s="29">
        <f ca="1">ROUND(3.540,3)</f>
        <v>0</v>
      </c>
      <c r="G2884" s="27">
        <f ca="1">ROUND(E2884*F2884,2)</f>
        <v>0</v>
      </c>
    </row>
    <row r="2885" spans="1:7" ht="21.36" thickBot="1" customHeight="1">
      <c r="A2885" s="24" t="s">
        <v>8727</v>
      </c>
      <c r="B2885" s="24" t="s">
        <v>8728</v>
      </c>
      <c r="C2885" s="24" t="s">
        <v>8729</v>
      </c>
      <c r="D2885" s="25" t="s">
        <v>8730</v>
      </c>
      <c r="E2885" s="28">
        <v>0.01000</v>
      </c>
      <c r="F2885" s="29">
        <f ca="1">ROUND(60.940,3)</f>
        <v>0</v>
      </c>
      <c r="G2885" s="27">
        <f ca="1">ROUND(E2885*F2885,2)</f>
        <v>0</v>
      </c>
    </row>
    <row r="2886" spans="1:7" ht="21.36" thickBot="1" customHeight="1">
      <c r="A2886" s="24" t="s">
        <v>8731</v>
      </c>
      <c r="B2886" s="24" t="s">
        <v>8732</v>
      </c>
      <c r="C2886" s="24" t="s">
        <v>8733</v>
      </c>
      <c r="D2886" s="25" t="s">
        <v>8734</v>
      </c>
      <c r="E2886" s="28">
        <v>22.00000</v>
      </c>
      <c r="F2886" s="29">
        <f ca="1">ROUND(2.280,3)</f>
        <v>0</v>
      </c>
      <c r="G2886" s="27">
        <f ca="1">ROUND(E2886*F2886,2)</f>
        <v>0</v>
      </c>
    </row>
    <row r="2887" spans="1:7" ht="21.36" thickBot="1" customHeight="1">
      <c r="A2887" s="24" t="s">
        <v>8735</v>
      </c>
      <c r="B2887" s="24" t="s">
        <v>8736</v>
      </c>
      <c r="C2887" s="24" t="s">
        <v>8737</v>
      </c>
      <c r="D2887" s="25" t="s">
        <v>8738</v>
      </c>
      <c r="E2887" s="28">
        <v>1.70000</v>
      </c>
      <c r="F2887" s="29">
        <f ca="1">F2891</f>
        <v>0</v>
      </c>
      <c r="G2887" s="27">
        <f ca="1">ROUND(E2887*F2887,2)</f>
        <v>0</v>
      </c>
    </row>
    <row r="2888" spans="1:7" ht="24.36" thickBot="1" customHeight="1">
      <c r="A2888" s="24" t="s">
        <v>8739</v>
      </c>
      <c r="B2888" s="24" t="s">
        <v>8740</v>
      </c>
      <c r="C2888" s="24" t="s">
        <v>8741</v>
      </c>
      <c r="D2888" s="25" t="s">
        <v>8742</v>
      </c>
      <c r="E2888" s="28">
        <v>1.00000</v>
      </c>
      <c r="F2888" s="29">
        <f ca="1">ROUND(21.000,3)</f>
        <v>0</v>
      </c>
      <c r="G2888" s="27">
        <f ca="1">ROUND(E2888*F2888,2)</f>
        <v>0</v>
      </c>
    </row>
    <row r="2889" spans="1:7" ht="24.36" thickBot="1" customHeight="1">
      <c r="A2889" s="24" t="s">
        <v>8743</v>
      </c>
      <c r="B2889" s="24" t="s">
        <v>8744</v>
      </c>
      <c r="C2889" s="24" t="s">
        <v>8745</v>
      </c>
      <c r="D2889" s="25" t="s">
        <v>8746</v>
      </c>
      <c r="E2889" s="28">
        <v>1.00000</v>
      </c>
      <c r="F2889" s="29">
        <f ca="1">ROUND(19.000,3)</f>
        <v>0</v>
      </c>
      <c r="G2889" s="27">
        <f ca="1">ROUND(E2889*F2889,2)</f>
        <v>0</v>
      </c>
    </row>
    <row r="2890" spans="1:7" ht="24.36" thickBot="1" customHeight="1">
      <c r="A2890" s="24" t="s">
        <v>8747</v>
      </c>
      <c r="B2890" s="24" t="s">
        <v>8748</v>
      </c>
      <c r="C2890" s="24" t="s">
        <v>8749</v>
      </c>
      <c r="D2890" s="25" t="s">
        <v>8750</v>
      </c>
      <c r="E2890" s="28">
        <v>0.20000</v>
      </c>
      <c r="F2890" s="29">
        <f ca="1">ROUND(19.000,3)</f>
        <v>0</v>
      </c>
      <c r="G2890" s="27">
        <f ca="1">ROUND(E2890*F2890,2)</f>
        <v>0</v>
      </c>
    </row>
    <row r="2891" spans="1:7" ht="15.12" thickBot="1" customHeight="1">
      <c r="A2891" s="26"/>
      <c r="B2891" s="26"/>
      <c r="C2891" s="26"/>
      <c r="D2891" s="24" t="s">
        <v>8751</v>
      </c>
      <c r="E2891" s="28">
        <v>1.70000</v>
      </c>
      <c r="F2891" s="29">
        <f ca="1">ROUND((G2888+G2889+G2890),3)</f>
        <v>0</v>
      </c>
      <c r="G2891" s="27">
        <f ca="1">ROUND(E2891*F2891,2)</f>
        <v>0</v>
      </c>
    </row>
    <row r="2892" spans="1:7" ht="15.12" thickBot="1" customHeight="1">
      <c r="A2892" s="24" t="s">
        <v>8752</v>
      </c>
      <c r="B2892" s="24"/>
      <c r="C2892" s="24" t="s">
        <v>8753</v>
      </c>
      <c r="D2892" s="25" t="s">
        <v>8754</v>
      </c>
      <c r="E2892" s="28">
        <v>3.00000</v>
      </c>
      <c r="F2892" s="29">
        <f ca="1">ROUND(74.460,3)</f>
        <v>0</v>
      </c>
      <c r="G2892" s="27">
        <f ca="1">ROUND((E2892*F2892)/100,2)</f>
        <v>0</v>
      </c>
    </row>
    <row r="2893" spans="1:7" ht="15.48" thickBot="1" customHeight="1">
      <c r="A2893" s="30"/>
      <c r="B2893" s="30"/>
      <c r="C2893" s="30"/>
      <c r="D2893" s="31" t="s">
        <v>8755</v>
      </c>
      <c r="E2893" s="30"/>
      <c r="F2893" s="33">
        <f ca="1">ROUND((G2881+G2882+G2883+G2884+G2885+G2886+G2887+G2892)*(1+G2/100),2)</f>
        <v>0</v>
      </c>
      <c r="G2893" s="30"/>
    </row>
    <row r="2894" spans="1:7" ht="15.48" thickBot="1" customHeight="1">
      <c r="A2894" s="34" t="s">
        <v>8756</v>
      </c>
      <c r="B2894" s="35" t="s">
        <v>8757</v>
      </c>
      <c r="C2894" s="35" t="s">
        <v>8758</v>
      </c>
      <c r="D2894" s="36" t="s">
        <v>8759</v>
      </c>
      <c r="E2894" s="37"/>
      <c r="F2894" s="38">
        <f ca="1">F2906</f>
        <v>0</v>
      </c>
      <c r="G2894" s="37"/>
    </row>
    <row r="2895" spans="1:7" ht="30.60" thickBot="1" customHeight="1">
      <c r="A2895" s="26"/>
      <c r="B2895" s="26"/>
      <c r="C2895" s="26"/>
      <c r="D2895" s="25" t="s">
        <v>8760</v>
      </c>
      <c r="E2895" s="25"/>
      <c r="F2895" s="25"/>
      <c r="G2895" s="25"/>
    </row>
    <row r="2896" spans="1:7" ht="39.84" thickBot="1" customHeight="1">
      <c r="A2896" s="24" t="s">
        <v>8761</v>
      </c>
      <c r="B2896" s="24" t="s">
        <v>8762</v>
      </c>
      <c r="C2896" s="24" t="s">
        <v>8763</v>
      </c>
      <c r="D2896" s="25" t="s">
        <v>8764</v>
      </c>
      <c r="E2896" s="28">
        <v>0.10000</v>
      </c>
      <c r="F2896" s="29">
        <f ca="1">ROUND(7.370,3)</f>
        <v>0</v>
      </c>
      <c r="G2896" s="27">
        <f ca="1">ROUND(E2896*F2896,2)</f>
        <v>0</v>
      </c>
    </row>
    <row r="2897" spans="1:7" ht="39.84" thickBot="1" customHeight="1">
      <c r="A2897" s="24" t="s">
        <v>8765</v>
      </c>
      <c r="B2897" s="24" t="s">
        <v>8766</v>
      </c>
      <c r="C2897" s="24" t="s">
        <v>8767</v>
      </c>
      <c r="D2897" s="25" t="s">
        <v>8768</v>
      </c>
      <c r="E2897" s="28">
        <v>0.25000</v>
      </c>
      <c r="F2897" s="29">
        <f ca="1">ROUND(11.380,3)</f>
        <v>0</v>
      </c>
      <c r="G2897" s="27">
        <f ca="1">ROUND(E2897*F2897,2)</f>
        <v>0</v>
      </c>
    </row>
    <row r="2898" spans="1:7" ht="30.60" thickBot="1" customHeight="1">
      <c r="A2898" s="24" t="s">
        <v>8769</v>
      </c>
      <c r="B2898" s="24" t="s">
        <v>8770</v>
      </c>
      <c r="C2898" s="24" t="s">
        <v>8771</v>
      </c>
      <c r="D2898" s="25" t="s">
        <v>8772</v>
      </c>
      <c r="E2898" s="28">
        <v>0.10000</v>
      </c>
      <c r="F2898" s="29">
        <f ca="1">ROUND(4.920,3)</f>
        <v>0</v>
      </c>
      <c r="G2898" s="27">
        <f ca="1">ROUND(E2898*F2898,2)</f>
        <v>0</v>
      </c>
    </row>
    <row r="2899" spans="1:7" ht="21.36" thickBot="1" customHeight="1">
      <c r="A2899" s="24" t="s">
        <v>8773</v>
      </c>
      <c r="B2899" s="24" t="s">
        <v>8774</v>
      </c>
      <c r="C2899" s="24" t="s">
        <v>8775</v>
      </c>
      <c r="D2899" s="25" t="s">
        <v>8776</v>
      </c>
      <c r="E2899" s="28">
        <v>0.10000</v>
      </c>
      <c r="F2899" s="29">
        <f ca="1">ROUND(5.520,3)</f>
        <v>0</v>
      </c>
      <c r="G2899" s="27">
        <f ca="1">ROUND(E2899*F2899,2)</f>
        <v>0</v>
      </c>
    </row>
    <row r="2900" spans="1:7" ht="21.36" thickBot="1" customHeight="1">
      <c r="A2900" s="24" t="s">
        <v>8777</v>
      </c>
      <c r="B2900" s="24" t="s">
        <v>8778</v>
      </c>
      <c r="C2900" s="24" t="s">
        <v>8779</v>
      </c>
      <c r="D2900" s="25" t="s">
        <v>8780</v>
      </c>
      <c r="E2900" s="28">
        <v>0.18000</v>
      </c>
      <c r="F2900" s="29">
        <f ca="1">F2904</f>
        <v>0</v>
      </c>
      <c r="G2900" s="27">
        <f ca="1">ROUND(E2900*F2900,2)</f>
        <v>0</v>
      </c>
    </row>
    <row r="2901" spans="1:7" ht="24.36" thickBot="1" customHeight="1">
      <c r="A2901" s="24" t="s">
        <v>8781</v>
      </c>
      <c r="B2901" s="24" t="s">
        <v>8782</v>
      </c>
      <c r="C2901" s="24" t="s">
        <v>8783</v>
      </c>
      <c r="D2901" s="25" t="s">
        <v>8784</v>
      </c>
      <c r="E2901" s="28">
        <v>1.00000</v>
      </c>
      <c r="F2901" s="29">
        <f ca="1">ROUND(21.000,3)</f>
        <v>0</v>
      </c>
      <c r="G2901" s="27">
        <f ca="1">ROUND(E2901*F2901,2)</f>
        <v>0</v>
      </c>
    </row>
    <row r="2902" spans="1:7" ht="24.36" thickBot="1" customHeight="1">
      <c r="A2902" s="24" t="s">
        <v>8785</v>
      </c>
      <c r="B2902" s="24" t="s">
        <v>8786</v>
      </c>
      <c r="C2902" s="24" t="s">
        <v>8787</v>
      </c>
      <c r="D2902" s="25" t="s">
        <v>8788</v>
      </c>
      <c r="E2902" s="28">
        <v>1.00000</v>
      </c>
      <c r="F2902" s="29">
        <f ca="1">ROUND(19.000,3)</f>
        <v>0</v>
      </c>
      <c r="G2902" s="27">
        <f ca="1">ROUND(E2902*F2902,2)</f>
        <v>0</v>
      </c>
    </row>
    <row r="2903" spans="1:7" ht="24.36" thickBot="1" customHeight="1">
      <c r="A2903" s="24" t="s">
        <v>8789</v>
      </c>
      <c r="B2903" s="24" t="s">
        <v>8790</v>
      </c>
      <c r="C2903" s="24" t="s">
        <v>8791</v>
      </c>
      <c r="D2903" s="25" t="s">
        <v>8792</v>
      </c>
      <c r="E2903" s="28">
        <v>0.20000</v>
      </c>
      <c r="F2903" s="29">
        <f ca="1">ROUND(19.000,3)</f>
        <v>0</v>
      </c>
      <c r="G2903" s="27">
        <f ca="1">ROUND(E2903*F2903,2)</f>
        <v>0</v>
      </c>
    </row>
    <row r="2904" spans="1:7" ht="15.12" thickBot="1" customHeight="1">
      <c r="A2904" s="26"/>
      <c r="B2904" s="26"/>
      <c r="C2904" s="26"/>
      <c r="D2904" s="24" t="s">
        <v>8793</v>
      </c>
      <c r="E2904" s="28">
        <v>0.18000</v>
      </c>
      <c r="F2904" s="29">
        <f ca="1">ROUND((G2901+G2902+G2903),3)</f>
        <v>0</v>
      </c>
      <c r="G2904" s="27">
        <f ca="1">ROUND(E2904*F2904,2)</f>
        <v>0</v>
      </c>
    </row>
    <row r="2905" spans="1:7" ht="15.12" thickBot="1" customHeight="1">
      <c r="A2905" s="24" t="s">
        <v>8794</v>
      </c>
      <c r="B2905" s="24"/>
      <c r="C2905" s="24" t="s">
        <v>8795</v>
      </c>
      <c r="D2905" s="25" t="s">
        <v>8796</v>
      </c>
      <c r="E2905" s="28">
        <v>3.00000</v>
      </c>
      <c r="F2905" s="29">
        <f ca="1">ROUND(7.880,3)</f>
        <v>0</v>
      </c>
      <c r="G2905" s="27">
        <f ca="1">ROUND((E2905*F2905)/100,2)</f>
        <v>0</v>
      </c>
    </row>
    <row r="2906" spans="1:7" ht="15.48" thickBot="1" customHeight="1">
      <c r="A2906" s="30"/>
      <c r="B2906" s="30"/>
      <c r="C2906" s="30"/>
      <c r="D2906" s="31" t="s">
        <v>8797</v>
      </c>
      <c r="E2906" s="30"/>
      <c r="F2906" s="33">
        <f ca="1">ROUND((G2896+G2897+G2898+G2899+G2900+G2905)*(1+G2/100),2)</f>
        <v>0</v>
      </c>
      <c r="G2906" s="30"/>
    </row>
    <row r="2907" spans="1:7" ht="15.48" thickBot="1" customHeight="1">
      <c r="A2907" s="34" t="s">
        <v>8798</v>
      </c>
      <c r="B2907" s="35" t="s">
        <v>8799</v>
      </c>
      <c r="C2907" s="35" t="s">
        <v>8800</v>
      </c>
      <c r="D2907" s="36" t="s">
        <v>8801</v>
      </c>
      <c r="E2907" s="37"/>
      <c r="F2907" s="38">
        <f ca="1">F2916</f>
        <v>0</v>
      </c>
      <c r="G2907" s="37"/>
    </row>
    <row r="2908" spans="1:7" ht="12.12" thickBot="1" customHeight="1">
      <c r="A2908" s="26"/>
      <c r="B2908" s="26"/>
      <c r="C2908" s="26"/>
      <c r="D2908" s="25" t="s">
        <v>8802</v>
      </c>
      <c r="E2908" s="25"/>
      <c r="F2908" s="25"/>
      <c r="G2908" s="25"/>
    </row>
    <row r="2909" spans="1:7" ht="39.84" thickBot="1" customHeight="1">
      <c r="A2909" s="24" t="s">
        <v>8803</v>
      </c>
      <c r="B2909" s="24" t="s">
        <v>8804</v>
      </c>
      <c r="C2909" s="24" t="s">
        <v>8805</v>
      </c>
      <c r="D2909" s="25" t="s">
        <v>8806</v>
      </c>
      <c r="E2909" s="28">
        <v>0.44000</v>
      </c>
      <c r="F2909" s="29">
        <f ca="1">ROUND(4.050,3)</f>
        <v>0</v>
      </c>
      <c r="G2909" s="27">
        <f ca="1">ROUND(E2909*F2909,2)</f>
        <v>0</v>
      </c>
    </row>
    <row r="2910" spans="1:7" ht="21.36" thickBot="1" customHeight="1">
      <c r="A2910" s="24" t="s">
        <v>8807</v>
      </c>
      <c r="B2910" s="24" t="s">
        <v>8808</v>
      </c>
      <c r="C2910" s="24" t="s">
        <v>8809</v>
      </c>
      <c r="D2910" s="25" t="s">
        <v>8810</v>
      </c>
      <c r="E2910" s="28">
        <v>0.15000</v>
      </c>
      <c r="F2910" s="29">
        <f ca="1">F2914</f>
        <v>0</v>
      </c>
      <c r="G2910" s="27">
        <f ca="1">ROUND(E2910*F2910,2)</f>
        <v>0</v>
      </c>
    </row>
    <row r="2911" spans="1:7" ht="24.36" thickBot="1" customHeight="1">
      <c r="A2911" s="24" t="s">
        <v>8811</v>
      </c>
      <c r="B2911" s="24" t="s">
        <v>8812</v>
      </c>
      <c r="C2911" s="24" t="s">
        <v>8813</v>
      </c>
      <c r="D2911" s="25" t="s">
        <v>8814</v>
      </c>
      <c r="E2911" s="28">
        <v>1.00000</v>
      </c>
      <c r="F2911" s="29">
        <f ca="1">ROUND(21.000,3)</f>
        <v>0</v>
      </c>
      <c r="G2911" s="27">
        <f ca="1">ROUND(E2911*F2911,2)</f>
        <v>0</v>
      </c>
    </row>
    <row r="2912" spans="1:7" ht="24.36" thickBot="1" customHeight="1">
      <c r="A2912" s="24" t="s">
        <v>8815</v>
      </c>
      <c r="B2912" s="24" t="s">
        <v>8816</v>
      </c>
      <c r="C2912" s="24" t="s">
        <v>8817</v>
      </c>
      <c r="D2912" s="25" t="s">
        <v>8818</v>
      </c>
      <c r="E2912" s="28">
        <v>1.00000</v>
      </c>
      <c r="F2912" s="29">
        <f ca="1">ROUND(19.000,3)</f>
        <v>0</v>
      </c>
      <c r="G2912" s="27">
        <f ca="1">ROUND(E2912*F2912,2)</f>
        <v>0</v>
      </c>
    </row>
    <row r="2913" spans="1:7" ht="24.36" thickBot="1" customHeight="1">
      <c r="A2913" s="24" t="s">
        <v>8819</v>
      </c>
      <c r="B2913" s="24" t="s">
        <v>8820</v>
      </c>
      <c r="C2913" s="24" t="s">
        <v>8821</v>
      </c>
      <c r="D2913" s="25" t="s">
        <v>8822</v>
      </c>
      <c r="E2913" s="28">
        <v>0.20000</v>
      </c>
      <c r="F2913" s="29">
        <f ca="1">ROUND(19.000,3)</f>
        <v>0</v>
      </c>
      <c r="G2913" s="27">
        <f ca="1">ROUND(E2913*F2913,2)</f>
        <v>0</v>
      </c>
    </row>
    <row r="2914" spans="1:7" ht="15.12" thickBot="1" customHeight="1">
      <c r="A2914" s="26"/>
      <c r="B2914" s="26"/>
      <c r="C2914" s="26"/>
      <c r="D2914" s="24" t="s">
        <v>8823</v>
      </c>
      <c r="E2914" s="28">
        <v>0.15000</v>
      </c>
      <c r="F2914" s="29">
        <f ca="1">ROUND((G2911+G2912+G2913),3)</f>
        <v>0</v>
      </c>
      <c r="G2914" s="27">
        <f ca="1">ROUND(E2914*F2914,2)</f>
        <v>0</v>
      </c>
    </row>
    <row r="2915" spans="1:7" ht="15.12" thickBot="1" customHeight="1">
      <c r="A2915" s="24" t="s">
        <v>8824</v>
      </c>
      <c r="B2915" s="24"/>
      <c r="C2915" s="24" t="s">
        <v>8825</v>
      </c>
      <c r="D2915" s="25" t="s">
        <v>8826</v>
      </c>
      <c r="E2915" s="28">
        <v>3.00000</v>
      </c>
      <c r="F2915" s="29">
        <f ca="1">ROUND(6.570,3)</f>
        <v>0</v>
      </c>
      <c r="G2915" s="27">
        <f ca="1">ROUND((E2915*F2915)/100,2)</f>
        <v>0</v>
      </c>
    </row>
    <row r="2916" spans="1:7" ht="15.48" thickBot="1" customHeight="1">
      <c r="A2916" s="30"/>
      <c r="B2916" s="30"/>
      <c r="C2916" s="30"/>
      <c r="D2916" s="31" t="s">
        <v>8827</v>
      </c>
      <c r="E2916" s="30"/>
      <c r="F2916" s="33">
        <f ca="1">ROUND((G2909+G2910+G2915)*(1+G2/100),2)</f>
        <v>0</v>
      </c>
      <c r="G2916" s="30"/>
    </row>
    <row r="2917" spans="1:7" ht="30.60" thickBot="1" customHeight="1">
      <c r="A2917" s="34" t="s">
        <v>8828</v>
      </c>
      <c r="B2917" s="35" t="s">
        <v>8829</v>
      </c>
      <c r="C2917" s="35" t="s">
        <v>8830</v>
      </c>
      <c r="D2917" s="36" t="s">
        <v>8831</v>
      </c>
      <c r="E2917" s="37"/>
      <c r="F2917" s="38">
        <f ca="1">F2928</f>
        <v>0</v>
      </c>
      <c r="G2917" s="37"/>
    </row>
    <row r="2918" spans="1:7" ht="326.28" thickBot="1" customHeight="1">
      <c r="A2918" s="26"/>
      <c r="B2918" s="26"/>
      <c r="C2918" s="26"/>
      <c r="D2918" s="25" t="s">
        <v>8832</v>
      </c>
      <c r="E2918" s="25"/>
      <c r="F2918" s="25"/>
      <c r="G2918" s="25"/>
    </row>
    <row r="2919" spans="1:7" ht="67.56" thickBot="1" customHeight="1">
      <c r="A2919" s="24" t="s">
        <v>8833</v>
      </c>
      <c r="B2919" s="24" t="s">
        <v>8834</v>
      </c>
      <c r="C2919" s="24" t="s">
        <v>8835</v>
      </c>
      <c r="D2919" s="25" t="s">
        <v>8836</v>
      </c>
      <c r="E2919" s="28">
        <v>0.27500</v>
      </c>
      <c r="F2919" s="29">
        <f ca="1">ROUND(37.710,3)</f>
        <v>0</v>
      </c>
      <c r="G2919" s="27">
        <f ca="1">ROUND(E2919*F2919,2)</f>
        <v>0</v>
      </c>
    </row>
    <row r="2920" spans="1:7" ht="76.80" thickBot="1" customHeight="1">
      <c r="A2920" s="24" t="s">
        <v>8837</v>
      </c>
      <c r="B2920" s="24" t="s">
        <v>8838</v>
      </c>
      <c r="C2920" s="24" t="s">
        <v>8839</v>
      </c>
      <c r="D2920" s="25" t="s">
        <v>8840</v>
      </c>
      <c r="E2920" s="28">
        <v>1.10000</v>
      </c>
      <c r="F2920" s="29">
        <f ca="1">ROUND(228.670,3)</f>
        <v>0</v>
      </c>
      <c r="G2920" s="27">
        <f ca="1">ROUND(E2920*F2920,2)</f>
        <v>0</v>
      </c>
    </row>
    <row r="2921" spans="1:7" ht="95.28" thickBot="1" customHeight="1">
      <c r="A2921" s="24" t="s">
        <v>8841</v>
      </c>
      <c r="B2921" s="24" t="s">
        <v>8842</v>
      </c>
      <c r="C2921" s="24" t="s">
        <v>8843</v>
      </c>
      <c r="D2921" s="25" t="s">
        <v>8844</v>
      </c>
      <c r="E2921" s="28">
        <v>1.05000</v>
      </c>
      <c r="F2921" s="29">
        <f ca="1">ROUND(33.400,3)</f>
        <v>0</v>
      </c>
      <c r="G2921" s="27">
        <f ca="1">ROUND(E2921*F2921,2)</f>
        <v>0</v>
      </c>
    </row>
    <row r="2922" spans="1:7" ht="21.36" thickBot="1" customHeight="1">
      <c r="A2922" s="24" t="s">
        <v>8845</v>
      </c>
      <c r="B2922" s="24" t="s">
        <v>8846</v>
      </c>
      <c r="C2922" s="24" t="s">
        <v>8847</v>
      </c>
      <c r="D2922" s="25" t="s">
        <v>8848</v>
      </c>
      <c r="E2922" s="28">
        <v>0.65000</v>
      </c>
      <c r="F2922" s="29">
        <f ca="1">F2926</f>
        <v>0</v>
      </c>
      <c r="G2922" s="27">
        <f ca="1">ROUND(E2922*F2922,2)</f>
        <v>0</v>
      </c>
    </row>
    <row r="2923" spans="1:7" ht="24.36" thickBot="1" customHeight="1">
      <c r="A2923" s="24" t="s">
        <v>8849</v>
      </c>
      <c r="B2923" s="24" t="s">
        <v>8850</v>
      </c>
      <c r="C2923" s="24" t="s">
        <v>8851</v>
      </c>
      <c r="D2923" s="25" t="s">
        <v>8852</v>
      </c>
      <c r="E2923" s="28">
        <v>1.00000</v>
      </c>
      <c r="F2923" s="29">
        <f ca="1">ROUND(21.000,3)</f>
        <v>0</v>
      </c>
      <c r="G2923" s="27">
        <f ca="1">ROUND(E2923*F2923,2)</f>
        <v>0</v>
      </c>
    </row>
    <row r="2924" spans="1:7" ht="24.36" thickBot="1" customHeight="1">
      <c r="A2924" s="24" t="s">
        <v>8853</v>
      </c>
      <c r="B2924" s="24" t="s">
        <v>8854</v>
      </c>
      <c r="C2924" s="24" t="s">
        <v>8855</v>
      </c>
      <c r="D2924" s="25" t="s">
        <v>8856</v>
      </c>
      <c r="E2924" s="28">
        <v>1.00000</v>
      </c>
      <c r="F2924" s="29">
        <f ca="1">ROUND(19.000,3)</f>
        <v>0</v>
      </c>
      <c r="G2924" s="27">
        <f ca="1">ROUND(E2924*F2924,2)</f>
        <v>0</v>
      </c>
    </row>
    <row r="2925" spans="1:7" ht="24.36" thickBot="1" customHeight="1">
      <c r="A2925" s="24" t="s">
        <v>8857</v>
      </c>
      <c r="B2925" s="24" t="s">
        <v>8858</v>
      </c>
      <c r="C2925" s="24" t="s">
        <v>8859</v>
      </c>
      <c r="D2925" s="25" t="s">
        <v>8860</v>
      </c>
      <c r="E2925" s="28">
        <v>0.20000</v>
      </c>
      <c r="F2925" s="29">
        <f ca="1">ROUND(19.000,3)</f>
        <v>0</v>
      </c>
      <c r="G2925" s="27">
        <f ca="1">ROUND(E2925*F2925,2)</f>
        <v>0</v>
      </c>
    </row>
    <row r="2926" spans="1:7" ht="15.12" thickBot="1" customHeight="1">
      <c r="A2926" s="26"/>
      <c r="B2926" s="26"/>
      <c r="C2926" s="26"/>
      <c r="D2926" s="24" t="s">
        <v>8861</v>
      </c>
      <c r="E2926" s="28">
        <v>0.65000</v>
      </c>
      <c r="F2926" s="29">
        <f ca="1">ROUND((G2923+G2924+G2925),3)</f>
        <v>0</v>
      </c>
      <c r="G2926" s="27">
        <f ca="1">ROUND(E2926*F2926,2)</f>
        <v>0</v>
      </c>
    </row>
    <row r="2927" spans="1:7" ht="15.12" thickBot="1" customHeight="1">
      <c r="A2927" s="24" t="s">
        <v>8862</v>
      </c>
      <c r="B2927" s="24"/>
      <c r="C2927" s="24" t="s">
        <v>8863</v>
      </c>
      <c r="D2927" s="25" t="s">
        <v>8864</v>
      </c>
      <c r="E2927" s="28">
        <v>3.00000</v>
      </c>
      <c r="F2927" s="29">
        <f ca="1">ROUND(28.470,3)</f>
        <v>0</v>
      </c>
      <c r="G2927" s="27">
        <f ca="1">ROUND((E2927*F2927)/100,2)</f>
        <v>0</v>
      </c>
    </row>
    <row r="2928" spans="1:7" ht="15.48" thickBot="1" customHeight="1">
      <c r="A2928" s="30"/>
      <c r="B2928" s="30"/>
      <c r="C2928" s="30"/>
      <c r="D2928" s="31" t="s">
        <v>8865</v>
      </c>
      <c r="E2928" s="30"/>
      <c r="F2928" s="33">
        <f ca="1">ROUND((G2919+G2920+G2921+G2922+G2927)*(1+G2/100),2)</f>
        <v>0</v>
      </c>
      <c r="G2928" s="30"/>
    </row>
    <row r="2929" spans="1:7" ht="15.48" thickBot="1" customHeight="1">
      <c r="A2929" s="34" t="s">
        <v>8866</v>
      </c>
      <c r="B2929" s="35" t="s">
        <v>8867</v>
      </c>
      <c r="C2929" s="35" t="s">
        <v>8868</v>
      </c>
      <c r="D2929" s="36" t="s">
        <v>8869</v>
      </c>
      <c r="E2929" s="37"/>
      <c r="F2929" s="38">
        <f ca="1">F2941</f>
        <v>0</v>
      </c>
      <c r="G2929" s="37"/>
    </row>
    <row r="2930" spans="1:7" ht="67.56" thickBot="1" customHeight="1">
      <c r="A2930" s="26"/>
      <c r="B2930" s="26"/>
      <c r="C2930" s="26"/>
      <c r="D2930" s="25" t="s">
        <v>8870</v>
      </c>
      <c r="E2930" s="25"/>
      <c r="F2930" s="25"/>
      <c r="G2930" s="25"/>
    </row>
    <row r="2931" spans="1:7" ht="30.60" thickBot="1" customHeight="1">
      <c r="A2931" s="24" t="s">
        <v>8871</v>
      </c>
      <c r="B2931" s="24" t="s">
        <v>8872</v>
      </c>
      <c r="C2931" s="24" t="s">
        <v>8873</v>
      </c>
      <c r="D2931" s="25" t="s">
        <v>8874</v>
      </c>
      <c r="E2931" s="28">
        <v>0.11000</v>
      </c>
      <c r="F2931" s="29">
        <f ca="1">ROUND(23.460,3)</f>
        <v>0</v>
      </c>
      <c r="G2931" s="27">
        <f ca="1">ROUND(E2931*F2931,2)</f>
        <v>0</v>
      </c>
    </row>
    <row r="2932" spans="1:7" ht="21.36" thickBot="1" customHeight="1">
      <c r="A2932" s="24" t="s">
        <v>8875</v>
      </c>
      <c r="B2932" s="24" t="s">
        <v>8876</v>
      </c>
      <c r="C2932" s="24" t="s">
        <v>8877</v>
      </c>
      <c r="D2932" s="25" t="s">
        <v>8878</v>
      </c>
      <c r="E2932" s="28">
        <v>0.05000</v>
      </c>
      <c r="F2932" s="29">
        <f ca="1">ROUND(30.170,3)</f>
        <v>0</v>
      </c>
      <c r="G2932" s="27">
        <f ca="1">ROUND(E2932*F2932,2)</f>
        <v>0</v>
      </c>
    </row>
    <row r="2933" spans="1:7" ht="30.60" thickBot="1" customHeight="1">
      <c r="A2933" s="24" t="s">
        <v>8879</v>
      </c>
      <c r="B2933" s="24" t="s">
        <v>8880</v>
      </c>
      <c r="C2933" s="24" t="s">
        <v>8881</v>
      </c>
      <c r="D2933" s="25" t="s">
        <v>8882</v>
      </c>
      <c r="E2933" s="28">
        <v>0.03000</v>
      </c>
      <c r="F2933" s="29">
        <f ca="1">ROUND(21.500,3)</f>
        <v>0</v>
      </c>
      <c r="G2933" s="27">
        <f ca="1">ROUND(E2933*F2933,2)</f>
        <v>0</v>
      </c>
    </row>
    <row r="2934" spans="1:7" ht="21.36" thickBot="1" customHeight="1">
      <c r="A2934" s="24" t="s">
        <v>8883</v>
      </c>
      <c r="B2934" s="24" t="s">
        <v>8884</v>
      </c>
      <c r="C2934" s="24" t="s">
        <v>8885</v>
      </c>
      <c r="D2934" s="25" t="s">
        <v>8886</v>
      </c>
      <c r="E2934" s="28">
        <v>0.01000</v>
      </c>
      <c r="F2934" s="29">
        <f ca="1">ROUND(60.940,3)</f>
        <v>0</v>
      </c>
      <c r="G2934" s="27">
        <f ca="1">ROUND(E2934*F2934,2)</f>
        <v>0</v>
      </c>
    </row>
    <row r="2935" spans="1:7" ht="21.36" thickBot="1" customHeight="1">
      <c r="A2935" s="24" t="s">
        <v>8887</v>
      </c>
      <c r="B2935" s="24" t="s">
        <v>8888</v>
      </c>
      <c r="C2935" s="24" t="s">
        <v>8889</v>
      </c>
      <c r="D2935" s="25" t="s">
        <v>8890</v>
      </c>
      <c r="E2935" s="28">
        <v>1.50000</v>
      </c>
      <c r="F2935" s="29">
        <f ca="1">F2939</f>
        <v>0</v>
      </c>
      <c r="G2935" s="27">
        <f ca="1">ROUND(E2935*F2935,2)</f>
        <v>0</v>
      </c>
    </row>
    <row r="2936" spans="1:7" ht="24.36" thickBot="1" customHeight="1">
      <c r="A2936" s="24" t="s">
        <v>8891</v>
      </c>
      <c r="B2936" s="24" t="s">
        <v>8892</v>
      </c>
      <c r="C2936" s="24" t="s">
        <v>8893</v>
      </c>
      <c r="D2936" s="25" t="s">
        <v>8894</v>
      </c>
      <c r="E2936" s="28">
        <v>1.00000</v>
      </c>
      <c r="F2936" s="29">
        <f ca="1">ROUND(21.000,3)</f>
        <v>0</v>
      </c>
      <c r="G2936" s="27">
        <f ca="1">ROUND(E2936*F2936,2)</f>
        <v>0</v>
      </c>
    </row>
    <row r="2937" spans="1:7" ht="24.36" thickBot="1" customHeight="1">
      <c r="A2937" s="24" t="s">
        <v>8895</v>
      </c>
      <c r="B2937" s="24" t="s">
        <v>8896</v>
      </c>
      <c r="C2937" s="24" t="s">
        <v>8897</v>
      </c>
      <c r="D2937" s="25" t="s">
        <v>8898</v>
      </c>
      <c r="E2937" s="28">
        <v>1.00000</v>
      </c>
      <c r="F2937" s="29">
        <f ca="1">ROUND(19.000,3)</f>
        <v>0</v>
      </c>
      <c r="G2937" s="27">
        <f ca="1">ROUND(E2937*F2937,2)</f>
        <v>0</v>
      </c>
    </row>
    <row r="2938" spans="1:7" ht="24.36" thickBot="1" customHeight="1">
      <c r="A2938" s="24" t="s">
        <v>8899</v>
      </c>
      <c r="B2938" s="24" t="s">
        <v>8900</v>
      </c>
      <c r="C2938" s="24" t="s">
        <v>8901</v>
      </c>
      <c r="D2938" s="25" t="s">
        <v>8902</v>
      </c>
      <c r="E2938" s="28">
        <v>0.20000</v>
      </c>
      <c r="F2938" s="29">
        <f ca="1">ROUND(19.000,3)</f>
        <v>0</v>
      </c>
      <c r="G2938" s="27">
        <f ca="1">ROUND(E2938*F2938,2)</f>
        <v>0</v>
      </c>
    </row>
    <row r="2939" spans="1:7" ht="15.12" thickBot="1" customHeight="1">
      <c r="A2939" s="26"/>
      <c r="B2939" s="26"/>
      <c r="C2939" s="26"/>
      <c r="D2939" s="24" t="s">
        <v>8903</v>
      </c>
      <c r="E2939" s="28">
        <v>1.50000</v>
      </c>
      <c r="F2939" s="29">
        <f ca="1">ROUND((G2936+G2937+G2938),3)</f>
        <v>0</v>
      </c>
      <c r="G2939" s="27">
        <f ca="1">ROUND(E2939*F2939,2)</f>
        <v>0</v>
      </c>
    </row>
    <row r="2940" spans="1:7" ht="15.12" thickBot="1" customHeight="1">
      <c r="A2940" s="24" t="s">
        <v>8904</v>
      </c>
      <c r="B2940" s="24"/>
      <c r="C2940" s="24" t="s">
        <v>8905</v>
      </c>
      <c r="D2940" s="25" t="s">
        <v>8906</v>
      </c>
      <c r="E2940" s="28">
        <v>3.00000</v>
      </c>
      <c r="F2940" s="29">
        <f ca="1">ROUND(65.700,3)</f>
        <v>0</v>
      </c>
      <c r="G2940" s="27">
        <f ca="1">ROUND((E2940*F2940)/100,2)</f>
        <v>0</v>
      </c>
    </row>
    <row r="2941" spans="1:7" ht="15.48" thickBot="1" customHeight="1">
      <c r="A2941" s="30"/>
      <c r="B2941" s="30"/>
      <c r="C2941" s="30"/>
      <c r="D2941" s="31" t="s">
        <v>8907</v>
      </c>
      <c r="E2941" s="30"/>
      <c r="F2941" s="33">
        <f ca="1">ROUND((G2931+G2932+G2933+G2934+G2935+G2940)*(1+G2/100),2)</f>
        <v>0</v>
      </c>
      <c r="G2941" s="30"/>
    </row>
    <row r="2942" spans="1:7" ht="25.08" thickBot="1" customHeight="1">
      <c r="A2942" s="34" t="s">
        <v>8908</v>
      </c>
      <c r="B2942" s="35" t="s">
        <v>8909</v>
      </c>
      <c r="C2942" s="35" t="s">
        <v>8910</v>
      </c>
      <c r="D2942" s="36" t="s">
        <v>8911</v>
      </c>
      <c r="E2942" s="37"/>
      <c r="F2942" s="38">
        <f ca="1">F2963</f>
        <v>0</v>
      </c>
      <c r="G2942" s="37"/>
    </row>
    <row r="2943" spans="1:7" ht="39.84" thickBot="1" customHeight="1">
      <c r="A2943" s="26"/>
      <c r="B2943" s="26"/>
      <c r="C2943" s="26"/>
      <c r="D2943" s="25" t="s">
        <v>8912</v>
      </c>
      <c r="E2943" s="25"/>
      <c r="F2943" s="25"/>
      <c r="G2943" s="25"/>
    </row>
    <row r="2944" spans="1:7" ht="49.08" thickBot="1" customHeight="1">
      <c r="A2944" s="24" t="s">
        <v>8913</v>
      </c>
      <c r="B2944" s="24" t="s">
        <v>8914</v>
      </c>
      <c r="C2944" s="24" t="s">
        <v>8915</v>
      </c>
      <c r="D2944" s="25" t="s">
        <v>8916</v>
      </c>
      <c r="E2944" s="28">
        <v>4.70000</v>
      </c>
      <c r="F2944" s="29">
        <f ca="1">F2947</f>
        <v>0</v>
      </c>
      <c r="G2944" s="27">
        <f ca="1">ROUND(E2944*F2944,2)</f>
        <v>0</v>
      </c>
    </row>
    <row r="2945" spans="1:7" ht="21.36" thickBot="1" customHeight="1">
      <c r="A2945" s="24" t="s">
        <v>8917</v>
      </c>
      <c r="B2945" s="24" t="s">
        <v>8918</v>
      </c>
      <c r="C2945" s="24" t="s">
        <v>8919</v>
      </c>
      <c r="D2945" s="25" t="s">
        <v>8920</v>
      </c>
      <c r="E2945" s="28">
        <v>0.50000</v>
      </c>
      <c r="F2945" s="29">
        <f ca="1">ROUND(43.800,3)</f>
        <v>0</v>
      </c>
      <c r="G2945" s="27">
        <f ca="1">ROUND(E2945*F2945,2)</f>
        <v>0</v>
      </c>
    </row>
    <row r="2946" spans="1:7" ht="15.12" thickBot="1" customHeight="1">
      <c r="A2946" s="24" t="s">
        <v>8921</v>
      </c>
      <c r="B2946" s="24"/>
      <c r="C2946" s="24" t="s">
        <v>8922</v>
      </c>
      <c r="D2946" s="25" t="s">
        <v>8923</v>
      </c>
      <c r="E2946" s="28">
        <v>5.00000</v>
      </c>
      <c r="F2946" s="29">
        <f ca="1">ROUND(21.900,3)</f>
        <v>0</v>
      </c>
      <c r="G2946" s="27">
        <f ca="1">ROUND((E2946*F2946)/100,2)</f>
        <v>0</v>
      </c>
    </row>
    <row r="2947" spans="1:7" ht="15.12" thickBot="1" customHeight="1">
      <c r="A2947" s="26"/>
      <c r="B2947" s="26"/>
      <c r="C2947" s="26"/>
      <c r="D2947" s="24" t="s">
        <v>8924</v>
      </c>
      <c r="E2947" s="28">
        <v>4.70000</v>
      </c>
      <c r="F2947" s="29">
        <f ca="1">ROUND((G2945+G2946),3)</f>
        <v>0</v>
      </c>
      <c r="G2947" s="27">
        <f ca="1">ROUND(E2947*F2947,2)</f>
        <v>0</v>
      </c>
    </row>
    <row r="2948" spans="1:7" ht="30.60" thickBot="1" customHeight="1">
      <c r="A2948" s="24" t="s">
        <v>8925</v>
      </c>
      <c r="B2948" s="24" t="s">
        <v>8926</v>
      </c>
      <c r="C2948" s="24" t="s">
        <v>8927</v>
      </c>
      <c r="D2948" s="25" t="s">
        <v>8928</v>
      </c>
      <c r="E2948" s="28">
        <v>4.70000</v>
      </c>
      <c r="F2948" s="29">
        <f ca="1">F2955</f>
        <v>0</v>
      </c>
      <c r="G2948" s="27">
        <f ca="1">ROUND(E2948*F2948,2)</f>
        <v>0</v>
      </c>
    </row>
    <row r="2949" spans="1:7" ht="39.84" thickBot="1" customHeight="1">
      <c r="A2949" s="24" t="s">
        <v>8929</v>
      </c>
      <c r="B2949" s="24" t="s">
        <v>8930</v>
      </c>
      <c r="C2949" s="24" t="s">
        <v>8931</v>
      </c>
      <c r="D2949" s="25" t="s">
        <v>8932</v>
      </c>
      <c r="E2949" s="28">
        <v>0.20000</v>
      </c>
      <c r="F2949" s="29">
        <f ca="1">ROUND(2.000,3)</f>
        <v>0</v>
      </c>
      <c r="G2949" s="27">
        <f ca="1">ROUND(E2949*F2949,2)</f>
        <v>0</v>
      </c>
    </row>
    <row r="2950" spans="1:7" ht="30.60" thickBot="1" customHeight="1">
      <c r="A2950" s="24" t="s">
        <v>8933</v>
      </c>
      <c r="B2950" s="24" t="s">
        <v>8934</v>
      </c>
      <c r="C2950" s="24" t="s">
        <v>8935</v>
      </c>
      <c r="D2950" s="25" t="s">
        <v>8936</v>
      </c>
      <c r="E2950" s="28">
        <v>0.20000</v>
      </c>
      <c r="F2950" s="29">
        <f ca="1">ROUND(1.875,3)</f>
        <v>0</v>
      </c>
      <c r="G2950" s="27">
        <f ca="1">ROUND(E2950*F2950,2)</f>
        <v>0</v>
      </c>
    </row>
    <row r="2951" spans="1:7" ht="39.84" thickBot="1" customHeight="1">
      <c r="A2951" s="24" t="s">
        <v>8937</v>
      </c>
      <c r="B2951" s="24" t="s">
        <v>8938</v>
      </c>
      <c r="C2951" s="24" t="s">
        <v>8939</v>
      </c>
      <c r="D2951" s="25" t="s">
        <v>8940</v>
      </c>
      <c r="E2951" s="28">
        <v>0.20000</v>
      </c>
      <c r="F2951" s="29">
        <f ca="1">ROUND(7.565,3)</f>
        <v>0</v>
      </c>
      <c r="G2951" s="27">
        <f ca="1">ROUND(E2951*F2951,2)</f>
        <v>0</v>
      </c>
    </row>
    <row r="2952" spans="1:7" ht="21.36" thickBot="1" customHeight="1">
      <c r="A2952" s="24" t="s">
        <v>8941</v>
      </c>
      <c r="B2952" s="24" t="s">
        <v>8942</v>
      </c>
      <c r="C2952" s="24" t="s">
        <v>8943</v>
      </c>
      <c r="D2952" s="25" t="s">
        <v>8944</v>
      </c>
      <c r="E2952" s="28">
        <v>0.10000</v>
      </c>
      <c r="F2952" s="29">
        <f ca="1">ROUND(3.000,3)</f>
        <v>0</v>
      </c>
      <c r="G2952" s="27">
        <f ca="1">ROUND(E2952*F2952,2)</f>
        <v>0</v>
      </c>
    </row>
    <row r="2953" spans="1:7" ht="21.36" thickBot="1" customHeight="1">
      <c r="A2953" s="24" t="s">
        <v>8945</v>
      </c>
      <c r="B2953" s="24" t="s">
        <v>8946</v>
      </c>
      <c r="C2953" s="24" t="s">
        <v>8947</v>
      </c>
      <c r="D2953" s="25" t="s">
        <v>8948</v>
      </c>
      <c r="E2953" s="28">
        <v>0.53333</v>
      </c>
      <c r="F2953" s="29">
        <f ca="1">ROUND(43.800,3)</f>
        <v>0</v>
      </c>
      <c r="G2953" s="27">
        <f ca="1">ROUND(E2953*F2953,2)</f>
        <v>0</v>
      </c>
    </row>
    <row r="2954" spans="1:7" ht="15.12" thickBot="1" customHeight="1">
      <c r="A2954" s="24" t="s">
        <v>8949</v>
      </c>
      <c r="B2954" s="24"/>
      <c r="C2954" s="24" t="s">
        <v>8950</v>
      </c>
      <c r="D2954" s="25" t="s">
        <v>8951</v>
      </c>
      <c r="E2954" s="28">
        <v>3.00000</v>
      </c>
      <c r="F2954" s="29">
        <f ca="1">ROUND(23.360,3)</f>
        <v>0</v>
      </c>
      <c r="G2954" s="27">
        <f ca="1">ROUND((E2954*F2954)/100,2)</f>
        <v>0</v>
      </c>
    </row>
    <row r="2955" spans="1:7" ht="15.12" thickBot="1" customHeight="1">
      <c r="A2955" s="26"/>
      <c r="B2955" s="26"/>
      <c r="C2955" s="26"/>
      <c r="D2955" s="24" t="s">
        <v>8952</v>
      </c>
      <c r="E2955" s="28">
        <v>4.70000</v>
      </c>
      <c r="F2955" s="29">
        <f ca="1">ROUND((G2949+G2950+G2951+G2952+G2953+G2954),3)</f>
        <v>0</v>
      </c>
      <c r="G2955" s="27">
        <f ca="1">ROUND(E2955*F2955,2)</f>
        <v>0</v>
      </c>
    </row>
    <row r="2956" spans="1:7" ht="24.36" thickBot="1" customHeight="1">
      <c r="A2956" s="24" t="s">
        <v>8953</v>
      </c>
      <c r="B2956" s="24" t="s">
        <v>8954</v>
      </c>
      <c r="C2956" s="24" t="s">
        <v>8955</v>
      </c>
      <c r="D2956" s="25" t="s">
        <v>8956</v>
      </c>
      <c r="E2956" s="28">
        <v>1.00000</v>
      </c>
      <c r="F2956" s="29">
        <f ca="1">F2961</f>
        <v>0</v>
      </c>
      <c r="G2956" s="27">
        <f ca="1">ROUND(E2956*F2956,2)</f>
        <v>0</v>
      </c>
    </row>
    <row r="2957" spans="1:7" ht="15.12" thickBot="1" customHeight="1">
      <c r="A2957" s="24" t="s">
        <v>8957</v>
      </c>
      <c r="B2957" s="24" t="s">
        <v>8958</v>
      </c>
      <c r="C2957" s="24" t="s">
        <v>8959</v>
      </c>
      <c r="D2957" s="25" t="s">
        <v>8960</v>
      </c>
      <c r="E2957" s="28">
        <v>1.00000</v>
      </c>
      <c r="F2957" s="29">
        <f ca="1">ROUND(32.000,3)</f>
        <v>0</v>
      </c>
      <c r="G2957" s="27">
        <f ca="1">ROUND(E2957*F2957,2)</f>
        <v>0</v>
      </c>
    </row>
    <row r="2958" spans="1:7" ht="30.60" thickBot="1" customHeight="1">
      <c r="A2958" s="24" t="s">
        <v>8961</v>
      </c>
      <c r="B2958" s="24" t="s">
        <v>8962</v>
      </c>
      <c r="C2958" s="24" t="s">
        <v>8963</v>
      </c>
      <c r="D2958" s="25" t="s">
        <v>8964</v>
      </c>
      <c r="E2958" s="28">
        <v>10.66667</v>
      </c>
      <c r="F2958" s="29">
        <f ca="1">ROUND(0.170,3)</f>
        <v>0</v>
      </c>
      <c r="G2958" s="27">
        <f ca="1">ROUND(E2958*F2958,2)</f>
        <v>0</v>
      </c>
    </row>
    <row r="2959" spans="1:7" ht="21.36" thickBot="1" customHeight="1">
      <c r="A2959" s="24" t="s">
        <v>8965</v>
      </c>
      <c r="B2959" s="24" t="s">
        <v>8966</v>
      </c>
      <c r="C2959" s="24" t="s">
        <v>8967</v>
      </c>
      <c r="D2959" s="25" t="s">
        <v>8968</v>
      </c>
      <c r="E2959" s="28">
        <v>0.50000</v>
      </c>
      <c r="F2959" s="29">
        <f ca="1">ROUND(43.800,3)</f>
        <v>0</v>
      </c>
      <c r="G2959" s="27">
        <f ca="1">ROUND(E2959*F2959,2)</f>
        <v>0</v>
      </c>
    </row>
    <row r="2960" spans="1:7" ht="15.12" thickBot="1" customHeight="1">
      <c r="A2960" s="24" t="s">
        <v>8969</v>
      </c>
      <c r="B2960" s="24"/>
      <c r="C2960" s="24" t="s">
        <v>8970</v>
      </c>
      <c r="D2960" s="25" t="s">
        <v>8971</v>
      </c>
      <c r="E2960" s="28">
        <v>1.00000</v>
      </c>
      <c r="F2960" s="29">
        <f ca="1">ROUND(32.000,3)</f>
        <v>0</v>
      </c>
      <c r="G2960" s="27">
        <f ca="1">ROUND((E2960*F2960)/100,2)</f>
        <v>0</v>
      </c>
    </row>
    <row r="2961" spans="1:7" ht="15.12" thickBot="1" customHeight="1">
      <c r="A2961" s="26"/>
      <c r="B2961" s="26"/>
      <c r="C2961" s="26"/>
      <c r="D2961" s="24" t="s">
        <v>8972</v>
      </c>
      <c r="E2961" s="28">
        <v>1.00000</v>
      </c>
      <c r="F2961" s="29">
        <f ca="1">ROUND((G2957+G2958+G2959+G2960),3)</f>
        <v>0</v>
      </c>
      <c r="G2961" s="27">
        <f ca="1">ROUND(E2961*F2961,2)</f>
        <v>0</v>
      </c>
    </row>
    <row r="2962" spans="1:7" ht="30.60" thickBot="1" customHeight="1">
      <c r="A2962" s="24" t="s">
        <v>8973</v>
      </c>
      <c r="B2962" s="24" t="s">
        <v>8974</v>
      </c>
      <c r="C2962" s="24" t="s">
        <v>8975</v>
      </c>
      <c r="D2962" s="25" t="s">
        <v>8976</v>
      </c>
      <c r="E2962" s="28">
        <v>0.00000</v>
      </c>
      <c r="F2962" s="29">
        <f ca="1">ROUND(1.700,3)</f>
        <v>0</v>
      </c>
      <c r="G2962" s="27">
        <f ca="1">ROUND(E2962*F2962,2)</f>
        <v>0</v>
      </c>
    </row>
    <row r="2963" spans="1:7" ht="15.48" thickBot="1" customHeight="1">
      <c r="A2963" s="30"/>
      <c r="B2963" s="30"/>
      <c r="C2963" s="30"/>
      <c r="D2963" s="31" t="s">
        <v>8977</v>
      </c>
      <c r="E2963" s="30"/>
      <c r="F2963" s="33">
        <f ca="1">ROUND((G2944+G2948+G2956+G2962)*(1+G2/100),2)</f>
        <v>0</v>
      </c>
      <c r="G2963" s="30"/>
    </row>
    <row r="2964" spans="1:7" ht="86.04" thickBot="1" customHeight="1">
      <c r="A2964" s="34" t="s">
        <v>8978</v>
      </c>
      <c r="B2964" s="35" t="s">
        <v>8979</v>
      </c>
      <c r="C2964" s="35" t="s">
        <v>8980</v>
      </c>
      <c r="D2964" s="36" t="s">
        <v>8981</v>
      </c>
      <c r="E2964" s="37"/>
      <c r="F2964" s="38">
        <f ca="1">F2982</f>
        <v>0</v>
      </c>
      <c r="G2964" s="37"/>
    </row>
    <row r="2965" spans="1:7" ht="39.84" thickBot="1" customHeight="1">
      <c r="A2965" s="26"/>
      <c r="B2965" s="26"/>
      <c r="C2965" s="26"/>
      <c r="D2965" s="25" t="s">
        <v>8982</v>
      </c>
      <c r="E2965" s="25"/>
      <c r="F2965" s="25"/>
      <c r="G2965" s="25"/>
    </row>
    <row r="2966" spans="1:7" ht="21.36" thickBot="1" customHeight="1">
      <c r="A2966" s="24" t="s">
        <v>8983</v>
      </c>
      <c r="B2966" s="24" t="s">
        <v>8984</v>
      </c>
      <c r="C2966" s="24" t="s">
        <v>8985</v>
      </c>
      <c r="D2966" s="25" t="s">
        <v>8986</v>
      </c>
      <c r="E2966" s="28">
        <v>4.55000</v>
      </c>
      <c r="F2966" s="29">
        <f ca="1">ROUND(4.980,3)</f>
        <v>0</v>
      </c>
      <c r="G2966" s="27">
        <f ca="1">ROUND(E2966*F2966,2)</f>
        <v>0</v>
      </c>
    </row>
    <row r="2967" spans="1:7" ht="30.60" thickBot="1" customHeight="1">
      <c r="A2967" s="24" t="s">
        <v>8987</v>
      </c>
      <c r="B2967" s="24" t="s">
        <v>8988</v>
      </c>
      <c r="C2967" s="24" t="s">
        <v>8989</v>
      </c>
      <c r="D2967" s="25" t="s">
        <v>8990</v>
      </c>
      <c r="E2967" s="28">
        <v>4.00000</v>
      </c>
      <c r="F2967" s="29">
        <f ca="1">ROUND(6.140,3)</f>
        <v>0</v>
      </c>
      <c r="G2967" s="27">
        <f ca="1">ROUND(E2967*F2967,2)</f>
        <v>0</v>
      </c>
    </row>
    <row r="2968" spans="1:7" ht="39.84" thickBot="1" customHeight="1">
      <c r="A2968" s="24" t="s">
        <v>8991</v>
      </c>
      <c r="B2968" s="24" t="s">
        <v>8992</v>
      </c>
      <c r="C2968" s="24" t="s">
        <v>8993</v>
      </c>
      <c r="D2968" s="25" t="s">
        <v>8994</v>
      </c>
      <c r="E2968" s="28">
        <v>3.00000</v>
      </c>
      <c r="F2968" s="29">
        <f ca="1">ROUND(7.370,3)</f>
        <v>0</v>
      </c>
      <c r="G2968" s="27">
        <f ca="1">ROUND(E2968*F2968,2)</f>
        <v>0</v>
      </c>
    </row>
    <row r="2969" spans="1:7" ht="39.84" thickBot="1" customHeight="1">
      <c r="A2969" s="24" t="s">
        <v>8995</v>
      </c>
      <c r="B2969" s="24" t="s">
        <v>8996</v>
      </c>
      <c r="C2969" s="24" t="s">
        <v>8997</v>
      </c>
      <c r="D2969" s="25" t="s">
        <v>8998</v>
      </c>
      <c r="E2969" s="28">
        <v>1.00000</v>
      </c>
      <c r="F2969" s="29">
        <f ca="1">ROUND(20.130,3)</f>
        <v>0</v>
      </c>
      <c r="G2969" s="27">
        <f ca="1">ROUND(E2969*F2969,2)</f>
        <v>0</v>
      </c>
    </row>
    <row r="2970" spans="1:7" ht="30.60" thickBot="1" customHeight="1">
      <c r="A2970" s="24" t="s">
        <v>8999</v>
      </c>
      <c r="B2970" s="24" t="s">
        <v>9000</v>
      </c>
      <c r="C2970" s="24" t="s">
        <v>9001</v>
      </c>
      <c r="D2970" s="25" t="s">
        <v>9002</v>
      </c>
      <c r="E2970" s="28">
        <v>1.00000</v>
      </c>
      <c r="F2970" s="29">
        <f ca="1">ROUND(16.810,3)</f>
        <v>0</v>
      </c>
      <c r="G2970" s="27">
        <f ca="1">ROUND(E2970*F2970,2)</f>
        <v>0</v>
      </c>
    </row>
    <row r="2971" spans="1:7" ht="30.60" thickBot="1" customHeight="1">
      <c r="A2971" s="24" t="s">
        <v>9003</v>
      </c>
      <c r="B2971" s="24" t="s">
        <v>9004</v>
      </c>
      <c r="C2971" s="24" t="s">
        <v>9005</v>
      </c>
      <c r="D2971" s="25" t="s">
        <v>9006</v>
      </c>
      <c r="E2971" s="28">
        <v>0.14286</v>
      </c>
      <c r="F2971" s="29">
        <f ca="1">ROUND(23.460,3)</f>
        <v>0</v>
      </c>
      <c r="G2971" s="27">
        <f ca="1">ROUND(E2971*F2971,2)</f>
        <v>0</v>
      </c>
    </row>
    <row r="2972" spans="1:7" ht="30.60" thickBot="1" customHeight="1">
      <c r="A2972" s="24" t="s">
        <v>9007</v>
      </c>
      <c r="B2972" s="24" t="s">
        <v>9008</v>
      </c>
      <c r="C2972" s="24" t="s">
        <v>9009</v>
      </c>
      <c r="D2972" s="25" t="s">
        <v>9010</v>
      </c>
      <c r="E2972" s="28">
        <v>0.24000</v>
      </c>
      <c r="F2972" s="29">
        <f ca="1">ROUND(21.500,3)</f>
        <v>0</v>
      </c>
      <c r="G2972" s="27">
        <f ca="1">ROUND(E2972*F2972,2)</f>
        <v>0</v>
      </c>
    </row>
    <row r="2973" spans="1:7" ht="30.60" thickBot="1" customHeight="1">
      <c r="A2973" s="24" t="s">
        <v>9011</v>
      </c>
      <c r="B2973" s="24" t="s">
        <v>9012</v>
      </c>
      <c r="C2973" s="24" t="s">
        <v>9013</v>
      </c>
      <c r="D2973" s="25" t="s">
        <v>9014</v>
      </c>
      <c r="E2973" s="28">
        <v>4.00000</v>
      </c>
      <c r="F2973" s="29">
        <f ca="1">ROUND(1.470,3)</f>
        <v>0</v>
      </c>
      <c r="G2973" s="27">
        <f ca="1">ROUND(E2973*F2973,2)</f>
        <v>0</v>
      </c>
    </row>
    <row r="2974" spans="1:7" ht="21.36" thickBot="1" customHeight="1">
      <c r="A2974" s="24" t="s">
        <v>9015</v>
      </c>
      <c r="B2974" s="24" t="s">
        <v>9016</v>
      </c>
      <c r="C2974" s="24" t="s">
        <v>9017</v>
      </c>
      <c r="D2974" s="25" t="s">
        <v>9018</v>
      </c>
      <c r="E2974" s="28">
        <v>0.50000</v>
      </c>
      <c r="F2974" s="29">
        <f ca="1">ROUND(2.000,3)</f>
        <v>0</v>
      </c>
      <c r="G2974" s="27">
        <f ca="1">ROUND(E2974*F2974,2)</f>
        <v>0</v>
      </c>
    </row>
    <row r="2975" spans="1:7" ht="30.60" thickBot="1" customHeight="1">
      <c r="A2975" s="24" t="s">
        <v>9019</v>
      </c>
      <c r="B2975" s="24" t="s">
        <v>9020</v>
      </c>
      <c r="C2975" s="24" t="s">
        <v>9021</v>
      </c>
      <c r="D2975" s="25" t="s">
        <v>9022</v>
      </c>
      <c r="E2975" s="28">
        <v>0.15000</v>
      </c>
      <c r="F2975" s="29">
        <f ca="1">ROUND(4.920,3)</f>
        <v>0</v>
      </c>
      <c r="G2975" s="27">
        <f ca="1">ROUND(E2975*F2975,2)</f>
        <v>0</v>
      </c>
    </row>
    <row r="2976" spans="1:7" ht="21.36" thickBot="1" customHeight="1">
      <c r="A2976" s="24" t="s">
        <v>9023</v>
      </c>
      <c r="B2976" s="24" t="s">
        <v>9024</v>
      </c>
      <c r="C2976" s="24" t="s">
        <v>9025</v>
      </c>
      <c r="D2976" s="25" t="s">
        <v>9026</v>
      </c>
      <c r="E2976" s="28">
        <v>8.00000</v>
      </c>
      <c r="F2976" s="29">
        <f ca="1">F2980</f>
        <v>0</v>
      </c>
      <c r="G2976" s="27">
        <f ca="1">ROUND(E2976*F2976,2)</f>
        <v>0</v>
      </c>
    </row>
    <row r="2977" spans="1:7" ht="24.36" thickBot="1" customHeight="1">
      <c r="A2977" s="24" t="s">
        <v>9027</v>
      </c>
      <c r="B2977" s="24" t="s">
        <v>9028</v>
      </c>
      <c r="C2977" s="24" t="s">
        <v>9029</v>
      </c>
      <c r="D2977" s="25" t="s">
        <v>9030</v>
      </c>
      <c r="E2977" s="28">
        <v>1.00000</v>
      </c>
      <c r="F2977" s="29">
        <f ca="1">ROUND(21.000,3)</f>
        <v>0</v>
      </c>
      <c r="G2977" s="27">
        <f ca="1">ROUND(E2977*F2977,2)</f>
        <v>0</v>
      </c>
    </row>
    <row r="2978" spans="1:7" ht="24.36" thickBot="1" customHeight="1">
      <c r="A2978" s="24" t="s">
        <v>9031</v>
      </c>
      <c r="B2978" s="24" t="s">
        <v>9032</v>
      </c>
      <c r="C2978" s="24" t="s">
        <v>9033</v>
      </c>
      <c r="D2978" s="25" t="s">
        <v>9034</v>
      </c>
      <c r="E2978" s="28">
        <v>1.00000</v>
      </c>
      <c r="F2978" s="29">
        <f ca="1">ROUND(19.000,3)</f>
        <v>0</v>
      </c>
      <c r="G2978" s="27">
        <f ca="1">ROUND(E2978*F2978,2)</f>
        <v>0</v>
      </c>
    </row>
    <row r="2979" spans="1:7" ht="24.36" thickBot="1" customHeight="1">
      <c r="A2979" s="24" t="s">
        <v>9035</v>
      </c>
      <c r="B2979" s="24" t="s">
        <v>9036</v>
      </c>
      <c r="C2979" s="24" t="s">
        <v>9037</v>
      </c>
      <c r="D2979" s="25" t="s">
        <v>9038</v>
      </c>
      <c r="E2979" s="28">
        <v>0.20000</v>
      </c>
      <c r="F2979" s="29">
        <f ca="1">ROUND(19.000,3)</f>
        <v>0</v>
      </c>
      <c r="G2979" s="27">
        <f ca="1">ROUND(E2979*F2979,2)</f>
        <v>0</v>
      </c>
    </row>
    <row r="2980" spans="1:7" ht="15.12" thickBot="1" customHeight="1">
      <c r="A2980" s="26"/>
      <c r="B2980" s="26"/>
      <c r="C2980" s="26"/>
      <c r="D2980" s="24" t="s">
        <v>9039</v>
      </c>
      <c r="E2980" s="28">
        <v>8.00000</v>
      </c>
      <c r="F2980" s="29">
        <f ca="1">ROUND((G2977+G2978+G2979),3)</f>
        <v>0</v>
      </c>
      <c r="G2980" s="27">
        <f ca="1">ROUND(E2980*F2980,2)</f>
        <v>0</v>
      </c>
    </row>
    <row r="2981" spans="1:7" ht="15.12" thickBot="1" customHeight="1">
      <c r="A2981" s="24" t="s">
        <v>9040</v>
      </c>
      <c r="B2981" s="24"/>
      <c r="C2981" s="24" t="s">
        <v>9041</v>
      </c>
      <c r="D2981" s="25" t="s">
        <v>9042</v>
      </c>
      <c r="E2981" s="28">
        <v>7.00000</v>
      </c>
      <c r="F2981" s="29">
        <f ca="1">ROUND(350.400,3)</f>
        <v>0</v>
      </c>
      <c r="G2981" s="27">
        <f ca="1">ROUND((E2981*F2981)/100,2)</f>
        <v>0</v>
      </c>
    </row>
    <row r="2982" spans="1:7" ht="15.48" thickBot="1" customHeight="1">
      <c r="A2982" s="30"/>
      <c r="B2982" s="30"/>
      <c r="C2982" s="30"/>
      <c r="D2982" s="31" t="s">
        <v>9043</v>
      </c>
      <c r="E2982" s="30"/>
      <c r="F2982" s="33">
        <f ca="1">ROUND((G2966+G2967+G2968+G2969+G2970+G2971+G2972+G2973+G2974+G2975+G2976+G2981)*(1+G2/100),2)</f>
        <v>0</v>
      </c>
      <c r="G2982" s="30"/>
    </row>
    <row r="2983" spans="1:7" ht="21.36" thickBot="1" customHeight="1">
      <c r="A2983" s="34" t="s">
        <v>9044</v>
      </c>
      <c r="B2983" s="35" t="s">
        <v>9045</v>
      </c>
      <c r="C2983" s="35" t="s">
        <v>9046</v>
      </c>
      <c r="D2983" s="36" t="s">
        <v>9047</v>
      </c>
      <c r="E2983" s="37"/>
      <c r="F2983" s="38">
        <f ca="1">F2987</f>
        <v>0</v>
      </c>
      <c r="G2983" s="37"/>
    </row>
    <row r="2984" spans="1:7" ht="12.12" thickBot="1" customHeight="1">
      <c r="A2984" s="26"/>
      <c r="B2984" s="26"/>
      <c r="C2984" s="26"/>
      <c r="D2984" s="25" t="s">
        <v>9048</v>
      </c>
      <c r="E2984" s="25"/>
      <c r="F2984" s="25"/>
      <c r="G2984" s="25"/>
    </row>
    <row r="2985" spans="1:7" ht="15.12" thickBot="1" customHeight="1">
      <c r="A2985" s="24" t="s">
        <v>9049</v>
      </c>
      <c r="B2985" s="24" t="s">
        <v>9050</v>
      </c>
      <c r="C2985" s="24" t="s">
        <v>9051</v>
      </c>
      <c r="D2985" s="25" t="s">
        <v>9052</v>
      </c>
      <c r="E2985" s="28">
        <v>0.28000</v>
      </c>
      <c r="F2985" s="29">
        <f ca="1">ROUND(7.000,3)</f>
        <v>0</v>
      </c>
      <c r="G2985" s="27">
        <f ca="1">ROUND(E2985*F2985,2)</f>
        <v>0</v>
      </c>
    </row>
    <row r="2986" spans="1:7" ht="24.36" thickBot="1" customHeight="1">
      <c r="A2986" s="24" t="s">
        <v>9053</v>
      </c>
      <c r="B2986" s="24" t="s">
        <v>9054</v>
      </c>
      <c r="C2986" s="24" t="s">
        <v>9055</v>
      </c>
      <c r="D2986" s="25" t="s">
        <v>9056</v>
      </c>
      <c r="E2986" s="28">
        <v>0.28000</v>
      </c>
      <c r="F2986" s="29">
        <f ca="1">ROUND(49.500,3)</f>
        <v>0</v>
      </c>
      <c r="G2986" s="27">
        <f ca="1">ROUND(E2986*F2986,2)</f>
        <v>0</v>
      </c>
    </row>
    <row r="2987" spans="1:7" ht="15.48" thickBot="1" customHeight="1">
      <c r="A2987" s="30"/>
      <c r="B2987" s="30"/>
      <c r="C2987" s="30"/>
      <c r="D2987" s="31" t="s">
        <v>9057</v>
      </c>
      <c r="E2987" s="30"/>
      <c r="F2987" s="33">
        <f ca="1">ROUND((G2985+G2986)*(1+G2/100),2)</f>
        <v>0</v>
      </c>
      <c r="G2987" s="30"/>
    </row>
    <row r="2988" spans="1:7" ht="30.60" thickBot="1" customHeight="1">
      <c r="A2988" s="34" t="s">
        <v>9058</v>
      </c>
      <c r="B2988" s="35" t="s">
        <v>9059</v>
      </c>
      <c r="C2988" s="35" t="s">
        <v>9060</v>
      </c>
      <c r="D2988" s="36" t="s">
        <v>9061</v>
      </c>
      <c r="E2988" s="37"/>
      <c r="F2988" s="38">
        <f ca="1">F2996</f>
        <v>0</v>
      </c>
      <c r="G2988" s="37"/>
    </row>
    <row r="2989" spans="1:7" ht="12.12" thickBot="1" customHeight="1">
      <c r="A2989" s="26"/>
      <c r="B2989" s="26"/>
      <c r="C2989" s="26"/>
      <c r="D2989" s="25" t="s">
        <v>9062</v>
      </c>
      <c r="E2989" s="25"/>
      <c r="F2989" s="25"/>
      <c r="G2989" s="25"/>
    </row>
    <row r="2990" spans="1:7" ht="15.12" thickBot="1" customHeight="1">
      <c r="A2990" s="24" t="s">
        <v>9063</v>
      </c>
      <c r="B2990" s="24" t="s">
        <v>9064</v>
      </c>
      <c r="C2990" s="24" t="s">
        <v>9065</v>
      </c>
      <c r="D2990" s="25" t="s">
        <v>9066</v>
      </c>
      <c r="E2990" s="28">
        <v>0.14000</v>
      </c>
      <c r="F2990" s="29">
        <f ca="1">ROUND(7.000,3)</f>
        <v>0</v>
      </c>
      <c r="G2990" s="27">
        <f ca="1">ROUND(E2990*F2990,2)</f>
        <v>0</v>
      </c>
    </row>
    <row r="2991" spans="1:7" ht="21.36" thickBot="1" customHeight="1">
      <c r="A2991" s="24" t="s">
        <v>9067</v>
      </c>
      <c r="B2991" s="24" t="s">
        <v>9068</v>
      </c>
      <c r="C2991" s="24" t="s">
        <v>9069</v>
      </c>
      <c r="D2991" s="25" t="s">
        <v>9070</v>
      </c>
      <c r="E2991" s="28">
        <v>0.14000</v>
      </c>
      <c r="F2991" s="29">
        <f ca="1">F2995</f>
        <v>0</v>
      </c>
      <c r="G2991" s="27">
        <f ca="1">ROUND(E2991*F2991,2)</f>
        <v>0</v>
      </c>
    </row>
    <row r="2992" spans="1:7" ht="24.36" thickBot="1" customHeight="1">
      <c r="A2992" s="24" t="s">
        <v>9071</v>
      </c>
      <c r="B2992" s="24" t="s">
        <v>9072</v>
      </c>
      <c r="C2992" s="24" t="s">
        <v>9073</v>
      </c>
      <c r="D2992" s="25" t="s">
        <v>9074</v>
      </c>
      <c r="E2992" s="28">
        <v>1.00000</v>
      </c>
      <c r="F2992" s="29">
        <f ca="1">ROUND(21.000,3)</f>
        <v>0</v>
      </c>
      <c r="G2992" s="27">
        <f ca="1">ROUND(E2992*F2992,2)</f>
        <v>0</v>
      </c>
    </row>
    <row r="2993" spans="1:7" ht="24.36" thickBot="1" customHeight="1">
      <c r="A2993" s="24" t="s">
        <v>9075</v>
      </c>
      <c r="B2993" s="24" t="s">
        <v>9076</v>
      </c>
      <c r="C2993" s="24" t="s">
        <v>9077</v>
      </c>
      <c r="D2993" s="25" t="s">
        <v>9078</v>
      </c>
      <c r="E2993" s="28">
        <v>1.00000</v>
      </c>
      <c r="F2993" s="29">
        <f ca="1">ROUND(19.000,3)</f>
        <v>0</v>
      </c>
      <c r="G2993" s="27">
        <f ca="1">ROUND(E2993*F2993,2)</f>
        <v>0</v>
      </c>
    </row>
    <row r="2994" spans="1:7" ht="24.36" thickBot="1" customHeight="1">
      <c r="A2994" s="24" t="s">
        <v>9079</v>
      </c>
      <c r="B2994" s="24" t="s">
        <v>9080</v>
      </c>
      <c r="C2994" s="24" t="s">
        <v>9081</v>
      </c>
      <c r="D2994" s="25" t="s">
        <v>9082</v>
      </c>
      <c r="E2994" s="28">
        <v>0.20000</v>
      </c>
      <c r="F2994" s="29">
        <f ca="1">ROUND(19.000,3)</f>
        <v>0</v>
      </c>
      <c r="G2994" s="27">
        <f ca="1">ROUND(E2994*F2994,2)</f>
        <v>0</v>
      </c>
    </row>
    <row r="2995" spans="1:7" ht="15.12" thickBot="1" customHeight="1">
      <c r="A2995" s="26"/>
      <c r="B2995" s="26"/>
      <c r="C2995" s="26"/>
      <c r="D2995" s="24" t="s">
        <v>9083</v>
      </c>
      <c r="E2995" s="28">
        <v>0.14000</v>
      </c>
      <c r="F2995" s="29">
        <f ca="1">ROUND((G2992+G2993+G2994),3)</f>
        <v>0</v>
      </c>
      <c r="G2995" s="27">
        <f ca="1">ROUND(E2995*F2995,2)</f>
        <v>0</v>
      </c>
    </row>
    <row r="2996" spans="1:7" ht="15.48" thickBot="1" customHeight="1">
      <c r="A2996" s="30"/>
      <c r="B2996" s="30"/>
      <c r="C2996" s="30"/>
      <c r="D2996" s="31" t="s">
        <v>9084</v>
      </c>
      <c r="E2996" s="30"/>
      <c r="F2996" s="33">
        <f ca="1">ROUND((G2990+G2991)*(1+G2/100),2)</f>
        <v>0</v>
      </c>
      <c r="G2996" s="30"/>
    </row>
    <row r="2997" spans="1:7" ht="39.84" thickBot="1" customHeight="1">
      <c r="A2997" s="34" t="s">
        <v>9085</v>
      </c>
      <c r="B2997" s="35" t="s">
        <v>9086</v>
      </c>
      <c r="C2997" s="35" t="s">
        <v>9087</v>
      </c>
      <c r="D2997" s="36" t="s">
        <v>9088</v>
      </c>
      <c r="E2997" s="37"/>
      <c r="F2997" s="38">
        <f ca="1">F3000</f>
        <v>0</v>
      </c>
      <c r="G2997" s="37"/>
    </row>
    <row r="2998" spans="1:7" ht="39.84" thickBot="1" customHeight="1">
      <c r="A2998" s="26"/>
      <c r="B2998" s="26"/>
      <c r="C2998" s="26"/>
      <c r="D2998" s="25" t="s">
        <v>9089</v>
      </c>
      <c r="E2998" s="25"/>
      <c r="F2998" s="25"/>
      <c r="G2998" s="25"/>
    </row>
    <row r="2999" spans="1:7" ht="24.36" thickBot="1" customHeight="1">
      <c r="A2999" s="24" t="s">
        <v>9090</v>
      </c>
      <c r="B2999" s="24" t="s">
        <v>9091</v>
      </c>
      <c r="C2999" s="24" t="s">
        <v>9092</v>
      </c>
      <c r="D2999" s="25" t="s">
        <v>9093</v>
      </c>
      <c r="E2999" s="28">
        <v>0.64500</v>
      </c>
      <c r="F2999" s="29">
        <f ca="1">ROUND(49.500,3)</f>
        <v>0</v>
      </c>
      <c r="G2999" s="27">
        <f ca="1">ROUND(E2999*F2999,2)</f>
        <v>0</v>
      </c>
    </row>
    <row r="3000" spans="1:7" ht="15.48" thickBot="1" customHeight="1">
      <c r="A3000" s="30"/>
      <c r="B3000" s="30"/>
      <c r="C3000" s="30"/>
      <c r="D3000" s="31" t="s">
        <v>9094</v>
      </c>
      <c r="E3000" s="30"/>
      <c r="F3000" s="33">
        <f ca="1">ROUND((G2999)*(1+G2/100),2)</f>
        <v>0</v>
      </c>
      <c r="G3000" s="30"/>
    </row>
    <row r="3001" spans="1:7" ht="58.32" thickBot="1" customHeight="1">
      <c r="A3001" s="34" t="s">
        <v>9095</v>
      </c>
      <c r="B3001" s="35" t="s">
        <v>9096</v>
      </c>
      <c r="C3001" s="35" t="s">
        <v>9097</v>
      </c>
      <c r="D3001" s="36" t="s">
        <v>9098</v>
      </c>
      <c r="E3001" s="37"/>
      <c r="F3001" s="38">
        <f ca="1">F3012</f>
        <v>0</v>
      </c>
      <c r="G3001" s="37"/>
    </row>
    <row r="3002" spans="1:7" ht="39.84" thickBot="1" customHeight="1">
      <c r="A3002" s="26"/>
      <c r="B3002" s="26"/>
      <c r="C3002" s="26"/>
      <c r="D3002" s="25" t="s">
        <v>9099</v>
      </c>
      <c r="E3002" s="25"/>
      <c r="F3002" s="25"/>
      <c r="G3002" s="25"/>
    </row>
    <row r="3003" spans="1:7" ht="39.84" thickBot="1" customHeight="1">
      <c r="A3003" s="24" t="s">
        <v>9100</v>
      </c>
      <c r="B3003" s="24" t="s">
        <v>9101</v>
      </c>
      <c r="C3003" s="24" t="s">
        <v>9102</v>
      </c>
      <c r="D3003" s="25" t="s">
        <v>9103</v>
      </c>
      <c r="E3003" s="28">
        <v>0.00000</v>
      </c>
      <c r="F3003" s="29">
        <f ca="1">ROUND(11.830,3)</f>
        <v>0</v>
      </c>
      <c r="G3003" s="27">
        <f ca="1">ROUND(E3003*F3003,2)</f>
        <v>0</v>
      </c>
    </row>
    <row r="3004" spans="1:7" ht="30.60" thickBot="1" customHeight="1">
      <c r="A3004" s="24" t="s">
        <v>9104</v>
      </c>
      <c r="B3004" s="24" t="s">
        <v>9105</v>
      </c>
      <c r="C3004" s="24" t="s">
        <v>9106</v>
      </c>
      <c r="D3004" s="25" t="s">
        <v>9107</v>
      </c>
      <c r="E3004" s="28">
        <v>0.01676</v>
      </c>
      <c r="F3004" s="29">
        <f ca="1">ROUND(18.440,3)</f>
        <v>0</v>
      </c>
      <c r="G3004" s="27">
        <f ca="1">ROUND(E3004*F3004,2)</f>
        <v>0</v>
      </c>
    </row>
    <row r="3005" spans="1:7" ht="30.60" thickBot="1" customHeight="1">
      <c r="A3005" s="24" t="s">
        <v>9108</v>
      </c>
      <c r="B3005" s="24" t="s">
        <v>9109</v>
      </c>
      <c r="C3005" s="24" t="s">
        <v>9110</v>
      </c>
      <c r="D3005" s="25" t="s">
        <v>9111</v>
      </c>
      <c r="E3005" s="28">
        <v>0.18900</v>
      </c>
      <c r="F3005" s="29">
        <f ca="1">ROUND(16.810,3)</f>
        <v>0</v>
      </c>
      <c r="G3005" s="27">
        <f ca="1">ROUND(E3005*F3005,2)</f>
        <v>0</v>
      </c>
    </row>
    <row r="3006" spans="1:7" ht="21.36" thickBot="1" customHeight="1">
      <c r="A3006" s="24" t="s">
        <v>9112</v>
      </c>
      <c r="B3006" s="24" t="s">
        <v>9113</v>
      </c>
      <c r="C3006" s="24" t="s">
        <v>9114</v>
      </c>
      <c r="D3006" s="25" t="s">
        <v>9115</v>
      </c>
      <c r="E3006" s="28">
        <v>0.18800</v>
      </c>
      <c r="F3006" s="29">
        <f ca="1">F3010</f>
        <v>0</v>
      </c>
      <c r="G3006" s="27">
        <f ca="1">ROUND(E3006*F3006,2)</f>
        <v>0</v>
      </c>
    </row>
    <row r="3007" spans="1:7" ht="24.36" thickBot="1" customHeight="1">
      <c r="A3007" s="24" t="s">
        <v>9116</v>
      </c>
      <c r="B3007" s="24" t="s">
        <v>9117</v>
      </c>
      <c r="C3007" s="24" t="s">
        <v>9118</v>
      </c>
      <c r="D3007" s="25" t="s">
        <v>9119</v>
      </c>
      <c r="E3007" s="28">
        <v>1.00000</v>
      </c>
      <c r="F3007" s="29">
        <f ca="1">ROUND(21.000,3)</f>
        <v>0</v>
      </c>
      <c r="G3007" s="27">
        <f ca="1">ROUND(E3007*F3007,2)</f>
        <v>0</v>
      </c>
    </row>
    <row r="3008" spans="1:7" ht="24.36" thickBot="1" customHeight="1">
      <c r="A3008" s="24" t="s">
        <v>9120</v>
      </c>
      <c r="B3008" s="24" t="s">
        <v>9121</v>
      </c>
      <c r="C3008" s="24" t="s">
        <v>9122</v>
      </c>
      <c r="D3008" s="25" t="s">
        <v>9123</v>
      </c>
      <c r="E3008" s="28">
        <v>1.00000</v>
      </c>
      <c r="F3008" s="29">
        <f ca="1">ROUND(19.000,3)</f>
        <v>0</v>
      </c>
      <c r="G3008" s="27">
        <f ca="1">ROUND(E3008*F3008,2)</f>
        <v>0</v>
      </c>
    </row>
    <row r="3009" spans="1:7" ht="24.36" thickBot="1" customHeight="1">
      <c r="A3009" s="24" t="s">
        <v>9124</v>
      </c>
      <c r="B3009" s="24" t="s">
        <v>9125</v>
      </c>
      <c r="C3009" s="24" t="s">
        <v>9126</v>
      </c>
      <c r="D3009" s="25" t="s">
        <v>9127</v>
      </c>
      <c r="E3009" s="28">
        <v>0.20000</v>
      </c>
      <c r="F3009" s="29">
        <f ca="1">ROUND(19.000,3)</f>
        <v>0</v>
      </c>
      <c r="G3009" s="27">
        <f ca="1">ROUND(E3009*F3009,2)</f>
        <v>0</v>
      </c>
    </row>
    <row r="3010" spans="1:7" ht="15.12" thickBot="1" customHeight="1">
      <c r="A3010" s="26"/>
      <c r="B3010" s="26"/>
      <c r="C3010" s="26"/>
      <c r="D3010" s="24" t="s">
        <v>9128</v>
      </c>
      <c r="E3010" s="28">
        <v>0.18800</v>
      </c>
      <c r="F3010" s="29">
        <f ca="1">ROUND((G3007+G3008+G3009),3)</f>
        <v>0</v>
      </c>
      <c r="G3010" s="27">
        <f ca="1">ROUND(E3010*F3010,2)</f>
        <v>0</v>
      </c>
    </row>
    <row r="3011" spans="1:7" ht="15.12" thickBot="1" customHeight="1">
      <c r="A3011" s="24" t="s">
        <v>9129</v>
      </c>
      <c r="B3011" s="24"/>
      <c r="C3011" s="24" t="s">
        <v>9130</v>
      </c>
      <c r="D3011" s="25" t="s">
        <v>9131</v>
      </c>
      <c r="E3011" s="28">
        <v>3.00000</v>
      </c>
      <c r="F3011" s="29">
        <f ca="1">ROUND(8.230,3)</f>
        <v>0</v>
      </c>
      <c r="G3011" s="27">
        <f ca="1">ROUND((E3011*F3011)/100,2)</f>
        <v>0</v>
      </c>
    </row>
    <row r="3012" spans="1:7" ht="15.48" thickBot="1" customHeight="1">
      <c r="A3012" s="30"/>
      <c r="B3012" s="30"/>
      <c r="C3012" s="30"/>
      <c r="D3012" s="31" t="s">
        <v>9132</v>
      </c>
      <c r="E3012" s="30"/>
      <c r="F3012" s="33">
        <f ca="1">ROUND((G3003+G3004+G3005+G3006+G3011)*(1+G2/100),2)</f>
        <v>0</v>
      </c>
      <c r="G3012" s="30"/>
    </row>
    <row r="3013" spans="1:7" ht="21.36" thickBot="1" customHeight="1">
      <c r="A3013" s="34" t="s">
        <v>9133</v>
      </c>
      <c r="B3013" s="35" t="s">
        <v>9134</v>
      </c>
      <c r="C3013" s="35" t="s">
        <v>9135</v>
      </c>
      <c r="D3013" s="36" t="s">
        <v>9136</v>
      </c>
      <c r="E3013" s="37"/>
      <c r="F3013" s="38">
        <f ca="1">F3016</f>
        <v>0</v>
      </c>
      <c r="G3013" s="37"/>
    </row>
    <row r="3014" spans="1:7" ht="30.60" thickBot="1" customHeight="1">
      <c r="A3014" s="26"/>
      <c r="B3014" s="26"/>
      <c r="C3014" s="26"/>
      <c r="D3014" s="25" t="s">
        <v>9137</v>
      </c>
      <c r="E3014" s="25"/>
      <c r="F3014" s="25"/>
      <c r="G3014" s="25"/>
    </row>
    <row r="3015" spans="1:7" ht="24.36" thickBot="1" customHeight="1">
      <c r="A3015" s="24" t="s">
        <v>9138</v>
      </c>
      <c r="B3015" s="24" t="s">
        <v>9139</v>
      </c>
      <c r="C3015" s="24" t="s">
        <v>9140</v>
      </c>
      <c r="D3015" s="25" t="s">
        <v>9141</v>
      </c>
      <c r="E3015" s="28">
        <v>0.36000</v>
      </c>
      <c r="F3015" s="29">
        <f ca="1">ROUND(49.500,3)</f>
        <v>0</v>
      </c>
      <c r="G3015" s="27">
        <f ca="1">ROUND(E3015*F3015,2)</f>
        <v>0</v>
      </c>
    </row>
    <row r="3016" spans="1:7" ht="15.48" thickBot="1" customHeight="1">
      <c r="A3016" s="30"/>
      <c r="B3016" s="30"/>
      <c r="C3016" s="30"/>
      <c r="D3016" s="31" t="s">
        <v>9142</v>
      </c>
      <c r="E3016" s="30"/>
      <c r="F3016" s="33">
        <f ca="1">ROUND((G3015)*(1+G2/100),2)</f>
        <v>0</v>
      </c>
      <c r="G3016" s="30"/>
    </row>
    <row r="3017" spans="1:7" ht="34.68" thickBot="1" customHeight="1">
      <c r="A3017" s="34" t="s">
        <v>9143</v>
      </c>
      <c r="B3017" s="35" t="s">
        <v>9144</v>
      </c>
      <c r="C3017" s="35" t="s">
        <v>9145</v>
      </c>
      <c r="D3017" s="36" t="s">
        <v>9146</v>
      </c>
      <c r="E3017" s="37"/>
      <c r="F3017" s="38">
        <f ca="1">F3026</f>
        <v>0</v>
      </c>
      <c r="G3017" s="37"/>
    </row>
    <row r="3018" spans="1:7" ht="21.36" thickBot="1" customHeight="1">
      <c r="A3018" s="26"/>
      <c r="B3018" s="26"/>
      <c r="C3018" s="26"/>
      <c r="D3018" s="25" t="s">
        <v>9147</v>
      </c>
      <c r="E3018" s="25"/>
      <c r="F3018" s="25"/>
      <c r="G3018" s="25"/>
    </row>
    <row r="3019" spans="1:7" ht="30.60" thickBot="1" customHeight="1">
      <c r="A3019" s="24" t="s">
        <v>9148</v>
      </c>
      <c r="B3019" s="24" t="s">
        <v>9149</v>
      </c>
      <c r="C3019" s="24" t="s">
        <v>9150</v>
      </c>
      <c r="D3019" s="25" t="s">
        <v>9151</v>
      </c>
      <c r="E3019" s="28">
        <v>12.00000</v>
      </c>
      <c r="F3019" s="29">
        <f ca="1">ROUND(0.430,3)</f>
        <v>0</v>
      </c>
      <c r="G3019" s="27">
        <f ca="1">ROUND(E3019*F3019,2)</f>
        <v>0</v>
      </c>
    </row>
    <row r="3020" spans="1:7" ht="30.60" thickBot="1" customHeight="1">
      <c r="A3020" s="24" t="s">
        <v>9152</v>
      </c>
      <c r="B3020" s="24" t="s">
        <v>9153</v>
      </c>
      <c r="C3020" s="24" t="s">
        <v>9154</v>
      </c>
      <c r="D3020" s="25" t="s">
        <v>9155</v>
      </c>
      <c r="E3020" s="28">
        <v>0.20000</v>
      </c>
      <c r="F3020" s="29">
        <f ca="1">ROUND(4.000,3)</f>
        <v>0</v>
      </c>
      <c r="G3020" s="27">
        <f ca="1">ROUND(E3020*F3020,2)</f>
        <v>0</v>
      </c>
    </row>
    <row r="3021" spans="1:7" ht="21.36" thickBot="1" customHeight="1">
      <c r="A3021" s="24" t="s">
        <v>9156</v>
      </c>
      <c r="B3021" s="24" t="s">
        <v>9157</v>
      </c>
      <c r="C3021" s="24" t="s">
        <v>9158</v>
      </c>
      <c r="D3021" s="25" t="s">
        <v>9159</v>
      </c>
      <c r="E3021" s="28">
        <v>0.25000</v>
      </c>
      <c r="F3021" s="29">
        <f ca="1">F3025</f>
        <v>0</v>
      </c>
      <c r="G3021" s="27">
        <f ca="1">ROUND(E3021*F3021,2)</f>
        <v>0</v>
      </c>
    </row>
    <row r="3022" spans="1:7" ht="24.36" thickBot="1" customHeight="1">
      <c r="A3022" s="24" t="s">
        <v>9160</v>
      </c>
      <c r="B3022" s="24" t="s">
        <v>9161</v>
      </c>
      <c r="C3022" s="24" t="s">
        <v>9162</v>
      </c>
      <c r="D3022" s="25" t="s">
        <v>9163</v>
      </c>
      <c r="E3022" s="28">
        <v>1.00000</v>
      </c>
      <c r="F3022" s="29">
        <f ca="1">ROUND(21.000,3)</f>
        <v>0</v>
      </c>
      <c r="G3022" s="27">
        <f ca="1">ROUND(E3022*F3022,2)</f>
        <v>0</v>
      </c>
    </row>
    <row r="3023" spans="1:7" ht="24.36" thickBot="1" customHeight="1">
      <c r="A3023" s="24" t="s">
        <v>9164</v>
      </c>
      <c r="B3023" s="24" t="s">
        <v>9165</v>
      </c>
      <c r="C3023" s="24" t="s">
        <v>9166</v>
      </c>
      <c r="D3023" s="25" t="s">
        <v>9167</v>
      </c>
      <c r="E3023" s="28">
        <v>1.00000</v>
      </c>
      <c r="F3023" s="29">
        <f ca="1">ROUND(19.000,3)</f>
        <v>0</v>
      </c>
      <c r="G3023" s="27">
        <f ca="1">ROUND(E3023*F3023,2)</f>
        <v>0</v>
      </c>
    </row>
    <row r="3024" spans="1:7" ht="24.36" thickBot="1" customHeight="1">
      <c r="A3024" s="24" t="s">
        <v>9168</v>
      </c>
      <c r="B3024" s="24" t="s">
        <v>9169</v>
      </c>
      <c r="C3024" s="24" t="s">
        <v>9170</v>
      </c>
      <c r="D3024" s="25" t="s">
        <v>9171</v>
      </c>
      <c r="E3024" s="28">
        <v>0.20000</v>
      </c>
      <c r="F3024" s="29">
        <f ca="1">ROUND(19.000,3)</f>
        <v>0</v>
      </c>
      <c r="G3024" s="27">
        <f ca="1">ROUND(E3024*F3024,2)</f>
        <v>0</v>
      </c>
    </row>
    <row r="3025" spans="1:7" ht="15.12" thickBot="1" customHeight="1">
      <c r="A3025" s="26"/>
      <c r="B3025" s="26"/>
      <c r="C3025" s="26"/>
      <c r="D3025" s="24" t="s">
        <v>9172</v>
      </c>
      <c r="E3025" s="28">
        <v>0.25000</v>
      </c>
      <c r="F3025" s="29">
        <f ca="1">ROUND((G3022+G3023+G3024),3)</f>
        <v>0</v>
      </c>
      <c r="G3025" s="27">
        <f ca="1">ROUND(E3025*F3025,2)</f>
        <v>0</v>
      </c>
    </row>
    <row r="3026" spans="1:7" ht="25.08" thickBot="1" customHeight="1">
      <c r="A3026" s="30"/>
      <c r="B3026" s="30"/>
      <c r="C3026" s="30"/>
      <c r="D3026" s="31" t="s">
        <v>9173</v>
      </c>
      <c r="E3026" s="30"/>
      <c r="F3026" s="33">
        <f ca="1">ROUND((G3019+G3020+G3021)*(1+G2/100),2)</f>
        <v>0</v>
      </c>
      <c r="G3026" s="30"/>
    </row>
    <row r="3027" spans="1:7" ht="104.52" thickBot="1" customHeight="1">
      <c r="A3027" s="34" t="s">
        <v>9174</v>
      </c>
      <c r="B3027" s="35" t="s">
        <v>9175</v>
      </c>
      <c r="C3027" s="35" t="s">
        <v>9176</v>
      </c>
      <c r="D3027" s="36" t="s">
        <v>9177</v>
      </c>
      <c r="E3027" s="37"/>
      <c r="F3027" s="38">
        <f ca="1">F3040</f>
        <v>0</v>
      </c>
      <c r="G3027" s="37"/>
    </row>
    <row r="3028" spans="1:7" ht="30.60" thickBot="1" customHeight="1">
      <c r="A3028" s="26"/>
      <c r="B3028" s="26"/>
      <c r="C3028" s="26"/>
      <c r="D3028" s="25" t="s">
        <v>9178</v>
      </c>
      <c r="E3028" s="25"/>
      <c r="F3028" s="25"/>
      <c r="G3028" s="25"/>
    </row>
    <row r="3029" spans="1:7" ht="30.60" thickBot="1" customHeight="1">
      <c r="A3029" s="24" t="s">
        <v>9179</v>
      </c>
      <c r="B3029" s="24" t="s">
        <v>9180</v>
      </c>
      <c r="C3029" s="24" t="s">
        <v>9181</v>
      </c>
      <c r="D3029" s="25" t="s">
        <v>9182</v>
      </c>
      <c r="E3029" s="28">
        <v>0.00770</v>
      </c>
      <c r="F3029" s="29">
        <f ca="1">ROUND(27.500,3)</f>
        <v>0</v>
      </c>
      <c r="G3029" s="27">
        <f ca="1">ROUND(E3029*F3029,2)</f>
        <v>0</v>
      </c>
    </row>
    <row r="3030" spans="1:7" ht="49.08" thickBot="1" customHeight="1">
      <c r="A3030" s="24" t="s">
        <v>9183</v>
      </c>
      <c r="B3030" s="24" t="s">
        <v>9184</v>
      </c>
      <c r="C3030" s="24" t="s">
        <v>9185</v>
      </c>
      <c r="D3030" s="25" t="s">
        <v>9186</v>
      </c>
      <c r="E3030" s="28">
        <v>0.11000</v>
      </c>
      <c r="F3030" s="29">
        <f ca="1">ROUND(45.570,3)</f>
        <v>0</v>
      </c>
      <c r="G3030" s="27">
        <f ca="1">ROUND(E3030*F3030,2)</f>
        <v>0</v>
      </c>
    </row>
    <row r="3031" spans="1:7" ht="30.60" thickBot="1" customHeight="1">
      <c r="A3031" s="24" t="s">
        <v>9187</v>
      </c>
      <c r="B3031" s="24" t="s">
        <v>9188</v>
      </c>
      <c r="C3031" s="24" t="s">
        <v>9189</v>
      </c>
      <c r="D3031" s="25" t="s">
        <v>9190</v>
      </c>
      <c r="E3031" s="28">
        <v>0.45360</v>
      </c>
      <c r="F3031" s="29">
        <f ca="1">ROUND(22.450,3)</f>
        <v>0</v>
      </c>
      <c r="G3031" s="27">
        <f ca="1">ROUND(E3031*F3031,2)</f>
        <v>0</v>
      </c>
    </row>
    <row r="3032" spans="1:7" ht="39.84" thickBot="1" customHeight="1">
      <c r="A3032" s="24" t="s">
        <v>9191</v>
      </c>
      <c r="B3032" s="24" t="s">
        <v>9192</v>
      </c>
      <c r="C3032" s="24" t="s">
        <v>9193</v>
      </c>
      <c r="D3032" s="25" t="s">
        <v>9194</v>
      </c>
      <c r="E3032" s="28">
        <v>0.07000</v>
      </c>
      <c r="F3032" s="29">
        <f ca="1">ROUND(2.630,3)</f>
        <v>0</v>
      </c>
      <c r="G3032" s="27">
        <f ca="1">ROUND(E3032*F3032,2)</f>
        <v>0</v>
      </c>
    </row>
    <row r="3033" spans="1:7" ht="39.84" thickBot="1" customHeight="1">
      <c r="A3033" s="24" t="s">
        <v>9195</v>
      </c>
      <c r="B3033" s="24" t="s">
        <v>9196</v>
      </c>
      <c r="C3033" s="24" t="s">
        <v>9197</v>
      </c>
      <c r="D3033" s="25" t="s">
        <v>9198</v>
      </c>
      <c r="E3033" s="28">
        <v>0.44000</v>
      </c>
      <c r="F3033" s="29">
        <f ca="1">ROUND(4.050,3)</f>
        <v>0</v>
      </c>
      <c r="G3033" s="27">
        <f ca="1">ROUND(E3033*F3033,2)</f>
        <v>0</v>
      </c>
    </row>
    <row r="3034" spans="1:7" ht="21.36" thickBot="1" customHeight="1">
      <c r="A3034" s="24" t="s">
        <v>9199</v>
      </c>
      <c r="B3034" s="24" t="s">
        <v>9200</v>
      </c>
      <c r="C3034" s="24" t="s">
        <v>9201</v>
      </c>
      <c r="D3034" s="25" t="s">
        <v>9202</v>
      </c>
      <c r="E3034" s="28">
        <v>0.60000</v>
      </c>
      <c r="F3034" s="29">
        <f ca="1">F3038</f>
        <v>0</v>
      </c>
      <c r="G3034" s="27">
        <f ca="1">ROUND(E3034*F3034,2)</f>
        <v>0</v>
      </c>
    </row>
    <row r="3035" spans="1:7" ht="24.36" thickBot="1" customHeight="1">
      <c r="A3035" s="24" t="s">
        <v>9203</v>
      </c>
      <c r="B3035" s="24" t="s">
        <v>9204</v>
      </c>
      <c r="C3035" s="24" t="s">
        <v>9205</v>
      </c>
      <c r="D3035" s="25" t="s">
        <v>9206</v>
      </c>
      <c r="E3035" s="28">
        <v>1.00000</v>
      </c>
      <c r="F3035" s="29">
        <f ca="1">ROUND(21.000,3)</f>
        <v>0</v>
      </c>
      <c r="G3035" s="27">
        <f ca="1">ROUND(E3035*F3035,2)</f>
        <v>0</v>
      </c>
    </row>
    <row r="3036" spans="1:7" ht="24.36" thickBot="1" customHeight="1">
      <c r="A3036" s="24" t="s">
        <v>9207</v>
      </c>
      <c r="B3036" s="24" t="s">
        <v>9208</v>
      </c>
      <c r="C3036" s="24" t="s">
        <v>9209</v>
      </c>
      <c r="D3036" s="25" t="s">
        <v>9210</v>
      </c>
      <c r="E3036" s="28">
        <v>1.00000</v>
      </c>
      <c r="F3036" s="29">
        <f ca="1">ROUND(19.000,3)</f>
        <v>0</v>
      </c>
      <c r="G3036" s="27">
        <f ca="1">ROUND(E3036*F3036,2)</f>
        <v>0</v>
      </c>
    </row>
    <row r="3037" spans="1:7" ht="24.36" thickBot="1" customHeight="1">
      <c r="A3037" s="24" t="s">
        <v>9211</v>
      </c>
      <c r="B3037" s="24" t="s">
        <v>9212</v>
      </c>
      <c r="C3037" s="24" t="s">
        <v>9213</v>
      </c>
      <c r="D3037" s="25" t="s">
        <v>9214</v>
      </c>
      <c r="E3037" s="28">
        <v>0.20000</v>
      </c>
      <c r="F3037" s="29">
        <f ca="1">ROUND(19.000,3)</f>
        <v>0</v>
      </c>
      <c r="G3037" s="27">
        <f ca="1">ROUND(E3037*F3037,2)</f>
        <v>0</v>
      </c>
    </row>
    <row r="3038" spans="1:7" ht="15.12" thickBot="1" customHeight="1">
      <c r="A3038" s="26"/>
      <c r="B3038" s="26"/>
      <c r="C3038" s="26"/>
      <c r="D3038" s="24" t="s">
        <v>9215</v>
      </c>
      <c r="E3038" s="28">
        <v>0.60000</v>
      </c>
      <c r="F3038" s="29">
        <f ca="1">ROUND((G3035+G3036+G3037),3)</f>
        <v>0</v>
      </c>
      <c r="G3038" s="27">
        <f ca="1">ROUND(E3038*F3038,2)</f>
        <v>0</v>
      </c>
    </row>
    <row r="3039" spans="1:7" ht="15.12" thickBot="1" customHeight="1">
      <c r="A3039" s="24" t="s">
        <v>9216</v>
      </c>
      <c r="B3039" s="24"/>
      <c r="C3039" s="24" t="s">
        <v>9217</v>
      </c>
      <c r="D3039" s="25" t="s">
        <v>9218</v>
      </c>
      <c r="E3039" s="28">
        <v>7.00000</v>
      </c>
      <c r="F3039" s="29">
        <f ca="1">ROUND(26.280,3)</f>
        <v>0</v>
      </c>
      <c r="G3039" s="27">
        <f ca="1">ROUND((E3039*F3039)/100,2)</f>
        <v>0</v>
      </c>
    </row>
    <row r="3040" spans="1:7" ht="15.48" thickBot="1" customHeight="1">
      <c r="A3040" s="30"/>
      <c r="B3040" s="30"/>
      <c r="C3040" s="30"/>
      <c r="D3040" s="31" t="s">
        <v>9219</v>
      </c>
      <c r="E3040" s="30"/>
      <c r="F3040" s="33">
        <f ca="1">ROUND((G3029+G3030+G3031+G3032+G3033+G3034+G3039)*(1+G2/100),2)</f>
        <v>0</v>
      </c>
      <c r="G3040" s="30"/>
    </row>
    <row r="3041" spans="1:7" ht="67.56" thickBot="1" customHeight="1">
      <c r="A3041" s="34" t="s">
        <v>9220</v>
      </c>
      <c r="B3041" s="35" t="s">
        <v>9221</v>
      </c>
      <c r="C3041" s="35" t="s">
        <v>9222</v>
      </c>
      <c r="D3041" s="36" t="s">
        <v>9223</v>
      </c>
      <c r="E3041" s="37"/>
      <c r="F3041" s="38">
        <f ca="1">F3050</f>
        <v>0</v>
      </c>
      <c r="G3041" s="37"/>
    </row>
    <row r="3042" spans="1:7" ht="21.36" thickBot="1" customHeight="1">
      <c r="A3042" s="26"/>
      <c r="B3042" s="26"/>
      <c r="C3042" s="26"/>
      <c r="D3042" s="25" t="s">
        <v>9224</v>
      </c>
      <c r="E3042" s="25"/>
      <c r="F3042" s="25"/>
      <c r="G3042" s="25"/>
    </row>
    <row r="3043" spans="1:7" ht="39.84" thickBot="1" customHeight="1">
      <c r="A3043" s="24" t="s">
        <v>9225</v>
      </c>
      <c r="B3043" s="24" t="s">
        <v>9226</v>
      </c>
      <c r="C3043" s="24" t="s">
        <v>9227</v>
      </c>
      <c r="D3043" s="25" t="s">
        <v>9228</v>
      </c>
      <c r="E3043" s="28">
        <v>0.01750</v>
      </c>
      <c r="F3043" s="29">
        <f ca="1">ROUND(86.000,3)</f>
        <v>0</v>
      </c>
      <c r="G3043" s="27">
        <f ca="1">ROUND(E3043*F3043,2)</f>
        <v>0</v>
      </c>
    </row>
    <row r="3044" spans="1:7" ht="21.36" thickBot="1" customHeight="1">
      <c r="A3044" s="24" t="s">
        <v>9229</v>
      </c>
      <c r="B3044" s="24" t="s">
        <v>9230</v>
      </c>
      <c r="C3044" s="24" t="s">
        <v>9231</v>
      </c>
      <c r="D3044" s="25" t="s">
        <v>9232</v>
      </c>
      <c r="E3044" s="28">
        <v>0.40000</v>
      </c>
      <c r="F3044" s="29">
        <f ca="1">F3048</f>
        <v>0</v>
      </c>
      <c r="G3044" s="27">
        <f ca="1">ROUND(E3044*F3044,2)</f>
        <v>0</v>
      </c>
    </row>
    <row r="3045" spans="1:7" ht="24.36" thickBot="1" customHeight="1">
      <c r="A3045" s="24" t="s">
        <v>9233</v>
      </c>
      <c r="B3045" s="24" t="s">
        <v>9234</v>
      </c>
      <c r="C3045" s="24" t="s">
        <v>9235</v>
      </c>
      <c r="D3045" s="25" t="s">
        <v>9236</v>
      </c>
      <c r="E3045" s="28">
        <v>1.00000</v>
      </c>
      <c r="F3045" s="29">
        <f ca="1">ROUND(21.000,3)</f>
        <v>0</v>
      </c>
      <c r="G3045" s="27">
        <f ca="1">ROUND(E3045*F3045,2)</f>
        <v>0</v>
      </c>
    </row>
    <row r="3046" spans="1:7" ht="24.36" thickBot="1" customHeight="1">
      <c r="A3046" s="24" t="s">
        <v>9237</v>
      </c>
      <c r="B3046" s="24" t="s">
        <v>9238</v>
      </c>
      <c r="C3046" s="24" t="s">
        <v>9239</v>
      </c>
      <c r="D3046" s="25" t="s">
        <v>9240</v>
      </c>
      <c r="E3046" s="28">
        <v>1.00000</v>
      </c>
      <c r="F3046" s="29">
        <f ca="1">ROUND(19.000,3)</f>
        <v>0</v>
      </c>
      <c r="G3046" s="27">
        <f ca="1">ROUND(E3046*F3046,2)</f>
        <v>0</v>
      </c>
    </row>
    <row r="3047" spans="1:7" ht="24.36" thickBot="1" customHeight="1">
      <c r="A3047" s="24" t="s">
        <v>9241</v>
      </c>
      <c r="B3047" s="24" t="s">
        <v>9242</v>
      </c>
      <c r="C3047" s="24" t="s">
        <v>9243</v>
      </c>
      <c r="D3047" s="25" t="s">
        <v>9244</v>
      </c>
      <c r="E3047" s="28">
        <v>0.20000</v>
      </c>
      <c r="F3047" s="29">
        <f ca="1">ROUND(19.000,3)</f>
        <v>0</v>
      </c>
      <c r="G3047" s="27">
        <f ca="1">ROUND(E3047*F3047,2)</f>
        <v>0</v>
      </c>
    </row>
    <row r="3048" spans="1:7" ht="15.12" thickBot="1" customHeight="1">
      <c r="A3048" s="26"/>
      <c r="B3048" s="26"/>
      <c r="C3048" s="26"/>
      <c r="D3048" s="24" t="s">
        <v>9245</v>
      </c>
      <c r="E3048" s="28">
        <v>0.40000</v>
      </c>
      <c r="F3048" s="29">
        <f ca="1">ROUND((G3045+G3046+G3047),3)</f>
        <v>0</v>
      </c>
      <c r="G3048" s="27">
        <f ca="1">ROUND(E3048*F3048,2)</f>
        <v>0</v>
      </c>
    </row>
    <row r="3049" spans="1:7" ht="15.12" thickBot="1" customHeight="1">
      <c r="A3049" s="24" t="s">
        <v>9246</v>
      </c>
      <c r="B3049" s="24"/>
      <c r="C3049" s="24" t="s">
        <v>9247</v>
      </c>
      <c r="D3049" s="25" t="s">
        <v>9248</v>
      </c>
      <c r="E3049" s="28">
        <v>5.00000</v>
      </c>
      <c r="F3049" s="29">
        <f ca="1">ROUND(17.520,3)</f>
        <v>0</v>
      </c>
      <c r="G3049" s="27">
        <f ca="1">ROUND((E3049*F3049)/100,2)</f>
        <v>0</v>
      </c>
    </row>
    <row r="3050" spans="1:7" ht="15.48" thickBot="1" customHeight="1">
      <c r="A3050" s="30"/>
      <c r="B3050" s="30"/>
      <c r="C3050" s="30"/>
      <c r="D3050" s="31" t="s">
        <v>9249</v>
      </c>
      <c r="E3050" s="30"/>
      <c r="F3050" s="33">
        <f ca="1">ROUND((G3043+G3044+G3049)*(1+G2/100),2)</f>
        <v>0</v>
      </c>
      <c r="G3050" s="30"/>
    </row>
    <row r="3051" spans="1:7" ht="58.32" thickBot="1" customHeight="1">
      <c r="A3051" s="34" t="s">
        <v>9250</v>
      </c>
      <c r="B3051" s="35" t="s">
        <v>9251</v>
      </c>
      <c r="C3051" s="35" t="s">
        <v>9252</v>
      </c>
      <c r="D3051" s="36" t="s">
        <v>9253</v>
      </c>
      <c r="E3051" s="37"/>
      <c r="F3051" s="38">
        <f ca="1">F3062</f>
        <v>0</v>
      </c>
      <c r="G3051" s="37"/>
    </row>
    <row r="3052" spans="1:7" ht="21.36" thickBot="1" customHeight="1">
      <c r="A3052" s="26"/>
      <c r="B3052" s="26"/>
      <c r="C3052" s="26"/>
      <c r="D3052" s="25" t="s">
        <v>9254</v>
      </c>
      <c r="E3052" s="25"/>
      <c r="F3052" s="25"/>
      <c r="G3052" s="25"/>
    </row>
    <row r="3053" spans="1:7" ht="39.84" thickBot="1" customHeight="1">
      <c r="A3053" s="24" t="s">
        <v>9255</v>
      </c>
      <c r="B3053" s="24" t="s">
        <v>9256</v>
      </c>
      <c r="C3053" s="24" t="s">
        <v>9257</v>
      </c>
      <c r="D3053" s="25" t="s">
        <v>9258</v>
      </c>
      <c r="E3053" s="28">
        <v>0.00000</v>
      </c>
      <c r="F3053" s="29">
        <f ca="1">ROUND(11.830,3)</f>
        <v>0</v>
      </c>
      <c r="G3053" s="27">
        <f ca="1">ROUND(E3053*F3053,2)</f>
        <v>0</v>
      </c>
    </row>
    <row r="3054" spans="1:7" ht="30.60" thickBot="1" customHeight="1">
      <c r="A3054" s="24" t="s">
        <v>9259</v>
      </c>
      <c r="B3054" s="24" t="s">
        <v>9260</v>
      </c>
      <c r="C3054" s="24" t="s">
        <v>9261</v>
      </c>
      <c r="D3054" s="25" t="s">
        <v>9262</v>
      </c>
      <c r="E3054" s="28">
        <v>0.00400</v>
      </c>
      <c r="F3054" s="29">
        <f ca="1">ROUND(18.440,3)</f>
        <v>0</v>
      </c>
      <c r="G3054" s="27">
        <f ca="1">ROUND(E3054*F3054,2)</f>
        <v>0</v>
      </c>
    </row>
    <row r="3055" spans="1:7" ht="49.08" thickBot="1" customHeight="1">
      <c r="A3055" s="24" t="s">
        <v>9263</v>
      </c>
      <c r="B3055" s="24" t="s">
        <v>9264</v>
      </c>
      <c r="C3055" s="24" t="s">
        <v>9265</v>
      </c>
      <c r="D3055" s="25" t="s">
        <v>9266</v>
      </c>
      <c r="E3055" s="28">
        <v>0.04714</v>
      </c>
      <c r="F3055" s="29">
        <f ca="1">ROUND(45.570,3)</f>
        <v>0</v>
      </c>
      <c r="G3055" s="27">
        <f ca="1">ROUND(E3055*F3055,2)</f>
        <v>0</v>
      </c>
    </row>
    <row r="3056" spans="1:7" ht="21.36" thickBot="1" customHeight="1">
      <c r="A3056" s="24" t="s">
        <v>9267</v>
      </c>
      <c r="B3056" s="24" t="s">
        <v>9268</v>
      </c>
      <c r="C3056" s="24" t="s">
        <v>9269</v>
      </c>
      <c r="D3056" s="25" t="s">
        <v>9270</v>
      </c>
      <c r="E3056" s="28">
        <v>0.16000</v>
      </c>
      <c r="F3056" s="29">
        <f ca="1">F3060</f>
        <v>0</v>
      </c>
      <c r="G3056" s="27">
        <f ca="1">ROUND(E3056*F3056,2)</f>
        <v>0</v>
      </c>
    </row>
    <row r="3057" spans="1:7" ht="24.36" thickBot="1" customHeight="1">
      <c r="A3057" s="24" t="s">
        <v>9271</v>
      </c>
      <c r="B3057" s="24" t="s">
        <v>9272</v>
      </c>
      <c r="C3057" s="24" t="s">
        <v>9273</v>
      </c>
      <c r="D3057" s="25" t="s">
        <v>9274</v>
      </c>
      <c r="E3057" s="28">
        <v>1.00000</v>
      </c>
      <c r="F3057" s="29">
        <f ca="1">ROUND(21.000,3)</f>
        <v>0</v>
      </c>
      <c r="G3057" s="27">
        <f ca="1">ROUND(E3057*F3057,2)</f>
        <v>0</v>
      </c>
    </row>
    <row r="3058" spans="1:7" ht="24.36" thickBot="1" customHeight="1">
      <c r="A3058" s="24" t="s">
        <v>9275</v>
      </c>
      <c r="B3058" s="24" t="s">
        <v>9276</v>
      </c>
      <c r="C3058" s="24" t="s">
        <v>9277</v>
      </c>
      <c r="D3058" s="25" t="s">
        <v>9278</v>
      </c>
      <c r="E3058" s="28">
        <v>1.00000</v>
      </c>
      <c r="F3058" s="29">
        <f ca="1">ROUND(19.000,3)</f>
        <v>0</v>
      </c>
      <c r="G3058" s="27">
        <f ca="1">ROUND(E3058*F3058,2)</f>
        <v>0</v>
      </c>
    </row>
    <row r="3059" spans="1:7" ht="24.36" thickBot="1" customHeight="1">
      <c r="A3059" s="24" t="s">
        <v>9279</v>
      </c>
      <c r="B3059" s="24" t="s">
        <v>9280</v>
      </c>
      <c r="C3059" s="24" t="s">
        <v>9281</v>
      </c>
      <c r="D3059" s="25" t="s">
        <v>9282</v>
      </c>
      <c r="E3059" s="28">
        <v>0.20000</v>
      </c>
      <c r="F3059" s="29">
        <f ca="1">ROUND(19.000,3)</f>
        <v>0</v>
      </c>
      <c r="G3059" s="27">
        <f ca="1">ROUND(E3059*F3059,2)</f>
        <v>0</v>
      </c>
    </row>
    <row r="3060" spans="1:7" ht="15.12" thickBot="1" customHeight="1">
      <c r="A3060" s="26"/>
      <c r="B3060" s="26"/>
      <c r="C3060" s="26"/>
      <c r="D3060" s="24" t="s">
        <v>9283</v>
      </c>
      <c r="E3060" s="28">
        <v>0.16000</v>
      </c>
      <c r="F3060" s="29">
        <f ca="1">ROUND((G3057+G3058+G3059),3)</f>
        <v>0</v>
      </c>
      <c r="G3060" s="27">
        <f ca="1">ROUND(E3060*F3060,2)</f>
        <v>0</v>
      </c>
    </row>
    <row r="3061" spans="1:7" ht="15.12" thickBot="1" customHeight="1">
      <c r="A3061" s="24" t="s">
        <v>9284</v>
      </c>
      <c r="B3061" s="24"/>
      <c r="C3061" s="24" t="s">
        <v>9285</v>
      </c>
      <c r="D3061" s="25" t="s">
        <v>9286</v>
      </c>
      <c r="E3061" s="28">
        <v>5.00000</v>
      </c>
      <c r="F3061" s="29">
        <f ca="1">ROUND(7.010,3)</f>
        <v>0</v>
      </c>
      <c r="G3061" s="27">
        <f ca="1">ROUND((E3061*F3061)/100,2)</f>
        <v>0</v>
      </c>
    </row>
    <row r="3062" spans="1:7" ht="15.48" thickBot="1" customHeight="1">
      <c r="A3062" s="30"/>
      <c r="B3062" s="30"/>
      <c r="C3062" s="30"/>
      <c r="D3062" s="31" t="s">
        <v>9287</v>
      </c>
      <c r="E3062" s="30"/>
      <c r="F3062" s="33">
        <f ca="1">ROUND((G3053+G3054+G3055+G3056+G3061)*(1+G2/100),2)</f>
        <v>0</v>
      </c>
      <c r="G3062" s="30"/>
    </row>
    <row r="3063" spans="1:7" ht="49.08" thickBot="1" customHeight="1">
      <c r="A3063" s="34" t="s">
        <v>9288</v>
      </c>
      <c r="B3063" s="35" t="s">
        <v>9289</v>
      </c>
      <c r="C3063" s="35" t="s">
        <v>9290</v>
      </c>
      <c r="D3063" s="36" t="s">
        <v>9291</v>
      </c>
      <c r="E3063" s="37"/>
      <c r="F3063" s="38">
        <f ca="1">F3074</f>
        <v>0</v>
      </c>
      <c r="G3063" s="37"/>
    </row>
    <row r="3064" spans="1:7" ht="21.36" thickBot="1" customHeight="1">
      <c r="A3064" s="26"/>
      <c r="B3064" s="26"/>
      <c r="C3064" s="26"/>
      <c r="D3064" s="25" t="s">
        <v>9292</v>
      </c>
      <c r="E3064" s="25"/>
      <c r="F3064" s="25"/>
      <c r="G3064" s="25"/>
    </row>
    <row r="3065" spans="1:7" ht="39.84" thickBot="1" customHeight="1">
      <c r="A3065" s="24" t="s">
        <v>9293</v>
      </c>
      <c r="B3065" s="24" t="s">
        <v>9294</v>
      </c>
      <c r="C3065" s="24" t="s">
        <v>9295</v>
      </c>
      <c r="D3065" s="25" t="s">
        <v>9296</v>
      </c>
      <c r="E3065" s="28">
        <v>0.01000</v>
      </c>
      <c r="F3065" s="29">
        <f ca="1">ROUND(11.830,3)</f>
        <v>0</v>
      </c>
      <c r="G3065" s="27">
        <f ca="1">ROUND(E3065*F3065,2)</f>
        <v>0</v>
      </c>
    </row>
    <row r="3066" spans="1:7" ht="30.60" thickBot="1" customHeight="1">
      <c r="A3066" s="24" t="s">
        <v>9297</v>
      </c>
      <c r="B3066" s="24" t="s">
        <v>9298</v>
      </c>
      <c r="C3066" s="24" t="s">
        <v>9299</v>
      </c>
      <c r="D3066" s="25" t="s">
        <v>9300</v>
      </c>
      <c r="E3066" s="28">
        <v>0.02792</v>
      </c>
      <c r="F3066" s="29">
        <f ca="1">ROUND(18.440,3)</f>
        <v>0</v>
      </c>
      <c r="G3066" s="27">
        <f ca="1">ROUND(E3066*F3066,2)</f>
        <v>0</v>
      </c>
    </row>
    <row r="3067" spans="1:7" ht="30.60" thickBot="1" customHeight="1">
      <c r="A3067" s="24" t="s">
        <v>9301</v>
      </c>
      <c r="B3067" s="24" t="s">
        <v>9302</v>
      </c>
      <c r="C3067" s="24" t="s">
        <v>9303</v>
      </c>
      <c r="D3067" s="25" t="s">
        <v>9304</v>
      </c>
      <c r="E3067" s="28">
        <v>0.31500</v>
      </c>
      <c r="F3067" s="29">
        <f ca="1">ROUND(16.810,3)</f>
        <v>0</v>
      </c>
      <c r="G3067" s="27">
        <f ca="1">ROUND(E3067*F3067,2)</f>
        <v>0</v>
      </c>
    </row>
    <row r="3068" spans="1:7" ht="21.36" thickBot="1" customHeight="1">
      <c r="A3068" s="24" t="s">
        <v>9305</v>
      </c>
      <c r="B3068" s="24" t="s">
        <v>9306</v>
      </c>
      <c r="C3068" s="24" t="s">
        <v>9307</v>
      </c>
      <c r="D3068" s="25" t="s">
        <v>9308</v>
      </c>
      <c r="E3068" s="28">
        <v>0.22857</v>
      </c>
      <c r="F3068" s="29">
        <f ca="1">F3072</f>
        <v>0</v>
      </c>
      <c r="G3068" s="27">
        <f ca="1">ROUND(E3068*F3068,2)</f>
        <v>0</v>
      </c>
    </row>
    <row r="3069" spans="1:7" ht="24.36" thickBot="1" customHeight="1">
      <c r="A3069" s="24" t="s">
        <v>9309</v>
      </c>
      <c r="B3069" s="24" t="s">
        <v>9310</v>
      </c>
      <c r="C3069" s="24" t="s">
        <v>9311</v>
      </c>
      <c r="D3069" s="25" t="s">
        <v>9312</v>
      </c>
      <c r="E3069" s="28">
        <v>1.00000</v>
      </c>
      <c r="F3069" s="29">
        <f ca="1">ROUND(21.000,3)</f>
        <v>0</v>
      </c>
      <c r="G3069" s="27">
        <f ca="1">ROUND(E3069*F3069,2)</f>
        <v>0</v>
      </c>
    </row>
    <row r="3070" spans="1:7" ht="24.36" thickBot="1" customHeight="1">
      <c r="A3070" s="24" t="s">
        <v>9313</v>
      </c>
      <c r="B3070" s="24" t="s">
        <v>9314</v>
      </c>
      <c r="C3070" s="24" t="s">
        <v>9315</v>
      </c>
      <c r="D3070" s="25" t="s">
        <v>9316</v>
      </c>
      <c r="E3070" s="28">
        <v>1.00000</v>
      </c>
      <c r="F3070" s="29">
        <f ca="1">ROUND(19.000,3)</f>
        <v>0</v>
      </c>
      <c r="G3070" s="27">
        <f ca="1">ROUND(E3070*F3070,2)</f>
        <v>0</v>
      </c>
    </row>
    <row r="3071" spans="1:7" ht="24.36" thickBot="1" customHeight="1">
      <c r="A3071" s="24" t="s">
        <v>9317</v>
      </c>
      <c r="B3071" s="24" t="s">
        <v>9318</v>
      </c>
      <c r="C3071" s="24" t="s">
        <v>9319</v>
      </c>
      <c r="D3071" s="25" t="s">
        <v>9320</v>
      </c>
      <c r="E3071" s="28">
        <v>0.20000</v>
      </c>
      <c r="F3071" s="29">
        <f ca="1">ROUND(19.000,3)</f>
        <v>0</v>
      </c>
      <c r="G3071" s="27">
        <f ca="1">ROUND(E3071*F3071,2)</f>
        <v>0</v>
      </c>
    </row>
    <row r="3072" spans="1:7" ht="15.12" thickBot="1" customHeight="1">
      <c r="A3072" s="26"/>
      <c r="B3072" s="26"/>
      <c r="C3072" s="26"/>
      <c r="D3072" s="24" t="s">
        <v>9321</v>
      </c>
      <c r="E3072" s="28">
        <v>0.22857</v>
      </c>
      <c r="F3072" s="29">
        <f ca="1">ROUND((G3069+G3070+G3071),3)</f>
        <v>0</v>
      </c>
      <c r="G3072" s="27">
        <f ca="1">ROUND(E3072*F3072,2)</f>
        <v>0</v>
      </c>
    </row>
    <row r="3073" spans="1:7" ht="15.12" thickBot="1" customHeight="1">
      <c r="A3073" s="24" t="s">
        <v>9322</v>
      </c>
      <c r="B3073" s="24"/>
      <c r="C3073" s="24" t="s">
        <v>9323</v>
      </c>
      <c r="D3073" s="25" t="s">
        <v>9324</v>
      </c>
      <c r="E3073" s="28">
        <v>3.00000</v>
      </c>
      <c r="F3073" s="29">
        <f ca="1">ROUND(10.010,3)</f>
        <v>0</v>
      </c>
      <c r="G3073" s="27">
        <f ca="1">ROUND((E3073*F3073)/100,2)</f>
        <v>0</v>
      </c>
    </row>
    <row r="3074" spans="1:7" ht="15.48" thickBot="1" customHeight="1">
      <c r="A3074" s="30"/>
      <c r="B3074" s="30"/>
      <c r="C3074" s="30"/>
      <c r="D3074" s="31" t="s">
        <v>9325</v>
      </c>
      <c r="E3074" s="30"/>
      <c r="F3074" s="33">
        <f ca="1">ROUND((G3065+G3066+G3067+G3068+G3073)*(1+G2/100),2)</f>
        <v>0</v>
      </c>
      <c r="G3074" s="30"/>
    </row>
    <row r="3075" spans="1:7" ht="67.56" thickBot="1" customHeight="1">
      <c r="A3075" s="34" t="s">
        <v>9326</v>
      </c>
      <c r="B3075" s="35" t="s">
        <v>9327</v>
      </c>
      <c r="C3075" s="35" t="s">
        <v>9328</v>
      </c>
      <c r="D3075" s="36" t="s">
        <v>9329</v>
      </c>
      <c r="E3075" s="37"/>
      <c r="F3075" s="38">
        <f ca="1">F3086</f>
        <v>0</v>
      </c>
      <c r="G3075" s="37"/>
    </row>
    <row r="3076" spans="1:7" ht="30.60" thickBot="1" customHeight="1">
      <c r="A3076" s="26"/>
      <c r="B3076" s="26"/>
      <c r="C3076" s="26"/>
      <c r="D3076" s="25" t="s">
        <v>9330</v>
      </c>
      <c r="E3076" s="25"/>
      <c r="F3076" s="25"/>
      <c r="G3076" s="25"/>
    </row>
    <row r="3077" spans="1:7" ht="39.84" thickBot="1" customHeight="1">
      <c r="A3077" s="24" t="s">
        <v>9331</v>
      </c>
      <c r="B3077" s="24" t="s">
        <v>9332</v>
      </c>
      <c r="C3077" s="24" t="s">
        <v>9333</v>
      </c>
      <c r="D3077" s="25" t="s">
        <v>9334</v>
      </c>
      <c r="E3077" s="28">
        <v>0.00000</v>
      </c>
      <c r="F3077" s="29">
        <f ca="1">ROUND(11.830,3)</f>
        <v>0</v>
      </c>
      <c r="G3077" s="27">
        <f ca="1">ROUND(E3077*F3077,2)</f>
        <v>0</v>
      </c>
    </row>
    <row r="3078" spans="1:7" ht="30.60" thickBot="1" customHeight="1">
      <c r="A3078" s="24" t="s">
        <v>9335</v>
      </c>
      <c r="B3078" s="24" t="s">
        <v>9336</v>
      </c>
      <c r="C3078" s="24" t="s">
        <v>9337</v>
      </c>
      <c r="D3078" s="25" t="s">
        <v>9338</v>
      </c>
      <c r="E3078" s="28">
        <v>0.02234</v>
      </c>
      <c r="F3078" s="29">
        <f ca="1">ROUND(18.440,3)</f>
        <v>0</v>
      </c>
      <c r="G3078" s="27">
        <f ca="1">ROUND(E3078*F3078,2)</f>
        <v>0</v>
      </c>
    </row>
    <row r="3079" spans="1:7" ht="30.60" thickBot="1" customHeight="1">
      <c r="A3079" s="24" t="s">
        <v>9339</v>
      </c>
      <c r="B3079" s="24" t="s">
        <v>9340</v>
      </c>
      <c r="C3079" s="24" t="s">
        <v>9341</v>
      </c>
      <c r="D3079" s="25" t="s">
        <v>9342</v>
      </c>
      <c r="E3079" s="28">
        <v>0.25200</v>
      </c>
      <c r="F3079" s="29">
        <f ca="1">ROUND(16.810,3)</f>
        <v>0</v>
      </c>
      <c r="G3079" s="27">
        <f ca="1">ROUND(E3079*F3079,2)</f>
        <v>0</v>
      </c>
    </row>
    <row r="3080" spans="1:7" ht="21.36" thickBot="1" customHeight="1">
      <c r="A3080" s="24" t="s">
        <v>9343</v>
      </c>
      <c r="B3080" s="24" t="s">
        <v>9344</v>
      </c>
      <c r="C3080" s="24" t="s">
        <v>9345</v>
      </c>
      <c r="D3080" s="25" t="s">
        <v>9346</v>
      </c>
      <c r="E3080" s="28">
        <v>0.22857</v>
      </c>
      <c r="F3080" s="29">
        <f ca="1">F3084</f>
        <v>0</v>
      </c>
      <c r="G3080" s="27">
        <f ca="1">ROUND(E3080*F3080,2)</f>
        <v>0</v>
      </c>
    </row>
    <row r="3081" spans="1:7" ht="24.36" thickBot="1" customHeight="1">
      <c r="A3081" s="24" t="s">
        <v>9347</v>
      </c>
      <c r="B3081" s="24" t="s">
        <v>9348</v>
      </c>
      <c r="C3081" s="24" t="s">
        <v>9349</v>
      </c>
      <c r="D3081" s="25" t="s">
        <v>9350</v>
      </c>
      <c r="E3081" s="28">
        <v>1.00000</v>
      </c>
      <c r="F3081" s="29">
        <f ca="1">ROUND(21.000,3)</f>
        <v>0</v>
      </c>
      <c r="G3081" s="27">
        <f ca="1">ROUND(E3081*F3081,2)</f>
        <v>0</v>
      </c>
    </row>
    <row r="3082" spans="1:7" ht="24.36" thickBot="1" customHeight="1">
      <c r="A3082" s="24" t="s">
        <v>9351</v>
      </c>
      <c r="B3082" s="24" t="s">
        <v>9352</v>
      </c>
      <c r="C3082" s="24" t="s">
        <v>9353</v>
      </c>
      <c r="D3082" s="25" t="s">
        <v>9354</v>
      </c>
      <c r="E3082" s="28">
        <v>1.00000</v>
      </c>
      <c r="F3082" s="29">
        <f ca="1">ROUND(19.000,3)</f>
        <v>0</v>
      </c>
      <c r="G3082" s="27">
        <f ca="1">ROUND(E3082*F3082,2)</f>
        <v>0</v>
      </c>
    </row>
    <row r="3083" spans="1:7" ht="24.36" thickBot="1" customHeight="1">
      <c r="A3083" s="24" t="s">
        <v>9355</v>
      </c>
      <c r="B3083" s="24" t="s">
        <v>9356</v>
      </c>
      <c r="C3083" s="24" t="s">
        <v>9357</v>
      </c>
      <c r="D3083" s="25" t="s">
        <v>9358</v>
      </c>
      <c r="E3083" s="28">
        <v>0.20000</v>
      </c>
      <c r="F3083" s="29">
        <f ca="1">ROUND(19.000,3)</f>
        <v>0</v>
      </c>
      <c r="G3083" s="27">
        <f ca="1">ROUND(E3083*F3083,2)</f>
        <v>0</v>
      </c>
    </row>
    <row r="3084" spans="1:7" ht="15.12" thickBot="1" customHeight="1">
      <c r="A3084" s="26"/>
      <c r="B3084" s="26"/>
      <c r="C3084" s="26"/>
      <c r="D3084" s="24" t="s">
        <v>9359</v>
      </c>
      <c r="E3084" s="28">
        <v>0.22857</v>
      </c>
      <c r="F3084" s="29">
        <f ca="1">ROUND((G3081+G3082+G3083),3)</f>
        <v>0</v>
      </c>
      <c r="G3084" s="27">
        <f ca="1">ROUND(E3084*F3084,2)</f>
        <v>0</v>
      </c>
    </row>
    <row r="3085" spans="1:7" ht="15.12" thickBot="1" customHeight="1">
      <c r="A3085" s="24" t="s">
        <v>9360</v>
      </c>
      <c r="B3085" s="24"/>
      <c r="C3085" s="24" t="s">
        <v>9361</v>
      </c>
      <c r="D3085" s="25" t="s">
        <v>9362</v>
      </c>
      <c r="E3085" s="28">
        <v>3.00000</v>
      </c>
      <c r="F3085" s="29">
        <f ca="1">ROUND(10.010,3)</f>
        <v>0</v>
      </c>
      <c r="G3085" s="27">
        <f ca="1">ROUND((E3085*F3085)/100,2)</f>
        <v>0</v>
      </c>
    </row>
    <row r="3086" spans="1:7" ht="15.48" thickBot="1" customHeight="1">
      <c r="A3086" s="30"/>
      <c r="B3086" s="30"/>
      <c r="C3086" s="30"/>
      <c r="D3086" s="31" t="s">
        <v>9363</v>
      </c>
      <c r="E3086" s="30"/>
      <c r="F3086" s="33">
        <f ca="1">ROUND((G3077+G3078+G3079+G3080+G3085)*(1+G2/100),2)</f>
        <v>0</v>
      </c>
      <c r="G3086" s="30"/>
    </row>
    <row r="3087" spans="1:7" ht="49.08" thickBot="1" customHeight="1">
      <c r="A3087" s="34" t="s">
        <v>9364</v>
      </c>
      <c r="B3087" s="35" t="s">
        <v>9365</v>
      </c>
      <c r="C3087" s="35" t="s">
        <v>9366</v>
      </c>
      <c r="D3087" s="36" t="s">
        <v>9367</v>
      </c>
      <c r="E3087" s="37"/>
      <c r="F3087" s="38">
        <f ca="1">F3101</f>
        <v>0</v>
      </c>
      <c r="G3087" s="37"/>
    </row>
    <row r="3088" spans="1:7" ht="21.36" thickBot="1" customHeight="1">
      <c r="A3088" s="26"/>
      <c r="B3088" s="26"/>
      <c r="C3088" s="26"/>
      <c r="D3088" s="25" t="s">
        <v>9368</v>
      </c>
      <c r="E3088" s="25"/>
      <c r="F3088" s="25"/>
      <c r="G3088" s="25"/>
    </row>
    <row r="3089" spans="1:7" ht="39.84" thickBot="1" customHeight="1">
      <c r="A3089" s="24" t="s">
        <v>9369</v>
      </c>
      <c r="B3089" s="24" t="s">
        <v>9370</v>
      </c>
      <c r="C3089" s="24" t="s">
        <v>9371</v>
      </c>
      <c r="D3089" s="25" t="s">
        <v>9372</v>
      </c>
      <c r="E3089" s="28">
        <v>0.00000</v>
      </c>
      <c r="F3089" s="29">
        <f ca="1">ROUND(11.830,3)</f>
        <v>0</v>
      </c>
      <c r="G3089" s="27">
        <f ca="1">ROUND(E3089*F3089,2)</f>
        <v>0</v>
      </c>
    </row>
    <row r="3090" spans="1:7" ht="30.60" thickBot="1" customHeight="1">
      <c r="A3090" s="24" t="s">
        <v>9373</v>
      </c>
      <c r="B3090" s="24" t="s">
        <v>9374</v>
      </c>
      <c r="C3090" s="24" t="s">
        <v>9375</v>
      </c>
      <c r="D3090" s="25" t="s">
        <v>9376</v>
      </c>
      <c r="E3090" s="28">
        <v>0.02792</v>
      </c>
      <c r="F3090" s="29">
        <f ca="1">ROUND(18.440,3)</f>
        <v>0</v>
      </c>
      <c r="G3090" s="27">
        <f ca="1">ROUND(E3090*F3090,2)</f>
        <v>0</v>
      </c>
    </row>
    <row r="3091" spans="1:7" ht="21.36" thickBot="1" customHeight="1">
      <c r="A3091" s="24" t="s">
        <v>9377</v>
      </c>
      <c r="B3091" s="24" t="s">
        <v>9378</v>
      </c>
      <c r="C3091" s="24" t="s">
        <v>9379</v>
      </c>
      <c r="D3091" s="25" t="s">
        <v>9380</v>
      </c>
      <c r="E3091" s="28">
        <v>1.00000</v>
      </c>
      <c r="F3091" s="29">
        <f ca="1">ROUND(4.980,3)</f>
        <v>0</v>
      </c>
      <c r="G3091" s="27">
        <f ca="1">ROUND(E3091*F3091,2)</f>
        <v>0</v>
      </c>
    </row>
    <row r="3092" spans="1:7" ht="39.84" thickBot="1" customHeight="1">
      <c r="A3092" s="24" t="s">
        <v>9381</v>
      </c>
      <c r="B3092" s="24" t="s">
        <v>9382</v>
      </c>
      <c r="C3092" s="24" t="s">
        <v>9383</v>
      </c>
      <c r="D3092" s="25" t="s">
        <v>9384</v>
      </c>
      <c r="E3092" s="28">
        <v>0.20000</v>
      </c>
      <c r="F3092" s="29">
        <f ca="1">ROUND(2.860,3)</f>
        <v>0</v>
      </c>
      <c r="G3092" s="27">
        <f ca="1">ROUND(E3092*F3092,2)</f>
        <v>0</v>
      </c>
    </row>
    <row r="3093" spans="1:7" ht="30.60" thickBot="1" customHeight="1">
      <c r="A3093" s="24" t="s">
        <v>9385</v>
      </c>
      <c r="B3093" s="24" t="s">
        <v>9386</v>
      </c>
      <c r="C3093" s="24" t="s">
        <v>9387</v>
      </c>
      <c r="D3093" s="25" t="s">
        <v>9388</v>
      </c>
      <c r="E3093" s="28">
        <v>0.18180</v>
      </c>
      <c r="F3093" s="29">
        <f ca="1">ROUND(30.450,3)</f>
        <v>0</v>
      </c>
      <c r="G3093" s="27">
        <f ca="1">ROUND(E3093*F3093,2)</f>
        <v>0</v>
      </c>
    </row>
    <row r="3094" spans="1:7" ht="30.60" thickBot="1" customHeight="1">
      <c r="A3094" s="24" t="s">
        <v>9389</v>
      </c>
      <c r="B3094" s="24" t="s">
        <v>9390</v>
      </c>
      <c r="C3094" s="24" t="s">
        <v>9391</v>
      </c>
      <c r="D3094" s="25" t="s">
        <v>9392</v>
      </c>
      <c r="E3094" s="28">
        <v>0.50400</v>
      </c>
      <c r="F3094" s="29">
        <f ca="1">ROUND(16.810,3)</f>
        <v>0</v>
      </c>
      <c r="G3094" s="27">
        <f ca="1">ROUND(E3094*F3094,2)</f>
        <v>0</v>
      </c>
    </row>
    <row r="3095" spans="1:7" ht="21.36" thickBot="1" customHeight="1">
      <c r="A3095" s="24" t="s">
        <v>9393</v>
      </c>
      <c r="B3095" s="24" t="s">
        <v>9394</v>
      </c>
      <c r="C3095" s="24" t="s">
        <v>9395</v>
      </c>
      <c r="D3095" s="25" t="s">
        <v>9396</v>
      </c>
      <c r="E3095" s="28">
        <v>0.34783</v>
      </c>
      <c r="F3095" s="29">
        <f ca="1">F3099</f>
        <v>0</v>
      </c>
      <c r="G3095" s="27">
        <f ca="1">ROUND(E3095*F3095,2)</f>
        <v>0</v>
      </c>
    </row>
    <row r="3096" spans="1:7" ht="24.36" thickBot="1" customHeight="1">
      <c r="A3096" s="24" t="s">
        <v>9397</v>
      </c>
      <c r="B3096" s="24" t="s">
        <v>9398</v>
      </c>
      <c r="C3096" s="24" t="s">
        <v>9399</v>
      </c>
      <c r="D3096" s="25" t="s">
        <v>9400</v>
      </c>
      <c r="E3096" s="28">
        <v>1.00000</v>
      </c>
      <c r="F3096" s="29">
        <f ca="1">ROUND(21.000,3)</f>
        <v>0</v>
      </c>
      <c r="G3096" s="27">
        <f ca="1">ROUND(E3096*F3096,2)</f>
        <v>0</v>
      </c>
    </row>
    <row r="3097" spans="1:7" ht="24.36" thickBot="1" customHeight="1">
      <c r="A3097" s="24" t="s">
        <v>9401</v>
      </c>
      <c r="B3097" s="24" t="s">
        <v>9402</v>
      </c>
      <c r="C3097" s="24" t="s">
        <v>9403</v>
      </c>
      <c r="D3097" s="25" t="s">
        <v>9404</v>
      </c>
      <c r="E3097" s="28">
        <v>1.00000</v>
      </c>
      <c r="F3097" s="29">
        <f ca="1">ROUND(19.000,3)</f>
        <v>0</v>
      </c>
      <c r="G3097" s="27">
        <f ca="1">ROUND(E3097*F3097,2)</f>
        <v>0</v>
      </c>
    </row>
    <row r="3098" spans="1:7" ht="24.36" thickBot="1" customHeight="1">
      <c r="A3098" s="24" t="s">
        <v>9405</v>
      </c>
      <c r="B3098" s="24" t="s">
        <v>9406</v>
      </c>
      <c r="C3098" s="24" t="s">
        <v>9407</v>
      </c>
      <c r="D3098" s="25" t="s">
        <v>9408</v>
      </c>
      <c r="E3098" s="28">
        <v>0.20000</v>
      </c>
      <c r="F3098" s="29">
        <f ca="1">ROUND(19.000,3)</f>
        <v>0</v>
      </c>
      <c r="G3098" s="27">
        <f ca="1">ROUND(E3098*F3098,2)</f>
        <v>0</v>
      </c>
    </row>
    <row r="3099" spans="1:7" ht="15.12" thickBot="1" customHeight="1">
      <c r="A3099" s="26"/>
      <c r="B3099" s="26"/>
      <c r="C3099" s="26"/>
      <c r="D3099" s="24" t="s">
        <v>9409</v>
      </c>
      <c r="E3099" s="28">
        <v>0.34783</v>
      </c>
      <c r="F3099" s="29">
        <f ca="1">ROUND((G3096+G3097+G3098),3)</f>
        <v>0</v>
      </c>
      <c r="G3099" s="27">
        <f ca="1">ROUND(E3099*F3099,2)</f>
        <v>0</v>
      </c>
    </row>
    <row r="3100" spans="1:7" ht="15.12" thickBot="1" customHeight="1">
      <c r="A3100" s="24" t="s">
        <v>9410</v>
      </c>
      <c r="B3100" s="24"/>
      <c r="C3100" s="24" t="s">
        <v>9411</v>
      </c>
      <c r="D3100" s="25" t="s">
        <v>9412</v>
      </c>
      <c r="E3100" s="28">
        <v>3.00000</v>
      </c>
      <c r="F3100" s="29">
        <f ca="1">ROUND(15.230,3)</f>
        <v>0</v>
      </c>
      <c r="G3100" s="27">
        <f ca="1">ROUND((E3100*F3100)/100,2)</f>
        <v>0</v>
      </c>
    </row>
    <row r="3101" spans="1:7" ht="15.48" thickBot="1" customHeight="1">
      <c r="A3101" s="30"/>
      <c r="B3101" s="30"/>
      <c r="C3101" s="30"/>
      <c r="D3101" s="31" t="s">
        <v>9413</v>
      </c>
      <c r="E3101" s="30"/>
      <c r="F3101" s="33">
        <f ca="1">ROUND((G3089+G3090+G3091+G3092+G3093+G3094+G3095+G3100)*(1+G2/100),2)</f>
        <v>0</v>
      </c>
      <c r="G3101" s="30"/>
    </row>
    <row r="3102" spans="1:7" ht="58.32" thickBot="1" customHeight="1">
      <c r="A3102" s="34" t="s">
        <v>9414</v>
      </c>
      <c r="B3102" s="35" t="s">
        <v>9415</v>
      </c>
      <c r="C3102" s="35" t="s">
        <v>9416</v>
      </c>
      <c r="D3102" s="36" t="s">
        <v>9417</v>
      </c>
      <c r="E3102" s="37"/>
      <c r="F3102" s="38">
        <f ca="1">F3116</f>
        <v>0</v>
      </c>
      <c r="G3102" s="37"/>
    </row>
    <row r="3103" spans="1:7" ht="21.36" thickBot="1" customHeight="1">
      <c r="A3103" s="26"/>
      <c r="B3103" s="26"/>
      <c r="C3103" s="26"/>
      <c r="D3103" s="25" t="s">
        <v>9418</v>
      </c>
      <c r="E3103" s="25"/>
      <c r="F3103" s="25"/>
      <c r="G3103" s="25"/>
    </row>
    <row r="3104" spans="1:7" ht="39.84" thickBot="1" customHeight="1">
      <c r="A3104" s="24" t="s">
        <v>9419</v>
      </c>
      <c r="B3104" s="24" t="s">
        <v>9420</v>
      </c>
      <c r="C3104" s="24" t="s">
        <v>9421</v>
      </c>
      <c r="D3104" s="25" t="s">
        <v>9422</v>
      </c>
      <c r="E3104" s="28">
        <v>0.00000</v>
      </c>
      <c r="F3104" s="29">
        <f ca="1">ROUND(11.830,3)</f>
        <v>0</v>
      </c>
      <c r="G3104" s="27">
        <f ca="1">ROUND(E3104*F3104,2)</f>
        <v>0</v>
      </c>
    </row>
    <row r="3105" spans="1:7" ht="30.60" thickBot="1" customHeight="1">
      <c r="A3105" s="24" t="s">
        <v>9423</v>
      </c>
      <c r="B3105" s="24" t="s">
        <v>9424</v>
      </c>
      <c r="C3105" s="24" t="s">
        <v>9425</v>
      </c>
      <c r="D3105" s="25" t="s">
        <v>9426</v>
      </c>
      <c r="E3105" s="28">
        <v>0.01680</v>
      </c>
      <c r="F3105" s="29">
        <f ca="1">ROUND(18.440,3)</f>
        <v>0</v>
      </c>
      <c r="G3105" s="27">
        <f ca="1">ROUND(E3105*F3105,2)</f>
        <v>0</v>
      </c>
    </row>
    <row r="3106" spans="1:7" ht="21.36" thickBot="1" customHeight="1">
      <c r="A3106" s="24" t="s">
        <v>9427</v>
      </c>
      <c r="B3106" s="24" t="s">
        <v>9428</v>
      </c>
      <c r="C3106" s="24" t="s">
        <v>9429</v>
      </c>
      <c r="D3106" s="25" t="s">
        <v>9430</v>
      </c>
      <c r="E3106" s="28">
        <v>1.00000</v>
      </c>
      <c r="F3106" s="29">
        <f ca="1">ROUND(2.290,3)</f>
        <v>0</v>
      </c>
      <c r="G3106" s="27">
        <f ca="1">ROUND(E3106*F3106,2)</f>
        <v>0</v>
      </c>
    </row>
    <row r="3107" spans="1:7" ht="39.84" thickBot="1" customHeight="1">
      <c r="A3107" s="24" t="s">
        <v>9431</v>
      </c>
      <c r="B3107" s="24" t="s">
        <v>9432</v>
      </c>
      <c r="C3107" s="24" t="s">
        <v>9433</v>
      </c>
      <c r="D3107" s="25" t="s">
        <v>9434</v>
      </c>
      <c r="E3107" s="28">
        <v>0.20000</v>
      </c>
      <c r="F3107" s="29">
        <f ca="1">ROUND(2.860,3)</f>
        <v>0</v>
      </c>
      <c r="G3107" s="27">
        <f ca="1">ROUND(E3107*F3107,2)</f>
        <v>0</v>
      </c>
    </row>
    <row r="3108" spans="1:7" ht="30.60" thickBot="1" customHeight="1">
      <c r="A3108" s="24" t="s">
        <v>9435</v>
      </c>
      <c r="B3108" s="24" t="s">
        <v>9436</v>
      </c>
      <c r="C3108" s="24" t="s">
        <v>9437</v>
      </c>
      <c r="D3108" s="25" t="s">
        <v>9438</v>
      </c>
      <c r="E3108" s="28">
        <v>0.15000</v>
      </c>
      <c r="F3108" s="29">
        <f ca="1">ROUND(30.450,3)</f>
        <v>0</v>
      </c>
      <c r="G3108" s="27">
        <f ca="1">ROUND(E3108*F3108,2)</f>
        <v>0</v>
      </c>
    </row>
    <row r="3109" spans="1:7" ht="30.60" thickBot="1" customHeight="1">
      <c r="A3109" s="24" t="s">
        <v>9439</v>
      </c>
      <c r="B3109" s="24" t="s">
        <v>9440</v>
      </c>
      <c r="C3109" s="24" t="s">
        <v>9441</v>
      </c>
      <c r="D3109" s="25" t="s">
        <v>9442</v>
      </c>
      <c r="E3109" s="28">
        <v>0.31500</v>
      </c>
      <c r="F3109" s="29">
        <f ca="1">ROUND(16.810,3)</f>
        <v>0</v>
      </c>
      <c r="G3109" s="27">
        <f ca="1">ROUND(E3109*F3109,2)</f>
        <v>0</v>
      </c>
    </row>
    <row r="3110" spans="1:7" ht="21.36" thickBot="1" customHeight="1">
      <c r="A3110" s="24" t="s">
        <v>9443</v>
      </c>
      <c r="B3110" s="24" t="s">
        <v>9444</v>
      </c>
      <c r="C3110" s="24" t="s">
        <v>9445</v>
      </c>
      <c r="D3110" s="25" t="s">
        <v>9446</v>
      </c>
      <c r="E3110" s="28">
        <v>0.28570</v>
      </c>
      <c r="F3110" s="29">
        <f ca="1">F3114</f>
        <v>0</v>
      </c>
      <c r="G3110" s="27">
        <f ca="1">ROUND(E3110*F3110,2)</f>
        <v>0</v>
      </c>
    </row>
    <row r="3111" spans="1:7" ht="24.36" thickBot="1" customHeight="1">
      <c r="A3111" s="24" t="s">
        <v>9447</v>
      </c>
      <c r="B3111" s="24" t="s">
        <v>9448</v>
      </c>
      <c r="C3111" s="24" t="s">
        <v>9449</v>
      </c>
      <c r="D3111" s="25" t="s">
        <v>9450</v>
      </c>
      <c r="E3111" s="28">
        <v>1.00000</v>
      </c>
      <c r="F3111" s="29">
        <f ca="1">ROUND(21.000,3)</f>
        <v>0</v>
      </c>
      <c r="G3111" s="27">
        <f ca="1">ROUND(E3111*F3111,2)</f>
        <v>0</v>
      </c>
    </row>
    <row r="3112" spans="1:7" ht="24.36" thickBot="1" customHeight="1">
      <c r="A3112" s="24" t="s">
        <v>9451</v>
      </c>
      <c r="B3112" s="24" t="s">
        <v>9452</v>
      </c>
      <c r="C3112" s="24" t="s">
        <v>9453</v>
      </c>
      <c r="D3112" s="25" t="s">
        <v>9454</v>
      </c>
      <c r="E3112" s="28">
        <v>1.00000</v>
      </c>
      <c r="F3112" s="29">
        <f ca="1">ROUND(19.000,3)</f>
        <v>0</v>
      </c>
      <c r="G3112" s="27">
        <f ca="1">ROUND(E3112*F3112,2)</f>
        <v>0</v>
      </c>
    </row>
    <row r="3113" spans="1:7" ht="24.36" thickBot="1" customHeight="1">
      <c r="A3113" s="24" t="s">
        <v>9455</v>
      </c>
      <c r="B3113" s="24" t="s">
        <v>9456</v>
      </c>
      <c r="C3113" s="24" t="s">
        <v>9457</v>
      </c>
      <c r="D3113" s="25" t="s">
        <v>9458</v>
      </c>
      <c r="E3113" s="28">
        <v>0.20000</v>
      </c>
      <c r="F3113" s="29">
        <f ca="1">ROUND(19.000,3)</f>
        <v>0</v>
      </c>
      <c r="G3113" s="27">
        <f ca="1">ROUND(E3113*F3113,2)</f>
        <v>0</v>
      </c>
    </row>
    <row r="3114" spans="1:7" ht="15.12" thickBot="1" customHeight="1">
      <c r="A3114" s="26"/>
      <c r="B3114" s="26"/>
      <c r="C3114" s="26"/>
      <c r="D3114" s="24" t="s">
        <v>9459</v>
      </c>
      <c r="E3114" s="28">
        <v>0.28570</v>
      </c>
      <c r="F3114" s="29">
        <f ca="1">ROUND((G3111+G3112+G3113),3)</f>
        <v>0</v>
      </c>
      <c r="G3114" s="27">
        <f ca="1">ROUND(E3114*F3114,2)</f>
        <v>0</v>
      </c>
    </row>
    <row r="3115" spans="1:7" ht="15.12" thickBot="1" customHeight="1">
      <c r="A3115" s="24" t="s">
        <v>9460</v>
      </c>
      <c r="B3115" s="24"/>
      <c r="C3115" s="24" t="s">
        <v>9461</v>
      </c>
      <c r="D3115" s="25" t="s">
        <v>9462</v>
      </c>
      <c r="E3115" s="28">
        <v>3.00000</v>
      </c>
      <c r="F3115" s="29">
        <f ca="1">ROUND(12.510,3)</f>
        <v>0</v>
      </c>
      <c r="G3115" s="27">
        <f ca="1">ROUND((E3115*F3115)/100,2)</f>
        <v>0</v>
      </c>
    </row>
    <row r="3116" spans="1:7" ht="15.48" thickBot="1" customHeight="1">
      <c r="A3116" s="30"/>
      <c r="B3116" s="30"/>
      <c r="C3116" s="30"/>
      <c r="D3116" s="31" t="s">
        <v>9463</v>
      </c>
      <c r="E3116" s="30"/>
      <c r="F3116" s="33">
        <f ca="1">ROUND((G3104+G3105+G3106+G3107+G3108+G3109+G3110+G3115)*(1+G2/100),2)</f>
        <v>0</v>
      </c>
      <c r="G3116" s="30"/>
    </row>
    <row r="3117" spans="1:7" ht="67.56" thickBot="1" customHeight="1">
      <c r="A3117" s="34" t="s">
        <v>9464</v>
      </c>
      <c r="B3117" s="35" t="s">
        <v>9465</v>
      </c>
      <c r="C3117" s="35" t="s">
        <v>9466</v>
      </c>
      <c r="D3117" s="36" t="s">
        <v>9467</v>
      </c>
      <c r="E3117" s="37"/>
      <c r="F3117" s="38">
        <f ca="1">F3131</f>
        <v>0</v>
      </c>
      <c r="G3117" s="37"/>
    </row>
    <row r="3118" spans="1:7" ht="30.60" thickBot="1" customHeight="1">
      <c r="A3118" s="26"/>
      <c r="B3118" s="26"/>
      <c r="C3118" s="26"/>
      <c r="D3118" s="25" t="s">
        <v>9468</v>
      </c>
      <c r="E3118" s="25"/>
      <c r="F3118" s="25"/>
      <c r="G3118" s="25"/>
    </row>
    <row r="3119" spans="1:7" ht="39.84" thickBot="1" customHeight="1">
      <c r="A3119" s="24" t="s">
        <v>9469</v>
      </c>
      <c r="B3119" s="24" t="s">
        <v>9470</v>
      </c>
      <c r="C3119" s="24" t="s">
        <v>9471</v>
      </c>
      <c r="D3119" s="25" t="s">
        <v>9472</v>
      </c>
      <c r="E3119" s="28">
        <v>0.00000</v>
      </c>
      <c r="F3119" s="29">
        <f ca="1">ROUND(11.830,3)</f>
        <v>0</v>
      </c>
      <c r="G3119" s="27">
        <f ca="1">ROUND(E3119*F3119,2)</f>
        <v>0</v>
      </c>
    </row>
    <row r="3120" spans="1:7" ht="30.60" thickBot="1" customHeight="1">
      <c r="A3120" s="24" t="s">
        <v>9473</v>
      </c>
      <c r="B3120" s="24" t="s">
        <v>9474</v>
      </c>
      <c r="C3120" s="24" t="s">
        <v>9475</v>
      </c>
      <c r="D3120" s="25" t="s">
        <v>9476</v>
      </c>
      <c r="E3120" s="28">
        <v>0.02230</v>
      </c>
      <c r="F3120" s="29">
        <f ca="1">ROUND(18.440,3)</f>
        <v>0</v>
      </c>
      <c r="G3120" s="27">
        <f ca="1">ROUND(E3120*F3120,2)</f>
        <v>0</v>
      </c>
    </row>
    <row r="3121" spans="1:7" ht="21.36" thickBot="1" customHeight="1">
      <c r="A3121" s="24" t="s">
        <v>9477</v>
      </c>
      <c r="B3121" s="24" t="s">
        <v>9478</v>
      </c>
      <c r="C3121" s="24" t="s">
        <v>9479</v>
      </c>
      <c r="D3121" s="25" t="s">
        <v>9480</v>
      </c>
      <c r="E3121" s="28">
        <v>1.00000</v>
      </c>
      <c r="F3121" s="29">
        <f ca="1">ROUND(2.290,3)</f>
        <v>0</v>
      </c>
      <c r="G3121" s="27">
        <f ca="1">ROUND(E3121*F3121,2)</f>
        <v>0</v>
      </c>
    </row>
    <row r="3122" spans="1:7" ht="39.84" thickBot="1" customHeight="1">
      <c r="A3122" s="24" t="s">
        <v>9481</v>
      </c>
      <c r="B3122" s="24" t="s">
        <v>9482</v>
      </c>
      <c r="C3122" s="24" t="s">
        <v>9483</v>
      </c>
      <c r="D3122" s="25" t="s">
        <v>9484</v>
      </c>
      <c r="E3122" s="28">
        <v>0.20000</v>
      </c>
      <c r="F3122" s="29">
        <f ca="1">ROUND(2.860,3)</f>
        <v>0</v>
      </c>
      <c r="G3122" s="27">
        <f ca="1">ROUND(E3122*F3122,2)</f>
        <v>0</v>
      </c>
    </row>
    <row r="3123" spans="1:7" ht="30.60" thickBot="1" customHeight="1">
      <c r="A3123" s="24" t="s">
        <v>9485</v>
      </c>
      <c r="B3123" s="24" t="s">
        <v>9486</v>
      </c>
      <c r="C3123" s="24" t="s">
        <v>9487</v>
      </c>
      <c r="D3123" s="25" t="s">
        <v>9488</v>
      </c>
      <c r="E3123" s="28">
        <v>0.15000</v>
      </c>
      <c r="F3123" s="29">
        <f ca="1">ROUND(30.450,3)</f>
        <v>0</v>
      </c>
      <c r="G3123" s="27">
        <f ca="1">ROUND(E3123*F3123,2)</f>
        <v>0</v>
      </c>
    </row>
    <row r="3124" spans="1:7" ht="30.60" thickBot="1" customHeight="1">
      <c r="A3124" s="24" t="s">
        <v>9489</v>
      </c>
      <c r="B3124" s="24" t="s">
        <v>9490</v>
      </c>
      <c r="C3124" s="24" t="s">
        <v>9491</v>
      </c>
      <c r="D3124" s="25" t="s">
        <v>9492</v>
      </c>
      <c r="E3124" s="28">
        <v>0.37800</v>
      </c>
      <c r="F3124" s="29">
        <f ca="1">ROUND(16.810,3)</f>
        <v>0</v>
      </c>
      <c r="G3124" s="27">
        <f ca="1">ROUND(E3124*F3124,2)</f>
        <v>0</v>
      </c>
    </row>
    <row r="3125" spans="1:7" ht="21.36" thickBot="1" customHeight="1">
      <c r="A3125" s="24" t="s">
        <v>9493</v>
      </c>
      <c r="B3125" s="24" t="s">
        <v>9494</v>
      </c>
      <c r="C3125" s="24" t="s">
        <v>9495</v>
      </c>
      <c r="D3125" s="25" t="s">
        <v>9496</v>
      </c>
      <c r="E3125" s="28">
        <v>0.34783</v>
      </c>
      <c r="F3125" s="29">
        <f ca="1">F3129</f>
        <v>0</v>
      </c>
      <c r="G3125" s="27">
        <f ca="1">ROUND(E3125*F3125,2)</f>
        <v>0</v>
      </c>
    </row>
    <row r="3126" spans="1:7" ht="24.36" thickBot="1" customHeight="1">
      <c r="A3126" s="24" t="s">
        <v>9497</v>
      </c>
      <c r="B3126" s="24" t="s">
        <v>9498</v>
      </c>
      <c r="C3126" s="24" t="s">
        <v>9499</v>
      </c>
      <c r="D3126" s="25" t="s">
        <v>9500</v>
      </c>
      <c r="E3126" s="28">
        <v>1.00000</v>
      </c>
      <c r="F3126" s="29">
        <f ca="1">ROUND(21.000,3)</f>
        <v>0</v>
      </c>
      <c r="G3126" s="27">
        <f ca="1">ROUND(E3126*F3126,2)</f>
        <v>0</v>
      </c>
    </row>
    <row r="3127" spans="1:7" ht="24.36" thickBot="1" customHeight="1">
      <c r="A3127" s="24" t="s">
        <v>9501</v>
      </c>
      <c r="B3127" s="24" t="s">
        <v>9502</v>
      </c>
      <c r="C3127" s="24" t="s">
        <v>9503</v>
      </c>
      <c r="D3127" s="25" t="s">
        <v>9504</v>
      </c>
      <c r="E3127" s="28">
        <v>1.00000</v>
      </c>
      <c r="F3127" s="29">
        <f ca="1">ROUND(19.000,3)</f>
        <v>0</v>
      </c>
      <c r="G3127" s="27">
        <f ca="1">ROUND(E3127*F3127,2)</f>
        <v>0</v>
      </c>
    </row>
    <row r="3128" spans="1:7" ht="24.36" thickBot="1" customHeight="1">
      <c r="A3128" s="24" t="s">
        <v>9505</v>
      </c>
      <c r="B3128" s="24" t="s">
        <v>9506</v>
      </c>
      <c r="C3128" s="24" t="s">
        <v>9507</v>
      </c>
      <c r="D3128" s="25" t="s">
        <v>9508</v>
      </c>
      <c r="E3128" s="28">
        <v>0.20000</v>
      </c>
      <c r="F3128" s="29">
        <f ca="1">ROUND(19.000,3)</f>
        <v>0</v>
      </c>
      <c r="G3128" s="27">
        <f ca="1">ROUND(E3128*F3128,2)</f>
        <v>0</v>
      </c>
    </row>
    <row r="3129" spans="1:7" ht="15.12" thickBot="1" customHeight="1">
      <c r="A3129" s="26"/>
      <c r="B3129" s="26"/>
      <c r="C3129" s="26"/>
      <c r="D3129" s="24" t="s">
        <v>9509</v>
      </c>
      <c r="E3129" s="28">
        <v>0.34783</v>
      </c>
      <c r="F3129" s="29">
        <f ca="1">ROUND((G3126+G3127+G3128),3)</f>
        <v>0</v>
      </c>
      <c r="G3129" s="27">
        <f ca="1">ROUND(E3129*F3129,2)</f>
        <v>0</v>
      </c>
    </row>
    <row r="3130" spans="1:7" ht="15.12" thickBot="1" customHeight="1">
      <c r="A3130" s="24" t="s">
        <v>9510</v>
      </c>
      <c r="B3130" s="24"/>
      <c r="C3130" s="24" t="s">
        <v>9511</v>
      </c>
      <c r="D3130" s="25" t="s">
        <v>9512</v>
      </c>
      <c r="E3130" s="28">
        <v>3.00000</v>
      </c>
      <c r="F3130" s="29">
        <f ca="1">ROUND(15.230,3)</f>
        <v>0</v>
      </c>
      <c r="G3130" s="27">
        <f ca="1">ROUND((E3130*F3130)/100,2)</f>
        <v>0</v>
      </c>
    </row>
    <row r="3131" spans="1:7" ht="15.48" thickBot="1" customHeight="1">
      <c r="A3131" s="30"/>
      <c r="B3131" s="30"/>
      <c r="C3131" s="30"/>
      <c r="D3131" s="31" t="s">
        <v>9513</v>
      </c>
      <c r="E3131" s="30"/>
      <c r="F3131" s="33">
        <f ca="1">ROUND((G3119+G3120+G3121+G3122+G3123+G3124+G3125+G3130)*(1+G2/100),2)</f>
        <v>0</v>
      </c>
      <c r="G3131" s="30"/>
    </row>
    <row r="3132" spans="1:7" ht="67.56" thickBot="1" customHeight="1">
      <c r="A3132" s="34" t="s">
        <v>9514</v>
      </c>
      <c r="B3132" s="35" t="s">
        <v>9515</v>
      </c>
      <c r="C3132" s="35" t="s">
        <v>9516</v>
      </c>
      <c r="D3132" s="36" t="s">
        <v>9517</v>
      </c>
      <c r="E3132" s="37"/>
      <c r="F3132" s="38">
        <f ca="1">F3143</f>
        <v>0</v>
      </c>
      <c r="G3132" s="37"/>
    </row>
    <row r="3133" spans="1:7" ht="30.60" thickBot="1" customHeight="1">
      <c r="A3133" s="26"/>
      <c r="B3133" s="26"/>
      <c r="C3133" s="26"/>
      <c r="D3133" s="25" t="s">
        <v>9518</v>
      </c>
      <c r="E3133" s="25"/>
      <c r="F3133" s="25"/>
      <c r="G3133" s="25"/>
    </row>
    <row r="3134" spans="1:7" ht="39.84" thickBot="1" customHeight="1">
      <c r="A3134" s="24" t="s">
        <v>9519</v>
      </c>
      <c r="B3134" s="24" t="s">
        <v>9520</v>
      </c>
      <c r="C3134" s="24" t="s">
        <v>9521</v>
      </c>
      <c r="D3134" s="25" t="s">
        <v>9522</v>
      </c>
      <c r="E3134" s="28">
        <v>0.00000</v>
      </c>
      <c r="F3134" s="29">
        <f ca="1">ROUND(11.830,3)</f>
        <v>0</v>
      </c>
      <c r="G3134" s="27">
        <f ca="1">ROUND(E3134*F3134,2)</f>
        <v>0</v>
      </c>
    </row>
    <row r="3135" spans="1:7" ht="30.60" thickBot="1" customHeight="1">
      <c r="A3135" s="24" t="s">
        <v>9523</v>
      </c>
      <c r="B3135" s="24" t="s">
        <v>9524</v>
      </c>
      <c r="C3135" s="24" t="s">
        <v>9525</v>
      </c>
      <c r="D3135" s="25" t="s">
        <v>9526</v>
      </c>
      <c r="E3135" s="28">
        <v>0.01676</v>
      </c>
      <c r="F3135" s="29">
        <f ca="1">ROUND(18.440,3)</f>
        <v>0</v>
      </c>
      <c r="G3135" s="27">
        <f ca="1">ROUND(E3135*F3135,2)</f>
        <v>0</v>
      </c>
    </row>
    <row r="3136" spans="1:7" ht="49.08" thickBot="1" customHeight="1">
      <c r="A3136" s="24" t="s">
        <v>9527</v>
      </c>
      <c r="B3136" s="24" t="s">
        <v>9528</v>
      </c>
      <c r="C3136" s="24" t="s">
        <v>9529</v>
      </c>
      <c r="D3136" s="25" t="s">
        <v>9530</v>
      </c>
      <c r="E3136" s="28">
        <v>0.02530</v>
      </c>
      <c r="F3136" s="29">
        <f ca="1">ROUND(45.570,3)</f>
        <v>0</v>
      </c>
      <c r="G3136" s="27">
        <f ca="1">ROUND(E3136*F3136,2)</f>
        <v>0</v>
      </c>
    </row>
    <row r="3137" spans="1:7" ht="21.36" thickBot="1" customHeight="1">
      <c r="A3137" s="24" t="s">
        <v>9531</v>
      </c>
      <c r="B3137" s="24" t="s">
        <v>9532</v>
      </c>
      <c r="C3137" s="24" t="s">
        <v>9533</v>
      </c>
      <c r="D3137" s="25" t="s">
        <v>9534</v>
      </c>
      <c r="E3137" s="28">
        <v>0.20000</v>
      </c>
      <c r="F3137" s="29">
        <f ca="1">F3141</f>
        <v>0</v>
      </c>
      <c r="G3137" s="27">
        <f ca="1">ROUND(E3137*F3137,2)</f>
        <v>0</v>
      </c>
    </row>
    <row r="3138" spans="1:7" ht="24.36" thickBot="1" customHeight="1">
      <c r="A3138" s="24" t="s">
        <v>9535</v>
      </c>
      <c r="B3138" s="24" t="s">
        <v>9536</v>
      </c>
      <c r="C3138" s="24" t="s">
        <v>9537</v>
      </c>
      <c r="D3138" s="25" t="s">
        <v>9538</v>
      </c>
      <c r="E3138" s="28">
        <v>1.00000</v>
      </c>
      <c r="F3138" s="29">
        <f ca="1">ROUND(21.000,3)</f>
        <v>0</v>
      </c>
      <c r="G3138" s="27">
        <f ca="1">ROUND(E3138*F3138,2)</f>
        <v>0</v>
      </c>
    </row>
    <row r="3139" spans="1:7" ht="24.36" thickBot="1" customHeight="1">
      <c r="A3139" s="24" t="s">
        <v>9539</v>
      </c>
      <c r="B3139" s="24" t="s">
        <v>9540</v>
      </c>
      <c r="C3139" s="24" t="s">
        <v>9541</v>
      </c>
      <c r="D3139" s="25" t="s">
        <v>9542</v>
      </c>
      <c r="E3139" s="28">
        <v>1.00000</v>
      </c>
      <c r="F3139" s="29">
        <f ca="1">ROUND(19.000,3)</f>
        <v>0</v>
      </c>
      <c r="G3139" s="27">
        <f ca="1">ROUND(E3139*F3139,2)</f>
        <v>0</v>
      </c>
    </row>
    <row r="3140" spans="1:7" ht="24.36" thickBot="1" customHeight="1">
      <c r="A3140" s="24" t="s">
        <v>9543</v>
      </c>
      <c r="B3140" s="24" t="s">
        <v>9544</v>
      </c>
      <c r="C3140" s="24" t="s">
        <v>9545</v>
      </c>
      <c r="D3140" s="25" t="s">
        <v>9546</v>
      </c>
      <c r="E3140" s="28">
        <v>0.20000</v>
      </c>
      <c r="F3140" s="29">
        <f ca="1">ROUND(19.000,3)</f>
        <v>0</v>
      </c>
      <c r="G3140" s="27">
        <f ca="1">ROUND(E3140*F3140,2)</f>
        <v>0</v>
      </c>
    </row>
    <row r="3141" spans="1:7" ht="15.12" thickBot="1" customHeight="1">
      <c r="A3141" s="26"/>
      <c r="B3141" s="26"/>
      <c r="C3141" s="26"/>
      <c r="D3141" s="24" t="s">
        <v>9547</v>
      </c>
      <c r="E3141" s="28">
        <v>0.20000</v>
      </c>
      <c r="F3141" s="29">
        <f ca="1">ROUND((G3138+G3139+G3140),3)</f>
        <v>0</v>
      </c>
      <c r="G3141" s="27">
        <f ca="1">ROUND(E3141*F3141,2)</f>
        <v>0</v>
      </c>
    </row>
    <row r="3142" spans="1:7" ht="15.12" thickBot="1" customHeight="1">
      <c r="A3142" s="24" t="s">
        <v>9548</v>
      </c>
      <c r="B3142" s="24"/>
      <c r="C3142" s="24" t="s">
        <v>9549</v>
      </c>
      <c r="D3142" s="25" t="s">
        <v>9550</v>
      </c>
      <c r="E3142" s="28">
        <v>3.00000</v>
      </c>
      <c r="F3142" s="29">
        <f ca="1">ROUND(8.760,3)</f>
        <v>0</v>
      </c>
      <c r="G3142" s="27">
        <f ca="1">ROUND((E3142*F3142)/100,2)</f>
        <v>0</v>
      </c>
    </row>
    <row r="3143" spans="1:7" ht="15.48" thickBot="1" customHeight="1">
      <c r="A3143" s="30"/>
      <c r="B3143" s="30"/>
      <c r="C3143" s="30"/>
      <c r="D3143" s="31" t="s">
        <v>9551</v>
      </c>
      <c r="E3143" s="30"/>
      <c r="F3143" s="33">
        <f ca="1">ROUND((G3134+G3135+G3136+G3137+G3142)*(1+G2/100),2)</f>
        <v>0</v>
      </c>
      <c r="G3143" s="30"/>
    </row>
    <row r="3144" spans="1:7" ht="67.56" thickBot="1" customHeight="1">
      <c r="A3144" s="34" t="s">
        <v>9552</v>
      </c>
      <c r="B3144" s="35" t="s">
        <v>9553</v>
      </c>
      <c r="C3144" s="35" t="s">
        <v>9554</v>
      </c>
      <c r="D3144" s="36" t="s">
        <v>9555</v>
      </c>
      <c r="E3144" s="37"/>
      <c r="F3144" s="38">
        <f ca="1">F3154</f>
        <v>0</v>
      </c>
      <c r="G3144" s="37"/>
    </row>
    <row r="3145" spans="1:7" ht="30.60" thickBot="1" customHeight="1">
      <c r="A3145" s="26"/>
      <c r="B3145" s="26"/>
      <c r="C3145" s="26"/>
      <c r="D3145" s="25" t="s">
        <v>9556</v>
      </c>
      <c r="E3145" s="25"/>
      <c r="F3145" s="25"/>
      <c r="G3145" s="25"/>
    </row>
    <row r="3146" spans="1:7" ht="30.60" thickBot="1" customHeight="1">
      <c r="A3146" s="24" t="s">
        <v>9557</v>
      </c>
      <c r="B3146" s="24" t="s">
        <v>9558</v>
      </c>
      <c r="C3146" s="24" t="s">
        <v>9559</v>
      </c>
      <c r="D3146" s="25" t="s">
        <v>9560</v>
      </c>
      <c r="E3146" s="28">
        <v>0.02234</v>
      </c>
      <c r="F3146" s="29">
        <f ca="1">ROUND(18.440,3)</f>
        <v>0</v>
      </c>
      <c r="G3146" s="27">
        <f ca="1">ROUND(E3146*F3146,2)</f>
        <v>0</v>
      </c>
    </row>
    <row r="3147" spans="1:7" ht="49.08" thickBot="1" customHeight="1">
      <c r="A3147" s="24" t="s">
        <v>9561</v>
      </c>
      <c r="B3147" s="24" t="s">
        <v>9562</v>
      </c>
      <c r="C3147" s="24" t="s">
        <v>9563</v>
      </c>
      <c r="D3147" s="25" t="s">
        <v>9564</v>
      </c>
      <c r="E3147" s="28">
        <v>0.03380</v>
      </c>
      <c r="F3147" s="29">
        <f ca="1">ROUND(45.570,3)</f>
        <v>0</v>
      </c>
      <c r="G3147" s="27">
        <f ca="1">ROUND(E3147*F3147,2)</f>
        <v>0</v>
      </c>
    </row>
    <row r="3148" spans="1:7" ht="21.36" thickBot="1" customHeight="1">
      <c r="A3148" s="24" t="s">
        <v>9565</v>
      </c>
      <c r="B3148" s="24" t="s">
        <v>9566</v>
      </c>
      <c r="C3148" s="24" t="s">
        <v>9567</v>
      </c>
      <c r="D3148" s="25" t="s">
        <v>9568</v>
      </c>
      <c r="E3148" s="28">
        <v>0.22857</v>
      </c>
      <c r="F3148" s="29">
        <f ca="1">F3152</f>
        <v>0</v>
      </c>
      <c r="G3148" s="27">
        <f ca="1">ROUND(E3148*F3148,2)</f>
        <v>0</v>
      </c>
    </row>
    <row r="3149" spans="1:7" ht="24.36" thickBot="1" customHeight="1">
      <c r="A3149" s="24" t="s">
        <v>9569</v>
      </c>
      <c r="B3149" s="24" t="s">
        <v>9570</v>
      </c>
      <c r="C3149" s="24" t="s">
        <v>9571</v>
      </c>
      <c r="D3149" s="25" t="s">
        <v>9572</v>
      </c>
      <c r="E3149" s="28">
        <v>1.00000</v>
      </c>
      <c r="F3149" s="29">
        <f ca="1">ROUND(21.000,3)</f>
        <v>0</v>
      </c>
      <c r="G3149" s="27">
        <f ca="1">ROUND(E3149*F3149,2)</f>
        <v>0</v>
      </c>
    </row>
    <row r="3150" spans="1:7" ht="24.36" thickBot="1" customHeight="1">
      <c r="A3150" s="24" t="s">
        <v>9573</v>
      </c>
      <c r="B3150" s="24" t="s">
        <v>9574</v>
      </c>
      <c r="C3150" s="24" t="s">
        <v>9575</v>
      </c>
      <c r="D3150" s="25" t="s">
        <v>9576</v>
      </c>
      <c r="E3150" s="28">
        <v>1.00000</v>
      </c>
      <c r="F3150" s="29">
        <f ca="1">ROUND(19.000,3)</f>
        <v>0</v>
      </c>
      <c r="G3150" s="27">
        <f ca="1">ROUND(E3150*F3150,2)</f>
        <v>0</v>
      </c>
    </row>
    <row r="3151" spans="1:7" ht="24.36" thickBot="1" customHeight="1">
      <c r="A3151" s="24" t="s">
        <v>9577</v>
      </c>
      <c r="B3151" s="24" t="s">
        <v>9578</v>
      </c>
      <c r="C3151" s="24" t="s">
        <v>9579</v>
      </c>
      <c r="D3151" s="25" t="s">
        <v>9580</v>
      </c>
      <c r="E3151" s="28">
        <v>0.20000</v>
      </c>
      <c r="F3151" s="29">
        <f ca="1">ROUND(19.000,3)</f>
        <v>0</v>
      </c>
      <c r="G3151" s="27">
        <f ca="1">ROUND(E3151*F3151,2)</f>
        <v>0</v>
      </c>
    </row>
    <row r="3152" spans="1:7" ht="15.12" thickBot="1" customHeight="1">
      <c r="A3152" s="26"/>
      <c r="B3152" s="26"/>
      <c r="C3152" s="26"/>
      <c r="D3152" s="24" t="s">
        <v>9581</v>
      </c>
      <c r="E3152" s="28">
        <v>0.22857</v>
      </c>
      <c r="F3152" s="29">
        <f ca="1">ROUND((G3149+G3150+G3151),3)</f>
        <v>0</v>
      </c>
      <c r="G3152" s="27">
        <f ca="1">ROUND(E3152*F3152,2)</f>
        <v>0</v>
      </c>
    </row>
    <row r="3153" spans="1:7" ht="15.12" thickBot="1" customHeight="1">
      <c r="A3153" s="24" t="s">
        <v>9582</v>
      </c>
      <c r="B3153" s="24"/>
      <c r="C3153" s="24" t="s">
        <v>9583</v>
      </c>
      <c r="D3153" s="25" t="s">
        <v>9584</v>
      </c>
      <c r="E3153" s="28">
        <v>3.00000</v>
      </c>
      <c r="F3153" s="29">
        <f ca="1">ROUND(10.010,3)</f>
        <v>0</v>
      </c>
      <c r="G3153" s="27">
        <f ca="1">ROUND((E3153*F3153)/100,2)</f>
        <v>0</v>
      </c>
    </row>
    <row r="3154" spans="1:7" ht="15.48" thickBot="1" customHeight="1">
      <c r="A3154" s="30"/>
      <c r="B3154" s="30"/>
      <c r="C3154" s="30"/>
      <c r="D3154" s="31" t="s">
        <v>9585</v>
      </c>
      <c r="E3154" s="30"/>
      <c r="F3154" s="33">
        <f ca="1">ROUND((G3146+G3147+G3148+G3153)*(1+G2/100),2)</f>
        <v>0</v>
      </c>
      <c r="G3154" s="30"/>
    </row>
    <row r="3155" spans="1:7" ht="58.32" thickBot="1" customHeight="1">
      <c r="A3155" s="34" t="s">
        <v>9586</v>
      </c>
      <c r="B3155" s="35" t="s">
        <v>9587</v>
      </c>
      <c r="C3155" s="35" t="s">
        <v>9588</v>
      </c>
      <c r="D3155" s="36" t="s">
        <v>9589</v>
      </c>
      <c r="E3155" s="37"/>
      <c r="F3155" s="38">
        <f ca="1">F3169</f>
        <v>0</v>
      </c>
      <c r="G3155" s="37"/>
    </row>
    <row r="3156" spans="1:7" ht="21.36" thickBot="1" customHeight="1">
      <c r="A3156" s="26"/>
      <c r="B3156" s="26"/>
      <c r="C3156" s="26"/>
      <c r="D3156" s="25" t="s">
        <v>9590</v>
      </c>
      <c r="E3156" s="25"/>
      <c r="F3156" s="25"/>
      <c r="G3156" s="25"/>
    </row>
    <row r="3157" spans="1:7" ht="39.84" thickBot="1" customHeight="1">
      <c r="A3157" s="24" t="s">
        <v>9591</v>
      </c>
      <c r="B3157" s="24" t="s">
        <v>9592</v>
      </c>
      <c r="C3157" s="24" t="s">
        <v>9593</v>
      </c>
      <c r="D3157" s="25" t="s">
        <v>9594</v>
      </c>
      <c r="E3157" s="28">
        <v>0.00000</v>
      </c>
      <c r="F3157" s="29">
        <f ca="1">ROUND(11.830,3)</f>
        <v>0</v>
      </c>
      <c r="G3157" s="27">
        <f ca="1">ROUND(E3157*F3157,2)</f>
        <v>0</v>
      </c>
    </row>
    <row r="3158" spans="1:7" ht="30.60" thickBot="1" customHeight="1">
      <c r="A3158" s="24" t="s">
        <v>9595</v>
      </c>
      <c r="B3158" s="24" t="s">
        <v>9596</v>
      </c>
      <c r="C3158" s="24" t="s">
        <v>9597</v>
      </c>
      <c r="D3158" s="25" t="s">
        <v>9598</v>
      </c>
      <c r="E3158" s="28">
        <v>0.02792</v>
      </c>
      <c r="F3158" s="29">
        <f ca="1">ROUND(18.440,3)</f>
        <v>0</v>
      </c>
      <c r="G3158" s="27">
        <f ca="1">ROUND(E3158*F3158,2)</f>
        <v>0</v>
      </c>
    </row>
    <row r="3159" spans="1:7" ht="21.36" thickBot="1" customHeight="1">
      <c r="A3159" s="24" t="s">
        <v>9599</v>
      </c>
      <c r="B3159" s="24" t="s">
        <v>9600</v>
      </c>
      <c r="C3159" s="24" t="s">
        <v>9601</v>
      </c>
      <c r="D3159" s="25" t="s">
        <v>9602</v>
      </c>
      <c r="E3159" s="28">
        <v>1.00000</v>
      </c>
      <c r="F3159" s="29">
        <f ca="1">ROUND(4.980,3)</f>
        <v>0</v>
      </c>
      <c r="G3159" s="27">
        <f ca="1">ROUND(E3159*F3159,2)</f>
        <v>0</v>
      </c>
    </row>
    <row r="3160" spans="1:7" ht="39.84" thickBot="1" customHeight="1">
      <c r="A3160" s="24" t="s">
        <v>9603</v>
      </c>
      <c r="B3160" s="24" t="s">
        <v>9604</v>
      </c>
      <c r="C3160" s="24" t="s">
        <v>9605</v>
      </c>
      <c r="D3160" s="25" t="s">
        <v>9606</v>
      </c>
      <c r="E3160" s="28">
        <v>0.20000</v>
      </c>
      <c r="F3160" s="29">
        <f ca="1">ROUND(2.860,3)</f>
        <v>0</v>
      </c>
      <c r="G3160" s="27">
        <f ca="1">ROUND(E3160*F3160,2)</f>
        <v>0</v>
      </c>
    </row>
    <row r="3161" spans="1:7" ht="30.60" thickBot="1" customHeight="1">
      <c r="A3161" s="24" t="s">
        <v>9607</v>
      </c>
      <c r="B3161" s="24" t="s">
        <v>9608</v>
      </c>
      <c r="C3161" s="24" t="s">
        <v>9609</v>
      </c>
      <c r="D3161" s="25" t="s">
        <v>9610</v>
      </c>
      <c r="E3161" s="28">
        <v>0.18180</v>
      </c>
      <c r="F3161" s="29">
        <f ca="1">ROUND(30.450,3)</f>
        <v>0</v>
      </c>
      <c r="G3161" s="27">
        <f ca="1">ROUND(E3161*F3161,2)</f>
        <v>0</v>
      </c>
    </row>
    <row r="3162" spans="1:7" ht="49.08" thickBot="1" customHeight="1">
      <c r="A3162" s="24" t="s">
        <v>9611</v>
      </c>
      <c r="B3162" s="24" t="s">
        <v>9612</v>
      </c>
      <c r="C3162" s="24" t="s">
        <v>9613</v>
      </c>
      <c r="D3162" s="25" t="s">
        <v>9614</v>
      </c>
      <c r="E3162" s="28">
        <v>0.06120</v>
      </c>
      <c r="F3162" s="29">
        <f ca="1">ROUND(45.570,3)</f>
        <v>0</v>
      </c>
      <c r="G3162" s="27">
        <f ca="1">ROUND(E3162*F3162,2)</f>
        <v>0</v>
      </c>
    </row>
    <row r="3163" spans="1:7" ht="21.36" thickBot="1" customHeight="1">
      <c r="A3163" s="24" t="s">
        <v>9615</v>
      </c>
      <c r="B3163" s="24" t="s">
        <v>9616</v>
      </c>
      <c r="C3163" s="24" t="s">
        <v>9617</v>
      </c>
      <c r="D3163" s="25" t="s">
        <v>9618</v>
      </c>
      <c r="E3163" s="28">
        <v>0.34783</v>
      </c>
      <c r="F3163" s="29">
        <f ca="1">F3167</f>
        <v>0</v>
      </c>
      <c r="G3163" s="27">
        <f ca="1">ROUND(E3163*F3163,2)</f>
        <v>0</v>
      </c>
    </row>
    <row r="3164" spans="1:7" ht="24.36" thickBot="1" customHeight="1">
      <c r="A3164" s="24" t="s">
        <v>9619</v>
      </c>
      <c r="B3164" s="24" t="s">
        <v>9620</v>
      </c>
      <c r="C3164" s="24" t="s">
        <v>9621</v>
      </c>
      <c r="D3164" s="25" t="s">
        <v>9622</v>
      </c>
      <c r="E3164" s="28">
        <v>1.00000</v>
      </c>
      <c r="F3164" s="29">
        <f ca="1">ROUND(21.000,3)</f>
        <v>0</v>
      </c>
      <c r="G3164" s="27">
        <f ca="1">ROUND(E3164*F3164,2)</f>
        <v>0</v>
      </c>
    </row>
    <row r="3165" spans="1:7" ht="24.36" thickBot="1" customHeight="1">
      <c r="A3165" s="24" t="s">
        <v>9623</v>
      </c>
      <c r="B3165" s="24" t="s">
        <v>9624</v>
      </c>
      <c r="C3165" s="24" t="s">
        <v>9625</v>
      </c>
      <c r="D3165" s="25" t="s">
        <v>9626</v>
      </c>
      <c r="E3165" s="28">
        <v>1.00000</v>
      </c>
      <c r="F3165" s="29">
        <f ca="1">ROUND(19.000,3)</f>
        <v>0</v>
      </c>
      <c r="G3165" s="27">
        <f ca="1">ROUND(E3165*F3165,2)</f>
        <v>0</v>
      </c>
    </row>
    <row r="3166" spans="1:7" ht="24.36" thickBot="1" customHeight="1">
      <c r="A3166" s="24" t="s">
        <v>9627</v>
      </c>
      <c r="B3166" s="24" t="s">
        <v>9628</v>
      </c>
      <c r="C3166" s="24" t="s">
        <v>9629</v>
      </c>
      <c r="D3166" s="25" t="s">
        <v>9630</v>
      </c>
      <c r="E3166" s="28">
        <v>0.20000</v>
      </c>
      <c r="F3166" s="29">
        <f ca="1">ROUND(19.000,3)</f>
        <v>0</v>
      </c>
      <c r="G3166" s="27">
        <f ca="1">ROUND(E3166*F3166,2)</f>
        <v>0</v>
      </c>
    </row>
    <row r="3167" spans="1:7" ht="15.12" thickBot="1" customHeight="1">
      <c r="A3167" s="26"/>
      <c r="B3167" s="26"/>
      <c r="C3167" s="26"/>
      <c r="D3167" s="24" t="s">
        <v>9631</v>
      </c>
      <c r="E3167" s="28">
        <v>0.34783</v>
      </c>
      <c r="F3167" s="29">
        <f ca="1">ROUND((G3164+G3165+G3166),3)</f>
        <v>0</v>
      </c>
      <c r="G3167" s="27">
        <f ca="1">ROUND(E3167*F3167,2)</f>
        <v>0</v>
      </c>
    </row>
    <row r="3168" spans="1:7" ht="15.12" thickBot="1" customHeight="1">
      <c r="A3168" s="24" t="s">
        <v>9632</v>
      </c>
      <c r="B3168" s="24"/>
      <c r="C3168" s="24" t="s">
        <v>9633</v>
      </c>
      <c r="D3168" s="25" t="s">
        <v>9634</v>
      </c>
      <c r="E3168" s="28">
        <v>3.00000</v>
      </c>
      <c r="F3168" s="29">
        <f ca="1">ROUND(15.230,3)</f>
        <v>0</v>
      </c>
      <c r="G3168" s="27">
        <f ca="1">ROUND((E3168*F3168)/100,2)</f>
        <v>0</v>
      </c>
    </row>
    <row r="3169" spans="1:7" ht="15.48" thickBot="1" customHeight="1">
      <c r="A3169" s="30"/>
      <c r="B3169" s="30"/>
      <c r="C3169" s="30"/>
      <c r="D3169" s="31" t="s">
        <v>9635</v>
      </c>
      <c r="E3169" s="30"/>
      <c r="F3169" s="33">
        <f ca="1">ROUND((G3157+G3158+G3159+G3160+G3161+G3162+G3163+G3168)*(1+G2/100),2)</f>
        <v>0</v>
      </c>
      <c r="G3169" s="30"/>
    </row>
    <row r="3170" spans="1:7" ht="67.56" thickBot="1" customHeight="1">
      <c r="A3170" s="34" t="s">
        <v>9636</v>
      </c>
      <c r="B3170" s="35" t="s">
        <v>9637</v>
      </c>
      <c r="C3170" s="35" t="s">
        <v>9638</v>
      </c>
      <c r="D3170" s="36" t="s">
        <v>9639</v>
      </c>
      <c r="E3170" s="37"/>
      <c r="F3170" s="38">
        <f ca="1">F3184</f>
        <v>0</v>
      </c>
      <c r="G3170" s="37"/>
    </row>
    <row r="3171" spans="1:7" ht="30.60" thickBot="1" customHeight="1">
      <c r="A3171" s="26"/>
      <c r="B3171" s="26"/>
      <c r="C3171" s="26"/>
      <c r="D3171" s="25" t="s">
        <v>9640</v>
      </c>
      <c r="E3171" s="25"/>
      <c r="F3171" s="25"/>
      <c r="G3171" s="25"/>
    </row>
    <row r="3172" spans="1:7" ht="39.84" thickBot="1" customHeight="1">
      <c r="A3172" s="24" t="s">
        <v>9641</v>
      </c>
      <c r="B3172" s="24" t="s">
        <v>9642</v>
      </c>
      <c r="C3172" s="24" t="s">
        <v>9643</v>
      </c>
      <c r="D3172" s="25" t="s">
        <v>9644</v>
      </c>
      <c r="E3172" s="28">
        <v>0.00000</v>
      </c>
      <c r="F3172" s="29">
        <f ca="1">ROUND(11.830,3)</f>
        <v>0</v>
      </c>
      <c r="G3172" s="27">
        <f ca="1">ROUND(E3172*F3172,2)</f>
        <v>0</v>
      </c>
    </row>
    <row r="3173" spans="1:7" ht="30.60" thickBot="1" customHeight="1">
      <c r="A3173" s="24" t="s">
        <v>9645</v>
      </c>
      <c r="B3173" s="24" t="s">
        <v>9646</v>
      </c>
      <c r="C3173" s="24" t="s">
        <v>9647</v>
      </c>
      <c r="D3173" s="25" t="s">
        <v>9648</v>
      </c>
      <c r="E3173" s="28">
        <v>0.01680</v>
      </c>
      <c r="F3173" s="29">
        <f ca="1">ROUND(18.440,3)</f>
        <v>0</v>
      </c>
      <c r="G3173" s="27">
        <f ca="1">ROUND(E3173*F3173,2)</f>
        <v>0</v>
      </c>
    </row>
    <row r="3174" spans="1:7" ht="21.36" thickBot="1" customHeight="1">
      <c r="A3174" s="24" t="s">
        <v>9649</v>
      </c>
      <c r="B3174" s="24" t="s">
        <v>9650</v>
      </c>
      <c r="C3174" s="24" t="s">
        <v>9651</v>
      </c>
      <c r="D3174" s="25" t="s">
        <v>9652</v>
      </c>
      <c r="E3174" s="28">
        <v>1.00000</v>
      </c>
      <c r="F3174" s="29">
        <f ca="1">ROUND(2.290,3)</f>
        <v>0</v>
      </c>
      <c r="G3174" s="27">
        <f ca="1">ROUND(E3174*F3174,2)</f>
        <v>0</v>
      </c>
    </row>
    <row r="3175" spans="1:7" ht="39.84" thickBot="1" customHeight="1">
      <c r="A3175" s="24" t="s">
        <v>9653</v>
      </c>
      <c r="B3175" s="24" t="s">
        <v>9654</v>
      </c>
      <c r="C3175" s="24" t="s">
        <v>9655</v>
      </c>
      <c r="D3175" s="25" t="s">
        <v>9656</v>
      </c>
      <c r="E3175" s="28">
        <v>0.20000</v>
      </c>
      <c r="F3175" s="29">
        <f ca="1">ROUND(2.860,3)</f>
        <v>0</v>
      </c>
      <c r="G3175" s="27">
        <f ca="1">ROUND(E3175*F3175,2)</f>
        <v>0</v>
      </c>
    </row>
    <row r="3176" spans="1:7" ht="30.60" thickBot="1" customHeight="1">
      <c r="A3176" s="24" t="s">
        <v>9657</v>
      </c>
      <c r="B3176" s="24" t="s">
        <v>9658</v>
      </c>
      <c r="C3176" s="24" t="s">
        <v>9659</v>
      </c>
      <c r="D3176" s="25" t="s">
        <v>9660</v>
      </c>
      <c r="E3176" s="28">
        <v>0.15000</v>
      </c>
      <c r="F3176" s="29">
        <f ca="1">ROUND(30.450,3)</f>
        <v>0</v>
      </c>
      <c r="G3176" s="27">
        <f ca="1">ROUND(E3176*F3176,2)</f>
        <v>0</v>
      </c>
    </row>
    <row r="3177" spans="1:7" ht="49.08" thickBot="1" customHeight="1">
      <c r="A3177" s="24" t="s">
        <v>9661</v>
      </c>
      <c r="B3177" s="24" t="s">
        <v>9662</v>
      </c>
      <c r="C3177" s="24" t="s">
        <v>9663</v>
      </c>
      <c r="D3177" s="25" t="s">
        <v>9664</v>
      </c>
      <c r="E3177" s="28">
        <v>0.03590</v>
      </c>
      <c r="F3177" s="29">
        <f ca="1">ROUND(45.570,3)</f>
        <v>0</v>
      </c>
      <c r="G3177" s="27">
        <f ca="1">ROUND(E3177*F3177,2)</f>
        <v>0</v>
      </c>
    </row>
    <row r="3178" spans="1:7" ht="21.36" thickBot="1" customHeight="1">
      <c r="A3178" s="24" t="s">
        <v>9665</v>
      </c>
      <c r="B3178" s="24" t="s">
        <v>9666</v>
      </c>
      <c r="C3178" s="24" t="s">
        <v>9667</v>
      </c>
      <c r="D3178" s="25" t="s">
        <v>9668</v>
      </c>
      <c r="E3178" s="28">
        <v>0.31500</v>
      </c>
      <c r="F3178" s="29">
        <f ca="1">F3182</f>
        <v>0</v>
      </c>
      <c r="G3178" s="27">
        <f ca="1">ROUND(E3178*F3178,2)</f>
        <v>0</v>
      </c>
    </row>
    <row r="3179" spans="1:7" ht="24.36" thickBot="1" customHeight="1">
      <c r="A3179" s="24" t="s">
        <v>9669</v>
      </c>
      <c r="B3179" s="24" t="s">
        <v>9670</v>
      </c>
      <c r="C3179" s="24" t="s">
        <v>9671</v>
      </c>
      <c r="D3179" s="25" t="s">
        <v>9672</v>
      </c>
      <c r="E3179" s="28">
        <v>1.00000</v>
      </c>
      <c r="F3179" s="29">
        <f ca="1">ROUND(21.000,3)</f>
        <v>0</v>
      </c>
      <c r="G3179" s="27">
        <f ca="1">ROUND(E3179*F3179,2)</f>
        <v>0</v>
      </c>
    </row>
    <row r="3180" spans="1:7" ht="24.36" thickBot="1" customHeight="1">
      <c r="A3180" s="24" t="s">
        <v>9673</v>
      </c>
      <c r="B3180" s="24" t="s">
        <v>9674</v>
      </c>
      <c r="C3180" s="24" t="s">
        <v>9675</v>
      </c>
      <c r="D3180" s="25" t="s">
        <v>9676</v>
      </c>
      <c r="E3180" s="28">
        <v>1.00000</v>
      </c>
      <c r="F3180" s="29">
        <f ca="1">ROUND(19.000,3)</f>
        <v>0</v>
      </c>
      <c r="G3180" s="27">
        <f ca="1">ROUND(E3180*F3180,2)</f>
        <v>0</v>
      </c>
    </row>
    <row r="3181" spans="1:7" ht="24.36" thickBot="1" customHeight="1">
      <c r="A3181" s="24" t="s">
        <v>9677</v>
      </c>
      <c r="B3181" s="24" t="s">
        <v>9678</v>
      </c>
      <c r="C3181" s="24" t="s">
        <v>9679</v>
      </c>
      <c r="D3181" s="25" t="s">
        <v>9680</v>
      </c>
      <c r="E3181" s="28">
        <v>0.20000</v>
      </c>
      <c r="F3181" s="29">
        <f ca="1">ROUND(19.000,3)</f>
        <v>0</v>
      </c>
      <c r="G3181" s="27">
        <f ca="1">ROUND(E3181*F3181,2)</f>
        <v>0</v>
      </c>
    </row>
    <row r="3182" spans="1:7" ht="15.12" thickBot="1" customHeight="1">
      <c r="A3182" s="26"/>
      <c r="B3182" s="26"/>
      <c r="C3182" s="26"/>
      <c r="D3182" s="24" t="s">
        <v>9681</v>
      </c>
      <c r="E3182" s="28">
        <v>0.31500</v>
      </c>
      <c r="F3182" s="29">
        <f ca="1">ROUND((G3179+G3180+G3181),3)</f>
        <v>0</v>
      </c>
      <c r="G3182" s="27">
        <f ca="1">ROUND(E3182*F3182,2)</f>
        <v>0</v>
      </c>
    </row>
    <row r="3183" spans="1:7" ht="15.12" thickBot="1" customHeight="1">
      <c r="A3183" s="24" t="s">
        <v>9682</v>
      </c>
      <c r="B3183" s="24"/>
      <c r="C3183" s="24" t="s">
        <v>9683</v>
      </c>
      <c r="D3183" s="25" t="s">
        <v>9684</v>
      </c>
      <c r="E3183" s="28">
        <v>3.00000</v>
      </c>
      <c r="F3183" s="29">
        <f ca="1">ROUND(13.800,3)</f>
        <v>0</v>
      </c>
      <c r="G3183" s="27">
        <f ca="1">ROUND((E3183*F3183)/100,2)</f>
        <v>0</v>
      </c>
    </row>
    <row r="3184" spans="1:7" ht="15.48" thickBot="1" customHeight="1">
      <c r="A3184" s="30"/>
      <c r="B3184" s="30"/>
      <c r="C3184" s="30"/>
      <c r="D3184" s="31" t="s">
        <v>9685</v>
      </c>
      <c r="E3184" s="30"/>
      <c r="F3184" s="33">
        <f ca="1">ROUND((G3172+G3173+G3174+G3175+G3176+G3177+G3178+G3183)*(1+G2/100),2)</f>
        <v>0</v>
      </c>
      <c r="G3184" s="30"/>
    </row>
    <row r="3185" spans="1:7" ht="67.56" thickBot="1" customHeight="1">
      <c r="A3185" s="34" t="s">
        <v>9686</v>
      </c>
      <c r="B3185" s="35" t="s">
        <v>9687</v>
      </c>
      <c r="C3185" s="35" t="s">
        <v>9688</v>
      </c>
      <c r="D3185" s="36" t="s">
        <v>9689</v>
      </c>
      <c r="E3185" s="37"/>
      <c r="F3185" s="38">
        <f ca="1">F3199</f>
        <v>0</v>
      </c>
      <c r="G3185" s="37"/>
    </row>
    <row r="3186" spans="1:7" ht="30.60" thickBot="1" customHeight="1">
      <c r="A3186" s="26"/>
      <c r="B3186" s="26"/>
      <c r="C3186" s="26"/>
      <c r="D3186" s="25" t="s">
        <v>9690</v>
      </c>
      <c r="E3186" s="25"/>
      <c r="F3186" s="25"/>
      <c r="G3186" s="25"/>
    </row>
    <row r="3187" spans="1:7" ht="39.84" thickBot="1" customHeight="1">
      <c r="A3187" s="24" t="s">
        <v>9691</v>
      </c>
      <c r="B3187" s="24" t="s">
        <v>9692</v>
      </c>
      <c r="C3187" s="24" t="s">
        <v>9693</v>
      </c>
      <c r="D3187" s="25" t="s">
        <v>9694</v>
      </c>
      <c r="E3187" s="28">
        <v>0.00000</v>
      </c>
      <c r="F3187" s="29">
        <f ca="1">ROUND(11.830,3)</f>
        <v>0</v>
      </c>
      <c r="G3187" s="27">
        <f ca="1">ROUND(E3187*F3187,2)</f>
        <v>0</v>
      </c>
    </row>
    <row r="3188" spans="1:7" ht="30.60" thickBot="1" customHeight="1">
      <c r="A3188" s="24" t="s">
        <v>9695</v>
      </c>
      <c r="B3188" s="24" t="s">
        <v>9696</v>
      </c>
      <c r="C3188" s="24" t="s">
        <v>9697</v>
      </c>
      <c r="D3188" s="25" t="s">
        <v>9698</v>
      </c>
      <c r="E3188" s="28">
        <v>0.02230</v>
      </c>
      <c r="F3188" s="29">
        <f ca="1">ROUND(18.440,3)</f>
        <v>0</v>
      </c>
      <c r="G3188" s="27">
        <f ca="1">ROUND(E3188*F3188,2)</f>
        <v>0</v>
      </c>
    </row>
    <row r="3189" spans="1:7" ht="21.36" thickBot="1" customHeight="1">
      <c r="A3189" s="24" t="s">
        <v>9699</v>
      </c>
      <c r="B3189" s="24" t="s">
        <v>9700</v>
      </c>
      <c r="C3189" s="24" t="s">
        <v>9701</v>
      </c>
      <c r="D3189" s="25" t="s">
        <v>9702</v>
      </c>
      <c r="E3189" s="28">
        <v>1.00000</v>
      </c>
      <c r="F3189" s="29">
        <f ca="1">ROUND(2.290,3)</f>
        <v>0</v>
      </c>
      <c r="G3189" s="27">
        <f ca="1">ROUND(E3189*F3189,2)</f>
        <v>0</v>
      </c>
    </row>
    <row r="3190" spans="1:7" ht="39.84" thickBot="1" customHeight="1">
      <c r="A3190" s="24" t="s">
        <v>9703</v>
      </c>
      <c r="B3190" s="24" t="s">
        <v>9704</v>
      </c>
      <c r="C3190" s="24" t="s">
        <v>9705</v>
      </c>
      <c r="D3190" s="25" t="s">
        <v>9706</v>
      </c>
      <c r="E3190" s="28">
        <v>0.20000</v>
      </c>
      <c r="F3190" s="29">
        <f ca="1">ROUND(2.860,3)</f>
        <v>0</v>
      </c>
      <c r="G3190" s="27">
        <f ca="1">ROUND(E3190*F3190,2)</f>
        <v>0</v>
      </c>
    </row>
    <row r="3191" spans="1:7" ht="30.60" thickBot="1" customHeight="1">
      <c r="A3191" s="24" t="s">
        <v>9707</v>
      </c>
      <c r="B3191" s="24" t="s">
        <v>9708</v>
      </c>
      <c r="C3191" s="24" t="s">
        <v>9709</v>
      </c>
      <c r="D3191" s="25" t="s">
        <v>9710</v>
      </c>
      <c r="E3191" s="28">
        <v>0.15000</v>
      </c>
      <c r="F3191" s="29">
        <f ca="1">ROUND(30.450,3)</f>
        <v>0</v>
      </c>
      <c r="G3191" s="27">
        <f ca="1">ROUND(E3191*F3191,2)</f>
        <v>0</v>
      </c>
    </row>
    <row r="3192" spans="1:7" ht="49.08" thickBot="1" customHeight="1">
      <c r="A3192" s="24" t="s">
        <v>9711</v>
      </c>
      <c r="B3192" s="24" t="s">
        <v>9712</v>
      </c>
      <c r="C3192" s="24" t="s">
        <v>9713</v>
      </c>
      <c r="D3192" s="25" t="s">
        <v>9714</v>
      </c>
      <c r="E3192" s="28">
        <v>0.04430</v>
      </c>
      <c r="F3192" s="29">
        <f ca="1">ROUND(45.570,3)</f>
        <v>0</v>
      </c>
      <c r="G3192" s="27">
        <f ca="1">ROUND(E3192*F3192,2)</f>
        <v>0</v>
      </c>
    </row>
    <row r="3193" spans="1:7" ht="21.36" thickBot="1" customHeight="1">
      <c r="A3193" s="24" t="s">
        <v>9715</v>
      </c>
      <c r="B3193" s="24" t="s">
        <v>9716</v>
      </c>
      <c r="C3193" s="24" t="s">
        <v>9717</v>
      </c>
      <c r="D3193" s="25" t="s">
        <v>9718</v>
      </c>
      <c r="E3193" s="28">
        <v>0.34783</v>
      </c>
      <c r="F3193" s="29">
        <f ca="1">F3197</f>
        <v>0</v>
      </c>
      <c r="G3193" s="27">
        <f ca="1">ROUND(E3193*F3193,2)</f>
        <v>0</v>
      </c>
    </row>
    <row r="3194" spans="1:7" ht="24.36" thickBot="1" customHeight="1">
      <c r="A3194" s="24" t="s">
        <v>9719</v>
      </c>
      <c r="B3194" s="24" t="s">
        <v>9720</v>
      </c>
      <c r="C3194" s="24" t="s">
        <v>9721</v>
      </c>
      <c r="D3194" s="25" t="s">
        <v>9722</v>
      </c>
      <c r="E3194" s="28">
        <v>1.00000</v>
      </c>
      <c r="F3194" s="29">
        <f ca="1">ROUND(21.000,3)</f>
        <v>0</v>
      </c>
      <c r="G3194" s="27">
        <f ca="1">ROUND(E3194*F3194,2)</f>
        <v>0</v>
      </c>
    </row>
    <row r="3195" spans="1:7" ht="24.36" thickBot="1" customHeight="1">
      <c r="A3195" s="24" t="s">
        <v>9723</v>
      </c>
      <c r="B3195" s="24" t="s">
        <v>9724</v>
      </c>
      <c r="C3195" s="24" t="s">
        <v>9725</v>
      </c>
      <c r="D3195" s="25" t="s">
        <v>9726</v>
      </c>
      <c r="E3195" s="28">
        <v>1.00000</v>
      </c>
      <c r="F3195" s="29">
        <f ca="1">ROUND(19.000,3)</f>
        <v>0</v>
      </c>
      <c r="G3195" s="27">
        <f ca="1">ROUND(E3195*F3195,2)</f>
        <v>0</v>
      </c>
    </row>
    <row r="3196" spans="1:7" ht="24.36" thickBot="1" customHeight="1">
      <c r="A3196" s="24" t="s">
        <v>9727</v>
      </c>
      <c r="B3196" s="24" t="s">
        <v>9728</v>
      </c>
      <c r="C3196" s="24" t="s">
        <v>9729</v>
      </c>
      <c r="D3196" s="25" t="s">
        <v>9730</v>
      </c>
      <c r="E3196" s="28">
        <v>0.20000</v>
      </c>
      <c r="F3196" s="29">
        <f ca="1">ROUND(19.000,3)</f>
        <v>0</v>
      </c>
      <c r="G3196" s="27">
        <f ca="1">ROUND(E3196*F3196,2)</f>
        <v>0</v>
      </c>
    </row>
    <row r="3197" spans="1:7" ht="15.12" thickBot="1" customHeight="1">
      <c r="A3197" s="26"/>
      <c r="B3197" s="26"/>
      <c r="C3197" s="26"/>
      <c r="D3197" s="24" t="s">
        <v>9731</v>
      </c>
      <c r="E3197" s="28">
        <v>0.34783</v>
      </c>
      <c r="F3197" s="29">
        <f ca="1">ROUND((G3194+G3195+G3196),3)</f>
        <v>0</v>
      </c>
      <c r="G3197" s="27">
        <f ca="1">ROUND(E3197*F3197,2)</f>
        <v>0</v>
      </c>
    </row>
    <row r="3198" spans="1:7" ht="15.12" thickBot="1" customHeight="1">
      <c r="A3198" s="24" t="s">
        <v>9732</v>
      </c>
      <c r="B3198" s="24"/>
      <c r="C3198" s="24" t="s">
        <v>9733</v>
      </c>
      <c r="D3198" s="25" t="s">
        <v>9734</v>
      </c>
      <c r="E3198" s="28">
        <v>3.00000</v>
      </c>
      <c r="F3198" s="29">
        <f ca="1">ROUND(15.230,3)</f>
        <v>0</v>
      </c>
      <c r="G3198" s="27">
        <f ca="1">ROUND((E3198*F3198)/100,2)</f>
        <v>0</v>
      </c>
    </row>
    <row r="3199" spans="1:7" ht="15.48" thickBot="1" customHeight="1">
      <c r="A3199" s="30"/>
      <c r="B3199" s="30"/>
      <c r="C3199" s="30"/>
      <c r="D3199" s="31" t="s">
        <v>9735</v>
      </c>
      <c r="E3199" s="30"/>
      <c r="F3199" s="33">
        <f ca="1">ROUND((G3187+G3188+G3189+G3190+G3191+G3192+G3193+G3198)*(1+G2/100),2)</f>
        <v>0</v>
      </c>
      <c r="G3199" s="30"/>
    </row>
    <row r="3200" spans="1:7" ht="67.56" thickBot="1" customHeight="1">
      <c r="A3200" s="34" t="s">
        <v>9736</v>
      </c>
      <c r="B3200" s="35" t="s">
        <v>9737</v>
      </c>
      <c r="C3200" s="35" t="s">
        <v>9738</v>
      </c>
      <c r="D3200" s="36" t="s">
        <v>9739</v>
      </c>
      <c r="E3200" s="37"/>
      <c r="F3200" s="38">
        <f ca="1">F3213</f>
        <v>0</v>
      </c>
      <c r="G3200" s="37"/>
    </row>
    <row r="3201" spans="1:7" ht="49.08" thickBot="1" customHeight="1">
      <c r="A3201" s="26"/>
      <c r="B3201" s="26"/>
      <c r="C3201" s="26"/>
      <c r="D3201" s="25" t="s">
        <v>9740</v>
      </c>
      <c r="E3201" s="25"/>
      <c r="F3201" s="25"/>
      <c r="G3201" s="25"/>
    </row>
    <row r="3202" spans="1:7" ht="30.60" thickBot="1" customHeight="1">
      <c r="A3202" s="24" t="s">
        <v>9741</v>
      </c>
      <c r="B3202" s="24" t="s">
        <v>9742</v>
      </c>
      <c r="C3202" s="24" t="s">
        <v>9743</v>
      </c>
      <c r="D3202" s="25" t="s">
        <v>9744</v>
      </c>
      <c r="E3202" s="28">
        <v>0.02792</v>
      </c>
      <c r="F3202" s="29">
        <f ca="1">ROUND(18.440,3)</f>
        <v>0</v>
      </c>
      <c r="G3202" s="27">
        <f ca="1">ROUND(E3202*F3202,2)</f>
        <v>0</v>
      </c>
    </row>
    <row r="3203" spans="1:7" ht="21.36" thickBot="1" customHeight="1">
      <c r="A3203" s="24" t="s">
        <v>9745</v>
      </c>
      <c r="B3203" s="24" t="s">
        <v>9746</v>
      </c>
      <c r="C3203" s="24" t="s">
        <v>9747</v>
      </c>
      <c r="D3203" s="25" t="s">
        <v>9748</v>
      </c>
      <c r="E3203" s="28">
        <v>1.00000</v>
      </c>
      <c r="F3203" s="29">
        <f ca="1">ROUND(4.980,3)</f>
        <v>0</v>
      </c>
      <c r="G3203" s="27">
        <f ca="1">ROUND(E3203*F3203,2)</f>
        <v>0</v>
      </c>
    </row>
    <row r="3204" spans="1:7" ht="39.84" thickBot="1" customHeight="1">
      <c r="A3204" s="24" t="s">
        <v>9749</v>
      </c>
      <c r="B3204" s="24" t="s">
        <v>9750</v>
      </c>
      <c r="C3204" s="24" t="s">
        <v>9751</v>
      </c>
      <c r="D3204" s="25" t="s">
        <v>9752</v>
      </c>
      <c r="E3204" s="28">
        <v>0.20000</v>
      </c>
      <c r="F3204" s="29">
        <f ca="1">ROUND(2.860,3)</f>
        <v>0</v>
      </c>
      <c r="G3204" s="27">
        <f ca="1">ROUND(E3204*F3204,2)</f>
        <v>0</v>
      </c>
    </row>
    <row r="3205" spans="1:7" ht="30.60" thickBot="1" customHeight="1">
      <c r="A3205" s="24" t="s">
        <v>9753</v>
      </c>
      <c r="B3205" s="24" t="s">
        <v>9754</v>
      </c>
      <c r="C3205" s="24" t="s">
        <v>9755</v>
      </c>
      <c r="D3205" s="25" t="s">
        <v>9756</v>
      </c>
      <c r="E3205" s="28">
        <v>0.15000</v>
      </c>
      <c r="F3205" s="29">
        <f ca="1">ROUND(30.450,3)</f>
        <v>0</v>
      </c>
      <c r="G3205" s="27">
        <f ca="1">ROUND(E3205*F3205,2)</f>
        <v>0</v>
      </c>
    </row>
    <row r="3206" spans="1:7" ht="49.08" thickBot="1" customHeight="1">
      <c r="A3206" s="24" t="s">
        <v>9757</v>
      </c>
      <c r="B3206" s="24" t="s">
        <v>9758</v>
      </c>
      <c r="C3206" s="24" t="s">
        <v>9759</v>
      </c>
      <c r="D3206" s="25" t="s">
        <v>9760</v>
      </c>
      <c r="E3206" s="28">
        <v>0.27500</v>
      </c>
      <c r="F3206" s="29">
        <f ca="1">ROUND(45.570,3)</f>
        <v>0</v>
      </c>
      <c r="G3206" s="27">
        <f ca="1">ROUND(E3206*F3206,2)</f>
        <v>0</v>
      </c>
    </row>
    <row r="3207" spans="1:7" ht="21.36" thickBot="1" customHeight="1">
      <c r="A3207" s="24" t="s">
        <v>9761</v>
      </c>
      <c r="B3207" s="24" t="s">
        <v>9762</v>
      </c>
      <c r="C3207" s="24" t="s">
        <v>9763</v>
      </c>
      <c r="D3207" s="25" t="s">
        <v>9764</v>
      </c>
      <c r="E3207" s="28">
        <v>0.22857</v>
      </c>
      <c r="F3207" s="29">
        <f ca="1">F3211</f>
        <v>0</v>
      </c>
      <c r="G3207" s="27">
        <f ca="1">ROUND(E3207*F3207,2)</f>
        <v>0</v>
      </c>
    </row>
    <row r="3208" spans="1:7" ht="24.36" thickBot="1" customHeight="1">
      <c r="A3208" s="24" t="s">
        <v>9765</v>
      </c>
      <c r="B3208" s="24" t="s">
        <v>9766</v>
      </c>
      <c r="C3208" s="24" t="s">
        <v>9767</v>
      </c>
      <c r="D3208" s="25" t="s">
        <v>9768</v>
      </c>
      <c r="E3208" s="28">
        <v>1.00000</v>
      </c>
      <c r="F3208" s="29">
        <f ca="1">ROUND(21.000,3)</f>
        <v>0</v>
      </c>
      <c r="G3208" s="27">
        <f ca="1">ROUND(E3208*F3208,2)</f>
        <v>0</v>
      </c>
    </row>
    <row r="3209" spans="1:7" ht="24.36" thickBot="1" customHeight="1">
      <c r="A3209" s="24" t="s">
        <v>9769</v>
      </c>
      <c r="B3209" s="24" t="s">
        <v>9770</v>
      </c>
      <c r="C3209" s="24" t="s">
        <v>9771</v>
      </c>
      <c r="D3209" s="25" t="s">
        <v>9772</v>
      </c>
      <c r="E3209" s="28">
        <v>1.00000</v>
      </c>
      <c r="F3209" s="29">
        <f ca="1">ROUND(19.000,3)</f>
        <v>0</v>
      </c>
      <c r="G3209" s="27">
        <f ca="1">ROUND(E3209*F3209,2)</f>
        <v>0</v>
      </c>
    </row>
    <row r="3210" spans="1:7" ht="24.36" thickBot="1" customHeight="1">
      <c r="A3210" s="24" t="s">
        <v>9773</v>
      </c>
      <c r="B3210" s="24" t="s">
        <v>9774</v>
      </c>
      <c r="C3210" s="24" t="s">
        <v>9775</v>
      </c>
      <c r="D3210" s="25" t="s">
        <v>9776</v>
      </c>
      <c r="E3210" s="28">
        <v>0.20000</v>
      </c>
      <c r="F3210" s="29">
        <f ca="1">ROUND(19.000,3)</f>
        <v>0</v>
      </c>
      <c r="G3210" s="27">
        <f ca="1">ROUND(E3210*F3210,2)</f>
        <v>0</v>
      </c>
    </row>
    <row r="3211" spans="1:7" ht="15.12" thickBot="1" customHeight="1">
      <c r="A3211" s="26"/>
      <c r="B3211" s="26"/>
      <c r="C3211" s="26"/>
      <c r="D3211" s="24" t="s">
        <v>9777</v>
      </c>
      <c r="E3211" s="28">
        <v>0.22857</v>
      </c>
      <c r="F3211" s="29">
        <f ca="1">ROUND((G3208+G3209+G3210),3)</f>
        <v>0</v>
      </c>
      <c r="G3211" s="27">
        <f ca="1">ROUND(E3211*F3211,2)</f>
        <v>0</v>
      </c>
    </row>
    <row r="3212" spans="1:7" ht="15.12" thickBot="1" customHeight="1">
      <c r="A3212" s="24" t="s">
        <v>9778</v>
      </c>
      <c r="B3212" s="24"/>
      <c r="C3212" s="24" t="s">
        <v>9779</v>
      </c>
      <c r="D3212" s="25" t="s">
        <v>9780</v>
      </c>
      <c r="E3212" s="28">
        <v>3.00000</v>
      </c>
      <c r="F3212" s="29">
        <f ca="1">ROUND(10.010,3)</f>
        <v>0</v>
      </c>
      <c r="G3212" s="27">
        <f ca="1">ROUND((E3212*F3212)/100,2)</f>
        <v>0</v>
      </c>
    </row>
    <row r="3213" spans="1:7" ht="15.48" thickBot="1" customHeight="1">
      <c r="A3213" s="30"/>
      <c r="B3213" s="30"/>
      <c r="C3213" s="30"/>
      <c r="D3213" s="31" t="s">
        <v>9781</v>
      </c>
      <c r="E3213" s="30"/>
      <c r="F3213" s="33">
        <f ca="1">ROUND((G3202+G3203+G3204+G3205+G3206+G3207+G3212)*(1+G2/100),2)</f>
        <v>0</v>
      </c>
      <c r="G3213" s="30"/>
    </row>
    <row r="3214" spans="1:7" ht="76.80" thickBot="1" customHeight="1">
      <c r="A3214" s="34" t="s">
        <v>9782</v>
      </c>
      <c r="B3214" s="35" t="s">
        <v>9783</v>
      </c>
      <c r="C3214" s="35" t="s">
        <v>9784</v>
      </c>
      <c r="D3214" s="36" t="s">
        <v>9785</v>
      </c>
      <c r="E3214" s="37"/>
      <c r="F3214" s="38">
        <f ca="1">F3227</f>
        <v>0</v>
      </c>
      <c r="G3214" s="37"/>
    </row>
    <row r="3215" spans="1:7" ht="58.32" thickBot="1" customHeight="1">
      <c r="A3215" s="26"/>
      <c r="B3215" s="26"/>
      <c r="C3215" s="26"/>
      <c r="D3215" s="25" t="s">
        <v>9786</v>
      </c>
      <c r="E3215" s="25"/>
      <c r="F3215" s="25"/>
      <c r="G3215" s="25"/>
    </row>
    <row r="3216" spans="1:7" ht="30.60" thickBot="1" customHeight="1">
      <c r="A3216" s="24" t="s">
        <v>9787</v>
      </c>
      <c r="B3216" s="24" t="s">
        <v>9788</v>
      </c>
      <c r="C3216" s="24" t="s">
        <v>9789</v>
      </c>
      <c r="D3216" s="25" t="s">
        <v>9790</v>
      </c>
      <c r="E3216" s="28">
        <v>0.02230</v>
      </c>
      <c r="F3216" s="29">
        <f ca="1">ROUND(18.440,3)</f>
        <v>0</v>
      </c>
      <c r="G3216" s="27">
        <f ca="1">ROUND(E3216*F3216,2)</f>
        <v>0</v>
      </c>
    </row>
    <row r="3217" spans="1:7" ht="21.36" thickBot="1" customHeight="1">
      <c r="A3217" s="24" t="s">
        <v>9791</v>
      </c>
      <c r="B3217" s="24" t="s">
        <v>9792</v>
      </c>
      <c r="C3217" s="24" t="s">
        <v>9793</v>
      </c>
      <c r="D3217" s="25" t="s">
        <v>9794</v>
      </c>
      <c r="E3217" s="28">
        <v>1.00000</v>
      </c>
      <c r="F3217" s="29">
        <f ca="1">ROUND(2.290,3)</f>
        <v>0</v>
      </c>
      <c r="G3217" s="27">
        <f ca="1">ROUND(E3217*F3217,2)</f>
        <v>0</v>
      </c>
    </row>
    <row r="3218" spans="1:7" ht="39.84" thickBot="1" customHeight="1">
      <c r="A3218" s="24" t="s">
        <v>9795</v>
      </c>
      <c r="B3218" s="24" t="s">
        <v>9796</v>
      </c>
      <c r="C3218" s="24" t="s">
        <v>9797</v>
      </c>
      <c r="D3218" s="25" t="s">
        <v>9798</v>
      </c>
      <c r="E3218" s="28">
        <v>0.20000</v>
      </c>
      <c r="F3218" s="29">
        <f ca="1">ROUND(2.860,3)</f>
        <v>0</v>
      </c>
      <c r="G3218" s="27">
        <f ca="1">ROUND(E3218*F3218,2)</f>
        <v>0</v>
      </c>
    </row>
    <row r="3219" spans="1:7" ht="30.60" thickBot="1" customHeight="1">
      <c r="A3219" s="24" t="s">
        <v>9799</v>
      </c>
      <c r="B3219" s="24" t="s">
        <v>9800</v>
      </c>
      <c r="C3219" s="24" t="s">
        <v>9801</v>
      </c>
      <c r="D3219" s="25" t="s">
        <v>9802</v>
      </c>
      <c r="E3219" s="28">
        <v>0.15000</v>
      </c>
      <c r="F3219" s="29">
        <f ca="1">ROUND(30.450,3)</f>
        <v>0</v>
      </c>
      <c r="G3219" s="27">
        <f ca="1">ROUND(E3219*F3219,2)</f>
        <v>0</v>
      </c>
    </row>
    <row r="3220" spans="1:7" ht="49.08" thickBot="1" customHeight="1">
      <c r="A3220" s="24" t="s">
        <v>9803</v>
      </c>
      <c r="B3220" s="24" t="s">
        <v>9804</v>
      </c>
      <c r="C3220" s="24" t="s">
        <v>9805</v>
      </c>
      <c r="D3220" s="25" t="s">
        <v>9806</v>
      </c>
      <c r="E3220" s="28">
        <v>0.08000</v>
      </c>
      <c r="F3220" s="29">
        <f ca="1">ROUND(45.570,3)</f>
        <v>0</v>
      </c>
      <c r="G3220" s="27">
        <f ca="1">ROUND(E3220*F3220,2)</f>
        <v>0</v>
      </c>
    </row>
    <row r="3221" spans="1:7" ht="21.36" thickBot="1" customHeight="1">
      <c r="A3221" s="24" t="s">
        <v>9807</v>
      </c>
      <c r="B3221" s="24" t="s">
        <v>9808</v>
      </c>
      <c r="C3221" s="24" t="s">
        <v>9809</v>
      </c>
      <c r="D3221" s="25" t="s">
        <v>9810</v>
      </c>
      <c r="E3221" s="28">
        <v>0.22857</v>
      </c>
      <c r="F3221" s="29">
        <f ca="1">F3225</f>
        <v>0</v>
      </c>
      <c r="G3221" s="27">
        <f ca="1">ROUND(E3221*F3221,2)</f>
        <v>0</v>
      </c>
    </row>
    <row r="3222" spans="1:7" ht="24.36" thickBot="1" customHeight="1">
      <c r="A3222" s="24" t="s">
        <v>9811</v>
      </c>
      <c r="B3222" s="24" t="s">
        <v>9812</v>
      </c>
      <c r="C3222" s="24" t="s">
        <v>9813</v>
      </c>
      <c r="D3222" s="25" t="s">
        <v>9814</v>
      </c>
      <c r="E3222" s="28">
        <v>1.00000</v>
      </c>
      <c r="F3222" s="29">
        <f ca="1">ROUND(21.000,3)</f>
        <v>0</v>
      </c>
      <c r="G3222" s="27">
        <f ca="1">ROUND(E3222*F3222,2)</f>
        <v>0</v>
      </c>
    </row>
    <row r="3223" spans="1:7" ht="24.36" thickBot="1" customHeight="1">
      <c r="A3223" s="24" t="s">
        <v>9815</v>
      </c>
      <c r="B3223" s="24" t="s">
        <v>9816</v>
      </c>
      <c r="C3223" s="24" t="s">
        <v>9817</v>
      </c>
      <c r="D3223" s="25" t="s">
        <v>9818</v>
      </c>
      <c r="E3223" s="28">
        <v>1.00000</v>
      </c>
      <c r="F3223" s="29">
        <f ca="1">ROUND(19.000,3)</f>
        <v>0</v>
      </c>
      <c r="G3223" s="27">
        <f ca="1">ROUND(E3223*F3223,2)</f>
        <v>0</v>
      </c>
    </row>
    <row r="3224" spans="1:7" ht="24.36" thickBot="1" customHeight="1">
      <c r="A3224" s="24" t="s">
        <v>9819</v>
      </c>
      <c r="B3224" s="24" t="s">
        <v>9820</v>
      </c>
      <c r="C3224" s="24" t="s">
        <v>9821</v>
      </c>
      <c r="D3224" s="25" t="s">
        <v>9822</v>
      </c>
      <c r="E3224" s="28">
        <v>0.20000</v>
      </c>
      <c r="F3224" s="29">
        <f ca="1">ROUND(19.000,3)</f>
        <v>0</v>
      </c>
      <c r="G3224" s="27">
        <f ca="1">ROUND(E3224*F3224,2)</f>
        <v>0</v>
      </c>
    </row>
    <row r="3225" spans="1:7" ht="15.12" thickBot="1" customHeight="1">
      <c r="A3225" s="26"/>
      <c r="B3225" s="26"/>
      <c r="C3225" s="26"/>
      <c r="D3225" s="24" t="s">
        <v>9823</v>
      </c>
      <c r="E3225" s="28">
        <v>0.22857</v>
      </c>
      <c r="F3225" s="29">
        <f ca="1">ROUND((G3222+G3223+G3224),3)</f>
        <v>0</v>
      </c>
      <c r="G3225" s="27">
        <f ca="1">ROUND(E3225*F3225,2)</f>
        <v>0</v>
      </c>
    </row>
    <row r="3226" spans="1:7" ht="15.12" thickBot="1" customHeight="1">
      <c r="A3226" s="24" t="s">
        <v>9824</v>
      </c>
      <c r="B3226" s="24"/>
      <c r="C3226" s="24" t="s">
        <v>9825</v>
      </c>
      <c r="D3226" s="25" t="s">
        <v>9826</v>
      </c>
      <c r="E3226" s="28">
        <v>3.00000</v>
      </c>
      <c r="F3226" s="29">
        <f ca="1">ROUND(10.010,3)</f>
        <v>0</v>
      </c>
      <c r="G3226" s="27">
        <f ca="1">ROUND((E3226*F3226)/100,2)</f>
        <v>0</v>
      </c>
    </row>
    <row r="3227" spans="1:7" ht="15.48" thickBot="1" customHeight="1">
      <c r="A3227" s="30"/>
      <c r="B3227" s="30"/>
      <c r="C3227" s="30"/>
      <c r="D3227" s="31" t="s">
        <v>9827</v>
      </c>
      <c r="E3227" s="30"/>
      <c r="F3227" s="33">
        <f ca="1">ROUND((G3216+G3217+G3218+G3219+G3220+G3221+G3226)*(1+G2/100),2)</f>
        <v>0</v>
      </c>
      <c r="G3227" s="30"/>
    </row>
    <row r="3228" spans="1:7" ht="76.80" thickBot="1" customHeight="1">
      <c r="A3228" s="34" t="s">
        <v>9828</v>
      </c>
      <c r="B3228" s="35" t="s">
        <v>9829</v>
      </c>
      <c r="C3228" s="35" t="s">
        <v>9830</v>
      </c>
      <c r="D3228" s="36" t="s">
        <v>9831</v>
      </c>
      <c r="E3228" s="37"/>
      <c r="F3228" s="38">
        <f ca="1">F3241</f>
        <v>0</v>
      </c>
      <c r="G3228" s="37"/>
    </row>
    <row r="3229" spans="1:7" ht="58.32" thickBot="1" customHeight="1">
      <c r="A3229" s="26"/>
      <c r="B3229" s="26"/>
      <c r="C3229" s="26"/>
      <c r="D3229" s="25" t="s">
        <v>9832</v>
      </c>
      <c r="E3229" s="25"/>
      <c r="F3229" s="25"/>
      <c r="G3229" s="25"/>
    </row>
    <row r="3230" spans="1:7" ht="30.60" thickBot="1" customHeight="1">
      <c r="A3230" s="24" t="s">
        <v>9833</v>
      </c>
      <c r="B3230" s="24" t="s">
        <v>9834</v>
      </c>
      <c r="C3230" s="24" t="s">
        <v>9835</v>
      </c>
      <c r="D3230" s="25" t="s">
        <v>9836</v>
      </c>
      <c r="E3230" s="28">
        <v>0.01680</v>
      </c>
      <c r="F3230" s="29">
        <f ca="1">ROUND(18.440,3)</f>
        <v>0</v>
      </c>
      <c r="G3230" s="27">
        <f ca="1">ROUND(E3230*F3230,2)</f>
        <v>0</v>
      </c>
    </row>
    <row r="3231" spans="1:7" ht="21.36" thickBot="1" customHeight="1">
      <c r="A3231" s="24" t="s">
        <v>9837</v>
      </c>
      <c r="B3231" s="24" t="s">
        <v>9838</v>
      </c>
      <c r="C3231" s="24" t="s">
        <v>9839</v>
      </c>
      <c r="D3231" s="25" t="s">
        <v>9840</v>
      </c>
      <c r="E3231" s="28">
        <v>1.00000</v>
      </c>
      <c r="F3231" s="29">
        <f ca="1">ROUND(2.290,3)</f>
        <v>0</v>
      </c>
      <c r="G3231" s="27">
        <f ca="1">ROUND(E3231*F3231,2)</f>
        <v>0</v>
      </c>
    </row>
    <row r="3232" spans="1:7" ht="39.84" thickBot="1" customHeight="1">
      <c r="A3232" s="24" t="s">
        <v>9841</v>
      </c>
      <c r="B3232" s="24" t="s">
        <v>9842</v>
      </c>
      <c r="C3232" s="24" t="s">
        <v>9843</v>
      </c>
      <c r="D3232" s="25" t="s">
        <v>9844</v>
      </c>
      <c r="E3232" s="28">
        <v>0.20000</v>
      </c>
      <c r="F3232" s="29">
        <f ca="1">ROUND(2.860,3)</f>
        <v>0</v>
      </c>
      <c r="G3232" s="27">
        <f ca="1">ROUND(E3232*F3232,2)</f>
        <v>0</v>
      </c>
    </row>
    <row r="3233" spans="1:7" ht="30.60" thickBot="1" customHeight="1">
      <c r="A3233" s="24" t="s">
        <v>9845</v>
      </c>
      <c r="B3233" s="24" t="s">
        <v>9846</v>
      </c>
      <c r="C3233" s="24" t="s">
        <v>9847</v>
      </c>
      <c r="D3233" s="25" t="s">
        <v>9848</v>
      </c>
      <c r="E3233" s="28">
        <v>0.15000</v>
      </c>
      <c r="F3233" s="29">
        <f ca="1">ROUND(30.450,3)</f>
        <v>0</v>
      </c>
      <c r="G3233" s="27">
        <f ca="1">ROUND(E3233*F3233,2)</f>
        <v>0</v>
      </c>
    </row>
    <row r="3234" spans="1:7" ht="49.08" thickBot="1" customHeight="1">
      <c r="A3234" s="24" t="s">
        <v>9849</v>
      </c>
      <c r="B3234" s="24" t="s">
        <v>9850</v>
      </c>
      <c r="C3234" s="24" t="s">
        <v>9851</v>
      </c>
      <c r="D3234" s="25" t="s">
        <v>9852</v>
      </c>
      <c r="E3234" s="28">
        <v>0.05000</v>
      </c>
      <c r="F3234" s="29">
        <f ca="1">ROUND(45.570,3)</f>
        <v>0</v>
      </c>
      <c r="G3234" s="27">
        <f ca="1">ROUND(E3234*F3234,2)</f>
        <v>0</v>
      </c>
    </row>
    <row r="3235" spans="1:7" ht="21.36" thickBot="1" customHeight="1">
      <c r="A3235" s="24" t="s">
        <v>9853</v>
      </c>
      <c r="B3235" s="24" t="s">
        <v>9854</v>
      </c>
      <c r="C3235" s="24" t="s">
        <v>9855</v>
      </c>
      <c r="D3235" s="25" t="s">
        <v>9856</v>
      </c>
      <c r="E3235" s="28">
        <v>0.20000</v>
      </c>
      <c r="F3235" s="29">
        <f ca="1">F3239</f>
        <v>0</v>
      </c>
      <c r="G3235" s="27">
        <f ca="1">ROUND(E3235*F3235,2)</f>
        <v>0</v>
      </c>
    </row>
    <row r="3236" spans="1:7" ht="24.36" thickBot="1" customHeight="1">
      <c r="A3236" s="24" t="s">
        <v>9857</v>
      </c>
      <c r="B3236" s="24" t="s">
        <v>9858</v>
      </c>
      <c r="C3236" s="24" t="s">
        <v>9859</v>
      </c>
      <c r="D3236" s="25" t="s">
        <v>9860</v>
      </c>
      <c r="E3236" s="28">
        <v>1.00000</v>
      </c>
      <c r="F3236" s="29">
        <f ca="1">ROUND(21.000,3)</f>
        <v>0</v>
      </c>
      <c r="G3236" s="27">
        <f ca="1">ROUND(E3236*F3236,2)</f>
        <v>0</v>
      </c>
    </row>
    <row r="3237" spans="1:7" ht="24.36" thickBot="1" customHeight="1">
      <c r="A3237" s="24" t="s">
        <v>9861</v>
      </c>
      <c r="B3237" s="24" t="s">
        <v>9862</v>
      </c>
      <c r="C3237" s="24" t="s">
        <v>9863</v>
      </c>
      <c r="D3237" s="25" t="s">
        <v>9864</v>
      </c>
      <c r="E3237" s="28">
        <v>1.00000</v>
      </c>
      <c r="F3237" s="29">
        <f ca="1">ROUND(19.000,3)</f>
        <v>0</v>
      </c>
      <c r="G3237" s="27">
        <f ca="1">ROUND(E3237*F3237,2)</f>
        <v>0</v>
      </c>
    </row>
    <row r="3238" spans="1:7" ht="24.36" thickBot="1" customHeight="1">
      <c r="A3238" s="24" t="s">
        <v>9865</v>
      </c>
      <c r="B3238" s="24" t="s">
        <v>9866</v>
      </c>
      <c r="C3238" s="24" t="s">
        <v>9867</v>
      </c>
      <c r="D3238" s="25" t="s">
        <v>9868</v>
      </c>
      <c r="E3238" s="28">
        <v>0.20000</v>
      </c>
      <c r="F3238" s="29">
        <f ca="1">ROUND(19.000,3)</f>
        <v>0</v>
      </c>
      <c r="G3238" s="27">
        <f ca="1">ROUND(E3238*F3238,2)</f>
        <v>0</v>
      </c>
    </row>
    <row r="3239" spans="1:7" ht="15.12" thickBot="1" customHeight="1">
      <c r="A3239" s="26"/>
      <c r="B3239" s="26"/>
      <c r="C3239" s="26"/>
      <c r="D3239" s="24" t="s">
        <v>9869</v>
      </c>
      <c r="E3239" s="28">
        <v>0.20000</v>
      </c>
      <c r="F3239" s="29">
        <f ca="1">ROUND((G3236+G3237+G3238),3)</f>
        <v>0</v>
      </c>
      <c r="G3239" s="27">
        <f ca="1">ROUND(E3239*F3239,2)</f>
        <v>0</v>
      </c>
    </row>
    <row r="3240" spans="1:7" ht="15.12" thickBot="1" customHeight="1">
      <c r="A3240" s="24" t="s">
        <v>9870</v>
      </c>
      <c r="B3240" s="24"/>
      <c r="C3240" s="24" t="s">
        <v>9871</v>
      </c>
      <c r="D3240" s="25" t="s">
        <v>9872</v>
      </c>
      <c r="E3240" s="28">
        <v>3.00000</v>
      </c>
      <c r="F3240" s="29">
        <f ca="1">ROUND(8.760,3)</f>
        <v>0</v>
      </c>
      <c r="G3240" s="27">
        <f ca="1">ROUND((E3240*F3240)/100,2)</f>
        <v>0</v>
      </c>
    </row>
    <row r="3241" spans="1:7" ht="15.48" thickBot="1" customHeight="1">
      <c r="A3241" s="30"/>
      <c r="B3241" s="30"/>
      <c r="C3241" s="30"/>
      <c r="D3241" s="31" t="s">
        <v>9873</v>
      </c>
      <c r="E3241" s="30"/>
      <c r="F3241" s="33">
        <f ca="1">ROUND((G3230+G3231+G3232+G3233+G3234+G3235+G3240)*(1+G2/100),2)</f>
        <v>0</v>
      </c>
      <c r="G3241" s="30"/>
    </row>
    <row r="3242" spans="1:7" ht="58.32" thickBot="1" customHeight="1">
      <c r="A3242" s="34" t="s">
        <v>9874</v>
      </c>
      <c r="B3242" s="35" t="s">
        <v>9875</v>
      </c>
      <c r="C3242" s="35" t="s">
        <v>9876</v>
      </c>
      <c r="D3242" s="36" t="s">
        <v>9877</v>
      </c>
      <c r="E3242" s="37"/>
      <c r="F3242" s="38">
        <f ca="1">F3259</f>
        <v>0</v>
      </c>
      <c r="G3242" s="37"/>
    </row>
    <row r="3243" spans="1:7" ht="30.60" thickBot="1" customHeight="1">
      <c r="A3243" s="26"/>
      <c r="B3243" s="26"/>
      <c r="C3243" s="26"/>
      <c r="D3243" s="25" t="s">
        <v>9878</v>
      </c>
      <c r="E3243" s="25"/>
      <c r="F3243" s="25"/>
      <c r="G3243" s="25"/>
    </row>
    <row r="3244" spans="1:7" ht="30.60" thickBot="1" customHeight="1">
      <c r="A3244" s="24" t="s">
        <v>9879</v>
      </c>
      <c r="B3244" s="24" t="s">
        <v>9880</v>
      </c>
      <c r="C3244" s="24" t="s">
        <v>9881</v>
      </c>
      <c r="D3244" s="25" t="s">
        <v>9882</v>
      </c>
      <c r="E3244" s="28">
        <v>0.02790</v>
      </c>
      <c r="F3244" s="29">
        <f ca="1">ROUND(18.440,3)</f>
        <v>0</v>
      </c>
      <c r="G3244" s="27">
        <f ca="1">ROUND(E3244*F3244,2)</f>
        <v>0</v>
      </c>
    </row>
    <row r="3245" spans="1:7" ht="30.60" thickBot="1" customHeight="1">
      <c r="A3245" s="24" t="s">
        <v>9883</v>
      </c>
      <c r="B3245" s="24" t="s">
        <v>9884</v>
      </c>
      <c r="C3245" s="24" t="s">
        <v>9885</v>
      </c>
      <c r="D3245" s="25" t="s">
        <v>9886</v>
      </c>
      <c r="E3245" s="28">
        <v>0.50400</v>
      </c>
      <c r="F3245" s="29">
        <f ca="1">ROUND(16.810,3)</f>
        <v>0</v>
      </c>
      <c r="G3245" s="27">
        <f ca="1">ROUND(E3245*F3245,2)</f>
        <v>0</v>
      </c>
    </row>
    <row r="3246" spans="1:7" ht="30.60" thickBot="1" customHeight="1">
      <c r="A3246" s="24" t="s">
        <v>9887</v>
      </c>
      <c r="B3246" s="24" t="s">
        <v>9888</v>
      </c>
      <c r="C3246" s="24" t="s">
        <v>9889</v>
      </c>
      <c r="D3246" s="25" t="s">
        <v>9890</v>
      </c>
      <c r="E3246" s="28">
        <v>0.02200</v>
      </c>
      <c r="F3246" s="29">
        <f ca="1">ROUND(27.500,3)</f>
        <v>0</v>
      </c>
      <c r="G3246" s="27">
        <f ca="1">ROUND(E3246*F3246,2)</f>
        <v>0</v>
      </c>
    </row>
    <row r="3247" spans="1:7" ht="30.60" thickBot="1" customHeight="1">
      <c r="A3247" s="24" t="s">
        <v>9891</v>
      </c>
      <c r="B3247" s="24" t="s">
        <v>9892</v>
      </c>
      <c r="C3247" s="24" t="s">
        <v>9893</v>
      </c>
      <c r="D3247" s="25" t="s">
        <v>9894</v>
      </c>
      <c r="E3247" s="28">
        <v>1.13400</v>
      </c>
      <c r="F3247" s="29">
        <f ca="1">ROUND(28.550,3)</f>
        <v>0</v>
      </c>
      <c r="G3247" s="27">
        <f ca="1">ROUND(E3247*F3247,2)</f>
        <v>0</v>
      </c>
    </row>
    <row r="3248" spans="1:7" ht="21.36" thickBot="1" customHeight="1">
      <c r="A3248" s="24" t="s">
        <v>9895</v>
      </c>
      <c r="B3248" s="24" t="s">
        <v>9896</v>
      </c>
      <c r="C3248" s="24" t="s">
        <v>9897</v>
      </c>
      <c r="D3248" s="25" t="s">
        <v>9898</v>
      </c>
      <c r="E3248" s="28">
        <v>1.00000</v>
      </c>
      <c r="F3248" s="29">
        <f ca="1">ROUND(4.980,3)</f>
        <v>0</v>
      </c>
      <c r="G3248" s="27">
        <f ca="1">ROUND(E3248*F3248,2)</f>
        <v>0</v>
      </c>
    </row>
    <row r="3249" spans="1:7" ht="30.60" thickBot="1" customHeight="1">
      <c r="A3249" s="24" t="s">
        <v>9899</v>
      </c>
      <c r="B3249" s="24" t="s">
        <v>9900</v>
      </c>
      <c r="C3249" s="24" t="s">
        <v>9901</v>
      </c>
      <c r="D3249" s="25" t="s">
        <v>9902</v>
      </c>
      <c r="E3249" s="28">
        <v>0.07140</v>
      </c>
      <c r="F3249" s="29">
        <f ca="1">ROUND(23.460,3)</f>
        <v>0</v>
      </c>
      <c r="G3249" s="27">
        <f ca="1">ROUND(E3249*F3249,2)</f>
        <v>0</v>
      </c>
    </row>
    <row r="3250" spans="1:7" ht="30.60" thickBot="1" customHeight="1">
      <c r="A3250" s="24" t="s">
        <v>9903</v>
      </c>
      <c r="B3250" s="24" t="s">
        <v>9904</v>
      </c>
      <c r="C3250" s="24" t="s">
        <v>9905</v>
      </c>
      <c r="D3250" s="25" t="s">
        <v>9906</v>
      </c>
      <c r="E3250" s="28">
        <v>0.18180</v>
      </c>
      <c r="F3250" s="29">
        <f ca="1">ROUND(30.450,3)</f>
        <v>0</v>
      </c>
      <c r="G3250" s="27">
        <f ca="1">ROUND(E3250*F3250,2)</f>
        <v>0</v>
      </c>
    </row>
    <row r="3251" spans="1:7" ht="39.84" thickBot="1" customHeight="1">
      <c r="A3251" s="24" t="s">
        <v>9907</v>
      </c>
      <c r="B3251" s="24" t="s">
        <v>9908</v>
      </c>
      <c r="C3251" s="24" t="s">
        <v>9909</v>
      </c>
      <c r="D3251" s="25" t="s">
        <v>9910</v>
      </c>
      <c r="E3251" s="28">
        <v>0.44000</v>
      </c>
      <c r="F3251" s="29">
        <f ca="1">ROUND(4.050,3)</f>
        <v>0</v>
      </c>
      <c r="G3251" s="27">
        <f ca="1">ROUND(E3251*F3251,2)</f>
        <v>0</v>
      </c>
    </row>
    <row r="3252" spans="1:7" ht="39.84" thickBot="1" customHeight="1">
      <c r="A3252" s="24" t="s">
        <v>9911</v>
      </c>
      <c r="B3252" s="24" t="s">
        <v>9912</v>
      </c>
      <c r="C3252" s="24" t="s">
        <v>9913</v>
      </c>
      <c r="D3252" s="25" t="s">
        <v>9914</v>
      </c>
      <c r="E3252" s="28">
        <v>0.30000</v>
      </c>
      <c r="F3252" s="29">
        <f ca="1">ROUND(2.860,3)</f>
        <v>0</v>
      </c>
      <c r="G3252" s="27">
        <f ca="1">ROUND(E3252*F3252,2)</f>
        <v>0</v>
      </c>
    </row>
    <row r="3253" spans="1:7" ht="21.36" thickBot="1" customHeight="1">
      <c r="A3253" s="24" t="s">
        <v>9915</v>
      </c>
      <c r="B3253" s="24" t="s">
        <v>9916</v>
      </c>
      <c r="C3253" s="24" t="s">
        <v>9917</v>
      </c>
      <c r="D3253" s="25" t="s">
        <v>9918</v>
      </c>
      <c r="E3253" s="28">
        <v>1.00000</v>
      </c>
      <c r="F3253" s="29">
        <f ca="1">F3257</f>
        <v>0</v>
      </c>
      <c r="G3253" s="27">
        <f ca="1">ROUND(E3253*F3253,2)</f>
        <v>0</v>
      </c>
    </row>
    <row r="3254" spans="1:7" ht="24.36" thickBot="1" customHeight="1">
      <c r="A3254" s="24" t="s">
        <v>9919</v>
      </c>
      <c r="B3254" s="24" t="s">
        <v>9920</v>
      </c>
      <c r="C3254" s="24" t="s">
        <v>9921</v>
      </c>
      <c r="D3254" s="25" t="s">
        <v>9922</v>
      </c>
      <c r="E3254" s="28">
        <v>1.00000</v>
      </c>
      <c r="F3254" s="29">
        <f ca="1">ROUND(21.000,3)</f>
        <v>0</v>
      </c>
      <c r="G3254" s="27">
        <f ca="1">ROUND(E3254*F3254,2)</f>
        <v>0</v>
      </c>
    </row>
    <row r="3255" spans="1:7" ht="24.36" thickBot="1" customHeight="1">
      <c r="A3255" s="24" t="s">
        <v>9923</v>
      </c>
      <c r="B3255" s="24" t="s">
        <v>9924</v>
      </c>
      <c r="C3255" s="24" t="s">
        <v>9925</v>
      </c>
      <c r="D3255" s="25" t="s">
        <v>9926</v>
      </c>
      <c r="E3255" s="28">
        <v>1.00000</v>
      </c>
      <c r="F3255" s="29">
        <f ca="1">ROUND(19.000,3)</f>
        <v>0</v>
      </c>
      <c r="G3255" s="27">
        <f ca="1">ROUND(E3255*F3255,2)</f>
        <v>0</v>
      </c>
    </row>
    <row r="3256" spans="1:7" ht="24.36" thickBot="1" customHeight="1">
      <c r="A3256" s="24" t="s">
        <v>9927</v>
      </c>
      <c r="B3256" s="24" t="s">
        <v>9928</v>
      </c>
      <c r="C3256" s="24" t="s">
        <v>9929</v>
      </c>
      <c r="D3256" s="25" t="s">
        <v>9930</v>
      </c>
      <c r="E3256" s="28">
        <v>0.20000</v>
      </c>
      <c r="F3256" s="29">
        <f ca="1">ROUND(19.000,3)</f>
        <v>0</v>
      </c>
      <c r="G3256" s="27">
        <f ca="1">ROUND(E3256*F3256,2)</f>
        <v>0</v>
      </c>
    </row>
    <row r="3257" spans="1:7" ht="15.12" thickBot="1" customHeight="1">
      <c r="A3257" s="26"/>
      <c r="B3257" s="26"/>
      <c r="C3257" s="26"/>
      <c r="D3257" s="24" t="s">
        <v>9931</v>
      </c>
      <c r="E3257" s="28">
        <v>1.00000</v>
      </c>
      <c r="F3257" s="29">
        <f ca="1">ROUND((G3254+G3255+G3256),3)</f>
        <v>0</v>
      </c>
      <c r="G3257" s="27">
        <f ca="1">ROUND(E3257*F3257,2)</f>
        <v>0</v>
      </c>
    </row>
    <row r="3258" spans="1:7" ht="15.12" thickBot="1" customHeight="1">
      <c r="A3258" s="24" t="s">
        <v>9932</v>
      </c>
      <c r="B3258" s="24"/>
      <c r="C3258" s="24" t="s">
        <v>9933</v>
      </c>
      <c r="D3258" s="25" t="s">
        <v>9934</v>
      </c>
      <c r="E3258" s="28">
        <v>5.00000</v>
      </c>
      <c r="F3258" s="29">
        <f ca="1">ROUND(43.800,3)</f>
        <v>0</v>
      </c>
      <c r="G3258" s="27">
        <f ca="1">ROUND((E3258*F3258)/100,2)</f>
        <v>0</v>
      </c>
    </row>
    <row r="3259" spans="1:7" ht="15.48" thickBot="1" customHeight="1">
      <c r="A3259" s="30"/>
      <c r="B3259" s="30"/>
      <c r="C3259" s="30"/>
      <c r="D3259" s="31" t="s">
        <v>9935</v>
      </c>
      <c r="E3259" s="30"/>
      <c r="F3259" s="33">
        <f ca="1">ROUND((G3244+G3245+G3246+G3247+G3248+G3249+G3250+G3251+G3252+G3253+G3258)*(1+G2/100),2)</f>
        <v>0</v>
      </c>
      <c r="G3259" s="30"/>
    </row>
    <row r="3260" spans="1:7" ht="58.32" thickBot="1" customHeight="1">
      <c r="A3260" s="34" t="s">
        <v>9936</v>
      </c>
      <c r="B3260" s="35" t="s">
        <v>9937</v>
      </c>
      <c r="C3260" s="35" t="s">
        <v>9938</v>
      </c>
      <c r="D3260" s="36" t="s">
        <v>9939</v>
      </c>
      <c r="E3260" s="37"/>
      <c r="F3260" s="38">
        <f ca="1">F3277</f>
        <v>0</v>
      </c>
      <c r="G3260" s="37"/>
    </row>
    <row r="3261" spans="1:7" ht="30.60" thickBot="1" customHeight="1">
      <c r="A3261" s="26"/>
      <c r="B3261" s="26"/>
      <c r="C3261" s="26"/>
      <c r="D3261" s="25" t="s">
        <v>9940</v>
      </c>
      <c r="E3261" s="25"/>
      <c r="F3261" s="25"/>
      <c r="G3261" s="25"/>
    </row>
    <row r="3262" spans="1:7" ht="30.60" thickBot="1" customHeight="1">
      <c r="A3262" s="24" t="s">
        <v>9941</v>
      </c>
      <c r="B3262" s="24" t="s">
        <v>9942</v>
      </c>
      <c r="C3262" s="24" t="s">
        <v>9943</v>
      </c>
      <c r="D3262" s="25" t="s">
        <v>9944</v>
      </c>
      <c r="E3262" s="28">
        <v>0.02790</v>
      </c>
      <c r="F3262" s="29">
        <f ca="1">ROUND(18.440,3)</f>
        <v>0</v>
      </c>
      <c r="G3262" s="27">
        <f ca="1">ROUND(E3262*F3262,2)</f>
        <v>0</v>
      </c>
    </row>
    <row r="3263" spans="1:7" ht="49.08" thickBot="1" customHeight="1">
      <c r="A3263" s="24" t="s">
        <v>9945</v>
      </c>
      <c r="B3263" s="24" t="s">
        <v>9946</v>
      </c>
      <c r="C3263" s="24" t="s">
        <v>9947</v>
      </c>
      <c r="D3263" s="25" t="s">
        <v>9948</v>
      </c>
      <c r="E3263" s="28">
        <v>0.06120</v>
      </c>
      <c r="F3263" s="29">
        <f ca="1">ROUND(45.570,3)</f>
        <v>0</v>
      </c>
      <c r="G3263" s="27">
        <f ca="1">ROUND(E3263*F3263,2)</f>
        <v>0</v>
      </c>
    </row>
    <row r="3264" spans="1:7" ht="30.60" thickBot="1" customHeight="1">
      <c r="A3264" s="24" t="s">
        <v>9949</v>
      </c>
      <c r="B3264" s="24" t="s">
        <v>9950</v>
      </c>
      <c r="C3264" s="24" t="s">
        <v>9951</v>
      </c>
      <c r="D3264" s="25" t="s">
        <v>9952</v>
      </c>
      <c r="E3264" s="28">
        <v>0.02200</v>
      </c>
      <c r="F3264" s="29">
        <f ca="1">ROUND(27.500,3)</f>
        <v>0</v>
      </c>
      <c r="G3264" s="27">
        <f ca="1">ROUND(E3264*F3264,2)</f>
        <v>0</v>
      </c>
    </row>
    <row r="3265" spans="1:7" ht="30.60" thickBot="1" customHeight="1">
      <c r="A3265" s="24" t="s">
        <v>9953</v>
      </c>
      <c r="B3265" s="24" t="s">
        <v>9954</v>
      </c>
      <c r="C3265" s="24" t="s">
        <v>9955</v>
      </c>
      <c r="D3265" s="25" t="s">
        <v>9956</v>
      </c>
      <c r="E3265" s="28">
        <v>1.13400</v>
      </c>
      <c r="F3265" s="29">
        <f ca="1">ROUND(22.450,3)</f>
        <v>0</v>
      </c>
      <c r="G3265" s="27">
        <f ca="1">ROUND(E3265*F3265,2)</f>
        <v>0</v>
      </c>
    </row>
    <row r="3266" spans="1:7" ht="21.36" thickBot="1" customHeight="1">
      <c r="A3266" s="24" t="s">
        <v>9957</v>
      </c>
      <c r="B3266" s="24" t="s">
        <v>9958</v>
      </c>
      <c r="C3266" s="24" t="s">
        <v>9959</v>
      </c>
      <c r="D3266" s="25" t="s">
        <v>9960</v>
      </c>
      <c r="E3266" s="28">
        <v>1.00000</v>
      </c>
      <c r="F3266" s="29">
        <f ca="1">ROUND(4.980,3)</f>
        <v>0</v>
      </c>
      <c r="G3266" s="27">
        <f ca="1">ROUND(E3266*F3266,2)</f>
        <v>0</v>
      </c>
    </row>
    <row r="3267" spans="1:7" ht="30.60" thickBot="1" customHeight="1">
      <c r="A3267" s="24" t="s">
        <v>9961</v>
      </c>
      <c r="B3267" s="24" t="s">
        <v>9962</v>
      </c>
      <c r="C3267" s="24" t="s">
        <v>9963</v>
      </c>
      <c r="D3267" s="25" t="s">
        <v>9964</v>
      </c>
      <c r="E3267" s="28">
        <v>0.07140</v>
      </c>
      <c r="F3267" s="29">
        <f ca="1">ROUND(23.460,3)</f>
        <v>0</v>
      </c>
      <c r="G3267" s="27">
        <f ca="1">ROUND(E3267*F3267,2)</f>
        <v>0</v>
      </c>
    </row>
    <row r="3268" spans="1:7" ht="30.60" thickBot="1" customHeight="1">
      <c r="A3268" s="24" t="s">
        <v>9965</v>
      </c>
      <c r="B3268" s="24" t="s">
        <v>9966</v>
      </c>
      <c r="C3268" s="24" t="s">
        <v>9967</v>
      </c>
      <c r="D3268" s="25" t="s">
        <v>9968</v>
      </c>
      <c r="E3268" s="28">
        <v>0.18180</v>
      </c>
      <c r="F3268" s="29">
        <f ca="1">ROUND(30.450,3)</f>
        <v>0</v>
      </c>
      <c r="G3268" s="27">
        <f ca="1">ROUND(E3268*F3268,2)</f>
        <v>0</v>
      </c>
    </row>
    <row r="3269" spans="1:7" ht="39.84" thickBot="1" customHeight="1">
      <c r="A3269" s="24" t="s">
        <v>9969</v>
      </c>
      <c r="B3269" s="24" t="s">
        <v>9970</v>
      </c>
      <c r="C3269" s="24" t="s">
        <v>9971</v>
      </c>
      <c r="D3269" s="25" t="s">
        <v>9972</v>
      </c>
      <c r="E3269" s="28">
        <v>0.44000</v>
      </c>
      <c r="F3269" s="29">
        <f ca="1">ROUND(4.050,3)</f>
        <v>0</v>
      </c>
      <c r="G3269" s="27">
        <f ca="1">ROUND(E3269*F3269,2)</f>
        <v>0</v>
      </c>
    </row>
    <row r="3270" spans="1:7" ht="39.84" thickBot="1" customHeight="1">
      <c r="A3270" s="24" t="s">
        <v>9973</v>
      </c>
      <c r="B3270" s="24" t="s">
        <v>9974</v>
      </c>
      <c r="C3270" s="24" t="s">
        <v>9975</v>
      </c>
      <c r="D3270" s="25" t="s">
        <v>9976</v>
      </c>
      <c r="E3270" s="28">
        <v>0.30000</v>
      </c>
      <c r="F3270" s="29">
        <f ca="1">ROUND(2.860,3)</f>
        <v>0</v>
      </c>
      <c r="G3270" s="27">
        <f ca="1">ROUND(E3270*F3270,2)</f>
        <v>0</v>
      </c>
    </row>
    <row r="3271" spans="1:7" ht="21.36" thickBot="1" customHeight="1">
      <c r="A3271" s="24" t="s">
        <v>9977</v>
      </c>
      <c r="B3271" s="24" t="s">
        <v>9978</v>
      </c>
      <c r="C3271" s="24" t="s">
        <v>9979</v>
      </c>
      <c r="D3271" s="25" t="s">
        <v>9980</v>
      </c>
      <c r="E3271" s="28">
        <v>1.00000</v>
      </c>
      <c r="F3271" s="29">
        <f ca="1">F3275</f>
        <v>0</v>
      </c>
      <c r="G3271" s="27">
        <f ca="1">ROUND(E3271*F3271,2)</f>
        <v>0</v>
      </c>
    </row>
    <row r="3272" spans="1:7" ht="24.36" thickBot="1" customHeight="1">
      <c r="A3272" s="24" t="s">
        <v>9981</v>
      </c>
      <c r="B3272" s="24" t="s">
        <v>9982</v>
      </c>
      <c r="C3272" s="24" t="s">
        <v>9983</v>
      </c>
      <c r="D3272" s="25" t="s">
        <v>9984</v>
      </c>
      <c r="E3272" s="28">
        <v>1.00000</v>
      </c>
      <c r="F3272" s="29">
        <f ca="1">ROUND(21.000,3)</f>
        <v>0</v>
      </c>
      <c r="G3272" s="27">
        <f ca="1">ROUND(E3272*F3272,2)</f>
        <v>0</v>
      </c>
    </row>
    <row r="3273" spans="1:7" ht="24.36" thickBot="1" customHeight="1">
      <c r="A3273" s="24" t="s">
        <v>9985</v>
      </c>
      <c r="B3273" s="24" t="s">
        <v>9986</v>
      </c>
      <c r="C3273" s="24" t="s">
        <v>9987</v>
      </c>
      <c r="D3273" s="25" t="s">
        <v>9988</v>
      </c>
      <c r="E3273" s="28">
        <v>1.00000</v>
      </c>
      <c r="F3273" s="29">
        <f ca="1">ROUND(19.000,3)</f>
        <v>0</v>
      </c>
      <c r="G3273" s="27">
        <f ca="1">ROUND(E3273*F3273,2)</f>
        <v>0</v>
      </c>
    </row>
    <row r="3274" spans="1:7" ht="24.36" thickBot="1" customHeight="1">
      <c r="A3274" s="24" t="s">
        <v>9989</v>
      </c>
      <c r="B3274" s="24" t="s">
        <v>9990</v>
      </c>
      <c r="C3274" s="24" t="s">
        <v>9991</v>
      </c>
      <c r="D3274" s="25" t="s">
        <v>9992</v>
      </c>
      <c r="E3274" s="28">
        <v>0.20000</v>
      </c>
      <c r="F3274" s="29">
        <f ca="1">ROUND(19.000,3)</f>
        <v>0</v>
      </c>
      <c r="G3274" s="27">
        <f ca="1">ROUND(E3274*F3274,2)</f>
        <v>0</v>
      </c>
    </row>
    <row r="3275" spans="1:7" ht="15.12" thickBot="1" customHeight="1">
      <c r="A3275" s="26"/>
      <c r="B3275" s="26"/>
      <c r="C3275" s="26"/>
      <c r="D3275" s="24" t="s">
        <v>9993</v>
      </c>
      <c r="E3275" s="28">
        <v>1.00000</v>
      </c>
      <c r="F3275" s="29">
        <f ca="1">ROUND((G3272+G3273+G3274),3)</f>
        <v>0</v>
      </c>
      <c r="G3275" s="27">
        <f ca="1">ROUND(E3275*F3275,2)</f>
        <v>0</v>
      </c>
    </row>
    <row r="3276" spans="1:7" ht="15.12" thickBot="1" customHeight="1">
      <c r="A3276" s="24" t="s">
        <v>9994</v>
      </c>
      <c r="B3276" s="24"/>
      <c r="C3276" s="24" t="s">
        <v>9995</v>
      </c>
      <c r="D3276" s="25" t="s">
        <v>9996</v>
      </c>
      <c r="E3276" s="28">
        <v>5.00000</v>
      </c>
      <c r="F3276" s="29">
        <f ca="1">ROUND(43.800,3)</f>
        <v>0</v>
      </c>
      <c r="G3276" s="27">
        <f ca="1">ROUND((E3276*F3276)/100,2)</f>
        <v>0</v>
      </c>
    </row>
    <row r="3277" spans="1:7" ht="15.48" thickBot="1" customHeight="1">
      <c r="A3277" s="30"/>
      <c r="B3277" s="30"/>
      <c r="C3277" s="30"/>
      <c r="D3277" s="31" t="s">
        <v>9997</v>
      </c>
      <c r="E3277" s="30"/>
      <c r="F3277" s="33">
        <f ca="1">ROUND((G3262+G3263+G3264+G3265+G3266+G3267+G3268+G3269+G3270+G3271+G3276)*(1+G2/100),2)</f>
        <v>0</v>
      </c>
      <c r="G3277" s="30"/>
    </row>
    <row r="3278" spans="1:7" ht="58.32" thickBot="1" customHeight="1">
      <c r="A3278" s="34" t="s">
        <v>9998</v>
      </c>
      <c r="B3278" s="35" t="s">
        <v>9999</v>
      </c>
      <c r="C3278" s="35" t="s">
        <v>10000</v>
      </c>
      <c r="D3278" s="36" t="s">
        <v>10001</v>
      </c>
      <c r="E3278" s="37"/>
      <c r="F3278" s="38">
        <f ca="1">F3287</f>
        <v>0</v>
      </c>
      <c r="G3278" s="37"/>
    </row>
    <row r="3279" spans="1:7" ht="39.84" thickBot="1" customHeight="1">
      <c r="A3279" s="26"/>
      <c r="B3279" s="26"/>
      <c r="C3279" s="26"/>
      <c r="D3279" s="25" t="s">
        <v>10002</v>
      </c>
      <c r="E3279" s="25"/>
      <c r="F3279" s="25"/>
      <c r="G3279" s="25"/>
    </row>
    <row r="3280" spans="1:7" ht="30.60" thickBot="1" customHeight="1">
      <c r="A3280" s="24" t="s">
        <v>10003</v>
      </c>
      <c r="B3280" s="24" t="s">
        <v>10004</v>
      </c>
      <c r="C3280" s="24" t="s">
        <v>10005</v>
      </c>
      <c r="D3280" s="25" t="s">
        <v>10006</v>
      </c>
      <c r="E3280" s="28">
        <v>1.15000</v>
      </c>
      <c r="F3280" s="29">
        <f ca="1">ROUND(17.450,3)</f>
        <v>0</v>
      </c>
      <c r="G3280" s="27">
        <f ca="1">ROUND(E3280*F3280,2)</f>
        <v>0</v>
      </c>
    </row>
    <row r="3281" spans="1:7" ht="30.60" thickBot="1" customHeight="1">
      <c r="A3281" s="24" t="s">
        <v>10007</v>
      </c>
      <c r="B3281" s="24" t="s">
        <v>10008</v>
      </c>
      <c r="C3281" s="24" t="s">
        <v>10009</v>
      </c>
      <c r="D3281" s="25" t="s">
        <v>10010</v>
      </c>
      <c r="E3281" s="28">
        <v>0.02200</v>
      </c>
      <c r="F3281" s="29">
        <f ca="1">ROUND(27.500,3)</f>
        <v>0</v>
      </c>
      <c r="G3281" s="27">
        <f ca="1">ROUND(E3281*F3281,2)</f>
        <v>0</v>
      </c>
    </row>
    <row r="3282" spans="1:7" ht="21.36" thickBot="1" customHeight="1">
      <c r="A3282" s="24" t="s">
        <v>10011</v>
      </c>
      <c r="B3282" s="24" t="s">
        <v>10012</v>
      </c>
      <c r="C3282" s="24" t="s">
        <v>10013</v>
      </c>
      <c r="D3282" s="25" t="s">
        <v>10014</v>
      </c>
      <c r="E3282" s="28">
        <v>0.50000</v>
      </c>
      <c r="F3282" s="29">
        <f ca="1">F3286</f>
        <v>0</v>
      </c>
      <c r="G3282" s="27">
        <f ca="1">ROUND(E3282*F3282,2)</f>
        <v>0</v>
      </c>
    </row>
    <row r="3283" spans="1:7" ht="24.36" thickBot="1" customHeight="1">
      <c r="A3283" s="24" t="s">
        <v>10015</v>
      </c>
      <c r="B3283" s="24" t="s">
        <v>10016</v>
      </c>
      <c r="C3283" s="24" t="s">
        <v>10017</v>
      </c>
      <c r="D3283" s="25" t="s">
        <v>10018</v>
      </c>
      <c r="E3283" s="28">
        <v>1.00000</v>
      </c>
      <c r="F3283" s="29">
        <f ca="1">ROUND(21.000,3)</f>
        <v>0</v>
      </c>
      <c r="G3283" s="27">
        <f ca="1">ROUND(E3283*F3283,2)</f>
        <v>0</v>
      </c>
    </row>
    <row r="3284" spans="1:7" ht="24.36" thickBot="1" customHeight="1">
      <c r="A3284" s="24" t="s">
        <v>10019</v>
      </c>
      <c r="B3284" s="24" t="s">
        <v>10020</v>
      </c>
      <c r="C3284" s="24" t="s">
        <v>10021</v>
      </c>
      <c r="D3284" s="25" t="s">
        <v>10022</v>
      </c>
      <c r="E3284" s="28">
        <v>1.00000</v>
      </c>
      <c r="F3284" s="29">
        <f ca="1">ROUND(19.000,3)</f>
        <v>0</v>
      </c>
      <c r="G3284" s="27">
        <f ca="1">ROUND(E3284*F3284,2)</f>
        <v>0</v>
      </c>
    </row>
    <row r="3285" spans="1:7" ht="24.36" thickBot="1" customHeight="1">
      <c r="A3285" s="24" t="s">
        <v>10023</v>
      </c>
      <c r="B3285" s="24" t="s">
        <v>10024</v>
      </c>
      <c r="C3285" s="24" t="s">
        <v>10025</v>
      </c>
      <c r="D3285" s="25" t="s">
        <v>10026</v>
      </c>
      <c r="E3285" s="28">
        <v>0.20000</v>
      </c>
      <c r="F3285" s="29">
        <f ca="1">ROUND(19.000,3)</f>
        <v>0</v>
      </c>
      <c r="G3285" s="27">
        <f ca="1">ROUND(E3285*F3285,2)</f>
        <v>0</v>
      </c>
    </row>
    <row r="3286" spans="1:7" ht="15.12" thickBot="1" customHeight="1">
      <c r="A3286" s="26"/>
      <c r="B3286" s="26"/>
      <c r="C3286" s="26"/>
      <c r="D3286" s="24" t="s">
        <v>10027</v>
      </c>
      <c r="E3286" s="28">
        <v>0.50000</v>
      </c>
      <c r="F3286" s="29">
        <f ca="1">ROUND((G3283+G3284+G3285),3)</f>
        <v>0</v>
      </c>
      <c r="G3286" s="27">
        <f ca="1">ROUND(E3286*F3286,2)</f>
        <v>0</v>
      </c>
    </row>
    <row r="3287" spans="1:7" ht="15.48" thickBot="1" customHeight="1">
      <c r="A3287" s="30"/>
      <c r="B3287" s="30"/>
      <c r="C3287" s="30"/>
      <c r="D3287" s="31" t="s">
        <v>10028</v>
      </c>
      <c r="E3287" s="30"/>
      <c r="F3287" s="33">
        <f ca="1">ROUND((G3280+G3281+G3282)*(1+G2/100),2)</f>
        <v>0</v>
      </c>
      <c r="G3287" s="30"/>
    </row>
    <row r="3288" spans="1:7" ht="58.32" thickBot="1" customHeight="1">
      <c r="A3288" s="34" t="s">
        <v>10029</v>
      </c>
      <c r="B3288" s="35" t="s">
        <v>10030</v>
      </c>
      <c r="C3288" s="35" t="s">
        <v>10031</v>
      </c>
      <c r="D3288" s="36" t="s">
        <v>10032</v>
      </c>
      <c r="E3288" s="37"/>
      <c r="F3288" s="38">
        <f ca="1">F3305</f>
        <v>0</v>
      </c>
      <c r="G3288" s="37"/>
    </row>
    <row r="3289" spans="1:7" ht="30.60" thickBot="1" customHeight="1">
      <c r="A3289" s="26"/>
      <c r="B3289" s="26"/>
      <c r="C3289" s="26"/>
      <c r="D3289" s="25" t="s">
        <v>10033</v>
      </c>
      <c r="E3289" s="25"/>
      <c r="F3289" s="25"/>
      <c r="G3289" s="25"/>
    </row>
    <row r="3290" spans="1:7" ht="30.60" thickBot="1" customHeight="1">
      <c r="A3290" s="24" t="s">
        <v>10034</v>
      </c>
      <c r="B3290" s="24" t="s">
        <v>10035</v>
      </c>
      <c r="C3290" s="24" t="s">
        <v>10036</v>
      </c>
      <c r="D3290" s="25" t="s">
        <v>10037</v>
      </c>
      <c r="E3290" s="28">
        <v>0.02790</v>
      </c>
      <c r="F3290" s="29">
        <f ca="1">ROUND(18.440,3)</f>
        <v>0</v>
      </c>
      <c r="G3290" s="27">
        <f ca="1">ROUND(E3290*F3290,2)</f>
        <v>0</v>
      </c>
    </row>
    <row r="3291" spans="1:7" ht="30.60" thickBot="1" customHeight="1">
      <c r="A3291" s="24" t="s">
        <v>10038</v>
      </c>
      <c r="B3291" s="24" t="s">
        <v>10039</v>
      </c>
      <c r="C3291" s="24" t="s">
        <v>10040</v>
      </c>
      <c r="D3291" s="25" t="s">
        <v>10041</v>
      </c>
      <c r="E3291" s="28">
        <v>0.50400</v>
      </c>
      <c r="F3291" s="29">
        <f ca="1">ROUND(16.810,3)</f>
        <v>0</v>
      </c>
      <c r="G3291" s="27">
        <f ca="1">ROUND(E3291*F3291,2)</f>
        <v>0</v>
      </c>
    </row>
    <row r="3292" spans="1:7" ht="30.60" thickBot="1" customHeight="1">
      <c r="A3292" s="24" t="s">
        <v>10042</v>
      </c>
      <c r="B3292" s="24" t="s">
        <v>10043</v>
      </c>
      <c r="C3292" s="24" t="s">
        <v>10044</v>
      </c>
      <c r="D3292" s="25" t="s">
        <v>10045</v>
      </c>
      <c r="E3292" s="28">
        <v>0.02200</v>
      </c>
      <c r="F3292" s="29">
        <f ca="1">ROUND(27.500,3)</f>
        <v>0</v>
      </c>
      <c r="G3292" s="27">
        <f ca="1">ROUND(E3292*F3292,2)</f>
        <v>0</v>
      </c>
    </row>
    <row r="3293" spans="1:7" ht="30.60" thickBot="1" customHeight="1">
      <c r="A3293" s="24" t="s">
        <v>10046</v>
      </c>
      <c r="B3293" s="24" t="s">
        <v>10047</v>
      </c>
      <c r="C3293" s="24" t="s">
        <v>10048</v>
      </c>
      <c r="D3293" s="25" t="s">
        <v>10049</v>
      </c>
      <c r="E3293" s="28">
        <v>1.51200</v>
      </c>
      <c r="F3293" s="29">
        <f ca="1">ROUND(28.550,3)</f>
        <v>0</v>
      </c>
      <c r="G3293" s="27">
        <f ca="1">ROUND(E3293*F3293,2)</f>
        <v>0</v>
      </c>
    </row>
    <row r="3294" spans="1:7" ht="21.36" thickBot="1" customHeight="1">
      <c r="A3294" s="24" t="s">
        <v>10050</v>
      </c>
      <c r="B3294" s="24" t="s">
        <v>10051</v>
      </c>
      <c r="C3294" s="24" t="s">
        <v>10052</v>
      </c>
      <c r="D3294" s="25" t="s">
        <v>10053</v>
      </c>
      <c r="E3294" s="28">
        <v>1.00000</v>
      </c>
      <c r="F3294" s="29">
        <f ca="1">ROUND(4.980,3)</f>
        <v>0</v>
      </c>
      <c r="G3294" s="27">
        <f ca="1">ROUND(E3294*F3294,2)</f>
        <v>0</v>
      </c>
    </row>
    <row r="3295" spans="1:7" ht="30.60" thickBot="1" customHeight="1">
      <c r="A3295" s="24" t="s">
        <v>10054</v>
      </c>
      <c r="B3295" s="24" t="s">
        <v>10055</v>
      </c>
      <c r="C3295" s="24" t="s">
        <v>10056</v>
      </c>
      <c r="D3295" s="25" t="s">
        <v>10057</v>
      </c>
      <c r="E3295" s="28">
        <v>0.07140</v>
      </c>
      <c r="F3295" s="29">
        <f ca="1">ROUND(23.460,3)</f>
        <v>0</v>
      </c>
      <c r="G3295" s="27">
        <f ca="1">ROUND(E3295*F3295,2)</f>
        <v>0</v>
      </c>
    </row>
    <row r="3296" spans="1:7" ht="30.60" thickBot="1" customHeight="1">
      <c r="A3296" s="24" t="s">
        <v>10058</v>
      </c>
      <c r="B3296" s="24" t="s">
        <v>10059</v>
      </c>
      <c r="C3296" s="24" t="s">
        <v>10060</v>
      </c>
      <c r="D3296" s="25" t="s">
        <v>10061</v>
      </c>
      <c r="E3296" s="28">
        <v>0.18180</v>
      </c>
      <c r="F3296" s="29">
        <f ca="1">ROUND(30.450,3)</f>
        <v>0</v>
      </c>
      <c r="G3296" s="27">
        <f ca="1">ROUND(E3296*F3296,2)</f>
        <v>0</v>
      </c>
    </row>
    <row r="3297" spans="1:7" ht="39.84" thickBot="1" customHeight="1">
      <c r="A3297" s="24" t="s">
        <v>10062</v>
      </c>
      <c r="B3297" s="24" t="s">
        <v>10063</v>
      </c>
      <c r="C3297" s="24" t="s">
        <v>10064</v>
      </c>
      <c r="D3297" s="25" t="s">
        <v>10065</v>
      </c>
      <c r="E3297" s="28">
        <v>0.44000</v>
      </c>
      <c r="F3297" s="29">
        <f ca="1">ROUND(4.050,3)</f>
        <v>0</v>
      </c>
      <c r="G3297" s="27">
        <f ca="1">ROUND(E3297*F3297,2)</f>
        <v>0</v>
      </c>
    </row>
    <row r="3298" spans="1:7" ht="39.84" thickBot="1" customHeight="1">
      <c r="A3298" s="24" t="s">
        <v>10066</v>
      </c>
      <c r="B3298" s="24" t="s">
        <v>10067</v>
      </c>
      <c r="C3298" s="24" t="s">
        <v>10068</v>
      </c>
      <c r="D3298" s="25" t="s">
        <v>10069</v>
      </c>
      <c r="E3298" s="28">
        <v>0.30000</v>
      </c>
      <c r="F3298" s="29">
        <f ca="1">ROUND(2.860,3)</f>
        <v>0</v>
      </c>
      <c r="G3298" s="27">
        <f ca="1">ROUND(E3298*F3298,2)</f>
        <v>0</v>
      </c>
    </row>
    <row r="3299" spans="1:7" ht="21.36" thickBot="1" customHeight="1">
      <c r="A3299" s="24" t="s">
        <v>10070</v>
      </c>
      <c r="B3299" s="24" t="s">
        <v>10071</v>
      </c>
      <c r="C3299" s="24" t="s">
        <v>10072</v>
      </c>
      <c r="D3299" s="25" t="s">
        <v>10073</v>
      </c>
      <c r="E3299" s="28">
        <v>1.00000</v>
      </c>
      <c r="F3299" s="29">
        <f ca="1">F3303</f>
        <v>0</v>
      </c>
      <c r="G3299" s="27">
        <f ca="1">ROUND(E3299*F3299,2)</f>
        <v>0</v>
      </c>
    </row>
    <row r="3300" spans="1:7" ht="24.36" thickBot="1" customHeight="1">
      <c r="A3300" s="24" t="s">
        <v>10074</v>
      </c>
      <c r="B3300" s="24" t="s">
        <v>10075</v>
      </c>
      <c r="C3300" s="24" t="s">
        <v>10076</v>
      </c>
      <c r="D3300" s="25" t="s">
        <v>10077</v>
      </c>
      <c r="E3300" s="28">
        <v>1.00000</v>
      </c>
      <c r="F3300" s="29">
        <f ca="1">ROUND(21.000,3)</f>
        <v>0</v>
      </c>
      <c r="G3300" s="27">
        <f ca="1">ROUND(E3300*F3300,2)</f>
        <v>0</v>
      </c>
    </row>
    <row r="3301" spans="1:7" ht="24.36" thickBot="1" customHeight="1">
      <c r="A3301" s="24" t="s">
        <v>10078</v>
      </c>
      <c r="B3301" s="24" t="s">
        <v>10079</v>
      </c>
      <c r="C3301" s="24" t="s">
        <v>10080</v>
      </c>
      <c r="D3301" s="25" t="s">
        <v>10081</v>
      </c>
      <c r="E3301" s="28">
        <v>1.00000</v>
      </c>
      <c r="F3301" s="29">
        <f ca="1">ROUND(19.000,3)</f>
        <v>0</v>
      </c>
      <c r="G3301" s="27">
        <f ca="1">ROUND(E3301*F3301,2)</f>
        <v>0</v>
      </c>
    </row>
    <row r="3302" spans="1:7" ht="24.36" thickBot="1" customHeight="1">
      <c r="A3302" s="24" t="s">
        <v>10082</v>
      </c>
      <c r="B3302" s="24" t="s">
        <v>10083</v>
      </c>
      <c r="C3302" s="24" t="s">
        <v>10084</v>
      </c>
      <c r="D3302" s="25" t="s">
        <v>10085</v>
      </c>
      <c r="E3302" s="28">
        <v>0.20000</v>
      </c>
      <c r="F3302" s="29">
        <f ca="1">ROUND(19.000,3)</f>
        <v>0</v>
      </c>
      <c r="G3302" s="27">
        <f ca="1">ROUND(E3302*F3302,2)</f>
        <v>0</v>
      </c>
    </row>
    <row r="3303" spans="1:7" ht="15.12" thickBot="1" customHeight="1">
      <c r="A3303" s="26"/>
      <c r="B3303" s="26"/>
      <c r="C3303" s="26"/>
      <c r="D3303" s="24" t="s">
        <v>10086</v>
      </c>
      <c r="E3303" s="28">
        <v>1.00000</v>
      </c>
      <c r="F3303" s="29">
        <f ca="1">ROUND((G3300+G3301+G3302),3)</f>
        <v>0</v>
      </c>
      <c r="G3303" s="27">
        <f ca="1">ROUND(E3303*F3303,2)</f>
        <v>0</v>
      </c>
    </row>
    <row r="3304" spans="1:7" ht="15.12" thickBot="1" customHeight="1">
      <c r="A3304" s="24" t="s">
        <v>10087</v>
      </c>
      <c r="B3304" s="24"/>
      <c r="C3304" s="24" t="s">
        <v>10088</v>
      </c>
      <c r="D3304" s="25" t="s">
        <v>10089</v>
      </c>
      <c r="E3304" s="28">
        <v>5.00000</v>
      </c>
      <c r="F3304" s="29">
        <f ca="1">ROUND(43.800,3)</f>
        <v>0</v>
      </c>
      <c r="G3304" s="27">
        <f ca="1">ROUND((E3304*F3304)/100,2)</f>
        <v>0</v>
      </c>
    </row>
    <row r="3305" spans="1:7" ht="15.48" thickBot="1" customHeight="1">
      <c r="A3305" s="30"/>
      <c r="B3305" s="30"/>
      <c r="C3305" s="30"/>
      <c r="D3305" s="31" t="s">
        <v>10090</v>
      </c>
      <c r="E3305" s="30"/>
      <c r="F3305" s="33">
        <f ca="1">ROUND((G3290+G3291+G3292+G3293+G3294+G3295+G3296+G3297+G3298+G3299+G3304)*(1+G2/100),2)</f>
        <v>0</v>
      </c>
      <c r="G3305" s="30"/>
    </row>
    <row r="3306" spans="1:7" ht="58.32" thickBot="1" customHeight="1">
      <c r="A3306" s="34" t="s">
        <v>10091</v>
      </c>
      <c r="B3306" s="35" t="s">
        <v>10092</v>
      </c>
      <c r="C3306" s="35" t="s">
        <v>10093</v>
      </c>
      <c r="D3306" s="36" t="s">
        <v>10094</v>
      </c>
      <c r="E3306" s="37"/>
      <c r="F3306" s="38">
        <f ca="1">F3323</f>
        <v>0</v>
      </c>
      <c r="G3306" s="37"/>
    </row>
    <row r="3307" spans="1:7" ht="30.60" thickBot="1" customHeight="1">
      <c r="A3307" s="26"/>
      <c r="B3307" s="26"/>
      <c r="C3307" s="26"/>
      <c r="D3307" s="25" t="s">
        <v>10095</v>
      </c>
      <c r="E3307" s="25"/>
      <c r="F3307" s="25"/>
      <c r="G3307" s="25"/>
    </row>
    <row r="3308" spans="1:7" ht="30.60" thickBot="1" customHeight="1">
      <c r="A3308" s="24" t="s">
        <v>10096</v>
      </c>
      <c r="B3308" s="24" t="s">
        <v>10097</v>
      </c>
      <c r="C3308" s="24" t="s">
        <v>10098</v>
      </c>
      <c r="D3308" s="25" t="s">
        <v>10099</v>
      </c>
      <c r="E3308" s="28">
        <v>0.02790</v>
      </c>
      <c r="F3308" s="29">
        <f ca="1">ROUND(18.440,3)</f>
        <v>0</v>
      </c>
      <c r="G3308" s="27">
        <f ca="1">ROUND(E3308*F3308,2)</f>
        <v>0</v>
      </c>
    </row>
    <row r="3309" spans="1:7" ht="49.08" thickBot="1" customHeight="1">
      <c r="A3309" s="24" t="s">
        <v>10100</v>
      </c>
      <c r="B3309" s="24" t="s">
        <v>10101</v>
      </c>
      <c r="C3309" s="24" t="s">
        <v>10102</v>
      </c>
      <c r="D3309" s="25" t="s">
        <v>10103</v>
      </c>
      <c r="E3309" s="28">
        <v>0.06120</v>
      </c>
      <c r="F3309" s="29">
        <f ca="1">ROUND(45.570,3)</f>
        <v>0</v>
      </c>
      <c r="G3309" s="27">
        <f ca="1">ROUND(E3309*F3309,2)</f>
        <v>0</v>
      </c>
    </row>
    <row r="3310" spans="1:7" ht="30.60" thickBot="1" customHeight="1">
      <c r="A3310" s="24" t="s">
        <v>10104</v>
      </c>
      <c r="B3310" s="24" t="s">
        <v>10105</v>
      </c>
      <c r="C3310" s="24" t="s">
        <v>10106</v>
      </c>
      <c r="D3310" s="25" t="s">
        <v>10107</v>
      </c>
      <c r="E3310" s="28">
        <v>0.02200</v>
      </c>
      <c r="F3310" s="29">
        <f ca="1">ROUND(27.500,3)</f>
        <v>0</v>
      </c>
      <c r="G3310" s="27">
        <f ca="1">ROUND(E3310*F3310,2)</f>
        <v>0</v>
      </c>
    </row>
    <row r="3311" spans="1:7" ht="30.60" thickBot="1" customHeight="1">
      <c r="A3311" s="24" t="s">
        <v>10108</v>
      </c>
      <c r="B3311" s="24" t="s">
        <v>10109</v>
      </c>
      <c r="C3311" s="24" t="s">
        <v>10110</v>
      </c>
      <c r="D3311" s="25" t="s">
        <v>10111</v>
      </c>
      <c r="E3311" s="28">
        <v>1.51200</v>
      </c>
      <c r="F3311" s="29">
        <f ca="1">ROUND(22.450,3)</f>
        <v>0</v>
      </c>
      <c r="G3311" s="27">
        <f ca="1">ROUND(E3311*F3311,2)</f>
        <v>0</v>
      </c>
    </row>
    <row r="3312" spans="1:7" ht="21.36" thickBot="1" customHeight="1">
      <c r="A3312" s="24" t="s">
        <v>10112</v>
      </c>
      <c r="B3312" s="24" t="s">
        <v>10113</v>
      </c>
      <c r="C3312" s="24" t="s">
        <v>10114</v>
      </c>
      <c r="D3312" s="25" t="s">
        <v>10115</v>
      </c>
      <c r="E3312" s="28">
        <v>1.00000</v>
      </c>
      <c r="F3312" s="29">
        <f ca="1">ROUND(4.980,3)</f>
        <v>0</v>
      </c>
      <c r="G3312" s="27">
        <f ca="1">ROUND(E3312*F3312,2)</f>
        <v>0</v>
      </c>
    </row>
    <row r="3313" spans="1:7" ht="30.60" thickBot="1" customHeight="1">
      <c r="A3313" s="24" t="s">
        <v>10116</v>
      </c>
      <c r="B3313" s="24" t="s">
        <v>10117</v>
      </c>
      <c r="C3313" s="24" t="s">
        <v>10118</v>
      </c>
      <c r="D3313" s="25" t="s">
        <v>10119</v>
      </c>
      <c r="E3313" s="28">
        <v>0.07140</v>
      </c>
      <c r="F3313" s="29">
        <f ca="1">ROUND(23.460,3)</f>
        <v>0</v>
      </c>
      <c r="G3313" s="27">
        <f ca="1">ROUND(E3313*F3313,2)</f>
        <v>0</v>
      </c>
    </row>
    <row r="3314" spans="1:7" ht="30.60" thickBot="1" customHeight="1">
      <c r="A3314" s="24" t="s">
        <v>10120</v>
      </c>
      <c r="B3314" s="24" t="s">
        <v>10121</v>
      </c>
      <c r="C3314" s="24" t="s">
        <v>10122</v>
      </c>
      <c r="D3314" s="25" t="s">
        <v>10123</v>
      </c>
      <c r="E3314" s="28">
        <v>0.18180</v>
      </c>
      <c r="F3314" s="29">
        <f ca="1">ROUND(30.450,3)</f>
        <v>0</v>
      </c>
      <c r="G3314" s="27">
        <f ca="1">ROUND(E3314*F3314,2)</f>
        <v>0</v>
      </c>
    </row>
    <row r="3315" spans="1:7" ht="39.84" thickBot="1" customHeight="1">
      <c r="A3315" s="24" t="s">
        <v>10124</v>
      </c>
      <c r="B3315" s="24" t="s">
        <v>10125</v>
      </c>
      <c r="C3315" s="24" t="s">
        <v>10126</v>
      </c>
      <c r="D3315" s="25" t="s">
        <v>10127</v>
      </c>
      <c r="E3315" s="28">
        <v>0.44000</v>
      </c>
      <c r="F3315" s="29">
        <f ca="1">ROUND(4.050,3)</f>
        <v>0</v>
      </c>
      <c r="G3315" s="27">
        <f ca="1">ROUND(E3315*F3315,2)</f>
        <v>0</v>
      </c>
    </row>
    <row r="3316" spans="1:7" ht="39.84" thickBot="1" customHeight="1">
      <c r="A3316" s="24" t="s">
        <v>10128</v>
      </c>
      <c r="B3316" s="24" t="s">
        <v>10129</v>
      </c>
      <c r="C3316" s="24" t="s">
        <v>10130</v>
      </c>
      <c r="D3316" s="25" t="s">
        <v>10131</v>
      </c>
      <c r="E3316" s="28">
        <v>0.30000</v>
      </c>
      <c r="F3316" s="29">
        <f ca="1">ROUND(2.860,3)</f>
        <v>0</v>
      </c>
      <c r="G3316" s="27">
        <f ca="1">ROUND(E3316*F3316,2)</f>
        <v>0</v>
      </c>
    </row>
    <row r="3317" spans="1:7" ht="21.36" thickBot="1" customHeight="1">
      <c r="A3317" s="24" t="s">
        <v>10132</v>
      </c>
      <c r="B3317" s="24" t="s">
        <v>10133</v>
      </c>
      <c r="C3317" s="24" t="s">
        <v>10134</v>
      </c>
      <c r="D3317" s="25" t="s">
        <v>10135</v>
      </c>
      <c r="E3317" s="28">
        <v>1.00000</v>
      </c>
      <c r="F3317" s="29">
        <f ca="1">F3321</f>
        <v>0</v>
      </c>
      <c r="G3317" s="27">
        <f ca="1">ROUND(E3317*F3317,2)</f>
        <v>0</v>
      </c>
    </row>
    <row r="3318" spans="1:7" ht="24.36" thickBot="1" customHeight="1">
      <c r="A3318" s="24" t="s">
        <v>10136</v>
      </c>
      <c r="B3318" s="24" t="s">
        <v>10137</v>
      </c>
      <c r="C3318" s="24" t="s">
        <v>10138</v>
      </c>
      <c r="D3318" s="25" t="s">
        <v>10139</v>
      </c>
      <c r="E3318" s="28">
        <v>1.00000</v>
      </c>
      <c r="F3318" s="29">
        <f ca="1">ROUND(21.000,3)</f>
        <v>0</v>
      </c>
      <c r="G3318" s="27">
        <f ca="1">ROUND(E3318*F3318,2)</f>
        <v>0</v>
      </c>
    </row>
    <row r="3319" spans="1:7" ht="24.36" thickBot="1" customHeight="1">
      <c r="A3319" s="24" t="s">
        <v>10140</v>
      </c>
      <c r="B3319" s="24" t="s">
        <v>10141</v>
      </c>
      <c r="C3319" s="24" t="s">
        <v>10142</v>
      </c>
      <c r="D3319" s="25" t="s">
        <v>10143</v>
      </c>
      <c r="E3319" s="28">
        <v>1.00000</v>
      </c>
      <c r="F3319" s="29">
        <f ca="1">ROUND(19.000,3)</f>
        <v>0</v>
      </c>
      <c r="G3319" s="27">
        <f ca="1">ROUND(E3319*F3319,2)</f>
        <v>0</v>
      </c>
    </row>
    <row r="3320" spans="1:7" ht="24.36" thickBot="1" customHeight="1">
      <c r="A3320" s="24" t="s">
        <v>10144</v>
      </c>
      <c r="B3320" s="24" t="s">
        <v>10145</v>
      </c>
      <c r="C3320" s="24" t="s">
        <v>10146</v>
      </c>
      <c r="D3320" s="25" t="s">
        <v>10147</v>
      </c>
      <c r="E3320" s="28">
        <v>0.20000</v>
      </c>
      <c r="F3320" s="29">
        <f ca="1">ROUND(19.000,3)</f>
        <v>0</v>
      </c>
      <c r="G3320" s="27">
        <f ca="1">ROUND(E3320*F3320,2)</f>
        <v>0</v>
      </c>
    </row>
    <row r="3321" spans="1:7" ht="15.12" thickBot="1" customHeight="1">
      <c r="A3321" s="26"/>
      <c r="B3321" s="26"/>
      <c r="C3321" s="26"/>
      <c r="D3321" s="24" t="s">
        <v>10148</v>
      </c>
      <c r="E3321" s="28">
        <v>1.00000</v>
      </c>
      <c r="F3321" s="29">
        <f ca="1">ROUND((G3318+G3319+G3320),3)</f>
        <v>0</v>
      </c>
      <c r="G3321" s="27">
        <f ca="1">ROUND(E3321*F3321,2)</f>
        <v>0</v>
      </c>
    </row>
    <row r="3322" spans="1:7" ht="15.12" thickBot="1" customHeight="1">
      <c r="A3322" s="24" t="s">
        <v>10149</v>
      </c>
      <c r="B3322" s="24"/>
      <c r="C3322" s="24" t="s">
        <v>10150</v>
      </c>
      <c r="D3322" s="25" t="s">
        <v>10151</v>
      </c>
      <c r="E3322" s="28">
        <v>5.00000</v>
      </c>
      <c r="F3322" s="29">
        <f ca="1">ROUND(43.800,3)</f>
        <v>0</v>
      </c>
      <c r="G3322" s="27">
        <f ca="1">ROUND((E3322*F3322)/100,2)</f>
        <v>0</v>
      </c>
    </row>
    <row r="3323" spans="1:7" ht="15.48" thickBot="1" customHeight="1">
      <c r="A3323" s="30"/>
      <c r="B3323" s="30"/>
      <c r="C3323" s="30"/>
      <c r="D3323" s="31" t="s">
        <v>10152</v>
      </c>
      <c r="E3323" s="30"/>
      <c r="F3323" s="33">
        <f ca="1">ROUND((G3308+G3309+G3310+G3311+G3312+G3313+G3314+G3315+G3316+G3317+G3322)*(1+G2/100),2)</f>
        <v>0</v>
      </c>
      <c r="G3323" s="30"/>
    </row>
    <row r="3324" spans="1:7" ht="76.80" thickBot="1" customHeight="1">
      <c r="A3324" s="34" t="s">
        <v>10153</v>
      </c>
      <c r="B3324" s="35" t="s">
        <v>10154</v>
      </c>
      <c r="C3324" s="35" t="s">
        <v>10155</v>
      </c>
      <c r="D3324" s="36" t="s">
        <v>10156</v>
      </c>
      <c r="E3324" s="37"/>
      <c r="F3324" s="38">
        <f ca="1">F3342</f>
        <v>0</v>
      </c>
      <c r="G3324" s="37"/>
    </row>
    <row r="3325" spans="1:7" ht="30.60" thickBot="1" customHeight="1">
      <c r="A3325" s="26"/>
      <c r="B3325" s="26"/>
      <c r="C3325" s="26"/>
      <c r="D3325" s="25" t="s">
        <v>10157</v>
      </c>
      <c r="E3325" s="25"/>
      <c r="F3325" s="25"/>
      <c r="G3325" s="25"/>
    </row>
    <row r="3326" spans="1:7" ht="30.60" thickBot="1" customHeight="1">
      <c r="A3326" s="24" t="s">
        <v>10158</v>
      </c>
      <c r="B3326" s="24" t="s">
        <v>10159</v>
      </c>
      <c r="C3326" s="24" t="s">
        <v>10160</v>
      </c>
      <c r="D3326" s="25" t="s">
        <v>10161</v>
      </c>
      <c r="E3326" s="28">
        <v>0.01680</v>
      </c>
      <c r="F3326" s="29">
        <f ca="1">ROUND(18.440,3)</f>
        <v>0</v>
      </c>
      <c r="G3326" s="27">
        <f ca="1">ROUND(E3326*F3326,2)</f>
        <v>0</v>
      </c>
    </row>
    <row r="3327" spans="1:7" ht="30.60" thickBot="1" customHeight="1">
      <c r="A3327" s="24" t="s">
        <v>10162</v>
      </c>
      <c r="B3327" s="24" t="s">
        <v>10163</v>
      </c>
      <c r="C3327" s="24" t="s">
        <v>10164</v>
      </c>
      <c r="D3327" s="25" t="s">
        <v>10165</v>
      </c>
      <c r="E3327" s="28">
        <v>0.31500</v>
      </c>
      <c r="F3327" s="29">
        <f ca="1">ROUND(16.810,3)</f>
        <v>0</v>
      </c>
      <c r="G3327" s="27">
        <f ca="1">ROUND(E3327*F3327,2)</f>
        <v>0</v>
      </c>
    </row>
    <row r="3328" spans="1:7" ht="30.60" thickBot="1" customHeight="1">
      <c r="A3328" s="24" t="s">
        <v>10166</v>
      </c>
      <c r="B3328" s="24" t="s">
        <v>10167</v>
      </c>
      <c r="C3328" s="24" t="s">
        <v>10168</v>
      </c>
      <c r="D3328" s="25" t="s">
        <v>10169</v>
      </c>
      <c r="E3328" s="28">
        <v>0.00888</v>
      </c>
      <c r="F3328" s="29">
        <f ca="1">ROUND(27.500,3)</f>
        <v>0</v>
      </c>
      <c r="G3328" s="27">
        <f ca="1">ROUND(E3328*F3328,2)</f>
        <v>0</v>
      </c>
    </row>
    <row r="3329" spans="1:7" ht="30.60" thickBot="1" customHeight="1">
      <c r="A3329" s="24" t="s">
        <v>10170</v>
      </c>
      <c r="B3329" s="24" t="s">
        <v>10171</v>
      </c>
      <c r="C3329" s="24" t="s">
        <v>10172</v>
      </c>
      <c r="D3329" s="25" t="s">
        <v>10173</v>
      </c>
      <c r="E3329" s="28">
        <v>0.34200</v>
      </c>
      <c r="F3329" s="29">
        <f ca="1">ROUND(28.550,3)</f>
        <v>0</v>
      </c>
      <c r="G3329" s="27">
        <f ca="1">ROUND(E3329*F3329,2)</f>
        <v>0</v>
      </c>
    </row>
    <row r="3330" spans="1:7" ht="21.36" thickBot="1" customHeight="1">
      <c r="A3330" s="24" t="s">
        <v>10174</v>
      </c>
      <c r="B3330" s="24" t="s">
        <v>10175</v>
      </c>
      <c r="C3330" s="24" t="s">
        <v>10176</v>
      </c>
      <c r="D3330" s="25" t="s">
        <v>10177</v>
      </c>
      <c r="E3330" s="28">
        <v>1.00000</v>
      </c>
      <c r="F3330" s="29">
        <f ca="1">ROUND(2.290,3)</f>
        <v>0</v>
      </c>
      <c r="G3330" s="27">
        <f ca="1">ROUND(E3330*F3330,2)</f>
        <v>0</v>
      </c>
    </row>
    <row r="3331" spans="1:7" ht="30.60" thickBot="1" customHeight="1">
      <c r="A3331" s="24" t="s">
        <v>10178</v>
      </c>
      <c r="B3331" s="24" t="s">
        <v>10179</v>
      </c>
      <c r="C3331" s="24" t="s">
        <v>10180</v>
      </c>
      <c r="D3331" s="25" t="s">
        <v>10181</v>
      </c>
      <c r="E3331" s="28">
        <v>0.07140</v>
      </c>
      <c r="F3331" s="29">
        <f ca="1">ROUND(23.460,3)</f>
        <v>0</v>
      </c>
      <c r="G3331" s="27">
        <f ca="1">ROUND(E3331*F3331,2)</f>
        <v>0</v>
      </c>
    </row>
    <row r="3332" spans="1:7" ht="30.60" thickBot="1" customHeight="1">
      <c r="A3332" s="24" t="s">
        <v>10182</v>
      </c>
      <c r="B3332" s="24" t="s">
        <v>10183</v>
      </c>
      <c r="C3332" s="24" t="s">
        <v>10184</v>
      </c>
      <c r="D3332" s="25" t="s">
        <v>10185</v>
      </c>
      <c r="E3332" s="28">
        <v>0.15000</v>
      </c>
      <c r="F3332" s="29">
        <f ca="1">ROUND(30.450,3)</f>
        <v>0</v>
      </c>
      <c r="G3332" s="27">
        <f ca="1">ROUND(E3332*F3332,2)</f>
        <v>0</v>
      </c>
    </row>
    <row r="3333" spans="1:7" ht="39.84" thickBot="1" customHeight="1">
      <c r="A3333" s="24" t="s">
        <v>10186</v>
      </c>
      <c r="B3333" s="24" t="s">
        <v>10187</v>
      </c>
      <c r="C3333" s="24" t="s">
        <v>10188</v>
      </c>
      <c r="D3333" s="25" t="s">
        <v>10189</v>
      </c>
      <c r="E3333" s="28">
        <v>0.44000</v>
      </c>
      <c r="F3333" s="29">
        <f ca="1">ROUND(4.050,3)</f>
        <v>0</v>
      </c>
      <c r="G3333" s="27">
        <f ca="1">ROUND(E3333*F3333,2)</f>
        <v>0</v>
      </c>
    </row>
    <row r="3334" spans="1:7" ht="39.84" thickBot="1" customHeight="1">
      <c r="A3334" s="24" t="s">
        <v>10190</v>
      </c>
      <c r="B3334" s="24" t="s">
        <v>10191</v>
      </c>
      <c r="C3334" s="24" t="s">
        <v>10192</v>
      </c>
      <c r="D3334" s="25" t="s">
        <v>10193</v>
      </c>
      <c r="E3334" s="28">
        <v>0.25000</v>
      </c>
      <c r="F3334" s="29">
        <f ca="1">ROUND(2.630,3)</f>
        <v>0</v>
      </c>
      <c r="G3334" s="27">
        <f ca="1">ROUND(E3334*F3334,2)</f>
        <v>0</v>
      </c>
    </row>
    <row r="3335" spans="1:7" ht="39.84" thickBot="1" customHeight="1">
      <c r="A3335" s="24" t="s">
        <v>10194</v>
      </c>
      <c r="B3335" s="24" t="s">
        <v>10195</v>
      </c>
      <c r="C3335" s="24" t="s">
        <v>10196</v>
      </c>
      <c r="D3335" s="25" t="s">
        <v>10197</v>
      </c>
      <c r="E3335" s="28">
        <v>0.20000</v>
      </c>
      <c r="F3335" s="29">
        <f ca="1">ROUND(2.860,3)</f>
        <v>0</v>
      </c>
      <c r="G3335" s="27">
        <f ca="1">ROUND(E3335*F3335,2)</f>
        <v>0</v>
      </c>
    </row>
    <row r="3336" spans="1:7" ht="21.36" thickBot="1" customHeight="1">
      <c r="A3336" s="24" t="s">
        <v>10198</v>
      </c>
      <c r="B3336" s="24" t="s">
        <v>10199</v>
      </c>
      <c r="C3336" s="24" t="s">
        <v>10200</v>
      </c>
      <c r="D3336" s="25" t="s">
        <v>10201</v>
      </c>
      <c r="E3336" s="28">
        <v>0.66667</v>
      </c>
      <c r="F3336" s="29">
        <f ca="1">F3340</f>
        <v>0</v>
      </c>
      <c r="G3336" s="27">
        <f ca="1">ROUND(E3336*F3336,2)</f>
        <v>0</v>
      </c>
    </row>
    <row r="3337" spans="1:7" ht="24.36" thickBot="1" customHeight="1">
      <c r="A3337" s="24" t="s">
        <v>10202</v>
      </c>
      <c r="B3337" s="24" t="s">
        <v>10203</v>
      </c>
      <c r="C3337" s="24" t="s">
        <v>10204</v>
      </c>
      <c r="D3337" s="25" t="s">
        <v>10205</v>
      </c>
      <c r="E3337" s="28">
        <v>1.00000</v>
      </c>
      <c r="F3337" s="29">
        <f ca="1">ROUND(21.000,3)</f>
        <v>0</v>
      </c>
      <c r="G3337" s="27">
        <f ca="1">ROUND(E3337*F3337,2)</f>
        <v>0</v>
      </c>
    </row>
    <row r="3338" spans="1:7" ht="24.36" thickBot="1" customHeight="1">
      <c r="A3338" s="24" t="s">
        <v>10206</v>
      </c>
      <c r="B3338" s="24" t="s">
        <v>10207</v>
      </c>
      <c r="C3338" s="24" t="s">
        <v>10208</v>
      </c>
      <c r="D3338" s="25" t="s">
        <v>10209</v>
      </c>
      <c r="E3338" s="28">
        <v>1.00000</v>
      </c>
      <c r="F3338" s="29">
        <f ca="1">ROUND(19.000,3)</f>
        <v>0</v>
      </c>
      <c r="G3338" s="27">
        <f ca="1">ROUND(E3338*F3338,2)</f>
        <v>0</v>
      </c>
    </row>
    <row r="3339" spans="1:7" ht="24.36" thickBot="1" customHeight="1">
      <c r="A3339" s="24" t="s">
        <v>10210</v>
      </c>
      <c r="B3339" s="24" t="s">
        <v>10211</v>
      </c>
      <c r="C3339" s="24" t="s">
        <v>10212</v>
      </c>
      <c r="D3339" s="25" t="s">
        <v>10213</v>
      </c>
      <c r="E3339" s="28">
        <v>0.20000</v>
      </c>
      <c r="F3339" s="29">
        <f ca="1">ROUND(19.000,3)</f>
        <v>0</v>
      </c>
      <c r="G3339" s="27">
        <f ca="1">ROUND(E3339*F3339,2)</f>
        <v>0</v>
      </c>
    </row>
    <row r="3340" spans="1:7" ht="15.12" thickBot="1" customHeight="1">
      <c r="A3340" s="26"/>
      <c r="B3340" s="26"/>
      <c r="C3340" s="26"/>
      <c r="D3340" s="24" t="s">
        <v>10214</v>
      </c>
      <c r="E3340" s="28">
        <v>0.66667</v>
      </c>
      <c r="F3340" s="29">
        <f ca="1">ROUND((G3337+G3338+G3339),3)</f>
        <v>0</v>
      </c>
      <c r="G3340" s="27">
        <f ca="1">ROUND(E3340*F3340,2)</f>
        <v>0</v>
      </c>
    </row>
    <row r="3341" spans="1:7" ht="15.12" thickBot="1" customHeight="1">
      <c r="A3341" s="24" t="s">
        <v>10215</v>
      </c>
      <c r="B3341" s="24"/>
      <c r="C3341" s="24" t="s">
        <v>10216</v>
      </c>
      <c r="D3341" s="25" t="s">
        <v>10217</v>
      </c>
      <c r="E3341" s="28">
        <v>5.00000</v>
      </c>
      <c r="F3341" s="29">
        <f ca="1">ROUND(29.200,3)</f>
        <v>0</v>
      </c>
      <c r="G3341" s="27">
        <f ca="1">ROUND((E3341*F3341)/100,2)</f>
        <v>0</v>
      </c>
    </row>
    <row r="3342" spans="1:7" ht="15.48" thickBot="1" customHeight="1">
      <c r="A3342" s="30"/>
      <c r="B3342" s="30"/>
      <c r="C3342" s="30"/>
      <c r="D3342" s="31" t="s">
        <v>10218</v>
      </c>
      <c r="E3342" s="30"/>
      <c r="F3342" s="33">
        <f ca="1">ROUND((G3326+G3327+G3328+G3329+G3330+G3331+G3332+G3333+G3334+G3335+G3336+G3341)*(1+G2/100),2)</f>
        <v>0</v>
      </c>
      <c r="G3342" s="30"/>
    </row>
    <row r="3343" spans="1:7" ht="76.80" thickBot="1" customHeight="1">
      <c r="A3343" s="34" t="s">
        <v>10219</v>
      </c>
      <c r="B3343" s="35" t="s">
        <v>10220</v>
      </c>
      <c r="C3343" s="35" t="s">
        <v>10221</v>
      </c>
      <c r="D3343" s="36" t="s">
        <v>10222</v>
      </c>
      <c r="E3343" s="37"/>
      <c r="F3343" s="38">
        <f ca="1">F3361</f>
        <v>0</v>
      </c>
      <c r="G3343" s="37"/>
    </row>
    <row r="3344" spans="1:7" ht="30.60" thickBot="1" customHeight="1">
      <c r="A3344" s="26"/>
      <c r="B3344" s="26"/>
      <c r="C3344" s="26"/>
      <c r="D3344" s="25" t="s">
        <v>10223</v>
      </c>
      <c r="E3344" s="25"/>
      <c r="F3344" s="25"/>
      <c r="G3344" s="25"/>
    </row>
    <row r="3345" spans="1:7" ht="30.60" thickBot="1" customHeight="1">
      <c r="A3345" s="24" t="s">
        <v>10224</v>
      </c>
      <c r="B3345" s="24" t="s">
        <v>10225</v>
      </c>
      <c r="C3345" s="24" t="s">
        <v>10226</v>
      </c>
      <c r="D3345" s="25" t="s">
        <v>10227</v>
      </c>
      <c r="E3345" s="28">
        <v>0.02230</v>
      </c>
      <c r="F3345" s="29">
        <f ca="1">ROUND(18.440,3)</f>
        <v>0</v>
      </c>
      <c r="G3345" s="27">
        <f ca="1">ROUND(E3345*F3345,2)</f>
        <v>0</v>
      </c>
    </row>
    <row r="3346" spans="1:7" ht="30.60" thickBot="1" customHeight="1">
      <c r="A3346" s="24" t="s">
        <v>10228</v>
      </c>
      <c r="B3346" s="24" t="s">
        <v>10229</v>
      </c>
      <c r="C3346" s="24" t="s">
        <v>10230</v>
      </c>
      <c r="D3346" s="25" t="s">
        <v>10231</v>
      </c>
      <c r="E3346" s="28">
        <v>0.37800</v>
      </c>
      <c r="F3346" s="29">
        <f ca="1">ROUND(16.810,3)</f>
        <v>0</v>
      </c>
      <c r="G3346" s="27">
        <f ca="1">ROUND(E3346*F3346,2)</f>
        <v>0</v>
      </c>
    </row>
    <row r="3347" spans="1:7" ht="30.60" thickBot="1" customHeight="1">
      <c r="A3347" s="24" t="s">
        <v>10232</v>
      </c>
      <c r="B3347" s="24" t="s">
        <v>10233</v>
      </c>
      <c r="C3347" s="24" t="s">
        <v>10234</v>
      </c>
      <c r="D3347" s="25" t="s">
        <v>10235</v>
      </c>
      <c r="E3347" s="28">
        <v>0.01100</v>
      </c>
      <c r="F3347" s="29">
        <f ca="1">ROUND(27.500,3)</f>
        <v>0</v>
      </c>
      <c r="G3347" s="27">
        <f ca="1">ROUND(E3347*F3347,2)</f>
        <v>0</v>
      </c>
    </row>
    <row r="3348" spans="1:7" ht="30.60" thickBot="1" customHeight="1">
      <c r="A3348" s="24" t="s">
        <v>10236</v>
      </c>
      <c r="B3348" s="24" t="s">
        <v>10237</v>
      </c>
      <c r="C3348" s="24" t="s">
        <v>10238</v>
      </c>
      <c r="D3348" s="25" t="s">
        <v>10239</v>
      </c>
      <c r="E3348" s="28">
        <v>0.56700</v>
      </c>
      <c r="F3348" s="29">
        <f ca="1">ROUND(28.550,3)</f>
        <v>0</v>
      </c>
      <c r="G3348" s="27">
        <f ca="1">ROUND(E3348*F3348,2)</f>
        <v>0</v>
      </c>
    </row>
    <row r="3349" spans="1:7" ht="21.36" thickBot="1" customHeight="1">
      <c r="A3349" s="24" t="s">
        <v>10240</v>
      </c>
      <c r="B3349" s="24" t="s">
        <v>10241</v>
      </c>
      <c r="C3349" s="24" t="s">
        <v>10242</v>
      </c>
      <c r="D3349" s="25" t="s">
        <v>10243</v>
      </c>
      <c r="E3349" s="28">
        <v>1.00000</v>
      </c>
      <c r="F3349" s="29">
        <f ca="1">ROUND(2.290,3)</f>
        <v>0</v>
      </c>
      <c r="G3349" s="27">
        <f ca="1">ROUND(E3349*F3349,2)</f>
        <v>0</v>
      </c>
    </row>
    <row r="3350" spans="1:7" ht="30.60" thickBot="1" customHeight="1">
      <c r="A3350" s="24" t="s">
        <v>10244</v>
      </c>
      <c r="B3350" s="24" t="s">
        <v>10245</v>
      </c>
      <c r="C3350" s="24" t="s">
        <v>10246</v>
      </c>
      <c r="D3350" s="25" t="s">
        <v>10247</v>
      </c>
      <c r="E3350" s="28">
        <v>0.07140</v>
      </c>
      <c r="F3350" s="29">
        <f ca="1">ROUND(23.460,3)</f>
        <v>0</v>
      </c>
      <c r="G3350" s="27">
        <f ca="1">ROUND(E3350*F3350,2)</f>
        <v>0</v>
      </c>
    </row>
    <row r="3351" spans="1:7" ht="30.60" thickBot="1" customHeight="1">
      <c r="A3351" s="24" t="s">
        <v>10248</v>
      </c>
      <c r="B3351" s="24" t="s">
        <v>10249</v>
      </c>
      <c r="C3351" s="24" t="s">
        <v>10250</v>
      </c>
      <c r="D3351" s="25" t="s">
        <v>10251</v>
      </c>
      <c r="E3351" s="28">
        <v>0.15000</v>
      </c>
      <c r="F3351" s="29">
        <f ca="1">ROUND(30.450,3)</f>
        <v>0</v>
      </c>
      <c r="G3351" s="27">
        <f ca="1">ROUND(E3351*F3351,2)</f>
        <v>0</v>
      </c>
    </row>
    <row r="3352" spans="1:7" ht="39.84" thickBot="1" customHeight="1">
      <c r="A3352" s="24" t="s">
        <v>10252</v>
      </c>
      <c r="B3352" s="24" t="s">
        <v>10253</v>
      </c>
      <c r="C3352" s="24" t="s">
        <v>10254</v>
      </c>
      <c r="D3352" s="25" t="s">
        <v>10255</v>
      </c>
      <c r="E3352" s="28">
        <v>0.44000</v>
      </c>
      <c r="F3352" s="29">
        <f ca="1">ROUND(4.050,3)</f>
        <v>0</v>
      </c>
      <c r="G3352" s="27">
        <f ca="1">ROUND(E3352*F3352,2)</f>
        <v>0</v>
      </c>
    </row>
    <row r="3353" spans="1:7" ht="39.84" thickBot="1" customHeight="1">
      <c r="A3353" s="24" t="s">
        <v>10256</v>
      </c>
      <c r="B3353" s="24" t="s">
        <v>10257</v>
      </c>
      <c r="C3353" s="24" t="s">
        <v>10258</v>
      </c>
      <c r="D3353" s="25" t="s">
        <v>10259</v>
      </c>
      <c r="E3353" s="28">
        <v>0.42000</v>
      </c>
      <c r="F3353" s="29">
        <f ca="1">ROUND(2.630,3)</f>
        <v>0</v>
      </c>
      <c r="G3353" s="27">
        <f ca="1">ROUND(E3353*F3353,2)</f>
        <v>0</v>
      </c>
    </row>
    <row r="3354" spans="1:7" ht="39.84" thickBot="1" customHeight="1">
      <c r="A3354" s="24" t="s">
        <v>10260</v>
      </c>
      <c r="B3354" s="24" t="s">
        <v>10261</v>
      </c>
      <c r="C3354" s="24" t="s">
        <v>10262</v>
      </c>
      <c r="D3354" s="25" t="s">
        <v>10263</v>
      </c>
      <c r="E3354" s="28">
        <v>0.20000</v>
      </c>
      <c r="F3354" s="29">
        <f ca="1">ROUND(2.860,3)</f>
        <v>0</v>
      </c>
      <c r="G3354" s="27">
        <f ca="1">ROUND(E3354*F3354,2)</f>
        <v>0</v>
      </c>
    </row>
    <row r="3355" spans="1:7" ht="21.36" thickBot="1" customHeight="1">
      <c r="A3355" s="24" t="s">
        <v>10264</v>
      </c>
      <c r="B3355" s="24" t="s">
        <v>10265</v>
      </c>
      <c r="C3355" s="24" t="s">
        <v>10266</v>
      </c>
      <c r="D3355" s="25" t="s">
        <v>10267</v>
      </c>
      <c r="E3355" s="28">
        <v>0.88889</v>
      </c>
      <c r="F3355" s="29">
        <f ca="1">F3359</f>
        <v>0</v>
      </c>
      <c r="G3355" s="27">
        <f ca="1">ROUND(E3355*F3355,2)</f>
        <v>0</v>
      </c>
    </row>
    <row r="3356" spans="1:7" ht="24.36" thickBot="1" customHeight="1">
      <c r="A3356" s="24" t="s">
        <v>10268</v>
      </c>
      <c r="B3356" s="24" t="s">
        <v>10269</v>
      </c>
      <c r="C3356" s="24" t="s">
        <v>10270</v>
      </c>
      <c r="D3356" s="25" t="s">
        <v>10271</v>
      </c>
      <c r="E3356" s="28">
        <v>1.00000</v>
      </c>
      <c r="F3356" s="29">
        <f ca="1">ROUND(21.000,3)</f>
        <v>0</v>
      </c>
      <c r="G3356" s="27">
        <f ca="1">ROUND(E3356*F3356,2)</f>
        <v>0</v>
      </c>
    </row>
    <row r="3357" spans="1:7" ht="24.36" thickBot="1" customHeight="1">
      <c r="A3357" s="24" t="s">
        <v>10272</v>
      </c>
      <c r="B3357" s="24" t="s">
        <v>10273</v>
      </c>
      <c r="C3357" s="24" t="s">
        <v>10274</v>
      </c>
      <c r="D3357" s="25" t="s">
        <v>10275</v>
      </c>
      <c r="E3357" s="28">
        <v>1.00000</v>
      </c>
      <c r="F3357" s="29">
        <f ca="1">ROUND(19.000,3)</f>
        <v>0</v>
      </c>
      <c r="G3357" s="27">
        <f ca="1">ROUND(E3357*F3357,2)</f>
        <v>0</v>
      </c>
    </row>
    <row r="3358" spans="1:7" ht="24.36" thickBot="1" customHeight="1">
      <c r="A3358" s="24" t="s">
        <v>10276</v>
      </c>
      <c r="B3358" s="24" t="s">
        <v>10277</v>
      </c>
      <c r="C3358" s="24" t="s">
        <v>10278</v>
      </c>
      <c r="D3358" s="25" t="s">
        <v>10279</v>
      </c>
      <c r="E3358" s="28">
        <v>0.20000</v>
      </c>
      <c r="F3358" s="29">
        <f ca="1">ROUND(19.000,3)</f>
        <v>0</v>
      </c>
      <c r="G3358" s="27">
        <f ca="1">ROUND(E3358*F3358,2)</f>
        <v>0</v>
      </c>
    </row>
    <row r="3359" spans="1:7" ht="15.12" thickBot="1" customHeight="1">
      <c r="A3359" s="26"/>
      <c r="B3359" s="26"/>
      <c r="C3359" s="26"/>
      <c r="D3359" s="24" t="s">
        <v>10280</v>
      </c>
      <c r="E3359" s="28">
        <v>0.88889</v>
      </c>
      <c r="F3359" s="29">
        <f ca="1">ROUND((G3356+G3357+G3358),3)</f>
        <v>0</v>
      </c>
      <c r="G3359" s="27">
        <f ca="1">ROUND(E3359*F3359,2)</f>
        <v>0</v>
      </c>
    </row>
    <row r="3360" spans="1:7" ht="15.12" thickBot="1" customHeight="1">
      <c r="A3360" s="24" t="s">
        <v>10281</v>
      </c>
      <c r="B3360" s="24"/>
      <c r="C3360" s="24" t="s">
        <v>10282</v>
      </c>
      <c r="D3360" s="25" t="s">
        <v>10283</v>
      </c>
      <c r="E3360" s="28">
        <v>5.00000</v>
      </c>
      <c r="F3360" s="29">
        <f ca="1">ROUND(38.930,3)</f>
        <v>0</v>
      </c>
      <c r="G3360" s="27">
        <f ca="1">ROUND((E3360*F3360)/100,2)</f>
        <v>0</v>
      </c>
    </row>
    <row r="3361" spans="1:7" ht="15.48" thickBot="1" customHeight="1">
      <c r="A3361" s="30"/>
      <c r="B3361" s="30"/>
      <c r="C3361" s="30"/>
      <c r="D3361" s="31" t="s">
        <v>10284</v>
      </c>
      <c r="E3361" s="30"/>
      <c r="F3361" s="33">
        <f ca="1">ROUND((G3345+G3346+G3347+G3348+G3349+G3350+G3351+G3352+G3353+G3354+G3355+G3360)*(1+G2/100),2)</f>
        <v>0</v>
      </c>
      <c r="G3361" s="30"/>
    </row>
    <row r="3362" spans="1:7" ht="67.56" thickBot="1" customHeight="1">
      <c r="A3362" s="34" t="s">
        <v>10285</v>
      </c>
      <c r="B3362" s="35" t="s">
        <v>10286</v>
      </c>
      <c r="C3362" s="35" t="s">
        <v>10287</v>
      </c>
      <c r="D3362" s="36" t="s">
        <v>10288</v>
      </c>
      <c r="E3362" s="37"/>
      <c r="F3362" s="38">
        <f ca="1">F3380</f>
        <v>0</v>
      </c>
      <c r="G3362" s="37"/>
    </row>
    <row r="3363" spans="1:7" ht="30.60" thickBot="1" customHeight="1">
      <c r="A3363" s="26"/>
      <c r="B3363" s="26"/>
      <c r="C3363" s="26"/>
      <c r="D3363" s="25" t="s">
        <v>10289</v>
      </c>
      <c r="E3363" s="25"/>
      <c r="F3363" s="25"/>
      <c r="G3363" s="25"/>
    </row>
    <row r="3364" spans="1:7" ht="30.60" thickBot="1" customHeight="1">
      <c r="A3364" s="24" t="s">
        <v>10290</v>
      </c>
      <c r="B3364" s="24" t="s">
        <v>10291</v>
      </c>
      <c r="C3364" s="24" t="s">
        <v>10292</v>
      </c>
      <c r="D3364" s="25" t="s">
        <v>10293</v>
      </c>
      <c r="E3364" s="28">
        <v>0.01680</v>
      </c>
      <c r="F3364" s="29">
        <f ca="1">ROUND(18.440,3)</f>
        <v>0</v>
      </c>
      <c r="G3364" s="27">
        <f ca="1">ROUND(E3364*F3364,2)</f>
        <v>0</v>
      </c>
    </row>
    <row r="3365" spans="1:7" ht="49.08" thickBot="1" customHeight="1">
      <c r="A3365" s="24" t="s">
        <v>10294</v>
      </c>
      <c r="B3365" s="24" t="s">
        <v>10295</v>
      </c>
      <c r="C3365" s="24" t="s">
        <v>10296</v>
      </c>
      <c r="D3365" s="25" t="s">
        <v>10297</v>
      </c>
      <c r="E3365" s="28">
        <v>0.03590</v>
      </c>
      <c r="F3365" s="29">
        <f ca="1">ROUND(45.570,3)</f>
        <v>0</v>
      </c>
      <c r="G3365" s="27">
        <f ca="1">ROUND(E3365*F3365,2)</f>
        <v>0</v>
      </c>
    </row>
    <row r="3366" spans="1:7" ht="30.60" thickBot="1" customHeight="1">
      <c r="A3366" s="24" t="s">
        <v>10298</v>
      </c>
      <c r="B3366" s="24" t="s">
        <v>10299</v>
      </c>
      <c r="C3366" s="24" t="s">
        <v>10300</v>
      </c>
      <c r="D3366" s="25" t="s">
        <v>10301</v>
      </c>
      <c r="E3366" s="28">
        <v>0.00888</v>
      </c>
      <c r="F3366" s="29">
        <f ca="1">ROUND(27.500,3)</f>
        <v>0</v>
      </c>
      <c r="G3366" s="27">
        <f ca="1">ROUND(E3366*F3366,2)</f>
        <v>0</v>
      </c>
    </row>
    <row r="3367" spans="1:7" ht="30.60" thickBot="1" customHeight="1">
      <c r="A3367" s="24" t="s">
        <v>10302</v>
      </c>
      <c r="B3367" s="24" t="s">
        <v>10303</v>
      </c>
      <c r="C3367" s="24" t="s">
        <v>10304</v>
      </c>
      <c r="D3367" s="25" t="s">
        <v>10305</v>
      </c>
      <c r="E3367" s="28">
        <v>0.34020</v>
      </c>
      <c r="F3367" s="29">
        <f ca="1">ROUND(22.450,3)</f>
        <v>0</v>
      </c>
      <c r="G3367" s="27">
        <f ca="1">ROUND(E3367*F3367,2)</f>
        <v>0</v>
      </c>
    </row>
    <row r="3368" spans="1:7" ht="21.36" thickBot="1" customHeight="1">
      <c r="A3368" s="24" t="s">
        <v>10306</v>
      </c>
      <c r="B3368" s="24" t="s">
        <v>10307</v>
      </c>
      <c r="C3368" s="24" t="s">
        <v>10308</v>
      </c>
      <c r="D3368" s="25" t="s">
        <v>10309</v>
      </c>
      <c r="E3368" s="28">
        <v>1.00000</v>
      </c>
      <c r="F3368" s="29">
        <f ca="1">ROUND(2.290,3)</f>
        <v>0</v>
      </c>
      <c r="G3368" s="27">
        <f ca="1">ROUND(E3368*F3368,2)</f>
        <v>0</v>
      </c>
    </row>
    <row r="3369" spans="1:7" ht="30.60" thickBot="1" customHeight="1">
      <c r="A3369" s="24" t="s">
        <v>10310</v>
      </c>
      <c r="B3369" s="24" t="s">
        <v>10311</v>
      </c>
      <c r="C3369" s="24" t="s">
        <v>10312</v>
      </c>
      <c r="D3369" s="25" t="s">
        <v>10313</v>
      </c>
      <c r="E3369" s="28">
        <v>0.07140</v>
      </c>
      <c r="F3369" s="29">
        <f ca="1">ROUND(23.460,3)</f>
        <v>0</v>
      </c>
      <c r="G3369" s="27">
        <f ca="1">ROUND(E3369*F3369,2)</f>
        <v>0</v>
      </c>
    </row>
    <row r="3370" spans="1:7" ht="30.60" thickBot="1" customHeight="1">
      <c r="A3370" s="24" t="s">
        <v>10314</v>
      </c>
      <c r="B3370" s="24" t="s">
        <v>10315</v>
      </c>
      <c r="C3370" s="24" t="s">
        <v>10316</v>
      </c>
      <c r="D3370" s="25" t="s">
        <v>10317</v>
      </c>
      <c r="E3370" s="28">
        <v>0.15000</v>
      </c>
      <c r="F3370" s="29">
        <f ca="1">ROUND(30.450,3)</f>
        <v>0</v>
      </c>
      <c r="G3370" s="27">
        <f ca="1">ROUND(E3370*F3370,2)</f>
        <v>0</v>
      </c>
    </row>
    <row r="3371" spans="1:7" ht="39.84" thickBot="1" customHeight="1">
      <c r="A3371" s="24" t="s">
        <v>10318</v>
      </c>
      <c r="B3371" s="24" t="s">
        <v>10319</v>
      </c>
      <c r="C3371" s="24" t="s">
        <v>10320</v>
      </c>
      <c r="D3371" s="25" t="s">
        <v>10321</v>
      </c>
      <c r="E3371" s="28">
        <v>0.44000</v>
      </c>
      <c r="F3371" s="29">
        <f ca="1">ROUND(4.050,3)</f>
        <v>0</v>
      </c>
      <c r="G3371" s="27">
        <f ca="1">ROUND(E3371*F3371,2)</f>
        <v>0</v>
      </c>
    </row>
    <row r="3372" spans="1:7" ht="39.84" thickBot="1" customHeight="1">
      <c r="A3372" s="24" t="s">
        <v>10322</v>
      </c>
      <c r="B3372" s="24" t="s">
        <v>10323</v>
      </c>
      <c r="C3372" s="24" t="s">
        <v>10324</v>
      </c>
      <c r="D3372" s="25" t="s">
        <v>10325</v>
      </c>
      <c r="E3372" s="28">
        <v>0.25000</v>
      </c>
      <c r="F3372" s="29">
        <f ca="1">ROUND(2.630,3)</f>
        <v>0</v>
      </c>
      <c r="G3372" s="27">
        <f ca="1">ROUND(E3372*F3372,2)</f>
        <v>0</v>
      </c>
    </row>
    <row r="3373" spans="1:7" ht="39.84" thickBot="1" customHeight="1">
      <c r="A3373" s="24" t="s">
        <v>10326</v>
      </c>
      <c r="B3373" s="24" t="s">
        <v>10327</v>
      </c>
      <c r="C3373" s="24" t="s">
        <v>10328</v>
      </c>
      <c r="D3373" s="25" t="s">
        <v>10329</v>
      </c>
      <c r="E3373" s="28">
        <v>0.20000</v>
      </c>
      <c r="F3373" s="29">
        <f ca="1">ROUND(2.860,3)</f>
        <v>0</v>
      </c>
      <c r="G3373" s="27">
        <f ca="1">ROUND(E3373*F3373,2)</f>
        <v>0</v>
      </c>
    </row>
    <row r="3374" spans="1:7" ht="21.36" thickBot="1" customHeight="1">
      <c r="A3374" s="24" t="s">
        <v>10330</v>
      </c>
      <c r="B3374" s="24" t="s">
        <v>10331</v>
      </c>
      <c r="C3374" s="24" t="s">
        <v>10332</v>
      </c>
      <c r="D3374" s="25" t="s">
        <v>10333</v>
      </c>
      <c r="E3374" s="28">
        <v>0.66667</v>
      </c>
      <c r="F3374" s="29">
        <f ca="1">F3378</f>
        <v>0</v>
      </c>
      <c r="G3374" s="27">
        <f ca="1">ROUND(E3374*F3374,2)</f>
        <v>0</v>
      </c>
    </row>
    <row r="3375" spans="1:7" ht="24.36" thickBot="1" customHeight="1">
      <c r="A3375" s="24" t="s">
        <v>10334</v>
      </c>
      <c r="B3375" s="24" t="s">
        <v>10335</v>
      </c>
      <c r="C3375" s="24" t="s">
        <v>10336</v>
      </c>
      <c r="D3375" s="25" t="s">
        <v>10337</v>
      </c>
      <c r="E3375" s="28">
        <v>1.00000</v>
      </c>
      <c r="F3375" s="29">
        <f ca="1">ROUND(21.000,3)</f>
        <v>0</v>
      </c>
      <c r="G3375" s="27">
        <f ca="1">ROUND(E3375*F3375,2)</f>
        <v>0</v>
      </c>
    </row>
    <row r="3376" spans="1:7" ht="24.36" thickBot="1" customHeight="1">
      <c r="A3376" s="24" t="s">
        <v>10338</v>
      </c>
      <c r="B3376" s="24" t="s">
        <v>10339</v>
      </c>
      <c r="C3376" s="24" t="s">
        <v>10340</v>
      </c>
      <c r="D3376" s="25" t="s">
        <v>10341</v>
      </c>
      <c r="E3376" s="28">
        <v>1.00000</v>
      </c>
      <c r="F3376" s="29">
        <f ca="1">ROUND(19.000,3)</f>
        <v>0</v>
      </c>
      <c r="G3376" s="27">
        <f ca="1">ROUND(E3376*F3376,2)</f>
        <v>0</v>
      </c>
    </row>
    <row r="3377" spans="1:7" ht="24.36" thickBot="1" customHeight="1">
      <c r="A3377" s="24" t="s">
        <v>10342</v>
      </c>
      <c r="B3377" s="24" t="s">
        <v>10343</v>
      </c>
      <c r="C3377" s="24" t="s">
        <v>10344</v>
      </c>
      <c r="D3377" s="25" t="s">
        <v>10345</v>
      </c>
      <c r="E3377" s="28">
        <v>0.20000</v>
      </c>
      <c r="F3377" s="29">
        <f ca="1">ROUND(19.000,3)</f>
        <v>0</v>
      </c>
      <c r="G3377" s="27">
        <f ca="1">ROUND(E3377*F3377,2)</f>
        <v>0</v>
      </c>
    </row>
    <row r="3378" spans="1:7" ht="15.12" thickBot="1" customHeight="1">
      <c r="A3378" s="26"/>
      <c r="B3378" s="26"/>
      <c r="C3378" s="26"/>
      <c r="D3378" s="24" t="s">
        <v>10346</v>
      </c>
      <c r="E3378" s="28">
        <v>0.66667</v>
      </c>
      <c r="F3378" s="29">
        <f ca="1">ROUND((G3375+G3376+G3377),3)</f>
        <v>0</v>
      </c>
      <c r="G3378" s="27">
        <f ca="1">ROUND(E3378*F3378,2)</f>
        <v>0</v>
      </c>
    </row>
    <row r="3379" spans="1:7" ht="15.12" thickBot="1" customHeight="1">
      <c r="A3379" s="24" t="s">
        <v>10347</v>
      </c>
      <c r="B3379" s="24"/>
      <c r="C3379" s="24" t="s">
        <v>10348</v>
      </c>
      <c r="D3379" s="25" t="s">
        <v>10349</v>
      </c>
      <c r="E3379" s="28">
        <v>5.00000</v>
      </c>
      <c r="F3379" s="29">
        <f ca="1">ROUND(29.200,3)</f>
        <v>0</v>
      </c>
      <c r="G3379" s="27">
        <f ca="1">ROUND((E3379*F3379)/100,2)</f>
        <v>0</v>
      </c>
    </row>
    <row r="3380" spans="1:7" ht="15.48" thickBot="1" customHeight="1">
      <c r="A3380" s="30"/>
      <c r="B3380" s="30"/>
      <c r="C3380" s="30"/>
      <c r="D3380" s="31" t="s">
        <v>10350</v>
      </c>
      <c r="E3380" s="30"/>
      <c r="F3380" s="33">
        <f ca="1">ROUND((G3364+G3365+G3366+G3367+G3368+G3369+G3370+G3371+G3372+G3373+G3374+G3379)*(1+G2/100),2)</f>
        <v>0</v>
      </c>
      <c r="G3380" s="30"/>
    </row>
    <row r="3381" spans="1:7" ht="67.56" thickBot="1" customHeight="1">
      <c r="A3381" s="34" t="s">
        <v>10351</v>
      </c>
      <c r="B3381" s="35" t="s">
        <v>10352</v>
      </c>
      <c r="C3381" s="35" t="s">
        <v>10353</v>
      </c>
      <c r="D3381" s="36" t="s">
        <v>10354</v>
      </c>
      <c r="E3381" s="37"/>
      <c r="F3381" s="38">
        <f ca="1">F3399</f>
        <v>0</v>
      </c>
      <c r="G3381" s="37"/>
    </row>
    <row r="3382" spans="1:7" ht="30.60" thickBot="1" customHeight="1">
      <c r="A3382" s="26"/>
      <c r="B3382" s="26"/>
      <c r="C3382" s="26"/>
      <c r="D3382" s="25" t="s">
        <v>10355</v>
      </c>
      <c r="E3382" s="25"/>
      <c r="F3382" s="25"/>
      <c r="G3382" s="25"/>
    </row>
    <row r="3383" spans="1:7" ht="30.60" thickBot="1" customHeight="1">
      <c r="A3383" s="24" t="s">
        <v>10356</v>
      </c>
      <c r="B3383" s="24" t="s">
        <v>10357</v>
      </c>
      <c r="C3383" s="24" t="s">
        <v>10358</v>
      </c>
      <c r="D3383" s="25" t="s">
        <v>10359</v>
      </c>
      <c r="E3383" s="28">
        <v>0.02230</v>
      </c>
      <c r="F3383" s="29">
        <f ca="1">ROUND(18.440,3)</f>
        <v>0</v>
      </c>
      <c r="G3383" s="27">
        <f ca="1">ROUND(E3383*F3383,2)</f>
        <v>0</v>
      </c>
    </row>
    <row r="3384" spans="1:7" ht="49.08" thickBot="1" customHeight="1">
      <c r="A3384" s="24" t="s">
        <v>10360</v>
      </c>
      <c r="B3384" s="24" t="s">
        <v>10361</v>
      </c>
      <c r="C3384" s="24" t="s">
        <v>10362</v>
      </c>
      <c r="D3384" s="25" t="s">
        <v>10363</v>
      </c>
      <c r="E3384" s="28">
        <v>0.04430</v>
      </c>
      <c r="F3384" s="29">
        <f ca="1">ROUND(45.570,3)</f>
        <v>0</v>
      </c>
      <c r="G3384" s="27">
        <f ca="1">ROUND(E3384*F3384,2)</f>
        <v>0</v>
      </c>
    </row>
    <row r="3385" spans="1:7" ht="30.60" thickBot="1" customHeight="1">
      <c r="A3385" s="24" t="s">
        <v>10364</v>
      </c>
      <c r="B3385" s="24" t="s">
        <v>10365</v>
      </c>
      <c r="C3385" s="24" t="s">
        <v>10366</v>
      </c>
      <c r="D3385" s="25" t="s">
        <v>10367</v>
      </c>
      <c r="E3385" s="28">
        <v>0.01100</v>
      </c>
      <c r="F3385" s="29">
        <f ca="1">ROUND(27.500,3)</f>
        <v>0</v>
      </c>
      <c r="G3385" s="27">
        <f ca="1">ROUND(E3385*F3385,2)</f>
        <v>0</v>
      </c>
    </row>
    <row r="3386" spans="1:7" ht="30.60" thickBot="1" customHeight="1">
      <c r="A3386" s="24" t="s">
        <v>10368</v>
      </c>
      <c r="B3386" s="24" t="s">
        <v>10369</v>
      </c>
      <c r="C3386" s="24" t="s">
        <v>10370</v>
      </c>
      <c r="D3386" s="25" t="s">
        <v>10371</v>
      </c>
      <c r="E3386" s="28">
        <v>0.56700</v>
      </c>
      <c r="F3386" s="29">
        <f ca="1">ROUND(22.450,3)</f>
        <v>0</v>
      </c>
      <c r="G3386" s="27">
        <f ca="1">ROUND(E3386*F3386,2)</f>
        <v>0</v>
      </c>
    </row>
    <row r="3387" spans="1:7" ht="21.36" thickBot="1" customHeight="1">
      <c r="A3387" s="24" t="s">
        <v>10372</v>
      </c>
      <c r="B3387" s="24" t="s">
        <v>10373</v>
      </c>
      <c r="C3387" s="24" t="s">
        <v>10374</v>
      </c>
      <c r="D3387" s="25" t="s">
        <v>10375</v>
      </c>
      <c r="E3387" s="28">
        <v>1.00000</v>
      </c>
      <c r="F3387" s="29">
        <f ca="1">ROUND(2.290,3)</f>
        <v>0</v>
      </c>
      <c r="G3387" s="27">
        <f ca="1">ROUND(E3387*F3387,2)</f>
        <v>0</v>
      </c>
    </row>
    <row r="3388" spans="1:7" ht="30.60" thickBot="1" customHeight="1">
      <c r="A3388" s="24" t="s">
        <v>10376</v>
      </c>
      <c r="B3388" s="24" t="s">
        <v>10377</v>
      </c>
      <c r="C3388" s="24" t="s">
        <v>10378</v>
      </c>
      <c r="D3388" s="25" t="s">
        <v>10379</v>
      </c>
      <c r="E3388" s="28">
        <v>0.07140</v>
      </c>
      <c r="F3388" s="29">
        <f ca="1">ROUND(23.460,3)</f>
        <v>0</v>
      </c>
      <c r="G3388" s="27">
        <f ca="1">ROUND(E3388*F3388,2)</f>
        <v>0</v>
      </c>
    </row>
    <row r="3389" spans="1:7" ht="30.60" thickBot="1" customHeight="1">
      <c r="A3389" s="24" t="s">
        <v>10380</v>
      </c>
      <c r="B3389" s="24" t="s">
        <v>10381</v>
      </c>
      <c r="C3389" s="24" t="s">
        <v>10382</v>
      </c>
      <c r="D3389" s="25" t="s">
        <v>10383</v>
      </c>
      <c r="E3389" s="28">
        <v>0.15000</v>
      </c>
      <c r="F3389" s="29">
        <f ca="1">ROUND(30.450,3)</f>
        <v>0</v>
      </c>
      <c r="G3389" s="27">
        <f ca="1">ROUND(E3389*F3389,2)</f>
        <v>0</v>
      </c>
    </row>
    <row r="3390" spans="1:7" ht="39.84" thickBot="1" customHeight="1">
      <c r="A3390" s="24" t="s">
        <v>10384</v>
      </c>
      <c r="B3390" s="24" t="s">
        <v>10385</v>
      </c>
      <c r="C3390" s="24" t="s">
        <v>10386</v>
      </c>
      <c r="D3390" s="25" t="s">
        <v>10387</v>
      </c>
      <c r="E3390" s="28">
        <v>0.44000</v>
      </c>
      <c r="F3390" s="29">
        <f ca="1">ROUND(4.050,3)</f>
        <v>0</v>
      </c>
      <c r="G3390" s="27">
        <f ca="1">ROUND(E3390*F3390,2)</f>
        <v>0</v>
      </c>
    </row>
    <row r="3391" spans="1:7" ht="39.84" thickBot="1" customHeight="1">
      <c r="A3391" s="24" t="s">
        <v>10388</v>
      </c>
      <c r="B3391" s="24" t="s">
        <v>10389</v>
      </c>
      <c r="C3391" s="24" t="s">
        <v>10390</v>
      </c>
      <c r="D3391" s="25" t="s">
        <v>10391</v>
      </c>
      <c r="E3391" s="28">
        <v>0.25000</v>
      </c>
      <c r="F3391" s="29">
        <f ca="1">ROUND(2.630,3)</f>
        <v>0</v>
      </c>
      <c r="G3391" s="27">
        <f ca="1">ROUND(E3391*F3391,2)</f>
        <v>0</v>
      </c>
    </row>
    <row r="3392" spans="1:7" ht="39.84" thickBot="1" customHeight="1">
      <c r="A3392" s="24" t="s">
        <v>10392</v>
      </c>
      <c r="B3392" s="24" t="s">
        <v>10393</v>
      </c>
      <c r="C3392" s="24" t="s">
        <v>10394</v>
      </c>
      <c r="D3392" s="25" t="s">
        <v>10395</v>
      </c>
      <c r="E3392" s="28">
        <v>0.20000</v>
      </c>
      <c r="F3392" s="29">
        <f ca="1">ROUND(2.860,3)</f>
        <v>0</v>
      </c>
      <c r="G3392" s="27">
        <f ca="1">ROUND(E3392*F3392,2)</f>
        <v>0</v>
      </c>
    </row>
    <row r="3393" spans="1:7" ht="21.36" thickBot="1" customHeight="1">
      <c r="A3393" s="24" t="s">
        <v>10396</v>
      </c>
      <c r="B3393" s="24" t="s">
        <v>10397</v>
      </c>
      <c r="C3393" s="24" t="s">
        <v>10398</v>
      </c>
      <c r="D3393" s="25" t="s">
        <v>10399</v>
      </c>
      <c r="E3393" s="28">
        <v>0.88889</v>
      </c>
      <c r="F3393" s="29">
        <f ca="1">F3397</f>
        <v>0</v>
      </c>
      <c r="G3393" s="27">
        <f ca="1">ROUND(E3393*F3393,2)</f>
        <v>0</v>
      </c>
    </row>
    <row r="3394" spans="1:7" ht="24.36" thickBot="1" customHeight="1">
      <c r="A3394" s="24" t="s">
        <v>10400</v>
      </c>
      <c r="B3394" s="24" t="s">
        <v>10401</v>
      </c>
      <c r="C3394" s="24" t="s">
        <v>10402</v>
      </c>
      <c r="D3394" s="25" t="s">
        <v>10403</v>
      </c>
      <c r="E3394" s="28">
        <v>1.00000</v>
      </c>
      <c r="F3394" s="29">
        <f ca="1">ROUND(21.000,3)</f>
        <v>0</v>
      </c>
      <c r="G3394" s="27">
        <f ca="1">ROUND(E3394*F3394,2)</f>
        <v>0</v>
      </c>
    </row>
    <row r="3395" spans="1:7" ht="24.36" thickBot="1" customHeight="1">
      <c r="A3395" s="24" t="s">
        <v>10404</v>
      </c>
      <c r="B3395" s="24" t="s">
        <v>10405</v>
      </c>
      <c r="C3395" s="24" t="s">
        <v>10406</v>
      </c>
      <c r="D3395" s="25" t="s">
        <v>10407</v>
      </c>
      <c r="E3395" s="28">
        <v>1.00000</v>
      </c>
      <c r="F3395" s="29">
        <f ca="1">ROUND(19.000,3)</f>
        <v>0</v>
      </c>
      <c r="G3395" s="27">
        <f ca="1">ROUND(E3395*F3395,2)</f>
        <v>0</v>
      </c>
    </row>
    <row r="3396" spans="1:7" ht="24.36" thickBot="1" customHeight="1">
      <c r="A3396" s="24" t="s">
        <v>10408</v>
      </c>
      <c r="B3396" s="24" t="s">
        <v>10409</v>
      </c>
      <c r="C3396" s="24" t="s">
        <v>10410</v>
      </c>
      <c r="D3396" s="25" t="s">
        <v>10411</v>
      </c>
      <c r="E3396" s="28">
        <v>0.20000</v>
      </c>
      <c r="F3396" s="29">
        <f ca="1">ROUND(19.000,3)</f>
        <v>0</v>
      </c>
      <c r="G3396" s="27">
        <f ca="1">ROUND(E3396*F3396,2)</f>
        <v>0</v>
      </c>
    </row>
    <row r="3397" spans="1:7" ht="15.12" thickBot="1" customHeight="1">
      <c r="A3397" s="26"/>
      <c r="B3397" s="26"/>
      <c r="C3397" s="26"/>
      <c r="D3397" s="24" t="s">
        <v>10412</v>
      </c>
      <c r="E3397" s="28">
        <v>0.88889</v>
      </c>
      <c r="F3397" s="29">
        <f ca="1">ROUND((G3394+G3395+G3396),3)</f>
        <v>0</v>
      </c>
      <c r="G3397" s="27">
        <f ca="1">ROUND(E3397*F3397,2)</f>
        <v>0</v>
      </c>
    </row>
    <row r="3398" spans="1:7" ht="15.12" thickBot="1" customHeight="1">
      <c r="A3398" s="24" t="s">
        <v>10413</v>
      </c>
      <c r="B3398" s="24"/>
      <c r="C3398" s="24" t="s">
        <v>10414</v>
      </c>
      <c r="D3398" s="25" t="s">
        <v>10415</v>
      </c>
      <c r="E3398" s="28">
        <v>5.00000</v>
      </c>
      <c r="F3398" s="29">
        <f ca="1">ROUND(38.930,3)</f>
        <v>0</v>
      </c>
      <c r="G3398" s="27">
        <f ca="1">ROUND((E3398*F3398)/100,2)</f>
        <v>0</v>
      </c>
    </row>
    <row r="3399" spans="1:7" ht="15.48" thickBot="1" customHeight="1">
      <c r="A3399" s="30"/>
      <c r="B3399" s="30"/>
      <c r="C3399" s="30"/>
      <c r="D3399" s="31" t="s">
        <v>10416</v>
      </c>
      <c r="E3399" s="30"/>
      <c r="F3399" s="33">
        <f ca="1">ROUND((G3383+G3384+G3385+G3386+G3387+G3388+G3389+G3390+G3391+G3392+G3393+G3398)*(1+G2/100),2)</f>
        <v>0</v>
      </c>
      <c r="G3399" s="30"/>
    </row>
    <row r="3400" spans="1:7" ht="76.80" thickBot="1" customHeight="1">
      <c r="A3400" s="34" t="s">
        <v>10417</v>
      </c>
      <c r="B3400" s="35" t="s">
        <v>10418</v>
      </c>
      <c r="C3400" s="35" t="s">
        <v>10419</v>
      </c>
      <c r="D3400" s="36" t="s">
        <v>10420</v>
      </c>
      <c r="E3400" s="37"/>
      <c r="F3400" s="38">
        <f ca="1">F3418</f>
        <v>0</v>
      </c>
      <c r="G3400" s="37"/>
    </row>
    <row r="3401" spans="1:7" ht="30.60" thickBot="1" customHeight="1">
      <c r="A3401" s="26"/>
      <c r="B3401" s="26"/>
      <c r="C3401" s="26"/>
      <c r="D3401" s="25" t="s">
        <v>10421</v>
      </c>
      <c r="E3401" s="25"/>
      <c r="F3401" s="25"/>
      <c r="G3401" s="25"/>
    </row>
    <row r="3402" spans="1:7" ht="30.60" thickBot="1" customHeight="1">
      <c r="A3402" s="24" t="s">
        <v>10422</v>
      </c>
      <c r="B3402" s="24" t="s">
        <v>10423</v>
      </c>
      <c r="C3402" s="24" t="s">
        <v>10424</v>
      </c>
      <c r="D3402" s="25" t="s">
        <v>10425</v>
      </c>
      <c r="E3402" s="28">
        <v>0.01680</v>
      </c>
      <c r="F3402" s="29">
        <f ca="1">ROUND(18.440,3)</f>
        <v>0</v>
      </c>
      <c r="G3402" s="27">
        <f ca="1">ROUND(E3402*F3402,2)</f>
        <v>0</v>
      </c>
    </row>
    <row r="3403" spans="1:7" ht="30.60" thickBot="1" customHeight="1">
      <c r="A3403" s="24" t="s">
        <v>10426</v>
      </c>
      <c r="B3403" s="24" t="s">
        <v>10427</v>
      </c>
      <c r="C3403" s="24" t="s">
        <v>10428</v>
      </c>
      <c r="D3403" s="25" t="s">
        <v>10429</v>
      </c>
      <c r="E3403" s="28">
        <v>0.31500</v>
      </c>
      <c r="F3403" s="29">
        <f ca="1">ROUND(16.810,3)</f>
        <v>0</v>
      </c>
      <c r="G3403" s="27">
        <f ca="1">ROUND(E3403*F3403,2)</f>
        <v>0</v>
      </c>
    </row>
    <row r="3404" spans="1:7" ht="30.60" thickBot="1" customHeight="1">
      <c r="A3404" s="24" t="s">
        <v>10430</v>
      </c>
      <c r="B3404" s="24" t="s">
        <v>10431</v>
      </c>
      <c r="C3404" s="24" t="s">
        <v>10432</v>
      </c>
      <c r="D3404" s="25" t="s">
        <v>10433</v>
      </c>
      <c r="E3404" s="28">
        <v>0.00888</v>
      </c>
      <c r="F3404" s="29">
        <f ca="1">ROUND(27.500,3)</f>
        <v>0</v>
      </c>
      <c r="G3404" s="27">
        <f ca="1">ROUND(E3404*F3404,2)</f>
        <v>0</v>
      </c>
    </row>
    <row r="3405" spans="1:7" ht="30.60" thickBot="1" customHeight="1">
      <c r="A3405" s="24" t="s">
        <v>10434</v>
      </c>
      <c r="B3405" s="24" t="s">
        <v>10435</v>
      </c>
      <c r="C3405" s="24" t="s">
        <v>10436</v>
      </c>
      <c r="D3405" s="25" t="s">
        <v>10437</v>
      </c>
      <c r="E3405" s="28">
        <v>0.45360</v>
      </c>
      <c r="F3405" s="29">
        <f ca="1">ROUND(28.550,3)</f>
        <v>0</v>
      </c>
      <c r="G3405" s="27">
        <f ca="1">ROUND(E3405*F3405,2)</f>
        <v>0</v>
      </c>
    </row>
    <row r="3406" spans="1:7" ht="21.36" thickBot="1" customHeight="1">
      <c r="A3406" s="24" t="s">
        <v>10438</v>
      </c>
      <c r="B3406" s="24" t="s">
        <v>10439</v>
      </c>
      <c r="C3406" s="24" t="s">
        <v>10440</v>
      </c>
      <c r="D3406" s="25" t="s">
        <v>10441</v>
      </c>
      <c r="E3406" s="28">
        <v>1.00000</v>
      </c>
      <c r="F3406" s="29">
        <f ca="1">ROUND(2.290,3)</f>
        <v>0</v>
      </c>
      <c r="G3406" s="27">
        <f ca="1">ROUND(E3406*F3406,2)</f>
        <v>0</v>
      </c>
    </row>
    <row r="3407" spans="1:7" ht="30.60" thickBot="1" customHeight="1">
      <c r="A3407" s="24" t="s">
        <v>10442</v>
      </c>
      <c r="B3407" s="24" t="s">
        <v>10443</v>
      </c>
      <c r="C3407" s="24" t="s">
        <v>10444</v>
      </c>
      <c r="D3407" s="25" t="s">
        <v>10445</v>
      </c>
      <c r="E3407" s="28">
        <v>0.07140</v>
      </c>
      <c r="F3407" s="29">
        <f ca="1">ROUND(23.460,3)</f>
        <v>0</v>
      </c>
      <c r="G3407" s="27">
        <f ca="1">ROUND(E3407*F3407,2)</f>
        <v>0</v>
      </c>
    </row>
    <row r="3408" spans="1:7" ht="30.60" thickBot="1" customHeight="1">
      <c r="A3408" s="24" t="s">
        <v>10446</v>
      </c>
      <c r="B3408" s="24" t="s">
        <v>10447</v>
      </c>
      <c r="C3408" s="24" t="s">
        <v>10448</v>
      </c>
      <c r="D3408" s="25" t="s">
        <v>10449</v>
      </c>
      <c r="E3408" s="28">
        <v>0.15000</v>
      </c>
      <c r="F3408" s="29">
        <f ca="1">ROUND(30.450,3)</f>
        <v>0</v>
      </c>
      <c r="G3408" s="27">
        <f ca="1">ROUND(E3408*F3408,2)</f>
        <v>0</v>
      </c>
    </row>
    <row r="3409" spans="1:7" ht="39.84" thickBot="1" customHeight="1">
      <c r="A3409" s="24" t="s">
        <v>10450</v>
      </c>
      <c r="B3409" s="24" t="s">
        <v>10451</v>
      </c>
      <c r="C3409" s="24" t="s">
        <v>10452</v>
      </c>
      <c r="D3409" s="25" t="s">
        <v>10453</v>
      </c>
      <c r="E3409" s="28">
        <v>0.44000</v>
      </c>
      <c r="F3409" s="29">
        <f ca="1">ROUND(4.050,3)</f>
        <v>0</v>
      </c>
      <c r="G3409" s="27">
        <f ca="1">ROUND(E3409*F3409,2)</f>
        <v>0</v>
      </c>
    </row>
    <row r="3410" spans="1:7" ht="39.84" thickBot="1" customHeight="1">
      <c r="A3410" s="24" t="s">
        <v>10454</v>
      </c>
      <c r="B3410" s="24" t="s">
        <v>10455</v>
      </c>
      <c r="C3410" s="24" t="s">
        <v>10456</v>
      </c>
      <c r="D3410" s="25" t="s">
        <v>10457</v>
      </c>
      <c r="E3410" s="28">
        <v>0.25000</v>
      </c>
      <c r="F3410" s="29">
        <f ca="1">ROUND(2.630,3)</f>
        <v>0</v>
      </c>
      <c r="G3410" s="27">
        <f ca="1">ROUND(E3410*F3410,2)</f>
        <v>0</v>
      </c>
    </row>
    <row r="3411" spans="1:7" ht="39.84" thickBot="1" customHeight="1">
      <c r="A3411" s="24" t="s">
        <v>10458</v>
      </c>
      <c r="B3411" s="24" t="s">
        <v>10459</v>
      </c>
      <c r="C3411" s="24" t="s">
        <v>10460</v>
      </c>
      <c r="D3411" s="25" t="s">
        <v>10461</v>
      </c>
      <c r="E3411" s="28">
        <v>0.20000</v>
      </c>
      <c r="F3411" s="29">
        <f ca="1">ROUND(2.860,3)</f>
        <v>0</v>
      </c>
      <c r="G3411" s="27">
        <f ca="1">ROUND(E3411*F3411,2)</f>
        <v>0</v>
      </c>
    </row>
    <row r="3412" spans="1:7" ht="21.36" thickBot="1" customHeight="1">
      <c r="A3412" s="24" t="s">
        <v>10462</v>
      </c>
      <c r="B3412" s="24" t="s">
        <v>10463</v>
      </c>
      <c r="C3412" s="24" t="s">
        <v>10464</v>
      </c>
      <c r="D3412" s="25" t="s">
        <v>10465</v>
      </c>
      <c r="E3412" s="28">
        <v>0.66667</v>
      </c>
      <c r="F3412" s="29">
        <f ca="1">F3416</f>
        <v>0</v>
      </c>
      <c r="G3412" s="27">
        <f ca="1">ROUND(E3412*F3412,2)</f>
        <v>0</v>
      </c>
    </row>
    <row r="3413" spans="1:7" ht="24.36" thickBot="1" customHeight="1">
      <c r="A3413" s="24" t="s">
        <v>10466</v>
      </c>
      <c r="B3413" s="24" t="s">
        <v>10467</v>
      </c>
      <c r="C3413" s="24" t="s">
        <v>10468</v>
      </c>
      <c r="D3413" s="25" t="s">
        <v>10469</v>
      </c>
      <c r="E3413" s="28">
        <v>1.00000</v>
      </c>
      <c r="F3413" s="29">
        <f ca="1">ROUND(21.000,3)</f>
        <v>0</v>
      </c>
      <c r="G3413" s="27">
        <f ca="1">ROUND(E3413*F3413,2)</f>
        <v>0</v>
      </c>
    </row>
    <row r="3414" spans="1:7" ht="24.36" thickBot="1" customHeight="1">
      <c r="A3414" s="24" t="s">
        <v>10470</v>
      </c>
      <c r="B3414" s="24" t="s">
        <v>10471</v>
      </c>
      <c r="C3414" s="24" t="s">
        <v>10472</v>
      </c>
      <c r="D3414" s="25" t="s">
        <v>10473</v>
      </c>
      <c r="E3414" s="28">
        <v>1.00000</v>
      </c>
      <c r="F3414" s="29">
        <f ca="1">ROUND(19.000,3)</f>
        <v>0</v>
      </c>
      <c r="G3414" s="27">
        <f ca="1">ROUND(E3414*F3414,2)</f>
        <v>0</v>
      </c>
    </row>
    <row r="3415" spans="1:7" ht="24.36" thickBot="1" customHeight="1">
      <c r="A3415" s="24" t="s">
        <v>10474</v>
      </c>
      <c r="B3415" s="24" t="s">
        <v>10475</v>
      </c>
      <c r="C3415" s="24" t="s">
        <v>10476</v>
      </c>
      <c r="D3415" s="25" t="s">
        <v>10477</v>
      </c>
      <c r="E3415" s="28">
        <v>0.20000</v>
      </c>
      <c r="F3415" s="29">
        <f ca="1">ROUND(19.000,3)</f>
        <v>0</v>
      </c>
      <c r="G3415" s="27">
        <f ca="1">ROUND(E3415*F3415,2)</f>
        <v>0</v>
      </c>
    </row>
    <row r="3416" spans="1:7" ht="15.12" thickBot="1" customHeight="1">
      <c r="A3416" s="26"/>
      <c r="B3416" s="26"/>
      <c r="C3416" s="26"/>
      <c r="D3416" s="24" t="s">
        <v>10478</v>
      </c>
      <c r="E3416" s="28">
        <v>0.66667</v>
      </c>
      <c r="F3416" s="29">
        <f ca="1">ROUND((G3413+G3414+G3415),3)</f>
        <v>0</v>
      </c>
      <c r="G3416" s="27">
        <f ca="1">ROUND(E3416*F3416,2)</f>
        <v>0</v>
      </c>
    </row>
    <row r="3417" spans="1:7" ht="15.12" thickBot="1" customHeight="1">
      <c r="A3417" s="24" t="s">
        <v>10479</v>
      </c>
      <c r="B3417" s="24"/>
      <c r="C3417" s="24" t="s">
        <v>10480</v>
      </c>
      <c r="D3417" s="25" t="s">
        <v>10481</v>
      </c>
      <c r="E3417" s="28">
        <v>5.00000</v>
      </c>
      <c r="F3417" s="29">
        <f ca="1">ROUND(29.200,3)</f>
        <v>0</v>
      </c>
      <c r="G3417" s="27">
        <f ca="1">ROUND((E3417*F3417)/100,2)</f>
        <v>0</v>
      </c>
    </row>
    <row r="3418" spans="1:7" ht="15.48" thickBot="1" customHeight="1">
      <c r="A3418" s="30"/>
      <c r="B3418" s="30"/>
      <c r="C3418" s="30"/>
      <c r="D3418" s="31" t="s">
        <v>10482</v>
      </c>
      <c r="E3418" s="30"/>
      <c r="F3418" s="33">
        <f ca="1">ROUND((G3402+G3403+G3404+G3405+G3406+G3407+G3408+G3409+G3410+G3411+G3412+G3417)*(1+G2/100),2)</f>
        <v>0</v>
      </c>
      <c r="G3418" s="30"/>
    </row>
    <row r="3419" spans="1:7" ht="76.80" thickBot="1" customHeight="1">
      <c r="A3419" s="34" t="s">
        <v>10483</v>
      </c>
      <c r="B3419" s="35" t="s">
        <v>10484</v>
      </c>
      <c r="C3419" s="35" t="s">
        <v>10485</v>
      </c>
      <c r="D3419" s="36" t="s">
        <v>10486</v>
      </c>
      <c r="E3419" s="37"/>
      <c r="F3419" s="38">
        <f ca="1">F3437</f>
        <v>0</v>
      </c>
      <c r="G3419" s="37"/>
    </row>
    <row r="3420" spans="1:7" ht="30.60" thickBot="1" customHeight="1">
      <c r="A3420" s="26"/>
      <c r="B3420" s="26"/>
      <c r="C3420" s="26"/>
      <c r="D3420" s="25" t="s">
        <v>10487</v>
      </c>
      <c r="E3420" s="25"/>
      <c r="F3420" s="25"/>
      <c r="G3420" s="25"/>
    </row>
    <row r="3421" spans="1:7" ht="30.60" thickBot="1" customHeight="1">
      <c r="A3421" s="24" t="s">
        <v>10488</v>
      </c>
      <c r="B3421" s="24" t="s">
        <v>10489</v>
      </c>
      <c r="C3421" s="24" t="s">
        <v>10490</v>
      </c>
      <c r="D3421" s="25" t="s">
        <v>10491</v>
      </c>
      <c r="E3421" s="28">
        <v>0.02230</v>
      </c>
      <c r="F3421" s="29">
        <f ca="1">ROUND(18.440,3)</f>
        <v>0</v>
      </c>
      <c r="G3421" s="27">
        <f ca="1">ROUND(E3421*F3421,2)</f>
        <v>0</v>
      </c>
    </row>
    <row r="3422" spans="1:7" ht="30.60" thickBot="1" customHeight="1">
      <c r="A3422" s="24" t="s">
        <v>10492</v>
      </c>
      <c r="B3422" s="24" t="s">
        <v>10493</v>
      </c>
      <c r="C3422" s="24" t="s">
        <v>10494</v>
      </c>
      <c r="D3422" s="25" t="s">
        <v>10495</v>
      </c>
      <c r="E3422" s="28">
        <v>0.37800</v>
      </c>
      <c r="F3422" s="29">
        <f ca="1">ROUND(16.810,3)</f>
        <v>0</v>
      </c>
      <c r="G3422" s="27">
        <f ca="1">ROUND(E3422*F3422,2)</f>
        <v>0</v>
      </c>
    </row>
    <row r="3423" spans="1:7" ht="30.60" thickBot="1" customHeight="1">
      <c r="A3423" s="24" t="s">
        <v>10496</v>
      </c>
      <c r="B3423" s="24" t="s">
        <v>10497</v>
      </c>
      <c r="C3423" s="24" t="s">
        <v>10498</v>
      </c>
      <c r="D3423" s="25" t="s">
        <v>10499</v>
      </c>
      <c r="E3423" s="28">
        <v>0.01100</v>
      </c>
      <c r="F3423" s="29">
        <f ca="1">ROUND(27.500,3)</f>
        <v>0</v>
      </c>
      <c r="G3423" s="27">
        <f ca="1">ROUND(E3423*F3423,2)</f>
        <v>0</v>
      </c>
    </row>
    <row r="3424" spans="1:7" ht="30.60" thickBot="1" customHeight="1">
      <c r="A3424" s="24" t="s">
        <v>10500</v>
      </c>
      <c r="B3424" s="24" t="s">
        <v>10501</v>
      </c>
      <c r="C3424" s="24" t="s">
        <v>10502</v>
      </c>
      <c r="D3424" s="25" t="s">
        <v>10503</v>
      </c>
      <c r="E3424" s="28">
        <v>0.75600</v>
      </c>
      <c r="F3424" s="29">
        <f ca="1">ROUND(28.550,3)</f>
        <v>0</v>
      </c>
      <c r="G3424" s="27">
        <f ca="1">ROUND(E3424*F3424,2)</f>
        <v>0</v>
      </c>
    </row>
    <row r="3425" spans="1:7" ht="21.36" thickBot="1" customHeight="1">
      <c r="A3425" s="24" t="s">
        <v>10504</v>
      </c>
      <c r="B3425" s="24" t="s">
        <v>10505</v>
      </c>
      <c r="C3425" s="24" t="s">
        <v>10506</v>
      </c>
      <c r="D3425" s="25" t="s">
        <v>10507</v>
      </c>
      <c r="E3425" s="28">
        <v>1.00000</v>
      </c>
      <c r="F3425" s="29">
        <f ca="1">ROUND(2.290,3)</f>
        <v>0</v>
      </c>
      <c r="G3425" s="27">
        <f ca="1">ROUND(E3425*F3425,2)</f>
        <v>0</v>
      </c>
    </row>
    <row r="3426" spans="1:7" ht="30.60" thickBot="1" customHeight="1">
      <c r="A3426" s="24" t="s">
        <v>10508</v>
      </c>
      <c r="B3426" s="24" t="s">
        <v>10509</v>
      </c>
      <c r="C3426" s="24" t="s">
        <v>10510</v>
      </c>
      <c r="D3426" s="25" t="s">
        <v>10511</v>
      </c>
      <c r="E3426" s="28">
        <v>0.07140</v>
      </c>
      <c r="F3426" s="29">
        <f ca="1">ROUND(23.460,3)</f>
        <v>0</v>
      </c>
      <c r="G3426" s="27">
        <f ca="1">ROUND(E3426*F3426,2)</f>
        <v>0</v>
      </c>
    </row>
    <row r="3427" spans="1:7" ht="30.60" thickBot="1" customHeight="1">
      <c r="A3427" s="24" t="s">
        <v>10512</v>
      </c>
      <c r="B3427" s="24" t="s">
        <v>10513</v>
      </c>
      <c r="C3427" s="24" t="s">
        <v>10514</v>
      </c>
      <c r="D3427" s="25" t="s">
        <v>10515</v>
      </c>
      <c r="E3427" s="28">
        <v>0.15000</v>
      </c>
      <c r="F3427" s="29">
        <f ca="1">ROUND(30.450,3)</f>
        <v>0</v>
      </c>
      <c r="G3427" s="27">
        <f ca="1">ROUND(E3427*F3427,2)</f>
        <v>0</v>
      </c>
    </row>
    <row r="3428" spans="1:7" ht="39.84" thickBot="1" customHeight="1">
      <c r="A3428" s="24" t="s">
        <v>10516</v>
      </c>
      <c r="B3428" s="24" t="s">
        <v>10517</v>
      </c>
      <c r="C3428" s="24" t="s">
        <v>10518</v>
      </c>
      <c r="D3428" s="25" t="s">
        <v>10519</v>
      </c>
      <c r="E3428" s="28">
        <v>0.44000</v>
      </c>
      <c r="F3428" s="29">
        <f ca="1">ROUND(4.050,3)</f>
        <v>0</v>
      </c>
      <c r="G3428" s="27">
        <f ca="1">ROUND(E3428*F3428,2)</f>
        <v>0</v>
      </c>
    </row>
    <row r="3429" spans="1:7" ht="39.84" thickBot="1" customHeight="1">
      <c r="A3429" s="24" t="s">
        <v>10520</v>
      </c>
      <c r="B3429" s="24" t="s">
        <v>10521</v>
      </c>
      <c r="C3429" s="24" t="s">
        <v>10522</v>
      </c>
      <c r="D3429" s="25" t="s">
        <v>10523</v>
      </c>
      <c r="E3429" s="28">
        <v>0.42000</v>
      </c>
      <c r="F3429" s="29">
        <f ca="1">ROUND(2.630,3)</f>
        <v>0</v>
      </c>
      <c r="G3429" s="27">
        <f ca="1">ROUND(E3429*F3429,2)</f>
        <v>0</v>
      </c>
    </row>
    <row r="3430" spans="1:7" ht="39.84" thickBot="1" customHeight="1">
      <c r="A3430" s="24" t="s">
        <v>10524</v>
      </c>
      <c r="B3430" s="24" t="s">
        <v>10525</v>
      </c>
      <c r="C3430" s="24" t="s">
        <v>10526</v>
      </c>
      <c r="D3430" s="25" t="s">
        <v>10527</v>
      </c>
      <c r="E3430" s="28">
        <v>0.20000</v>
      </c>
      <c r="F3430" s="29">
        <f ca="1">ROUND(2.860,3)</f>
        <v>0</v>
      </c>
      <c r="G3430" s="27">
        <f ca="1">ROUND(E3430*F3430,2)</f>
        <v>0</v>
      </c>
    </row>
    <row r="3431" spans="1:7" ht="21.36" thickBot="1" customHeight="1">
      <c r="A3431" s="24" t="s">
        <v>10528</v>
      </c>
      <c r="B3431" s="24" t="s">
        <v>10529</v>
      </c>
      <c r="C3431" s="24" t="s">
        <v>10530</v>
      </c>
      <c r="D3431" s="25" t="s">
        <v>10531</v>
      </c>
      <c r="E3431" s="28">
        <v>0.88889</v>
      </c>
      <c r="F3431" s="29">
        <f ca="1">F3435</f>
        <v>0</v>
      </c>
      <c r="G3431" s="27">
        <f ca="1">ROUND(E3431*F3431,2)</f>
        <v>0</v>
      </c>
    </row>
    <row r="3432" spans="1:7" ht="24.36" thickBot="1" customHeight="1">
      <c r="A3432" s="24" t="s">
        <v>10532</v>
      </c>
      <c r="B3432" s="24" t="s">
        <v>10533</v>
      </c>
      <c r="C3432" s="24" t="s">
        <v>10534</v>
      </c>
      <c r="D3432" s="25" t="s">
        <v>10535</v>
      </c>
      <c r="E3432" s="28">
        <v>1.00000</v>
      </c>
      <c r="F3432" s="29">
        <f ca="1">ROUND(21.000,3)</f>
        <v>0</v>
      </c>
      <c r="G3432" s="27">
        <f ca="1">ROUND(E3432*F3432,2)</f>
        <v>0</v>
      </c>
    </row>
    <row r="3433" spans="1:7" ht="24.36" thickBot="1" customHeight="1">
      <c r="A3433" s="24" t="s">
        <v>10536</v>
      </c>
      <c r="B3433" s="24" t="s">
        <v>10537</v>
      </c>
      <c r="C3433" s="24" t="s">
        <v>10538</v>
      </c>
      <c r="D3433" s="25" t="s">
        <v>10539</v>
      </c>
      <c r="E3433" s="28">
        <v>1.00000</v>
      </c>
      <c r="F3433" s="29">
        <f ca="1">ROUND(19.000,3)</f>
        <v>0</v>
      </c>
      <c r="G3433" s="27">
        <f ca="1">ROUND(E3433*F3433,2)</f>
        <v>0</v>
      </c>
    </row>
    <row r="3434" spans="1:7" ht="24.36" thickBot="1" customHeight="1">
      <c r="A3434" s="24" t="s">
        <v>10540</v>
      </c>
      <c r="B3434" s="24" t="s">
        <v>10541</v>
      </c>
      <c r="C3434" s="24" t="s">
        <v>10542</v>
      </c>
      <c r="D3434" s="25" t="s">
        <v>10543</v>
      </c>
      <c r="E3434" s="28">
        <v>0.20000</v>
      </c>
      <c r="F3434" s="29">
        <f ca="1">ROUND(19.000,3)</f>
        <v>0</v>
      </c>
      <c r="G3434" s="27">
        <f ca="1">ROUND(E3434*F3434,2)</f>
        <v>0</v>
      </c>
    </row>
    <row r="3435" spans="1:7" ht="15.12" thickBot="1" customHeight="1">
      <c r="A3435" s="26"/>
      <c r="B3435" s="26"/>
      <c r="C3435" s="26"/>
      <c r="D3435" s="24" t="s">
        <v>10544</v>
      </c>
      <c r="E3435" s="28">
        <v>0.88889</v>
      </c>
      <c r="F3435" s="29">
        <f ca="1">ROUND((G3432+G3433+G3434),3)</f>
        <v>0</v>
      </c>
      <c r="G3435" s="27">
        <f ca="1">ROUND(E3435*F3435,2)</f>
        <v>0</v>
      </c>
    </row>
    <row r="3436" spans="1:7" ht="15.12" thickBot="1" customHeight="1">
      <c r="A3436" s="24" t="s">
        <v>10545</v>
      </c>
      <c r="B3436" s="24"/>
      <c r="C3436" s="24" t="s">
        <v>10546</v>
      </c>
      <c r="D3436" s="25" t="s">
        <v>10547</v>
      </c>
      <c r="E3436" s="28">
        <v>5.00000</v>
      </c>
      <c r="F3436" s="29">
        <f ca="1">ROUND(38.930,3)</f>
        <v>0</v>
      </c>
      <c r="G3436" s="27">
        <f ca="1">ROUND((E3436*F3436)/100,2)</f>
        <v>0</v>
      </c>
    </row>
    <row r="3437" spans="1:7" ht="15.48" thickBot="1" customHeight="1">
      <c r="A3437" s="30"/>
      <c r="B3437" s="30"/>
      <c r="C3437" s="30"/>
      <c r="D3437" s="31" t="s">
        <v>10548</v>
      </c>
      <c r="E3437" s="30"/>
      <c r="F3437" s="33">
        <f ca="1">ROUND((G3421+G3422+G3423+G3424+G3425+G3426+G3427+G3428+G3429+G3430+G3431+G3436)*(1+G2/100),2)</f>
        <v>0</v>
      </c>
      <c r="G3437" s="30"/>
    </row>
    <row r="3438" spans="1:7" ht="67.56" thickBot="1" customHeight="1">
      <c r="A3438" s="34" t="s">
        <v>10549</v>
      </c>
      <c r="B3438" s="35" t="s">
        <v>10550</v>
      </c>
      <c r="C3438" s="35" t="s">
        <v>10551</v>
      </c>
      <c r="D3438" s="36" t="s">
        <v>10552</v>
      </c>
      <c r="E3438" s="37"/>
      <c r="F3438" s="38">
        <f ca="1">F3456</f>
        <v>0</v>
      </c>
      <c r="G3438" s="37"/>
    </row>
    <row r="3439" spans="1:7" ht="30.60" thickBot="1" customHeight="1">
      <c r="A3439" s="26"/>
      <c r="B3439" s="26"/>
      <c r="C3439" s="26"/>
      <c r="D3439" s="25" t="s">
        <v>10553</v>
      </c>
      <c r="E3439" s="25"/>
      <c r="F3439" s="25"/>
      <c r="G3439" s="25"/>
    </row>
    <row r="3440" spans="1:7" ht="30.60" thickBot="1" customHeight="1">
      <c r="A3440" s="24" t="s">
        <v>10554</v>
      </c>
      <c r="B3440" s="24" t="s">
        <v>10555</v>
      </c>
      <c r="C3440" s="24" t="s">
        <v>10556</v>
      </c>
      <c r="D3440" s="25" t="s">
        <v>10557</v>
      </c>
      <c r="E3440" s="28">
        <v>0.01680</v>
      </c>
      <c r="F3440" s="29">
        <f ca="1">ROUND(18.440,3)</f>
        <v>0</v>
      </c>
      <c r="G3440" s="27">
        <f ca="1">ROUND(E3440*F3440,2)</f>
        <v>0</v>
      </c>
    </row>
    <row r="3441" spans="1:7" ht="49.08" thickBot="1" customHeight="1">
      <c r="A3441" s="24" t="s">
        <v>10558</v>
      </c>
      <c r="B3441" s="24" t="s">
        <v>10559</v>
      </c>
      <c r="C3441" s="24" t="s">
        <v>10560</v>
      </c>
      <c r="D3441" s="25" t="s">
        <v>10561</v>
      </c>
      <c r="E3441" s="28">
        <v>0.03590</v>
      </c>
      <c r="F3441" s="29">
        <f ca="1">ROUND(45.570,3)</f>
        <v>0</v>
      </c>
      <c r="G3441" s="27">
        <f ca="1">ROUND(E3441*F3441,2)</f>
        <v>0</v>
      </c>
    </row>
    <row r="3442" spans="1:7" ht="30.60" thickBot="1" customHeight="1">
      <c r="A3442" s="24" t="s">
        <v>10562</v>
      </c>
      <c r="B3442" s="24" t="s">
        <v>10563</v>
      </c>
      <c r="C3442" s="24" t="s">
        <v>10564</v>
      </c>
      <c r="D3442" s="25" t="s">
        <v>10565</v>
      </c>
      <c r="E3442" s="28">
        <v>0.00888</v>
      </c>
      <c r="F3442" s="29">
        <f ca="1">ROUND(27.500,3)</f>
        <v>0</v>
      </c>
      <c r="G3442" s="27">
        <f ca="1">ROUND(E3442*F3442,2)</f>
        <v>0</v>
      </c>
    </row>
    <row r="3443" spans="1:7" ht="30.60" thickBot="1" customHeight="1">
      <c r="A3443" s="24" t="s">
        <v>10566</v>
      </c>
      <c r="B3443" s="24" t="s">
        <v>10567</v>
      </c>
      <c r="C3443" s="24" t="s">
        <v>10568</v>
      </c>
      <c r="D3443" s="25" t="s">
        <v>10569</v>
      </c>
      <c r="E3443" s="28">
        <v>0.45360</v>
      </c>
      <c r="F3443" s="29">
        <f ca="1">ROUND(22.450,3)</f>
        <v>0</v>
      </c>
      <c r="G3443" s="27">
        <f ca="1">ROUND(E3443*F3443,2)</f>
        <v>0</v>
      </c>
    </row>
    <row r="3444" spans="1:7" ht="21.36" thickBot="1" customHeight="1">
      <c r="A3444" s="24" t="s">
        <v>10570</v>
      </c>
      <c r="B3444" s="24" t="s">
        <v>10571</v>
      </c>
      <c r="C3444" s="24" t="s">
        <v>10572</v>
      </c>
      <c r="D3444" s="25" t="s">
        <v>10573</v>
      </c>
      <c r="E3444" s="28">
        <v>1.00000</v>
      </c>
      <c r="F3444" s="29">
        <f ca="1">ROUND(2.290,3)</f>
        <v>0</v>
      </c>
      <c r="G3444" s="27">
        <f ca="1">ROUND(E3444*F3444,2)</f>
        <v>0</v>
      </c>
    </row>
    <row r="3445" spans="1:7" ht="30.60" thickBot="1" customHeight="1">
      <c r="A3445" s="24" t="s">
        <v>10574</v>
      </c>
      <c r="B3445" s="24" t="s">
        <v>10575</v>
      </c>
      <c r="C3445" s="24" t="s">
        <v>10576</v>
      </c>
      <c r="D3445" s="25" t="s">
        <v>10577</v>
      </c>
      <c r="E3445" s="28">
        <v>0.07140</v>
      </c>
      <c r="F3445" s="29">
        <f ca="1">ROUND(23.460,3)</f>
        <v>0</v>
      </c>
      <c r="G3445" s="27">
        <f ca="1">ROUND(E3445*F3445,2)</f>
        <v>0</v>
      </c>
    </row>
    <row r="3446" spans="1:7" ht="30.60" thickBot="1" customHeight="1">
      <c r="A3446" s="24" t="s">
        <v>10578</v>
      </c>
      <c r="B3446" s="24" t="s">
        <v>10579</v>
      </c>
      <c r="C3446" s="24" t="s">
        <v>10580</v>
      </c>
      <c r="D3446" s="25" t="s">
        <v>10581</v>
      </c>
      <c r="E3446" s="28">
        <v>0.15000</v>
      </c>
      <c r="F3446" s="29">
        <f ca="1">ROUND(30.450,3)</f>
        <v>0</v>
      </c>
      <c r="G3446" s="27">
        <f ca="1">ROUND(E3446*F3446,2)</f>
        <v>0</v>
      </c>
    </row>
    <row r="3447" spans="1:7" ht="39.84" thickBot="1" customHeight="1">
      <c r="A3447" s="24" t="s">
        <v>10582</v>
      </c>
      <c r="B3447" s="24" t="s">
        <v>10583</v>
      </c>
      <c r="C3447" s="24" t="s">
        <v>10584</v>
      </c>
      <c r="D3447" s="25" t="s">
        <v>10585</v>
      </c>
      <c r="E3447" s="28">
        <v>0.44000</v>
      </c>
      <c r="F3447" s="29">
        <f ca="1">ROUND(4.050,3)</f>
        <v>0</v>
      </c>
      <c r="G3447" s="27">
        <f ca="1">ROUND(E3447*F3447,2)</f>
        <v>0</v>
      </c>
    </row>
    <row r="3448" spans="1:7" ht="39.84" thickBot="1" customHeight="1">
      <c r="A3448" s="24" t="s">
        <v>10586</v>
      </c>
      <c r="B3448" s="24" t="s">
        <v>10587</v>
      </c>
      <c r="C3448" s="24" t="s">
        <v>10588</v>
      </c>
      <c r="D3448" s="25" t="s">
        <v>10589</v>
      </c>
      <c r="E3448" s="28">
        <v>0.25000</v>
      </c>
      <c r="F3448" s="29">
        <f ca="1">ROUND(2.630,3)</f>
        <v>0</v>
      </c>
      <c r="G3448" s="27">
        <f ca="1">ROUND(E3448*F3448,2)</f>
        <v>0</v>
      </c>
    </row>
    <row r="3449" spans="1:7" ht="39.84" thickBot="1" customHeight="1">
      <c r="A3449" s="24" t="s">
        <v>10590</v>
      </c>
      <c r="B3449" s="24" t="s">
        <v>10591</v>
      </c>
      <c r="C3449" s="24" t="s">
        <v>10592</v>
      </c>
      <c r="D3449" s="25" t="s">
        <v>10593</v>
      </c>
      <c r="E3449" s="28">
        <v>0.20000</v>
      </c>
      <c r="F3449" s="29">
        <f ca="1">ROUND(2.860,3)</f>
        <v>0</v>
      </c>
      <c r="G3449" s="27">
        <f ca="1">ROUND(E3449*F3449,2)</f>
        <v>0</v>
      </c>
    </row>
    <row r="3450" spans="1:7" ht="21.36" thickBot="1" customHeight="1">
      <c r="A3450" s="24" t="s">
        <v>10594</v>
      </c>
      <c r="B3450" s="24" t="s">
        <v>10595</v>
      </c>
      <c r="C3450" s="24" t="s">
        <v>10596</v>
      </c>
      <c r="D3450" s="25" t="s">
        <v>10597</v>
      </c>
      <c r="E3450" s="28">
        <v>0.66667</v>
      </c>
      <c r="F3450" s="29">
        <f ca="1">F3454</f>
        <v>0</v>
      </c>
      <c r="G3450" s="27">
        <f ca="1">ROUND(E3450*F3450,2)</f>
        <v>0</v>
      </c>
    </row>
    <row r="3451" spans="1:7" ht="24.36" thickBot="1" customHeight="1">
      <c r="A3451" s="24" t="s">
        <v>10598</v>
      </c>
      <c r="B3451" s="24" t="s">
        <v>10599</v>
      </c>
      <c r="C3451" s="24" t="s">
        <v>10600</v>
      </c>
      <c r="D3451" s="25" t="s">
        <v>10601</v>
      </c>
      <c r="E3451" s="28">
        <v>1.00000</v>
      </c>
      <c r="F3451" s="29">
        <f ca="1">ROUND(21.000,3)</f>
        <v>0</v>
      </c>
      <c r="G3451" s="27">
        <f ca="1">ROUND(E3451*F3451,2)</f>
        <v>0</v>
      </c>
    </row>
    <row r="3452" spans="1:7" ht="24.36" thickBot="1" customHeight="1">
      <c r="A3452" s="24" t="s">
        <v>10602</v>
      </c>
      <c r="B3452" s="24" t="s">
        <v>10603</v>
      </c>
      <c r="C3452" s="24" t="s">
        <v>10604</v>
      </c>
      <c r="D3452" s="25" t="s">
        <v>10605</v>
      </c>
      <c r="E3452" s="28">
        <v>1.00000</v>
      </c>
      <c r="F3452" s="29">
        <f ca="1">ROUND(19.000,3)</f>
        <v>0</v>
      </c>
      <c r="G3452" s="27">
        <f ca="1">ROUND(E3452*F3452,2)</f>
        <v>0</v>
      </c>
    </row>
    <row r="3453" spans="1:7" ht="24.36" thickBot="1" customHeight="1">
      <c r="A3453" s="24" t="s">
        <v>10606</v>
      </c>
      <c r="B3453" s="24" t="s">
        <v>10607</v>
      </c>
      <c r="C3453" s="24" t="s">
        <v>10608</v>
      </c>
      <c r="D3453" s="25" t="s">
        <v>10609</v>
      </c>
      <c r="E3453" s="28">
        <v>0.20000</v>
      </c>
      <c r="F3453" s="29">
        <f ca="1">ROUND(19.000,3)</f>
        <v>0</v>
      </c>
      <c r="G3453" s="27">
        <f ca="1">ROUND(E3453*F3453,2)</f>
        <v>0</v>
      </c>
    </row>
    <row r="3454" spans="1:7" ht="15.12" thickBot="1" customHeight="1">
      <c r="A3454" s="26"/>
      <c r="B3454" s="26"/>
      <c r="C3454" s="26"/>
      <c r="D3454" s="24" t="s">
        <v>10610</v>
      </c>
      <c r="E3454" s="28">
        <v>0.66667</v>
      </c>
      <c r="F3454" s="29">
        <f ca="1">ROUND((G3451+G3452+G3453),3)</f>
        <v>0</v>
      </c>
      <c r="G3454" s="27">
        <f ca="1">ROUND(E3454*F3454,2)</f>
        <v>0</v>
      </c>
    </row>
    <row r="3455" spans="1:7" ht="15.12" thickBot="1" customHeight="1">
      <c r="A3455" s="24" t="s">
        <v>10611</v>
      </c>
      <c r="B3455" s="24"/>
      <c r="C3455" s="24" t="s">
        <v>10612</v>
      </c>
      <c r="D3455" s="25" t="s">
        <v>10613</v>
      </c>
      <c r="E3455" s="28">
        <v>5.00000</v>
      </c>
      <c r="F3455" s="29">
        <f ca="1">ROUND(29.200,3)</f>
        <v>0</v>
      </c>
      <c r="G3455" s="27">
        <f ca="1">ROUND((E3455*F3455)/100,2)</f>
        <v>0</v>
      </c>
    </row>
    <row r="3456" spans="1:7" ht="15.48" thickBot="1" customHeight="1">
      <c r="A3456" s="30"/>
      <c r="B3456" s="30"/>
      <c r="C3456" s="30"/>
      <c r="D3456" s="31" t="s">
        <v>10614</v>
      </c>
      <c r="E3456" s="30"/>
      <c r="F3456" s="33">
        <f ca="1">ROUND((G3440+G3441+G3442+G3443+G3444+G3445+G3446+G3447+G3448+G3449+G3450+G3455)*(1+G2/100),2)</f>
        <v>0</v>
      </c>
      <c r="G3456" s="30"/>
    </row>
    <row r="3457" spans="1:7" ht="67.56" thickBot="1" customHeight="1">
      <c r="A3457" s="34" t="s">
        <v>10615</v>
      </c>
      <c r="B3457" s="35" t="s">
        <v>10616</v>
      </c>
      <c r="C3457" s="35" t="s">
        <v>10617</v>
      </c>
      <c r="D3457" s="36" t="s">
        <v>10618</v>
      </c>
      <c r="E3457" s="37"/>
      <c r="F3457" s="38">
        <f ca="1">F3475</f>
        <v>0</v>
      </c>
      <c r="G3457" s="37"/>
    </row>
    <row r="3458" spans="1:7" ht="30.60" thickBot="1" customHeight="1">
      <c r="A3458" s="26"/>
      <c r="B3458" s="26"/>
      <c r="C3458" s="26"/>
      <c r="D3458" s="25" t="s">
        <v>10619</v>
      </c>
      <c r="E3458" s="25"/>
      <c r="F3458" s="25"/>
      <c r="G3458" s="25"/>
    </row>
    <row r="3459" spans="1:7" ht="30.60" thickBot="1" customHeight="1">
      <c r="A3459" s="24" t="s">
        <v>10620</v>
      </c>
      <c r="B3459" s="24" t="s">
        <v>10621</v>
      </c>
      <c r="C3459" s="24" t="s">
        <v>10622</v>
      </c>
      <c r="D3459" s="25" t="s">
        <v>10623</v>
      </c>
      <c r="E3459" s="28">
        <v>0.02230</v>
      </c>
      <c r="F3459" s="29">
        <f ca="1">ROUND(18.440,3)</f>
        <v>0</v>
      </c>
      <c r="G3459" s="27">
        <f ca="1">ROUND(E3459*F3459,2)</f>
        <v>0</v>
      </c>
    </row>
    <row r="3460" spans="1:7" ht="49.08" thickBot="1" customHeight="1">
      <c r="A3460" s="24" t="s">
        <v>10624</v>
      </c>
      <c r="B3460" s="24" t="s">
        <v>10625</v>
      </c>
      <c r="C3460" s="24" t="s">
        <v>10626</v>
      </c>
      <c r="D3460" s="25" t="s">
        <v>10627</v>
      </c>
      <c r="E3460" s="28">
        <v>0.04430</v>
      </c>
      <c r="F3460" s="29">
        <f ca="1">ROUND(45.570,3)</f>
        <v>0</v>
      </c>
      <c r="G3460" s="27">
        <f ca="1">ROUND(E3460*F3460,2)</f>
        <v>0</v>
      </c>
    </row>
    <row r="3461" spans="1:7" ht="30.60" thickBot="1" customHeight="1">
      <c r="A3461" s="24" t="s">
        <v>10628</v>
      </c>
      <c r="B3461" s="24" t="s">
        <v>10629</v>
      </c>
      <c r="C3461" s="24" t="s">
        <v>10630</v>
      </c>
      <c r="D3461" s="25" t="s">
        <v>10631</v>
      </c>
      <c r="E3461" s="28">
        <v>0.01100</v>
      </c>
      <c r="F3461" s="29">
        <f ca="1">ROUND(27.500,3)</f>
        <v>0</v>
      </c>
      <c r="G3461" s="27">
        <f ca="1">ROUND(E3461*F3461,2)</f>
        <v>0</v>
      </c>
    </row>
    <row r="3462" spans="1:7" ht="30.60" thickBot="1" customHeight="1">
      <c r="A3462" s="24" t="s">
        <v>10632</v>
      </c>
      <c r="B3462" s="24" t="s">
        <v>10633</v>
      </c>
      <c r="C3462" s="24" t="s">
        <v>10634</v>
      </c>
      <c r="D3462" s="25" t="s">
        <v>10635</v>
      </c>
      <c r="E3462" s="28">
        <v>0.75600</v>
      </c>
      <c r="F3462" s="29">
        <f ca="1">ROUND(22.450,3)</f>
        <v>0</v>
      </c>
      <c r="G3462" s="27">
        <f ca="1">ROUND(E3462*F3462,2)</f>
        <v>0</v>
      </c>
    </row>
    <row r="3463" spans="1:7" ht="21.36" thickBot="1" customHeight="1">
      <c r="A3463" s="24" t="s">
        <v>10636</v>
      </c>
      <c r="B3463" s="24" t="s">
        <v>10637</v>
      </c>
      <c r="C3463" s="24" t="s">
        <v>10638</v>
      </c>
      <c r="D3463" s="25" t="s">
        <v>10639</v>
      </c>
      <c r="E3463" s="28">
        <v>1.00000</v>
      </c>
      <c r="F3463" s="29">
        <f ca="1">ROUND(2.290,3)</f>
        <v>0</v>
      </c>
      <c r="G3463" s="27">
        <f ca="1">ROUND(E3463*F3463,2)</f>
        <v>0</v>
      </c>
    </row>
    <row r="3464" spans="1:7" ht="30.60" thickBot="1" customHeight="1">
      <c r="A3464" s="24" t="s">
        <v>10640</v>
      </c>
      <c r="B3464" s="24" t="s">
        <v>10641</v>
      </c>
      <c r="C3464" s="24" t="s">
        <v>10642</v>
      </c>
      <c r="D3464" s="25" t="s">
        <v>10643</v>
      </c>
      <c r="E3464" s="28">
        <v>0.07140</v>
      </c>
      <c r="F3464" s="29">
        <f ca="1">ROUND(23.460,3)</f>
        <v>0</v>
      </c>
      <c r="G3464" s="27">
        <f ca="1">ROUND(E3464*F3464,2)</f>
        <v>0</v>
      </c>
    </row>
    <row r="3465" spans="1:7" ht="30.60" thickBot="1" customHeight="1">
      <c r="A3465" s="24" t="s">
        <v>10644</v>
      </c>
      <c r="B3465" s="24" t="s">
        <v>10645</v>
      </c>
      <c r="C3465" s="24" t="s">
        <v>10646</v>
      </c>
      <c r="D3465" s="25" t="s">
        <v>10647</v>
      </c>
      <c r="E3465" s="28">
        <v>0.15000</v>
      </c>
      <c r="F3465" s="29">
        <f ca="1">ROUND(30.450,3)</f>
        <v>0</v>
      </c>
      <c r="G3465" s="27">
        <f ca="1">ROUND(E3465*F3465,2)</f>
        <v>0</v>
      </c>
    </row>
    <row r="3466" spans="1:7" ht="39.84" thickBot="1" customHeight="1">
      <c r="A3466" s="24" t="s">
        <v>10648</v>
      </c>
      <c r="B3466" s="24" t="s">
        <v>10649</v>
      </c>
      <c r="C3466" s="24" t="s">
        <v>10650</v>
      </c>
      <c r="D3466" s="25" t="s">
        <v>10651</v>
      </c>
      <c r="E3466" s="28">
        <v>0.44000</v>
      </c>
      <c r="F3466" s="29">
        <f ca="1">ROUND(4.050,3)</f>
        <v>0</v>
      </c>
      <c r="G3466" s="27">
        <f ca="1">ROUND(E3466*F3466,2)</f>
        <v>0</v>
      </c>
    </row>
    <row r="3467" spans="1:7" ht="39.84" thickBot="1" customHeight="1">
      <c r="A3467" s="24" t="s">
        <v>10652</v>
      </c>
      <c r="B3467" s="24" t="s">
        <v>10653</v>
      </c>
      <c r="C3467" s="24" t="s">
        <v>10654</v>
      </c>
      <c r="D3467" s="25" t="s">
        <v>10655</v>
      </c>
      <c r="E3467" s="28">
        <v>0.25000</v>
      </c>
      <c r="F3467" s="29">
        <f ca="1">ROUND(2.630,3)</f>
        <v>0</v>
      </c>
      <c r="G3467" s="27">
        <f ca="1">ROUND(E3467*F3467,2)</f>
        <v>0</v>
      </c>
    </row>
    <row r="3468" spans="1:7" ht="39.84" thickBot="1" customHeight="1">
      <c r="A3468" s="24" t="s">
        <v>10656</v>
      </c>
      <c r="B3468" s="24" t="s">
        <v>10657</v>
      </c>
      <c r="C3468" s="24" t="s">
        <v>10658</v>
      </c>
      <c r="D3468" s="25" t="s">
        <v>10659</v>
      </c>
      <c r="E3468" s="28">
        <v>0.20000</v>
      </c>
      <c r="F3468" s="29">
        <f ca="1">ROUND(2.860,3)</f>
        <v>0</v>
      </c>
      <c r="G3468" s="27">
        <f ca="1">ROUND(E3468*F3468,2)</f>
        <v>0</v>
      </c>
    </row>
    <row r="3469" spans="1:7" ht="21.36" thickBot="1" customHeight="1">
      <c r="A3469" s="24" t="s">
        <v>10660</v>
      </c>
      <c r="B3469" s="24" t="s">
        <v>10661</v>
      </c>
      <c r="C3469" s="24" t="s">
        <v>10662</v>
      </c>
      <c r="D3469" s="25" t="s">
        <v>10663</v>
      </c>
      <c r="E3469" s="28">
        <v>0.88889</v>
      </c>
      <c r="F3469" s="29">
        <f ca="1">F3473</f>
        <v>0</v>
      </c>
      <c r="G3469" s="27">
        <f ca="1">ROUND(E3469*F3469,2)</f>
        <v>0</v>
      </c>
    </row>
    <row r="3470" spans="1:7" ht="24.36" thickBot="1" customHeight="1">
      <c r="A3470" s="24" t="s">
        <v>10664</v>
      </c>
      <c r="B3470" s="24" t="s">
        <v>10665</v>
      </c>
      <c r="C3470" s="24" t="s">
        <v>10666</v>
      </c>
      <c r="D3470" s="25" t="s">
        <v>10667</v>
      </c>
      <c r="E3470" s="28">
        <v>1.00000</v>
      </c>
      <c r="F3470" s="29">
        <f ca="1">ROUND(21.000,3)</f>
        <v>0</v>
      </c>
      <c r="G3470" s="27">
        <f ca="1">ROUND(E3470*F3470,2)</f>
        <v>0</v>
      </c>
    </row>
    <row r="3471" spans="1:7" ht="24.36" thickBot="1" customHeight="1">
      <c r="A3471" s="24" t="s">
        <v>10668</v>
      </c>
      <c r="B3471" s="24" t="s">
        <v>10669</v>
      </c>
      <c r="C3471" s="24" t="s">
        <v>10670</v>
      </c>
      <c r="D3471" s="25" t="s">
        <v>10671</v>
      </c>
      <c r="E3471" s="28">
        <v>1.00000</v>
      </c>
      <c r="F3471" s="29">
        <f ca="1">ROUND(19.000,3)</f>
        <v>0</v>
      </c>
      <c r="G3471" s="27">
        <f ca="1">ROUND(E3471*F3471,2)</f>
        <v>0</v>
      </c>
    </row>
    <row r="3472" spans="1:7" ht="24.36" thickBot="1" customHeight="1">
      <c r="A3472" s="24" t="s">
        <v>10672</v>
      </c>
      <c r="B3472" s="24" t="s">
        <v>10673</v>
      </c>
      <c r="C3472" s="24" t="s">
        <v>10674</v>
      </c>
      <c r="D3472" s="25" t="s">
        <v>10675</v>
      </c>
      <c r="E3472" s="28">
        <v>0.20000</v>
      </c>
      <c r="F3472" s="29">
        <f ca="1">ROUND(19.000,3)</f>
        <v>0</v>
      </c>
      <c r="G3472" s="27">
        <f ca="1">ROUND(E3472*F3472,2)</f>
        <v>0</v>
      </c>
    </row>
    <row r="3473" spans="1:7" ht="15.12" thickBot="1" customHeight="1">
      <c r="A3473" s="26"/>
      <c r="B3473" s="26"/>
      <c r="C3473" s="26"/>
      <c r="D3473" s="24" t="s">
        <v>10676</v>
      </c>
      <c r="E3473" s="28">
        <v>0.88889</v>
      </c>
      <c r="F3473" s="29">
        <f ca="1">ROUND((G3470+G3471+G3472),3)</f>
        <v>0</v>
      </c>
      <c r="G3473" s="27">
        <f ca="1">ROUND(E3473*F3473,2)</f>
        <v>0</v>
      </c>
    </row>
    <row r="3474" spans="1:7" ht="15.12" thickBot="1" customHeight="1">
      <c r="A3474" s="24" t="s">
        <v>10677</v>
      </c>
      <c r="B3474" s="24"/>
      <c r="C3474" s="24" t="s">
        <v>10678</v>
      </c>
      <c r="D3474" s="25" t="s">
        <v>10679</v>
      </c>
      <c r="E3474" s="28">
        <v>5.00000</v>
      </c>
      <c r="F3474" s="29">
        <f ca="1">ROUND(38.930,3)</f>
        <v>0</v>
      </c>
      <c r="G3474" s="27">
        <f ca="1">ROUND((E3474*F3474)/100,2)</f>
        <v>0</v>
      </c>
    </row>
    <row r="3475" spans="1:7" ht="15.48" thickBot="1" customHeight="1">
      <c r="A3475" s="30"/>
      <c r="B3475" s="30"/>
      <c r="C3475" s="30"/>
      <c r="D3475" s="31" t="s">
        <v>10680</v>
      </c>
      <c r="E3475" s="30"/>
      <c r="F3475" s="33">
        <f ca="1">ROUND((G3459+G3460+G3461+G3462+G3463+G3464+G3465+G3466+G3467+G3468+G3469+G3474)*(1+G2/100),2)</f>
        <v>0</v>
      </c>
      <c r="G3475" s="30"/>
    </row>
    <row r="3476" spans="1:7" ht="49.08" thickBot="1" customHeight="1">
      <c r="A3476" s="34" t="s">
        <v>10681</v>
      </c>
      <c r="B3476" s="35" t="s">
        <v>10682</v>
      </c>
      <c r="C3476" s="35" t="s">
        <v>10683</v>
      </c>
      <c r="D3476" s="36" t="s">
        <v>10684</v>
      </c>
      <c r="E3476" s="37"/>
      <c r="F3476" s="38">
        <f ca="1">F3486</f>
        <v>0</v>
      </c>
      <c r="G3476" s="37"/>
    </row>
    <row r="3477" spans="1:7" ht="12.12" thickBot="1" customHeight="1">
      <c r="A3477" s="26"/>
      <c r="B3477" s="26"/>
      <c r="C3477" s="26"/>
      <c r="D3477" s="25" t="s">
        <v>10685</v>
      </c>
      <c r="E3477" s="25"/>
      <c r="F3477" s="25"/>
      <c r="G3477" s="25"/>
    </row>
    <row r="3478" spans="1:7" ht="30.60" thickBot="1" customHeight="1">
      <c r="A3478" s="24" t="s">
        <v>10686</v>
      </c>
      <c r="B3478" s="24" t="s">
        <v>10687</v>
      </c>
      <c r="C3478" s="24" t="s">
        <v>10688</v>
      </c>
      <c r="D3478" s="25" t="s">
        <v>10689</v>
      </c>
      <c r="E3478" s="28">
        <v>0.08500</v>
      </c>
      <c r="F3478" s="29">
        <f ca="1">ROUND(18.440,3)</f>
        <v>0</v>
      </c>
      <c r="G3478" s="27">
        <f ca="1">ROUND(E3478*F3478,2)</f>
        <v>0</v>
      </c>
    </row>
    <row r="3479" spans="1:7" ht="49.08" thickBot="1" customHeight="1">
      <c r="A3479" s="24" t="s">
        <v>10690</v>
      </c>
      <c r="B3479" s="24" t="s">
        <v>10691</v>
      </c>
      <c r="C3479" s="24" t="s">
        <v>10692</v>
      </c>
      <c r="D3479" s="25" t="s">
        <v>10693</v>
      </c>
      <c r="E3479" s="28">
        <v>0.09500</v>
      </c>
      <c r="F3479" s="29">
        <f ca="1">ROUND(45.570,3)</f>
        <v>0</v>
      </c>
      <c r="G3479" s="27">
        <f ca="1">ROUND(E3479*F3479,2)</f>
        <v>0</v>
      </c>
    </row>
    <row r="3480" spans="1:7" ht="21.36" thickBot="1" customHeight="1">
      <c r="A3480" s="24" t="s">
        <v>10694</v>
      </c>
      <c r="B3480" s="24" t="s">
        <v>10695</v>
      </c>
      <c r="C3480" s="24" t="s">
        <v>10696</v>
      </c>
      <c r="D3480" s="25" t="s">
        <v>10697</v>
      </c>
      <c r="E3480" s="28">
        <v>0.22857</v>
      </c>
      <c r="F3480" s="29">
        <f ca="1">F3484</f>
        <v>0</v>
      </c>
      <c r="G3480" s="27">
        <f ca="1">ROUND(E3480*F3480,2)</f>
        <v>0</v>
      </c>
    </row>
    <row r="3481" spans="1:7" ht="24.36" thickBot="1" customHeight="1">
      <c r="A3481" s="24" t="s">
        <v>10698</v>
      </c>
      <c r="B3481" s="24" t="s">
        <v>10699</v>
      </c>
      <c r="C3481" s="24" t="s">
        <v>10700</v>
      </c>
      <c r="D3481" s="25" t="s">
        <v>10701</v>
      </c>
      <c r="E3481" s="28">
        <v>1.00000</v>
      </c>
      <c r="F3481" s="29">
        <f ca="1">ROUND(21.000,3)</f>
        <v>0</v>
      </c>
      <c r="G3481" s="27">
        <f ca="1">ROUND(E3481*F3481,2)</f>
        <v>0</v>
      </c>
    </row>
    <row r="3482" spans="1:7" ht="24.36" thickBot="1" customHeight="1">
      <c r="A3482" s="24" t="s">
        <v>10702</v>
      </c>
      <c r="B3482" s="24" t="s">
        <v>10703</v>
      </c>
      <c r="C3482" s="24" t="s">
        <v>10704</v>
      </c>
      <c r="D3482" s="25" t="s">
        <v>10705</v>
      </c>
      <c r="E3482" s="28">
        <v>1.00000</v>
      </c>
      <c r="F3482" s="29">
        <f ca="1">ROUND(19.000,3)</f>
        <v>0</v>
      </c>
      <c r="G3482" s="27">
        <f ca="1">ROUND(E3482*F3482,2)</f>
        <v>0</v>
      </c>
    </row>
    <row r="3483" spans="1:7" ht="24.36" thickBot="1" customHeight="1">
      <c r="A3483" s="24" t="s">
        <v>10706</v>
      </c>
      <c r="B3483" s="24" t="s">
        <v>10707</v>
      </c>
      <c r="C3483" s="24" t="s">
        <v>10708</v>
      </c>
      <c r="D3483" s="25" t="s">
        <v>10709</v>
      </c>
      <c r="E3483" s="28">
        <v>0.20000</v>
      </c>
      <c r="F3483" s="29">
        <f ca="1">ROUND(19.000,3)</f>
        <v>0</v>
      </c>
      <c r="G3483" s="27">
        <f ca="1">ROUND(E3483*F3483,2)</f>
        <v>0</v>
      </c>
    </row>
    <row r="3484" spans="1:7" ht="15.12" thickBot="1" customHeight="1">
      <c r="A3484" s="26"/>
      <c r="B3484" s="26"/>
      <c r="C3484" s="26"/>
      <c r="D3484" s="24" t="s">
        <v>10710</v>
      </c>
      <c r="E3484" s="28">
        <v>0.22857</v>
      </c>
      <c r="F3484" s="29">
        <f ca="1">ROUND((G3481+G3482+G3483),3)</f>
        <v>0</v>
      </c>
      <c r="G3484" s="27">
        <f ca="1">ROUND(E3484*F3484,2)</f>
        <v>0</v>
      </c>
    </row>
    <row r="3485" spans="1:7" ht="15.12" thickBot="1" customHeight="1">
      <c r="A3485" s="24" t="s">
        <v>10711</v>
      </c>
      <c r="B3485" s="24"/>
      <c r="C3485" s="24" t="s">
        <v>10712</v>
      </c>
      <c r="D3485" s="25" t="s">
        <v>10713</v>
      </c>
      <c r="E3485" s="28">
        <v>5.00000</v>
      </c>
      <c r="F3485" s="29">
        <f ca="1">ROUND(10.010,3)</f>
        <v>0</v>
      </c>
      <c r="G3485" s="27">
        <f ca="1">ROUND((E3485*F3485)/100,2)</f>
        <v>0</v>
      </c>
    </row>
    <row r="3486" spans="1:7" ht="15.48" thickBot="1" customHeight="1">
      <c r="A3486" s="30"/>
      <c r="B3486" s="30"/>
      <c r="C3486" s="30"/>
      <c r="D3486" s="31" t="s">
        <v>10714</v>
      </c>
      <c r="E3486" s="30"/>
      <c r="F3486" s="33">
        <f ca="1">ROUND((G3478+G3479+G3480+G3485)*(1+G2/100),2)</f>
        <v>0</v>
      </c>
      <c r="G3486" s="30"/>
    </row>
    <row r="3487" spans="1:7" ht="49.08" thickBot="1" customHeight="1">
      <c r="A3487" s="34" t="s">
        <v>10715</v>
      </c>
      <c r="B3487" s="35" t="s">
        <v>10716</v>
      </c>
      <c r="C3487" s="35" t="s">
        <v>10717</v>
      </c>
      <c r="D3487" s="36" t="s">
        <v>10718</v>
      </c>
      <c r="E3487" s="37"/>
      <c r="F3487" s="38">
        <f ca="1">F3497</f>
        <v>0</v>
      </c>
      <c r="G3487" s="37"/>
    </row>
    <row r="3488" spans="1:7" ht="12.12" thickBot="1" customHeight="1">
      <c r="A3488" s="26"/>
      <c r="B3488" s="26"/>
      <c r="C3488" s="26"/>
      <c r="D3488" s="25" t="s">
        <v>10719</v>
      </c>
      <c r="E3488" s="25"/>
      <c r="F3488" s="25"/>
      <c r="G3488" s="25"/>
    </row>
    <row r="3489" spans="1:7" ht="30.60" thickBot="1" customHeight="1">
      <c r="A3489" s="24" t="s">
        <v>10720</v>
      </c>
      <c r="B3489" s="24" t="s">
        <v>10721</v>
      </c>
      <c r="C3489" s="24" t="s">
        <v>10722</v>
      </c>
      <c r="D3489" s="25" t="s">
        <v>10723</v>
      </c>
      <c r="E3489" s="28">
        <v>0.10000</v>
      </c>
      <c r="F3489" s="29">
        <f ca="1">ROUND(18.440,3)</f>
        <v>0</v>
      </c>
      <c r="G3489" s="27">
        <f ca="1">ROUND(E3489*F3489,2)</f>
        <v>0</v>
      </c>
    </row>
    <row r="3490" spans="1:7" ht="49.08" thickBot="1" customHeight="1">
      <c r="A3490" s="24" t="s">
        <v>10724</v>
      </c>
      <c r="B3490" s="24" t="s">
        <v>10725</v>
      </c>
      <c r="C3490" s="24" t="s">
        <v>10726</v>
      </c>
      <c r="D3490" s="25" t="s">
        <v>10727</v>
      </c>
      <c r="E3490" s="28">
        <v>0.10750</v>
      </c>
      <c r="F3490" s="29">
        <f ca="1">ROUND(45.570,3)</f>
        <v>0</v>
      </c>
      <c r="G3490" s="27">
        <f ca="1">ROUND(E3490*F3490,2)</f>
        <v>0</v>
      </c>
    </row>
    <row r="3491" spans="1:7" ht="21.36" thickBot="1" customHeight="1">
      <c r="A3491" s="24" t="s">
        <v>10728</v>
      </c>
      <c r="B3491" s="24" t="s">
        <v>10729</v>
      </c>
      <c r="C3491" s="24" t="s">
        <v>10730</v>
      </c>
      <c r="D3491" s="25" t="s">
        <v>10731</v>
      </c>
      <c r="E3491" s="28">
        <v>0.26667</v>
      </c>
      <c r="F3491" s="29">
        <f ca="1">F3495</f>
        <v>0</v>
      </c>
      <c r="G3491" s="27">
        <f ca="1">ROUND(E3491*F3491,2)</f>
        <v>0</v>
      </c>
    </row>
    <row r="3492" spans="1:7" ht="24.36" thickBot="1" customHeight="1">
      <c r="A3492" s="24" t="s">
        <v>10732</v>
      </c>
      <c r="B3492" s="24" t="s">
        <v>10733</v>
      </c>
      <c r="C3492" s="24" t="s">
        <v>10734</v>
      </c>
      <c r="D3492" s="25" t="s">
        <v>10735</v>
      </c>
      <c r="E3492" s="28">
        <v>1.00000</v>
      </c>
      <c r="F3492" s="29">
        <f ca="1">ROUND(21.000,3)</f>
        <v>0</v>
      </c>
      <c r="G3492" s="27">
        <f ca="1">ROUND(E3492*F3492,2)</f>
        <v>0</v>
      </c>
    </row>
    <row r="3493" spans="1:7" ht="24.36" thickBot="1" customHeight="1">
      <c r="A3493" s="24" t="s">
        <v>10736</v>
      </c>
      <c r="B3493" s="24" t="s">
        <v>10737</v>
      </c>
      <c r="C3493" s="24" t="s">
        <v>10738</v>
      </c>
      <c r="D3493" s="25" t="s">
        <v>10739</v>
      </c>
      <c r="E3493" s="28">
        <v>1.00000</v>
      </c>
      <c r="F3493" s="29">
        <f ca="1">ROUND(19.000,3)</f>
        <v>0</v>
      </c>
      <c r="G3493" s="27">
        <f ca="1">ROUND(E3493*F3493,2)</f>
        <v>0</v>
      </c>
    </row>
    <row r="3494" spans="1:7" ht="24.36" thickBot="1" customHeight="1">
      <c r="A3494" s="24" t="s">
        <v>10740</v>
      </c>
      <c r="B3494" s="24" t="s">
        <v>10741</v>
      </c>
      <c r="C3494" s="24" t="s">
        <v>10742</v>
      </c>
      <c r="D3494" s="25" t="s">
        <v>10743</v>
      </c>
      <c r="E3494" s="28">
        <v>0.20000</v>
      </c>
      <c r="F3494" s="29">
        <f ca="1">ROUND(19.000,3)</f>
        <v>0</v>
      </c>
      <c r="G3494" s="27">
        <f ca="1">ROUND(E3494*F3494,2)</f>
        <v>0</v>
      </c>
    </row>
    <row r="3495" spans="1:7" ht="15.12" thickBot="1" customHeight="1">
      <c r="A3495" s="26"/>
      <c r="B3495" s="26"/>
      <c r="C3495" s="26"/>
      <c r="D3495" s="24" t="s">
        <v>10744</v>
      </c>
      <c r="E3495" s="28">
        <v>0.26667</v>
      </c>
      <c r="F3495" s="29">
        <f ca="1">ROUND((G3492+G3493+G3494),3)</f>
        <v>0</v>
      </c>
      <c r="G3495" s="27">
        <f ca="1">ROUND(E3495*F3495,2)</f>
        <v>0</v>
      </c>
    </row>
    <row r="3496" spans="1:7" ht="15.12" thickBot="1" customHeight="1">
      <c r="A3496" s="24" t="s">
        <v>10745</v>
      </c>
      <c r="B3496" s="24"/>
      <c r="C3496" s="24" t="s">
        <v>10746</v>
      </c>
      <c r="D3496" s="25" t="s">
        <v>10747</v>
      </c>
      <c r="E3496" s="28">
        <v>5.00000</v>
      </c>
      <c r="F3496" s="29">
        <f ca="1">ROUND(11.680,3)</f>
        <v>0</v>
      </c>
      <c r="G3496" s="27">
        <f ca="1">ROUND((E3496*F3496)/100,2)</f>
        <v>0</v>
      </c>
    </row>
    <row r="3497" spans="1:7" ht="15.48" thickBot="1" customHeight="1">
      <c r="A3497" s="30"/>
      <c r="B3497" s="30"/>
      <c r="C3497" s="30"/>
      <c r="D3497" s="31" t="s">
        <v>10748</v>
      </c>
      <c r="E3497" s="30"/>
      <c r="F3497" s="33">
        <f ca="1">ROUND((G3489+G3490+G3491+G3496)*(1+G2/100),2)</f>
        <v>0</v>
      </c>
      <c r="G3497" s="30"/>
    </row>
    <row r="3498" spans="1:7" ht="49.08" thickBot="1" customHeight="1">
      <c r="A3498" s="34" t="s">
        <v>10749</v>
      </c>
      <c r="B3498" s="35" t="s">
        <v>10750</v>
      </c>
      <c r="C3498" s="35" t="s">
        <v>10751</v>
      </c>
      <c r="D3498" s="36" t="s">
        <v>10752</v>
      </c>
      <c r="E3498" s="37"/>
      <c r="F3498" s="38">
        <f ca="1">F3508</f>
        <v>0</v>
      </c>
      <c r="G3498" s="37"/>
    </row>
    <row r="3499" spans="1:7" ht="12.12" thickBot="1" customHeight="1">
      <c r="A3499" s="26"/>
      <c r="B3499" s="26"/>
      <c r="C3499" s="26"/>
      <c r="D3499" s="25" t="s">
        <v>10753</v>
      </c>
      <c r="E3499" s="25"/>
      <c r="F3499" s="25"/>
      <c r="G3499" s="25"/>
    </row>
    <row r="3500" spans="1:7" ht="30.60" thickBot="1" customHeight="1">
      <c r="A3500" s="24" t="s">
        <v>10754</v>
      </c>
      <c r="B3500" s="24" t="s">
        <v>10755</v>
      </c>
      <c r="C3500" s="24" t="s">
        <v>10756</v>
      </c>
      <c r="D3500" s="25" t="s">
        <v>10757</v>
      </c>
      <c r="E3500" s="28">
        <v>0.11300</v>
      </c>
      <c r="F3500" s="29">
        <f ca="1">ROUND(18.440,3)</f>
        <v>0</v>
      </c>
      <c r="G3500" s="27">
        <f ca="1">ROUND(E3500*F3500,2)</f>
        <v>0</v>
      </c>
    </row>
    <row r="3501" spans="1:7" ht="49.08" thickBot="1" customHeight="1">
      <c r="A3501" s="24" t="s">
        <v>10758</v>
      </c>
      <c r="B3501" s="24" t="s">
        <v>10759</v>
      </c>
      <c r="C3501" s="24" t="s">
        <v>10760</v>
      </c>
      <c r="D3501" s="25" t="s">
        <v>10761</v>
      </c>
      <c r="E3501" s="28">
        <v>0.12750</v>
      </c>
      <c r="F3501" s="29">
        <f ca="1">ROUND(45.570,3)</f>
        <v>0</v>
      </c>
      <c r="G3501" s="27">
        <f ca="1">ROUND(E3501*F3501,2)</f>
        <v>0</v>
      </c>
    </row>
    <row r="3502" spans="1:7" ht="21.36" thickBot="1" customHeight="1">
      <c r="A3502" s="24" t="s">
        <v>10762</v>
      </c>
      <c r="B3502" s="24" t="s">
        <v>10763</v>
      </c>
      <c r="C3502" s="24" t="s">
        <v>10764</v>
      </c>
      <c r="D3502" s="25" t="s">
        <v>10765</v>
      </c>
      <c r="E3502" s="28">
        <v>0.32000</v>
      </c>
      <c r="F3502" s="29">
        <f ca="1">F3506</f>
        <v>0</v>
      </c>
      <c r="G3502" s="27">
        <f ca="1">ROUND(E3502*F3502,2)</f>
        <v>0</v>
      </c>
    </row>
    <row r="3503" spans="1:7" ht="24.36" thickBot="1" customHeight="1">
      <c r="A3503" s="24" t="s">
        <v>10766</v>
      </c>
      <c r="B3503" s="24" t="s">
        <v>10767</v>
      </c>
      <c r="C3503" s="24" t="s">
        <v>10768</v>
      </c>
      <c r="D3503" s="25" t="s">
        <v>10769</v>
      </c>
      <c r="E3503" s="28">
        <v>1.00000</v>
      </c>
      <c r="F3503" s="29">
        <f ca="1">ROUND(21.000,3)</f>
        <v>0</v>
      </c>
      <c r="G3503" s="27">
        <f ca="1">ROUND(E3503*F3503,2)</f>
        <v>0</v>
      </c>
    </row>
    <row r="3504" spans="1:7" ht="24.36" thickBot="1" customHeight="1">
      <c r="A3504" s="24" t="s">
        <v>10770</v>
      </c>
      <c r="B3504" s="24" t="s">
        <v>10771</v>
      </c>
      <c r="C3504" s="24" t="s">
        <v>10772</v>
      </c>
      <c r="D3504" s="25" t="s">
        <v>10773</v>
      </c>
      <c r="E3504" s="28">
        <v>1.00000</v>
      </c>
      <c r="F3504" s="29">
        <f ca="1">ROUND(19.000,3)</f>
        <v>0</v>
      </c>
      <c r="G3504" s="27">
        <f ca="1">ROUND(E3504*F3504,2)</f>
        <v>0</v>
      </c>
    </row>
    <row r="3505" spans="1:7" ht="24.36" thickBot="1" customHeight="1">
      <c r="A3505" s="24" t="s">
        <v>10774</v>
      </c>
      <c r="B3505" s="24" t="s">
        <v>10775</v>
      </c>
      <c r="C3505" s="24" t="s">
        <v>10776</v>
      </c>
      <c r="D3505" s="25" t="s">
        <v>10777</v>
      </c>
      <c r="E3505" s="28">
        <v>0.20000</v>
      </c>
      <c r="F3505" s="29">
        <f ca="1">ROUND(19.000,3)</f>
        <v>0</v>
      </c>
      <c r="G3505" s="27">
        <f ca="1">ROUND(E3505*F3505,2)</f>
        <v>0</v>
      </c>
    </row>
    <row r="3506" spans="1:7" ht="15.12" thickBot="1" customHeight="1">
      <c r="A3506" s="26"/>
      <c r="B3506" s="26"/>
      <c r="C3506" s="26"/>
      <c r="D3506" s="24" t="s">
        <v>10778</v>
      </c>
      <c r="E3506" s="28">
        <v>0.32000</v>
      </c>
      <c r="F3506" s="29">
        <f ca="1">ROUND((G3503+G3504+G3505),3)</f>
        <v>0</v>
      </c>
      <c r="G3506" s="27">
        <f ca="1">ROUND(E3506*F3506,2)</f>
        <v>0</v>
      </c>
    </row>
    <row r="3507" spans="1:7" ht="15.12" thickBot="1" customHeight="1">
      <c r="A3507" s="24" t="s">
        <v>10779</v>
      </c>
      <c r="B3507" s="24"/>
      <c r="C3507" s="24" t="s">
        <v>10780</v>
      </c>
      <c r="D3507" s="25" t="s">
        <v>10781</v>
      </c>
      <c r="E3507" s="28">
        <v>5.00000</v>
      </c>
      <c r="F3507" s="29">
        <f ca="1">ROUND(14.020,3)</f>
        <v>0</v>
      </c>
      <c r="G3507" s="27">
        <f ca="1">ROUND((E3507*F3507)/100,2)</f>
        <v>0</v>
      </c>
    </row>
    <row r="3508" spans="1:7" ht="15.48" thickBot="1" customHeight="1">
      <c r="A3508" s="30"/>
      <c r="B3508" s="30"/>
      <c r="C3508" s="30"/>
      <c r="D3508" s="31" t="s">
        <v>10782</v>
      </c>
      <c r="E3508" s="30"/>
      <c r="F3508" s="33">
        <f ca="1">ROUND((G3500+G3501+G3502+G3507)*(1+G2/100),2)</f>
        <v>0</v>
      </c>
      <c r="G3508" s="30"/>
    </row>
    <row r="3509" spans="1:7" ht="15.48" thickBot="1" customHeight="1">
      <c r="A3509" s="39"/>
      <c r="B3509" s="39"/>
      <c r="C3509" s="39"/>
      <c r="D3509" s="50" t="s">
        <v>10783</v>
      </c>
      <c r="E3509" s="51"/>
      <c r="F3509" s="51"/>
      <c r="G3509" s="51"/>
    </row>
    <row r="3510" spans="1:7" ht="15.48" thickBot="1" customHeight="1">
      <c r="A3510" s="52" t="s">
        <v>10784</v>
      </c>
      <c r="B3510" s="52" t="s">
        <v>10785</v>
      </c>
      <c r="C3510" s="53"/>
      <c r="D3510" s="54" t="s">
        <v>10786</v>
      </c>
      <c r="E3510" s="53"/>
      <c r="F3510" s="53"/>
      <c r="G3510" s="53"/>
    </row>
    <row r="3511" spans="1:7" ht="30.60" thickBot="1" customHeight="1">
      <c r="A3511" s="10" t="s">
        <v>10787</v>
      </c>
      <c r="B3511" s="24" t="s">
        <v>10788</v>
      </c>
      <c r="C3511" s="24" t="s">
        <v>10789</v>
      </c>
      <c r="D3511" s="25" t="s">
        <v>10790</v>
      </c>
      <c r="E3511" s="26"/>
      <c r="F3511" s="27">
        <f ca="1">F3554</f>
        <v>0</v>
      </c>
      <c r="G3511" s="26"/>
    </row>
    <row r="3512" spans="1:7" ht="12.12" thickBot="1" customHeight="1">
      <c r="A3512" s="26"/>
      <c r="B3512" s="26"/>
      <c r="C3512" s="26"/>
      <c r="D3512" s="25" t="s">
        <v>10791</v>
      </c>
      <c r="E3512" s="25"/>
      <c r="F3512" s="25"/>
      <c r="G3512" s="25"/>
    </row>
    <row r="3513" spans="1:7" ht="21.36" thickBot="1" customHeight="1">
      <c r="A3513" s="24" t="s">
        <v>10792</v>
      </c>
      <c r="B3513" s="24" t="s">
        <v>10793</v>
      </c>
      <c r="C3513" s="24" t="s">
        <v>10794</v>
      </c>
      <c r="D3513" s="25" t="s">
        <v>10795</v>
      </c>
      <c r="E3513" s="28">
        <v>8.00000</v>
      </c>
      <c r="F3513" s="29">
        <f ca="1">F3515</f>
        <v>0</v>
      </c>
      <c r="G3513" s="27">
        <f ca="1">ROUND(E3513*F3513,2)</f>
        <v>0</v>
      </c>
    </row>
    <row r="3514" spans="1:7" ht="24.36" thickBot="1" customHeight="1">
      <c r="A3514" s="24" t="s">
        <v>10796</v>
      </c>
      <c r="B3514" s="24" t="s">
        <v>10797</v>
      </c>
      <c r="C3514" s="24" t="s">
        <v>10798</v>
      </c>
      <c r="D3514" s="25" t="s">
        <v>10799</v>
      </c>
      <c r="E3514" s="28">
        <v>0.25000</v>
      </c>
      <c r="F3514" s="29">
        <f ca="1">ROUND(33.750,3)</f>
        <v>0</v>
      </c>
      <c r="G3514" s="27">
        <f ca="1">ROUND(E3514*F3514,2)</f>
        <v>0</v>
      </c>
    </row>
    <row r="3515" spans="1:7" ht="15.12" thickBot="1" customHeight="1">
      <c r="A3515" s="26"/>
      <c r="B3515" s="26"/>
      <c r="C3515" s="26"/>
      <c r="D3515" s="24" t="s">
        <v>10800</v>
      </c>
      <c r="E3515" s="28">
        <v>8.00000</v>
      </c>
      <c r="F3515" s="29">
        <f ca="1">ROUND((G3514),3)</f>
        <v>0</v>
      </c>
      <c r="G3515" s="27">
        <f ca="1">ROUND(E3515*F3515,2)</f>
        <v>0</v>
      </c>
    </row>
    <row r="3516" spans="1:7" ht="15.12" thickBot="1" customHeight="1">
      <c r="A3516" s="24" t="s">
        <v>10801</v>
      </c>
      <c r="B3516" s="24" t="s">
        <v>10802</v>
      </c>
      <c r="C3516" s="24" t="s">
        <v>10803</v>
      </c>
      <c r="D3516" s="25" t="s">
        <v>10804</v>
      </c>
      <c r="E3516" s="28">
        <v>7.00000</v>
      </c>
      <c r="F3516" s="29">
        <f ca="1">F3518</f>
        <v>0</v>
      </c>
      <c r="G3516" s="27">
        <f ca="1">ROUND(E3516*F3516,2)</f>
        <v>0</v>
      </c>
    </row>
    <row r="3517" spans="1:7" ht="24.36" thickBot="1" customHeight="1">
      <c r="A3517" s="24" t="s">
        <v>10805</v>
      </c>
      <c r="B3517" s="24" t="s">
        <v>10806</v>
      </c>
      <c r="C3517" s="24" t="s">
        <v>10807</v>
      </c>
      <c r="D3517" s="25" t="s">
        <v>10808</v>
      </c>
      <c r="E3517" s="28">
        <v>1.00000</v>
      </c>
      <c r="F3517" s="29">
        <f ca="1">ROUND(33.750,3)</f>
        <v>0</v>
      </c>
      <c r="G3517" s="27">
        <f ca="1">ROUND(E3517*F3517,2)</f>
        <v>0</v>
      </c>
    </row>
    <row r="3518" spans="1:7" ht="15.12" thickBot="1" customHeight="1">
      <c r="A3518" s="26"/>
      <c r="B3518" s="26"/>
      <c r="C3518" s="26"/>
      <c r="D3518" s="24" t="s">
        <v>10809</v>
      </c>
      <c r="E3518" s="28">
        <v>7.00000</v>
      </c>
      <c r="F3518" s="29">
        <f ca="1">ROUND((G3517),3)</f>
        <v>0</v>
      </c>
      <c r="G3518" s="27">
        <f ca="1">ROUND(E3518*F3518,2)</f>
        <v>0</v>
      </c>
    </row>
    <row r="3519" spans="1:7" ht="30.60" thickBot="1" customHeight="1">
      <c r="A3519" s="24" t="s">
        <v>10810</v>
      </c>
      <c r="B3519" s="24" t="s">
        <v>10811</v>
      </c>
      <c r="C3519" s="24" t="s">
        <v>10812</v>
      </c>
      <c r="D3519" s="25" t="s">
        <v>10813</v>
      </c>
      <c r="E3519" s="28">
        <v>1.00000</v>
      </c>
      <c r="F3519" s="29">
        <f ca="1">F3522</f>
        <v>0</v>
      </c>
      <c r="G3519" s="27">
        <f ca="1">ROUND(E3519*F3519,2)</f>
        <v>0</v>
      </c>
    </row>
    <row r="3520" spans="1:7" ht="15.12" thickBot="1" customHeight="1">
      <c r="A3520" s="24" t="s">
        <v>10814</v>
      </c>
      <c r="B3520" s="24" t="s">
        <v>10815</v>
      </c>
      <c r="C3520" s="24" t="s">
        <v>10816</v>
      </c>
      <c r="D3520" s="25" t="s">
        <v>10817</v>
      </c>
      <c r="E3520" s="28">
        <v>1.00000</v>
      </c>
      <c r="F3520" s="29">
        <f ca="1">ROUND(50.000,3)</f>
        <v>0</v>
      </c>
      <c r="G3520" s="27">
        <f ca="1">ROUND(E3520*F3520,2)</f>
        <v>0</v>
      </c>
    </row>
    <row r="3521" spans="1:7" ht="24.36" thickBot="1" customHeight="1">
      <c r="A3521" s="24" t="s">
        <v>10818</v>
      </c>
      <c r="B3521" s="24" t="s">
        <v>10819</v>
      </c>
      <c r="C3521" s="24" t="s">
        <v>10820</v>
      </c>
      <c r="D3521" s="25" t="s">
        <v>10821</v>
      </c>
      <c r="E3521" s="28">
        <v>8.00000</v>
      </c>
      <c r="F3521" s="29">
        <f ca="1">ROUND(49.500,3)</f>
        <v>0</v>
      </c>
      <c r="G3521" s="27">
        <f ca="1">ROUND(E3521*F3521,2)</f>
        <v>0</v>
      </c>
    </row>
    <row r="3522" spans="1:7" ht="15.12" thickBot="1" customHeight="1">
      <c r="A3522" s="26"/>
      <c r="B3522" s="26"/>
      <c r="C3522" s="26"/>
      <c r="D3522" s="24" t="s">
        <v>10822</v>
      </c>
      <c r="E3522" s="28">
        <v>1.00000</v>
      </c>
      <c r="F3522" s="29">
        <f ca="1">ROUND((G3520+G3521),3)</f>
        <v>0</v>
      </c>
      <c r="G3522" s="27">
        <f ca="1">ROUND(E3522*F3522,2)</f>
        <v>0</v>
      </c>
    </row>
    <row r="3523" spans="1:7" ht="21.36" thickBot="1" customHeight="1">
      <c r="A3523" s="24" t="s">
        <v>10823</v>
      </c>
      <c r="B3523" s="24" t="s">
        <v>10824</v>
      </c>
      <c r="C3523" s="24" t="s">
        <v>10825</v>
      </c>
      <c r="D3523" s="25" t="s">
        <v>10826</v>
      </c>
      <c r="E3523" s="28">
        <v>6.00000</v>
      </c>
      <c r="F3523" s="29">
        <f ca="1">F3533</f>
        <v>0</v>
      </c>
      <c r="G3523" s="27">
        <f ca="1">ROUND(E3523*F3523,2)</f>
        <v>0</v>
      </c>
    </row>
    <row r="3524" spans="1:7" ht="21.36" thickBot="1" customHeight="1">
      <c r="A3524" s="24" t="s">
        <v>10827</v>
      </c>
      <c r="B3524" s="24" t="s">
        <v>10828</v>
      </c>
      <c r="C3524" s="24" t="s">
        <v>10829</v>
      </c>
      <c r="D3524" s="25" t="s">
        <v>10830</v>
      </c>
      <c r="E3524" s="28">
        <v>2.00000</v>
      </c>
      <c r="F3524" s="29">
        <f ca="1">ROUND(145.710,3)</f>
        <v>0</v>
      </c>
      <c r="G3524" s="27">
        <f ca="1">ROUND(E3524*F3524,2)</f>
        <v>0</v>
      </c>
    </row>
    <row r="3525" spans="1:7" ht="30.60" thickBot="1" customHeight="1">
      <c r="A3525" s="24" t="s">
        <v>10831</v>
      </c>
      <c r="B3525" s="24" t="s">
        <v>10832</v>
      </c>
      <c r="C3525" s="24" t="s">
        <v>10833</v>
      </c>
      <c r="D3525" s="25" t="s">
        <v>10834</v>
      </c>
      <c r="E3525" s="28">
        <v>4.00000</v>
      </c>
      <c r="F3525" s="29">
        <f ca="1">ROUND(12.000,3)</f>
        <v>0</v>
      </c>
      <c r="G3525" s="27">
        <f ca="1">ROUND(E3525*F3525,2)</f>
        <v>0</v>
      </c>
    </row>
    <row r="3526" spans="1:7" ht="15.12" thickBot="1" customHeight="1">
      <c r="A3526" s="24" t="s">
        <v>10835</v>
      </c>
      <c r="B3526" s="24" t="s">
        <v>10836</v>
      </c>
      <c r="C3526" s="24" t="s">
        <v>10837</v>
      </c>
      <c r="D3526" s="25" t="s">
        <v>10838</v>
      </c>
      <c r="E3526" s="28">
        <v>8.00000</v>
      </c>
      <c r="F3526" s="29">
        <f ca="1">ROUND(2.000,3)</f>
        <v>0</v>
      </c>
      <c r="G3526" s="27">
        <f ca="1">ROUND(E3526*F3526,2)</f>
        <v>0</v>
      </c>
    </row>
    <row r="3527" spans="1:7" ht="30.60" thickBot="1" customHeight="1">
      <c r="A3527" s="24" t="s">
        <v>10839</v>
      </c>
      <c r="B3527" s="24" t="s">
        <v>10840</v>
      </c>
      <c r="C3527" s="24" t="s">
        <v>10841</v>
      </c>
      <c r="D3527" s="25" t="s">
        <v>10842</v>
      </c>
      <c r="E3527" s="28">
        <v>2.00000</v>
      </c>
      <c r="F3527" s="29">
        <f ca="1">ROUND(6.000,3)</f>
        <v>0</v>
      </c>
      <c r="G3527" s="27">
        <f ca="1">ROUND(E3527*F3527,2)</f>
        <v>0</v>
      </c>
    </row>
    <row r="3528" spans="1:7" ht="15.12" thickBot="1" customHeight="1">
      <c r="A3528" s="24" t="s">
        <v>10843</v>
      </c>
      <c r="B3528" s="24" t="s">
        <v>10844</v>
      </c>
      <c r="C3528" s="24" t="s">
        <v>10845</v>
      </c>
      <c r="D3528" s="25" t="s">
        <v>10846</v>
      </c>
      <c r="E3528" s="28">
        <v>1.00000</v>
      </c>
      <c r="F3528" s="29">
        <f ca="1">ROUND(25.000,3)</f>
        <v>0</v>
      </c>
      <c r="G3528" s="27">
        <f ca="1">ROUND(E3528*F3528,2)</f>
        <v>0</v>
      </c>
    </row>
    <row r="3529" spans="1:7" ht="15.12" thickBot="1" customHeight="1">
      <c r="A3529" s="24" t="s">
        <v>10847</v>
      </c>
      <c r="B3529" s="24" t="s">
        <v>10848</v>
      </c>
      <c r="C3529" s="24" t="s">
        <v>10849</v>
      </c>
      <c r="D3529" s="25" t="s">
        <v>10850</v>
      </c>
      <c r="E3529" s="28">
        <v>2.00000</v>
      </c>
      <c r="F3529" s="29">
        <f ca="1">ROUND(16.830,3)</f>
        <v>0</v>
      </c>
      <c r="G3529" s="27">
        <f ca="1">ROUND(E3529*F3529,2)</f>
        <v>0</v>
      </c>
    </row>
    <row r="3530" spans="1:7" ht="15.12" thickBot="1" customHeight="1">
      <c r="A3530" s="24" t="s">
        <v>10851</v>
      </c>
      <c r="B3530" s="24" t="s">
        <v>10852</v>
      </c>
      <c r="C3530" s="24" t="s">
        <v>10853</v>
      </c>
      <c r="D3530" s="25" t="s">
        <v>10854</v>
      </c>
      <c r="E3530" s="28">
        <v>1.00000</v>
      </c>
      <c r="F3530" s="29">
        <f ca="1">ROUND(10.000,3)</f>
        <v>0</v>
      </c>
      <c r="G3530" s="27">
        <f ca="1">ROUND(E3530*F3530,2)</f>
        <v>0</v>
      </c>
    </row>
    <row r="3531" spans="1:7" ht="15.12" thickBot="1" customHeight="1">
      <c r="A3531" s="24" t="s">
        <v>10855</v>
      </c>
      <c r="B3531" s="24" t="s">
        <v>10856</v>
      </c>
      <c r="C3531" s="24" t="s">
        <v>10857</v>
      </c>
      <c r="D3531" s="25" t="s">
        <v>10858</v>
      </c>
      <c r="E3531" s="28">
        <v>1.00000</v>
      </c>
      <c r="F3531" s="29">
        <f ca="1">ROUND(22.000,3)</f>
        <v>0</v>
      </c>
      <c r="G3531" s="27">
        <f ca="1">ROUND(E3531*F3531,2)</f>
        <v>0</v>
      </c>
    </row>
    <row r="3532" spans="1:7" ht="24.36" thickBot="1" customHeight="1">
      <c r="A3532" s="24" t="s">
        <v>10859</v>
      </c>
      <c r="B3532" s="24" t="s">
        <v>10860</v>
      </c>
      <c r="C3532" s="24" t="s">
        <v>10861</v>
      </c>
      <c r="D3532" s="25" t="s">
        <v>10862</v>
      </c>
      <c r="E3532" s="28">
        <v>4.00000</v>
      </c>
      <c r="F3532" s="29">
        <f ca="1">ROUND(47.500,3)</f>
        <v>0</v>
      </c>
      <c r="G3532" s="27">
        <f ca="1">ROUND(E3532*F3532,2)</f>
        <v>0</v>
      </c>
    </row>
    <row r="3533" spans="1:7" ht="15.12" thickBot="1" customHeight="1">
      <c r="A3533" s="26"/>
      <c r="B3533" s="26"/>
      <c r="C3533" s="26"/>
      <c r="D3533" s="24" t="s">
        <v>10863</v>
      </c>
      <c r="E3533" s="28">
        <v>6.00000</v>
      </c>
      <c r="F3533" s="29">
        <f ca="1">ROUND((G3524+G3525+G3526+G3527+G3528+G3529+G3530+G3531+G3532),3)</f>
        <v>0</v>
      </c>
      <c r="G3533" s="27">
        <f ca="1">ROUND(E3533*F3533,2)</f>
        <v>0</v>
      </c>
    </row>
    <row r="3534" spans="1:7" ht="21.36" thickBot="1" customHeight="1">
      <c r="A3534" s="24" t="s">
        <v>10864</v>
      </c>
      <c r="B3534" s="24" t="s">
        <v>10865</v>
      </c>
      <c r="C3534" s="24" t="s">
        <v>10866</v>
      </c>
      <c r="D3534" s="25" t="s">
        <v>10867</v>
      </c>
      <c r="E3534" s="28">
        <v>1.00000</v>
      </c>
      <c r="F3534" s="29">
        <f ca="1">F3538</f>
        <v>0</v>
      </c>
      <c r="G3534" s="27">
        <f ca="1">ROUND(E3534*F3534,2)</f>
        <v>0</v>
      </c>
    </row>
    <row r="3535" spans="1:7" ht="30.60" thickBot="1" customHeight="1">
      <c r="A3535" s="24" t="s">
        <v>10868</v>
      </c>
      <c r="B3535" s="24" t="s">
        <v>10869</v>
      </c>
      <c r="C3535" s="24" t="s">
        <v>10870</v>
      </c>
      <c r="D3535" s="25" t="s">
        <v>10871</v>
      </c>
      <c r="E3535" s="28">
        <v>50.00000</v>
      </c>
      <c r="F3535" s="29">
        <f ca="1">ROUND(0.500,3)</f>
        <v>0</v>
      </c>
      <c r="G3535" s="27">
        <f ca="1">ROUND(E3535*F3535,2)</f>
        <v>0</v>
      </c>
    </row>
    <row r="3536" spans="1:7" ht="15.12" thickBot="1" customHeight="1">
      <c r="A3536" s="24" t="s">
        <v>10872</v>
      </c>
      <c r="B3536" s="24" t="s">
        <v>10873</v>
      </c>
      <c r="C3536" s="24" t="s">
        <v>10874</v>
      </c>
      <c r="D3536" s="25" t="s">
        <v>10875</v>
      </c>
      <c r="E3536" s="28">
        <v>1.00000</v>
      </c>
      <c r="F3536" s="29">
        <f ca="1">ROUND(27.300,3)</f>
        <v>0</v>
      </c>
      <c r="G3536" s="27">
        <f ca="1">ROUND(E3536*F3536,2)</f>
        <v>0</v>
      </c>
    </row>
    <row r="3537" spans="1:7" ht="24.36" thickBot="1" customHeight="1">
      <c r="A3537" s="24" t="s">
        <v>10876</v>
      </c>
      <c r="B3537" s="24" t="s">
        <v>10877</v>
      </c>
      <c r="C3537" s="24" t="s">
        <v>10878</v>
      </c>
      <c r="D3537" s="25" t="s">
        <v>10879</v>
      </c>
      <c r="E3537" s="28">
        <v>6.00000</v>
      </c>
      <c r="F3537" s="29">
        <f ca="1">ROUND(49.500,3)</f>
        <v>0</v>
      </c>
      <c r="G3537" s="27">
        <f ca="1">ROUND(E3537*F3537,2)</f>
        <v>0</v>
      </c>
    </row>
    <row r="3538" spans="1:7" ht="15.12" thickBot="1" customHeight="1">
      <c r="A3538" s="26"/>
      <c r="B3538" s="26"/>
      <c r="C3538" s="26"/>
      <c r="D3538" s="24" t="s">
        <v>10880</v>
      </c>
      <c r="E3538" s="28">
        <v>1.00000</v>
      </c>
      <c r="F3538" s="29">
        <f ca="1">ROUND((G3535+G3536+G3537),3)</f>
        <v>0</v>
      </c>
      <c r="G3538" s="27">
        <f ca="1">ROUND(E3538*F3538,2)</f>
        <v>0</v>
      </c>
    </row>
    <row r="3539" spans="1:7" ht="15.12" thickBot="1" customHeight="1">
      <c r="A3539" s="24" t="s">
        <v>10881</v>
      </c>
      <c r="B3539" s="24" t="s">
        <v>10882</v>
      </c>
      <c r="C3539" s="24" t="s">
        <v>10883</v>
      </c>
      <c r="D3539" s="25" t="s">
        <v>10884</v>
      </c>
      <c r="E3539" s="28">
        <v>16.00000</v>
      </c>
      <c r="F3539" s="29">
        <f ca="1">F3542</f>
        <v>0</v>
      </c>
      <c r="G3539" s="27">
        <f ca="1">ROUND(E3539*F3539,2)</f>
        <v>0</v>
      </c>
    </row>
    <row r="3540" spans="1:7" ht="15.12" thickBot="1" customHeight="1">
      <c r="A3540" s="24" t="s">
        <v>10885</v>
      </c>
      <c r="B3540" s="24" t="s">
        <v>10886</v>
      </c>
      <c r="C3540" s="24" t="s">
        <v>10887</v>
      </c>
      <c r="D3540" s="25" t="s">
        <v>10888</v>
      </c>
      <c r="E3540" s="28">
        <v>1.00000</v>
      </c>
      <c r="F3540" s="29">
        <f ca="1">ROUND(15.000,3)</f>
        <v>0</v>
      </c>
      <c r="G3540" s="27">
        <f ca="1">ROUND(E3540*F3540,2)</f>
        <v>0</v>
      </c>
    </row>
    <row r="3541" spans="1:7" ht="24.36" thickBot="1" customHeight="1">
      <c r="A3541" s="24" t="s">
        <v>10889</v>
      </c>
      <c r="B3541" s="24" t="s">
        <v>10890</v>
      </c>
      <c r="C3541" s="24" t="s">
        <v>10891</v>
      </c>
      <c r="D3541" s="25" t="s">
        <v>10892</v>
      </c>
      <c r="E3541" s="28">
        <v>0.35000</v>
      </c>
      <c r="F3541" s="29">
        <f ca="1">ROUND(49.500,3)</f>
        <v>0</v>
      </c>
      <c r="G3541" s="27">
        <f ca="1">ROUND(E3541*F3541,2)</f>
        <v>0</v>
      </c>
    </row>
    <row r="3542" spans="1:7" ht="15.12" thickBot="1" customHeight="1">
      <c r="A3542" s="26"/>
      <c r="B3542" s="26"/>
      <c r="C3542" s="26"/>
      <c r="D3542" s="24" t="s">
        <v>10893</v>
      </c>
      <c r="E3542" s="28">
        <v>16.00000</v>
      </c>
      <c r="F3542" s="29">
        <f ca="1">ROUND((G3540+G3541),3)</f>
        <v>0</v>
      </c>
      <c r="G3542" s="27">
        <f ca="1">ROUND(E3542*F3542,2)</f>
        <v>0</v>
      </c>
    </row>
    <row r="3543" spans="1:7" ht="21.36" thickBot="1" customHeight="1">
      <c r="A3543" s="24" t="s">
        <v>10894</v>
      </c>
      <c r="B3543" s="24" t="s">
        <v>10895</v>
      </c>
      <c r="C3543" s="24" t="s">
        <v>10896</v>
      </c>
      <c r="D3543" s="25" t="s">
        <v>10897</v>
      </c>
      <c r="E3543" s="28">
        <v>65.00000</v>
      </c>
      <c r="F3543" s="29">
        <f ca="1">F3547</f>
        <v>0</v>
      </c>
      <c r="G3543" s="27">
        <f ca="1">ROUND(E3543*F3543,2)</f>
        <v>0</v>
      </c>
    </row>
    <row r="3544" spans="1:7" ht="15.12" thickBot="1" customHeight="1">
      <c r="A3544" s="24" t="s">
        <v>10898</v>
      </c>
      <c r="B3544" s="24" t="s">
        <v>10899</v>
      </c>
      <c r="C3544" s="24" t="s">
        <v>10900</v>
      </c>
      <c r="D3544" s="25" t="s">
        <v>10901</v>
      </c>
      <c r="E3544" s="28">
        <v>0.21000</v>
      </c>
      <c r="F3544" s="29">
        <f ca="1">ROUND(4.500,3)</f>
        <v>0</v>
      </c>
      <c r="G3544" s="27">
        <f ca="1">ROUND(E3544*F3544,2)</f>
        <v>0</v>
      </c>
    </row>
    <row r="3545" spans="1:7" ht="15.12" thickBot="1" customHeight="1">
      <c r="A3545" s="24" t="s">
        <v>10902</v>
      </c>
      <c r="B3545" s="24" t="s">
        <v>10903</v>
      </c>
      <c r="C3545" s="24" t="s">
        <v>10904</v>
      </c>
      <c r="D3545" s="25" t="s">
        <v>10905</v>
      </c>
      <c r="E3545" s="28">
        <v>0.12500</v>
      </c>
      <c r="F3545" s="29">
        <f ca="1">ROUND(5.870,3)</f>
        <v>0</v>
      </c>
      <c r="G3545" s="27">
        <f ca="1">ROUND(E3545*F3545,2)</f>
        <v>0</v>
      </c>
    </row>
    <row r="3546" spans="1:7" ht="24.36" thickBot="1" customHeight="1">
      <c r="A3546" s="24" t="s">
        <v>10906</v>
      </c>
      <c r="B3546" s="24" t="s">
        <v>10907</v>
      </c>
      <c r="C3546" s="24" t="s">
        <v>10908</v>
      </c>
      <c r="D3546" s="25" t="s">
        <v>10909</v>
      </c>
      <c r="E3546" s="28">
        <v>0.18000</v>
      </c>
      <c r="F3546" s="29">
        <f ca="1">ROUND(49.500,3)</f>
        <v>0</v>
      </c>
      <c r="G3546" s="27">
        <f ca="1">ROUND(E3546*F3546,2)</f>
        <v>0</v>
      </c>
    </row>
    <row r="3547" spans="1:7" ht="15.12" thickBot="1" customHeight="1">
      <c r="A3547" s="26"/>
      <c r="B3547" s="26"/>
      <c r="C3547" s="26"/>
      <c r="D3547" s="24" t="s">
        <v>10910</v>
      </c>
      <c r="E3547" s="28">
        <v>65.00000</v>
      </c>
      <c r="F3547" s="29">
        <f ca="1">ROUND((G3544+G3545+G3546),3)</f>
        <v>0</v>
      </c>
      <c r="G3547" s="27">
        <f ca="1">ROUND(E3547*F3547,2)</f>
        <v>0</v>
      </c>
    </row>
    <row r="3548" spans="1:7" ht="15.12" thickBot="1" customHeight="1">
      <c r="A3548" s="24" t="s">
        <v>10911</v>
      </c>
      <c r="B3548" s="24" t="s">
        <v>10912</v>
      </c>
      <c r="C3548" s="24" t="s">
        <v>10913</v>
      </c>
      <c r="D3548" s="25" t="s">
        <v>10914</v>
      </c>
      <c r="E3548" s="28">
        <v>1.00000</v>
      </c>
      <c r="F3548" s="29">
        <f ca="1">F3553</f>
        <v>0</v>
      </c>
      <c r="G3548" s="27">
        <f ca="1">ROUND(E3548*F3548,2)</f>
        <v>0</v>
      </c>
    </row>
    <row r="3549" spans="1:7" ht="15.12" thickBot="1" customHeight="1">
      <c r="A3549" s="24" t="s">
        <v>10915</v>
      </c>
      <c r="B3549" s="24" t="s">
        <v>10916</v>
      </c>
      <c r="C3549" s="24" t="s">
        <v>10917</v>
      </c>
      <c r="D3549" s="25" t="s">
        <v>10918</v>
      </c>
      <c r="E3549" s="28">
        <v>1.00000</v>
      </c>
      <c r="F3549" s="29">
        <f ca="1">ROUND(32.000,3)</f>
        <v>0</v>
      </c>
      <c r="G3549" s="27">
        <f ca="1">ROUND(E3549*F3549,2)</f>
        <v>0</v>
      </c>
    </row>
    <row r="3550" spans="1:7" ht="30.60" thickBot="1" customHeight="1">
      <c r="A3550" s="24" t="s">
        <v>10919</v>
      </c>
      <c r="B3550" s="24" t="s">
        <v>10920</v>
      </c>
      <c r="C3550" s="24" t="s">
        <v>10921</v>
      </c>
      <c r="D3550" s="25" t="s">
        <v>10922</v>
      </c>
      <c r="E3550" s="28">
        <v>5.00000</v>
      </c>
      <c r="F3550" s="29">
        <f ca="1">ROUND(0.170,3)</f>
        <v>0</v>
      </c>
      <c r="G3550" s="27">
        <f ca="1">ROUND(E3550*F3550,2)</f>
        <v>0</v>
      </c>
    </row>
    <row r="3551" spans="1:7" ht="15.12" thickBot="1" customHeight="1">
      <c r="A3551" s="24" t="s">
        <v>10923</v>
      </c>
      <c r="B3551" s="24" t="s">
        <v>10924</v>
      </c>
      <c r="C3551" s="24" t="s">
        <v>10925</v>
      </c>
      <c r="D3551" s="25" t="s">
        <v>10926</v>
      </c>
      <c r="E3551" s="28">
        <v>0.00100</v>
      </c>
      <c r="F3551" s="29">
        <f ca="1">ROUND(88.000,3)</f>
        <v>0</v>
      </c>
      <c r="G3551" s="27">
        <f ca="1">ROUND(E3551*F3551,2)</f>
        <v>0</v>
      </c>
    </row>
    <row r="3552" spans="1:7" ht="21.36" thickBot="1" customHeight="1">
      <c r="A3552" s="24" t="s">
        <v>10927</v>
      </c>
      <c r="B3552" s="24" t="s">
        <v>10928</v>
      </c>
      <c r="C3552" s="24" t="s">
        <v>10929</v>
      </c>
      <c r="D3552" s="25" t="s">
        <v>10930</v>
      </c>
      <c r="E3552" s="28">
        <v>0.45000</v>
      </c>
      <c r="F3552" s="29">
        <f ca="1">ROUND(43.800,3)</f>
        <v>0</v>
      </c>
      <c r="G3552" s="27">
        <f ca="1">ROUND(E3552*F3552,2)</f>
        <v>0</v>
      </c>
    </row>
    <row r="3553" spans="1:7" ht="15.12" thickBot="1" customHeight="1">
      <c r="A3553" s="26"/>
      <c r="B3553" s="26"/>
      <c r="C3553" s="26"/>
      <c r="D3553" s="24" t="s">
        <v>10931</v>
      </c>
      <c r="E3553" s="28">
        <v>1.00000</v>
      </c>
      <c r="F3553" s="29">
        <f ca="1">ROUND((G3549+G3550+G3551+G3552),3)</f>
        <v>0</v>
      </c>
      <c r="G3553" s="27">
        <f ca="1">ROUND(E3553*F3553,2)</f>
        <v>0</v>
      </c>
    </row>
    <row r="3554" spans="1:7" ht="15.48" thickBot="1" customHeight="1">
      <c r="A3554" s="30"/>
      <c r="B3554" s="30"/>
      <c r="C3554" s="30"/>
      <c r="D3554" s="31" t="s">
        <v>10932</v>
      </c>
      <c r="E3554" s="30"/>
      <c r="F3554" s="33">
        <f ca="1">ROUND((G3513+G3516+G3519+G3523+G3534+G3539+G3543+G3548)*(1+G2/100),2)</f>
        <v>0</v>
      </c>
      <c r="G3554" s="30"/>
    </row>
    <row r="3555" spans="1:7" ht="30.60" thickBot="1" customHeight="1">
      <c r="A3555" s="34" t="s">
        <v>10933</v>
      </c>
      <c r="B3555" s="35" t="s">
        <v>10934</v>
      </c>
      <c r="C3555" s="35" t="s">
        <v>10935</v>
      </c>
      <c r="D3555" s="36" t="s">
        <v>10936</v>
      </c>
      <c r="E3555" s="37"/>
      <c r="F3555" s="38">
        <f ca="1">F3583</f>
        <v>0</v>
      </c>
      <c r="G3555" s="37"/>
    </row>
    <row r="3556" spans="1:7" ht="12.12" thickBot="1" customHeight="1">
      <c r="A3556" s="26"/>
      <c r="B3556" s="26"/>
      <c r="C3556" s="26"/>
      <c r="D3556" s="25" t="s">
        <v>10937</v>
      </c>
      <c r="E3556" s="25"/>
      <c r="F3556" s="25"/>
      <c r="G3556" s="25"/>
    </row>
    <row r="3557" spans="1:7" ht="15.12" thickBot="1" customHeight="1">
      <c r="A3557" s="24" t="s">
        <v>10938</v>
      </c>
      <c r="B3557" s="24" t="s">
        <v>10939</v>
      </c>
      <c r="C3557" s="24" t="s">
        <v>10940</v>
      </c>
      <c r="D3557" s="25" t="s">
        <v>10941</v>
      </c>
      <c r="E3557" s="28">
        <v>1.00000</v>
      </c>
      <c r="F3557" s="29">
        <f ca="1">F3559</f>
        <v>0</v>
      </c>
      <c r="G3557" s="27">
        <f ca="1">ROUND(E3557*F3557,2)</f>
        <v>0</v>
      </c>
    </row>
    <row r="3558" spans="1:7" ht="24.36" thickBot="1" customHeight="1">
      <c r="A3558" s="24" t="s">
        <v>10942</v>
      </c>
      <c r="B3558" s="24" t="s">
        <v>10943</v>
      </c>
      <c r="C3558" s="24" t="s">
        <v>10944</v>
      </c>
      <c r="D3558" s="25" t="s">
        <v>10945</v>
      </c>
      <c r="E3558" s="28">
        <v>16.00000</v>
      </c>
      <c r="F3558" s="29">
        <f ca="1">ROUND(49.500,3)</f>
        <v>0</v>
      </c>
      <c r="G3558" s="27">
        <f ca="1">ROUND(E3558*F3558,2)</f>
        <v>0</v>
      </c>
    </row>
    <row r="3559" spans="1:7" ht="15.12" thickBot="1" customHeight="1">
      <c r="A3559" s="26"/>
      <c r="B3559" s="26"/>
      <c r="C3559" s="26"/>
      <c r="D3559" s="24" t="s">
        <v>10946</v>
      </c>
      <c r="E3559" s="28">
        <v>1.00000</v>
      </c>
      <c r="F3559" s="29">
        <f ca="1">ROUND((G3558),3)</f>
        <v>0</v>
      </c>
      <c r="G3559" s="27">
        <f ca="1">ROUND(E3559*F3559,2)</f>
        <v>0</v>
      </c>
    </row>
    <row r="3560" spans="1:7" ht="21.36" thickBot="1" customHeight="1">
      <c r="A3560" s="24" t="s">
        <v>10947</v>
      </c>
      <c r="B3560" s="24" t="s">
        <v>10948</v>
      </c>
      <c r="C3560" s="24" t="s">
        <v>10949</v>
      </c>
      <c r="D3560" s="25" t="s">
        <v>10950</v>
      </c>
      <c r="E3560" s="28">
        <v>7.00000</v>
      </c>
      <c r="F3560" s="29">
        <f ca="1">F3578</f>
        <v>0</v>
      </c>
      <c r="G3560" s="27">
        <f ca="1">ROUND(E3560*F3560,2)</f>
        <v>0</v>
      </c>
    </row>
    <row r="3561" spans="1:7" ht="30.60" thickBot="1" customHeight="1">
      <c r="A3561" s="24" t="s">
        <v>10951</v>
      </c>
      <c r="B3561" s="24" t="s">
        <v>10952</v>
      </c>
      <c r="C3561" s="24" t="s">
        <v>10953</v>
      </c>
      <c r="D3561" s="25" t="s">
        <v>10954</v>
      </c>
      <c r="E3561" s="28">
        <v>1.00000</v>
      </c>
      <c r="F3561" s="29">
        <f ca="1">ROUND(7.300,3)</f>
        <v>0</v>
      </c>
      <c r="G3561" s="27">
        <f ca="1">ROUND(E3561*F3561,2)</f>
        <v>0</v>
      </c>
    </row>
    <row r="3562" spans="1:7" ht="21.36" thickBot="1" customHeight="1">
      <c r="A3562" s="24" t="s">
        <v>10955</v>
      </c>
      <c r="B3562" s="24" t="s">
        <v>10956</v>
      </c>
      <c r="C3562" s="24" t="s">
        <v>10957</v>
      </c>
      <c r="D3562" s="25" t="s">
        <v>10958</v>
      </c>
      <c r="E3562" s="28">
        <v>12.00000</v>
      </c>
      <c r="F3562" s="29">
        <f ca="1">ROUND(2.100,3)</f>
        <v>0</v>
      </c>
      <c r="G3562" s="27">
        <f ca="1">ROUND(E3562*F3562,2)</f>
        <v>0</v>
      </c>
    </row>
    <row r="3563" spans="1:7" ht="15.12" thickBot="1" customHeight="1">
      <c r="A3563" s="24" t="s">
        <v>10959</v>
      </c>
      <c r="B3563" s="24" t="s">
        <v>10960</v>
      </c>
      <c r="C3563" s="24" t="s">
        <v>10961</v>
      </c>
      <c r="D3563" s="25" t="s">
        <v>10962</v>
      </c>
      <c r="E3563" s="28">
        <v>75.00000</v>
      </c>
      <c r="F3563" s="29">
        <f ca="1">ROUND(2.000,3)</f>
        <v>0</v>
      </c>
      <c r="G3563" s="27">
        <f ca="1">ROUND(E3563*F3563,2)</f>
        <v>0</v>
      </c>
    </row>
    <row r="3564" spans="1:7" ht="30.60" thickBot="1" customHeight="1">
      <c r="A3564" s="24" t="s">
        <v>10963</v>
      </c>
      <c r="B3564" s="24" t="s">
        <v>10964</v>
      </c>
      <c r="C3564" s="24" t="s">
        <v>10965</v>
      </c>
      <c r="D3564" s="25" t="s">
        <v>10966</v>
      </c>
      <c r="E3564" s="28">
        <v>0.14300</v>
      </c>
      <c r="F3564" s="29">
        <f ca="1">ROUND(6.000,3)</f>
        <v>0</v>
      </c>
      <c r="G3564" s="27">
        <f ca="1">ROUND(E3564*F3564,2)</f>
        <v>0</v>
      </c>
    </row>
    <row r="3565" spans="1:7" ht="15.12" thickBot="1" customHeight="1">
      <c r="A3565" s="24" t="s">
        <v>10967</v>
      </c>
      <c r="B3565" s="24" t="s">
        <v>10968</v>
      </c>
      <c r="C3565" s="24" t="s">
        <v>10969</v>
      </c>
      <c r="D3565" s="25" t="s">
        <v>10970</v>
      </c>
      <c r="E3565" s="28">
        <v>1.00000</v>
      </c>
      <c r="F3565" s="29">
        <f ca="1">ROUND(80.000,3)</f>
        <v>0</v>
      </c>
      <c r="G3565" s="27">
        <f ca="1">ROUND(E3565*F3565,2)</f>
        <v>0</v>
      </c>
    </row>
    <row r="3566" spans="1:7" ht="15.12" thickBot="1" customHeight="1">
      <c r="A3566" s="24" t="s">
        <v>10971</v>
      </c>
      <c r="B3566" s="24" t="s">
        <v>10972</v>
      </c>
      <c r="C3566" s="24" t="s">
        <v>10973</v>
      </c>
      <c r="D3566" s="25" t="s">
        <v>10974</v>
      </c>
      <c r="E3566" s="28">
        <v>1.28600</v>
      </c>
      <c r="F3566" s="29">
        <f ca="1">ROUND(6.000,3)</f>
        <v>0</v>
      </c>
      <c r="G3566" s="27">
        <f ca="1">ROUND(E3566*F3566,2)</f>
        <v>0</v>
      </c>
    </row>
    <row r="3567" spans="1:7" ht="15.12" thickBot="1" customHeight="1">
      <c r="A3567" s="24" t="s">
        <v>10975</v>
      </c>
      <c r="B3567" s="24" t="s">
        <v>10976</v>
      </c>
      <c r="C3567" s="24" t="s">
        <v>10977</v>
      </c>
      <c r="D3567" s="25" t="s">
        <v>10978</v>
      </c>
      <c r="E3567" s="28">
        <v>1.00000</v>
      </c>
      <c r="F3567" s="29">
        <f ca="1">ROUND(6.000,3)</f>
        <v>0</v>
      </c>
      <c r="G3567" s="27">
        <f ca="1">ROUND(E3567*F3567,2)</f>
        <v>0</v>
      </c>
    </row>
    <row r="3568" spans="1:7" ht="15.12" thickBot="1" customHeight="1">
      <c r="A3568" s="24" t="s">
        <v>10979</v>
      </c>
      <c r="B3568" s="24" t="s">
        <v>10980</v>
      </c>
      <c r="C3568" s="24" t="s">
        <v>10981</v>
      </c>
      <c r="D3568" s="25" t="s">
        <v>10982</v>
      </c>
      <c r="E3568" s="28">
        <v>914.46000</v>
      </c>
      <c r="F3568" s="29">
        <f ca="1">ROUND(914.460,3)</f>
        <v>0</v>
      </c>
      <c r="G3568" s="27">
        <f ca="1">ROUND(E3568*F3568,2)</f>
        <v>0</v>
      </c>
    </row>
    <row r="3569" spans="1:7" ht="24.36" thickBot="1" customHeight="1">
      <c r="A3569" s="24" t="s">
        <v>10983</v>
      </c>
      <c r="B3569" s="24" t="s">
        <v>10984</v>
      </c>
      <c r="C3569" s="24" t="s">
        <v>10985</v>
      </c>
      <c r="D3569" s="25" t="s">
        <v>10986</v>
      </c>
      <c r="E3569" s="28">
        <v>8.00000</v>
      </c>
      <c r="F3569" s="29">
        <f ca="1">ROUND(49.500,3)</f>
        <v>0</v>
      </c>
      <c r="G3569" s="27">
        <f ca="1">ROUND(E3569*F3569,2)</f>
        <v>0</v>
      </c>
    </row>
    <row r="3570" spans="1:7" ht="15.12" thickBot="1" customHeight="1">
      <c r="A3570" s="24" t="s">
        <v>10987</v>
      </c>
      <c r="B3570" s="24" t="s">
        <v>10988</v>
      </c>
      <c r="C3570" s="24" t="s">
        <v>10989</v>
      </c>
      <c r="D3570" s="25" t="s">
        <v>10990</v>
      </c>
      <c r="E3570" s="28">
        <v>100.00000</v>
      </c>
      <c r="F3570" s="29">
        <f ca="1">ROUND(0.220,3)</f>
        <v>0</v>
      </c>
      <c r="G3570" s="27">
        <f ca="1">ROUND(E3570*F3570,2)</f>
        <v>0</v>
      </c>
    </row>
    <row r="3571" spans="1:7" ht="15.12" thickBot="1" customHeight="1">
      <c r="A3571" s="24" t="s">
        <v>10991</v>
      </c>
      <c r="B3571" s="24" t="s">
        <v>10992</v>
      </c>
      <c r="C3571" s="24" t="s">
        <v>10993</v>
      </c>
      <c r="D3571" s="25" t="s">
        <v>10994</v>
      </c>
      <c r="E3571" s="28">
        <v>1.00000</v>
      </c>
      <c r="F3571" s="29">
        <f ca="1">ROUND(403.830,3)</f>
        <v>0</v>
      </c>
      <c r="G3571" s="27">
        <f ca="1">ROUND(E3571*F3571,2)</f>
        <v>0</v>
      </c>
    </row>
    <row r="3572" spans="1:7" ht="30.60" thickBot="1" customHeight="1">
      <c r="A3572" s="24" t="s">
        <v>10995</v>
      </c>
      <c r="B3572" s="24" t="s">
        <v>10996</v>
      </c>
      <c r="C3572" s="24" t="s">
        <v>10997</v>
      </c>
      <c r="D3572" s="25" t="s">
        <v>10998</v>
      </c>
      <c r="E3572" s="28">
        <v>1.00000</v>
      </c>
      <c r="F3572" s="29">
        <f ca="1">ROUND(7.300,3)</f>
        <v>0</v>
      </c>
      <c r="G3572" s="27">
        <f ca="1">ROUND(E3572*F3572,2)</f>
        <v>0</v>
      </c>
    </row>
    <row r="3573" spans="1:7" ht="21.36" thickBot="1" customHeight="1">
      <c r="A3573" s="24" t="s">
        <v>10999</v>
      </c>
      <c r="B3573" s="24" t="s">
        <v>11000</v>
      </c>
      <c r="C3573" s="24" t="s">
        <v>11001</v>
      </c>
      <c r="D3573" s="25" t="s">
        <v>11002</v>
      </c>
      <c r="E3573" s="28">
        <v>8.00000</v>
      </c>
      <c r="F3573" s="29">
        <f ca="1">ROUND(2.100,3)</f>
        <v>0</v>
      </c>
      <c r="G3573" s="27">
        <f ca="1">ROUND(E3573*F3573,2)</f>
        <v>0</v>
      </c>
    </row>
    <row r="3574" spans="1:7" ht="15.12" thickBot="1" customHeight="1">
      <c r="A3574" s="24" t="s">
        <v>11003</v>
      </c>
      <c r="B3574" s="24" t="s">
        <v>11004</v>
      </c>
      <c r="C3574" s="24" t="s">
        <v>11005</v>
      </c>
      <c r="D3574" s="25" t="s">
        <v>11006</v>
      </c>
      <c r="E3574" s="28">
        <v>33.33300</v>
      </c>
      <c r="F3574" s="29">
        <f ca="1">ROUND(0.380,3)</f>
        <v>0</v>
      </c>
      <c r="G3574" s="27">
        <f ca="1">ROUND(E3574*F3574,2)</f>
        <v>0</v>
      </c>
    </row>
    <row r="3575" spans="1:7" ht="15.12" thickBot="1" customHeight="1">
      <c r="A3575" s="24" t="s">
        <v>11007</v>
      </c>
      <c r="B3575" s="24" t="s">
        <v>11008</v>
      </c>
      <c r="C3575" s="24" t="s">
        <v>11009</v>
      </c>
      <c r="D3575" s="25" t="s">
        <v>11010</v>
      </c>
      <c r="E3575" s="28">
        <v>3.33000</v>
      </c>
      <c r="F3575" s="29">
        <f ca="1">ROUND(10.000,3)</f>
        <v>0</v>
      </c>
      <c r="G3575" s="27">
        <f ca="1">ROUND(E3575*F3575,2)</f>
        <v>0</v>
      </c>
    </row>
    <row r="3576" spans="1:7" ht="21.36" thickBot="1" customHeight="1">
      <c r="A3576" s="24" t="s">
        <v>11011</v>
      </c>
      <c r="B3576" s="24" t="s">
        <v>11012</v>
      </c>
      <c r="C3576" s="24" t="s">
        <v>11013</v>
      </c>
      <c r="D3576" s="25" t="s">
        <v>11014</v>
      </c>
      <c r="E3576" s="28">
        <v>0.33300</v>
      </c>
      <c r="F3576" s="29">
        <f ca="1">ROUND(180.000,3)</f>
        <v>0</v>
      </c>
      <c r="G3576" s="27">
        <f ca="1">ROUND(E3576*F3576,2)</f>
        <v>0</v>
      </c>
    </row>
    <row r="3577" spans="1:7" ht="15.12" thickBot="1" customHeight="1">
      <c r="A3577" s="24" t="s">
        <v>11015</v>
      </c>
      <c r="B3577" s="24" t="s">
        <v>11016</v>
      </c>
      <c r="C3577" s="24" t="s">
        <v>11017</v>
      </c>
      <c r="D3577" s="25" t="s">
        <v>11018</v>
      </c>
      <c r="E3577" s="28">
        <v>75.00000</v>
      </c>
      <c r="F3577" s="29">
        <f ca="1">ROUND(0.220,3)</f>
        <v>0</v>
      </c>
      <c r="G3577" s="27">
        <f ca="1">ROUND(E3577*F3577,2)</f>
        <v>0</v>
      </c>
    </row>
    <row r="3578" spans="1:7" ht="15.12" thickBot="1" customHeight="1">
      <c r="A3578" s="26"/>
      <c r="B3578" s="26"/>
      <c r="C3578" s="26"/>
      <c r="D3578" s="24" t="s">
        <v>11019</v>
      </c>
      <c r="E3578" s="28">
        <v>7.00000</v>
      </c>
      <c r="F3578" s="29">
        <f ca="1">ROUND((G3561+G3562+G3563+G3564+G3565+G3566+G3567+G3568+G3569+G3570+G3571+G3572+G3573+G3574+G3575+G3576+G3577),3)</f>
        <v>0</v>
      </c>
      <c r="G3578" s="27">
        <f ca="1">ROUND(E3578*F3578,2)</f>
        <v>0</v>
      </c>
    </row>
    <row r="3579" spans="1:7" ht="21.36" thickBot="1" customHeight="1">
      <c r="A3579" s="24" t="s">
        <v>11020</v>
      </c>
      <c r="B3579" s="24" t="s">
        <v>11021</v>
      </c>
      <c r="C3579" s="24" t="s">
        <v>11022</v>
      </c>
      <c r="D3579" s="25" t="s">
        <v>11023</v>
      </c>
      <c r="E3579" s="28">
        <v>4.00000</v>
      </c>
      <c r="F3579" s="29">
        <f ca="1">F3582</f>
        <v>0</v>
      </c>
      <c r="G3579" s="27">
        <f ca="1">ROUND(E3579*F3579,2)</f>
        <v>0</v>
      </c>
    </row>
    <row r="3580" spans="1:7" ht="21.36" thickBot="1" customHeight="1">
      <c r="A3580" s="24" t="s">
        <v>11024</v>
      </c>
      <c r="B3580" s="24" t="s">
        <v>11025</v>
      </c>
      <c r="C3580" s="24" t="s">
        <v>11026</v>
      </c>
      <c r="D3580" s="25" t="s">
        <v>11027</v>
      </c>
      <c r="E3580" s="28">
        <v>1.00000</v>
      </c>
      <c r="F3580" s="29">
        <f ca="1">ROUND(29.450,3)</f>
        <v>0</v>
      </c>
      <c r="G3580" s="27">
        <f ca="1">ROUND(E3580*F3580,2)</f>
        <v>0</v>
      </c>
    </row>
    <row r="3581" spans="1:7" ht="24.36" thickBot="1" customHeight="1">
      <c r="A3581" s="24" t="s">
        <v>11028</v>
      </c>
      <c r="B3581" s="24" t="s">
        <v>11029</v>
      </c>
      <c r="C3581" s="24" t="s">
        <v>11030</v>
      </c>
      <c r="D3581" s="25" t="s">
        <v>11031</v>
      </c>
      <c r="E3581" s="28">
        <v>2.40000</v>
      </c>
      <c r="F3581" s="29">
        <f ca="1">ROUND(47.500,3)</f>
        <v>0</v>
      </c>
      <c r="G3581" s="27">
        <f ca="1">ROUND(E3581*F3581,2)</f>
        <v>0</v>
      </c>
    </row>
    <row r="3582" spans="1:7" ht="15.12" thickBot="1" customHeight="1">
      <c r="A3582" s="26"/>
      <c r="B3582" s="26"/>
      <c r="C3582" s="26"/>
      <c r="D3582" s="24" t="s">
        <v>11032</v>
      </c>
      <c r="E3582" s="28">
        <v>4.00000</v>
      </c>
      <c r="F3582" s="29">
        <f ca="1">ROUND((G3580+G3581),3)</f>
        <v>0</v>
      </c>
      <c r="G3582" s="27">
        <f ca="1">ROUND(E3582*F3582,2)</f>
        <v>0</v>
      </c>
    </row>
    <row r="3583" spans="1:7" ht="15.48" thickBot="1" customHeight="1">
      <c r="A3583" s="30"/>
      <c r="B3583" s="30"/>
      <c r="C3583" s="30"/>
      <c r="D3583" s="31" t="s">
        <v>11033</v>
      </c>
      <c r="E3583" s="30"/>
      <c r="F3583" s="33">
        <f ca="1">ROUND((G3557+G3560+G3579)*(1+G2/100),2)</f>
        <v>0</v>
      </c>
      <c r="G3583" s="30"/>
    </row>
    <row r="3584" spans="1:7" ht="21.36" thickBot="1" customHeight="1">
      <c r="A3584" s="34" t="s">
        <v>11034</v>
      </c>
      <c r="B3584" s="35" t="s">
        <v>11035</v>
      </c>
      <c r="C3584" s="35" t="s">
        <v>11036</v>
      </c>
      <c r="D3584" s="36" t="s">
        <v>11037</v>
      </c>
      <c r="E3584" s="37"/>
      <c r="F3584" s="38">
        <f ca="1">F3591</f>
        <v>0</v>
      </c>
      <c r="G3584" s="37"/>
    </row>
    <row r="3585" spans="1:7" ht="12.12" thickBot="1" customHeight="1">
      <c r="A3585" s="26"/>
      <c r="B3585" s="26"/>
      <c r="C3585" s="26"/>
      <c r="D3585" s="25" t="s">
        <v>11038</v>
      </c>
      <c r="E3585" s="25"/>
      <c r="F3585" s="25"/>
      <c r="G3585" s="25"/>
    </row>
    <row r="3586" spans="1:7" ht="49.08" thickBot="1" customHeight="1">
      <c r="A3586" s="24" t="s">
        <v>11039</v>
      </c>
      <c r="B3586" s="24" t="s">
        <v>11040</v>
      </c>
      <c r="C3586" s="24" t="s">
        <v>11041</v>
      </c>
      <c r="D3586" s="25" t="s">
        <v>11042</v>
      </c>
      <c r="E3586" s="28">
        <v>1.00000</v>
      </c>
      <c r="F3586" s="29">
        <f ca="1">F3590</f>
        <v>0</v>
      </c>
      <c r="G3586" s="27">
        <f ca="1">ROUND(E3586*F3586,2)</f>
        <v>0</v>
      </c>
    </row>
    <row r="3587" spans="1:7" ht="30.60" thickBot="1" customHeight="1">
      <c r="A3587" s="24" t="s">
        <v>11043</v>
      </c>
      <c r="B3587" s="24" t="s">
        <v>11044</v>
      </c>
      <c r="C3587" s="24" t="s">
        <v>11045</v>
      </c>
      <c r="D3587" s="25" t="s">
        <v>11046</v>
      </c>
      <c r="E3587" s="28">
        <v>0.02300</v>
      </c>
      <c r="F3587" s="29">
        <f ca="1">ROUND(312.000,3)</f>
        <v>0</v>
      </c>
      <c r="G3587" s="27">
        <f ca="1">ROUND(E3587*F3587,2)</f>
        <v>0</v>
      </c>
    </row>
    <row r="3588" spans="1:7" ht="21.36" thickBot="1" customHeight="1">
      <c r="A3588" s="24" t="s">
        <v>11047</v>
      </c>
      <c r="B3588" s="24" t="s">
        <v>11048</v>
      </c>
      <c r="C3588" s="24" t="s">
        <v>11049</v>
      </c>
      <c r="D3588" s="25" t="s">
        <v>11050</v>
      </c>
      <c r="E3588" s="28">
        <v>0.27000</v>
      </c>
      <c r="F3588" s="29">
        <f ca="1">ROUND(11.500,3)</f>
        <v>0</v>
      </c>
      <c r="G3588" s="27">
        <f ca="1">ROUND(E3588*F3588,2)</f>
        <v>0</v>
      </c>
    </row>
    <row r="3589" spans="1:7" ht="24.36" thickBot="1" customHeight="1">
      <c r="A3589" s="24" t="s">
        <v>11051</v>
      </c>
      <c r="B3589" s="24" t="s">
        <v>11052</v>
      </c>
      <c r="C3589" s="24" t="s">
        <v>11053</v>
      </c>
      <c r="D3589" s="25" t="s">
        <v>11054</v>
      </c>
      <c r="E3589" s="28">
        <v>0.30000</v>
      </c>
      <c r="F3589" s="29">
        <f ca="1">ROUND(49.500,3)</f>
        <v>0</v>
      </c>
      <c r="G3589" s="27">
        <f ca="1">ROUND(E3589*F3589,2)</f>
        <v>0</v>
      </c>
    </row>
    <row r="3590" spans="1:7" ht="15.12" thickBot="1" customHeight="1">
      <c r="A3590" s="26"/>
      <c r="B3590" s="26"/>
      <c r="C3590" s="26"/>
      <c r="D3590" s="24" t="s">
        <v>11055</v>
      </c>
      <c r="E3590" s="28">
        <v>1.00000</v>
      </c>
      <c r="F3590" s="29">
        <f ca="1">ROUND((G3587+G3588+G3589),3)</f>
        <v>0</v>
      </c>
      <c r="G3590" s="27">
        <f ca="1">ROUND(E3590*F3590,2)</f>
        <v>0</v>
      </c>
    </row>
    <row r="3591" spans="1:7" ht="15.48" thickBot="1" customHeight="1">
      <c r="A3591" s="30"/>
      <c r="B3591" s="30"/>
      <c r="C3591" s="30"/>
      <c r="D3591" s="31" t="s">
        <v>11056</v>
      </c>
      <c r="E3591" s="30"/>
      <c r="F3591" s="33">
        <f ca="1">ROUND((G3586)*(1+G2/100),2)</f>
        <v>0</v>
      </c>
      <c r="G3591" s="30"/>
    </row>
    <row r="3592" spans="1:7" ht="30.60" thickBot="1" customHeight="1">
      <c r="A3592" s="34" t="s">
        <v>11057</v>
      </c>
      <c r="B3592" s="35" t="s">
        <v>11058</v>
      </c>
      <c r="C3592" s="35" t="s">
        <v>11059</v>
      </c>
      <c r="D3592" s="36" t="s">
        <v>11060</v>
      </c>
      <c r="E3592" s="37"/>
      <c r="F3592" s="38">
        <f ca="1">F3606</f>
        <v>0</v>
      </c>
      <c r="G3592" s="37"/>
    </row>
    <row r="3593" spans="1:7" ht="58.32" thickBot="1" customHeight="1">
      <c r="A3593" s="26"/>
      <c r="B3593" s="26"/>
      <c r="C3593" s="26"/>
      <c r="D3593" s="25" t="s">
        <v>11061</v>
      </c>
      <c r="E3593" s="25"/>
      <c r="F3593" s="25"/>
      <c r="G3593" s="25"/>
    </row>
    <row r="3594" spans="1:7" ht="15.12" thickBot="1" customHeight="1">
      <c r="A3594" s="24" t="s">
        <v>11062</v>
      </c>
      <c r="B3594" s="24" t="s">
        <v>11063</v>
      </c>
      <c r="C3594" s="24" t="s">
        <v>11064</v>
      </c>
      <c r="D3594" s="25" t="s">
        <v>11065</v>
      </c>
      <c r="E3594" s="28">
        <v>1.00000</v>
      </c>
      <c r="F3594" s="29">
        <f ca="1">ROUND(3.000,3)</f>
        <v>0</v>
      </c>
      <c r="G3594" s="27">
        <f ca="1">ROUND(E3594*F3594,2)</f>
        <v>0</v>
      </c>
    </row>
    <row r="3595" spans="1:7" ht="15.12" thickBot="1" customHeight="1">
      <c r="A3595" s="24" t="s">
        <v>11066</v>
      </c>
      <c r="B3595" s="24" t="s">
        <v>11067</v>
      </c>
      <c r="C3595" s="24" t="s">
        <v>11068</v>
      </c>
      <c r="D3595" s="25" t="s">
        <v>11069</v>
      </c>
      <c r="E3595" s="28">
        <v>0.06000</v>
      </c>
      <c r="F3595" s="29">
        <f ca="1">ROUND(6.250,3)</f>
        <v>0</v>
      </c>
      <c r="G3595" s="27">
        <f ca="1">ROUND(E3595*F3595,2)</f>
        <v>0</v>
      </c>
    </row>
    <row r="3596" spans="1:7" ht="21.36" thickBot="1" customHeight="1">
      <c r="A3596" s="24" t="s">
        <v>11070</v>
      </c>
      <c r="B3596" s="24" t="s">
        <v>11071</v>
      </c>
      <c r="C3596" s="24" t="s">
        <v>11072</v>
      </c>
      <c r="D3596" s="25" t="s">
        <v>11073</v>
      </c>
      <c r="E3596" s="28">
        <v>0.00100</v>
      </c>
      <c r="F3596" s="29">
        <f ca="1">ROUND(23.830,3)</f>
        <v>0</v>
      </c>
      <c r="G3596" s="27">
        <f ca="1">ROUND(E3596*F3596,2)</f>
        <v>0</v>
      </c>
    </row>
    <row r="3597" spans="1:7" ht="30.60" thickBot="1" customHeight="1">
      <c r="A3597" s="24" t="s">
        <v>11074</v>
      </c>
      <c r="B3597" s="24" t="s">
        <v>11075</v>
      </c>
      <c r="C3597" s="24" t="s">
        <v>11076</v>
      </c>
      <c r="D3597" s="25" t="s">
        <v>11077</v>
      </c>
      <c r="E3597" s="28">
        <v>0.00100</v>
      </c>
      <c r="F3597" s="29">
        <f ca="1">ROUND(6.640,3)</f>
        <v>0</v>
      </c>
      <c r="G3597" s="27">
        <f ca="1">ROUND(E3597*F3597,2)</f>
        <v>0</v>
      </c>
    </row>
    <row r="3598" spans="1:7" ht="21.36" thickBot="1" customHeight="1">
      <c r="A3598" s="24" t="s">
        <v>11078</v>
      </c>
      <c r="B3598" s="24" t="s">
        <v>11079</v>
      </c>
      <c r="C3598" s="24" t="s">
        <v>11080</v>
      </c>
      <c r="D3598" s="25" t="s">
        <v>11081</v>
      </c>
      <c r="E3598" s="28">
        <v>0.00100</v>
      </c>
      <c r="F3598" s="29">
        <f ca="1">ROUND(10.870,3)</f>
        <v>0</v>
      </c>
      <c r="G3598" s="27">
        <f ca="1">ROUND(E3598*F3598,2)</f>
        <v>0</v>
      </c>
    </row>
    <row r="3599" spans="1:7" ht="21.36" thickBot="1" customHeight="1">
      <c r="A3599" s="24" t="s">
        <v>11082</v>
      </c>
      <c r="B3599" s="24" t="s">
        <v>11083</v>
      </c>
      <c r="C3599" s="24" t="s">
        <v>11084</v>
      </c>
      <c r="D3599" s="25" t="s">
        <v>11085</v>
      </c>
      <c r="E3599" s="28">
        <v>0.00100</v>
      </c>
      <c r="F3599" s="29">
        <f ca="1">ROUND(2.100,3)</f>
        <v>0</v>
      </c>
      <c r="G3599" s="27">
        <f ca="1">ROUND(E3599*F3599,2)</f>
        <v>0</v>
      </c>
    </row>
    <row r="3600" spans="1:7" ht="15.12" thickBot="1" customHeight="1">
      <c r="A3600" s="24" t="s">
        <v>11086</v>
      </c>
      <c r="B3600" s="24"/>
      <c r="C3600" s="24" t="s">
        <v>11087</v>
      </c>
      <c r="D3600" s="25" t="s">
        <v>11088</v>
      </c>
      <c r="E3600" s="28">
        <v>3.00000</v>
      </c>
      <c r="F3600" s="29">
        <f ca="1">ROUND(0.000,3)</f>
        <v>0</v>
      </c>
      <c r="G3600" s="27">
        <f ca="1">ROUND((E3600*F3600)/100,2)</f>
        <v>0</v>
      </c>
    </row>
    <row r="3601" spans="1:7" ht="21.36" thickBot="1" customHeight="1">
      <c r="A3601" s="24" t="s">
        <v>11089</v>
      </c>
      <c r="B3601" s="24" t="s">
        <v>11090</v>
      </c>
      <c r="C3601" s="24" t="s">
        <v>11091</v>
      </c>
      <c r="D3601" s="25" t="s">
        <v>11092</v>
      </c>
      <c r="E3601" s="28">
        <v>0.10000</v>
      </c>
      <c r="F3601" s="29">
        <f ca="1">F3605</f>
        <v>0</v>
      </c>
      <c r="G3601" s="27">
        <f ca="1">ROUND(E3601*F3601,2)</f>
        <v>0</v>
      </c>
    </row>
    <row r="3602" spans="1:7" ht="24.36" thickBot="1" customHeight="1">
      <c r="A3602" s="24" t="s">
        <v>11093</v>
      </c>
      <c r="B3602" s="24" t="s">
        <v>11094</v>
      </c>
      <c r="C3602" s="24" t="s">
        <v>11095</v>
      </c>
      <c r="D3602" s="25" t="s">
        <v>11096</v>
      </c>
      <c r="E3602" s="28">
        <v>1.00000</v>
      </c>
      <c r="F3602" s="29">
        <f ca="1">ROUND(21.000,3)</f>
        <v>0</v>
      </c>
      <c r="G3602" s="27">
        <f ca="1">ROUND(E3602*F3602,2)</f>
        <v>0</v>
      </c>
    </row>
    <row r="3603" spans="1:7" ht="24.36" thickBot="1" customHeight="1">
      <c r="A3603" s="24" t="s">
        <v>11097</v>
      </c>
      <c r="B3603" s="24" t="s">
        <v>11098</v>
      </c>
      <c r="C3603" s="24" t="s">
        <v>11099</v>
      </c>
      <c r="D3603" s="25" t="s">
        <v>11100</v>
      </c>
      <c r="E3603" s="28">
        <v>1.00000</v>
      </c>
      <c r="F3603" s="29">
        <f ca="1">ROUND(19.000,3)</f>
        <v>0</v>
      </c>
      <c r="G3603" s="27">
        <f ca="1">ROUND(E3603*F3603,2)</f>
        <v>0</v>
      </c>
    </row>
    <row r="3604" spans="1:7" ht="24.36" thickBot="1" customHeight="1">
      <c r="A3604" s="24" t="s">
        <v>11101</v>
      </c>
      <c r="B3604" s="24" t="s">
        <v>11102</v>
      </c>
      <c r="C3604" s="24" t="s">
        <v>11103</v>
      </c>
      <c r="D3604" s="25" t="s">
        <v>11104</v>
      </c>
      <c r="E3604" s="28">
        <v>0.20000</v>
      </c>
      <c r="F3604" s="29">
        <f ca="1">ROUND(19.000,3)</f>
        <v>0</v>
      </c>
      <c r="G3604" s="27">
        <f ca="1">ROUND(E3604*F3604,2)</f>
        <v>0</v>
      </c>
    </row>
    <row r="3605" spans="1:7" ht="15.12" thickBot="1" customHeight="1">
      <c r="A3605" s="26"/>
      <c r="B3605" s="26"/>
      <c r="C3605" s="26"/>
      <c r="D3605" s="24" t="s">
        <v>11105</v>
      </c>
      <c r="E3605" s="28">
        <v>0.10000</v>
      </c>
      <c r="F3605" s="29">
        <f ca="1">ROUND((G3602+G3603+G3604),3)</f>
        <v>0</v>
      </c>
      <c r="G3605" s="27">
        <f ca="1">ROUND(E3605*F3605,2)</f>
        <v>0</v>
      </c>
    </row>
    <row r="3606" spans="1:7" ht="15.48" thickBot="1" customHeight="1">
      <c r="A3606" s="30"/>
      <c r="B3606" s="30"/>
      <c r="C3606" s="30"/>
      <c r="D3606" s="31" t="s">
        <v>11106</v>
      </c>
      <c r="E3606" s="30"/>
      <c r="F3606" s="33">
        <f ca="1">ROUND((G3594+G3595+G3596+G3597+G3598+G3599+G3600+G3601)*(1+G2/100),2)</f>
        <v>0</v>
      </c>
      <c r="G3606" s="30"/>
    </row>
    <row r="3607" spans="1:7" ht="15.48" thickBot="1" customHeight="1">
      <c r="A3607" s="39"/>
      <c r="B3607" s="39"/>
      <c r="C3607" s="39"/>
      <c r="D3607" s="50" t="s">
        <v>11107</v>
      </c>
      <c r="E3607" s="51"/>
      <c r="F3607" s="51"/>
      <c r="G3607" s="51"/>
    </row>
    <row r="3608" spans="1:7" ht="15.48" thickBot="1" customHeight="1">
      <c r="A3608" s="52" t="s">
        <v>11108</v>
      </c>
      <c r="B3608" s="52" t="s">
        <v>11109</v>
      </c>
      <c r="C3608" s="53"/>
      <c r="D3608" s="54" t="s">
        <v>11110</v>
      </c>
      <c r="E3608" s="53"/>
      <c r="F3608" s="53"/>
      <c r="G3608" s="53"/>
    </row>
    <row r="3609" spans="1:7" ht="21.36" thickBot="1" customHeight="1">
      <c r="A3609" s="10" t="s">
        <v>11111</v>
      </c>
      <c r="B3609" s="24" t="s">
        <v>11112</v>
      </c>
      <c r="C3609" s="24" t="s">
        <v>11113</v>
      </c>
      <c r="D3609" s="25" t="s">
        <v>11114</v>
      </c>
      <c r="E3609" s="26"/>
      <c r="F3609" s="27">
        <f ca="1">F3628</f>
        <v>0</v>
      </c>
      <c r="G3609" s="26"/>
    </row>
    <row r="3610" spans="1:7" ht="49.08" thickBot="1" customHeight="1">
      <c r="A3610" s="26"/>
      <c r="B3610" s="26"/>
      <c r="C3610" s="26"/>
      <c r="D3610" s="25" t="s">
        <v>11115</v>
      </c>
      <c r="E3610" s="25"/>
      <c r="F3610" s="25"/>
      <c r="G3610" s="25"/>
    </row>
    <row r="3611" spans="1:7" ht="21.36" thickBot="1" customHeight="1">
      <c r="A3611" s="24" t="s">
        <v>11116</v>
      </c>
      <c r="B3611" s="24" t="s">
        <v>11117</v>
      </c>
      <c r="C3611" s="24" t="s">
        <v>11118</v>
      </c>
      <c r="D3611" s="25" t="s">
        <v>11119</v>
      </c>
      <c r="E3611" s="28">
        <v>12.00000</v>
      </c>
      <c r="F3611" s="29">
        <f ca="1">ROUND(2.100,3)</f>
        <v>0</v>
      </c>
      <c r="G3611" s="27">
        <f ca="1">ROUND(E3611*F3611,2)</f>
        <v>0</v>
      </c>
    </row>
    <row r="3612" spans="1:7" ht="15.12" thickBot="1" customHeight="1">
      <c r="A3612" s="24" t="s">
        <v>11120</v>
      </c>
      <c r="B3612" s="24" t="s">
        <v>11121</v>
      </c>
      <c r="C3612" s="24" t="s">
        <v>11122</v>
      </c>
      <c r="D3612" s="25" t="s">
        <v>11123</v>
      </c>
      <c r="E3612" s="28">
        <v>75.00000</v>
      </c>
      <c r="F3612" s="29">
        <f ca="1">ROUND(2.000,3)</f>
        <v>0</v>
      </c>
      <c r="G3612" s="27">
        <f ca="1">ROUND(E3612*F3612,2)</f>
        <v>0</v>
      </c>
    </row>
    <row r="3613" spans="1:7" ht="30.60" thickBot="1" customHeight="1">
      <c r="A3613" s="24" t="s">
        <v>11124</v>
      </c>
      <c r="B3613" s="24" t="s">
        <v>11125</v>
      </c>
      <c r="C3613" s="24" t="s">
        <v>11126</v>
      </c>
      <c r="D3613" s="25" t="s">
        <v>11127</v>
      </c>
      <c r="E3613" s="28">
        <v>1.00000</v>
      </c>
      <c r="F3613" s="29">
        <f ca="1">ROUND(7.300,3)</f>
        <v>0</v>
      </c>
      <c r="G3613" s="27">
        <f ca="1">ROUND(E3613*F3613,2)</f>
        <v>0</v>
      </c>
    </row>
    <row r="3614" spans="1:7" ht="30.60" thickBot="1" customHeight="1">
      <c r="A3614" s="24" t="s">
        <v>11128</v>
      </c>
      <c r="B3614" s="24" t="s">
        <v>11129</v>
      </c>
      <c r="C3614" s="24" t="s">
        <v>11130</v>
      </c>
      <c r="D3614" s="25" t="s">
        <v>11131</v>
      </c>
      <c r="E3614" s="28">
        <v>0.14300</v>
      </c>
      <c r="F3614" s="29">
        <f ca="1">ROUND(6.000,3)</f>
        <v>0</v>
      </c>
      <c r="G3614" s="27">
        <f ca="1">ROUND(E3614*F3614,2)</f>
        <v>0</v>
      </c>
    </row>
    <row r="3615" spans="1:7" ht="15.12" thickBot="1" customHeight="1">
      <c r="A3615" s="24" t="s">
        <v>11132</v>
      </c>
      <c r="B3615" s="24" t="s">
        <v>11133</v>
      </c>
      <c r="C3615" s="24" t="s">
        <v>11134</v>
      </c>
      <c r="D3615" s="25" t="s">
        <v>11135</v>
      </c>
      <c r="E3615" s="28">
        <v>1.00000</v>
      </c>
      <c r="F3615" s="29">
        <f ca="1">ROUND(80.000,3)</f>
        <v>0</v>
      </c>
      <c r="G3615" s="27">
        <f ca="1">ROUND(E3615*F3615,2)</f>
        <v>0</v>
      </c>
    </row>
    <row r="3616" spans="1:7" ht="15.12" thickBot="1" customHeight="1">
      <c r="A3616" s="24" t="s">
        <v>11136</v>
      </c>
      <c r="B3616" s="24" t="s">
        <v>11137</v>
      </c>
      <c r="C3616" s="24" t="s">
        <v>11138</v>
      </c>
      <c r="D3616" s="25" t="s">
        <v>11139</v>
      </c>
      <c r="E3616" s="28">
        <v>1.28600</v>
      </c>
      <c r="F3616" s="29">
        <f ca="1">ROUND(6.000,3)</f>
        <v>0</v>
      </c>
      <c r="G3616" s="27">
        <f ca="1">ROUND(E3616*F3616,2)</f>
        <v>0</v>
      </c>
    </row>
    <row r="3617" spans="1:7" ht="15.12" thickBot="1" customHeight="1">
      <c r="A3617" s="24" t="s">
        <v>11140</v>
      </c>
      <c r="B3617" s="24" t="s">
        <v>11141</v>
      </c>
      <c r="C3617" s="24" t="s">
        <v>11142</v>
      </c>
      <c r="D3617" s="25" t="s">
        <v>11143</v>
      </c>
      <c r="E3617" s="28">
        <v>100.00000</v>
      </c>
      <c r="F3617" s="29">
        <f ca="1">ROUND(0.220,3)</f>
        <v>0</v>
      </c>
      <c r="G3617" s="27">
        <f ca="1">ROUND(E3617*F3617,2)</f>
        <v>0</v>
      </c>
    </row>
    <row r="3618" spans="1:7" ht="30.60" thickBot="1" customHeight="1">
      <c r="A3618" s="24" t="s">
        <v>11144</v>
      </c>
      <c r="B3618" s="24" t="s">
        <v>11145</v>
      </c>
      <c r="C3618" s="24" t="s">
        <v>11146</v>
      </c>
      <c r="D3618" s="25" t="s">
        <v>11147</v>
      </c>
      <c r="E3618" s="28">
        <v>1.00000</v>
      </c>
      <c r="F3618" s="29">
        <f ca="1">ROUND(7.300,3)</f>
        <v>0</v>
      </c>
      <c r="G3618" s="27">
        <f ca="1">ROUND(E3618*F3618,2)</f>
        <v>0</v>
      </c>
    </row>
    <row r="3619" spans="1:7" ht="15.12" thickBot="1" customHeight="1">
      <c r="A3619" s="24" t="s">
        <v>11148</v>
      </c>
      <c r="B3619" s="24" t="s">
        <v>11149</v>
      </c>
      <c r="C3619" s="24" t="s">
        <v>11150</v>
      </c>
      <c r="D3619" s="25" t="s">
        <v>11151</v>
      </c>
      <c r="E3619" s="28">
        <v>1.00000</v>
      </c>
      <c r="F3619" s="29">
        <f ca="1">ROUND(403.830,3)</f>
        <v>0</v>
      </c>
      <c r="G3619" s="27">
        <f ca="1">ROUND(E3619*F3619,2)</f>
        <v>0</v>
      </c>
    </row>
    <row r="3620" spans="1:7" ht="21.36" thickBot="1" customHeight="1">
      <c r="A3620" s="24" t="s">
        <v>11152</v>
      </c>
      <c r="B3620" s="24" t="s">
        <v>11153</v>
      </c>
      <c r="C3620" s="24" t="s">
        <v>11154</v>
      </c>
      <c r="D3620" s="25" t="s">
        <v>11155</v>
      </c>
      <c r="E3620" s="28">
        <v>8.00000</v>
      </c>
      <c r="F3620" s="29">
        <f ca="1">ROUND(2.100,3)</f>
        <v>0</v>
      </c>
      <c r="G3620" s="27">
        <f ca="1">ROUND(E3620*F3620,2)</f>
        <v>0</v>
      </c>
    </row>
    <row r="3621" spans="1:7" ht="15.12" thickBot="1" customHeight="1">
      <c r="A3621" s="24" t="s">
        <v>11156</v>
      </c>
      <c r="B3621" s="24" t="s">
        <v>11157</v>
      </c>
      <c r="C3621" s="24" t="s">
        <v>11158</v>
      </c>
      <c r="D3621" s="25" t="s">
        <v>11159</v>
      </c>
      <c r="E3621" s="28">
        <v>33.33300</v>
      </c>
      <c r="F3621" s="29">
        <f ca="1">ROUND(0.380,3)</f>
        <v>0</v>
      </c>
      <c r="G3621" s="27">
        <f ca="1">ROUND(E3621*F3621,2)</f>
        <v>0</v>
      </c>
    </row>
    <row r="3622" spans="1:7" ht="15.12" thickBot="1" customHeight="1">
      <c r="A3622" s="24" t="s">
        <v>11160</v>
      </c>
      <c r="B3622" s="24" t="s">
        <v>11161</v>
      </c>
      <c r="C3622" s="24" t="s">
        <v>11162</v>
      </c>
      <c r="D3622" s="25" t="s">
        <v>11163</v>
      </c>
      <c r="E3622" s="28">
        <v>3.33000</v>
      </c>
      <c r="F3622" s="29">
        <f ca="1">ROUND(10.000,3)</f>
        <v>0</v>
      </c>
      <c r="G3622" s="27">
        <f ca="1">ROUND(E3622*F3622,2)</f>
        <v>0</v>
      </c>
    </row>
    <row r="3623" spans="1:7" ht="15.12" thickBot="1" customHeight="1">
      <c r="A3623" s="24" t="s">
        <v>11164</v>
      </c>
      <c r="B3623" s="24" t="s">
        <v>11165</v>
      </c>
      <c r="C3623" s="24" t="s">
        <v>11166</v>
      </c>
      <c r="D3623" s="25" t="s">
        <v>11167</v>
      </c>
      <c r="E3623" s="28">
        <v>1.00000</v>
      </c>
      <c r="F3623" s="29">
        <f ca="1">ROUND(6.000,3)</f>
        <v>0</v>
      </c>
      <c r="G3623" s="27">
        <f ca="1">ROUND(E3623*F3623,2)</f>
        <v>0</v>
      </c>
    </row>
    <row r="3624" spans="1:7" ht="21.36" thickBot="1" customHeight="1">
      <c r="A3624" s="24" t="s">
        <v>11168</v>
      </c>
      <c r="B3624" s="24" t="s">
        <v>11169</v>
      </c>
      <c r="C3624" s="24" t="s">
        <v>11170</v>
      </c>
      <c r="D3624" s="25" t="s">
        <v>11171</v>
      </c>
      <c r="E3624" s="28">
        <v>0.33300</v>
      </c>
      <c r="F3624" s="29">
        <f ca="1">ROUND(180.000,3)</f>
        <v>0</v>
      </c>
      <c r="G3624" s="27">
        <f ca="1">ROUND(E3624*F3624,2)</f>
        <v>0</v>
      </c>
    </row>
    <row r="3625" spans="1:7" ht="15.12" thickBot="1" customHeight="1">
      <c r="A3625" s="24" t="s">
        <v>11172</v>
      </c>
      <c r="B3625" s="24" t="s">
        <v>11173</v>
      </c>
      <c r="C3625" s="24" t="s">
        <v>11174</v>
      </c>
      <c r="D3625" s="25" t="s">
        <v>11175</v>
      </c>
      <c r="E3625" s="28">
        <v>75.00000</v>
      </c>
      <c r="F3625" s="29">
        <f ca="1">ROUND(0.220,3)</f>
        <v>0</v>
      </c>
      <c r="G3625" s="27">
        <f ca="1">ROUND(E3625*F3625,2)</f>
        <v>0</v>
      </c>
    </row>
    <row r="3626" spans="1:7" ht="24.36" thickBot="1" customHeight="1">
      <c r="A3626" s="24" t="s">
        <v>11176</v>
      </c>
      <c r="B3626" s="24" t="s">
        <v>11177</v>
      </c>
      <c r="C3626" s="24" t="s">
        <v>11178</v>
      </c>
      <c r="D3626" s="25" t="s">
        <v>11179</v>
      </c>
      <c r="E3626" s="28">
        <v>8.00000</v>
      </c>
      <c r="F3626" s="29">
        <f ca="1">ROUND(47.500,3)</f>
        <v>0</v>
      </c>
      <c r="G3626" s="27">
        <f ca="1">ROUND(E3626*F3626,2)</f>
        <v>0</v>
      </c>
    </row>
    <row r="3627" spans="1:7" ht="15.12" thickBot="1" customHeight="1">
      <c r="A3627" s="24" t="s">
        <v>11180</v>
      </c>
      <c r="B3627" s="24" t="s">
        <v>11181</v>
      </c>
      <c r="C3627" s="24" t="s">
        <v>11182</v>
      </c>
      <c r="D3627" s="25" t="s">
        <v>11183</v>
      </c>
      <c r="E3627" s="28">
        <v>0.00100</v>
      </c>
      <c r="F3627" s="29">
        <f ca="1">ROUND(914.460,3)</f>
        <v>0</v>
      </c>
      <c r="G3627" s="27">
        <f ca="1">ROUND(E3627*F3627,2)</f>
        <v>0</v>
      </c>
    </row>
    <row r="3628" spans="1:7" ht="15.48" thickBot="1" customHeight="1">
      <c r="A3628" s="30"/>
      <c r="B3628" s="30"/>
      <c r="C3628" s="30"/>
      <c r="D3628" s="31" t="s">
        <v>11184</v>
      </c>
      <c r="E3628" s="30"/>
      <c r="F3628" s="33">
        <f ca="1">ROUND((G3611+G3612+G3613+G3614+G3615+G3616+G3617+G3618+G3619+G3620+G3621+G3622+G3623+G3624+G3625+G3626+G3627)*(1+G2/100),2)</f>
        <v>0</v>
      </c>
      <c r="G3628" s="30"/>
    </row>
    <row r="3629" spans="1:7" ht="21.36" thickBot="1" customHeight="1">
      <c r="A3629" s="34" t="s">
        <v>11185</v>
      </c>
      <c r="B3629" s="35" t="s">
        <v>11186</v>
      </c>
      <c r="C3629" s="35" t="s">
        <v>11187</v>
      </c>
      <c r="D3629" s="36" t="s">
        <v>11188</v>
      </c>
      <c r="E3629" s="37"/>
      <c r="F3629" s="38">
        <f ca="1">F3633</f>
        <v>0</v>
      </c>
      <c r="G3629" s="37"/>
    </row>
    <row r="3630" spans="1:7" ht="49.08" thickBot="1" customHeight="1">
      <c r="A3630" s="26"/>
      <c r="B3630" s="26"/>
      <c r="C3630" s="26"/>
      <c r="D3630" s="25" t="s">
        <v>11189</v>
      </c>
      <c r="E3630" s="25"/>
      <c r="F3630" s="25"/>
      <c r="G3630" s="25"/>
    </row>
    <row r="3631" spans="1:7" ht="21.36" thickBot="1" customHeight="1">
      <c r="A3631" s="24" t="s">
        <v>11190</v>
      </c>
      <c r="B3631" s="24" t="s">
        <v>11191</v>
      </c>
      <c r="C3631" s="24" t="s">
        <v>11192</v>
      </c>
      <c r="D3631" s="25" t="s">
        <v>11193</v>
      </c>
      <c r="E3631" s="28">
        <v>0.33300</v>
      </c>
      <c r="F3631" s="29">
        <f ca="1">ROUND(1394.280,3)</f>
        <v>0</v>
      </c>
      <c r="G3631" s="27">
        <f ca="1">ROUND(E3631*F3631,2)</f>
        <v>0</v>
      </c>
    </row>
    <row r="3632" spans="1:7" ht="15.12" thickBot="1" customHeight="1">
      <c r="A3632" s="24" t="s">
        <v>11194</v>
      </c>
      <c r="B3632" s="24" t="s">
        <v>11195</v>
      </c>
      <c r="C3632" s="24" t="s">
        <v>11196</v>
      </c>
      <c r="D3632" s="25" t="s">
        <v>11197</v>
      </c>
      <c r="E3632" s="28">
        <v>0.33400</v>
      </c>
      <c r="F3632" s="29">
        <f ca="1">ROUND(900.000,3)</f>
        <v>0</v>
      </c>
      <c r="G3632" s="27">
        <f ca="1">ROUND(E3632*F3632,2)</f>
        <v>0</v>
      </c>
    </row>
    <row r="3633" spans="1:7" ht="15.48" thickBot="1" customHeight="1">
      <c r="A3633" s="30"/>
      <c r="B3633" s="30"/>
      <c r="C3633" s="30"/>
      <c r="D3633" s="31" t="s">
        <v>11198</v>
      </c>
      <c r="E3633" s="30"/>
      <c r="F3633" s="33">
        <f ca="1">ROUND((G3631+G3632)*(1+G2/100),2)</f>
        <v>0</v>
      </c>
      <c r="G3633" s="30"/>
    </row>
    <row r="3634" spans="1:7" ht="21.36" thickBot="1" customHeight="1">
      <c r="A3634" s="34" t="s">
        <v>11199</v>
      </c>
      <c r="B3634" s="35" t="s">
        <v>11200</v>
      </c>
      <c r="C3634" s="35" t="s">
        <v>11201</v>
      </c>
      <c r="D3634" s="36" t="s">
        <v>11202</v>
      </c>
      <c r="E3634" s="37"/>
      <c r="F3634" s="38">
        <f ca="1">F3703</f>
        <v>0</v>
      </c>
      <c r="G3634" s="37"/>
    </row>
    <row r="3635" spans="1:7" ht="132.24" thickBot="1" customHeight="1">
      <c r="A3635" s="26"/>
      <c r="B3635" s="26"/>
      <c r="C3635" s="26"/>
      <c r="D3635" s="25" t="s">
        <v>11203</v>
      </c>
      <c r="E3635" s="25"/>
      <c r="F3635" s="25"/>
      <c r="G3635" s="25"/>
    </row>
    <row r="3636" spans="1:7" ht="21.36" thickBot="1" customHeight="1">
      <c r="A3636" s="24" t="s">
        <v>11204</v>
      </c>
      <c r="B3636" s="24" t="s">
        <v>11205</v>
      </c>
      <c r="C3636" s="24" t="s">
        <v>11206</v>
      </c>
      <c r="D3636" s="25" t="s">
        <v>11207</v>
      </c>
      <c r="E3636" s="28">
        <v>1.00000</v>
      </c>
      <c r="F3636" s="29">
        <f ca="1">F3641</f>
        <v>0</v>
      </c>
      <c r="G3636" s="27">
        <f ca="1">ROUND(E3636*F3636,2)</f>
        <v>0</v>
      </c>
    </row>
    <row r="3637" spans="1:7" ht="21.36" thickBot="1" customHeight="1">
      <c r="A3637" s="24" t="s">
        <v>11208</v>
      </c>
      <c r="B3637" s="24" t="s">
        <v>11209</v>
      </c>
      <c r="C3637" s="24" t="s">
        <v>11210</v>
      </c>
      <c r="D3637" s="25" t="s">
        <v>11211</v>
      </c>
      <c r="E3637" s="28">
        <v>0.04000</v>
      </c>
      <c r="F3637" s="29">
        <f ca="1">ROUND(13.140,3)</f>
        <v>0</v>
      </c>
      <c r="G3637" s="27">
        <f ca="1">ROUND(E3637*F3637,2)</f>
        <v>0</v>
      </c>
    </row>
    <row r="3638" spans="1:7" ht="21.36" thickBot="1" customHeight="1">
      <c r="A3638" s="24" t="s">
        <v>11212</v>
      </c>
      <c r="B3638" s="24" t="s">
        <v>11213</v>
      </c>
      <c r="C3638" s="24" t="s">
        <v>11214</v>
      </c>
      <c r="D3638" s="25" t="s">
        <v>11215</v>
      </c>
      <c r="E3638" s="28">
        <v>0.10000</v>
      </c>
      <c r="F3638" s="29">
        <f ca="1">ROUND(3.470,3)</f>
        <v>0</v>
      </c>
      <c r="G3638" s="27">
        <f ca="1">ROUND(E3638*F3638,2)</f>
        <v>0</v>
      </c>
    </row>
    <row r="3639" spans="1:7" ht="21.36" thickBot="1" customHeight="1">
      <c r="A3639" s="24" t="s">
        <v>11216</v>
      </c>
      <c r="B3639" s="24" t="s">
        <v>11217</v>
      </c>
      <c r="C3639" s="24" t="s">
        <v>11218</v>
      </c>
      <c r="D3639" s="25" t="s">
        <v>11219</v>
      </c>
      <c r="E3639" s="28">
        <v>0.04000</v>
      </c>
      <c r="F3639" s="29">
        <f ca="1">ROUND(0.660,3)</f>
        <v>0</v>
      </c>
      <c r="G3639" s="27">
        <f ca="1">ROUND(E3639*F3639,2)</f>
        <v>0</v>
      </c>
    </row>
    <row r="3640" spans="1:7" ht="24.36" thickBot="1" customHeight="1">
      <c r="A3640" s="24" t="s">
        <v>11220</v>
      </c>
      <c r="B3640" s="24" t="s">
        <v>11221</v>
      </c>
      <c r="C3640" s="24" t="s">
        <v>11222</v>
      </c>
      <c r="D3640" s="25" t="s">
        <v>11223</v>
      </c>
      <c r="E3640" s="28">
        <v>0.08000</v>
      </c>
      <c r="F3640" s="29">
        <f ca="1">ROUND(15.000,3)</f>
        <v>0</v>
      </c>
      <c r="G3640" s="27">
        <f ca="1">ROUND(E3640*F3640,2)</f>
        <v>0</v>
      </c>
    </row>
    <row r="3641" spans="1:7" ht="15.12" thickBot="1" customHeight="1">
      <c r="A3641" s="26"/>
      <c r="B3641" s="26"/>
      <c r="C3641" s="26"/>
      <c r="D3641" s="24" t="s">
        <v>11224</v>
      </c>
      <c r="E3641" s="28">
        <v>1.00000</v>
      </c>
      <c r="F3641" s="29">
        <f ca="1">ROUND((G3637+G3638+G3639+G3640),3)</f>
        <v>0</v>
      </c>
      <c r="G3641" s="27">
        <f ca="1">ROUND(E3641*F3641,2)</f>
        <v>0</v>
      </c>
    </row>
    <row r="3642" spans="1:7" ht="21.36" thickBot="1" customHeight="1">
      <c r="A3642" s="24" t="s">
        <v>11225</v>
      </c>
      <c r="B3642" s="24" t="s">
        <v>11226</v>
      </c>
      <c r="C3642" s="24" t="s">
        <v>11227</v>
      </c>
      <c r="D3642" s="25" t="s">
        <v>11228</v>
      </c>
      <c r="E3642" s="28">
        <v>0.25000</v>
      </c>
      <c r="F3642" s="29">
        <f ca="1">F3644</f>
        <v>0</v>
      </c>
      <c r="G3642" s="27">
        <f ca="1">ROUND(E3642*F3642,2)</f>
        <v>0</v>
      </c>
    </row>
    <row r="3643" spans="1:7" ht="24.36" thickBot="1" customHeight="1">
      <c r="A3643" s="24" t="s">
        <v>11229</v>
      </c>
      <c r="B3643" s="24" t="s">
        <v>11230</v>
      </c>
      <c r="C3643" s="24" t="s">
        <v>11231</v>
      </c>
      <c r="D3643" s="25" t="s">
        <v>11232</v>
      </c>
      <c r="E3643" s="28">
        <v>15.00000</v>
      </c>
      <c r="F3643" s="29">
        <f ca="1">ROUND(49.500,3)</f>
        <v>0</v>
      </c>
      <c r="G3643" s="27">
        <f ca="1">ROUND(E3643*F3643,2)</f>
        <v>0</v>
      </c>
    </row>
    <row r="3644" spans="1:7" ht="15.12" thickBot="1" customHeight="1">
      <c r="A3644" s="26"/>
      <c r="B3644" s="26"/>
      <c r="C3644" s="26"/>
      <c r="D3644" s="24" t="s">
        <v>11233</v>
      </c>
      <c r="E3644" s="28">
        <v>0.25000</v>
      </c>
      <c r="F3644" s="29">
        <f ca="1">ROUND((G3643),3)</f>
        <v>0</v>
      </c>
      <c r="G3644" s="27">
        <f ca="1">ROUND(E3644*F3644,2)</f>
        <v>0</v>
      </c>
    </row>
    <row r="3645" spans="1:7" ht="21.36" thickBot="1" customHeight="1">
      <c r="A3645" s="24" t="s">
        <v>11234</v>
      </c>
      <c r="B3645" s="24" t="s">
        <v>11235</v>
      </c>
      <c r="C3645" s="24" t="s">
        <v>11236</v>
      </c>
      <c r="D3645" s="25" t="s">
        <v>11237</v>
      </c>
      <c r="E3645" s="28">
        <v>0.40000</v>
      </c>
      <c r="F3645" s="29">
        <f ca="1">F3648</f>
        <v>0</v>
      </c>
      <c r="G3645" s="27">
        <f ca="1">ROUND(E3645*F3645,2)</f>
        <v>0</v>
      </c>
    </row>
    <row r="3646" spans="1:7" ht="30.60" thickBot="1" customHeight="1">
      <c r="A3646" s="24" t="s">
        <v>11238</v>
      </c>
      <c r="B3646" s="24" t="s">
        <v>11239</v>
      </c>
      <c r="C3646" s="24" t="s">
        <v>11240</v>
      </c>
      <c r="D3646" s="25" t="s">
        <v>11241</v>
      </c>
      <c r="E3646" s="28">
        <v>1.00000</v>
      </c>
      <c r="F3646" s="29">
        <f ca="1">ROUND(3.500,3)</f>
        <v>0</v>
      </c>
      <c r="G3646" s="27">
        <f ca="1">ROUND(E3646*F3646,2)</f>
        <v>0</v>
      </c>
    </row>
    <row r="3647" spans="1:7" ht="24.36" thickBot="1" customHeight="1">
      <c r="A3647" s="24" t="s">
        <v>11242</v>
      </c>
      <c r="B3647" s="24" t="s">
        <v>11243</v>
      </c>
      <c r="C3647" s="24" t="s">
        <v>11244</v>
      </c>
      <c r="D3647" s="25" t="s">
        <v>11245</v>
      </c>
      <c r="E3647" s="28">
        <v>0.25000</v>
      </c>
      <c r="F3647" s="29">
        <f ca="1">ROUND(49.500,3)</f>
        <v>0</v>
      </c>
      <c r="G3647" s="27">
        <f ca="1">ROUND(E3647*F3647,2)</f>
        <v>0</v>
      </c>
    </row>
    <row r="3648" spans="1:7" ht="15.12" thickBot="1" customHeight="1">
      <c r="A3648" s="26"/>
      <c r="B3648" s="26"/>
      <c r="C3648" s="26"/>
      <c r="D3648" s="24" t="s">
        <v>11246</v>
      </c>
      <c r="E3648" s="28">
        <v>0.40000</v>
      </c>
      <c r="F3648" s="29">
        <f ca="1">ROUND((G3646+G3647),3)</f>
        <v>0</v>
      </c>
      <c r="G3648" s="27">
        <f ca="1">ROUND(E3648*F3648,2)</f>
        <v>0</v>
      </c>
    </row>
    <row r="3649" spans="1:7" ht="21.36" thickBot="1" customHeight="1">
      <c r="A3649" s="24" t="s">
        <v>11247</v>
      </c>
      <c r="B3649" s="24" t="s">
        <v>11248</v>
      </c>
      <c r="C3649" s="24" t="s">
        <v>11249</v>
      </c>
      <c r="D3649" s="25" t="s">
        <v>11250</v>
      </c>
      <c r="E3649" s="28">
        <v>1.00000</v>
      </c>
      <c r="F3649" s="29">
        <f ca="1">F3658</f>
        <v>0</v>
      </c>
      <c r="G3649" s="27">
        <f ca="1">ROUND(E3649*F3649,2)</f>
        <v>0</v>
      </c>
    </row>
    <row r="3650" spans="1:7" ht="21.36" thickBot="1" customHeight="1">
      <c r="A3650" s="24" t="s">
        <v>11251</v>
      </c>
      <c r="B3650" s="24" t="s">
        <v>11252</v>
      </c>
      <c r="C3650" s="24" t="s">
        <v>11253</v>
      </c>
      <c r="D3650" s="25" t="s">
        <v>11254</v>
      </c>
      <c r="E3650" s="28">
        <v>1.00000</v>
      </c>
      <c r="F3650" s="29">
        <f ca="1">ROUND(80.000,3)</f>
        <v>0</v>
      </c>
      <c r="G3650" s="27">
        <f ca="1">ROUND(E3650*F3650,2)</f>
        <v>0</v>
      </c>
    </row>
    <row r="3651" spans="1:7" ht="15.12" thickBot="1" customHeight="1">
      <c r="A3651" s="24" t="s">
        <v>11255</v>
      </c>
      <c r="B3651" s="24" t="s">
        <v>11256</v>
      </c>
      <c r="C3651" s="24" t="s">
        <v>11257</v>
      </c>
      <c r="D3651" s="25" t="s">
        <v>11258</v>
      </c>
      <c r="E3651" s="28">
        <v>8.00000</v>
      </c>
      <c r="F3651" s="29">
        <f ca="1">ROUND(2.000,3)</f>
        <v>0</v>
      </c>
      <c r="G3651" s="27">
        <f ca="1">ROUND(E3651*F3651,2)</f>
        <v>0</v>
      </c>
    </row>
    <row r="3652" spans="1:7" ht="21.36" thickBot="1" customHeight="1">
      <c r="A3652" s="24" t="s">
        <v>11259</v>
      </c>
      <c r="B3652" s="24" t="s">
        <v>11260</v>
      </c>
      <c r="C3652" s="24" t="s">
        <v>11261</v>
      </c>
      <c r="D3652" s="25" t="s">
        <v>11262</v>
      </c>
      <c r="E3652" s="28">
        <v>1.00000</v>
      </c>
      <c r="F3652" s="29">
        <f ca="1">ROUND(10.000,3)</f>
        <v>0</v>
      </c>
      <c r="G3652" s="27">
        <f ca="1">ROUND(E3652*F3652,2)</f>
        <v>0</v>
      </c>
    </row>
    <row r="3653" spans="1:7" ht="21.36" thickBot="1" customHeight="1">
      <c r="A3653" s="24" t="s">
        <v>11263</v>
      </c>
      <c r="B3653" s="24" t="s">
        <v>11264</v>
      </c>
      <c r="C3653" s="24" t="s">
        <v>11265</v>
      </c>
      <c r="D3653" s="25" t="s">
        <v>11266</v>
      </c>
      <c r="E3653" s="28">
        <v>0.30000</v>
      </c>
      <c r="F3653" s="29">
        <f ca="1">ROUND(23.000,3)</f>
        <v>0</v>
      </c>
      <c r="G3653" s="27">
        <f ca="1">ROUND(E3653*F3653,2)</f>
        <v>0</v>
      </c>
    </row>
    <row r="3654" spans="1:7" ht="21.36" thickBot="1" customHeight="1">
      <c r="A3654" s="24" t="s">
        <v>11267</v>
      </c>
      <c r="B3654" s="24" t="s">
        <v>11268</v>
      </c>
      <c r="C3654" s="24" t="s">
        <v>11269</v>
      </c>
      <c r="D3654" s="25" t="s">
        <v>11270</v>
      </c>
      <c r="E3654" s="28">
        <v>0.09000</v>
      </c>
      <c r="F3654" s="29">
        <f ca="1">ROUND(10.100,3)</f>
        <v>0</v>
      </c>
      <c r="G3654" s="27">
        <f ca="1">ROUND(E3654*F3654,2)</f>
        <v>0</v>
      </c>
    </row>
    <row r="3655" spans="1:7" ht="15.12" thickBot="1" customHeight="1">
      <c r="A3655" s="24" t="s">
        <v>11271</v>
      </c>
      <c r="B3655" s="24" t="s">
        <v>11272</v>
      </c>
      <c r="C3655" s="24" t="s">
        <v>11273</v>
      </c>
      <c r="D3655" s="25" t="s">
        <v>11274</v>
      </c>
      <c r="E3655" s="28">
        <v>0.03000</v>
      </c>
      <c r="F3655" s="29">
        <f ca="1">ROUND(5.600,3)</f>
        <v>0</v>
      </c>
      <c r="G3655" s="27">
        <f ca="1">ROUND(E3655*F3655,2)</f>
        <v>0</v>
      </c>
    </row>
    <row r="3656" spans="1:7" ht="15.12" thickBot="1" customHeight="1">
      <c r="A3656" s="24" t="s">
        <v>11275</v>
      </c>
      <c r="B3656" s="24" t="s">
        <v>11276</v>
      </c>
      <c r="C3656" s="24" t="s">
        <v>11277</v>
      </c>
      <c r="D3656" s="25" t="s">
        <v>11278</v>
      </c>
      <c r="E3656" s="28">
        <v>0.03000</v>
      </c>
      <c r="F3656" s="29">
        <f ca="1">ROUND(2.000,3)</f>
        <v>0</v>
      </c>
      <c r="G3656" s="27">
        <f ca="1">ROUND(E3656*F3656,2)</f>
        <v>0</v>
      </c>
    </row>
    <row r="3657" spans="1:7" ht="24.36" thickBot="1" customHeight="1">
      <c r="A3657" s="24" t="s">
        <v>11279</v>
      </c>
      <c r="B3657" s="24" t="s">
        <v>11280</v>
      </c>
      <c r="C3657" s="24" t="s">
        <v>11281</v>
      </c>
      <c r="D3657" s="25" t="s">
        <v>11282</v>
      </c>
      <c r="E3657" s="28">
        <v>3.20000</v>
      </c>
      <c r="F3657" s="29">
        <f ca="1">ROUND(49.500,3)</f>
        <v>0</v>
      </c>
      <c r="G3657" s="27">
        <f ca="1">ROUND(E3657*F3657,2)</f>
        <v>0</v>
      </c>
    </row>
    <row r="3658" spans="1:7" ht="15.12" thickBot="1" customHeight="1">
      <c r="A3658" s="26"/>
      <c r="B3658" s="26"/>
      <c r="C3658" s="26"/>
      <c r="D3658" s="24" t="s">
        <v>11283</v>
      </c>
      <c r="E3658" s="28">
        <v>1.00000</v>
      </c>
      <c r="F3658" s="29">
        <f ca="1">ROUND((G3650+G3651+G3652+G3653+G3654+G3655+G3656+G3657),3)</f>
        <v>0</v>
      </c>
      <c r="G3658" s="27">
        <f ca="1">ROUND(E3658*F3658,2)</f>
        <v>0</v>
      </c>
    </row>
    <row r="3659" spans="1:7" ht="15.12" thickBot="1" customHeight="1">
      <c r="A3659" s="24" t="s">
        <v>11284</v>
      </c>
      <c r="B3659" s="24" t="s">
        <v>11285</v>
      </c>
      <c r="C3659" s="24" t="s">
        <v>11286</v>
      </c>
      <c r="D3659" s="25" t="s">
        <v>11287</v>
      </c>
      <c r="E3659" s="28">
        <v>1.00000</v>
      </c>
      <c r="F3659" s="29">
        <f ca="1">F3661</f>
        <v>0</v>
      </c>
      <c r="G3659" s="27">
        <f ca="1">ROUND(E3659*F3659,2)</f>
        <v>0</v>
      </c>
    </row>
    <row r="3660" spans="1:7" ht="21.36" thickBot="1" customHeight="1">
      <c r="A3660" s="24" t="s">
        <v>11288</v>
      </c>
      <c r="B3660" s="24" t="s">
        <v>11289</v>
      </c>
      <c r="C3660" s="24" t="s">
        <v>11290</v>
      </c>
      <c r="D3660" s="25" t="s">
        <v>11291</v>
      </c>
      <c r="E3660" s="28">
        <v>0.33700</v>
      </c>
      <c r="F3660" s="29">
        <f ca="1">ROUND(43.800,3)</f>
        <v>0</v>
      </c>
      <c r="G3660" s="27">
        <f ca="1">ROUND(E3660*F3660,2)</f>
        <v>0</v>
      </c>
    </row>
    <row r="3661" spans="1:7" ht="15.12" thickBot="1" customHeight="1">
      <c r="A3661" s="26"/>
      <c r="B3661" s="26"/>
      <c r="C3661" s="26"/>
      <c r="D3661" s="24" t="s">
        <v>11292</v>
      </c>
      <c r="E3661" s="28">
        <v>1.00000</v>
      </c>
      <c r="F3661" s="29">
        <f ca="1">ROUND((G3660),3)</f>
        <v>0</v>
      </c>
      <c r="G3661" s="27">
        <f ca="1">ROUND(E3661*F3661,2)</f>
        <v>0</v>
      </c>
    </row>
    <row r="3662" spans="1:7" ht="30.60" thickBot="1" customHeight="1">
      <c r="A3662" s="24" t="s">
        <v>11293</v>
      </c>
      <c r="B3662" s="24" t="s">
        <v>11294</v>
      </c>
      <c r="C3662" s="24" t="s">
        <v>11295</v>
      </c>
      <c r="D3662" s="25" t="s">
        <v>11296</v>
      </c>
      <c r="E3662" s="28">
        <v>0.50000</v>
      </c>
      <c r="F3662" s="29">
        <f ca="1">F3665</f>
        <v>0</v>
      </c>
      <c r="G3662" s="27">
        <f ca="1">ROUND(E3662*F3662,2)</f>
        <v>0</v>
      </c>
    </row>
    <row r="3663" spans="1:7" ht="21.36" thickBot="1" customHeight="1">
      <c r="A3663" s="24" t="s">
        <v>11297</v>
      </c>
      <c r="B3663" s="24" t="s">
        <v>11298</v>
      </c>
      <c r="C3663" s="24" t="s">
        <v>11299</v>
      </c>
      <c r="D3663" s="25" t="s">
        <v>11300</v>
      </c>
      <c r="E3663" s="28">
        <v>0.50000</v>
      </c>
      <c r="F3663" s="29">
        <f ca="1">ROUND(43.800,3)</f>
        <v>0</v>
      </c>
      <c r="G3663" s="27">
        <f ca="1">ROUND(E3663*F3663,2)</f>
        <v>0</v>
      </c>
    </row>
    <row r="3664" spans="1:7" ht="15.12" thickBot="1" customHeight="1">
      <c r="A3664" s="24" t="s">
        <v>11301</v>
      </c>
      <c r="B3664" s="24"/>
      <c r="C3664" s="24" t="s">
        <v>11302</v>
      </c>
      <c r="D3664" s="25" t="s">
        <v>11303</v>
      </c>
      <c r="E3664" s="28">
        <v>3.00000</v>
      </c>
      <c r="F3664" s="29">
        <f ca="1">ROUND(21.900,3)</f>
        <v>0</v>
      </c>
      <c r="G3664" s="27">
        <f ca="1">ROUND((E3664*F3664)/100,2)</f>
        <v>0</v>
      </c>
    </row>
    <row r="3665" spans="1:7" ht="15.12" thickBot="1" customHeight="1">
      <c r="A3665" s="26"/>
      <c r="B3665" s="26"/>
      <c r="C3665" s="26"/>
      <c r="D3665" s="24" t="s">
        <v>11304</v>
      </c>
      <c r="E3665" s="28">
        <v>0.50000</v>
      </c>
      <c r="F3665" s="29">
        <f ca="1">ROUND((G3663+G3664),3)</f>
        <v>0</v>
      </c>
      <c r="G3665" s="27">
        <f ca="1">ROUND(E3665*F3665,2)</f>
        <v>0</v>
      </c>
    </row>
    <row r="3666" spans="1:7" ht="15.12" thickBot="1" customHeight="1">
      <c r="A3666" s="24" t="s">
        <v>11305</v>
      </c>
      <c r="B3666" s="24" t="s">
        <v>11306</v>
      </c>
      <c r="C3666" s="24" t="s">
        <v>11307</v>
      </c>
      <c r="D3666" s="25" t="s">
        <v>11308</v>
      </c>
      <c r="E3666" s="28">
        <v>0.05000</v>
      </c>
      <c r="F3666" s="29">
        <f ca="1">F3671</f>
        <v>0</v>
      </c>
      <c r="G3666" s="27">
        <f ca="1">ROUND(E3666*F3666,2)</f>
        <v>0</v>
      </c>
    </row>
    <row r="3667" spans="1:7" ht="15.12" thickBot="1" customHeight="1">
      <c r="A3667" s="24" t="s">
        <v>11309</v>
      </c>
      <c r="B3667" s="24" t="s">
        <v>11310</v>
      </c>
      <c r="C3667" s="24" t="s">
        <v>11311</v>
      </c>
      <c r="D3667" s="25" t="s">
        <v>11312</v>
      </c>
      <c r="E3667" s="28">
        <v>1.00000</v>
      </c>
      <c r="F3667" s="29">
        <f ca="1">ROUND(32.000,3)</f>
        <v>0</v>
      </c>
      <c r="G3667" s="27">
        <f ca="1">ROUND(E3667*F3667,2)</f>
        <v>0</v>
      </c>
    </row>
    <row r="3668" spans="1:7" ht="30.60" thickBot="1" customHeight="1">
      <c r="A3668" s="24" t="s">
        <v>11313</v>
      </c>
      <c r="B3668" s="24" t="s">
        <v>11314</v>
      </c>
      <c r="C3668" s="24" t="s">
        <v>11315</v>
      </c>
      <c r="D3668" s="25" t="s">
        <v>11316</v>
      </c>
      <c r="E3668" s="28">
        <v>5.00000</v>
      </c>
      <c r="F3668" s="29">
        <f ca="1">ROUND(0.170,3)</f>
        <v>0</v>
      </c>
      <c r="G3668" s="27">
        <f ca="1">ROUND(E3668*F3668,2)</f>
        <v>0</v>
      </c>
    </row>
    <row r="3669" spans="1:7" ht="15.12" thickBot="1" customHeight="1">
      <c r="A3669" s="24" t="s">
        <v>11317</v>
      </c>
      <c r="B3669" s="24" t="s">
        <v>11318</v>
      </c>
      <c r="C3669" s="24" t="s">
        <v>11319</v>
      </c>
      <c r="D3669" s="25" t="s">
        <v>11320</v>
      </c>
      <c r="E3669" s="28">
        <v>0.00100</v>
      </c>
      <c r="F3669" s="29">
        <f ca="1">ROUND(88.000,3)</f>
        <v>0</v>
      </c>
      <c r="G3669" s="27">
        <f ca="1">ROUND(E3669*F3669,2)</f>
        <v>0</v>
      </c>
    </row>
    <row r="3670" spans="1:7" ht="21.36" thickBot="1" customHeight="1">
      <c r="A3670" s="24" t="s">
        <v>11321</v>
      </c>
      <c r="B3670" s="24" t="s">
        <v>11322</v>
      </c>
      <c r="C3670" s="24" t="s">
        <v>11323</v>
      </c>
      <c r="D3670" s="25" t="s">
        <v>11324</v>
      </c>
      <c r="E3670" s="28">
        <v>0.45000</v>
      </c>
      <c r="F3670" s="29">
        <f ca="1">ROUND(43.800,3)</f>
        <v>0</v>
      </c>
      <c r="G3670" s="27">
        <f ca="1">ROUND(E3670*F3670,2)</f>
        <v>0</v>
      </c>
    </row>
    <row r="3671" spans="1:7" ht="15.12" thickBot="1" customHeight="1">
      <c r="A3671" s="26"/>
      <c r="B3671" s="26"/>
      <c r="C3671" s="26"/>
      <c r="D3671" s="24" t="s">
        <v>11325</v>
      </c>
      <c r="E3671" s="28">
        <v>0.05000</v>
      </c>
      <c r="F3671" s="29">
        <f ca="1">ROUND((G3667+G3668+G3669+G3670),3)</f>
        <v>0</v>
      </c>
      <c r="G3671" s="27">
        <f ca="1">ROUND(E3671*F3671,2)</f>
        <v>0</v>
      </c>
    </row>
    <row r="3672" spans="1:7" ht="15.12" thickBot="1" customHeight="1">
      <c r="A3672" s="24" t="s">
        <v>11326</v>
      </c>
      <c r="B3672" s="24" t="s">
        <v>11327</v>
      </c>
      <c r="C3672" s="24" t="s">
        <v>11328</v>
      </c>
      <c r="D3672" s="25" t="s">
        <v>11329</v>
      </c>
      <c r="E3672" s="28">
        <v>0.05000</v>
      </c>
      <c r="F3672" s="29">
        <f ca="1">F3676</f>
        <v>0</v>
      </c>
      <c r="G3672" s="27">
        <f ca="1">ROUND(E3672*F3672,2)</f>
        <v>0</v>
      </c>
    </row>
    <row r="3673" spans="1:7" ht="30.60" thickBot="1" customHeight="1">
      <c r="A3673" s="24" t="s">
        <v>11330</v>
      </c>
      <c r="B3673" s="24" t="s">
        <v>11331</v>
      </c>
      <c r="C3673" s="24" t="s">
        <v>11332</v>
      </c>
      <c r="D3673" s="25" t="s">
        <v>11333</v>
      </c>
      <c r="E3673" s="28">
        <v>0.05000</v>
      </c>
      <c r="F3673" s="29">
        <f ca="1">ROUND(23.460,3)</f>
        <v>0</v>
      </c>
      <c r="G3673" s="27">
        <f ca="1">ROUND(E3673*F3673,2)</f>
        <v>0</v>
      </c>
    </row>
    <row r="3674" spans="1:7" ht="21.36" thickBot="1" customHeight="1">
      <c r="A3674" s="24" t="s">
        <v>11334</v>
      </c>
      <c r="B3674" s="24" t="s">
        <v>11335</v>
      </c>
      <c r="C3674" s="24" t="s">
        <v>11336</v>
      </c>
      <c r="D3674" s="25" t="s">
        <v>11337</v>
      </c>
      <c r="E3674" s="28">
        <v>0.25000</v>
      </c>
      <c r="F3674" s="29">
        <f ca="1">ROUND(28.500,3)</f>
        <v>0</v>
      </c>
      <c r="G3674" s="27">
        <f ca="1">ROUND(E3674*F3674,2)</f>
        <v>0</v>
      </c>
    </row>
    <row r="3675" spans="1:7" ht="21.36" thickBot="1" customHeight="1">
      <c r="A3675" s="24" t="s">
        <v>11338</v>
      </c>
      <c r="B3675" s="24" t="s">
        <v>11339</v>
      </c>
      <c r="C3675" s="24" t="s">
        <v>11340</v>
      </c>
      <c r="D3675" s="25" t="s">
        <v>11341</v>
      </c>
      <c r="E3675" s="28">
        <v>7.00000</v>
      </c>
      <c r="F3675" s="29">
        <f ca="1">ROUND(43.800,3)</f>
        <v>0</v>
      </c>
      <c r="G3675" s="27">
        <f ca="1">ROUND(E3675*F3675,2)</f>
        <v>0</v>
      </c>
    </row>
    <row r="3676" spans="1:7" ht="15.12" thickBot="1" customHeight="1">
      <c r="A3676" s="26"/>
      <c r="B3676" s="26"/>
      <c r="C3676" s="26"/>
      <c r="D3676" s="24" t="s">
        <v>11342</v>
      </c>
      <c r="E3676" s="28">
        <v>0.05000</v>
      </c>
      <c r="F3676" s="29">
        <f ca="1">ROUND((G3673+G3674+G3675),3)</f>
        <v>0</v>
      </c>
      <c r="G3676" s="27">
        <f ca="1">ROUND(E3676*F3676,2)</f>
        <v>0</v>
      </c>
    </row>
    <row r="3677" spans="1:7" ht="15.12" thickBot="1" customHeight="1">
      <c r="A3677" s="24" t="s">
        <v>11343</v>
      </c>
      <c r="B3677" s="24" t="s">
        <v>11344</v>
      </c>
      <c r="C3677" s="24" t="s">
        <v>11345</v>
      </c>
      <c r="D3677" s="25" t="s">
        <v>11346</v>
      </c>
      <c r="E3677" s="28">
        <v>0.15000</v>
      </c>
      <c r="F3677" s="29">
        <f ca="1">F3680</f>
        <v>0</v>
      </c>
      <c r="G3677" s="27">
        <f ca="1">ROUND(E3677*F3677,2)</f>
        <v>0</v>
      </c>
    </row>
    <row r="3678" spans="1:7" ht="30.60" thickBot="1" customHeight="1">
      <c r="A3678" s="24" t="s">
        <v>11347</v>
      </c>
      <c r="B3678" s="24" t="s">
        <v>11348</v>
      </c>
      <c r="C3678" s="24" t="s">
        <v>11349</v>
      </c>
      <c r="D3678" s="25" t="s">
        <v>11350</v>
      </c>
      <c r="E3678" s="28">
        <v>0.50000</v>
      </c>
      <c r="F3678" s="29">
        <f ca="1">ROUND(30.260,3)</f>
        <v>0</v>
      </c>
      <c r="G3678" s="27">
        <f ca="1">ROUND(E3678*F3678,2)</f>
        <v>0</v>
      </c>
    </row>
    <row r="3679" spans="1:7" ht="21.36" thickBot="1" customHeight="1">
      <c r="A3679" s="24" t="s">
        <v>11351</v>
      </c>
      <c r="B3679" s="24" t="s">
        <v>11352</v>
      </c>
      <c r="C3679" s="24" t="s">
        <v>11353</v>
      </c>
      <c r="D3679" s="25" t="s">
        <v>11354</v>
      </c>
      <c r="E3679" s="28">
        <v>0.50000</v>
      </c>
      <c r="F3679" s="29">
        <f ca="1">ROUND(43.800,3)</f>
        <v>0</v>
      </c>
      <c r="G3679" s="27">
        <f ca="1">ROUND(E3679*F3679,2)</f>
        <v>0</v>
      </c>
    </row>
    <row r="3680" spans="1:7" ht="15.12" thickBot="1" customHeight="1">
      <c r="A3680" s="26"/>
      <c r="B3680" s="26"/>
      <c r="C3680" s="26"/>
      <c r="D3680" s="24" t="s">
        <v>11355</v>
      </c>
      <c r="E3680" s="28">
        <v>0.15000</v>
      </c>
      <c r="F3680" s="29">
        <f ca="1">ROUND((G3678+G3679),3)</f>
        <v>0</v>
      </c>
      <c r="G3680" s="27">
        <f ca="1">ROUND(E3680*F3680,2)</f>
        <v>0</v>
      </c>
    </row>
    <row r="3681" spans="1:7" ht="21.36" thickBot="1" customHeight="1">
      <c r="A3681" s="24" t="s">
        <v>11356</v>
      </c>
      <c r="B3681" s="24" t="s">
        <v>11357</v>
      </c>
      <c r="C3681" s="24" t="s">
        <v>11358</v>
      </c>
      <c r="D3681" s="25" t="s">
        <v>11359</v>
      </c>
      <c r="E3681" s="28">
        <v>1.00000</v>
      </c>
      <c r="F3681" s="29">
        <f ca="1">F3690</f>
        <v>0</v>
      </c>
      <c r="G3681" s="27">
        <f ca="1">ROUND(E3681*F3681,2)</f>
        <v>0</v>
      </c>
    </row>
    <row r="3682" spans="1:7" ht="30.60" thickBot="1" customHeight="1">
      <c r="A3682" s="24" t="s">
        <v>11360</v>
      </c>
      <c r="B3682" s="24" t="s">
        <v>11361</v>
      </c>
      <c r="C3682" s="24" t="s">
        <v>11362</v>
      </c>
      <c r="D3682" s="25" t="s">
        <v>11363</v>
      </c>
      <c r="E3682" s="28">
        <v>0.02140</v>
      </c>
      <c r="F3682" s="29">
        <f ca="1">ROUND(41.900,3)</f>
        <v>0</v>
      </c>
      <c r="G3682" s="27">
        <f ca="1">ROUND(E3682*F3682,2)</f>
        <v>0</v>
      </c>
    </row>
    <row r="3683" spans="1:7" ht="24.36" thickBot="1" customHeight="1">
      <c r="A3683" s="24" t="s">
        <v>11364</v>
      </c>
      <c r="B3683" s="24" t="s">
        <v>11365</v>
      </c>
      <c r="C3683" s="24" t="s">
        <v>11366</v>
      </c>
      <c r="D3683" s="25" t="s">
        <v>11367</v>
      </c>
      <c r="E3683" s="28">
        <v>0.01000</v>
      </c>
      <c r="F3683" s="29">
        <f ca="1">ROUND(85.930,3)</f>
        <v>0</v>
      </c>
      <c r="G3683" s="27">
        <f ca="1">ROUND(E3683*F3683,2)</f>
        <v>0</v>
      </c>
    </row>
    <row r="3684" spans="1:7" ht="30.60" thickBot="1" customHeight="1">
      <c r="A3684" s="24" t="s">
        <v>11368</v>
      </c>
      <c r="B3684" s="24" t="s">
        <v>11369</v>
      </c>
      <c r="C3684" s="24" t="s">
        <v>11370</v>
      </c>
      <c r="D3684" s="25" t="s">
        <v>11371</v>
      </c>
      <c r="E3684" s="28">
        <v>0.01100</v>
      </c>
      <c r="F3684" s="29">
        <f ca="1">ROUND(2.520,3)</f>
        <v>0</v>
      </c>
      <c r="G3684" s="27">
        <f ca="1">ROUND(E3684*F3684,2)</f>
        <v>0</v>
      </c>
    </row>
    <row r="3685" spans="1:7" ht="24.36" thickBot="1" customHeight="1">
      <c r="A3685" s="24" t="s">
        <v>11372</v>
      </c>
      <c r="B3685" s="24" t="s">
        <v>11373</v>
      </c>
      <c r="C3685" s="24" t="s">
        <v>11374</v>
      </c>
      <c r="D3685" s="25" t="s">
        <v>11375</v>
      </c>
      <c r="E3685" s="28">
        <v>0.01100</v>
      </c>
      <c r="F3685" s="29">
        <f ca="1">ROUND(4.730,3)</f>
        <v>0</v>
      </c>
      <c r="G3685" s="27">
        <f ca="1">ROUND(E3685*F3685,2)</f>
        <v>0</v>
      </c>
    </row>
    <row r="3686" spans="1:7" ht="24.36" thickBot="1" customHeight="1">
      <c r="A3686" s="24" t="s">
        <v>11376</v>
      </c>
      <c r="B3686" s="24" t="s">
        <v>11377</v>
      </c>
      <c r="C3686" s="24" t="s">
        <v>11378</v>
      </c>
      <c r="D3686" s="25" t="s">
        <v>11379</v>
      </c>
      <c r="E3686" s="28">
        <v>0.01500</v>
      </c>
      <c r="F3686" s="29">
        <f ca="1">ROUND(0.650,3)</f>
        <v>0</v>
      </c>
      <c r="G3686" s="27">
        <f ca="1">ROUND(E3686*F3686,2)</f>
        <v>0</v>
      </c>
    </row>
    <row r="3687" spans="1:7" ht="24.36" thickBot="1" customHeight="1">
      <c r="A3687" s="24" t="s">
        <v>11380</v>
      </c>
      <c r="B3687" s="24" t="s">
        <v>11381</v>
      </c>
      <c r="C3687" s="24" t="s">
        <v>11382</v>
      </c>
      <c r="D3687" s="25" t="s">
        <v>11383</v>
      </c>
      <c r="E3687" s="28">
        <v>0.01100</v>
      </c>
      <c r="F3687" s="29">
        <f ca="1">ROUND(4.060,3)</f>
        <v>0</v>
      </c>
      <c r="G3687" s="27">
        <f ca="1">ROUND(E3687*F3687,2)</f>
        <v>0</v>
      </c>
    </row>
    <row r="3688" spans="1:7" ht="21.36" thickBot="1" customHeight="1">
      <c r="A3688" s="24" t="s">
        <v>11384</v>
      </c>
      <c r="B3688" s="24" t="s">
        <v>11385</v>
      </c>
      <c r="C3688" s="24" t="s">
        <v>11386</v>
      </c>
      <c r="D3688" s="25" t="s">
        <v>11387</v>
      </c>
      <c r="E3688" s="28">
        <v>0.22000</v>
      </c>
      <c r="F3688" s="29">
        <f ca="1">ROUND(43.800,3)</f>
        <v>0</v>
      </c>
      <c r="G3688" s="27">
        <f ca="1">ROUND(E3688*F3688,2)</f>
        <v>0</v>
      </c>
    </row>
    <row r="3689" spans="1:7" ht="15.12" thickBot="1" customHeight="1">
      <c r="A3689" s="24" t="s">
        <v>11388</v>
      </c>
      <c r="B3689" s="24"/>
      <c r="C3689" s="24" t="s">
        <v>11389</v>
      </c>
      <c r="D3689" s="25" t="s">
        <v>11390</v>
      </c>
      <c r="E3689" s="28">
        <v>3.00000</v>
      </c>
      <c r="F3689" s="29">
        <f ca="1">ROUND(9.640,3)</f>
        <v>0</v>
      </c>
      <c r="G3689" s="27">
        <f ca="1">ROUND((E3689*F3689)/100,2)</f>
        <v>0</v>
      </c>
    </row>
    <row r="3690" spans="1:7" ht="15.12" thickBot="1" customHeight="1">
      <c r="A3690" s="26"/>
      <c r="B3690" s="26"/>
      <c r="C3690" s="26"/>
      <c r="D3690" s="24" t="s">
        <v>11391</v>
      </c>
      <c r="E3690" s="28">
        <v>1.00000</v>
      </c>
      <c r="F3690" s="29">
        <f ca="1">ROUND((G3682+G3683+G3684+G3685+G3686+G3687+G3688+G3689),3)</f>
        <v>0</v>
      </c>
      <c r="G3690" s="27">
        <f ca="1">ROUND(E3690*F3690,2)</f>
        <v>0</v>
      </c>
    </row>
    <row r="3691" spans="1:7" ht="15.12" thickBot="1" customHeight="1">
      <c r="A3691" s="24" t="s">
        <v>11392</v>
      </c>
      <c r="B3691" s="24" t="s">
        <v>11393</v>
      </c>
      <c r="C3691" s="24" t="s">
        <v>11394</v>
      </c>
      <c r="D3691" s="25" t="s">
        <v>11395</v>
      </c>
      <c r="E3691" s="28">
        <v>0.50000</v>
      </c>
      <c r="F3691" s="29">
        <f ca="1">F3698</f>
        <v>0</v>
      </c>
      <c r="G3691" s="27">
        <f ca="1">ROUND(E3691*F3691,2)</f>
        <v>0</v>
      </c>
    </row>
    <row r="3692" spans="1:7" ht="30.60" thickBot="1" customHeight="1">
      <c r="A3692" s="24" t="s">
        <v>11396</v>
      </c>
      <c r="B3692" s="24" t="s">
        <v>11397</v>
      </c>
      <c r="C3692" s="24" t="s">
        <v>11398</v>
      </c>
      <c r="D3692" s="25" t="s">
        <v>11399</v>
      </c>
      <c r="E3692" s="28">
        <v>0.02200</v>
      </c>
      <c r="F3692" s="29">
        <f ca="1">ROUND(39.500,3)</f>
        <v>0</v>
      </c>
      <c r="G3692" s="27">
        <f ca="1">ROUND(E3692*F3692,2)</f>
        <v>0</v>
      </c>
    </row>
    <row r="3693" spans="1:7" ht="30.60" thickBot="1" customHeight="1">
      <c r="A3693" s="24" t="s">
        <v>11400</v>
      </c>
      <c r="B3693" s="24" t="s">
        <v>11401</v>
      </c>
      <c r="C3693" s="24" t="s">
        <v>11402</v>
      </c>
      <c r="D3693" s="25" t="s">
        <v>11403</v>
      </c>
      <c r="E3693" s="28">
        <v>1.00000</v>
      </c>
      <c r="F3693" s="29">
        <f ca="1">ROUND(1.290,3)</f>
        <v>0</v>
      </c>
      <c r="G3693" s="27">
        <f ca="1">ROUND(E3693*F3693,2)</f>
        <v>0</v>
      </c>
    </row>
    <row r="3694" spans="1:7" ht="30.60" thickBot="1" customHeight="1">
      <c r="A3694" s="24" t="s">
        <v>11404</v>
      </c>
      <c r="B3694" s="24" t="s">
        <v>11405</v>
      </c>
      <c r="C3694" s="24" t="s">
        <v>11406</v>
      </c>
      <c r="D3694" s="25" t="s">
        <v>11407</v>
      </c>
      <c r="E3694" s="28">
        <v>0.10000</v>
      </c>
      <c r="F3694" s="29">
        <f ca="1">ROUND(1.190,3)</f>
        <v>0</v>
      </c>
      <c r="G3694" s="27">
        <f ca="1">ROUND(E3694*F3694,2)</f>
        <v>0</v>
      </c>
    </row>
    <row r="3695" spans="1:7" ht="21.36" thickBot="1" customHeight="1">
      <c r="A3695" s="24" t="s">
        <v>11408</v>
      </c>
      <c r="B3695" s="24" t="s">
        <v>11409</v>
      </c>
      <c r="C3695" s="24" t="s">
        <v>11410</v>
      </c>
      <c r="D3695" s="25" t="s">
        <v>11411</v>
      </c>
      <c r="E3695" s="28">
        <v>0.25000</v>
      </c>
      <c r="F3695" s="29">
        <f ca="1">ROUND(0.320,3)</f>
        <v>0</v>
      </c>
      <c r="G3695" s="27">
        <f ca="1">ROUND(E3695*F3695,2)</f>
        <v>0</v>
      </c>
    </row>
    <row r="3696" spans="1:7" ht="21.36" thickBot="1" customHeight="1">
      <c r="A3696" s="24" t="s">
        <v>11412</v>
      </c>
      <c r="B3696" s="24" t="s">
        <v>11413</v>
      </c>
      <c r="C3696" s="24" t="s">
        <v>11414</v>
      </c>
      <c r="D3696" s="25" t="s">
        <v>11415</v>
      </c>
      <c r="E3696" s="28">
        <v>0.33000</v>
      </c>
      <c r="F3696" s="29">
        <f ca="1">ROUND(43.800,3)</f>
        <v>0</v>
      </c>
      <c r="G3696" s="27">
        <f ca="1">ROUND(E3696*F3696,2)</f>
        <v>0</v>
      </c>
    </row>
    <row r="3697" spans="1:7" ht="15.12" thickBot="1" customHeight="1">
      <c r="A3697" s="24" t="s">
        <v>11416</v>
      </c>
      <c r="B3697" s="24"/>
      <c r="C3697" s="24" t="s">
        <v>11417</v>
      </c>
      <c r="D3697" s="25" t="s">
        <v>11418</v>
      </c>
      <c r="E3697" s="28">
        <v>3.00000</v>
      </c>
      <c r="F3697" s="29">
        <f ca="1">ROUND(14.450,3)</f>
        <v>0</v>
      </c>
      <c r="G3697" s="27">
        <f ca="1">ROUND((E3697*F3697)/100,2)</f>
        <v>0</v>
      </c>
    </row>
    <row r="3698" spans="1:7" ht="15.12" thickBot="1" customHeight="1">
      <c r="A3698" s="26"/>
      <c r="B3698" s="26"/>
      <c r="C3698" s="26"/>
      <c r="D3698" s="24" t="s">
        <v>11419</v>
      </c>
      <c r="E3698" s="28">
        <v>0.50000</v>
      </c>
      <c r="F3698" s="29">
        <f ca="1">ROUND((G3692+G3693+G3694+G3695+G3696+G3697),3)</f>
        <v>0</v>
      </c>
      <c r="G3698" s="27">
        <f ca="1">ROUND(E3698*F3698,2)</f>
        <v>0</v>
      </c>
    </row>
    <row r="3699" spans="1:7" ht="15.12" thickBot="1" customHeight="1">
      <c r="A3699" s="24" t="s">
        <v>11420</v>
      </c>
      <c r="B3699" s="24" t="s">
        <v>11421</v>
      </c>
      <c r="C3699" s="24" t="s">
        <v>11422</v>
      </c>
      <c r="D3699" s="25" t="s">
        <v>11423</v>
      </c>
      <c r="E3699" s="28">
        <v>1.00000</v>
      </c>
      <c r="F3699" s="29">
        <f ca="1">F3702</f>
        <v>0</v>
      </c>
      <c r="G3699" s="27">
        <f ca="1">ROUND(E3699*F3699,2)</f>
        <v>0</v>
      </c>
    </row>
    <row r="3700" spans="1:7" ht="24.36" thickBot="1" customHeight="1">
      <c r="A3700" s="24" t="s">
        <v>11424</v>
      </c>
      <c r="B3700" s="24" t="s">
        <v>11425</v>
      </c>
      <c r="C3700" s="24" t="s">
        <v>11426</v>
      </c>
      <c r="D3700" s="25" t="s">
        <v>11427</v>
      </c>
      <c r="E3700" s="28">
        <v>0.55000</v>
      </c>
      <c r="F3700" s="29">
        <f ca="1">ROUND(49.500,3)</f>
        <v>0</v>
      </c>
      <c r="G3700" s="27">
        <f ca="1">ROUND(E3700*F3700,2)</f>
        <v>0</v>
      </c>
    </row>
    <row r="3701" spans="1:7" ht="21.36" thickBot="1" customHeight="1">
      <c r="A3701" s="24" t="s">
        <v>11428</v>
      </c>
      <c r="B3701" s="24" t="s">
        <v>11429</v>
      </c>
      <c r="C3701" s="24" t="s">
        <v>11430</v>
      </c>
      <c r="D3701" s="25" t="s">
        <v>11431</v>
      </c>
      <c r="E3701" s="28">
        <v>1.00000</v>
      </c>
      <c r="F3701" s="29">
        <f ca="1">ROUND(12.000,3)</f>
        <v>0</v>
      </c>
      <c r="G3701" s="27">
        <f ca="1">ROUND(E3701*F3701,2)</f>
        <v>0</v>
      </c>
    </row>
    <row r="3702" spans="1:7" ht="15.12" thickBot="1" customHeight="1">
      <c r="A3702" s="26"/>
      <c r="B3702" s="26"/>
      <c r="C3702" s="26"/>
      <c r="D3702" s="24" t="s">
        <v>11432</v>
      </c>
      <c r="E3702" s="28">
        <v>1.00000</v>
      </c>
      <c r="F3702" s="29">
        <f ca="1">ROUND((G3700+G3701),3)</f>
        <v>0</v>
      </c>
      <c r="G3702" s="27">
        <f ca="1">ROUND(E3702*F3702,2)</f>
        <v>0</v>
      </c>
    </row>
    <row r="3703" spans="1:7" ht="15.48" thickBot="1" customHeight="1">
      <c r="A3703" s="30"/>
      <c r="B3703" s="30"/>
      <c r="C3703" s="30"/>
      <c r="D3703" s="31" t="s">
        <v>11433</v>
      </c>
      <c r="E3703" s="30"/>
      <c r="F3703" s="33">
        <f ca="1">ROUND((G3636+G3642+G3645+G3649+G3659+G3662+G3666+G3672+G3677+G3681+G3691+G3699)*(1+G2/100),2)</f>
        <v>0</v>
      </c>
      <c r="G3703" s="30"/>
    </row>
    <row r="3704" spans="1:7" ht="21.36" thickBot="1" customHeight="1">
      <c r="A3704" s="34" t="s">
        <v>11434</v>
      </c>
      <c r="B3704" s="35" t="s">
        <v>11435</v>
      </c>
      <c r="C3704" s="35" t="s">
        <v>11436</v>
      </c>
      <c r="D3704" s="36" t="s">
        <v>11437</v>
      </c>
      <c r="E3704" s="37"/>
      <c r="F3704" s="38">
        <f ca="1">F3764</f>
        <v>0</v>
      </c>
      <c r="G3704" s="37"/>
    </row>
    <row r="3705" spans="1:7" ht="132.24" thickBot="1" customHeight="1">
      <c r="A3705" s="26"/>
      <c r="B3705" s="26"/>
      <c r="C3705" s="26"/>
      <c r="D3705" s="25" t="s">
        <v>11438</v>
      </c>
      <c r="E3705" s="25"/>
      <c r="F3705" s="25"/>
      <c r="G3705" s="25"/>
    </row>
    <row r="3706" spans="1:7" ht="15.12" thickBot="1" customHeight="1">
      <c r="A3706" s="24" t="s">
        <v>11439</v>
      </c>
      <c r="B3706" s="24" t="s">
        <v>11440</v>
      </c>
      <c r="C3706" s="24" t="s">
        <v>11441</v>
      </c>
      <c r="D3706" s="25" t="s">
        <v>11442</v>
      </c>
      <c r="E3706" s="28">
        <v>0.05000</v>
      </c>
      <c r="F3706" s="29">
        <f ca="1">F3709</f>
        <v>0</v>
      </c>
      <c r="G3706" s="27">
        <f ca="1">ROUND(E3706*F3706,2)</f>
        <v>0</v>
      </c>
    </row>
    <row r="3707" spans="1:7" ht="21.36" thickBot="1" customHeight="1">
      <c r="A3707" s="24" t="s">
        <v>11443</v>
      </c>
      <c r="B3707" s="24" t="s">
        <v>11444</v>
      </c>
      <c r="C3707" s="24" t="s">
        <v>11445</v>
      </c>
      <c r="D3707" s="25" t="s">
        <v>11446</v>
      </c>
      <c r="E3707" s="28">
        <v>2.00000</v>
      </c>
      <c r="F3707" s="29">
        <f ca="1">ROUND(29.380,3)</f>
        <v>0</v>
      </c>
      <c r="G3707" s="27">
        <f ca="1">ROUND(E3707*F3707,2)</f>
        <v>0</v>
      </c>
    </row>
    <row r="3708" spans="1:7" ht="24.36" thickBot="1" customHeight="1">
      <c r="A3708" s="24" t="s">
        <v>11447</v>
      </c>
      <c r="B3708" s="24" t="s">
        <v>11448</v>
      </c>
      <c r="C3708" s="24" t="s">
        <v>11449</v>
      </c>
      <c r="D3708" s="25" t="s">
        <v>11450</v>
      </c>
      <c r="E3708" s="28">
        <v>4.00000</v>
      </c>
      <c r="F3708" s="29">
        <f ca="1">ROUND(49.500,3)</f>
        <v>0</v>
      </c>
      <c r="G3708" s="27">
        <f ca="1">ROUND(E3708*F3708,2)</f>
        <v>0</v>
      </c>
    </row>
    <row r="3709" spans="1:7" ht="15.12" thickBot="1" customHeight="1">
      <c r="A3709" s="26"/>
      <c r="B3709" s="26"/>
      <c r="C3709" s="26"/>
      <c r="D3709" s="24" t="s">
        <v>11451</v>
      </c>
      <c r="E3709" s="28">
        <v>0.05000</v>
      </c>
      <c r="F3709" s="29">
        <f ca="1">ROUND((G3707+G3708),3)</f>
        <v>0</v>
      </c>
      <c r="G3709" s="27">
        <f ca="1">ROUND(E3709*F3709,2)</f>
        <v>0</v>
      </c>
    </row>
    <row r="3710" spans="1:7" ht="21.36" thickBot="1" customHeight="1">
      <c r="A3710" s="24" t="s">
        <v>11452</v>
      </c>
      <c r="B3710" s="24" t="s">
        <v>11453</v>
      </c>
      <c r="C3710" s="24" t="s">
        <v>11454</v>
      </c>
      <c r="D3710" s="25" t="s">
        <v>11455</v>
      </c>
      <c r="E3710" s="28">
        <v>2.00000</v>
      </c>
      <c r="F3710" s="29">
        <f ca="1">F3712</f>
        <v>0</v>
      </c>
      <c r="G3710" s="27">
        <f ca="1">ROUND(E3710*F3710,2)</f>
        <v>0</v>
      </c>
    </row>
    <row r="3711" spans="1:7" ht="24.36" thickBot="1" customHeight="1">
      <c r="A3711" s="24" t="s">
        <v>11456</v>
      </c>
      <c r="B3711" s="24" t="s">
        <v>11457</v>
      </c>
      <c r="C3711" s="24" t="s">
        <v>11458</v>
      </c>
      <c r="D3711" s="25" t="s">
        <v>11459</v>
      </c>
      <c r="E3711" s="28">
        <v>0.50000</v>
      </c>
      <c r="F3711" s="29">
        <f ca="1">ROUND(33.750,3)</f>
        <v>0</v>
      </c>
      <c r="G3711" s="27">
        <f ca="1">ROUND(E3711*F3711,2)</f>
        <v>0</v>
      </c>
    </row>
    <row r="3712" spans="1:7" ht="15.12" thickBot="1" customHeight="1">
      <c r="A3712" s="26"/>
      <c r="B3712" s="26"/>
      <c r="C3712" s="26"/>
      <c r="D3712" s="24" t="s">
        <v>11460</v>
      </c>
      <c r="E3712" s="28">
        <v>2.00000</v>
      </c>
      <c r="F3712" s="29">
        <f ca="1">ROUND((G3711),3)</f>
        <v>0</v>
      </c>
      <c r="G3712" s="27">
        <f ca="1">ROUND(E3712*F3712,2)</f>
        <v>0</v>
      </c>
    </row>
    <row r="3713" spans="1:7" ht="15.12" thickBot="1" customHeight="1">
      <c r="A3713" s="24" t="s">
        <v>11461</v>
      </c>
      <c r="B3713" s="24" t="s">
        <v>11462</v>
      </c>
      <c r="C3713" s="24" t="s">
        <v>11463</v>
      </c>
      <c r="D3713" s="25" t="s">
        <v>11464</v>
      </c>
      <c r="E3713" s="28">
        <v>0.05000</v>
      </c>
      <c r="F3713" s="29">
        <f ca="1">F3717</f>
        <v>0</v>
      </c>
      <c r="G3713" s="27">
        <f ca="1">ROUND(E3713*F3713,2)</f>
        <v>0</v>
      </c>
    </row>
    <row r="3714" spans="1:7" ht="24.36" thickBot="1" customHeight="1">
      <c r="A3714" s="24" t="s">
        <v>11465</v>
      </c>
      <c r="B3714" s="24" t="s">
        <v>11466</v>
      </c>
      <c r="C3714" s="24" t="s">
        <v>11467</v>
      </c>
      <c r="D3714" s="25" t="s">
        <v>11468</v>
      </c>
      <c r="E3714" s="28">
        <v>8.00000</v>
      </c>
      <c r="F3714" s="29">
        <f ca="1">ROUND(49.500,3)</f>
        <v>0</v>
      </c>
      <c r="G3714" s="27">
        <f ca="1">ROUND(E3714*F3714,2)</f>
        <v>0</v>
      </c>
    </row>
    <row r="3715" spans="1:7" ht="15.12" thickBot="1" customHeight="1">
      <c r="A3715" s="24" t="s">
        <v>11469</v>
      </c>
      <c r="B3715" s="24" t="s">
        <v>11470</v>
      </c>
      <c r="C3715" s="24" t="s">
        <v>11471</v>
      </c>
      <c r="D3715" s="25" t="s">
        <v>11472</v>
      </c>
      <c r="E3715" s="28">
        <v>0.25000</v>
      </c>
      <c r="F3715" s="29">
        <f ca="1">ROUND(28.500,3)</f>
        <v>0</v>
      </c>
      <c r="G3715" s="27">
        <f ca="1">ROUND(E3715*F3715,2)</f>
        <v>0</v>
      </c>
    </row>
    <row r="3716" spans="1:7" ht="21.36" thickBot="1" customHeight="1">
      <c r="A3716" s="24" t="s">
        <v>11473</v>
      </c>
      <c r="B3716" s="24" t="s">
        <v>11474</v>
      </c>
      <c r="C3716" s="24" t="s">
        <v>11475</v>
      </c>
      <c r="D3716" s="25" t="s">
        <v>11476</v>
      </c>
      <c r="E3716" s="28">
        <v>0.05000</v>
      </c>
      <c r="F3716" s="29">
        <f ca="1">ROUND(29.800,3)</f>
        <v>0</v>
      </c>
      <c r="G3716" s="27">
        <f ca="1">ROUND(E3716*F3716,2)</f>
        <v>0</v>
      </c>
    </row>
    <row r="3717" spans="1:7" ht="15.12" thickBot="1" customHeight="1">
      <c r="A3717" s="26"/>
      <c r="B3717" s="26"/>
      <c r="C3717" s="26"/>
      <c r="D3717" s="24" t="s">
        <v>11477</v>
      </c>
      <c r="E3717" s="28">
        <v>0.05000</v>
      </c>
      <c r="F3717" s="29">
        <f ca="1">ROUND((G3714+G3715+G3716),3)</f>
        <v>0</v>
      </c>
      <c r="G3717" s="27">
        <f ca="1">ROUND(E3717*F3717,2)</f>
        <v>0</v>
      </c>
    </row>
    <row r="3718" spans="1:7" ht="21.36" thickBot="1" customHeight="1">
      <c r="A3718" s="24" t="s">
        <v>11478</v>
      </c>
      <c r="B3718" s="24" t="s">
        <v>11479</v>
      </c>
      <c r="C3718" s="24" t="s">
        <v>11480</v>
      </c>
      <c r="D3718" s="25" t="s">
        <v>11481</v>
      </c>
      <c r="E3718" s="28">
        <v>0.12500</v>
      </c>
      <c r="F3718" s="29">
        <f ca="1">F3723</f>
        <v>0</v>
      </c>
      <c r="G3718" s="27">
        <f ca="1">ROUND(E3718*F3718,2)</f>
        <v>0</v>
      </c>
    </row>
    <row r="3719" spans="1:7" ht="21.36" thickBot="1" customHeight="1">
      <c r="A3719" s="24" t="s">
        <v>11482</v>
      </c>
      <c r="B3719" s="24" t="s">
        <v>11483</v>
      </c>
      <c r="C3719" s="24" t="s">
        <v>11484</v>
      </c>
      <c r="D3719" s="25" t="s">
        <v>11485</v>
      </c>
      <c r="E3719" s="28">
        <v>1.00000</v>
      </c>
      <c r="F3719" s="29">
        <f ca="1">ROUND(13.140,3)</f>
        <v>0</v>
      </c>
      <c r="G3719" s="27">
        <f ca="1">ROUND(E3719*F3719,2)</f>
        <v>0</v>
      </c>
    </row>
    <row r="3720" spans="1:7" ht="21.36" thickBot="1" customHeight="1">
      <c r="A3720" s="24" t="s">
        <v>11486</v>
      </c>
      <c r="B3720" s="24" t="s">
        <v>11487</v>
      </c>
      <c r="C3720" s="24" t="s">
        <v>11488</v>
      </c>
      <c r="D3720" s="25" t="s">
        <v>11489</v>
      </c>
      <c r="E3720" s="28">
        <v>2.00000</v>
      </c>
      <c r="F3720" s="29">
        <f ca="1">ROUND(3.470,3)</f>
        <v>0</v>
      </c>
      <c r="G3720" s="27">
        <f ca="1">ROUND(E3720*F3720,2)</f>
        <v>0</v>
      </c>
    </row>
    <row r="3721" spans="1:7" ht="21.36" thickBot="1" customHeight="1">
      <c r="A3721" s="24" t="s">
        <v>11490</v>
      </c>
      <c r="B3721" s="24" t="s">
        <v>11491</v>
      </c>
      <c r="C3721" s="24" t="s">
        <v>11492</v>
      </c>
      <c r="D3721" s="25" t="s">
        <v>11493</v>
      </c>
      <c r="E3721" s="28">
        <v>5.00000</v>
      </c>
      <c r="F3721" s="29">
        <f ca="1">ROUND(0.770,3)</f>
        <v>0</v>
      </c>
      <c r="G3721" s="27">
        <f ca="1">ROUND(E3721*F3721,2)</f>
        <v>0</v>
      </c>
    </row>
    <row r="3722" spans="1:7" ht="24.36" thickBot="1" customHeight="1">
      <c r="A3722" s="24" t="s">
        <v>11494</v>
      </c>
      <c r="B3722" s="24" t="s">
        <v>11495</v>
      </c>
      <c r="C3722" s="24" t="s">
        <v>11496</v>
      </c>
      <c r="D3722" s="25" t="s">
        <v>11497</v>
      </c>
      <c r="E3722" s="28">
        <v>1.00000</v>
      </c>
      <c r="F3722" s="29">
        <f ca="1">ROUND(15.000,3)</f>
        <v>0</v>
      </c>
      <c r="G3722" s="27">
        <f ca="1">ROUND(E3722*F3722,2)</f>
        <v>0</v>
      </c>
    </row>
    <row r="3723" spans="1:7" ht="15.12" thickBot="1" customHeight="1">
      <c r="A3723" s="26"/>
      <c r="B3723" s="26"/>
      <c r="C3723" s="26"/>
      <c r="D3723" s="24" t="s">
        <v>11498</v>
      </c>
      <c r="E3723" s="28">
        <v>0.12500</v>
      </c>
      <c r="F3723" s="29">
        <f ca="1">ROUND((G3719+G3720+G3721+G3722),3)</f>
        <v>0</v>
      </c>
      <c r="G3723" s="27">
        <f ca="1">ROUND(E3723*F3723,2)</f>
        <v>0</v>
      </c>
    </row>
    <row r="3724" spans="1:7" ht="21.36" thickBot="1" customHeight="1">
      <c r="A3724" s="24" t="s">
        <v>11499</v>
      </c>
      <c r="B3724" s="24" t="s">
        <v>11500</v>
      </c>
      <c r="C3724" s="24" t="s">
        <v>11501</v>
      </c>
      <c r="D3724" s="25" t="s">
        <v>11502</v>
      </c>
      <c r="E3724" s="28">
        <v>0.12500</v>
      </c>
      <c r="F3724" s="29">
        <f ca="1">F3726</f>
        <v>0</v>
      </c>
      <c r="G3724" s="27">
        <f ca="1">ROUND(E3724*F3724,2)</f>
        <v>0</v>
      </c>
    </row>
    <row r="3725" spans="1:7" ht="24.36" thickBot="1" customHeight="1">
      <c r="A3725" s="24" t="s">
        <v>11503</v>
      </c>
      <c r="B3725" s="24" t="s">
        <v>11504</v>
      </c>
      <c r="C3725" s="24" t="s">
        <v>11505</v>
      </c>
      <c r="D3725" s="25" t="s">
        <v>11506</v>
      </c>
      <c r="E3725" s="28">
        <v>2.00000</v>
      </c>
      <c r="F3725" s="29">
        <f ca="1">ROUND(49.500,3)</f>
        <v>0</v>
      </c>
      <c r="G3725" s="27">
        <f ca="1">ROUND(E3725*F3725,2)</f>
        <v>0</v>
      </c>
    </row>
    <row r="3726" spans="1:7" ht="15.12" thickBot="1" customHeight="1">
      <c r="A3726" s="26"/>
      <c r="B3726" s="26"/>
      <c r="C3726" s="26"/>
      <c r="D3726" s="24" t="s">
        <v>11507</v>
      </c>
      <c r="E3726" s="28">
        <v>0.12500</v>
      </c>
      <c r="F3726" s="29">
        <f ca="1">ROUND((G3725),3)</f>
        <v>0</v>
      </c>
      <c r="G3726" s="27">
        <f ca="1">ROUND(E3726*F3726,2)</f>
        <v>0</v>
      </c>
    </row>
    <row r="3727" spans="1:7" ht="21.36" thickBot="1" customHeight="1">
      <c r="A3727" s="24" t="s">
        <v>11508</v>
      </c>
      <c r="B3727" s="24" t="s">
        <v>11509</v>
      </c>
      <c r="C3727" s="24" t="s">
        <v>11510</v>
      </c>
      <c r="D3727" s="25" t="s">
        <v>11511</v>
      </c>
      <c r="E3727" s="28">
        <v>0.25000</v>
      </c>
      <c r="F3727" s="29">
        <f ca="1">F3729</f>
        <v>0</v>
      </c>
      <c r="G3727" s="27">
        <f ca="1">ROUND(E3727*F3727,2)</f>
        <v>0</v>
      </c>
    </row>
    <row r="3728" spans="1:7" ht="24.36" thickBot="1" customHeight="1">
      <c r="A3728" s="24" t="s">
        <v>11512</v>
      </c>
      <c r="B3728" s="24" t="s">
        <v>11513</v>
      </c>
      <c r="C3728" s="24" t="s">
        <v>11514</v>
      </c>
      <c r="D3728" s="25" t="s">
        <v>11515</v>
      </c>
      <c r="E3728" s="28">
        <v>15.00000</v>
      </c>
      <c r="F3728" s="29">
        <f ca="1">ROUND(49.500,3)</f>
        <v>0</v>
      </c>
      <c r="G3728" s="27">
        <f ca="1">ROUND(E3728*F3728,2)</f>
        <v>0</v>
      </c>
    </row>
    <row r="3729" spans="1:7" ht="15.12" thickBot="1" customHeight="1">
      <c r="A3729" s="26"/>
      <c r="B3729" s="26"/>
      <c r="C3729" s="26"/>
      <c r="D3729" s="24" t="s">
        <v>11516</v>
      </c>
      <c r="E3729" s="28">
        <v>0.25000</v>
      </c>
      <c r="F3729" s="29">
        <f ca="1">ROUND((G3728),3)</f>
        <v>0</v>
      </c>
      <c r="G3729" s="27">
        <f ca="1">ROUND(E3729*F3729,2)</f>
        <v>0</v>
      </c>
    </row>
    <row r="3730" spans="1:7" ht="21.36" thickBot="1" customHeight="1">
      <c r="A3730" s="24" t="s">
        <v>11517</v>
      </c>
      <c r="B3730" s="24" t="s">
        <v>11518</v>
      </c>
      <c r="C3730" s="24" t="s">
        <v>11519</v>
      </c>
      <c r="D3730" s="25" t="s">
        <v>11520</v>
      </c>
      <c r="E3730" s="28">
        <v>0.40000</v>
      </c>
      <c r="F3730" s="29">
        <f ca="1">F3733</f>
        <v>0</v>
      </c>
      <c r="G3730" s="27">
        <f ca="1">ROUND(E3730*F3730,2)</f>
        <v>0</v>
      </c>
    </row>
    <row r="3731" spans="1:7" ht="30.60" thickBot="1" customHeight="1">
      <c r="A3731" s="24" t="s">
        <v>11521</v>
      </c>
      <c r="B3731" s="24" t="s">
        <v>11522</v>
      </c>
      <c r="C3731" s="24" t="s">
        <v>11523</v>
      </c>
      <c r="D3731" s="25" t="s">
        <v>11524</v>
      </c>
      <c r="E3731" s="28">
        <v>1.00000</v>
      </c>
      <c r="F3731" s="29">
        <f ca="1">ROUND(3.500,3)</f>
        <v>0</v>
      </c>
      <c r="G3731" s="27">
        <f ca="1">ROUND(E3731*F3731,2)</f>
        <v>0</v>
      </c>
    </row>
    <row r="3732" spans="1:7" ht="24.36" thickBot="1" customHeight="1">
      <c r="A3732" s="24" t="s">
        <v>11525</v>
      </c>
      <c r="B3732" s="24" t="s">
        <v>11526</v>
      </c>
      <c r="C3732" s="24" t="s">
        <v>11527</v>
      </c>
      <c r="D3732" s="25" t="s">
        <v>11528</v>
      </c>
      <c r="E3732" s="28">
        <v>0.25000</v>
      </c>
      <c r="F3732" s="29">
        <f ca="1">ROUND(49.500,3)</f>
        <v>0</v>
      </c>
      <c r="G3732" s="27">
        <f ca="1">ROUND(E3732*F3732,2)</f>
        <v>0</v>
      </c>
    </row>
    <row r="3733" spans="1:7" ht="15.12" thickBot="1" customHeight="1">
      <c r="A3733" s="26"/>
      <c r="B3733" s="26"/>
      <c r="C3733" s="26"/>
      <c r="D3733" s="24" t="s">
        <v>11529</v>
      </c>
      <c r="E3733" s="28">
        <v>0.40000</v>
      </c>
      <c r="F3733" s="29">
        <f ca="1">ROUND((G3731+G3732),3)</f>
        <v>0</v>
      </c>
      <c r="G3733" s="27">
        <f ca="1">ROUND(E3733*F3733,2)</f>
        <v>0</v>
      </c>
    </row>
    <row r="3734" spans="1:7" ht="21.36" thickBot="1" customHeight="1">
      <c r="A3734" s="24" t="s">
        <v>11530</v>
      </c>
      <c r="B3734" s="24" t="s">
        <v>11531</v>
      </c>
      <c r="C3734" s="24" t="s">
        <v>11532</v>
      </c>
      <c r="D3734" s="25" t="s">
        <v>11533</v>
      </c>
      <c r="E3734" s="28">
        <v>0.25000</v>
      </c>
      <c r="F3734" s="29">
        <f ca="1">F3744</f>
        <v>0</v>
      </c>
      <c r="G3734" s="27">
        <f ca="1">ROUND(E3734*F3734,2)</f>
        <v>0</v>
      </c>
    </row>
    <row r="3735" spans="1:7" ht="15.12" thickBot="1" customHeight="1">
      <c r="A3735" s="24" t="s">
        <v>11534</v>
      </c>
      <c r="B3735" s="24" t="s">
        <v>11535</v>
      </c>
      <c r="C3735" s="24" t="s">
        <v>11536</v>
      </c>
      <c r="D3735" s="25" t="s">
        <v>11537</v>
      </c>
      <c r="E3735" s="28">
        <v>1.00000</v>
      </c>
      <c r="F3735" s="29">
        <f ca="1">ROUND(403.830,3)</f>
        <v>0</v>
      </c>
      <c r="G3735" s="27">
        <f ca="1">ROUND(E3735*F3735,2)</f>
        <v>0</v>
      </c>
    </row>
    <row r="3736" spans="1:7" ht="21.36" thickBot="1" customHeight="1">
      <c r="A3736" s="24" t="s">
        <v>11538</v>
      </c>
      <c r="B3736" s="24" t="s">
        <v>11539</v>
      </c>
      <c r="C3736" s="24" t="s">
        <v>11540</v>
      </c>
      <c r="D3736" s="25" t="s">
        <v>11541</v>
      </c>
      <c r="E3736" s="28">
        <v>1.00000</v>
      </c>
      <c r="F3736" s="29">
        <f ca="1">ROUND(7.400,3)</f>
        <v>0</v>
      </c>
      <c r="G3736" s="27">
        <f ca="1">ROUND(E3736*F3736,2)</f>
        <v>0</v>
      </c>
    </row>
    <row r="3737" spans="1:7" ht="21.36" thickBot="1" customHeight="1">
      <c r="A3737" s="24" t="s">
        <v>11542</v>
      </c>
      <c r="B3737" s="24" t="s">
        <v>11543</v>
      </c>
      <c r="C3737" s="24" t="s">
        <v>11544</v>
      </c>
      <c r="D3737" s="25" t="s">
        <v>11545</v>
      </c>
      <c r="E3737" s="28">
        <v>8.00000</v>
      </c>
      <c r="F3737" s="29">
        <f ca="1">ROUND(2.100,3)</f>
        <v>0</v>
      </c>
      <c r="G3737" s="27">
        <f ca="1">ROUND(E3737*F3737,2)</f>
        <v>0</v>
      </c>
    </row>
    <row r="3738" spans="1:7" ht="15.12" thickBot="1" customHeight="1">
      <c r="A3738" s="24" t="s">
        <v>11546</v>
      </c>
      <c r="B3738" s="24" t="s">
        <v>11547</v>
      </c>
      <c r="C3738" s="24" t="s">
        <v>11548</v>
      </c>
      <c r="D3738" s="25" t="s">
        <v>11549</v>
      </c>
      <c r="E3738" s="28">
        <v>33.33300</v>
      </c>
      <c r="F3738" s="29">
        <f ca="1">ROUND(0.380,3)</f>
        <v>0</v>
      </c>
      <c r="G3738" s="27">
        <f ca="1">ROUND(E3738*F3738,2)</f>
        <v>0</v>
      </c>
    </row>
    <row r="3739" spans="1:7" ht="15.12" thickBot="1" customHeight="1">
      <c r="A3739" s="24" t="s">
        <v>11550</v>
      </c>
      <c r="B3739" s="24" t="s">
        <v>11551</v>
      </c>
      <c r="C3739" s="24" t="s">
        <v>11552</v>
      </c>
      <c r="D3739" s="25" t="s">
        <v>11553</v>
      </c>
      <c r="E3739" s="28">
        <v>0.33300</v>
      </c>
      <c r="F3739" s="29">
        <f ca="1">ROUND(100.000,3)</f>
        <v>0</v>
      </c>
      <c r="G3739" s="27">
        <f ca="1">ROUND(E3739*F3739,2)</f>
        <v>0</v>
      </c>
    </row>
    <row r="3740" spans="1:7" ht="15.12" thickBot="1" customHeight="1">
      <c r="A3740" s="24" t="s">
        <v>11554</v>
      </c>
      <c r="B3740" s="24" t="s">
        <v>11555</v>
      </c>
      <c r="C3740" s="24" t="s">
        <v>11556</v>
      </c>
      <c r="D3740" s="25" t="s">
        <v>11557</v>
      </c>
      <c r="E3740" s="28">
        <v>1.00000</v>
      </c>
      <c r="F3740" s="29">
        <f ca="1">ROUND(6.000,3)</f>
        <v>0</v>
      </c>
      <c r="G3740" s="27">
        <f ca="1">ROUND(E3740*F3740,2)</f>
        <v>0</v>
      </c>
    </row>
    <row r="3741" spans="1:7" ht="21.36" thickBot="1" customHeight="1">
      <c r="A3741" s="24" t="s">
        <v>11558</v>
      </c>
      <c r="B3741" s="24" t="s">
        <v>11559</v>
      </c>
      <c r="C3741" s="24" t="s">
        <v>11560</v>
      </c>
      <c r="D3741" s="25" t="s">
        <v>11561</v>
      </c>
      <c r="E3741" s="28">
        <v>0.33300</v>
      </c>
      <c r="F3741" s="29">
        <f ca="1">ROUND(180.000,3)</f>
        <v>0</v>
      </c>
      <c r="G3741" s="27">
        <f ca="1">ROUND(E3741*F3741,2)</f>
        <v>0</v>
      </c>
    </row>
    <row r="3742" spans="1:7" ht="15.12" thickBot="1" customHeight="1">
      <c r="A3742" s="24" t="s">
        <v>11562</v>
      </c>
      <c r="B3742" s="24" t="s">
        <v>11563</v>
      </c>
      <c r="C3742" s="24" t="s">
        <v>11564</v>
      </c>
      <c r="D3742" s="25" t="s">
        <v>11565</v>
      </c>
      <c r="E3742" s="28">
        <v>75.00000</v>
      </c>
      <c r="F3742" s="29">
        <f ca="1">ROUND(0.220,3)</f>
        <v>0</v>
      </c>
      <c r="G3742" s="27">
        <f ca="1">ROUND(E3742*F3742,2)</f>
        <v>0</v>
      </c>
    </row>
    <row r="3743" spans="1:7" ht="24.36" thickBot="1" customHeight="1">
      <c r="A3743" s="24" t="s">
        <v>11566</v>
      </c>
      <c r="B3743" s="24" t="s">
        <v>11567</v>
      </c>
      <c r="C3743" s="24" t="s">
        <v>11568</v>
      </c>
      <c r="D3743" s="25" t="s">
        <v>11569</v>
      </c>
      <c r="E3743" s="28">
        <v>8.50000</v>
      </c>
      <c r="F3743" s="29">
        <f ca="1">ROUND(47.500,3)</f>
        <v>0</v>
      </c>
      <c r="G3743" s="27">
        <f ca="1">ROUND(E3743*F3743,2)</f>
        <v>0</v>
      </c>
    </row>
    <row r="3744" spans="1:7" ht="15.12" thickBot="1" customHeight="1">
      <c r="A3744" s="26"/>
      <c r="B3744" s="26"/>
      <c r="C3744" s="26"/>
      <c r="D3744" s="24" t="s">
        <v>11570</v>
      </c>
      <c r="E3744" s="28">
        <v>0.25000</v>
      </c>
      <c r="F3744" s="29">
        <f ca="1">ROUND((G3735+G3736+G3737+G3738+G3739+G3740+G3741+G3742+G3743),3)</f>
        <v>0</v>
      </c>
      <c r="G3744" s="27">
        <f ca="1">ROUND(E3744*F3744,2)</f>
        <v>0</v>
      </c>
    </row>
    <row r="3745" spans="1:7" ht="21.36" thickBot="1" customHeight="1">
      <c r="A3745" s="24" t="s">
        <v>11571</v>
      </c>
      <c r="B3745" s="24" t="s">
        <v>11572</v>
      </c>
      <c r="C3745" s="24" t="s">
        <v>11573</v>
      </c>
      <c r="D3745" s="25" t="s">
        <v>11574</v>
      </c>
      <c r="E3745" s="28">
        <v>0.12500</v>
      </c>
      <c r="F3745" s="29">
        <f ca="1">F3747</f>
        <v>0</v>
      </c>
      <c r="G3745" s="27">
        <f ca="1">ROUND(E3745*F3745,2)</f>
        <v>0</v>
      </c>
    </row>
    <row r="3746" spans="1:7" ht="15.12" thickBot="1" customHeight="1">
      <c r="A3746" s="24" t="s">
        <v>11575</v>
      </c>
      <c r="B3746" s="24" t="s">
        <v>11576</v>
      </c>
      <c r="C3746" s="24" t="s">
        <v>11577</v>
      </c>
      <c r="D3746" s="25" t="s">
        <v>11578</v>
      </c>
      <c r="E3746" s="28">
        <v>9.00000</v>
      </c>
      <c r="F3746" s="29">
        <f ca="1">ROUND(48.000,3)</f>
        <v>0</v>
      </c>
      <c r="G3746" s="27">
        <f ca="1">ROUND(E3746*F3746,2)</f>
        <v>0</v>
      </c>
    </row>
    <row r="3747" spans="1:7" ht="15.12" thickBot="1" customHeight="1">
      <c r="A3747" s="26"/>
      <c r="B3747" s="26"/>
      <c r="C3747" s="26"/>
      <c r="D3747" s="24" t="s">
        <v>11579</v>
      </c>
      <c r="E3747" s="28">
        <v>0.12500</v>
      </c>
      <c r="F3747" s="29">
        <f ca="1">ROUND((G3746),3)</f>
        <v>0</v>
      </c>
      <c r="G3747" s="27">
        <f ca="1">ROUND(E3747*F3747,2)</f>
        <v>0</v>
      </c>
    </row>
    <row r="3748" spans="1:7" ht="15.12" thickBot="1" customHeight="1">
      <c r="A3748" s="24" t="s">
        <v>11580</v>
      </c>
      <c r="B3748" s="24" t="s">
        <v>11581</v>
      </c>
      <c r="C3748" s="24" t="s">
        <v>11582</v>
      </c>
      <c r="D3748" s="25" t="s">
        <v>11583</v>
      </c>
      <c r="E3748" s="28">
        <v>0.12500</v>
      </c>
      <c r="F3748" s="29">
        <f ca="1">F3752</f>
        <v>0</v>
      </c>
      <c r="G3748" s="27">
        <f ca="1">ROUND(E3748*F3748,2)</f>
        <v>0</v>
      </c>
    </row>
    <row r="3749" spans="1:7" ht="15.12" thickBot="1" customHeight="1">
      <c r="A3749" s="24" t="s">
        <v>11584</v>
      </c>
      <c r="B3749" s="24" t="s">
        <v>11585</v>
      </c>
      <c r="C3749" s="24" t="s">
        <v>11586</v>
      </c>
      <c r="D3749" s="25" t="s">
        <v>11587</v>
      </c>
      <c r="E3749" s="28">
        <v>4.00000</v>
      </c>
      <c r="F3749" s="29">
        <f ca="1">ROUND(4.500,3)</f>
        <v>0</v>
      </c>
      <c r="G3749" s="27">
        <f ca="1">ROUND(E3749*F3749,2)</f>
        <v>0</v>
      </c>
    </row>
    <row r="3750" spans="1:7" ht="15.12" thickBot="1" customHeight="1">
      <c r="A3750" s="24" t="s">
        <v>11588</v>
      </c>
      <c r="B3750" s="24" t="s">
        <v>11589</v>
      </c>
      <c r="C3750" s="24" t="s">
        <v>11590</v>
      </c>
      <c r="D3750" s="25" t="s">
        <v>11591</v>
      </c>
      <c r="E3750" s="28">
        <v>4.00000</v>
      </c>
      <c r="F3750" s="29">
        <f ca="1">ROUND(5.870,3)</f>
        <v>0</v>
      </c>
      <c r="G3750" s="27">
        <f ca="1">ROUND(E3750*F3750,2)</f>
        <v>0</v>
      </c>
    </row>
    <row r="3751" spans="1:7" ht="24.36" thickBot="1" customHeight="1">
      <c r="A3751" s="24" t="s">
        <v>11592</v>
      </c>
      <c r="B3751" s="24" t="s">
        <v>11593</v>
      </c>
      <c r="C3751" s="24" t="s">
        <v>11594</v>
      </c>
      <c r="D3751" s="25" t="s">
        <v>11595</v>
      </c>
      <c r="E3751" s="28">
        <v>3.00000</v>
      </c>
      <c r="F3751" s="29">
        <f ca="1">ROUND(49.500,3)</f>
        <v>0</v>
      </c>
      <c r="G3751" s="27">
        <f ca="1">ROUND(E3751*F3751,2)</f>
        <v>0</v>
      </c>
    </row>
    <row r="3752" spans="1:7" ht="15.12" thickBot="1" customHeight="1">
      <c r="A3752" s="26"/>
      <c r="B3752" s="26"/>
      <c r="C3752" s="26"/>
      <c r="D3752" s="24" t="s">
        <v>11596</v>
      </c>
      <c r="E3752" s="28">
        <v>0.12500</v>
      </c>
      <c r="F3752" s="29">
        <f ca="1">ROUND((G3749+G3750+G3751),3)</f>
        <v>0</v>
      </c>
      <c r="G3752" s="27">
        <f ca="1">ROUND(E3752*F3752,2)</f>
        <v>0</v>
      </c>
    </row>
    <row r="3753" spans="1:7" ht="21.36" thickBot="1" customHeight="1">
      <c r="A3753" s="24" t="s">
        <v>11597</v>
      </c>
      <c r="B3753" s="24" t="s">
        <v>11598</v>
      </c>
      <c r="C3753" s="24" t="s">
        <v>11599</v>
      </c>
      <c r="D3753" s="25" t="s">
        <v>11600</v>
      </c>
      <c r="E3753" s="28">
        <v>0.12500</v>
      </c>
      <c r="F3753" s="29">
        <f ca="1">F3756</f>
        <v>0</v>
      </c>
      <c r="G3753" s="27">
        <f ca="1">ROUND(E3753*F3753,2)</f>
        <v>0</v>
      </c>
    </row>
    <row r="3754" spans="1:7" ht="15.12" thickBot="1" customHeight="1">
      <c r="A3754" s="24" t="s">
        <v>11601</v>
      </c>
      <c r="B3754" s="24" t="s">
        <v>11602</v>
      </c>
      <c r="C3754" s="24" t="s">
        <v>11603</v>
      </c>
      <c r="D3754" s="25" t="s">
        <v>11604</v>
      </c>
      <c r="E3754" s="28">
        <v>2.00000</v>
      </c>
      <c r="F3754" s="29">
        <f ca="1">ROUND(32.000,3)</f>
        <v>0</v>
      </c>
      <c r="G3754" s="27">
        <f ca="1">ROUND(E3754*F3754,2)</f>
        <v>0</v>
      </c>
    </row>
    <row r="3755" spans="1:7" ht="24.36" thickBot="1" customHeight="1">
      <c r="A3755" s="24" t="s">
        <v>11605</v>
      </c>
      <c r="B3755" s="24" t="s">
        <v>11606</v>
      </c>
      <c r="C3755" s="24" t="s">
        <v>11607</v>
      </c>
      <c r="D3755" s="25" t="s">
        <v>11608</v>
      </c>
      <c r="E3755" s="28">
        <v>1.00000</v>
      </c>
      <c r="F3755" s="29">
        <f ca="1">ROUND(49.500,3)</f>
        <v>0</v>
      </c>
      <c r="G3755" s="27">
        <f ca="1">ROUND(E3755*F3755,2)</f>
        <v>0</v>
      </c>
    </row>
    <row r="3756" spans="1:7" ht="15.12" thickBot="1" customHeight="1">
      <c r="A3756" s="26"/>
      <c r="B3756" s="26"/>
      <c r="C3756" s="26"/>
      <c r="D3756" s="24" t="s">
        <v>11609</v>
      </c>
      <c r="E3756" s="28">
        <v>0.12500</v>
      </c>
      <c r="F3756" s="29">
        <f ca="1">ROUND((G3754+G3755),3)</f>
        <v>0</v>
      </c>
      <c r="G3756" s="27">
        <f ca="1">ROUND(E3756*F3756,2)</f>
        <v>0</v>
      </c>
    </row>
    <row r="3757" spans="1:7" ht="15.12" thickBot="1" customHeight="1">
      <c r="A3757" s="24" t="s">
        <v>11610</v>
      </c>
      <c r="B3757" s="24" t="s">
        <v>11611</v>
      </c>
      <c r="C3757" s="24" t="s">
        <v>11612</v>
      </c>
      <c r="D3757" s="25" t="s">
        <v>11613</v>
      </c>
      <c r="E3757" s="28">
        <v>1.00000</v>
      </c>
      <c r="F3757" s="29">
        <f ca="1">F3762</f>
        <v>0</v>
      </c>
      <c r="G3757" s="27">
        <f ca="1">ROUND(E3757*F3757,2)</f>
        <v>0</v>
      </c>
    </row>
    <row r="3758" spans="1:7" ht="39.84" thickBot="1" customHeight="1">
      <c r="A3758" s="24" t="s">
        <v>11614</v>
      </c>
      <c r="B3758" s="24" t="s">
        <v>11615</v>
      </c>
      <c r="C3758" s="24" t="s">
        <v>11616</v>
      </c>
      <c r="D3758" s="25" t="s">
        <v>11617</v>
      </c>
      <c r="E3758" s="28">
        <v>0.02200</v>
      </c>
      <c r="F3758" s="29">
        <f ca="1">ROUND(71.070,3)</f>
        <v>0</v>
      </c>
      <c r="G3758" s="27">
        <f ca="1">ROUND(E3758*F3758,2)</f>
        <v>0</v>
      </c>
    </row>
    <row r="3759" spans="1:7" ht="30.60" thickBot="1" customHeight="1">
      <c r="A3759" s="24" t="s">
        <v>11618</v>
      </c>
      <c r="B3759" s="24" t="s">
        <v>11619</v>
      </c>
      <c r="C3759" s="24" t="s">
        <v>11620</v>
      </c>
      <c r="D3759" s="25" t="s">
        <v>11621</v>
      </c>
      <c r="E3759" s="28">
        <v>15.00000</v>
      </c>
      <c r="F3759" s="29">
        <f ca="1">ROUND(0.070,3)</f>
        <v>0</v>
      </c>
      <c r="G3759" s="27">
        <f ca="1">ROUND(E3759*F3759,2)</f>
        <v>0</v>
      </c>
    </row>
    <row r="3760" spans="1:7" ht="21.36" thickBot="1" customHeight="1">
      <c r="A3760" s="24" t="s">
        <v>11622</v>
      </c>
      <c r="B3760" s="24" t="s">
        <v>11623</v>
      </c>
      <c r="C3760" s="24" t="s">
        <v>11624</v>
      </c>
      <c r="D3760" s="25" t="s">
        <v>11625</v>
      </c>
      <c r="E3760" s="28">
        <v>0.25000</v>
      </c>
      <c r="F3760" s="29">
        <f ca="1">ROUND(0.320,3)</f>
        <v>0</v>
      </c>
      <c r="G3760" s="27">
        <f ca="1">ROUND(E3760*F3760,2)</f>
        <v>0</v>
      </c>
    </row>
    <row r="3761" spans="1:7" ht="24.36" thickBot="1" customHeight="1">
      <c r="A3761" s="24" t="s">
        <v>11626</v>
      </c>
      <c r="B3761" s="24" t="s">
        <v>11627</v>
      </c>
      <c r="C3761" s="24" t="s">
        <v>11628</v>
      </c>
      <c r="D3761" s="25" t="s">
        <v>11629</v>
      </c>
      <c r="E3761" s="28">
        <v>0.35000</v>
      </c>
      <c r="F3761" s="29">
        <f ca="1">ROUND(49.500,3)</f>
        <v>0</v>
      </c>
      <c r="G3761" s="27">
        <f ca="1">ROUND(E3761*F3761,2)</f>
        <v>0</v>
      </c>
    </row>
    <row r="3762" spans="1:7" ht="15.12" thickBot="1" customHeight="1">
      <c r="A3762" s="26"/>
      <c r="B3762" s="26"/>
      <c r="C3762" s="26"/>
      <c r="D3762" s="24" t="s">
        <v>11630</v>
      </c>
      <c r="E3762" s="28">
        <v>1.00000</v>
      </c>
      <c r="F3762" s="29">
        <f ca="1">ROUND((G3758+G3759+G3760+G3761),3)</f>
        <v>0</v>
      </c>
      <c r="G3762" s="27">
        <f ca="1">ROUND(E3762*F3762,2)</f>
        <v>0</v>
      </c>
    </row>
    <row r="3763" spans="1:7" ht="15.12" thickBot="1" customHeight="1">
      <c r="A3763" s="24" t="s">
        <v>11631</v>
      </c>
      <c r="B3763" s="24" t="s">
        <v>11632</v>
      </c>
      <c r="C3763" s="24" t="s">
        <v>11633</v>
      </c>
      <c r="D3763" s="25" t="s">
        <v>11634</v>
      </c>
      <c r="E3763" s="28">
        <v>0.60000</v>
      </c>
      <c r="F3763" s="29">
        <f ca="1">ROUND(16.830,3)</f>
        <v>0</v>
      </c>
      <c r="G3763" s="27">
        <f ca="1">ROUND(E3763*F3763,2)</f>
        <v>0</v>
      </c>
    </row>
    <row r="3764" spans="1:7" ht="15.48" thickBot="1" customHeight="1">
      <c r="A3764" s="30"/>
      <c r="B3764" s="30"/>
      <c r="C3764" s="30"/>
      <c r="D3764" s="31" t="s">
        <v>11635</v>
      </c>
      <c r="E3764" s="30"/>
      <c r="F3764" s="33">
        <f ca="1">ROUND((G3706+G3710+G3713+G3718+G3724+G3727+G3730+G3734+G3745+G3748+G3753+G3757+G3763)*(1+G2/100),2)</f>
        <v>0</v>
      </c>
      <c r="G3764" s="30"/>
    </row>
    <row r="3765" spans="1:7" ht="21.36" thickBot="1" customHeight="1">
      <c r="A3765" s="34" t="s">
        <v>11636</v>
      </c>
      <c r="B3765" s="35" t="s">
        <v>11637</v>
      </c>
      <c r="C3765" s="35" t="s">
        <v>11638</v>
      </c>
      <c r="D3765" s="36" t="s">
        <v>11639</v>
      </c>
      <c r="E3765" s="37"/>
      <c r="F3765" s="38">
        <f ca="1">F3776</f>
        <v>0</v>
      </c>
      <c r="G3765" s="37"/>
    </row>
    <row r="3766" spans="1:7" ht="12.12" thickBot="1" customHeight="1">
      <c r="A3766" s="26"/>
      <c r="B3766" s="26"/>
      <c r="C3766" s="26"/>
      <c r="D3766" s="25" t="s">
        <v>11640</v>
      </c>
      <c r="E3766" s="25"/>
      <c r="F3766" s="25"/>
      <c r="G3766" s="25"/>
    </row>
    <row r="3767" spans="1:7" ht="15.12" thickBot="1" customHeight="1">
      <c r="A3767" s="24" t="s">
        <v>11641</v>
      </c>
      <c r="B3767" s="24" t="s">
        <v>11642</v>
      </c>
      <c r="C3767" s="24" t="s">
        <v>11643</v>
      </c>
      <c r="D3767" s="25" t="s">
        <v>11644</v>
      </c>
      <c r="E3767" s="28">
        <v>5.00000</v>
      </c>
      <c r="F3767" s="29">
        <f ca="1">ROUND(69.230,3)</f>
        <v>0</v>
      </c>
      <c r="G3767" s="27">
        <f ca="1">ROUND(E3767*F3767,2)</f>
        <v>0</v>
      </c>
    </row>
    <row r="3768" spans="1:7" ht="21.36" thickBot="1" customHeight="1">
      <c r="A3768" s="24" t="s">
        <v>11645</v>
      </c>
      <c r="B3768" s="24" t="s">
        <v>11646</v>
      </c>
      <c r="C3768" s="24" t="s">
        <v>11647</v>
      </c>
      <c r="D3768" s="25" t="s">
        <v>11648</v>
      </c>
      <c r="E3768" s="28">
        <v>1.00000</v>
      </c>
      <c r="F3768" s="29">
        <f ca="1">ROUND(7.400,3)</f>
        <v>0</v>
      </c>
      <c r="G3768" s="27">
        <f ca="1">ROUND(E3768*F3768,2)</f>
        <v>0</v>
      </c>
    </row>
    <row r="3769" spans="1:7" ht="21.36" thickBot="1" customHeight="1">
      <c r="A3769" s="24" t="s">
        <v>11649</v>
      </c>
      <c r="B3769" s="24" t="s">
        <v>11650</v>
      </c>
      <c r="C3769" s="24" t="s">
        <v>11651</v>
      </c>
      <c r="D3769" s="25" t="s">
        <v>11652</v>
      </c>
      <c r="E3769" s="28">
        <v>11.00000</v>
      </c>
      <c r="F3769" s="29">
        <f ca="1">ROUND(1.510,3)</f>
        <v>0</v>
      </c>
      <c r="G3769" s="27">
        <f ca="1">ROUND(E3769*F3769,2)</f>
        <v>0</v>
      </c>
    </row>
    <row r="3770" spans="1:7" ht="21.36" thickBot="1" customHeight="1">
      <c r="A3770" s="24" t="s">
        <v>11653</v>
      </c>
      <c r="B3770" s="24" t="s">
        <v>11654</v>
      </c>
      <c r="C3770" s="24" t="s">
        <v>11655</v>
      </c>
      <c r="D3770" s="25" t="s">
        <v>11656</v>
      </c>
      <c r="E3770" s="28">
        <v>0.22200</v>
      </c>
      <c r="F3770" s="29">
        <f ca="1">ROUND(23.000,3)</f>
        <v>0</v>
      </c>
      <c r="G3770" s="27">
        <f ca="1">ROUND(E3770*F3770,2)</f>
        <v>0</v>
      </c>
    </row>
    <row r="3771" spans="1:7" ht="15.12" thickBot="1" customHeight="1">
      <c r="A3771" s="24" t="s">
        <v>11657</v>
      </c>
      <c r="B3771" s="24" t="s">
        <v>11658</v>
      </c>
      <c r="C3771" s="24" t="s">
        <v>11659</v>
      </c>
      <c r="D3771" s="25" t="s">
        <v>11660</v>
      </c>
      <c r="E3771" s="28">
        <v>0.22200</v>
      </c>
      <c r="F3771" s="29">
        <f ca="1">ROUND(80.000,3)</f>
        <v>0</v>
      </c>
      <c r="G3771" s="27">
        <f ca="1">ROUND(E3771*F3771,2)</f>
        <v>0</v>
      </c>
    </row>
    <row r="3772" spans="1:7" ht="15.12" thickBot="1" customHeight="1">
      <c r="A3772" s="24" t="s">
        <v>11661</v>
      </c>
      <c r="B3772" s="24" t="s">
        <v>11662</v>
      </c>
      <c r="C3772" s="24" t="s">
        <v>11663</v>
      </c>
      <c r="D3772" s="25" t="s">
        <v>11664</v>
      </c>
      <c r="E3772" s="28">
        <v>1.22200</v>
      </c>
      <c r="F3772" s="29">
        <f ca="1">ROUND(6.000,3)</f>
        <v>0</v>
      </c>
      <c r="G3772" s="27">
        <f ca="1">ROUND(E3772*F3772,2)</f>
        <v>0</v>
      </c>
    </row>
    <row r="3773" spans="1:7" ht="21.36" thickBot="1" customHeight="1">
      <c r="A3773" s="24" t="s">
        <v>11665</v>
      </c>
      <c r="B3773" s="24" t="s">
        <v>11666</v>
      </c>
      <c r="C3773" s="24" t="s">
        <v>11667</v>
      </c>
      <c r="D3773" s="25" t="s">
        <v>11668</v>
      </c>
      <c r="E3773" s="28">
        <v>0.11100</v>
      </c>
      <c r="F3773" s="29">
        <f ca="1">ROUND(180.000,3)</f>
        <v>0</v>
      </c>
      <c r="G3773" s="27">
        <f ca="1">ROUND(E3773*F3773,2)</f>
        <v>0</v>
      </c>
    </row>
    <row r="3774" spans="1:7" ht="15.12" thickBot="1" customHeight="1">
      <c r="A3774" s="24" t="s">
        <v>11669</v>
      </c>
      <c r="B3774" s="24" t="s">
        <v>11670</v>
      </c>
      <c r="C3774" s="24" t="s">
        <v>11671</v>
      </c>
      <c r="D3774" s="25" t="s">
        <v>11672</v>
      </c>
      <c r="E3774" s="28">
        <v>102.78000</v>
      </c>
      <c r="F3774" s="29">
        <f ca="1">ROUND(0.220,3)</f>
        <v>0</v>
      </c>
      <c r="G3774" s="27">
        <f ca="1">ROUND(E3774*F3774,2)</f>
        <v>0</v>
      </c>
    </row>
    <row r="3775" spans="1:7" ht="24.36" thickBot="1" customHeight="1">
      <c r="A3775" s="24" t="s">
        <v>11673</v>
      </c>
      <c r="B3775" s="24" t="s">
        <v>11674</v>
      </c>
      <c r="C3775" s="24" t="s">
        <v>11675</v>
      </c>
      <c r="D3775" s="25" t="s">
        <v>11676</v>
      </c>
      <c r="E3775" s="28">
        <v>5.00000</v>
      </c>
      <c r="F3775" s="29">
        <f ca="1">ROUND(47.500,3)</f>
        <v>0</v>
      </c>
      <c r="G3775" s="27">
        <f ca="1">ROUND(E3775*F3775,2)</f>
        <v>0</v>
      </c>
    </row>
    <row r="3776" spans="1:7" ht="15.48" thickBot="1" customHeight="1">
      <c r="A3776" s="30"/>
      <c r="B3776" s="30"/>
      <c r="C3776" s="30"/>
      <c r="D3776" s="31" t="s">
        <v>11677</v>
      </c>
      <c r="E3776" s="30"/>
      <c r="F3776" s="33">
        <f ca="1">ROUND((G3767+G3768+G3769+G3770+G3771+G3772+G3773+G3774+G3775)*(1+G2/100),2)</f>
        <v>0</v>
      </c>
      <c r="G3776" s="30"/>
    </row>
    <row r="3777" spans="1:7" ht="21.36" thickBot="1" customHeight="1">
      <c r="A3777" s="34" t="s">
        <v>11678</v>
      </c>
      <c r="B3777" s="35" t="s">
        <v>11679</v>
      </c>
      <c r="C3777" s="35" t="s">
        <v>11680</v>
      </c>
      <c r="D3777" s="36" t="s">
        <v>11681</v>
      </c>
      <c r="E3777" s="37"/>
      <c r="F3777" s="38">
        <f ca="1">F3786</f>
        <v>0</v>
      </c>
      <c r="G3777" s="37"/>
    </row>
    <row r="3778" spans="1:7" ht="30.60" thickBot="1" customHeight="1">
      <c r="A3778" s="26"/>
      <c r="B3778" s="26"/>
      <c r="C3778" s="26"/>
      <c r="D3778" s="25" t="s">
        <v>11682</v>
      </c>
      <c r="E3778" s="25"/>
      <c r="F3778" s="25"/>
      <c r="G3778" s="25"/>
    </row>
    <row r="3779" spans="1:7" ht="21.36" thickBot="1" customHeight="1">
      <c r="A3779" s="24" t="s">
        <v>11683</v>
      </c>
      <c r="B3779" s="24" t="s">
        <v>11684</v>
      </c>
      <c r="C3779" s="24" t="s">
        <v>11685</v>
      </c>
      <c r="D3779" s="25" t="s">
        <v>11686</v>
      </c>
      <c r="E3779" s="28">
        <v>1.20000</v>
      </c>
      <c r="F3779" s="29">
        <f ca="1">ROUND(283.610,3)</f>
        <v>0</v>
      </c>
      <c r="G3779" s="27">
        <f ca="1">ROUND(E3779*F3779,2)</f>
        <v>0</v>
      </c>
    </row>
    <row r="3780" spans="1:7" ht="21.36" thickBot="1" customHeight="1">
      <c r="A3780" s="24" t="s">
        <v>11687</v>
      </c>
      <c r="B3780" s="24" t="s">
        <v>11688</v>
      </c>
      <c r="C3780" s="24" t="s">
        <v>11689</v>
      </c>
      <c r="D3780" s="25" t="s">
        <v>11690</v>
      </c>
      <c r="E3780" s="28">
        <v>1.00000</v>
      </c>
      <c r="F3780" s="29">
        <f ca="1">ROUND(7.400,3)</f>
        <v>0</v>
      </c>
      <c r="G3780" s="27">
        <f ca="1">ROUND(E3780*F3780,2)</f>
        <v>0</v>
      </c>
    </row>
    <row r="3781" spans="1:7" ht="21.36" thickBot="1" customHeight="1">
      <c r="A3781" s="24" t="s">
        <v>11691</v>
      </c>
      <c r="B3781" s="24" t="s">
        <v>11692</v>
      </c>
      <c r="C3781" s="24" t="s">
        <v>11693</v>
      </c>
      <c r="D3781" s="25" t="s">
        <v>11694</v>
      </c>
      <c r="E3781" s="28">
        <v>11.00000</v>
      </c>
      <c r="F3781" s="29">
        <f ca="1">ROUND(1.510,3)</f>
        <v>0</v>
      </c>
      <c r="G3781" s="27">
        <f ca="1">ROUND(E3781*F3781,2)</f>
        <v>0</v>
      </c>
    </row>
    <row r="3782" spans="1:7" ht="24.36" thickBot="1" customHeight="1">
      <c r="A3782" s="24" t="s">
        <v>11695</v>
      </c>
      <c r="B3782" s="24" t="s">
        <v>11696</v>
      </c>
      <c r="C3782" s="24" t="s">
        <v>11697</v>
      </c>
      <c r="D3782" s="25" t="s">
        <v>11698</v>
      </c>
      <c r="E3782" s="28">
        <v>6.85000</v>
      </c>
      <c r="F3782" s="29">
        <f ca="1">ROUND(46.000,3)</f>
        <v>0</v>
      </c>
      <c r="G3782" s="27">
        <f ca="1">ROUND(E3782*F3782,2)</f>
        <v>0</v>
      </c>
    </row>
    <row r="3783" spans="1:7" ht="15.12" thickBot="1" customHeight="1">
      <c r="A3783" s="24" t="s">
        <v>11699</v>
      </c>
      <c r="B3783" s="24" t="s">
        <v>11700</v>
      </c>
      <c r="C3783" s="24" t="s">
        <v>11701</v>
      </c>
      <c r="D3783" s="25" t="s">
        <v>11702</v>
      </c>
      <c r="E3783" s="28">
        <v>0.25000</v>
      </c>
      <c r="F3783" s="29">
        <f ca="1">ROUND(80.000,3)</f>
        <v>0</v>
      </c>
      <c r="G3783" s="27">
        <f ca="1">ROUND(E3783*F3783,2)</f>
        <v>0</v>
      </c>
    </row>
    <row r="3784" spans="1:7" ht="24.36" thickBot="1" customHeight="1">
      <c r="A3784" s="24" t="s">
        <v>11703</v>
      </c>
      <c r="B3784" s="24" t="s">
        <v>11704</v>
      </c>
      <c r="C3784" s="24" t="s">
        <v>11705</v>
      </c>
      <c r="D3784" s="25" t="s">
        <v>11706</v>
      </c>
      <c r="E3784" s="28">
        <v>2.30000</v>
      </c>
      <c r="F3784" s="29">
        <f ca="1">ROUND(46.000,3)</f>
        <v>0</v>
      </c>
      <c r="G3784" s="27">
        <f ca="1">ROUND(E3784*F3784,2)</f>
        <v>0</v>
      </c>
    </row>
    <row r="3785" spans="1:7" ht="15.12" thickBot="1" customHeight="1">
      <c r="A3785" s="24" t="s">
        <v>11707</v>
      </c>
      <c r="B3785" s="24" t="s">
        <v>11708</v>
      </c>
      <c r="C3785" s="24" t="s">
        <v>11709</v>
      </c>
      <c r="D3785" s="25" t="s">
        <v>11710</v>
      </c>
      <c r="E3785" s="28">
        <v>118.75000</v>
      </c>
      <c r="F3785" s="29">
        <f ca="1">ROUND(0.220,3)</f>
        <v>0</v>
      </c>
      <c r="G3785" s="27">
        <f ca="1">ROUND(E3785*F3785,2)</f>
        <v>0</v>
      </c>
    </row>
    <row r="3786" spans="1:7" ht="15.48" thickBot="1" customHeight="1">
      <c r="A3786" s="30"/>
      <c r="B3786" s="30"/>
      <c r="C3786" s="30"/>
      <c r="D3786" s="31" t="s">
        <v>11711</v>
      </c>
      <c r="E3786" s="30"/>
      <c r="F3786" s="33">
        <f ca="1">ROUND((G3779+G3780+G3781+G3782+G3783+G3784+G3785)*(1+G2/100),2)</f>
        <v>0</v>
      </c>
      <c r="G3786" s="30"/>
    </row>
    <row r="3787" spans="1:7" ht="21.36" thickBot="1" customHeight="1">
      <c r="A3787" s="34" t="s">
        <v>11712</v>
      </c>
      <c r="B3787" s="35" t="s">
        <v>11713</v>
      </c>
      <c r="C3787" s="35" t="s">
        <v>11714</v>
      </c>
      <c r="D3787" s="36" t="s">
        <v>11715</v>
      </c>
      <c r="E3787" s="37"/>
      <c r="F3787" s="38">
        <f ca="1">F3812</f>
        <v>0</v>
      </c>
      <c r="G3787" s="37"/>
    </row>
    <row r="3788" spans="1:7" ht="76.80" thickBot="1" customHeight="1">
      <c r="A3788" s="26"/>
      <c r="B3788" s="26"/>
      <c r="C3788" s="26"/>
      <c r="D3788" s="25" t="s">
        <v>11716</v>
      </c>
      <c r="E3788" s="25"/>
      <c r="F3788" s="25"/>
      <c r="G3788" s="25"/>
    </row>
    <row r="3789" spans="1:7" ht="21.36" thickBot="1" customHeight="1">
      <c r="A3789" s="24" t="s">
        <v>11717</v>
      </c>
      <c r="B3789" s="24" t="s">
        <v>11718</v>
      </c>
      <c r="C3789" s="24" t="s">
        <v>11719</v>
      </c>
      <c r="D3789" s="25" t="s">
        <v>11720</v>
      </c>
      <c r="E3789" s="28">
        <v>2.00000</v>
      </c>
      <c r="F3789" s="29">
        <f ca="1">F3793</f>
        <v>0</v>
      </c>
      <c r="G3789" s="27">
        <f ca="1">ROUND(E3789*F3789,2)</f>
        <v>0</v>
      </c>
    </row>
    <row r="3790" spans="1:7" ht="24.36" thickBot="1" customHeight="1">
      <c r="A3790" s="24" t="s">
        <v>11721</v>
      </c>
      <c r="B3790" s="24" t="s">
        <v>11722</v>
      </c>
      <c r="C3790" s="24" t="s">
        <v>11723</v>
      </c>
      <c r="D3790" s="25" t="s">
        <v>11724</v>
      </c>
      <c r="E3790" s="28">
        <v>1.00000</v>
      </c>
      <c r="F3790" s="29">
        <f ca="1">ROUND(21.000,3)</f>
        <v>0</v>
      </c>
      <c r="G3790" s="27">
        <f ca="1">ROUND(E3790*F3790,2)</f>
        <v>0</v>
      </c>
    </row>
    <row r="3791" spans="1:7" ht="24.36" thickBot="1" customHeight="1">
      <c r="A3791" s="24" t="s">
        <v>11725</v>
      </c>
      <c r="B3791" s="24" t="s">
        <v>11726</v>
      </c>
      <c r="C3791" s="24" t="s">
        <v>11727</v>
      </c>
      <c r="D3791" s="25" t="s">
        <v>11728</v>
      </c>
      <c r="E3791" s="28">
        <v>1.00000</v>
      </c>
      <c r="F3791" s="29">
        <f ca="1">ROUND(19.000,3)</f>
        <v>0</v>
      </c>
      <c r="G3791" s="27">
        <f ca="1">ROUND(E3791*F3791,2)</f>
        <v>0</v>
      </c>
    </row>
    <row r="3792" spans="1:7" ht="24.36" thickBot="1" customHeight="1">
      <c r="A3792" s="24" t="s">
        <v>11729</v>
      </c>
      <c r="B3792" s="24" t="s">
        <v>11730</v>
      </c>
      <c r="C3792" s="24" t="s">
        <v>11731</v>
      </c>
      <c r="D3792" s="25" t="s">
        <v>11732</v>
      </c>
      <c r="E3792" s="28">
        <v>0.20000</v>
      </c>
      <c r="F3792" s="29">
        <f ca="1">ROUND(19.000,3)</f>
        <v>0</v>
      </c>
      <c r="G3792" s="27">
        <f ca="1">ROUND(E3792*F3792,2)</f>
        <v>0</v>
      </c>
    </row>
    <row r="3793" spans="1:7" ht="15.12" thickBot="1" customHeight="1">
      <c r="A3793" s="26"/>
      <c r="B3793" s="26"/>
      <c r="C3793" s="26"/>
      <c r="D3793" s="24" t="s">
        <v>11733</v>
      </c>
      <c r="E3793" s="28">
        <v>2.00000</v>
      </c>
      <c r="F3793" s="29">
        <f ca="1">ROUND((G3790+G3791+G3792),3)</f>
        <v>0</v>
      </c>
      <c r="G3793" s="27">
        <f ca="1">ROUND(E3793*F3793,2)</f>
        <v>0</v>
      </c>
    </row>
    <row r="3794" spans="1:7" ht="15.12" thickBot="1" customHeight="1">
      <c r="A3794" s="24" t="s">
        <v>11734</v>
      </c>
      <c r="B3794" s="24" t="s">
        <v>11735</v>
      </c>
      <c r="C3794" s="24" t="s">
        <v>11736</v>
      </c>
      <c r="D3794" s="25" t="s">
        <v>11737</v>
      </c>
      <c r="E3794" s="28">
        <v>0.25000</v>
      </c>
      <c r="F3794" s="29">
        <f ca="1">F3798</f>
        <v>0</v>
      </c>
      <c r="G3794" s="27">
        <f ca="1">ROUND(E3794*F3794,2)</f>
        <v>0</v>
      </c>
    </row>
    <row r="3795" spans="1:7" ht="30.60" thickBot="1" customHeight="1">
      <c r="A3795" s="24" t="s">
        <v>11738</v>
      </c>
      <c r="B3795" s="24" t="s">
        <v>11739</v>
      </c>
      <c r="C3795" s="24" t="s">
        <v>11740</v>
      </c>
      <c r="D3795" s="25" t="s">
        <v>11741</v>
      </c>
      <c r="E3795" s="28">
        <v>0.05000</v>
      </c>
      <c r="F3795" s="29">
        <f ca="1">ROUND(23.460,3)</f>
        <v>0</v>
      </c>
      <c r="G3795" s="27">
        <f ca="1">ROUND(E3795*F3795,2)</f>
        <v>0</v>
      </c>
    </row>
    <row r="3796" spans="1:7" ht="21.36" thickBot="1" customHeight="1">
      <c r="A3796" s="24" t="s">
        <v>11742</v>
      </c>
      <c r="B3796" s="24" t="s">
        <v>11743</v>
      </c>
      <c r="C3796" s="24" t="s">
        <v>11744</v>
      </c>
      <c r="D3796" s="25" t="s">
        <v>11745</v>
      </c>
      <c r="E3796" s="28">
        <v>0.25000</v>
      </c>
      <c r="F3796" s="29">
        <f ca="1">ROUND(28.500,3)</f>
        <v>0</v>
      </c>
      <c r="G3796" s="27">
        <f ca="1">ROUND(E3796*F3796,2)</f>
        <v>0</v>
      </c>
    </row>
    <row r="3797" spans="1:7" ht="21.36" thickBot="1" customHeight="1">
      <c r="A3797" s="24" t="s">
        <v>11746</v>
      </c>
      <c r="B3797" s="24" t="s">
        <v>11747</v>
      </c>
      <c r="C3797" s="24" t="s">
        <v>11748</v>
      </c>
      <c r="D3797" s="25" t="s">
        <v>11749</v>
      </c>
      <c r="E3797" s="28">
        <v>7.00000</v>
      </c>
      <c r="F3797" s="29">
        <f ca="1">ROUND(43.800,3)</f>
        <v>0</v>
      </c>
      <c r="G3797" s="27">
        <f ca="1">ROUND(E3797*F3797,2)</f>
        <v>0</v>
      </c>
    </row>
    <row r="3798" spans="1:7" ht="15.12" thickBot="1" customHeight="1">
      <c r="A3798" s="26"/>
      <c r="B3798" s="26"/>
      <c r="C3798" s="26"/>
      <c r="D3798" s="24" t="s">
        <v>11750</v>
      </c>
      <c r="E3798" s="28">
        <v>0.25000</v>
      </c>
      <c r="F3798" s="29">
        <f ca="1">ROUND((G3795+G3796+G3797),3)</f>
        <v>0</v>
      </c>
      <c r="G3798" s="27">
        <f ca="1">ROUND(E3798*F3798,2)</f>
        <v>0</v>
      </c>
    </row>
    <row r="3799" spans="1:7" ht="30.60" thickBot="1" customHeight="1">
      <c r="A3799" s="24" t="s">
        <v>11751</v>
      </c>
      <c r="B3799" s="24" t="s">
        <v>11752</v>
      </c>
      <c r="C3799" s="24" t="s">
        <v>11753</v>
      </c>
      <c r="D3799" s="25" t="s">
        <v>11754</v>
      </c>
      <c r="E3799" s="28">
        <v>0.50000</v>
      </c>
      <c r="F3799" s="29">
        <f ca="1">ROUND(7.930,3)</f>
        <v>0</v>
      </c>
      <c r="G3799" s="27">
        <f ca="1">ROUND(E3799*F3799,2)</f>
        <v>0</v>
      </c>
    </row>
    <row r="3800" spans="1:7" ht="39.84" thickBot="1" customHeight="1">
      <c r="A3800" s="24" t="s">
        <v>11755</v>
      </c>
      <c r="B3800" s="24" t="s">
        <v>11756</v>
      </c>
      <c r="C3800" s="24" t="s">
        <v>11757</v>
      </c>
      <c r="D3800" s="25" t="s">
        <v>11758</v>
      </c>
      <c r="E3800" s="28">
        <v>0.25000</v>
      </c>
      <c r="F3800" s="29">
        <f ca="1">ROUND(7.370,3)</f>
        <v>0</v>
      </c>
      <c r="G3800" s="27">
        <f ca="1">ROUND(E3800*F3800,2)</f>
        <v>0</v>
      </c>
    </row>
    <row r="3801" spans="1:7" ht="49.08" thickBot="1" customHeight="1">
      <c r="A3801" s="24" t="s">
        <v>11759</v>
      </c>
      <c r="B3801" s="24" t="s">
        <v>11760</v>
      </c>
      <c r="C3801" s="24" t="s">
        <v>11761</v>
      </c>
      <c r="D3801" s="25" t="s">
        <v>11762</v>
      </c>
      <c r="E3801" s="28">
        <v>0.10000</v>
      </c>
      <c r="F3801" s="29">
        <f ca="1">ROUND(52.890,3)</f>
        <v>0</v>
      </c>
      <c r="G3801" s="27">
        <f ca="1">ROUND(E3801*F3801,2)</f>
        <v>0</v>
      </c>
    </row>
    <row r="3802" spans="1:7" ht="30.60" thickBot="1" customHeight="1">
      <c r="A3802" s="24" t="s">
        <v>11763</v>
      </c>
      <c r="B3802" s="24" t="s">
        <v>11764</v>
      </c>
      <c r="C3802" s="24" t="s">
        <v>11765</v>
      </c>
      <c r="D3802" s="25" t="s">
        <v>11766</v>
      </c>
      <c r="E3802" s="28">
        <v>18.00000</v>
      </c>
      <c r="F3802" s="29">
        <f ca="1">F3811</f>
        <v>0</v>
      </c>
      <c r="G3802" s="27">
        <f ca="1">ROUND(E3802*F3802,2)</f>
        <v>0</v>
      </c>
    </row>
    <row r="3803" spans="1:7" ht="15.12" thickBot="1" customHeight="1">
      <c r="A3803" s="24" t="s">
        <v>11767</v>
      </c>
      <c r="B3803" s="24" t="s">
        <v>11768</v>
      </c>
      <c r="C3803" s="24" t="s">
        <v>11769</v>
      </c>
      <c r="D3803" s="25" t="s">
        <v>11770</v>
      </c>
      <c r="E3803" s="28">
        <v>1.00000</v>
      </c>
      <c r="F3803" s="29">
        <f ca="1">ROUND(3.000,3)</f>
        <v>0</v>
      </c>
      <c r="G3803" s="27">
        <f ca="1">ROUND(E3803*F3803,2)</f>
        <v>0</v>
      </c>
    </row>
    <row r="3804" spans="1:7" ht="15.12" thickBot="1" customHeight="1">
      <c r="A3804" s="24" t="s">
        <v>11771</v>
      </c>
      <c r="B3804" s="24" t="s">
        <v>11772</v>
      </c>
      <c r="C3804" s="24" t="s">
        <v>11773</v>
      </c>
      <c r="D3804" s="25" t="s">
        <v>11774</v>
      </c>
      <c r="E3804" s="28">
        <v>0.06000</v>
      </c>
      <c r="F3804" s="29">
        <f ca="1">ROUND(6.250,3)</f>
        <v>0</v>
      </c>
      <c r="G3804" s="27">
        <f ca="1">ROUND(E3804*F3804,2)</f>
        <v>0</v>
      </c>
    </row>
    <row r="3805" spans="1:7" ht="21.36" thickBot="1" customHeight="1">
      <c r="A3805" s="24" t="s">
        <v>11775</v>
      </c>
      <c r="B3805" s="24" t="s">
        <v>11776</v>
      </c>
      <c r="C3805" s="24" t="s">
        <v>11777</v>
      </c>
      <c r="D3805" s="25" t="s">
        <v>11778</v>
      </c>
      <c r="E3805" s="28">
        <v>0.00100</v>
      </c>
      <c r="F3805" s="29">
        <f ca="1">ROUND(23.830,3)</f>
        <v>0</v>
      </c>
      <c r="G3805" s="27">
        <f ca="1">ROUND(E3805*F3805,2)</f>
        <v>0</v>
      </c>
    </row>
    <row r="3806" spans="1:7" ht="30.60" thickBot="1" customHeight="1">
      <c r="A3806" s="24" t="s">
        <v>11779</v>
      </c>
      <c r="B3806" s="24" t="s">
        <v>11780</v>
      </c>
      <c r="C3806" s="24" t="s">
        <v>11781</v>
      </c>
      <c r="D3806" s="25" t="s">
        <v>11782</v>
      </c>
      <c r="E3806" s="28">
        <v>0.00100</v>
      </c>
      <c r="F3806" s="29">
        <f ca="1">ROUND(6.640,3)</f>
        <v>0</v>
      </c>
      <c r="G3806" s="27">
        <f ca="1">ROUND(E3806*F3806,2)</f>
        <v>0</v>
      </c>
    </row>
    <row r="3807" spans="1:7" ht="21.36" thickBot="1" customHeight="1">
      <c r="A3807" s="24" t="s">
        <v>11783</v>
      </c>
      <c r="B3807" s="24" t="s">
        <v>11784</v>
      </c>
      <c r="C3807" s="24" t="s">
        <v>11785</v>
      </c>
      <c r="D3807" s="25" t="s">
        <v>11786</v>
      </c>
      <c r="E3807" s="28">
        <v>0.00100</v>
      </c>
      <c r="F3807" s="29">
        <f ca="1">ROUND(10.870,3)</f>
        <v>0</v>
      </c>
      <c r="G3807" s="27">
        <f ca="1">ROUND(E3807*F3807,2)</f>
        <v>0</v>
      </c>
    </row>
    <row r="3808" spans="1:7" ht="21.36" thickBot="1" customHeight="1">
      <c r="A3808" s="24" t="s">
        <v>11787</v>
      </c>
      <c r="B3808" s="24" t="s">
        <v>11788</v>
      </c>
      <c r="C3808" s="24" t="s">
        <v>11789</v>
      </c>
      <c r="D3808" s="25" t="s">
        <v>11790</v>
      </c>
      <c r="E3808" s="28">
        <v>0.00100</v>
      </c>
      <c r="F3808" s="29">
        <f ca="1">ROUND(2.100,3)</f>
        <v>0</v>
      </c>
      <c r="G3808" s="27">
        <f ca="1">ROUND(E3808*F3808,2)</f>
        <v>0</v>
      </c>
    </row>
    <row r="3809" spans="1:7" ht="15.12" thickBot="1" customHeight="1">
      <c r="A3809" s="24" t="s">
        <v>11791</v>
      </c>
      <c r="B3809" s="24"/>
      <c r="C3809" s="24" t="s">
        <v>11792</v>
      </c>
      <c r="D3809" s="25" t="s">
        <v>11793</v>
      </c>
      <c r="E3809" s="28">
        <v>3.00000</v>
      </c>
      <c r="F3809" s="29">
        <f ca="1">ROUND(0.000,3)</f>
        <v>0</v>
      </c>
      <c r="G3809" s="27">
        <f ca="1">ROUND((E3809*F3809)/100,2)</f>
        <v>0</v>
      </c>
    </row>
    <row r="3810" spans="1:7" ht="21.36" thickBot="1" customHeight="1">
      <c r="A3810" s="24" t="s">
        <v>11794</v>
      </c>
      <c r="B3810" s="24" t="s">
        <v>11795</v>
      </c>
      <c r="C3810" s="24" t="s">
        <v>11796</v>
      </c>
      <c r="D3810" s="25" t="s">
        <v>11797</v>
      </c>
      <c r="E3810" s="28">
        <v>0.10000</v>
      </c>
      <c r="F3810" s="29">
        <f ca="1">ROUND(43.800,3)</f>
        <v>0</v>
      </c>
      <c r="G3810" s="27">
        <f ca="1">ROUND(E3810*F3810,2)</f>
        <v>0</v>
      </c>
    </row>
    <row r="3811" spans="1:7" ht="15.12" thickBot="1" customHeight="1">
      <c r="A3811" s="26"/>
      <c r="B3811" s="26"/>
      <c r="C3811" s="26"/>
      <c r="D3811" s="24" t="s">
        <v>11798</v>
      </c>
      <c r="E3811" s="28">
        <v>18.00000</v>
      </c>
      <c r="F3811" s="29">
        <f ca="1">ROUND((G3803+G3804+G3805+G3806+G3807+G3808+G3809+G3810),3)</f>
        <v>0</v>
      </c>
      <c r="G3811" s="27">
        <f ca="1">ROUND(E3811*F3811,2)</f>
        <v>0</v>
      </c>
    </row>
    <row r="3812" spans="1:7" ht="15.48" thickBot="1" customHeight="1">
      <c r="A3812" s="30"/>
      <c r="B3812" s="30"/>
      <c r="C3812" s="30"/>
      <c r="D3812" s="31" t="s">
        <v>11799</v>
      </c>
      <c r="E3812" s="30"/>
      <c r="F3812" s="33">
        <f ca="1">ROUND((G3789+G3794+G3799+G3800+G3801+G3802)*(1+G2/100),2)</f>
        <v>0</v>
      </c>
      <c r="G3812" s="30"/>
    </row>
    <row r="3813" spans="1:7" ht="15.48" thickBot="1" customHeight="1">
      <c r="A3813" s="39"/>
      <c r="B3813" s="39"/>
      <c r="C3813" s="39"/>
      <c r="D3813" s="50" t="s">
        <v>11800</v>
      </c>
      <c r="E3813" s="51"/>
      <c r="F3813" s="51"/>
      <c r="G3813" s="51"/>
    </row>
    <row r="3814" spans="1:7" ht="15.48" thickBot="1" customHeight="1">
      <c r="A3814" s="39"/>
      <c r="B3814" s="39"/>
      <c r="C3814" s="39"/>
      <c r="D3814" s="55" t="s">
        <v>11801</v>
      </c>
      <c r="E3814" s="56"/>
      <c r="F3814" s="56"/>
      <c r="G3814" s="56"/>
    </row>
    <row r="3815" spans="1:7" ht="15.48" thickBot="1" customHeight="1">
      <c r="A3815" s="57" t="s">
        <v>11802</v>
      </c>
      <c r="B3815" s="57" t="s">
        <v>11803</v>
      </c>
      <c r="C3815" s="58"/>
      <c r="D3815" s="59" t="s">
        <v>11804</v>
      </c>
      <c r="E3815" s="58"/>
      <c r="F3815" s="58"/>
      <c r="G3815" s="58"/>
    </row>
    <row r="3816" spans="1:7" ht="21.36" thickBot="1" customHeight="1">
      <c r="A3816" s="10" t="s">
        <v>11805</v>
      </c>
      <c r="B3816" s="24" t="s">
        <v>11806</v>
      </c>
      <c r="C3816" s="24" t="s">
        <v>11807</v>
      </c>
      <c r="D3816" s="25" t="s">
        <v>11808</v>
      </c>
      <c r="E3816" s="26"/>
      <c r="F3816" s="27">
        <f ca="1">F3828</f>
        <v>0</v>
      </c>
      <c r="G3816" s="26"/>
    </row>
    <row r="3817" spans="1:7" ht="113.76" thickBot="1" customHeight="1">
      <c r="A3817" s="26"/>
      <c r="B3817" s="26"/>
      <c r="C3817" s="26"/>
      <c r="D3817" s="25" t="s">
        <v>11809</v>
      </c>
      <c r="E3817" s="25"/>
      <c r="F3817" s="25"/>
      <c r="G3817" s="25"/>
    </row>
    <row r="3818" spans="1:7" ht="21.36" thickBot="1" customHeight="1">
      <c r="A3818" s="24" t="s">
        <v>11810</v>
      </c>
      <c r="B3818" s="24" t="s">
        <v>11811</v>
      </c>
      <c r="C3818" s="24" t="s">
        <v>11812</v>
      </c>
      <c r="D3818" s="25" t="s">
        <v>11813</v>
      </c>
      <c r="E3818" s="28">
        <v>1.00000</v>
      </c>
      <c r="F3818" s="29">
        <f ca="1">F3827</f>
        <v>0</v>
      </c>
      <c r="G3818" s="27">
        <f ca="1">ROUND(E3818*F3818,2)</f>
        <v>0</v>
      </c>
    </row>
    <row r="3819" spans="1:7" ht="30.60" thickBot="1" customHeight="1">
      <c r="A3819" s="24" t="s">
        <v>11814</v>
      </c>
      <c r="B3819" s="24" t="s">
        <v>11815</v>
      </c>
      <c r="C3819" s="24" t="s">
        <v>11816</v>
      </c>
      <c r="D3819" s="25" t="s">
        <v>11817</v>
      </c>
      <c r="E3819" s="28">
        <v>1.00000</v>
      </c>
      <c r="F3819" s="29">
        <f ca="1">ROUND(63.000,3)</f>
        <v>0</v>
      </c>
      <c r="G3819" s="27">
        <f ca="1">ROUND(E3819*F3819,2)</f>
        <v>0</v>
      </c>
    </row>
    <row r="3820" spans="1:7" ht="30.60" thickBot="1" customHeight="1">
      <c r="A3820" s="24" t="s">
        <v>11818</v>
      </c>
      <c r="B3820" s="24" t="s">
        <v>11819</v>
      </c>
      <c r="C3820" s="24" t="s">
        <v>11820</v>
      </c>
      <c r="D3820" s="25" t="s">
        <v>11821</v>
      </c>
      <c r="E3820" s="28">
        <v>0.04000</v>
      </c>
      <c r="F3820" s="29">
        <f ca="1">ROUND(82.110,3)</f>
        <v>0</v>
      </c>
      <c r="G3820" s="27">
        <f ca="1">ROUND(E3820*F3820,2)</f>
        <v>0</v>
      </c>
    </row>
    <row r="3821" spans="1:7" ht="39.84" thickBot="1" customHeight="1">
      <c r="A3821" s="24" t="s">
        <v>11822</v>
      </c>
      <c r="B3821" s="24" t="s">
        <v>11823</v>
      </c>
      <c r="C3821" s="24" t="s">
        <v>11824</v>
      </c>
      <c r="D3821" s="25" t="s">
        <v>11825</v>
      </c>
      <c r="E3821" s="28">
        <v>0.25000</v>
      </c>
      <c r="F3821" s="29">
        <f ca="1">ROUND(8.970,3)</f>
        <v>0</v>
      </c>
      <c r="G3821" s="27">
        <f ca="1">ROUND(E3821*F3821,2)</f>
        <v>0</v>
      </c>
    </row>
    <row r="3822" spans="1:7" ht="30.60" thickBot="1" customHeight="1">
      <c r="A3822" s="24" t="s">
        <v>11826</v>
      </c>
      <c r="B3822" s="24" t="s">
        <v>11827</v>
      </c>
      <c r="C3822" s="24" t="s">
        <v>11828</v>
      </c>
      <c r="D3822" s="25" t="s">
        <v>11829</v>
      </c>
      <c r="E3822" s="28">
        <v>0.25000</v>
      </c>
      <c r="F3822" s="29">
        <f ca="1">ROUND(6.320,3)</f>
        <v>0</v>
      </c>
      <c r="G3822" s="27">
        <f ca="1">ROUND(E3822*F3822,2)</f>
        <v>0</v>
      </c>
    </row>
    <row r="3823" spans="1:7" ht="21.36" thickBot="1" customHeight="1">
      <c r="A3823" s="24" t="s">
        <v>11830</v>
      </c>
      <c r="B3823" s="24" t="s">
        <v>11831</v>
      </c>
      <c r="C3823" s="24" t="s">
        <v>11832</v>
      </c>
      <c r="D3823" s="25" t="s">
        <v>11833</v>
      </c>
      <c r="E3823" s="28">
        <v>0.25000</v>
      </c>
      <c r="F3823" s="29">
        <f ca="1">ROUND(2.000,3)</f>
        <v>0</v>
      </c>
      <c r="G3823" s="27">
        <f ca="1">ROUND(E3823*F3823,2)</f>
        <v>0</v>
      </c>
    </row>
    <row r="3824" spans="1:7" ht="30.60" thickBot="1" customHeight="1">
      <c r="A3824" s="24" t="s">
        <v>11834</v>
      </c>
      <c r="B3824" s="24" t="s">
        <v>11835</v>
      </c>
      <c r="C3824" s="24" t="s">
        <v>11836</v>
      </c>
      <c r="D3824" s="25" t="s">
        <v>11837</v>
      </c>
      <c r="E3824" s="28">
        <v>0.10000</v>
      </c>
      <c r="F3824" s="29">
        <f ca="1">ROUND(4.920,3)</f>
        <v>0</v>
      </c>
      <c r="G3824" s="27">
        <f ca="1">ROUND(E3824*F3824,2)</f>
        <v>0</v>
      </c>
    </row>
    <row r="3825" spans="1:7" ht="21.36" thickBot="1" customHeight="1">
      <c r="A3825" s="24" t="s">
        <v>11838</v>
      </c>
      <c r="B3825" s="24" t="s">
        <v>11839</v>
      </c>
      <c r="C3825" s="24" t="s">
        <v>11840</v>
      </c>
      <c r="D3825" s="25" t="s">
        <v>11841</v>
      </c>
      <c r="E3825" s="28">
        <v>0.20000</v>
      </c>
      <c r="F3825" s="29">
        <f ca="1">ROUND(43.800,3)</f>
        <v>0</v>
      </c>
      <c r="G3825" s="27">
        <f ca="1">ROUND(E3825*F3825,2)</f>
        <v>0</v>
      </c>
    </row>
    <row r="3826" spans="1:7" ht="15.12" thickBot="1" customHeight="1">
      <c r="A3826" s="24" t="s">
        <v>11842</v>
      </c>
      <c r="B3826" s="24"/>
      <c r="C3826" s="24" t="s">
        <v>11843</v>
      </c>
      <c r="D3826" s="25" t="s">
        <v>11844</v>
      </c>
      <c r="E3826" s="28">
        <v>3.00000</v>
      </c>
      <c r="F3826" s="29">
        <f ca="1">ROUND(79.850,3)</f>
        <v>0</v>
      </c>
      <c r="G3826" s="27">
        <f ca="1">ROUND((E3826*F3826)/100,2)</f>
        <v>0</v>
      </c>
    </row>
    <row r="3827" spans="1:7" ht="15.12" thickBot="1" customHeight="1">
      <c r="A3827" s="26"/>
      <c r="B3827" s="26"/>
      <c r="C3827" s="26"/>
      <c r="D3827" s="24" t="s">
        <v>11845</v>
      </c>
      <c r="E3827" s="28">
        <v>1.00000</v>
      </c>
      <c r="F3827" s="29">
        <f ca="1">ROUND((G3819+G3820+G3821+G3822+G3823+G3824+G3825+G3826),3)</f>
        <v>0</v>
      </c>
      <c r="G3827" s="27">
        <f ca="1">ROUND(E3827*F3827,2)</f>
        <v>0</v>
      </c>
    </row>
    <row r="3828" spans="1:7" ht="15.48" thickBot="1" customHeight="1">
      <c r="A3828" s="30"/>
      <c r="B3828" s="30"/>
      <c r="C3828" s="30"/>
      <c r="D3828" s="31" t="s">
        <v>11846</v>
      </c>
      <c r="E3828" s="30"/>
      <c r="F3828" s="33">
        <f ca="1">ROUND((G3818)*(1+G2/100),2)</f>
        <v>0</v>
      </c>
      <c r="G3828" s="30"/>
    </row>
    <row r="3829" spans="1:7" ht="15.48" thickBot="1" customHeight="1">
      <c r="A3829" s="52" t="s">
        <v>11847</v>
      </c>
      <c r="B3829" s="52" t="s">
        <v>11848</v>
      </c>
      <c r="C3829" s="53"/>
      <c r="D3829" s="54" t="s">
        <v>11849</v>
      </c>
      <c r="E3829" s="53"/>
      <c r="F3829" s="53"/>
      <c r="G3829" s="53"/>
    </row>
    <row r="3830" spans="1:7" ht="21.36" thickBot="1" customHeight="1">
      <c r="A3830" s="10" t="s">
        <v>11850</v>
      </c>
      <c r="B3830" s="24" t="s">
        <v>11851</v>
      </c>
      <c r="C3830" s="24" t="s">
        <v>11852</v>
      </c>
      <c r="D3830" s="25" t="s">
        <v>11853</v>
      </c>
      <c r="E3830" s="26"/>
      <c r="F3830" s="27">
        <f ca="1">F3842</f>
        <v>0</v>
      </c>
      <c r="G3830" s="26"/>
    </row>
    <row r="3831" spans="1:7" ht="39.84" thickBot="1" customHeight="1">
      <c r="A3831" s="26"/>
      <c r="B3831" s="26"/>
      <c r="C3831" s="26"/>
      <c r="D3831" s="25" t="s">
        <v>11854</v>
      </c>
      <c r="E3831" s="25"/>
      <c r="F3831" s="25"/>
      <c r="G3831" s="25"/>
    </row>
    <row r="3832" spans="1:7" ht="30.60" thickBot="1" customHeight="1">
      <c r="A3832" s="24" t="s">
        <v>11855</v>
      </c>
      <c r="B3832" s="24" t="s">
        <v>11856</v>
      </c>
      <c r="C3832" s="24" t="s">
        <v>11857</v>
      </c>
      <c r="D3832" s="25" t="s">
        <v>11858</v>
      </c>
      <c r="E3832" s="28">
        <v>1.00000</v>
      </c>
      <c r="F3832" s="29">
        <f ca="1">ROUND(4.960,3)</f>
        <v>0</v>
      </c>
      <c r="G3832" s="27">
        <f ca="1">ROUND(E3832*F3832,2)</f>
        <v>0</v>
      </c>
    </row>
    <row r="3833" spans="1:7" ht="39.84" thickBot="1" customHeight="1">
      <c r="A3833" s="24" t="s">
        <v>11859</v>
      </c>
      <c r="B3833" s="24" t="s">
        <v>11860</v>
      </c>
      <c r="C3833" s="24" t="s">
        <v>11861</v>
      </c>
      <c r="D3833" s="25" t="s">
        <v>11862</v>
      </c>
      <c r="E3833" s="28">
        <v>0.08500</v>
      </c>
      <c r="F3833" s="29">
        <f ca="1">ROUND(24.840,3)</f>
        <v>0</v>
      </c>
      <c r="G3833" s="27">
        <f ca="1">ROUND(E3833*F3833,2)</f>
        <v>0</v>
      </c>
    </row>
    <row r="3834" spans="1:7" ht="30.60" thickBot="1" customHeight="1">
      <c r="A3834" s="24" t="s">
        <v>11863</v>
      </c>
      <c r="B3834" s="24" t="s">
        <v>11864</v>
      </c>
      <c r="C3834" s="24" t="s">
        <v>11865</v>
      </c>
      <c r="D3834" s="25" t="s">
        <v>11866</v>
      </c>
      <c r="E3834" s="28">
        <v>0.06670</v>
      </c>
      <c r="F3834" s="29">
        <f ca="1">ROUND(12.310,3)</f>
        <v>0</v>
      </c>
      <c r="G3834" s="27">
        <f ca="1">ROUND(E3834*F3834,2)</f>
        <v>0</v>
      </c>
    </row>
    <row r="3835" spans="1:7" ht="30.60" thickBot="1" customHeight="1">
      <c r="A3835" s="24" t="s">
        <v>11867</v>
      </c>
      <c r="B3835" s="24" t="s">
        <v>11868</v>
      </c>
      <c r="C3835" s="24" t="s">
        <v>11869</v>
      </c>
      <c r="D3835" s="25" t="s">
        <v>11870</v>
      </c>
      <c r="E3835" s="28">
        <v>0.02000</v>
      </c>
      <c r="F3835" s="29">
        <f ca="1">ROUND(27.500,3)</f>
        <v>0</v>
      </c>
      <c r="G3835" s="27">
        <f ca="1">ROUND(E3835*F3835,2)</f>
        <v>0</v>
      </c>
    </row>
    <row r="3836" spans="1:7" ht="21.36" thickBot="1" customHeight="1">
      <c r="A3836" s="24" t="s">
        <v>11871</v>
      </c>
      <c r="B3836" s="24" t="s">
        <v>11872</v>
      </c>
      <c r="C3836" s="24" t="s">
        <v>11873</v>
      </c>
      <c r="D3836" s="25" t="s">
        <v>11874</v>
      </c>
      <c r="E3836" s="28">
        <v>0.40000</v>
      </c>
      <c r="F3836" s="29">
        <f ca="1">F3840</f>
        <v>0</v>
      </c>
      <c r="G3836" s="27">
        <f ca="1">ROUND(E3836*F3836,2)</f>
        <v>0</v>
      </c>
    </row>
    <row r="3837" spans="1:7" ht="24.36" thickBot="1" customHeight="1">
      <c r="A3837" s="24" t="s">
        <v>11875</v>
      </c>
      <c r="B3837" s="24" t="s">
        <v>11876</v>
      </c>
      <c r="C3837" s="24" t="s">
        <v>11877</v>
      </c>
      <c r="D3837" s="25" t="s">
        <v>11878</v>
      </c>
      <c r="E3837" s="28">
        <v>1.00000</v>
      </c>
      <c r="F3837" s="29">
        <f ca="1">ROUND(21.000,3)</f>
        <v>0</v>
      </c>
      <c r="G3837" s="27">
        <f ca="1">ROUND(E3837*F3837,2)</f>
        <v>0</v>
      </c>
    </row>
    <row r="3838" spans="1:7" ht="24.36" thickBot="1" customHeight="1">
      <c r="A3838" s="24" t="s">
        <v>11879</v>
      </c>
      <c r="B3838" s="24" t="s">
        <v>11880</v>
      </c>
      <c r="C3838" s="24" t="s">
        <v>11881</v>
      </c>
      <c r="D3838" s="25" t="s">
        <v>11882</v>
      </c>
      <c r="E3838" s="28">
        <v>1.00000</v>
      </c>
      <c r="F3838" s="29">
        <f ca="1">ROUND(19.000,3)</f>
        <v>0</v>
      </c>
      <c r="G3838" s="27">
        <f ca="1">ROUND(E3838*F3838,2)</f>
        <v>0</v>
      </c>
    </row>
    <row r="3839" spans="1:7" ht="24.36" thickBot="1" customHeight="1">
      <c r="A3839" s="24" t="s">
        <v>11883</v>
      </c>
      <c r="B3839" s="24" t="s">
        <v>11884</v>
      </c>
      <c r="C3839" s="24" t="s">
        <v>11885</v>
      </c>
      <c r="D3839" s="25" t="s">
        <v>11886</v>
      </c>
      <c r="E3839" s="28">
        <v>0.20000</v>
      </c>
      <c r="F3839" s="29">
        <f ca="1">ROUND(19.000,3)</f>
        <v>0</v>
      </c>
      <c r="G3839" s="27">
        <f ca="1">ROUND(E3839*F3839,2)</f>
        <v>0</v>
      </c>
    </row>
    <row r="3840" spans="1:7" ht="15.12" thickBot="1" customHeight="1">
      <c r="A3840" s="26"/>
      <c r="B3840" s="26"/>
      <c r="C3840" s="26"/>
      <c r="D3840" s="24" t="s">
        <v>11887</v>
      </c>
      <c r="E3840" s="28">
        <v>0.40000</v>
      </c>
      <c r="F3840" s="29">
        <f ca="1">ROUND((G3837+G3838+G3839),3)</f>
        <v>0</v>
      </c>
      <c r="G3840" s="27">
        <f ca="1">ROUND(E3840*F3840,2)</f>
        <v>0</v>
      </c>
    </row>
    <row r="3841" spans="1:7" ht="15.12" thickBot="1" customHeight="1">
      <c r="A3841" s="24" t="s">
        <v>11888</v>
      </c>
      <c r="B3841" s="24"/>
      <c r="C3841" s="24" t="s">
        <v>11889</v>
      </c>
      <c r="D3841" s="25" t="s">
        <v>11890</v>
      </c>
      <c r="E3841" s="28">
        <v>3.00000</v>
      </c>
      <c r="F3841" s="29">
        <f ca="1">ROUND(17.520,3)</f>
        <v>0</v>
      </c>
      <c r="G3841" s="27">
        <f ca="1">ROUND((E3841*F3841)/100,2)</f>
        <v>0</v>
      </c>
    </row>
    <row r="3842" spans="1:7" ht="15.48" thickBot="1" customHeight="1">
      <c r="A3842" s="30"/>
      <c r="B3842" s="30"/>
      <c r="C3842" s="30"/>
      <c r="D3842" s="31" t="s">
        <v>11891</v>
      </c>
      <c r="E3842" s="30"/>
      <c r="F3842" s="33">
        <f ca="1">ROUND((G3832+G3833+G3834+G3835+G3836+G3841)*(1+G2/100),2)</f>
        <v>0</v>
      </c>
      <c r="G3842" s="30"/>
    </row>
    <row r="3843" spans="1:7" ht="30.60" thickBot="1" customHeight="1">
      <c r="A3843" s="34" t="s">
        <v>11892</v>
      </c>
      <c r="B3843" s="35" t="s">
        <v>11893</v>
      </c>
      <c r="C3843" s="35" t="s">
        <v>11894</v>
      </c>
      <c r="D3843" s="36" t="s">
        <v>11895</v>
      </c>
      <c r="E3843" s="37"/>
      <c r="F3843" s="38">
        <f ca="1">F3855</f>
        <v>0</v>
      </c>
      <c r="G3843" s="37"/>
    </row>
    <row r="3844" spans="1:7" ht="39.84" thickBot="1" customHeight="1">
      <c r="A3844" s="26"/>
      <c r="B3844" s="26"/>
      <c r="C3844" s="26"/>
      <c r="D3844" s="25" t="s">
        <v>11896</v>
      </c>
      <c r="E3844" s="25"/>
      <c r="F3844" s="25"/>
      <c r="G3844" s="25"/>
    </row>
    <row r="3845" spans="1:7" ht="30.60" thickBot="1" customHeight="1">
      <c r="A3845" s="24" t="s">
        <v>11897</v>
      </c>
      <c r="B3845" s="24" t="s">
        <v>11898</v>
      </c>
      <c r="C3845" s="24" t="s">
        <v>11899</v>
      </c>
      <c r="D3845" s="25" t="s">
        <v>11900</v>
      </c>
      <c r="E3845" s="28">
        <v>1.00000</v>
      </c>
      <c r="F3845" s="29">
        <f ca="1">ROUND(4.960,3)</f>
        <v>0</v>
      </c>
      <c r="G3845" s="27">
        <f ca="1">ROUND(E3845*F3845,2)</f>
        <v>0</v>
      </c>
    </row>
    <row r="3846" spans="1:7" ht="39.84" thickBot="1" customHeight="1">
      <c r="A3846" s="24" t="s">
        <v>11901</v>
      </c>
      <c r="B3846" s="24" t="s">
        <v>11902</v>
      </c>
      <c r="C3846" s="24" t="s">
        <v>11903</v>
      </c>
      <c r="D3846" s="25" t="s">
        <v>11904</v>
      </c>
      <c r="E3846" s="28">
        <v>0.12000</v>
      </c>
      <c r="F3846" s="29">
        <f ca="1">ROUND(24.840,3)</f>
        <v>0</v>
      </c>
      <c r="G3846" s="27">
        <f ca="1">ROUND(E3846*F3846,2)</f>
        <v>0</v>
      </c>
    </row>
    <row r="3847" spans="1:7" ht="30.60" thickBot="1" customHeight="1">
      <c r="A3847" s="24" t="s">
        <v>11905</v>
      </c>
      <c r="B3847" s="24" t="s">
        <v>11906</v>
      </c>
      <c r="C3847" s="24" t="s">
        <v>11907</v>
      </c>
      <c r="D3847" s="25" t="s">
        <v>11908</v>
      </c>
      <c r="E3847" s="28">
        <v>0.06670</v>
      </c>
      <c r="F3847" s="29">
        <f ca="1">ROUND(12.310,3)</f>
        <v>0</v>
      </c>
      <c r="G3847" s="27">
        <f ca="1">ROUND(E3847*F3847,2)</f>
        <v>0</v>
      </c>
    </row>
    <row r="3848" spans="1:7" ht="30.60" thickBot="1" customHeight="1">
      <c r="A3848" s="24" t="s">
        <v>11909</v>
      </c>
      <c r="B3848" s="24" t="s">
        <v>11910</v>
      </c>
      <c r="C3848" s="24" t="s">
        <v>11911</v>
      </c>
      <c r="D3848" s="25" t="s">
        <v>11912</v>
      </c>
      <c r="E3848" s="28">
        <v>0.02000</v>
      </c>
      <c r="F3848" s="29">
        <f ca="1">ROUND(27.500,3)</f>
        <v>0</v>
      </c>
      <c r="G3848" s="27">
        <f ca="1">ROUND(E3848*F3848,2)</f>
        <v>0</v>
      </c>
    </row>
    <row r="3849" spans="1:7" ht="24.36" thickBot="1" customHeight="1">
      <c r="A3849" s="24" t="s">
        <v>11913</v>
      </c>
      <c r="B3849" s="24" t="s">
        <v>11914</v>
      </c>
      <c r="C3849" s="24" t="s">
        <v>11915</v>
      </c>
      <c r="D3849" s="25" t="s">
        <v>11916</v>
      </c>
      <c r="E3849" s="28">
        <v>0.60000</v>
      </c>
      <c r="F3849" s="29">
        <f ca="1">F3853</f>
        <v>0</v>
      </c>
      <c r="G3849" s="27">
        <f ca="1">ROUND(E3849*F3849,2)</f>
        <v>0</v>
      </c>
    </row>
    <row r="3850" spans="1:7" ht="24.36" thickBot="1" customHeight="1">
      <c r="A3850" s="24" t="s">
        <v>11917</v>
      </c>
      <c r="B3850" s="24" t="s">
        <v>11918</v>
      </c>
      <c r="C3850" s="24" t="s">
        <v>11919</v>
      </c>
      <c r="D3850" s="25" t="s">
        <v>11920</v>
      </c>
      <c r="E3850" s="28">
        <v>1.00000</v>
      </c>
      <c r="F3850" s="29">
        <f ca="1">ROUND(21.000,3)</f>
        <v>0</v>
      </c>
      <c r="G3850" s="27">
        <f ca="1">ROUND(E3850*F3850,2)</f>
        <v>0</v>
      </c>
    </row>
    <row r="3851" spans="1:7" ht="24.36" thickBot="1" customHeight="1">
      <c r="A3851" s="24" t="s">
        <v>11921</v>
      </c>
      <c r="B3851" s="24" t="s">
        <v>11922</v>
      </c>
      <c r="C3851" s="24" t="s">
        <v>11923</v>
      </c>
      <c r="D3851" s="25" t="s">
        <v>11924</v>
      </c>
      <c r="E3851" s="28">
        <v>1.00000</v>
      </c>
      <c r="F3851" s="29">
        <f ca="1">ROUND(19.000,3)</f>
        <v>0</v>
      </c>
      <c r="G3851" s="27">
        <f ca="1">ROUND(E3851*F3851,2)</f>
        <v>0</v>
      </c>
    </row>
    <row r="3852" spans="1:7" ht="24.36" thickBot="1" customHeight="1">
      <c r="A3852" s="24" t="s">
        <v>11925</v>
      </c>
      <c r="B3852" s="24" t="s">
        <v>11926</v>
      </c>
      <c r="C3852" s="24" t="s">
        <v>11927</v>
      </c>
      <c r="D3852" s="25" t="s">
        <v>11928</v>
      </c>
      <c r="E3852" s="28">
        <v>0.50000</v>
      </c>
      <c r="F3852" s="29">
        <f ca="1">ROUND(19.000,3)</f>
        <v>0</v>
      </c>
      <c r="G3852" s="27">
        <f ca="1">ROUND(E3852*F3852,2)</f>
        <v>0</v>
      </c>
    </row>
    <row r="3853" spans="1:7" ht="15.12" thickBot="1" customHeight="1">
      <c r="A3853" s="26"/>
      <c r="B3853" s="26"/>
      <c r="C3853" s="26"/>
      <c r="D3853" s="24" t="s">
        <v>11929</v>
      </c>
      <c r="E3853" s="28">
        <v>0.60000</v>
      </c>
      <c r="F3853" s="29">
        <f ca="1">ROUND((G3850+G3851+G3852),3)</f>
        <v>0</v>
      </c>
      <c r="G3853" s="27">
        <f ca="1">ROUND(E3853*F3853,2)</f>
        <v>0</v>
      </c>
    </row>
    <row r="3854" spans="1:7" ht="15.12" thickBot="1" customHeight="1">
      <c r="A3854" s="24" t="s">
        <v>11930</v>
      </c>
      <c r="B3854" s="24"/>
      <c r="C3854" s="24" t="s">
        <v>11931</v>
      </c>
      <c r="D3854" s="25" t="s">
        <v>11932</v>
      </c>
      <c r="E3854" s="28">
        <v>3.00000</v>
      </c>
      <c r="F3854" s="29">
        <f ca="1">ROUND(29.700,3)</f>
        <v>0</v>
      </c>
      <c r="G3854" s="27">
        <f ca="1">ROUND((E3854*F3854)/100,2)</f>
        <v>0</v>
      </c>
    </row>
    <row r="3855" spans="1:7" ht="15.48" thickBot="1" customHeight="1">
      <c r="A3855" s="30"/>
      <c r="B3855" s="30"/>
      <c r="C3855" s="30"/>
      <c r="D3855" s="31" t="s">
        <v>11933</v>
      </c>
      <c r="E3855" s="30"/>
      <c r="F3855" s="33">
        <f ca="1">ROUND((G3845+G3846+G3847+G3848+G3849+G3854)*(1+G2/100),2)</f>
        <v>0</v>
      </c>
      <c r="G3855" s="30"/>
    </row>
    <row r="3856" spans="1:7" ht="21.36" thickBot="1" customHeight="1">
      <c r="A3856" s="34" t="s">
        <v>11934</v>
      </c>
      <c r="B3856" s="35" t="s">
        <v>11935</v>
      </c>
      <c r="C3856" s="35" t="s">
        <v>11936</v>
      </c>
      <c r="D3856" s="36" t="s">
        <v>11937</v>
      </c>
      <c r="E3856" s="37"/>
      <c r="F3856" s="38">
        <f ca="1">F3868</f>
        <v>0</v>
      </c>
      <c r="G3856" s="37"/>
    </row>
    <row r="3857" spans="1:7" ht="39.84" thickBot="1" customHeight="1">
      <c r="A3857" s="26"/>
      <c r="B3857" s="26"/>
      <c r="C3857" s="26"/>
      <c r="D3857" s="25" t="s">
        <v>11938</v>
      </c>
      <c r="E3857" s="25"/>
      <c r="F3857" s="25"/>
      <c r="G3857" s="25"/>
    </row>
    <row r="3858" spans="1:7" ht="30.60" thickBot="1" customHeight="1">
      <c r="A3858" s="24" t="s">
        <v>11939</v>
      </c>
      <c r="B3858" s="24" t="s">
        <v>11940</v>
      </c>
      <c r="C3858" s="24" t="s">
        <v>11941</v>
      </c>
      <c r="D3858" s="25" t="s">
        <v>11942</v>
      </c>
      <c r="E3858" s="28">
        <v>3.33300</v>
      </c>
      <c r="F3858" s="29">
        <f ca="1">ROUND(4.960,3)</f>
        <v>0</v>
      </c>
      <c r="G3858" s="27">
        <f ca="1">ROUND(E3858*F3858,2)</f>
        <v>0</v>
      </c>
    </row>
    <row r="3859" spans="1:7" ht="39.84" thickBot="1" customHeight="1">
      <c r="A3859" s="24" t="s">
        <v>11943</v>
      </c>
      <c r="B3859" s="24" t="s">
        <v>11944</v>
      </c>
      <c r="C3859" s="24" t="s">
        <v>11945</v>
      </c>
      <c r="D3859" s="25" t="s">
        <v>11946</v>
      </c>
      <c r="E3859" s="28">
        <v>0.25000</v>
      </c>
      <c r="F3859" s="29">
        <f ca="1">ROUND(24.840,3)</f>
        <v>0</v>
      </c>
      <c r="G3859" s="27">
        <f ca="1">ROUND(E3859*F3859,2)</f>
        <v>0</v>
      </c>
    </row>
    <row r="3860" spans="1:7" ht="30.60" thickBot="1" customHeight="1">
      <c r="A3860" s="24" t="s">
        <v>11947</v>
      </c>
      <c r="B3860" s="24" t="s">
        <v>11948</v>
      </c>
      <c r="C3860" s="24" t="s">
        <v>11949</v>
      </c>
      <c r="D3860" s="25" t="s">
        <v>11950</v>
      </c>
      <c r="E3860" s="28">
        <v>0.19800</v>
      </c>
      <c r="F3860" s="29">
        <f ca="1">ROUND(12.310,3)</f>
        <v>0</v>
      </c>
      <c r="G3860" s="27">
        <f ca="1">ROUND(E3860*F3860,2)</f>
        <v>0</v>
      </c>
    </row>
    <row r="3861" spans="1:7" ht="30.60" thickBot="1" customHeight="1">
      <c r="A3861" s="24" t="s">
        <v>11951</v>
      </c>
      <c r="B3861" s="24" t="s">
        <v>11952</v>
      </c>
      <c r="C3861" s="24" t="s">
        <v>11953</v>
      </c>
      <c r="D3861" s="25" t="s">
        <v>11954</v>
      </c>
      <c r="E3861" s="28">
        <v>0.06000</v>
      </c>
      <c r="F3861" s="29">
        <f ca="1">ROUND(27.500,3)</f>
        <v>0</v>
      </c>
      <c r="G3861" s="27">
        <f ca="1">ROUND(E3861*F3861,2)</f>
        <v>0</v>
      </c>
    </row>
    <row r="3862" spans="1:7" ht="21.36" thickBot="1" customHeight="1">
      <c r="A3862" s="24" t="s">
        <v>11955</v>
      </c>
      <c r="B3862" s="24" t="s">
        <v>11956</v>
      </c>
      <c r="C3862" s="24" t="s">
        <v>11957</v>
      </c>
      <c r="D3862" s="25" t="s">
        <v>11958</v>
      </c>
      <c r="E3862" s="28">
        <v>0.60000</v>
      </c>
      <c r="F3862" s="29">
        <f ca="1">F3866</f>
        <v>0</v>
      </c>
      <c r="G3862" s="27">
        <f ca="1">ROUND(E3862*F3862,2)</f>
        <v>0</v>
      </c>
    </row>
    <row r="3863" spans="1:7" ht="24.36" thickBot="1" customHeight="1">
      <c r="A3863" s="24" t="s">
        <v>11959</v>
      </c>
      <c r="B3863" s="24" t="s">
        <v>11960</v>
      </c>
      <c r="C3863" s="24" t="s">
        <v>11961</v>
      </c>
      <c r="D3863" s="25" t="s">
        <v>11962</v>
      </c>
      <c r="E3863" s="28">
        <v>1.00000</v>
      </c>
      <c r="F3863" s="29">
        <f ca="1">ROUND(21.000,3)</f>
        <v>0</v>
      </c>
      <c r="G3863" s="27">
        <f ca="1">ROUND(E3863*F3863,2)</f>
        <v>0</v>
      </c>
    </row>
    <row r="3864" spans="1:7" ht="24.36" thickBot="1" customHeight="1">
      <c r="A3864" s="24" t="s">
        <v>11963</v>
      </c>
      <c r="B3864" s="24" t="s">
        <v>11964</v>
      </c>
      <c r="C3864" s="24" t="s">
        <v>11965</v>
      </c>
      <c r="D3864" s="25" t="s">
        <v>11966</v>
      </c>
      <c r="E3864" s="28">
        <v>1.00000</v>
      </c>
      <c r="F3864" s="29">
        <f ca="1">ROUND(19.000,3)</f>
        <v>0</v>
      </c>
      <c r="G3864" s="27">
        <f ca="1">ROUND(E3864*F3864,2)</f>
        <v>0</v>
      </c>
    </row>
    <row r="3865" spans="1:7" ht="24.36" thickBot="1" customHeight="1">
      <c r="A3865" s="24" t="s">
        <v>11967</v>
      </c>
      <c r="B3865" s="24" t="s">
        <v>11968</v>
      </c>
      <c r="C3865" s="24" t="s">
        <v>11969</v>
      </c>
      <c r="D3865" s="25" t="s">
        <v>11970</v>
      </c>
      <c r="E3865" s="28">
        <v>0.20000</v>
      </c>
      <c r="F3865" s="29">
        <f ca="1">ROUND(19.000,3)</f>
        <v>0</v>
      </c>
      <c r="G3865" s="27">
        <f ca="1">ROUND(E3865*F3865,2)</f>
        <v>0</v>
      </c>
    </row>
    <row r="3866" spans="1:7" ht="15.12" thickBot="1" customHeight="1">
      <c r="A3866" s="26"/>
      <c r="B3866" s="26"/>
      <c r="C3866" s="26"/>
      <c r="D3866" s="24" t="s">
        <v>11971</v>
      </c>
      <c r="E3866" s="28">
        <v>0.60000</v>
      </c>
      <c r="F3866" s="29">
        <f ca="1">ROUND((G3863+G3864+G3865),3)</f>
        <v>0</v>
      </c>
      <c r="G3866" s="27">
        <f ca="1">ROUND(E3866*F3866,2)</f>
        <v>0</v>
      </c>
    </row>
    <row r="3867" spans="1:7" ht="15.12" thickBot="1" customHeight="1">
      <c r="A3867" s="24" t="s">
        <v>11972</v>
      </c>
      <c r="B3867" s="24"/>
      <c r="C3867" s="24" t="s">
        <v>11973</v>
      </c>
      <c r="D3867" s="25" t="s">
        <v>11974</v>
      </c>
      <c r="E3867" s="28">
        <v>3.00000</v>
      </c>
      <c r="F3867" s="29">
        <f ca="1">ROUND(26.280,3)</f>
        <v>0</v>
      </c>
      <c r="G3867" s="27">
        <f ca="1">ROUND((E3867*F3867)/100,2)</f>
        <v>0</v>
      </c>
    </row>
    <row r="3868" spans="1:7" ht="15.48" thickBot="1" customHeight="1">
      <c r="A3868" s="30"/>
      <c r="B3868" s="30"/>
      <c r="C3868" s="30"/>
      <c r="D3868" s="31" t="s">
        <v>11975</v>
      </c>
      <c r="E3868" s="30"/>
      <c r="F3868" s="33">
        <f ca="1">ROUND((G3858+G3859+G3860+G3861+G3862+G3867)*(1+G2/100),2)</f>
        <v>0</v>
      </c>
      <c r="G3868" s="30"/>
    </row>
    <row r="3869" spans="1:7" ht="30.60" thickBot="1" customHeight="1">
      <c r="A3869" s="34" t="s">
        <v>11976</v>
      </c>
      <c r="B3869" s="35" t="s">
        <v>11977</v>
      </c>
      <c r="C3869" s="35" t="s">
        <v>11978</v>
      </c>
      <c r="D3869" s="36" t="s">
        <v>11979</v>
      </c>
      <c r="E3869" s="37"/>
      <c r="F3869" s="38">
        <f ca="1">F3881</f>
        <v>0</v>
      </c>
      <c r="G3869" s="37"/>
    </row>
    <row r="3870" spans="1:7" ht="49.08" thickBot="1" customHeight="1">
      <c r="A3870" s="26"/>
      <c r="B3870" s="26"/>
      <c r="C3870" s="26"/>
      <c r="D3870" s="25" t="s">
        <v>11980</v>
      </c>
      <c r="E3870" s="25"/>
      <c r="F3870" s="25"/>
      <c r="G3870" s="25"/>
    </row>
    <row r="3871" spans="1:7" ht="30.60" thickBot="1" customHeight="1">
      <c r="A3871" s="24" t="s">
        <v>11981</v>
      </c>
      <c r="B3871" s="24" t="s">
        <v>11982</v>
      </c>
      <c r="C3871" s="24" t="s">
        <v>11983</v>
      </c>
      <c r="D3871" s="25" t="s">
        <v>11984</v>
      </c>
      <c r="E3871" s="28">
        <v>3.33300</v>
      </c>
      <c r="F3871" s="29">
        <f ca="1">ROUND(4.960,3)</f>
        <v>0</v>
      </c>
      <c r="G3871" s="27">
        <f ca="1">ROUND(E3871*F3871,2)</f>
        <v>0</v>
      </c>
    </row>
    <row r="3872" spans="1:7" ht="39.84" thickBot="1" customHeight="1">
      <c r="A3872" s="24" t="s">
        <v>11985</v>
      </c>
      <c r="B3872" s="24" t="s">
        <v>11986</v>
      </c>
      <c r="C3872" s="24" t="s">
        <v>11987</v>
      </c>
      <c r="D3872" s="25" t="s">
        <v>11988</v>
      </c>
      <c r="E3872" s="28">
        <v>0.25000</v>
      </c>
      <c r="F3872" s="29">
        <f ca="1">ROUND(24.840,3)</f>
        <v>0</v>
      </c>
      <c r="G3872" s="27">
        <f ca="1">ROUND(E3872*F3872,2)</f>
        <v>0</v>
      </c>
    </row>
    <row r="3873" spans="1:7" ht="30.60" thickBot="1" customHeight="1">
      <c r="A3873" s="24" t="s">
        <v>11989</v>
      </c>
      <c r="B3873" s="24" t="s">
        <v>11990</v>
      </c>
      <c r="C3873" s="24" t="s">
        <v>11991</v>
      </c>
      <c r="D3873" s="25" t="s">
        <v>11992</v>
      </c>
      <c r="E3873" s="28">
        <v>0.19800</v>
      </c>
      <c r="F3873" s="29">
        <f ca="1">ROUND(12.310,3)</f>
        <v>0</v>
      </c>
      <c r="G3873" s="27">
        <f ca="1">ROUND(E3873*F3873,2)</f>
        <v>0</v>
      </c>
    </row>
    <row r="3874" spans="1:7" ht="30.60" thickBot="1" customHeight="1">
      <c r="A3874" s="24" t="s">
        <v>11993</v>
      </c>
      <c r="B3874" s="24" t="s">
        <v>11994</v>
      </c>
      <c r="C3874" s="24" t="s">
        <v>11995</v>
      </c>
      <c r="D3874" s="25" t="s">
        <v>11996</v>
      </c>
      <c r="E3874" s="28">
        <v>0.06000</v>
      </c>
      <c r="F3874" s="29">
        <f ca="1">ROUND(27.500,3)</f>
        <v>0</v>
      </c>
      <c r="G3874" s="27">
        <f ca="1">ROUND(E3874*F3874,2)</f>
        <v>0</v>
      </c>
    </row>
    <row r="3875" spans="1:7" ht="24.36" thickBot="1" customHeight="1">
      <c r="A3875" s="24" t="s">
        <v>11997</v>
      </c>
      <c r="B3875" s="24" t="s">
        <v>11998</v>
      </c>
      <c r="C3875" s="24" t="s">
        <v>11999</v>
      </c>
      <c r="D3875" s="25" t="s">
        <v>12000</v>
      </c>
      <c r="E3875" s="28">
        <v>0.90000</v>
      </c>
      <c r="F3875" s="29">
        <f ca="1">F3879</f>
        <v>0</v>
      </c>
      <c r="G3875" s="27">
        <f ca="1">ROUND(E3875*F3875,2)</f>
        <v>0</v>
      </c>
    </row>
    <row r="3876" spans="1:7" ht="24.36" thickBot="1" customHeight="1">
      <c r="A3876" s="24" t="s">
        <v>12001</v>
      </c>
      <c r="B3876" s="24" t="s">
        <v>12002</v>
      </c>
      <c r="C3876" s="24" t="s">
        <v>12003</v>
      </c>
      <c r="D3876" s="25" t="s">
        <v>12004</v>
      </c>
      <c r="E3876" s="28">
        <v>1.00000</v>
      </c>
      <c r="F3876" s="29">
        <f ca="1">ROUND(21.000,3)</f>
        <v>0</v>
      </c>
      <c r="G3876" s="27">
        <f ca="1">ROUND(E3876*F3876,2)</f>
        <v>0</v>
      </c>
    </row>
    <row r="3877" spans="1:7" ht="24.36" thickBot="1" customHeight="1">
      <c r="A3877" s="24" t="s">
        <v>12005</v>
      </c>
      <c r="B3877" s="24" t="s">
        <v>12006</v>
      </c>
      <c r="C3877" s="24" t="s">
        <v>12007</v>
      </c>
      <c r="D3877" s="25" t="s">
        <v>12008</v>
      </c>
      <c r="E3877" s="28">
        <v>1.00000</v>
      </c>
      <c r="F3877" s="29">
        <f ca="1">ROUND(19.000,3)</f>
        <v>0</v>
      </c>
      <c r="G3877" s="27">
        <f ca="1">ROUND(E3877*F3877,2)</f>
        <v>0</v>
      </c>
    </row>
    <row r="3878" spans="1:7" ht="24.36" thickBot="1" customHeight="1">
      <c r="A3878" s="24" t="s">
        <v>12009</v>
      </c>
      <c r="B3878" s="24" t="s">
        <v>12010</v>
      </c>
      <c r="C3878" s="24" t="s">
        <v>12011</v>
      </c>
      <c r="D3878" s="25" t="s">
        <v>12012</v>
      </c>
      <c r="E3878" s="28">
        <v>0.50000</v>
      </c>
      <c r="F3878" s="29">
        <f ca="1">ROUND(19.000,3)</f>
        <v>0</v>
      </c>
      <c r="G3878" s="27">
        <f ca="1">ROUND(E3878*F3878,2)</f>
        <v>0</v>
      </c>
    </row>
    <row r="3879" spans="1:7" ht="15.12" thickBot="1" customHeight="1">
      <c r="A3879" s="26"/>
      <c r="B3879" s="26"/>
      <c r="C3879" s="26"/>
      <c r="D3879" s="24" t="s">
        <v>12013</v>
      </c>
      <c r="E3879" s="28">
        <v>0.90000</v>
      </c>
      <c r="F3879" s="29">
        <f ca="1">ROUND((G3876+G3877+G3878),3)</f>
        <v>0</v>
      </c>
      <c r="G3879" s="27">
        <f ca="1">ROUND(E3879*F3879,2)</f>
        <v>0</v>
      </c>
    </row>
    <row r="3880" spans="1:7" ht="15.12" thickBot="1" customHeight="1">
      <c r="A3880" s="24" t="s">
        <v>12014</v>
      </c>
      <c r="B3880" s="24"/>
      <c r="C3880" s="24" t="s">
        <v>12015</v>
      </c>
      <c r="D3880" s="25" t="s">
        <v>12016</v>
      </c>
      <c r="E3880" s="28">
        <v>3.00000</v>
      </c>
      <c r="F3880" s="29">
        <f ca="1">ROUND(44.550,3)</f>
        <v>0</v>
      </c>
      <c r="G3880" s="27">
        <f ca="1">ROUND((E3880*F3880)/100,2)</f>
        <v>0</v>
      </c>
    </row>
    <row r="3881" spans="1:7" ht="15.48" thickBot="1" customHeight="1">
      <c r="A3881" s="30"/>
      <c r="B3881" s="30"/>
      <c r="C3881" s="30"/>
      <c r="D3881" s="31" t="s">
        <v>12017</v>
      </c>
      <c r="E3881" s="30"/>
      <c r="F3881" s="33">
        <f ca="1">ROUND((G3871+G3872+G3873+G3874+G3875+G3880)*(1+G2/100),2)</f>
        <v>0</v>
      </c>
      <c r="G3881" s="30"/>
    </row>
    <row r="3882" spans="1:7" ht="30.60" thickBot="1" customHeight="1">
      <c r="A3882" s="34" t="s">
        <v>12018</v>
      </c>
      <c r="B3882" s="35" t="s">
        <v>12019</v>
      </c>
      <c r="C3882" s="35" t="s">
        <v>12020</v>
      </c>
      <c r="D3882" s="36" t="s">
        <v>12021</v>
      </c>
      <c r="E3882" s="37"/>
      <c r="F3882" s="38">
        <f ca="1">F3894</f>
        <v>0</v>
      </c>
      <c r="G3882" s="37"/>
    </row>
    <row r="3883" spans="1:7" ht="21.36" thickBot="1" customHeight="1">
      <c r="A3883" s="26"/>
      <c r="B3883" s="26"/>
      <c r="C3883" s="26"/>
      <c r="D3883" s="25" t="s">
        <v>12022</v>
      </c>
      <c r="E3883" s="25"/>
      <c r="F3883" s="25"/>
      <c r="G3883" s="25"/>
    </row>
    <row r="3884" spans="1:7" ht="21.36" thickBot="1" customHeight="1">
      <c r="A3884" s="24" t="s">
        <v>12023</v>
      </c>
      <c r="B3884" s="24" t="s">
        <v>12024</v>
      </c>
      <c r="C3884" s="24" t="s">
        <v>12025</v>
      </c>
      <c r="D3884" s="25" t="s">
        <v>12026</v>
      </c>
      <c r="E3884" s="28">
        <v>66.89000</v>
      </c>
      <c r="F3884" s="29">
        <f ca="1">ROUND(0.660,3)</f>
        <v>0</v>
      </c>
      <c r="G3884" s="27">
        <f ca="1">ROUND(E3884*F3884,2)</f>
        <v>0</v>
      </c>
    </row>
    <row r="3885" spans="1:7" ht="58.32" thickBot="1" customHeight="1">
      <c r="A3885" s="24" t="s">
        <v>12027</v>
      </c>
      <c r="B3885" s="24" t="s">
        <v>12028</v>
      </c>
      <c r="C3885" s="24" t="s">
        <v>12029</v>
      </c>
      <c r="D3885" s="25" t="s">
        <v>12030</v>
      </c>
      <c r="E3885" s="28">
        <v>0.05000</v>
      </c>
      <c r="F3885" s="29">
        <f ca="1">ROUND(123.140,3)</f>
        <v>0</v>
      </c>
      <c r="G3885" s="27">
        <f ca="1">ROUND(E3885*F3885,2)</f>
        <v>0</v>
      </c>
    </row>
    <row r="3886" spans="1:7" ht="39.84" thickBot="1" customHeight="1">
      <c r="A3886" s="24" t="s">
        <v>12031</v>
      </c>
      <c r="B3886" s="24" t="s">
        <v>12032</v>
      </c>
      <c r="C3886" s="24" t="s">
        <v>12033</v>
      </c>
      <c r="D3886" s="25" t="s">
        <v>12034</v>
      </c>
      <c r="E3886" s="28">
        <v>1.00000</v>
      </c>
      <c r="F3886" s="29">
        <f ca="1">ROUND(24.840,3)</f>
        <v>0</v>
      </c>
      <c r="G3886" s="27">
        <f ca="1">ROUND(E3886*F3886,2)</f>
        <v>0</v>
      </c>
    </row>
    <row r="3887" spans="1:7" ht="30.60" thickBot="1" customHeight="1">
      <c r="A3887" s="24" t="s">
        <v>12035</v>
      </c>
      <c r="B3887" s="24" t="s">
        <v>12036</v>
      </c>
      <c r="C3887" s="24" t="s">
        <v>12037</v>
      </c>
      <c r="D3887" s="25" t="s">
        <v>12038</v>
      </c>
      <c r="E3887" s="28">
        <v>0.02200</v>
      </c>
      <c r="F3887" s="29">
        <f ca="1">ROUND(30.510,3)</f>
        <v>0</v>
      </c>
      <c r="G3887" s="27">
        <f ca="1">ROUND(E3887*F3887,2)</f>
        <v>0</v>
      </c>
    </row>
    <row r="3888" spans="1:7" ht="21.36" thickBot="1" customHeight="1">
      <c r="A3888" s="24" t="s">
        <v>12039</v>
      </c>
      <c r="B3888" s="24" t="s">
        <v>12040</v>
      </c>
      <c r="C3888" s="24" t="s">
        <v>12041</v>
      </c>
      <c r="D3888" s="25" t="s">
        <v>12042</v>
      </c>
      <c r="E3888" s="28">
        <v>0.45000</v>
      </c>
      <c r="F3888" s="29">
        <f ca="1">F3892</f>
        <v>0</v>
      </c>
      <c r="G3888" s="27">
        <f ca="1">ROUND(E3888*F3888,2)</f>
        <v>0</v>
      </c>
    </row>
    <row r="3889" spans="1:7" ht="24.36" thickBot="1" customHeight="1">
      <c r="A3889" s="24" t="s">
        <v>12043</v>
      </c>
      <c r="B3889" s="24" t="s">
        <v>12044</v>
      </c>
      <c r="C3889" s="24" t="s">
        <v>12045</v>
      </c>
      <c r="D3889" s="25" t="s">
        <v>12046</v>
      </c>
      <c r="E3889" s="28">
        <v>1.00000</v>
      </c>
      <c r="F3889" s="29">
        <f ca="1">ROUND(21.000,3)</f>
        <v>0</v>
      </c>
      <c r="G3889" s="27">
        <f ca="1">ROUND(E3889*F3889,2)</f>
        <v>0</v>
      </c>
    </row>
    <row r="3890" spans="1:7" ht="24.36" thickBot="1" customHeight="1">
      <c r="A3890" s="24" t="s">
        <v>12047</v>
      </c>
      <c r="B3890" s="24" t="s">
        <v>12048</v>
      </c>
      <c r="C3890" s="24" t="s">
        <v>12049</v>
      </c>
      <c r="D3890" s="25" t="s">
        <v>12050</v>
      </c>
      <c r="E3890" s="28">
        <v>1.00000</v>
      </c>
      <c r="F3890" s="29">
        <f ca="1">ROUND(19.000,3)</f>
        <v>0</v>
      </c>
      <c r="G3890" s="27">
        <f ca="1">ROUND(E3890*F3890,2)</f>
        <v>0</v>
      </c>
    </row>
    <row r="3891" spans="1:7" ht="24.36" thickBot="1" customHeight="1">
      <c r="A3891" s="24" t="s">
        <v>12051</v>
      </c>
      <c r="B3891" s="24" t="s">
        <v>12052</v>
      </c>
      <c r="C3891" s="24" t="s">
        <v>12053</v>
      </c>
      <c r="D3891" s="25" t="s">
        <v>12054</v>
      </c>
      <c r="E3891" s="28">
        <v>0.20000</v>
      </c>
      <c r="F3891" s="29">
        <f ca="1">ROUND(19.000,3)</f>
        <v>0</v>
      </c>
      <c r="G3891" s="27">
        <f ca="1">ROUND(E3891*F3891,2)</f>
        <v>0</v>
      </c>
    </row>
    <row r="3892" spans="1:7" ht="15.12" thickBot="1" customHeight="1">
      <c r="A3892" s="26"/>
      <c r="B3892" s="26"/>
      <c r="C3892" s="26"/>
      <c r="D3892" s="24" t="s">
        <v>12055</v>
      </c>
      <c r="E3892" s="28">
        <v>0.45000</v>
      </c>
      <c r="F3892" s="29">
        <f ca="1">ROUND((G3889+G3890+G3891),3)</f>
        <v>0</v>
      </c>
      <c r="G3892" s="27">
        <f ca="1">ROUND(E3892*F3892,2)</f>
        <v>0</v>
      </c>
    </row>
    <row r="3893" spans="1:7" ht="15.12" thickBot="1" customHeight="1">
      <c r="A3893" s="24" t="s">
        <v>12056</v>
      </c>
      <c r="B3893" s="24"/>
      <c r="C3893" s="24" t="s">
        <v>12057</v>
      </c>
      <c r="D3893" s="25" t="s">
        <v>12058</v>
      </c>
      <c r="E3893" s="28">
        <v>3.00000</v>
      </c>
      <c r="F3893" s="29">
        <f ca="1">ROUND(19.710,3)</f>
        <v>0</v>
      </c>
      <c r="G3893" s="27">
        <f ca="1">ROUND((E3893*F3893)/100,2)</f>
        <v>0</v>
      </c>
    </row>
    <row r="3894" spans="1:7" ht="15.48" thickBot="1" customHeight="1">
      <c r="A3894" s="30"/>
      <c r="B3894" s="30"/>
      <c r="C3894" s="30"/>
      <c r="D3894" s="31" t="s">
        <v>12059</v>
      </c>
      <c r="E3894" s="30"/>
      <c r="F3894" s="33">
        <f ca="1">ROUND((G3884+G3885+G3886+G3887+G3888+G3893)*(1+G2/100),2)</f>
        <v>0</v>
      </c>
      <c r="G3894" s="30"/>
    </row>
    <row r="3895" spans="1:7" ht="30.60" thickBot="1" customHeight="1">
      <c r="A3895" s="34" t="s">
        <v>12060</v>
      </c>
      <c r="B3895" s="35" t="s">
        <v>12061</v>
      </c>
      <c r="C3895" s="35" t="s">
        <v>12062</v>
      </c>
      <c r="D3895" s="36" t="s">
        <v>12063</v>
      </c>
      <c r="E3895" s="37"/>
      <c r="F3895" s="38">
        <f ca="1">F3907</f>
        <v>0</v>
      </c>
      <c r="G3895" s="37"/>
    </row>
    <row r="3896" spans="1:7" ht="21.36" thickBot="1" customHeight="1">
      <c r="A3896" s="26"/>
      <c r="B3896" s="26"/>
      <c r="C3896" s="26"/>
      <c r="D3896" s="25" t="s">
        <v>12064</v>
      </c>
      <c r="E3896" s="25"/>
      <c r="F3896" s="25"/>
      <c r="G3896" s="25"/>
    </row>
    <row r="3897" spans="1:7" ht="21.36" thickBot="1" customHeight="1">
      <c r="A3897" s="24" t="s">
        <v>12065</v>
      </c>
      <c r="B3897" s="24" t="s">
        <v>12066</v>
      </c>
      <c r="C3897" s="24" t="s">
        <v>12067</v>
      </c>
      <c r="D3897" s="25" t="s">
        <v>12068</v>
      </c>
      <c r="E3897" s="28">
        <v>33.45000</v>
      </c>
      <c r="F3897" s="29">
        <f ca="1">ROUND(0.660,3)</f>
        <v>0</v>
      </c>
      <c r="G3897" s="27">
        <f ca="1">ROUND(E3897*F3897,2)</f>
        <v>0</v>
      </c>
    </row>
    <row r="3898" spans="1:7" ht="58.32" thickBot="1" customHeight="1">
      <c r="A3898" s="24" t="s">
        <v>12069</v>
      </c>
      <c r="B3898" s="24" t="s">
        <v>12070</v>
      </c>
      <c r="C3898" s="24" t="s">
        <v>12071</v>
      </c>
      <c r="D3898" s="25" t="s">
        <v>12072</v>
      </c>
      <c r="E3898" s="28">
        <v>0.02500</v>
      </c>
      <c r="F3898" s="29">
        <f ca="1">ROUND(123.140,3)</f>
        <v>0</v>
      </c>
      <c r="G3898" s="27">
        <f ca="1">ROUND(E3898*F3898,2)</f>
        <v>0</v>
      </c>
    </row>
    <row r="3899" spans="1:7" ht="39.84" thickBot="1" customHeight="1">
      <c r="A3899" s="24" t="s">
        <v>12073</v>
      </c>
      <c r="B3899" s="24" t="s">
        <v>12074</v>
      </c>
      <c r="C3899" s="24" t="s">
        <v>12075</v>
      </c>
      <c r="D3899" s="25" t="s">
        <v>12076</v>
      </c>
      <c r="E3899" s="28">
        <v>0.50000</v>
      </c>
      <c r="F3899" s="29">
        <f ca="1">ROUND(24.840,3)</f>
        <v>0</v>
      </c>
      <c r="G3899" s="27">
        <f ca="1">ROUND(E3899*F3899,2)</f>
        <v>0</v>
      </c>
    </row>
    <row r="3900" spans="1:7" ht="30.60" thickBot="1" customHeight="1">
      <c r="A3900" s="24" t="s">
        <v>12077</v>
      </c>
      <c r="B3900" s="24" t="s">
        <v>12078</v>
      </c>
      <c r="C3900" s="24" t="s">
        <v>12079</v>
      </c>
      <c r="D3900" s="25" t="s">
        <v>12080</v>
      </c>
      <c r="E3900" s="28">
        <v>0.01100</v>
      </c>
      <c r="F3900" s="29">
        <f ca="1">ROUND(30.510,3)</f>
        <v>0</v>
      </c>
      <c r="G3900" s="27">
        <f ca="1">ROUND(E3900*F3900,2)</f>
        <v>0</v>
      </c>
    </row>
    <row r="3901" spans="1:7" ht="21.36" thickBot="1" customHeight="1">
      <c r="A3901" s="24" t="s">
        <v>12081</v>
      </c>
      <c r="B3901" s="24" t="s">
        <v>12082</v>
      </c>
      <c r="C3901" s="24" t="s">
        <v>12083</v>
      </c>
      <c r="D3901" s="25" t="s">
        <v>12084</v>
      </c>
      <c r="E3901" s="28">
        <v>0.22500</v>
      </c>
      <c r="F3901" s="29">
        <f ca="1">F3905</f>
        <v>0</v>
      </c>
      <c r="G3901" s="27">
        <f ca="1">ROUND(E3901*F3901,2)</f>
        <v>0</v>
      </c>
    </row>
    <row r="3902" spans="1:7" ht="24.36" thickBot="1" customHeight="1">
      <c r="A3902" s="24" t="s">
        <v>12085</v>
      </c>
      <c r="B3902" s="24" t="s">
        <v>12086</v>
      </c>
      <c r="C3902" s="24" t="s">
        <v>12087</v>
      </c>
      <c r="D3902" s="25" t="s">
        <v>12088</v>
      </c>
      <c r="E3902" s="28">
        <v>1.00000</v>
      </c>
      <c r="F3902" s="29">
        <f ca="1">ROUND(21.000,3)</f>
        <v>0</v>
      </c>
      <c r="G3902" s="27">
        <f ca="1">ROUND(E3902*F3902,2)</f>
        <v>0</v>
      </c>
    </row>
    <row r="3903" spans="1:7" ht="24.36" thickBot="1" customHeight="1">
      <c r="A3903" s="24" t="s">
        <v>12089</v>
      </c>
      <c r="B3903" s="24" t="s">
        <v>12090</v>
      </c>
      <c r="C3903" s="24" t="s">
        <v>12091</v>
      </c>
      <c r="D3903" s="25" t="s">
        <v>12092</v>
      </c>
      <c r="E3903" s="28">
        <v>1.00000</v>
      </c>
      <c r="F3903" s="29">
        <f ca="1">ROUND(19.000,3)</f>
        <v>0</v>
      </c>
      <c r="G3903" s="27">
        <f ca="1">ROUND(E3903*F3903,2)</f>
        <v>0</v>
      </c>
    </row>
    <row r="3904" spans="1:7" ht="24.36" thickBot="1" customHeight="1">
      <c r="A3904" s="24" t="s">
        <v>12093</v>
      </c>
      <c r="B3904" s="24" t="s">
        <v>12094</v>
      </c>
      <c r="C3904" s="24" t="s">
        <v>12095</v>
      </c>
      <c r="D3904" s="25" t="s">
        <v>12096</v>
      </c>
      <c r="E3904" s="28">
        <v>0.20000</v>
      </c>
      <c r="F3904" s="29">
        <f ca="1">ROUND(19.000,3)</f>
        <v>0</v>
      </c>
      <c r="G3904" s="27">
        <f ca="1">ROUND(E3904*F3904,2)</f>
        <v>0</v>
      </c>
    </row>
    <row r="3905" spans="1:7" ht="15.12" thickBot="1" customHeight="1">
      <c r="A3905" s="26"/>
      <c r="B3905" s="26"/>
      <c r="C3905" s="26"/>
      <c r="D3905" s="24" t="s">
        <v>12097</v>
      </c>
      <c r="E3905" s="28">
        <v>0.22500</v>
      </c>
      <c r="F3905" s="29">
        <f ca="1">ROUND((G3902+G3903+G3904),3)</f>
        <v>0</v>
      </c>
      <c r="G3905" s="27">
        <f ca="1">ROUND(E3905*F3905,2)</f>
        <v>0</v>
      </c>
    </row>
    <row r="3906" spans="1:7" ht="15.12" thickBot="1" customHeight="1">
      <c r="A3906" s="24" t="s">
        <v>12098</v>
      </c>
      <c r="B3906" s="24"/>
      <c r="C3906" s="24" t="s">
        <v>12099</v>
      </c>
      <c r="D3906" s="25" t="s">
        <v>12100</v>
      </c>
      <c r="E3906" s="28">
        <v>3.00000</v>
      </c>
      <c r="F3906" s="29">
        <f ca="1">ROUND(9.860,3)</f>
        <v>0</v>
      </c>
      <c r="G3906" s="27">
        <f ca="1">ROUND((E3906*F3906)/100,2)</f>
        <v>0</v>
      </c>
    </row>
    <row r="3907" spans="1:7" ht="15.48" thickBot="1" customHeight="1">
      <c r="A3907" s="30"/>
      <c r="B3907" s="30"/>
      <c r="C3907" s="30"/>
      <c r="D3907" s="31" t="s">
        <v>12101</v>
      </c>
      <c r="E3907" s="30"/>
      <c r="F3907" s="33">
        <f ca="1">ROUND((G3897+G3898+G3899+G3900+G3901+G3906)*(1+G2/100),2)</f>
        <v>0</v>
      </c>
      <c r="G3907" s="30"/>
    </row>
    <row r="3908" spans="1:7" ht="21.36" thickBot="1" customHeight="1">
      <c r="A3908" s="34" t="s">
        <v>12102</v>
      </c>
      <c r="B3908" s="35" t="s">
        <v>12103</v>
      </c>
      <c r="C3908" s="35" t="s">
        <v>12104</v>
      </c>
      <c r="D3908" s="36" t="s">
        <v>12105</v>
      </c>
      <c r="E3908" s="37"/>
      <c r="F3908" s="38">
        <f ca="1">F3924</f>
        <v>0</v>
      </c>
      <c r="G3908" s="37"/>
    </row>
    <row r="3909" spans="1:7" ht="21.36" thickBot="1" customHeight="1">
      <c r="A3909" s="26"/>
      <c r="B3909" s="26"/>
      <c r="C3909" s="26"/>
      <c r="D3909" s="25" t="s">
        <v>12106</v>
      </c>
      <c r="E3909" s="25"/>
      <c r="F3909" s="25"/>
      <c r="G3909" s="25"/>
    </row>
    <row r="3910" spans="1:7" ht="30.60" thickBot="1" customHeight="1">
      <c r="A3910" s="24" t="s">
        <v>12107</v>
      </c>
      <c r="B3910" s="24" t="s">
        <v>12108</v>
      </c>
      <c r="C3910" s="24" t="s">
        <v>12109</v>
      </c>
      <c r="D3910" s="25" t="s">
        <v>12110</v>
      </c>
      <c r="E3910" s="28">
        <v>0.05000</v>
      </c>
      <c r="F3910" s="29">
        <f ca="1">ROUND(4.920,3)</f>
        <v>0</v>
      </c>
      <c r="G3910" s="27">
        <f ca="1">ROUND(E3910*F3910,2)</f>
        <v>0</v>
      </c>
    </row>
    <row r="3911" spans="1:7" ht="30.60" thickBot="1" customHeight="1">
      <c r="A3911" s="24" t="s">
        <v>12111</v>
      </c>
      <c r="B3911" s="24" t="s">
        <v>12112</v>
      </c>
      <c r="C3911" s="24" t="s">
        <v>12113</v>
      </c>
      <c r="D3911" s="25" t="s">
        <v>12114</v>
      </c>
      <c r="E3911" s="28">
        <v>0.01250</v>
      </c>
      <c r="F3911" s="29">
        <f ca="1">ROUND(8.810,3)</f>
        <v>0</v>
      </c>
      <c r="G3911" s="27">
        <f ca="1">ROUND(E3911*F3911,2)</f>
        <v>0</v>
      </c>
    </row>
    <row r="3912" spans="1:7" ht="30.60" thickBot="1" customHeight="1">
      <c r="A3912" s="24" t="s">
        <v>12115</v>
      </c>
      <c r="B3912" s="24" t="s">
        <v>12116</v>
      </c>
      <c r="C3912" s="24" t="s">
        <v>12117</v>
      </c>
      <c r="D3912" s="25" t="s">
        <v>12118</v>
      </c>
      <c r="E3912" s="28">
        <v>0.15000</v>
      </c>
      <c r="F3912" s="29">
        <f ca="1">ROUND(6.140,3)</f>
        <v>0</v>
      </c>
      <c r="G3912" s="27">
        <f ca="1">ROUND(E3912*F3912,2)</f>
        <v>0</v>
      </c>
    </row>
    <row r="3913" spans="1:7" ht="39.84" thickBot="1" customHeight="1">
      <c r="A3913" s="24" t="s">
        <v>12119</v>
      </c>
      <c r="B3913" s="24" t="s">
        <v>12120</v>
      </c>
      <c r="C3913" s="24" t="s">
        <v>12121</v>
      </c>
      <c r="D3913" s="25" t="s">
        <v>12122</v>
      </c>
      <c r="E3913" s="28">
        <v>0.16650</v>
      </c>
      <c r="F3913" s="29">
        <f ca="1">ROUND(7.370,3)</f>
        <v>0</v>
      </c>
      <c r="G3913" s="27">
        <f ca="1">ROUND(E3913*F3913,2)</f>
        <v>0</v>
      </c>
    </row>
    <row r="3914" spans="1:7" ht="30.60" thickBot="1" customHeight="1">
      <c r="A3914" s="24" t="s">
        <v>12123</v>
      </c>
      <c r="B3914" s="24" t="s">
        <v>12124</v>
      </c>
      <c r="C3914" s="24" t="s">
        <v>12125</v>
      </c>
      <c r="D3914" s="25" t="s">
        <v>12126</v>
      </c>
      <c r="E3914" s="28">
        <v>1.66500</v>
      </c>
      <c r="F3914" s="29">
        <f ca="1">ROUND(4.960,3)</f>
        <v>0</v>
      </c>
      <c r="G3914" s="27">
        <f ca="1">ROUND(E3914*F3914,2)</f>
        <v>0</v>
      </c>
    </row>
    <row r="3915" spans="1:7" ht="49.08" thickBot="1" customHeight="1">
      <c r="A3915" s="24" t="s">
        <v>12127</v>
      </c>
      <c r="B3915" s="24" t="s">
        <v>12128</v>
      </c>
      <c r="C3915" s="24" t="s">
        <v>12129</v>
      </c>
      <c r="D3915" s="25" t="s">
        <v>12130</v>
      </c>
      <c r="E3915" s="28">
        <v>0.00720</v>
      </c>
      <c r="F3915" s="29">
        <f ca="1">ROUND(45.570,3)</f>
        <v>0</v>
      </c>
      <c r="G3915" s="27">
        <f ca="1">ROUND(E3915*F3915,2)</f>
        <v>0</v>
      </c>
    </row>
    <row r="3916" spans="1:7" ht="30.60" thickBot="1" customHeight="1">
      <c r="A3916" s="24" t="s">
        <v>12131</v>
      </c>
      <c r="B3916" s="24" t="s">
        <v>12132</v>
      </c>
      <c r="C3916" s="24" t="s">
        <v>12133</v>
      </c>
      <c r="D3916" s="25" t="s">
        <v>12134</v>
      </c>
      <c r="E3916" s="28">
        <v>0.08000</v>
      </c>
      <c r="F3916" s="29">
        <f ca="1">ROUND(17.450,3)</f>
        <v>0</v>
      </c>
      <c r="G3916" s="27">
        <f ca="1">ROUND(E3916*F3916,2)</f>
        <v>0</v>
      </c>
    </row>
    <row r="3917" spans="1:7" ht="21.36" thickBot="1" customHeight="1">
      <c r="A3917" s="24" t="s">
        <v>12135</v>
      </c>
      <c r="B3917" s="24" t="s">
        <v>12136</v>
      </c>
      <c r="C3917" s="24" t="s">
        <v>12137</v>
      </c>
      <c r="D3917" s="25" t="s">
        <v>12138</v>
      </c>
      <c r="E3917" s="28">
        <v>0.50000</v>
      </c>
      <c r="F3917" s="29">
        <f ca="1">ROUND(2.290,3)</f>
        <v>0</v>
      </c>
      <c r="G3917" s="27">
        <f ca="1">ROUND(E3917*F3917,2)</f>
        <v>0</v>
      </c>
    </row>
    <row r="3918" spans="1:7" ht="21.36" thickBot="1" customHeight="1">
      <c r="A3918" s="24" t="s">
        <v>12139</v>
      </c>
      <c r="B3918" s="24" t="s">
        <v>12140</v>
      </c>
      <c r="C3918" s="24" t="s">
        <v>12141</v>
      </c>
      <c r="D3918" s="25" t="s">
        <v>12142</v>
      </c>
      <c r="E3918" s="28">
        <v>0.25000</v>
      </c>
      <c r="F3918" s="29">
        <f ca="1">F3922</f>
        <v>0</v>
      </c>
      <c r="G3918" s="27">
        <f ca="1">ROUND(E3918*F3918,2)</f>
        <v>0</v>
      </c>
    </row>
    <row r="3919" spans="1:7" ht="24.36" thickBot="1" customHeight="1">
      <c r="A3919" s="24" t="s">
        <v>12143</v>
      </c>
      <c r="B3919" s="24" t="s">
        <v>12144</v>
      </c>
      <c r="C3919" s="24" t="s">
        <v>12145</v>
      </c>
      <c r="D3919" s="25" t="s">
        <v>12146</v>
      </c>
      <c r="E3919" s="28">
        <v>1.00000</v>
      </c>
      <c r="F3919" s="29">
        <f ca="1">ROUND(21.000,3)</f>
        <v>0</v>
      </c>
      <c r="G3919" s="27">
        <f ca="1">ROUND(E3919*F3919,2)</f>
        <v>0</v>
      </c>
    </row>
    <row r="3920" spans="1:7" ht="24.36" thickBot="1" customHeight="1">
      <c r="A3920" s="24" t="s">
        <v>12147</v>
      </c>
      <c r="B3920" s="24" t="s">
        <v>12148</v>
      </c>
      <c r="C3920" s="24" t="s">
        <v>12149</v>
      </c>
      <c r="D3920" s="25" t="s">
        <v>12150</v>
      </c>
      <c r="E3920" s="28">
        <v>1.00000</v>
      </c>
      <c r="F3920" s="29">
        <f ca="1">ROUND(19.000,3)</f>
        <v>0</v>
      </c>
      <c r="G3920" s="27">
        <f ca="1">ROUND(E3920*F3920,2)</f>
        <v>0</v>
      </c>
    </row>
    <row r="3921" spans="1:7" ht="24.36" thickBot="1" customHeight="1">
      <c r="A3921" s="24" t="s">
        <v>12151</v>
      </c>
      <c r="B3921" s="24" t="s">
        <v>12152</v>
      </c>
      <c r="C3921" s="24" t="s">
        <v>12153</v>
      </c>
      <c r="D3921" s="25" t="s">
        <v>12154</v>
      </c>
      <c r="E3921" s="28">
        <v>0.20000</v>
      </c>
      <c r="F3921" s="29">
        <f ca="1">ROUND(19.000,3)</f>
        <v>0</v>
      </c>
      <c r="G3921" s="27">
        <f ca="1">ROUND(E3921*F3921,2)</f>
        <v>0</v>
      </c>
    </row>
    <row r="3922" spans="1:7" ht="15.12" thickBot="1" customHeight="1">
      <c r="A3922" s="26"/>
      <c r="B3922" s="26"/>
      <c r="C3922" s="26"/>
      <c r="D3922" s="24" t="s">
        <v>12155</v>
      </c>
      <c r="E3922" s="28">
        <v>0.25000</v>
      </c>
      <c r="F3922" s="29">
        <f ca="1">ROUND((G3919+G3920+G3921),3)</f>
        <v>0</v>
      </c>
      <c r="G3922" s="27">
        <f ca="1">ROUND(E3922*F3922,2)</f>
        <v>0</v>
      </c>
    </row>
    <row r="3923" spans="1:7" ht="15.12" thickBot="1" customHeight="1">
      <c r="A3923" s="24" t="s">
        <v>12156</v>
      </c>
      <c r="B3923" s="24"/>
      <c r="C3923" s="24" t="s">
        <v>12157</v>
      </c>
      <c r="D3923" s="25" t="s">
        <v>12158</v>
      </c>
      <c r="E3923" s="28">
        <v>3.00000</v>
      </c>
      <c r="F3923" s="29">
        <f ca="1">ROUND(10.950,3)</f>
        <v>0</v>
      </c>
      <c r="G3923" s="27">
        <f ca="1">ROUND((E3923*F3923)/100,2)</f>
        <v>0</v>
      </c>
    </row>
    <row r="3924" spans="1:7" ht="15.48" thickBot="1" customHeight="1">
      <c r="A3924" s="30"/>
      <c r="B3924" s="30"/>
      <c r="C3924" s="30"/>
      <c r="D3924" s="31" t="s">
        <v>12159</v>
      </c>
      <c r="E3924" s="30"/>
      <c r="F3924" s="33">
        <f ca="1">ROUND((G3910+G3911+G3912+G3913+G3914+G3915+G3916+G3917+G3918+G3923)*(1+G2/100),2)</f>
        <v>0</v>
      </c>
      <c r="G3924" s="30"/>
    </row>
    <row r="3925" spans="1:7" ht="30.60" thickBot="1" customHeight="1">
      <c r="A3925" s="34" t="s">
        <v>12160</v>
      </c>
      <c r="B3925" s="35" t="s">
        <v>12161</v>
      </c>
      <c r="C3925" s="35" t="s">
        <v>12162</v>
      </c>
      <c r="D3925" s="36" t="s">
        <v>12163</v>
      </c>
      <c r="E3925" s="37"/>
      <c r="F3925" s="38">
        <f ca="1">F3935</f>
        <v>0</v>
      </c>
      <c r="G3925" s="37"/>
    </row>
    <row r="3926" spans="1:7" ht="12.12" thickBot="1" customHeight="1">
      <c r="A3926" s="26"/>
      <c r="B3926" s="26"/>
      <c r="C3926" s="26"/>
      <c r="D3926" s="25" t="s">
        <v>12164</v>
      </c>
      <c r="E3926" s="25"/>
      <c r="F3926" s="25"/>
      <c r="G3926" s="25"/>
    </row>
    <row r="3927" spans="1:7" ht="49.08" thickBot="1" customHeight="1">
      <c r="A3927" s="24" t="s">
        <v>12165</v>
      </c>
      <c r="B3927" s="24" t="s">
        <v>12166</v>
      </c>
      <c r="C3927" s="24" t="s">
        <v>12167</v>
      </c>
      <c r="D3927" s="25" t="s">
        <v>12168</v>
      </c>
      <c r="E3927" s="28">
        <v>2.01600</v>
      </c>
      <c r="F3927" s="29">
        <f ca="1">ROUND(4.350,3)</f>
        <v>0</v>
      </c>
      <c r="G3927" s="27">
        <f ca="1">ROUND(E3927*F3927,2)</f>
        <v>0</v>
      </c>
    </row>
    <row r="3928" spans="1:7" ht="30.60" thickBot="1" customHeight="1">
      <c r="A3928" s="24" t="s">
        <v>12169</v>
      </c>
      <c r="B3928" s="24" t="s">
        <v>12170</v>
      </c>
      <c r="C3928" s="24" t="s">
        <v>12171</v>
      </c>
      <c r="D3928" s="25" t="s">
        <v>12172</v>
      </c>
      <c r="E3928" s="28">
        <v>0.02200</v>
      </c>
      <c r="F3928" s="29">
        <f ca="1">ROUND(27.500,3)</f>
        <v>0</v>
      </c>
      <c r="G3928" s="27">
        <f ca="1">ROUND(E3928*F3928,2)</f>
        <v>0</v>
      </c>
    </row>
    <row r="3929" spans="1:7" ht="21.36" thickBot="1" customHeight="1">
      <c r="A3929" s="24" t="s">
        <v>12173</v>
      </c>
      <c r="B3929" s="24" t="s">
        <v>12174</v>
      </c>
      <c r="C3929" s="24" t="s">
        <v>12175</v>
      </c>
      <c r="D3929" s="25" t="s">
        <v>12176</v>
      </c>
      <c r="E3929" s="28">
        <v>0.66667</v>
      </c>
      <c r="F3929" s="29">
        <f ca="1">F3933</f>
        <v>0</v>
      </c>
      <c r="G3929" s="27">
        <f ca="1">ROUND(E3929*F3929,2)</f>
        <v>0</v>
      </c>
    </row>
    <row r="3930" spans="1:7" ht="24.36" thickBot="1" customHeight="1">
      <c r="A3930" s="24" t="s">
        <v>12177</v>
      </c>
      <c r="B3930" s="24" t="s">
        <v>12178</v>
      </c>
      <c r="C3930" s="24" t="s">
        <v>12179</v>
      </c>
      <c r="D3930" s="25" t="s">
        <v>12180</v>
      </c>
      <c r="E3930" s="28">
        <v>1.00000</v>
      </c>
      <c r="F3930" s="29">
        <f ca="1">ROUND(21.000,3)</f>
        <v>0</v>
      </c>
      <c r="G3930" s="27">
        <f ca="1">ROUND(E3930*F3930,2)</f>
        <v>0</v>
      </c>
    </row>
    <row r="3931" spans="1:7" ht="24.36" thickBot="1" customHeight="1">
      <c r="A3931" s="24" t="s">
        <v>12181</v>
      </c>
      <c r="B3931" s="24" t="s">
        <v>12182</v>
      </c>
      <c r="C3931" s="24" t="s">
        <v>12183</v>
      </c>
      <c r="D3931" s="25" t="s">
        <v>12184</v>
      </c>
      <c r="E3931" s="28">
        <v>1.00000</v>
      </c>
      <c r="F3931" s="29">
        <f ca="1">ROUND(19.000,3)</f>
        <v>0</v>
      </c>
      <c r="G3931" s="27">
        <f ca="1">ROUND(E3931*F3931,2)</f>
        <v>0</v>
      </c>
    </row>
    <row r="3932" spans="1:7" ht="24.36" thickBot="1" customHeight="1">
      <c r="A3932" s="24" t="s">
        <v>12185</v>
      </c>
      <c r="B3932" s="24" t="s">
        <v>12186</v>
      </c>
      <c r="C3932" s="24" t="s">
        <v>12187</v>
      </c>
      <c r="D3932" s="25" t="s">
        <v>12188</v>
      </c>
      <c r="E3932" s="28">
        <v>0.20000</v>
      </c>
      <c r="F3932" s="29">
        <f ca="1">ROUND(19.000,3)</f>
        <v>0</v>
      </c>
      <c r="G3932" s="27">
        <f ca="1">ROUND(E3932*F3932,2)</f>
        <v>0</v>
      </c>
    </row>
    <row r="3933" spans="1:7" ht="15.12" thickBot="1" customHeight="1">
      <c r="A3933" s="26"/>
      <c r="B3933" s="26"/>
      <c r="C3933" s="26"/>
      <c r="D3933" s="24" t="s">
        <v>12189</v>
      </c>
      <c r="E3933" s="28">
        <v>0.66667</v>
      </c>
      <c r="F3933" s="29">
        <f ca="1">ROUND((G3930+G3931+G3932),3)</f>
        <v>0</v>
      </c>
      <c r="G3933" s="27">
        <f ca="1">ROUND(E3933*F3933,2)</f>
        <v>0</v>
      </c>
    </row>
    <row r="3934" spans="1:7" ht="15.12" thickBot="1" customHeight="1">
      <c r="A3934" s="24" t="s">
        <v>12190</v>
      </c>
      <c r="B3934" s="24"/>
      <c r="C3934" s="24" t="s">
        <v>12191</v>
      </c>
      <c r="D3934" s="25" t="s">
        <v>12192</v>
      </c>
      <c r="E3934" s="28">
        <v>5.00000</v>
      </c>
      <c r="F3934" s="29">
        <f ca="1">ROUND(29.200,3)</f>
        <v>0</v>
      </c>
      <c r="G3934" s="27">
        <f ca="1">ROUND((E3934*F3934)/100,2)</f>
        <v>0</v>
      </c>
    </row>
    <row r="3935" spans="1:7" ht="15.48" thickBot="1" customHeight="1">
      <c r="A3935" s="30"/>
      <c r="B3935" s="30"/>
      <c r="C3935" s="30"/>
      <c r="D3935" s="31" t="s">
        <v>12193</v>
      </c>
      <c r="E3935" s="30"/>
      <c r="F3935" s="33">
        <f ca="1">ROUND((G3927+G3928+G3929+G3934)*(1+G2/100),2)</f>
        <v>0</v>
      </c>
      <c r="G3935" s="30"/>
    </row>
    <row r="3936" spans="1:7" ht="21.36" thickBot="1" customHeight="1">
      <c r="A3936" s="34" t="s">
        <v>12194</v>
      </c>
      <c r="B3936" s="35" t="s">
        <v>12195</v>
      </c>
      <c r="C3936" s="35" t="s">
        <v>12196</v>
      </c>
      <c r="D3936" s="36" t="s">
        <v>12197</v>
      </c>
      <c r="E3936" s="37"/>
      <c r="F3936" s="38">
        <f ca="1">F3948</f>
        <v>0</v>
      </c>
      <c r="G3936" s="37"/>
    </row>
    <row r="3937" spans="1:7" ht="39.84" thickBot="1" customHeight="1">
      <c r="A3937" s="26"/>
      <c r="B3937" s="26"/>
      <c r="C3937" s="26"/>
      <c r="D3937" s="25" t="s">
        <v>12198</v>
      </c>
      <c r="E3937" s="25"/>
      <c r="F3937" s="25"/>
      <c r="G3937" s="25"/>
    </row>
    <row r="3938" spans="1:7" ht="30.60" thickBot="1" customHeight="1">
      <c r="A3938" s="24" t="s">
        <v>12199</v>
      </c>
      <c r="B3938" s="24" t="s">
        <v>12200</v>
      </c>
      <c r="C3938" s="24" t="s">
        <v>12201</v>
      </c>
      <c r="D3938" s="25" t="s">
        <v>12202</v>
      </c>
      <c r="E3938" s="28">
        <v>0.30000</v>
      </c>
      <c r="F3938" s="29">
        <f ca="1">ROUND(0.500,3)</f>
        <v>0</v>
      </c>
      <c r="G3938" s="27">
        <f ca="1">ROUND(E3938*F3938,2)</f>
        <v>0</v>
      </c>
    </row>
    <row r="3939" spans="1:7" ht="39.84" thickBot="1" customHeight="1">
      <c r="A3939" s="24" t="s">
        <v>12203</v>
      </c>
      <c r="B3939" s="24" t="s">
        <v>12204</v>
      </c>
      <c r="C3939" s="24" t="s">
        <v>12205</v>
      </c>
      <c r="D3939" s="25" t="s">
        <v>12206</v>
      </c>
      <c r="E3939" s="28">
        <v>1.00000</v>
      </c>
      <c r="F3939" s="29">
        <f ca="1">ROUND(14.550,3)</f>
        <v>0</v>
      </c>
      <c r="G3939" s="27">
        <f ca="1">ROUND(E3939*F3939,2)</f>
        <v>0</v>
      </c>
    </row>
    <row r="3940" spans="1:7" ht="21.36" thickBot="1" customHeight="1">
      <c r="A3940" s="24" t="s">
        <v>12207</v>
      </c>
      <c r="B3940" s="24" t="s">
        <v>12208</v>
      </c>
      <c r="C3940" s="24" t="s">
        <v>12209</v>
      </c>
      <c r="D3940" s="25" t="s">
        <v>12210</v>
      </c>
      <c r="E3940" s="28">
        <v>0.01600</v>
      </c>
      <c r="F3940" s="29">
        <f ca="1">ROUND(5.400,3)</f>
        <v>0</v>
      </c>
      <c r="G3940" s="27">
        <f ca="1">ROUND(E3940*F3940,2)</f>
        <v>0</v>
      </c>
    </row>
    <row r="3941" spans="1:7" ht="21.36" thickBot="1" customHeight="1">
      <c r="A3941" s="24" t="s">
        <v>12211</v>
      </c>
      <c r="B3941" s="24" t="s">
        <v>12212</v>
      </c>
      <c r="C3941" s="24" t="s">
        <v>12213</v>
      </c>
      <c r="D3941" s="25" t="s">
        <v>12214</v>
      </c>
      <c r="E3941" s="28">
        <v>0.03200</v>
      </c>
      <c r="F3941" s="29">
        <f ca="1">ROUND(7.390,3)</f>
        <v>0</v>
      </c>
      <c r="G3941" s="27">
        <f ca="1">ROUND(E3941*F3941,2)</f>
        <v>0</v>
      </c>
    </row>
    <row r="3942" spans="1:7" ht="21.36" thickBot="1" customHeight="1">
      <c r="A3942" s="24" t="s">
        <v>12215</v>
      </c>
      <c r="B3942" s="24" t="s">
        <v>12216</v>
      </c>
      <c r="C3942" s="24" t="s">
        <v>12217</v>
      </c>
      <c r="D3942" s="25" t="s">
        <v>12218</v>
      </c>
      <c r="E3942" s="28">
        <v>0.20000</v>
      </c>
      <c r="F3942" s="29">
        <f ca="1">F3946</f>
        <v>0</v>
      </c>
      <c r="G3942" s="27">
        <f ca="1">ROUND(E3942*F3942,2)</f>
        <v>0</v>
      </c>
    </row>
    <row r="3943" spans="1:7" ht="24.36" thickBot="1" customHeight="1">
      <c r="A3943" s="24" t="s">
        <v>12219</v>
      </c>
      <c r="B3943" s="24" t="s">
        <v>12220</v>
      </c>
      <c r="C3943" s="24" t="s">
        <v>12221</v>
      </c>
      <c r="D3943" s="25" t="s">
        <v>12222</v>
      </c>
      <c r="E3943" s="28">
        <v>1.00000</v>
      </c>
      <c r="F3943" s="29">
        <f ca="1">ROUND(21.000,3)</f>
        <v>0</v>
      </c>
      <c r="G3943" s="27">
        <f ca="1">ROUND(E3943*F3943,2)</f>
        <v>0</v>
      </c>
    </row>
    <row r="3944" spans="1:7" ht="24.36" thickBot="1" customHeight="1">
      <c r="A3944" s="24" t="s">
        <v>12223</v>
      </c>
      <c r="B3944" s="24" t="s">
        <v>12224</v>
      </c>
      <c r="C3944" s="24" t="s">
        <v>12225</v>
      </c>
      <c r="D3944" s="25" t="s">
        <v>12226</v>
      </c>
      <c r="E3944" s="28">
        <v>1.00000</v>
      </c>
      <c r="F3944" s="29">
        <f ca="1">ROUND(19.000,3)</f>
        <v>0</v>
      </c>
      <c r="G3944" s="27">
        <f ca="1">ROUND(E3944*F3944,2)</f>
        <v>0</v>
      </c>
    </row>
    <row r="3945" spans="1:7" ht="24.36" thickBot="1" customHeight="1">
      <c r="A3945" s="24" t="s">
        <v>12227</v>
      </c>
      <c r="B3945" s="24" t="s">
        <v>12228</v>
      </c>
      <c r="C3945" s="24" t="s">
        <v>12229</v>
      </c>
      <c r="D3945" s="25" t="s">
        <v>12230</v>
      </c>
      <c r="E3945" s="28">
        <v>0.20000</v>
      </c>
      <c r="F3945" s="29">
        <f ca="1">ROUND(19.000,3)</f>
        <v>0</v>
      </c>
      <c r="G3945" s="27">
        <f ca="1">ROUND(E3945*F3945,2)</f>
        <v>0</v>
      </c>
    </row>
    <row r="3946" spans="1:7" ht="15.12" thickBot="1" customHeight="1">
      <c r="A3946" s="26"/>
      <c r="B3946" s="26"/>
      <c r="C3946" s="26"/>
      <c r="D3946" s="24" t="s">
        <v>12231</v>
      </c>
      <c r="E3946" s="28">
        <v>0.20000</v>
      </c>
      <c r="F3946" s="29">
        <f ca="1">ROUND((G3943+G3944+G3945),3)</f>
        <v>0</v>
      </c>
      <c r="G3946" s="27">
        <f ca="1">ROUND(E3946*F3946,2)</f>
        <v>0</v>
      </c>
    </row>
    <row r="3947" spans="1:7" ht="15.12" thickBot="1" customHeight="1">
      <c r="A3947" s="24" t="s">
        <v>12232</v>
      </c>
      <c r="B3947" s="24"/>
      <c r="C3947" s="24" t="s">
        <v>12233</v>
      </c>
      <c r="D3947" s="25" t="s">
        <v>12234</v>
      </c>
      <c r="E3947" s="28">
        <v>3.00000</v>
      </c>
      <c r="F3947" s="29">
        <f ca="1">ROUND(8.760,3)</f>
        <v>0</v>
      </c>
      <c r="G3947" s="27">
        <f ca="1">ROUND((E3947*F3947)/100,2)</f>
        <v>0</v>
      </c>
    </row>
    <row r="3948" spans="1:7" ht="15.48" thickBot="1" customHeight="1">
      <c r="A3948" s="30"/>
      <c r="B3948" s="30"/>
      <c r="C3948" s="30"/>
      <c r="D3948" s="31" t="s">
        <v>12235</v>
      </c>
      <c r="E3948" s="30"/>
      <c r="F3948" s="33">
        <f ca="1">ROUND((G3938+G3939+G3940+G3941+G3942+G3947)*(1+G2/100),2)</f>
        <v>0</v>
      </c>
      <c r="G3948" s="30"/>
    </row>
    <row r="3949" spans="1:7" ht="21.36" thickBot="1" customHeight="1">
      <c r="A3949" s="34" t="s">
        <v>12236</v>
      </c>
      <c r="B3949" s="35" t="s">
        <v>12237</v>
      </c>
      <c r="C3949" s="35" t="s">
        <v>12238</v>
      </c>
      <c r="D3949" s="36" t="s">
        <v>12239</v>
      </c>
      <c r="E3949" s="37"/>
      <c r="F3949" s="38">
        <f ca="1">F3958</f>
        <v>0</v>
      </c>
      <c r="G3949" s="37"/>
    </row>
    <row r="3950" spans="1:7" ht="30.60" thickBot="1" customHeight="1">
      <c r="A3950" s="26"/>
      <c r="B3950" s="26"/>
      <c r="C3950" s="26"/>
      <c r="D3950" s="25" t="s">
        <v>12240</v>
      </c>
      <c r="E3950" s="25"/>
      <c r="F3950" s="25"/>
      <c r="G3950" s="25"/>
    </row>
    <row r="3951" spans="1:7" ht="30.60" thickBot="1" customHeight="1">
      <c r="A3951" s="24" t="s">
        <v>12241</v>
      </c>
      <c r="B3951" s="24" t="s">
        <v>12242</v>
      </c>
      <c r="C3951" s="24" t="s">
        <v>12243</v>
      </c>
      <c r="D3951" s="25" t="s">
        <v>12244</v>
      </c>
      <c r="E3951" s="28">
        <v>0.10000</v>
      </c>
      <c r="F3951" s="29">
        <f ca="1">ROUND(6.190,3)</f>
        <v>0</v>
      </c>
      <c r="G3951" s="27">
        <f ca="1">ROUND(E3951*F3951,2)</f>
        <v>0</v>
      </c>
    </row>
    <row r="3952" spans="1:7" ht="21.36" thickBot="1" customHeight="1">
      <c r="A3952" s="24" t="s">
        <v>12245</v>
      </c>
      <c r="B3952" s="24" t="s">
        <v>12246</v>
      </c>
      <c r="C3952" s="24" t="s">
        <v>12247</v>
      </c>
      <c r="D3952" s="25" t="s">
        <v>12248</v>
      </c>
      <c r="E3952" s="28">
        <v>0.15000</v>
      </c>
      <c r="F3952" s="29">
        <f ca="1">F3956</f>
        <v>0</v>
      </c>
      <c r="G3952" s="27">
        <f ca="1">ROUND(E3952*F3952,2)</f>
        <v>0</v>
      </c>
    </row>
    <row r="3953" spans="1:7" ht="24.36" thickBot="1" customHeight="1">
      <c r="A3953" s="24" t="s">
        <v>12249</v>
      </c>
      <c r="B3953" s="24" t="s">
        <v>12250</v>
      </c>
      <c r="C3953" s="24" t="s">
        <v>12251</v>
      </c>
      <c r="D3953" s="25" t="s">
        <v>12252</v>
      </c>
      <c r="E3953" s="28">
        <v>1.00000</v>
      </c>
      <c r="F3953" s="29">
        <f ca="1">ROUND(21.000,3)</f>
        <v>0</v>
      </c>
      <c r="G3953" s="27">
        <f ca="1">ROUND(E3953*F3953,2)</f>
        <v>0</v>
      </c>
    </row>
    <row r="3954" spans="1:7" ht="24.36" thickBot="1" customHeight="1">
      <c r="A3954" s="24" t="s">
        <v>12253</v>
      </c>
      <c r="B3954" s="24" t="s">
        <v>12254</v>
      </c>
      <c r="C3954" s="24" t="s">
        <v>12255</v>
      </c>
      <c r="D3954" s="25" t="s">
        <v>12256</v>
      </c>
      <c r="E3954" s="28">
        <v>1.00000</v>
      </c>
      <c r="F3954" s="29">
        <f ca="1">ROUND(19.000,3)</f>
        <v>0</v>
      </c>
      <c r="G3954" s="27">
        <f ca="1">ROUND(E3954*F3954,2)</f>
        <v>0</v>
      </c>
    </row>
    <row r="3955" spans="1:7" ht="24.36" thickBot="1" customHeight="1">
      <c r="A3955" s="24" t="s">
        <v>12257</v>
      </c>
      <c r="B3955" s="24" t="s">
        <v>12258</v>
      </c>
      <c r="C3955" s="24" t="s">
        <v>12259</v>
      </c>
      <c r="D3955" s="25" t="s">
        <v>12260</v>
      </c>
      <c r="E3955" s="28">
        <v>0.20000</v>
      </c>
      <c r="F3955" s="29">
        <f ca="1">ROUND(19.000,3)</f>
        <v>0</v>
      </c>
      <c r="G3955" s="27">
        <f ca="1">ROUND(E3955*F3955,2)</f>
        <v>0</v>
      </c>
    </row>
    <row r="3956" spans="1:7" ht="15.12" thickBot="1" customHeight="1">
      <c r="A3956" s="26"/>
      <c r="B3956" s="26"/>
      <c r="C3956" s="26"/>
      <c r="D3956" s="24" t="s">
        <v>12261</v>
      </c>
      <c r="E3956" s="28">
        <v>0.15000</v>
      </c>
      <c r="F3956" s="29">
        <f ca="1">ROUND((G3953+G3954+G3955),3)</f>
        <v>0</v>
      </c>
      <c r="G3956" s="27">
        <f ca="1">ROUND(E3956*F3956,2)</f>
        <v>0</v>
      </c>
    </row>
    <row r="3957" spans="1:7" ht="15.12" thickBot="1" customHeight="1">
      <c r="A3957" s="24" t="s">
        <v>12262</v>
      </c>
      <c r="B3957" s="24"/>
      <c r="C3957" s="24" t="s">
        <v>12263</v>
      </c>
      <c r="D3957" s="25" t="s">
        <v>12264</v>
      </c>
      <c r="E3957" s="28">
        <v>3.00000</v>
      </c>
      <c r="F3957" s="29">
        <f ca="1">ROUND(6.570,3)</f>
        <v>0</v>
      </c>
      <c r="G3957" s="27">
        <f ca="1">ROUND((E3957*F3957)/100,2)</f>
        <v>0</v>
      </c>
    </row>
    <row r="3958" spans="1:7" ht="15.48" thickBot="1" customHeight="1">
      <c r="A3958" s="30"/>
      <c r="B3958" s="30"/>
      <c r="C3958" s="30"/>
      <c r="D3958" s="31" t="s">
        <v>12265</v>
      </c>
      <c r="E3958" s="30"/>
      <c r="F3958" s="33">
        <f ca="1">ROUND((G3951+G3952+G3957)*(1+G2/100),2)</f>
        <v>0</v>
      </c>
      <c r="G3958" s="30"/>
    </row>
    <row r="3959" spans="1:7" ht="58.32" thickBot="1" customHeight="1">
      <c r="A3959" s="34" t="s">
        <v>12266</v>
      </c>
      <c r="B3959" s="35" t="s">
        <v>12267</v>
      </c>
      <c r="C3959" s="35" t="s">
        <v>12268</v>
      </c>
      <c r="D3959" s="36" t="s">
        <v>12269</v>
      </c>
      <c r="E3959" s="37"/>
      <c r="F3959" s="38">
        <f ca="1">F3978</f>
        <v>0</v>
      </c>
      <c r="G3959" s="37"/>
    </row>
    <row r="3960" spans="1:7" ht="39.84" thickBot="1" customHeight="1">
      <c r="A3960" s="26"/>
      <c r="B3960" s="26"/>
      <c r="C3960" s="26"/>
      <c r="D3960" s="25" t="s">
        <v>12270</v>
      </c>
      <c r="E3960" s="25"/>
      <c r="F3960" s="25"/>
      <c r="G3960" s="25"/>
    </row>
    <row r="3961" spans="1:7" ht="30.60" thickBot="1" customHeight="1">
      <c r="A3961" s="24" t="s">
        <v>12271</v>
      </c>
      <c r="B3961" s="24" t="s">
        <v>12272</v>
      </c>
      <c r="C3961" s="24" t="s">
        <v>12273</v>
      </c>
      <c r="D3961" s="25" t="s">
        <v>12274</v>
      </c>
      <c r="E3961" s="28">
        <v>0.30000</v>
      </c>
      <c r="F3961" s="29">
        <f ca="1">ROUND(4.920,3)</f>
        <v>0</v>
      </c>
      <c r="G3961" s="27">
        <f ca="1">ROUND(E3961*F3961,2)</f>
        <v>0</v>
      </c>
    </row>
    <row r="3962" spans="1:7" ht="21.36" thickBot="1" customHeight="1">
      <c r="A3962" s="24" t="s">
        <v>12275</v>
      </c>
      <c r="B3962" s="24" t="s">
        <v>12276</v>
      </c>
      <c r="C3962" s="24" t="s">
        <v>12277</v>
      </c>
      <c r="D3962" s="25" t="s">
        <v>12278</v>
      </c>
      <c r="E3962" s="28">
        <v>0.33333</v>
      </c>
      <c r="F3962" s="29">
        <f ca="1">ROUND(2.000,3)</f>
        <v>0</v>
      </c>
      <c r="G3962" s="27">
        <f ca="1">ROUND(E3962*F3962,2)</f>
        <v>0</v>
      </c>
    </row>
    <row r="3963" spans="1:7" ht="30.60" thickBot="1" customHeight="1">
      <c r="A3963" s="24" t="s">
        <v>12279</v>
      </c>
      <c r="B3963" s="24" t="s">
        <v>12280</v>
      </c>
      <c r="C3963" s="24" t="s">
        <v>12281</v>
      </c>
      <c r="D3963" s="25" t="s">
        <v>12282</v>
      </c>
      <c r="E3963" s="28">
        <v>0.05000</v>
      </c>
      <c r="F3963" s="29">
        <f ca="1">ROUND(8.810,3)</f>
        <v>0</v>
      </c>
      <c r="G3963" s="27">
        <f ca="1">ROUND(E3963*F3963,2)</f>
        <v>0</v>
      </c>
    </row>
    <row r="3964" spans="1:7" ht="39.84" thickBot="1" customHeight="1">
      <c r="A3964" s="24" t="s">
        <v>12283</v>
      </c>
      <c r="B3964" s="24" t="s">
        <v>12284</v>
      </c>
      <c r="C3964" s="24" t="s">
        <v>12285</v>
      </c>
      <c r="D3964" s="25" t="s">
        <v>12286</v>
      </c>
      <c r="E3964" s="28">
        <v>0.33333</v>
      </c>
      <c r="F3964" s="29">
        <f ca="1">ROUND(1.750,3)</f>
        <v>0</v>
      </c>
      <c r="G3964" s="27">
        <f ca="1">ROUND(E3964*F3964,2)</f>
        <v>0</v>
      </c>
    </row>
    <row r="3965" spans="1:7" ht="30.60" thickBot="1" customHeight="1">
      <c r="A3965" s="24" t="s">
        <v>12287</v>
      </c>
      <c r="B3965" s="24" t="s">
        <v>12288</v>
      </c>
      <c r="C3965" s="24" t="s">
        <v>12289</v>
      </c>
      <c r="D3965" s="25" t="s">
        <v>12290</v>
      </c>
      <c r="E3965" s="28">
        <v>0.20000</v>
      </c>
      <c r="F3965" s="29">
        <f ca="1">ROUND(3.740,3)</f>
        <v>0</v>
      </c>
      <c r="G3965" s="27">
        <f ca="1">ROUND(E3965*F3965,2)</f>
        <v>0</v>
      </c>
    </row>
    <row r="3966" spans="1:7" ht="30.60" thickBot="1" customHeight="1">
      <c r="A3966" s="24" t="s">
        <v>12291</v>
      </c>
      <c r="B3966" s="24" t="s">
        <v>12292</v>
      </c>
      <c r="C3966" s="24" t="s">
        <v>12293</v>
      </c>
      <c r="D3966" s="25" t="s">
        <v>12294</v>
      </c>
      <c r="E3966" s="28">
        <v>0.33000</v>
      </c>
      <c r="F3966" s="29">
        <f ca="1">ROUND(6.140,3)</f>
        <v>0</v>
      </c>
      <c r="G3966" s="27">
        <f ca="1">ROUND(E3966*F3966,2)</f>
        <v>0</v>
      </c>
    </row>
    <row r="3967" spans="1:7" ht="39.84" thickBot="1" customHeight="1">
      <c r="A3967" s="24" t="s">
        <v>12295</v>
      </c>
      <c r="B3967" s="24" t="s">
        <v>12296</v>
      </c>
      <c r="C3967" s="24" t="s">
        <v>12297</v>
      </c>
      <c r="D3967" s="25" t="s">
        <v>12298</v>
      </c>
      <c r="E3967" s="28">
        <v>0.22987</v>
      </c>
      <c r="F3967" s="29">
        <f ca="1">ROUND(7.370,3)</f>
        <v>0</v>
      </c>
      <c r="G3967" s="27">
        <f ca="1">ROUND(E3967*F3967,2)</f>
        <v>0</v>
      </c>
    </row>
    <row r="3968" spans="1:7" ht="30.60" thickBot="1" customHeight="1">
      <c r="A3968" s="24" t="s">
        <v>12299</v>
      </c>
      <c r="B3968" s="24" t="s">
        <v>12300</v>
      </c>
      <c r="C3968" s="24" t="s">
        <v>12301</v>
      </c>
      <c r="D3968" s="25" t="s">
        <v>12302</v>
      </c>
      <c r="E3968" s="28">
        <v>3.00000</v>
      </c>
      <c r="F3968" s="29">
        <f ca="1">ROUND(4.960,3)</f>
        <v>0</v>
      </c>
      <c r="G3968" s="27">
        <f ca="1">ROUND(E3968*F3968,2)</f>
        <v>0</v>
      </c>
    </row>
    <row r="3969" spans="1:7" ht="49.08" thickBot="1" customHeight="1">
      <c r="A3969" s="24" t="s">
        <v>12303</v>
      </c>
      <c r="B3969" s="24" t="s">
        <v>12304</v>
      </c>
      <c r="C3969" s="24" t="s">
        <v>12305</v>
      </c>
      <c r="D3969" s="25" t="s">
        <v>12306</v>
      </c>
      <c r="E3969" s="28">
        <v>0.02500</v>
      </c>
      <c r="F3969" s="29">
        <f ca="1">ROUND(45.570,3)</f>
        <v>0</v>
      </c>
      <c r="G3969" s="27">
        <f ca="1">ROUND(E3969*F3969,2)</f>
        <v>0</v>
      </c>
    </row>
    <row r="3970" spans="1:7" ht="30.60" thickBot="1" customHeight="1">
      <c r="A3970" s="24" t="s">
        <v>12307</v>
      </c>
      <c r="B3970" s="24" t="s">
        <v>12308</v>
      </c>
      <c r="C3970" s="24" t="s">
        <v>12309</v>
      </c>
      <c r="D3970" s="25" t="s">
        <v>12310</v>
      </c>
      <c r="E3970" s="28">
        <v>0.25000</v>
      </c>
      <c r="F3970" s="29">
        <f ca="1">ROUND(17.450,3)</f>
        <v>0</v>
      </c>
      <c r="G3970" s="27">
        <f ca="1">ROUND(E3970*F3970,2)</f>
        <v>0</v>
      </c>
    </row>
    <row r="3971" spans="1:7" ht="30.60" thickBot="1" customHeight="1">
      <c r="A3971" s="24" t="s">
        <v>12311</v>
      </c>
      <c r="B3971" s="24" t="s">
        <v>12312</v>
      </c>
      <c r="C3971" s="24" t="s">
        <v>12313</v>
      </c>
      <c r="D3971" s="25" t="s">
        <v>12314</v>
      </c>
      <c r="E3971" s="28">
        <v>0.00400</v>
      </c>
      <c r="F3971" s="29">
        <f ca="1">ROUND(27.500,3)</f>
        <v>0</v>
      </c>
      <c r="G3971" s="27">
        <f ca="1">ROUND(E3971*F3971,2)</f>
        <v>0</v>
      </c>
    </row>
    <row r="3972" spans="1:7" ht="21.36" thickBot="1" customHeight="1">
      <c r="A3972" s="24" t="s">
        <v>12315</v>
      </c>
      <c r="B3972" s="24" t="s">
        <v>12316</v>
      </c>
      <c r="C3972" s="24" t="s">
        <v>12317</v>
      </c>
      <c r="D3972" s="25" t="s">
        <v>12318</v>
      </c>
      <c r="E3972" s="28">
        <v>0.80000</v>
      </c>
      <c r="F3972" s="29">
        <f ca="1">F3976</f>
        <v>0</v>
      </c>
      <c r="G3972" s="27">
        <f ca="1">ROUND(E3972*F3972,2)</f>
        <v>0</v>
      </c>
    </row>
    <row r="3973" spans="1:7" ht="24.36" thickBot="1" customHeight="1">
      <c r="A3973" s="24" t="s">
        <v>12319</v>
      </c>
      <c r="B3973" s="24" t="s">
        <v>12320</v>
      </c>
      <c r="C3973" s="24" t="s">
        <v>12321</v>
      </c>
      <c r="D3973" s="25" t="s">
        <v>12322</v>
      </c>
      <c r="E3973" s="28">
        <v>1.00000</v>
      </c>
      <c r="F3973" s="29">
        <f ca="1">ROUND(21.000,3)</f>
        <v>0</v>
      </c>
      <c r="G3973" s="27">
        <f ca="1">ROUND(E3973*F3973,2)</f>
        <v>0</v>
      </c>
    </row>
    <row r="3974" spans="1:7" ht="24.36" thickBot="1" customHeight="1">
      <c r="A3974" s="24" t="s">
        <v>12323</v>
      </c>
      <c r="B3974" s="24" t="s">
        <v>12324</v>
      </c>
      <c r="C3974" s="24" t="s">
        <v>12325</v>
      </c>
      <c r="D3974" s="25" t="s">
        <v>12326</v>
      </c>
      <c r="E3974" s="28">
        <v>1.00000</v>
      </c>
      <c r="F3974" s="29">
        <f ca="1">ROUND(19.000,3)</f>
        <v>0</v>
      </c>
      <c r="G3974" s="27">
        <f ca="1">ROUND(E3974*F3974,2)</f>
        <v>0</v>
      </c>
    </row>
    <row r="3975" spans="1:7" ht="24.36" thickBot="1" customHeight="1">
      <c r="A3975" s="24" t="s">
        <v>12327</v>
      </c>
      <c r="B3975" s="24" t="s">
        <v>12328</v>
      </c>
      <c r="C3975" s="24" t="s">
        <v>12329</v>
      </c>
      <c r="D3975" s="25" t="s">
        <v>12330</v>
      </c>
      <c r="E3975" s="28">
        <v>0.20000</v>
      </c>
      <c r="F3975" s="29">
        <f ca="1">ROUND(19.000,3)</f>
        <v>0</v>
      </c>
      <c r="G3975" s="27">
        <f ca="1">ROUND(E3975*F3975,2)</f>
        <v>0</v>
      </c>
    </row>
    <row r="3976" spans="1:7" ht="15.12" thickBot="1" customHeight="1">
      <c r="A3976" s="26"/>
      <c r="B3976" s="26"/>
      <c r="C3976" s="26"/>
      <c r="D3976" s="24" t="s">
        <v>12331</v>
      </c>
      <c r="E3976" s="28">
        <v>0.80000</v>
      </c>
      <c r="F3976" s="29">
        <f ca="1">ROUND((G3973+G3974+G3975),3)</f>
        <v>0</v>
      </c>
      <c r="G3976" s="27">
        <f ca="1">ROUND(E3976*F3976,2)</f>
        <v>0</v>
      </c>
    </row>
    <row r="3977" spans="1:7" ht="15.12" thickBot="1" customHeight="1">
      <c r="A3977" s="24" t="s">
        <v>12332</v>
      </c>
      <c r="B3977" s="24"/>
      <c r="C3977" s="24" t="s">
        <v>12333</v>
      </c>
      <c r="D3977" s="25" t="s">
        <v>12334</v>
      </c>
      <c r="E3977" s="28">
        <v>5.00000</v>
      </c>
      <c r="F3977" s="29">
        <f ca="1">ROUND(35.040,3)</f>
        <v>0</v>
      </c>
      <c r="G3977" s="27">
        <f ca="1">ROUND((E3977*F3977)/100,2)</f>
        <v>0</v>
      </c>
    </row>
    <row r="3978" spans="1:7" ht="15.48" thickBot="1" customHeight="1">
      <c r="A3978" s="30"/>
      <c r="B3978" s="30"/>
      <c r="C3978" s="30"/>
      <c r="D3978" s="31" t="s">
        <v>12335</v>
      </c>
      <c r="E3978" s="30"/>
      <c r="F3978" s="33">
        <f ca="1">ROUND((G3961+G3962+G3963+G3964+G3965+G3966+G3967+G3968+G3969+G3970+G3971+G3972+G3977)*(1+G2/100),2)</f>
        <v>0</v>
      </c>
      <c r="G3978" s="30"/>
    </row>
    <row r="3979" spans="1:7" ht="58.32" thickBot="1" customHeight="1">
      <c r="A3979" s="34" t="s">
        <v>12336</v>
      </c>
      <c r="B3979" s="35" t="s">
        <v>12337</v>
      </c>
      <c r="C3979" s="35" t="s">
        <v>12338</v>
      </c>
      <c r="D3979" s="36" t="s">
        <v>12339</v>
      </c>
      <c r="E3979" s="37"/>
      <c r="F3979" s="38">
        <f ca="1">F3998</f>
        <v>0</v>
      </c>
      <c r="G3979" s="37"/>
    </row>
    <row r="3980" spans="1:7" ht="39.84" thickBot="1" customHeight="1">
      <c r="A3980" s="26"/>
      <c r="B3980" s="26"/>
      <c r="C3980" s="26"/>
      <c r="D3980" s="25" t="s">
        <v>12340</v>
      </c>
      <c r="E3980" s="25"/>
      <c r="F3980" s="25"/>
      <c r="G3980" s="25"/>
    </row>
    <row r="3981" spans="1:7" ht="30.60" thickBot="1" customHeight="1">
      <c r="A3981" s="24" t="s">
        <v>12341</v>
      </c>
      <c r="B3981" s="24" t="s">
        <v>12342</v>
      </c>
      <c r="C3981" s="24" t="s">
        <v>12343</v>
      </c>
      <c r="D3981" s="25" t="s">
        <v>12344</v>
      </c>
      <c r="E3981" s="28">
        <v>0.20000</v>
      </c>
      <c r="F3981" s="29">
        <f ca="1">ROUND(4.920,3)</f>
        <v>0</v>
      </c>
      <c r="G3981" s="27">
        <f ca="1">ROUND(E3981*F3981,2)</f>
        <v>0</v>
      </c>
    </row>
    <row r="3982" spans="1:7" ht="21.36" thickBot="1" customHeight="1">
      <c r="A3982" s="24" t="s">
        <v>12345</v>
      </c>
      <c r="B3982" s="24" t="s">
        <v>12346</v>
      </c>
      <c r="C3982" s="24" t="s">
        <v>12347</v>
      </c>
      <c r="D3982" s="25" t="s">
        <v>12348</v>
      </c>
      <c r="E3982" s="28">
        <v>0.15000</v>
      </c>
      <c r="F3982" s="29">
        <f ca="1">ROUND(2.000,3)</f>
        <v>0</v>
      </c>
      <c r="G3982" s="27">
        <f ca="1">ROUND(E3982*F3982,2)</f>
        <v>0</v>
      </c>
    </row>
    <row r="3983" spans="1:7" ht="30.60" thickBot="1" customHeight="1">
      <c r="A3983" s="24" t="s">
        <v>12349</v>
      </c>
      <c r="B3983" s="24" t="s">
        <v>12350</v>
      </c>
      <c r="C3983" s="24" t="s">
        <v>12351</v>
      </c>
      <c r="D3983" s="25" t="s">
        <v>12352</v>
      </c>
      <c r="E3983" s="28">
        <v>0.02500</v>
      </c>
      <c r="F3983" s="29">
        <f ca="1">ROUND(8.810,3)</f>
        <v>0</v>
      </c>
      <c r="G3983" s="27">
        <f ca="1">ROUND(E3983*F3983,2)</f>
        <v>0</v>
      </c>
    </row>
    <row r="3984" spans="1:7" ht="39.84" thickBot="1" customHeight="1">
      <c r="A3984" s="24" t="s">
        <v>12353</v>
      </c>
      <c r="B3984" s="24" t="s">
        <v>12354</v>
      </c>
      <c r="C3984" s="24" t="s">
        <v>12355</v>
      </c>
      <c r="D3984" s="25" t="s">
        <v>12356</v>
      </c>
      <c r="E3984" s="28">
        <v>0.15000</v>
      </c>
      <c r="F3984" s="29">
        <f ca="1">ROUND(1.750,3)</f>
        <v>0</v>
      </c>
      <c r="G3984" s="27">
        <f ca="1">ROUND(E3984*F3984,2)</f>
        <v>0</v>
      </c>
    </row>
    <row r="3985" spans="1:7" ht="30.60" thickBot="1" customHeight="1">
      <c r="A3985" s="24" t="s">
        <v>12357</v>
      </c>
      <c r="B3985" s="24" t="s">
        <v>12358</v>
      </c>
      <c r="C3985" s="24" t="s">
        <v>12359</v>
      </c>
      <c r="D3985" s="25" t="s">
        <v>12360</v>
      </c>
      <c r="E3985" s="28">
        <v>0.20000</v>
      </c>
      <c r="F3985" s="29">
        <f ca="1">ROUND(3.740,3)</f>
        <v>0</v>
      </c>
      <c r="G3985" s="27">
        <f ca="1">ROUND(E3985*F3985,2)</f>
        <v>0</v>
      </c>
    </row>
    <row r="3986" spans="1:7" ht="30.60" thickBot="1" customHeight="1">
      <c r="A3986" s="24" t="s">
        <v>12361</v>
      </c>
      <c r="B3986" s="24" t="s">
        <v>12362</v>
      </c>
      <c r="C3986" s="24" t="s">
        <v>12363</v>
      </c>
      <c r="D3986" s="25" t="s">
        <v>12364</v>
      </c>
      <c r="E3986" s="28">
        <v>0.30000</v>
      </c>
      <c r="F3986" s="29">
        <f ca="1">ROUND(6.140,3)</f>
        <v>0</v>
      </c>
      <c r="G3986" s="27">
        <f ca="1">ROUND(E3986*F3986,2)</f>
        <v>0</v>
      </c>
    </row>
    <row r="3987" spans="1:7" ht="39.84" thickBot="1" customHeight="1">
      <c r="A3987" s="24" t="s">
        <v>12365</v>
      </c>
      <c r="B3987" s="24" t="s">
        <v>12366</v>
      </c>
      <c r="C3987" s="24" t="s">
        <v>12367</v>
      </c>
      <c r="D3987" s="25" t="s">
        <v>12368</v>
      </c>
      <c r="E3987" s="28">
        <v>0.22987</v>
      </c>
      <c r="F3987" s="29">
        <f ca="1">ROUND(7.370,3)</f>
        <v>0</v>
      </c>
      <c r="G3987" s="27">
        <f ca="1">ROUND(E3987*F3987,2)</f>
        <v>0</v>
      </c>
    </row>
    <row r="3988" spans="1:7" ht="30.60" thickBot="1" customHeight="1">
      <c r="A3988" s="24" t="s">
        <v>12369</v>
      </c>
      <c r="B3988" s="24" t="s">
        <v>12370</v>
      </c>
      <c r="C3988" s="24" t="s">
        <v>12371</v>
      </c>
      <c r="D3988" s="25" t="s">
        <v>12372</v>
      </c>
      <c r="E3988" s="28">
        <v>3.00000</v>
      </c>
      <c r="F3988" s="29">
        <f ca="1">ROUND(4.960,3)</f>
        <v>0</v>
      </c>
      <c r="G3988" s="27">
        <f ca="1">ROUND(E3988*F3988,2)</f>
        <v>0</v>
      </c>
    </row>
    <row r="3989" spans="1:7" ht="49.08" thickBot="1" customHeight="1">
      <c r="A3989" s="24" t="s">
        <v>12373</v>
      </c>
      <c r="B3989" s="24" t="s">
        <v>12374</v>
      </c>
      <c r="C3989" s="24" t="s">
        <v>12375</v>
      </c>
      <c r="D3989" s="25" t="s">
        <v>12376</v>
      </c>
      <c r="E3989" s="28">
        <v>0.02500</v>
      </c>
      <c r="F3989" s="29">
        <f ca="1">ROUND(45.570,3)</f>
        <v>0</v>
      </c>
      <c r="G3989" s="27">
        <f ca="1">ROUND(E3989*F3989,2)</f>
        <v>0</v>
      </c>
    </row>
    <row r="3990" spans="1:7" ht="30.60" thickBot="1" customHeight="1">
      <c r="A3990" s="24" t="s">
        <v>12377</v>
      </c>
      <c r="B3990" s="24" t="s">
        <v>12378</v>
      </c>
      <c r="C3990" s="24" t="s">
        <v>12379</v>
      </c>
      <c r="D3990" s="25" t="s">
        <v>12380</v>
      </c>
      <c r="E3990" s="28">
        <v>0.25000</v>
      </c>
      <c r="F3990" s="29">
        <f ca="1">ROUND(17.450,3)</f>
        <v>0</v>
      </c>
      <c r="G3990" s="27">
        <f ca="1">ROUND(E3990*F3990,2)</f>
        <v>0</v>
      </c>
    </row>
    <row r="3991" spans="1:7" ht="30.60" thickBot="1" customHeight="1">
      <c r="A3991" s="24" t="s">
        <v>12381</v>
      </c>
      <c r="B3991" s="24" t="s">
        <v>12382</v>
      </c>
      <c r="C3991" s="24" t="s">
        <v>12383</v>
      </c>
      <c r="D3991" s="25" t="s">
        <v>12384</v>
      </c>
      <c r="E3991" s="28">
        <v>0.00400</v>
      </c>
      <c r="F3991" s="29">
        <f ca="1">ROUND(27.500,3)</f>
        <v>0</v>
      </c>
      <c r="G3991" s="27">
        <f ca="1">ROUND(E3991*F3991,2)</f>
        <v>0</v>
      </c>
    </row>
    <row r="3992" spans="1:7" ht="21.36" thickBot="1" customHeight="1">
      <c r="A3992" s="24" t="s">
        <v>12385</v>
      </c>
      <c r="B3992" s="24" t="s">
        <v>12386</v>
      </c>
      <c r="C3992" s="24" t="s">
        <v>12387</v>
      </c>
      <c r="D3992" s="25" t="s">
        <v>12388</v>
      </c>
      <c r="E3992" s="28">
        <v>1.00000</v>
      </c>
      <c r="F3992" s="29">
        <f ca="1">F3996</f>
        <v>0</v>
      </c>
      <c r="G3992" s="27">
        <f ca="1">ROUND(E3992*F3992,2)</f>
        <v>0</v>
      </c>
    </row>
    <row r="3993" spans="1:7" ht="24.36" thickBot="1" customHeight="1">
      <c r="A3993" s="24" t="s">
        <v>12389</v>
      </c>
      <c r="B3993" s="24" t="s">
        <v>12390</v>
      </c>
      <c r="C3993" s="24" t="s">
        <v>12391</v>
      </c>
      <c r="D3993" s="25" t="s">
        <v>12392</v>
      </c>
      <c r="E3993" s="28">
        <v>1.00000</v>
      </c>
      <c r="F3993" s="29">
        <f ca="1">ROUND(21.000,3)</f>
        <v>0</v>
      </c>
      <c r="G3993" s="27">
        <f ca="1">ROUND(E3993*F3993,2)</f>
        <v>0</v>
      </c>
    </row>
    <row r="3994" spans="1:7" ht="24.36" thickBot="1" customHeight="1">
      <c r="A3994" s="24" t="s">
        <v>12393</v>
      </c>
      <c r="B3994" s="24" t="s">
        <v>12394</v>
      </c>
      <c r="C3994" s="24" t="s">
        <v>12395</v>
      </c>
      <c r="D3994" s="25" t="s">
        <v>12396</v>
      </c>
      <c r="E3994" s="28">
        <v>1.00000</v>
      </c>
      <c r="F3994" s="29">
        <f ca="1">ROUND(19.000,3)</f>
        <v>0</v>
      </c>
      <c r="G3994" s="27">
        <f ca="1">ROUND(E3994*F3994,2)</f>
        <v>0</v>
      </c>
    </row>
    <row r="3995" spans="1:7" ht="24.36" thickBot="1" customHeight="1">
      <c r="A3995" s="24" t="s">
        <v>12397</v>
      </c>
      <c r="B3995" s="24" t="s">
        <v>12398</v>
      </c>
      <c r="C3995" s="24" t="s">
        <v>12399</v>
      </c>
      <c r="D3995" s="25" t="s">
        <v>12400</v>
      </c>
      <c r="E3995" s="28">
        <v>0.20000</v>
      </c>
      <c r="F3995" s="29">
        <f ca="1">ROUND(19.000,3)</f>
        <v>0</v>
      </c>
      <c r="G3995" s="27">
        <f ca="1">ROUND(E3995*F3995,2)</f>
        <v>0</v>
      </c>
    </row>
    <row r="3996" spans="1:7" ht="15.12" thickBot="1" customHeight="1">
      <c r="A3996" s="26"/>
      <c r="B3996" s="26"/>
      <c r="C3996" s="26"/>
      <c r="D3996" s="24" t="s">
        <v>12401</v>
      </c>
      <c r="E3996" s="28">
        <v>1.00000</v>
      </c>
      <c r="F3996" s="29">
        <f ca="1">ROUND((G3993+G3994+G3995),3)</f>
        <v>0</v>
      </c>
      <c r="G3996" s="27">
        <f ca="1">ROUND(E3996*F3996,2)</f>
        <v>0</v>
      </c>
    </row>
    <row r="3997" spans="1:7" ht="15.12" thickBot="1" customHeight="1">
      <c r="A3997" s="24" t="s">
        <v>12402</v>
      </c>
      <c r="B3997" s="24"/>
      <c r="C3997" s="24" t="s">
        <v>12403</v>
      </c>
      <c r="D3997" s="25" t="s">
        <v>12404</v>
      </c>
      <c r="E3997" s="28">
        <v>5.00000</v>
      </c>
      <c r="F3997" s="29">
        <f ca="1">ROUND(43.800,3)</f>
        <v>0</v>
      </c>
      <c r="G3997" s="27">
        <f ca="1">ROUND((E3997*F3997)/100,2)</f>
        <v>0</v>
      </c>
    </row>
    <row r="3998" spans="1:7" ht="15.48" thickBot="1" customHeight="1">
      <c r="A3998" s="30"/>
      <c r="B3998" s="30"/>
      <c r="C3998" s="30"/>
      <c r="D3998" s="31" t="s">
        <v>12405</v>
      </c>
      <c r="E3998" s="30"/>
      <c r="F3998" s="33">
        <f ca="1">ROUND((G3981+G3982+G3983+G3984+G3985+G3986+G3987+G3988+G3989+G3990+G3991+G3992+G3997)*(1+G2/100),2)</f>
        <v>0</v>
      </c>
      <c r="G3998" s="30"/>
    </row>
    <row r="3999" spans="1:7" ht="67.56" thickBot="1" customHeight="1">
      <c r="A3999" s="34" t="s">
        <v>12406</v>
      </c>
      <c r="B3999" s="35" t="s">
        <v>12407</v>
      </c>
      <c r="C3999" s="35" t="s">
        <v>12408</v>
      </c>
      <c r="D3999" s="36" t="s">
        <v>12409</v>
      </c>
      <c r="E3999" s="37"/>
      <c r="F3999" s="38">
        <f ca="1">F4017</f>
        <v>0</v>
      </c>
      <c r="G3999" s="37"/>
    </row>
    <row r="4000" spans="1:7" ht="21.36" thickBot="1" customHeight="1">
      <c r="A4000" s="26"/>
      <c r="B4000" s="26"/>
      <c r="C4000" s="26"/>
      <c r="D4000" s="25" t="s">
        <v>12410</v>
      </c>
      <c r="E4000" s="25"/>
      <c r="F4000" s="25"/>
      <c r="G4000" s="25"/>
    </row>
    <row r="4001" spans="1:7" ht="30.60" thickBot="1" customHeight="1">
      <c r="A4001" s="24" t="s">
        <v>12411</v>
      </c>
      <c r="B4001" s="24" t="s">
        <v>12412</v>
      </c>
      <c r="C4001" s="24" t="s">
        <v>12413</v>
      </c>
      <c r="D4001" s="25" t="s">
        <v>12414</v>
      </c>
      <c r="E4001" s="28">
        <v>0.30000</v>
      </c>
      <c r="F4001" s="29">
        <f ca="1">ROUND(4.920,3)</f>
        <v>0</v>
      </c>
      <c r="G4001" s="27">
        <f ca="1">ROUND(E4001*F4001,2)</f>
        <v>0</v>
      </c>
    </row>
    <row r="4002" spans="1:7" ht="21.36" thickBot="1" customHeight="1">
      <c r="A4002" s="24" t="s">
        <v>12415</v>
      </c>
      <c r="B4002" s="24" t="s">
        <v>12416</v>
      </c>
      <c r="C4002" s="24" t="s">
        <v>12417</v>
      </c>
      <c r="D4002" s="25" t="s">
        <v>12418</v>
      </c>
      <c r="E4002" s="28">
        <v>0.33333</v>
      </c>
      <c r="F4002" s="29">
        <f ca="1">ROUND(2.000,3)</f>
        <v>0</v>
      </c>
      <c r="G4002" s="27">
        <f ca="1">ROUND(E4002*F4002,2)</f>
        <v>0</v>
      </c>
    </row>
    <row r="4003" spans="1:7" ht="30.60" thickBot="1" customHeight="1">
      <c r="A4003" s="24" t="s">
        <v>12419</v>
      </c>
      <c r="B4003" s="24" t="s">
        <v>12420</v>
      </c>
      <c r="C4003" s="24" t="s">
        <v>12421</v>
      </c>
      <c r="D4003" s="25" t="s">
        <v>12422</v>
      </c>
      <c r="E4003" s="28">
        <v>0.05000</v>
      </c>
      <c r="F4003" s="29">
        <f ca="1">ROUND(8.810,3)</f>
        <v>0</v>
      </c>
      <c r="G4003" s="27">
        <f ca="1">ROUND(E4003*F4003,2)</f>
        <v>0</v>
      </c>
    </row>
    <row r="4004" spans="1:7" ht="39.84" thickBot="1" customHeight="1">
      <c r="A4004" s="24" t="s">
        <v>12423</v>
      </c>
      <c r="B4004" s="24" t="s">
        <v>12424</v>
      </c>
      <c r="C4004" s="24" t="s">
        <v>12425</v>
      </c>
      <c r="D4004" s="25" t="s">
        <v>12426</v>
      </c>
      <c r="E4004" s="28">
        <v>0.33333</v>
      </c>
      <c r="F4004" s="29">
        <f ca="1">ROUND(1.750,3)</f>
        <v>0</v>
      </c>
      <c r="G4004" s="27">
        <f ca="1">ROUND(E4004*F4004,2)</f>
        <v>0</v>
      </c>
    </row>
    <row r="4005" spans="1:7" ht="30.60" thickBot="1" customHeight="1">
      <c r="A4005" s="24" t="s">
        <v>12427</v>
      </c>
      <c r="B4005" s="24" t="s">
        <v>12428</v>
      </c>
      <c r="C4005" s="24" t="s">
        <v>12429</v>
      </c>
      <c r="D4005" s="25" t="s">
        <v>12430</v>
      </c>
      <c r="E4005" s="28">
        <v>0.10000</v>
      </c>
      <c r="F4005" s="29">
        <f ca="1">ROUND(24.300,3)</f>
        <v>0</v>
      </c>
      <c r="G4005" s="27">
        <f ca="1">ROUND(E4005*F4005,2)</f>
        <v>0</v>
      </c>
    </row>
    <row r="4006" spans="1:7" ht="49.08" thickBot="1" customHeight="1">
      <c r="A4006" s="24" t="s">
        <v>12431</v>
      </c>
      <c r="B4006" s="24" t="s">
        <v>12432</v>
      </c>
      <c r="C4006" s="24" t="s">
        <v>12433</v>
      </c>
      <c r="D4006" s="25" t="s">
        <v>12434</v>
      </c>
      <c r="E4006" s="28">
        <v>0.02500</v>
      </c>
      <c r="F4006" s="29">
        <f ca="1">ROUND(45.570,3)</f>
        <v>0</v>
      </c>
      <c r="G4006" s="27">
        <f ca="1">ROUND(E4006*F4006,2)</f>
        <v>0</v>
      </c>
    </row>
    <row r="4007" spans="1:7" ht="30.60" thickBot="1" customHeight="1">
      <c r="A4007" s="24" t="s">
        <v>12435</v>
      </c>
      <c r="B4007" s="24" t="s">
        <v>12436</v>
      </c>
      <c r="C4007" s="24" t="s">
        <v>12437</v>
      </c>
      <c r="D4007" s="25" t="s">
        <v>12438</v>
      </c>
      <c r="E4007" s="28">
        <v>0.33000</v>
      </c>
      <c r="F4007" s="29">
        <f ca="1">ROUND(6.140,3)</f>
        <v>0</v>
      </c>
      <c r="G4007" s="27">
        <f ca="1">ROUND(E4007*F4007,2)</f>
        <v>0</v>
      </c>
    </row>
    <row r="4008" spans="1:7" ht="39.84" thickBot="1" customHeight="1">
      <c r="A4008" s="24" t="s">
        <v>12439</v>
      </c>
      <c r="B4008" s="24" t="s">
        <v>12440</v>
      </c>
      <c r="C4008" s="24" t="s">
        <v>12441</v>
      </c>
      <c r="D4008" s="25" t="s">
        <v>12442</v>
      </c>
      <c r="E4008" s="28">
        <v>0.22987</v>
      </c>
      <c r="F4008" s="29">
        <f ca="1">ROUND(7.370,3)</f>
        <v>0</v>
      </c>
      <c r="G4008" s="27">
        <f ca="1">ROUND(E4008*F4008,2)</f>
        <v>0</v>
      </c>
    </row>
    <row r="4009" spans="1:7" ht="30.60" thickBot="1" customHeight="1">
      <c r="A4009" s="24" t="s">
        <v>12443</v>
      </c>
      <c r="B4009" s="24" t="s">
        <v>12444</v>
      </c>
      <c r="C4009" s="24" t="s">
        <v>12445</v>
      </c>
      <c r="D4009" s="25" t="s">
        <v>12446</v>
      </c>
      <c r="E4009" s="28">
        <v>0.25000</v>
      </c>
      <c r="F4009" s="29">
        <f ca="1">ROUND(17.450,3)</f>
        <v>0</v>
      </c>
      <c r="G4009" s="27">
        <f ca="1">ROUND(E4009*F4009,2)</f>
        <v>0</v>
      </c>
    </row>
    <row r="4010" spans="1:7" ht="30.60" thickBot="1" customHeight="1">
      <c r="A4010" s="24" t="s">
        <v>12447</v>
      </c>
      <c r="B4010" s="24" t="s">
        <v>12448</v>
      </c>
      <c r="C4010" s="24" t="s">
        <v>12449</v>
      </c>
      <c r="D4010" s="25" t="s">
        <v>12450</v>
      </c>
      <c r="E4010" s="28">
        <v>0.00400</v>
      </c>
      <c r="F4010" s="29">
        <f ca="1">ROUND(27.500,3)</f>
        <v>0</v>
      </c>
      <c r="G4010" s="27">
        <f ca="1">ROUND(E4010*F4010,2)</f>
        <v>0</v>
      </c>
    </row>
    <row r="4011" spans="1:7" ht="21.36" thickBot="1" customHeight="1">
      <c r="A4011" s="24" t="s">
        <v>12451</v>
      </c>
      <c r="B4011" s="24" t="s">
        <v>12452</v>
      </c>
      <c r="C4011" s="24" t="s">
        <v>12453</v>
      </c>
      <c r="D4011" s="25" t="s">
        <v>12454</v>
      </c>
      <c r="E4011" s="28">
        <v>0.80000</v>
      </c>
      <c r="F4011" s="29">
        <f ca="1">F4015</f>
        <v>0</v>
      </c>
      <c r="G4011" s="27">
        <f ca="1">ROUND(E4011*F4011,2)</f>
        <v>0</v>
      </c>
    </row>
    <row r="4012" spans="1:7" ht="24.36" thickBot="1" customHeight="1">
      <c r="A4012" s="24" t="s">
        <v>12455</v>
      </c>
      <c r="B4012" s="24" t="s">
        <v>12456</v>
      </c>
      <c r="C4012" s="24" t="s">
        <v>12457</v>
      </c>
      <c r="D4012" s="25" t="s">
        <v>12458</v>
      </c>
      <c r="E4012" s="28">
        <v>1.00000</v>
      </c>
      <c r="F4012" s="29">
        <f ca="1">ROUND(21.000,3)</f>
        <v>0</v>
      </c>
      <c r="G4012" s="27">
        <f ca="1">ROUND(E4012*F4012,2)</f>
        <v>0</v>
      </c>
    </row>
    <row r="4013" spans="1:7" ht="24.36" thickBot="1" customHeight="1">
      <c r="A4013" s="24" t="s">
        <v>12459</v>
      </c>
      <c r="B4013" s="24" t="s">
        <v>12460</v>
      </c>
      <c r="C4013" s="24" t="s">
        <v>12461</v>
      </c>
      <c r="D4013" s="25" t="s">
        <v>12462</v>
      </c>
      <c r="E4013" s="28">
        <v>1.00000</v>
      </c>
      <c r="F4013" s="29">
        <f ca="1">ROUND(19.000,3)</f>
        <v>0</v>
      </c>
      <c r="G4013" s="27">
        <f ca="1">ROUND(E4013*F4013,2)</f>
        <v>0</v>
      </c>
    </row>
    <row r="4014" spans="1:7" ht="24.36" thickBot="1" customHeight="1">
      <c r="A4014" s="24" t="s">
        <v>12463</v>
      </c>
      <c r="B4014" s="24" t="s">
        <v>12464</v>
      </c>
      <c r="C4014" s="24" t="s">
        <v>12465</v>
      </c>
      <c r="D4014" s="25" t="s">
        <v>12466</v>
      </c>
      <c r="E4014" s="28">
        <v>0.20000</v>
      </c>
      <c r="F4014" s="29">
        <f ca="1">ROUND(19.000,3)</f>
        <v>0</v>
      </c>
      <c r="G4014" s="27">
        <f ca="1">ROUND(E4014*F4014,2)</f>
        <v>0</v>
      </c>
    </row>
    <row r="4015" spans="1:7" ht="15.12" thickBot="1" customHeight="1">
      <c r="A4015" s="26"/>
      <c r="B4015" s="26"/>
      <c r="C4015" s="26"/>
      <c r="D4015" s="24" t="s">
        <v>12467</v>
      </c>
      <c r="E4015" s="28">
        <v>0.80000</v>
      </c>
      <c r="F4015" s="29">
        <f ca="1">ROUND((G4012+G4013+G4014),3)</f>
        <v>0</v>
      </c>
      <c r="G4015" s="27">
        <f ca="1">ROUND(E4015*F4015,2)</f>
        <v>0</v>
      </c>
    </row>
    <row r="4016" spans="1:7" ht="15.12" thickBot="1" customHeight="1">
      <c r="A4016" s="24" t="s">
        <v>12468</v>
      </c>
      <c r="B4016" s="24"/>
      <c r="C4016" s="24" t="s">
        <v>12469</v>
      </c>
      <c r="D4016" s="25" t="s">
        <v>12470</v>
      </c>
      <c r="E4016" s="28">
        <v>5.00000</v>
      </c>
      <c r="F4016" s="29">
        <f ca="1">ROUND(35.040,3)</f>
        <v>0</v>
      </c>
      <c r="G4016" s="27">
        <f ca="1">ROUND((E4016*F4016)/100,2)</f>
        <v>0</v>
      </c>
    </row>
    <row r="4017" spans="1:7" ht="15.48" thickBot="1" customHeight="1">
      <c r="A4017" s="30"/>
      <c r="B4017" s="30"/>
      <c r="C4017" s="30"/>
      <c r="D4017" s="31" t="s">
        <v>12471</v>
      </c>
      <c r="E4017" s="30"/>
      <c r="F4017" s="33">
        <f ca="1">ROUND((G4001+G4002+G4003+G4004+G4005+G4006+G4007+G4008+G4009+G4010+G4011+G4016)*(1+G2/100),2)</f>
        <v>0</v>
      </c>
      <c r="G4017" s="30"/>
    </row>
    <row r="4018" spans="1:7" ht="58.32" thickBot="1" customHeight="1">
      <c r="A4018" s="34" t="s">
        <v>12472</v>
      </c>
      <c r="B4018" s="35" t="s">
        <v>12473</v>
      </c>
      <c r="C4018" s="35" t="s">
        <v>12474</v>
      </c>
      <c r="D4018" s="36" t="s">
        <v>12475</v>
      </c>
      <c r="E4018" s="37"/>
      <c r="F4018" s="38">
        <f ca="1">F4042</f>
        <v>0</v>
      </c>
      <c r="G4018" s="37"/>
    </row>
    <row r="4019" spans="1:7" ht="39.84" thickBot="1" customHeight="1">
      <c r="A4019" s="26"/>
      <c r="B4019" s="26"/>
      <c r="C4019" s="26"/>
      <c r="D4019" s="25" t="s">
        <v>12476</v>
      </c>
      <c r="E4019" s="25"/>
      <c r="F4019" s="25"/>
      <c r="G4019" s="25"/>
    </row>
    <row r="4020" spans="1:7" ht="30.60" thickBot="1" customHeight="1">
      <c r="A4020" s="24" t="s">
        <v>12477</v>
      </c>
      <c r="B4020" s="24" t="s">
        <v>12478</v>
      </c>
      <c r="C4020" s="24" t="s">
        <v>12479</v>
      </c>
      <c r="D4020" s="25" t="s">
        <v>12480</v>
      </c>
      <c r="E4020" s="28">
        <v>0.20000</v>
      </c>
      <c r="F4020" s="29">
        <f ca="1">ROUND(4.920,3)</f>
        <v>0</v>
      </c>
      <c r="G4020" s="27">
        <f ca="1">ROUND(E4020*F4020,2)</f>
        <v>0</v>
      </c>
    </row>
    <row r="4021" spans="1:7" ht="21.36" thickBot="1" customHeight="1">
      <c r="A4021" s="24" t="s">
        <v>12481</v>
      </c>
      <c r="B4021" s="24" t="s">
        <v>12482</v>
      </c>
      <c r="C4021" s="24" t="s">
        <v>12483</v>
      </c>
      <c r="D4021" s="25" t="s">
        <v>12484</v>
      </c>
      <c r="E4021" s="28">
        <v>0.15000</v>
      </c>
      <c r="F4021" s="29">
        <f ca="1">ROUND(2.000,3)</f>
        <v>0</v>
      </c>
      <c r="G4021" s="27">
        <f ca="1">ROUND(E4021*F4021,2)</f>
        <v>0</v>
      </c>
    </row>
    <row r="4022" spans="1:7" ht="30.60" thickBot="1" customHeight="1">
      <c r="A4022" s="24" t="s">
        <v>12485</v>
      </c>
      <c r="B4022" s="24" t="s">
        <v>12486</v>
      </c>
      <c r="C4022" s="24" t="s">
        <v>12487</v>
      </c>
      <c r="D4022" s="25" t="s">
        <v>12488</v>
      </c>
      <c r="E4022" s="28">
        <v>0.02500</v>
      </c>
      <c r="F4022" s="29">
        <f ca="1">ROUND(8.810,3)</f>
        <v>0</v>
      </c>
      <c r="G4022" s="27">
        <f ca="1">ROUND(E4022*F4022,2)</f>
        <v>0</v>
      </c>
    </row>
    <row r="4023" spans="1:7" ht="39.84" thickBot="1" customHeight="1">
      <c r="A4023" s="24" t="s">
        <v>12489</v>
      </c>
      <c r="B4023" s="24" t="s">
        <v>12490</v>
      </c>
      <c r="C4023" s="24" t="s">
        <v>12491</v>
      </c>
      <c r="D4023" s="25" t="s">
        <v>12492</v>
      </c>
      <c r="E4023" s="28">
        <v>0.15000</v>
      </c>
      <c r="F4023" s="29">
        <f ca="1">ROUND(1.750,3)</f>
        <v>0</v>
      </c>
      <c r="G4023" s="27">
        <f ca="1">ROUND(E4023*F4023,2)</f>
        <v>0</v>
      </c>
    </row>
    <row r="4024" spans="1:7" ht="30.60" thickBot="1" customHeight="1">
      <c r="A4024" s="24" t="s">
        <v>12493</v>
      </c>
      <c r="B4024" s="24" t="s">
        <v>12494</v>
      </c>
      <c r="C4024" s="24" t="s">
        <v>12495</v>
      </c>
      <c r="D4024" s="25" t="s">
        <v>12496</v>
      </c>
      <c r="E4024" s="28">
        <v>0.20000</v>
      </c>
      <c r="F4024" s="29">
        <f ca="1">ROUND(3.740,3)</f>
        <v>0</v>
      </c>
      <c r="G4024" s="27">
        <f ca="1">ROUND(E4024*F4024,2)</f>
        <v>0</v>
      </c>
    </row>
    <row r="4025" spans="1:7" ht="30.60" thickBot="1" customHeight="1">
      <c r="A4025" s="24" t="s">
        <v>12497</v>
      </c>
      <c r="B4025" s="24" t="s">
        <v>12498</v>
      </c>
      <c r="C4025" s="24" t="s">
        <v>12499</v>
      </c>
      <c r="D4025" s="25" t="s">
        <v>12500</v>
      </c>
      <c r="E4025" s="28">
        <v>0.30000</v>
      </c>
      <c r="F4025" s="29">
        <f ca="1">ROUND(6.140,3)</f>
        <v>0</v>
      </c>
      <c r="G4025" s="27">
        <f ca="1">ROUND(E4025*F4025,2)</f>
        <v>0</v>
      </c>
    </row>
    <row r="4026" spans="1:7" ht="39.84" thickBot="1" customHeight="1">
      <c r="A4026" s="24" t="s">
        <v>12501</v>
      </c>
      <c r="B4026" s="24" t="s">
        <v>12502</v>
      </c>
      <c r="C4026" s="24" t="s">
        <v>12503</v>
      </c>
      <c r="D4026" s="25" t="s">
        <v>12504</v>
      </c>
      <c r="E4026" s="28">
        <v>0.22987</v>
      </c>
      <c r="F4026" s="29">
        <f ca="1">ROUND(7.370,3)</f>
        <v>0</v>
      </c>
      <c r="G4026" s="27">
        <f ca="1">ROUND(E4026*F4026,2)</f>
        <v>0</v>
      </c>
    </row>
    <row r="4027" spans="1:7" ht="39.84" thickBot="1" customHeight="1">
      <c r="A4027" s="24" t="s">
        <v>12505</v>
      </c>
      <c r="B4027" s="24" t="s">
        <v>12506</v>
      </c>
      <c r="C4027" s="24" t="s">
        <v>12507</v>
      </c>
      <c r="D4027" s="25" t="s">
        <v>12508</v>
      </c>
      <c r="E4027" s="28">
        <v>3.00000</v>
      </c>
      <c r="F4027" s="29">
        <f ca="1">F4032</f>
        <v>0</v>
      </c>
      <c r="G4027" s="27">
        <f ca="1">ROUND(E4027*F4027,2)</f>
        <v>0</v>
      </c>
    </row>
    <row r="4028" spans="1:7" ht="21.36" thickBot="1" customHeight="1">
      <c r="A4028" s="24" t="s">
        <v>12509</v>
      </c>
      <c r="B4028" s="24" t="s">
        <v>12510</v>
      </c>
      <c r="C4028" s="24" t="s">
        <v>12511</v>
      </c>
      <c r="D4028" s="25" t="s">
        <v>12512</v>
      </c>
      <c r="E4028" s="28">
        <v>0.20000</v>
      </c>
      <c r="F4028" s="29">
        <f ca="1">ROUND(3.540,3)</f>
        <v>0</v>
      </c>
      <c r="G4028" s="27">
        <f ca="1">ROUND(E4028*F4028,2)</f>
        <v>0</v>
      </c>
    </row>
    <row r="4029" spans="1:7" ht="24.36" thickBot="1" customHeight="1">
      <c r="A4029" s="24" t="s">
        <v>12513</v>
      </c>
      <c r="B4029" s="24" t="s">
        <v>12514</v>
      </c>
      <c r="C4029" s="24" t="s">
        <v>12515</v>
      </c>
      <c r="D4029" s="25" t="s">
        <v>12516</v>
      </c>
      <c r="E4029" s="28">
        <v>0.05333</v>
      </c>
      <c r="F4029" s="29">
        <f ca="1">ROUND(4.880,3)</f>
        <v>0</v>
      </c>
      <c r="G4029" s="27">
        <f ca="1">ROUND(E4029*F4029,2)</f>
        <v>0</v>
      </c>
    </row>
    <row r="4030" spans="1:7" ht="24.36" thickBot="1" customHeight="1">
      <c r="A4030" s="24" t="s">
        <v>12517</v>
      </c>
      <c r="B4030" s="24" t="s">
        <v>12518</v>
      </c>
      <c r="C4030" s="24" t="s">
        <v>12519</v>
      </c>
      <c r="D4030" s="25" t="s">
        <v>12520</v>
      </c>
      <c r="E4030" s="28">
        <v>0.05333</v>
      </c>
      <c r="F4030" s="29">
        <f ca="1">ROUND(19.000,3)</f>
        <v>0</v>
      </c>
      <c r="G4030" s="27">
        <f ca="1">ROUND(E4030*F4030,2)</f>
        <v>0</v>
      </c>
    </row>
    <row r="4031" spans="1:7" ht="15.12" thickBot="1" customHeight="1">
      <c r="A4031" s="24" t="s">
        <v>12521</v>
      </c>
      <c r="B4031" s="24"/>
      <c r="C4031" s="24" t="s">
        <v>12522</v>
      </c>
      <c r="D4031" s="25" t="s">
        <v>12523</v>
      </c>
      <c r="E4031" s="28">
        <v>3.00000</v>
      </c>
      <c r="F4031" s="29">
        <f ca="1">ROUND(1.010,3)</f>
        <v>0</v>
      </c>
      <c r="G4031" s="27">
        <f ca="1">ROUND((E4031*F4031)/100,2)</f>
        <v>0</v>
      </c>
    </row>
    <row r="4032" spans="1:7" ht="15.12" thickBot="1" customHeight="1">
      <c r="A4032" s="26"/>
      <c r="B4032" s="26"/>
      <c r="C4032" s="26"/>
      <c r="D4032" s="24" t="s">
        <v>12524</v>
      </c>
      <c r="E4032" s="28">
        <v>3.00000</v>
      </c>
      <c r="F4032" s="29">
        <f ca="1">ROUND((G4028+G4029+G4030+G4031),3)</f>
        <v>0</v>
      </c>
      <c r="G4032" s="27">
        <f ca="1">ROUND(E4032*F4032,2)</f>
        <v>0</v>
      </c>
    </row>
    <row r="4033" spans="1:7" ht="49.08" thickBot="1" customHeight="1">
      <c r="A4033" s="24" t="s">
        <v>12525</v>
      </c>
      <c r="B4033" s="24" t="s">
        <v>12526</v>
      </c>
      <c r="C4033" s="24" t="s">
        <v>12527</v>
      </c>
      <c r="D4033" s="25" t="s">
        <v>12528</v>
      </c>
      <c r="E4033" s="28">
        <v>0.02500</v>
      </c>
      <c r="F4033" s="29">
        <f ca="1">ROUND(45.570,3)</f>
        <v>0</v>
      </c>
      <c r="G4033" s="27">
        <f ca="1">ROUND(E4033*F4033,2)</f>
        <v>0</v>
      </c>
    </row>
    <row r="4034" spans="1:7" ht="30.60" thickBot="1" customHeight="1">
      <c r="A4034" s="24" t="s">
        <v>12529</v>
      </c>
      <c r="B4034" s="24" t="s">
        <v>12530</v>
      </c>
      <c r="C4034" s="24" t="s">
        <v>12531</v>
      </c>
      <c r="D4034" s="25" t="s">
        <v>12532</v>
      </c>
      <c r="E4034" s="28">
        <v>0.25000</v>
      </c>
      <c r="F4034" s="29">
        <f ca="1">ROUND(17.450,3)</f>
        <v>0</v>
      </c>
      <c r="G4034" s="27">
        <f ca="1">ROUND(E4034*F4034,2)</f>
        <v>0</v>
      </c>
    </row>
    <row r="4035" spans="1:7" ht="30.60" thickBot="1" customHeight="1">
      <c r="A4035" s="24" t="s">
        <v>12533</v>
      </c>
      <c r="B4035" s="24" t="s">
        <v>12534</v>
      </c>
      <c r="C4035" s="24" t="s">
        <v>12535</v>
      </c>
      <c r="D4035" s="25" t="s">
        <v>12536</v>
      </c>
      <c r="E4035" s="28">
        <v>0.00400</v>
      </c>
      <c r="F4035" s="29">
        <f ca="1">ROUND(27.500,3)</f>
        <v>0</v>
      </c>
      <c r="G4035" s="27">
        <f ca="1">ROUND(E4035*F4035,2)</f>
        <v>0</v>
      </c>
    </row>
    <row r="4036" spans="1:7" ht="21.36" thickBot="1" customHeight="1">
      <c r="A4036" s="24" t="s">
        <v>12537</v>
      </c>
      <c r="B4036" s="24" t="s">
        <v>12538</v>
      </c>
      <c r="C4036" s="24" t="s">
        <v>12539</v>
      </c>
      <c r="D4036" s="25" t="s">
        <v>12540</v>
      </c>
      <c r="E4036" s="28">
        <v>0.80000</v>
      </c>
      <c r="F4036" s="29">
        <f ca="1">F4040</f>
        <v>0</v>
      </c>
      <c r="G4036" s="27">
        <f ca="1">ROUND(E4036*F4036,2)</f>
        <v>0</v>
      </c>
    </row>
    <row r="4037" spans="1:7" ht="24.36" thickBot="1" customHeight="1">
      <c r="A4037" s="24" t="s">
        <v>12541</v>
      </c>
      <c r="B4037" s="24" t="s">
        <v>12542</v>
      </c>
      <c r="C4037" s="24" t="s">
        <v>12543</v>
      </c>
      <c r="D4037" s="25" t="s">
        <v>12544</v>
      </c>
      <c r="E4037" s="28">
        <v>1.00000</v>
      </c>
      <c r="F4037" s="29">
        <f ca="1">ROUND(21.000,3)</f>
        <v>0</v>
      </c>
      <c r="G4037" s="27">
        <f ca="1">ROUND(E4037*F4037,2)</f>
        <v>0</v>
      </c>
    </row>
    <row r="4038" spans="1:7" ht="24.36" thickBot="1" customHeight="1">
      <c r="A4038" s="24" t="s">
        <v>12545</v>
      </c>
      <c r="B4038" s="24" t="s">
        <v>12546</v>
      </c>
      <c r="C4038" s="24" t="s">
        <v>12547</v>
      </c>
      <c r="D4038" s="25" t="s">
        <v>12548</v>
      </c>
      <c r="E4038" s="28">
        <v>1.00000</v>
      </c>
      <c r="F4038" s="29">
        <f ca="1">ROUND(19.000,3)</f>
        <v>0</v>
      </c>
      <c r="G4038" s="27">
        <f ca="1">ROUND(E4038*F4038,2)</f>
        <v>0</v>
      </c>
    </row>
    <row r="4039" spans="1:7" ht="24.36" thickBot="1" customHeight="1">
      <c r="A4039" s="24" t="s">
        <v>12549</v>
      </c>
      <c r="B4039" s="24" t="s">
        <v>12550</v>
      </c>
      <c r="C4039" s="24" t="s">
        <v>12551</v>
      </c>
      <c r="D4039" s="25" t="s">
        <v>12552</v>
      </c>
      <c r="E4039" s="28">
        <v>0.20000</v>
      </c>
      <c r="F4039" s="29">
        <f ca="1">ROUND(19.000,3)</f>
        <v>0</v>
      </c>
      <c r="G4039" s="27">
        <f ca="1">ROUND(E4039*F4039,2)</f>
        <v>0</v>
      </c>
    </row>
    <row r="4040" spans="1:7" ht="15.12" thickBot="1" customHeight="1">
      <c r="A4040" s="26"/>
      <c r="B4040" s="26"/>
      <c r="C4040" s="26"/>
      <c r="D4040" s="24" t="s">
        <v>12553</v>
      </c>
      <c r="E4040" s="28">
        <v>0.80000</v>
      </c>
      <c r="F4040" s="29">
        <f ca="1">ROUND((G4037+G4038+G4039),3)</f>
        <v>0</v>
      </c>
      <c r="G4040" s="27">
        <f ca="1">ROUND(E4040*F4040,2)</f>
        <v>0</v>
      </c>
    </row>
    <row r="4041" spans="1:7" ht="15.12" thickBot="1" customHeight="1">
      <c r="A4041" s="24" t="s">
        <v>12554</v>
      </c>
      <c r="B4041" s="24"/>
      <c r="C4041" s="24" t="s">
        <v>12555</v>
      </c>
      <c r="D4041" s="25" t="s">
        <v>12556</v>
      </c>
      <c r="E4041" s="28">
        <v>5.00000</v>
      </c>
      <c r="F4041" s="29">
        <f ca="1">ROUND(35.040,3)</f>
        <v>0</v>
      </c>
      <c r="G4041" s="27">
        <f ca="1">ROUND((E4041*F4041)/100,2)</f>
        <v>0</v>
      </c>
    </row>
    <row r="4042" spans="1:7" ht="15.48" thickBot="1" customHeight="1">
      <c r="A4042" s="30"/>
      <c r="B4042" s="30"/>
      <c r="C4042" s="30"/>
      <c r="D4042" s="31" t="s">
        <v>12557</v>
      </c>
      <c r="E4042" s="30"/>
      <c r="F4042" s="33">
        <f ca="1">ROUND((G4020+G4021+G4022+G4023+G4024+G4025+G4026+G4027+G4033+G4034+G4035+G4036+G4041)*(1+G2/100),2)</f>
        <v>0</v>
      </c>
      <c r="G4042" s="30"/>
    </row>
    <row r="4043" spans="1:7" ht="58.32" thickBot="1" customHeight="1">
      <c r="A4043" s="34" t="s">
        <v>12558</v>
      </c>
      <c r="B4043" s="35" t="s">
        <v>12559</v>
      </c>
      <c r="C4043" s="35" t="s">
        <v>12560</v>
      </c>
      <c r="D4043" s="36" t="s">
        <v>12561</v>
      </c>
      <c r="E4043" s="37"/>
      <c r="F4043" s="38">
        <f ca="1">F4067</f>
        <v>0</v>
      </c>
      <c r="G4043" s="37"/>
    </row>
    <row r="4044" spans="1:7" ht="39.84" thickBot="1" customHeight="1">
      <c r="A4044" s="26"/>
      <c r="B4044" s="26"/>
      <c r="C4044" s="26"/>
      <c r="D4044" s="25" t="s">
        <v>12562</v>
      </c>
      <c r="E4044" s="25"/>
      <c r="F4044" s="25"/>
      <c r="G4044" s="25"/>
    </row>
    <row r="4045" spans="1:7" ht="30.60" thickBot="1" customHeight="1">
      <c r="A4045" s="24" t="s">
        <v>12563</v>
      </c>
      <c r="B4045" s="24" t="s">
        <v>12564</v>
      </c>
      <c r="C4045" s="24" t="s">
        <v>12565</v>
      </c>
      <c r="D4045" s="25" t="s">
        <v>12566</v>
      </c>
      <c r="E4045" s="28">
        <v>0.20000</v>
      </c>
      <c r="F4045" s="29">
        <f ca="1">ROUND(4.920,3)</f>
        <v>0</v>
      </c>
      <c r="G4045" s="27">
        <f ca="1">ROUND(E4045*F4045,2)</f>
        <v>0</v>
      </c>
    </row>
    <row r="4046" spans="1:7" ht="21.36" thickBot="1" customHeight="1">
      <c r="A4046" s="24" t="s">
        <v>12567</v>
      </c>
      <c r="B4046" s="24" t="s">
        <v>12568</v>
      </c>
      <c r="C4046" s="24" t="s">
        <v>12569</v>
      </c>
      <c r="D4046" s="25" t="s">
        <v>12570</v>
      </c>
      <c r="E4046" s="28">
        <v>0.15000</v>
      </c>
      <c r="F4046" s="29">
        <f ca="1">ROUND(2.000,3)</f>
        <v>0</v>
      </c>
      <c r="G4046" s="27">
        <f ca="1">ROUND(E4046*F4046,2)</f>
        <v>0</v>
      </c>
    </row>
    <row r="4047" spans="1:7" ht="30.60" thickBot="1" customHeight="1">
      <c r="A4047" s="24" t="s">
        <v>12571</v>
      </c>
      <c r="B4047" s="24" t="s">
        <v>12572</v>
      </c>
      <c r="C4047" s="24" t="s">
        <v>12573</v>
      </c>
      <c r="D4047" s="25" t="s">
        <v>12574</v>
      </c>
      <c r="E4047" s="28">
        <v>0.02500</v>
      </c>
      <c r="F4047" s="29">
        <f ca="1">ROUND(8.810,3)</f>
        <v>0</v>
      </c>
      <c r="G4047" s="27">
        <f ca="1">ROUND(E4047*F4047,2)</f>
        <v>0</v>
      </c>
    </row>
    <row r="4048" spans="1:7" ht="39.84" thickBot="1" customHeight="1">
      <c r="A4048" s="24" t="s">
        <v>12575</v>
      </c>
      <c r="B4048" s="24" t="s">
        <v>12576</v>
      </c>
      <c r="C4048" s="24" t="s">
        <v>12577</v>
      </c>
      <c r="D4048" s="25" t="s">
        <v>12578</v>
      </c>
      <c r="E4048" s="28">
        <v>0.15000</v>
      </c>
      <c r="F4048" s="29">
        <f ca="1">ROUND(1.750,3)</f>
        <v>0</v>
      </c>
      <c r="G4048" s="27">
        <f ca="1">ROUND(E4048*F4048,2)</f>
        <v>0</v>
      </c>
    </row>
    <row r="4049" spans="1:7" ht="30.60" thickBot="1" customHeight="1">
      <c r="A4049" s="24" t="s">
        <v>12579</v>
      </c>
      <c r="B4049" s="24" t="s">
        <v>12580</v>
      </c>
      <c r="C4049" s="24" t="s">
        <v>12581</v>
      </c>
      <c r="D4049" s="25" t="s">
        <v>12582</v>
      </c>
      <c r="E4049" s="28">
        <v>0.20000</v>
      </c>
      <c r="F4049" s="29">
        <f ca="1">ROUND(3.740,3)</f>
        <v>0</v>
      </c>
      <c r="G4049" s="27">
        <f ca="1">ROUND(E4049*F4049,2)</f>
        <v>0</v>
      </c>
    </row>
    <row r="4050" spans="1:7" ht="30.60" thickBot="1" customHeight="1">
      <c r="A4050" s="24" t="s">
        <v>12583</v>
      </c>
      <c r="B4050" s="24" t="s">
        <v>12584</v>
      </c>
      <c r="C4050" s="24" t="s">
        <v>12585</v>
      </c>
      <c r="D4050" s="25" t="s">
        <v>12586</v>
      </c>
      <c r="E4050" s="28">
        <v>0.30000</v>
      </c>
      <c r="F4050" s="29">
        <f ca="1">ROUND(6.140,3)</f>
        <v>0</v>
      </c>
      <c r="G4050" s="27">
        <f ca="1">ROUND(E4050*F4050,2)</f>
        <v>0</v>
      </c>
    </row>
    <row r="4051" spans="1:7" ht="39.84" thickBot="1" customHeight="1">
      <c r="A4051" s="24" t="s">
        <v>12587</v>
      </c>
      <c r="B4051" s="24" t="s">
        <v>12588</v>
      </c>
      <c r="C4051" s="24" t="s">
        <v>12589</v>
      </c>
      <c r="D4051" s="25" t="s">
        <v>12590</v>
      </c>
      <c r="E4051" s="28">
        <v>0.22987</v>
      </c>
      <c r="F4051" s="29">
        <f ca="1">ROUND(7.370,3)</f>
        <v>0</v>
      </c>
      <c r="G4051" s="27">
        <f ca="1">ROUND(E4051*F4051,2)</f>
        <v>0</v>
      </c>
    </row>
    <row r="4052" spans="1:7" ht="39.84" thickBot="1" customHeight="1">
      <c r="A4052" s="24" t="s">
        <v>12591</v>
      </c>
      <c r="B4052" s="24" t="s">
        <v>12592</v>
      </c>
      <c r="C4052" s="24" t="s">
        <v>12593</v>
      </c>
      <c r="D4052" s="25" t="s">
        <v>12594</v>
      </c>
      <c r="E4052" s="28">
        <v>3.00000</v>
      </c>
      <c r="F4052" s="29">
        <f ca="1">F4057</f>
        <v>0</v>
      </c>
      <c r="G4052" s="27">
        <f ca="1">ROUND(E4052*F4052,2)</f>
        <v>0</v>
      </c>
    </row>
    <row r="4053" spans="1:7" ht="21.36" thickBot="1" customHeight="1">
      <c r="A4053" s="24" t="s">
        <v>12595</v>
      </c>
      <c r="B4053" s="24" t="s">
        <v>12596</v>
      </c>
      <c r="C4053" s="24" t="s">
        <v>12597</v>
      </c>
      <c r="D4053" s="25" t="s">
        <v>12598</v>
      </c>
      <c r="E4053" s="28">
        <v>0.20000</v>
      </c>
      <c r="F4053" s="29">
        <f ca="1">ROUND(3.540,3)</f>
        <v>0</v>
      </c>
      <c r="G4053" s="27">
        <f ca="1">ROUND(E4053*F4053,2)</f>
        <v>0</v>
      </c>
    </row>
    <row r="4054" spans="1:7" ht="24.36" thickBot="1" customHeight="1">
      <c r="A4054" s="24" t="s">
        <v>12599</v>
      </c>
      <c r="B4054" s="24" t="s">
        <v>12600</v>
      </c>
      <c r="C4054" s="24" t="s">
        <v>12601</v>
      </c>
      <c r="D4054" s="25" t="s">
        <v>12602</v>
      </c>
      <c r="E4054" s="28">
        <v>0.05333</v>
      </c>
      <c r="F4054" s="29">
        <f ca="1">ROUND(4.880,3)</f>
        <v>0</v>
      </c>
      <c r="G4054" s="27">
        <f ca="1">ROUND(E4054*F4054,2)</f>
        <v>0</v>
      </c>
    </row>
    <row r="4055" spans="1:7" ht="24.36" thickBot="1" customHeight="1">
      <c r="A4055" s="24" t="s">
        <v>12603</v>
      </c>
      <c r="B4055" s="24" t="s">
        <v>12604</v>
      </c>
      <c r="C4055" s="24" t="s">
        <v>12605</v>
      </c>
      <c r="D4055" s="25" t="s">
        <v>12606</v>
      </c>
      <c r="E4055" s="28">
        <v>0.05333</v>
      </c>
      <c r="F4055" s="29">
        <f ca="1">ROUND(19.000,3)</f>
        <v>0</v>
      </c>
      <c r="G4055" s="27">
        <f ca="1">ROUND(E4055*F4055,2)</f>
        <v>0</v>
      </c>
    </row>
    <row r="4056" spans="1:7" ht="15.12" thickBot="1" customHeight="1">
      <c r="A4056" s="24" t="s">
        <v>12607</v>
      </c>
      <c r="B4056" s="24"/>
      <c r="C4056" s="24" t="s">
        <v>12608</v>
      </c>
      <c r="D4056" s="25" t="s">
        <v>12609</v>
      </c>
      <c r="E4056" s="28">
        <v>3.00000</v>
      </c>
      <c r="F4056" s="29">
        <f ca="1">ROUND(1.010,3)</f>
        <v>0</v>
      </c>
      <c r="G4056" s="27">
        <f ca="1">ROUND((E4056*F4056)/100,2)</f>
        <v>0</v>
      </c>
    </row>
    <row r="4057" spans="1:7" ht="15.12" thickBot="1" customHeight="1">
      <c r="A4057" s="26"/>
      <c r="B4057" s="26"/>
      <c r="C4057" s="26"/>
      <c r="D4057" s="24" t="s">
        <v>12610</v>
      </c>
      <c r="E4057" s="28">
        <v>3.00000</v>
      </c>
      <c r="F4057" s="29">
        <f ca="1">ROUND((G4053+G4054+G4055+G4056),3)</f>
        <v>0</v>
      </c>
      <c r="G4057" s="27">
        <f ca="1">ROUND(E4057*F4057,2)</f>
        <v>0</v>
      </c>
    </row>
    <row r="4058" spans="1:7" ht="49.08" thickBot="1" customHeight="1">
      <c r="A4058" s="24" t="s">
        <v>12611</v>
      </c>
      <c r="B4058" s="24" t="s">
        <v>12612</v>
      </c>
      <c r="C4058" s="24" t="s">
        <v>12613</v>
      </c>
      <c r="D4058" s="25" t="s">
        <v>12614</v>
      </c>
      <c r="E4058" s="28">
        <v>0.02500</v>
      </c>
      <c r="F4058" s="29">
        <f ca="1">ROUND(45.570,3)</f>
        <v>0</v>
      </c>
      <c r="G4058" s="27">
        <f ca="1">ROUND(E4058*F4058,2)</f>
        <v>0</v>
      </c>
    </row>
    <row r="4059" spans="1:7" ht="30.60" thickBot="1" customHeight="1">
      <c r="A4059" s="24" t="s">
        <v>12615</v>
      </c>
      <c r="B4059" s="24" t="s">
        <v>12616</v>
      </c>
      <c r="C4059" s="24" t="s">
        <v>12617</v>
      </c>
      <c r="D4059" s="25" t="s">
        <v>12618</v>
      </c>
      <c r="E4059" s="28">
        <v>0.25000</v>
      </c>
      <c r="F4059" s="29">
        <f ca="1">ROUND(17.450,3)</f>
        <v>0</v>
      </c>
      <c r="G4059" s="27">
        <f ca="1">ROUND(E4059*F4059,2)</f>
        <v>0</v>
      </c>
    </row>
    <row r="4060" spans="1:7" ht="30.60" thickBot="1" customHeight="1">
      <c r="A4060" s="24" t="s">
        <v>12619</v>
      </c>
      <c r="B4060" s="24" t="s">
        <v>12620</v>
      </c>
      <c r="C4060" s="24" t="s">
        <v>12621</v>
      </c>
      <c r="D4060" s="25" t="s">
        <v>12622</v>
      </c>
      <c r="E4060" s="28">
        <v>0.00400</v>
      </c>
      <c r="F4060" s="29">
        <f ca="1">ROUND(27.500,3)</f>
        <v>0</v>
      </c>
      <c r="G4060" s="27">
        <f ca="1">ROUND(E4060*F4060,2)</f>
        <v>0</v>
      </c>
    </row>
    <row r="4061" spans="1:7" ht="21.36" thickBot="1" customHeight="1">
      <c r="A4061" s="24" t="s">
        <v>12623</v>
      </c>
      <c r="B4061" s="24" t="s">
        <v>12624</v>
      </c>
      <c r="C4061" s="24" t="s">
        <v>12625</v>
      </c>
      <c r="D4061" s="25" t="s">
        <v>12626</v>
      </c>
      <c r="E4061" s="28">
        <v>0.66667</v>
      </c>
      <c r="F4061" s="29">
        <f ca="1">F4065</f>
        <v>0</v>
      </c>
      <c r="G4061" s="27">
        <f ca="1">ROUND(E4061*F4061,2)</f>
        <v>0</v>
      </c>
    </row>
    <row r="4062" spans="1:7" ht="24.36" thickBot="1" customHeight="1">
      <c r="A4062" s="24" t="s">
        <v>12627</v>
      </c>
      <c r="B4062" s="24" t="s">
        <v>12628</v>
      </c>
      <c r="C4062" s="24" t="s">
        <v>12629</v>
      </c>
      <c r="D4062" s="25" t="s">
        <v>12630</v>
      </c>
      <c r="E4062" s="28">
        <v>1.00000</v>
      </c>
      <c r="F4062" s="29">
        <f ca="1">ROUND(21.000,3)</f>
        <v>0</v>
      </c>
      <c r="G4062" s="27">
        <f ca="1">ROUND(E4062*F4062,2)</f>
        <v>0</v>
      </c>
    </row>
    <row r="4063" spans="1:7" ht="24.36" thickBot="1" customHeight="1">
      <c r="A4063" s="24" t="s">
        <v>12631</v>
      </c>
      <c r="B4063" s="24" t="s">
        <v>12632</v>
      </c>
      <c r="C4063" s="24" t="s">
        <v>12633</v>
      </c>
      <c r="D4063" s="25" t="s">
        <v>12634</v>
      </c>
      <c r="E4063" s="28">
        <v>1.00000</v>
      </c>
      <c r="F4063" s="29">
        <f ca="1">ROUND(19.000,3)</f>
        <v>0</v>
      </c>
      <c r="G4063" s="27">
        <f ca="1">ROUND(E4063*F4063,2)</f>
        <v>0</v>
      </c>
    </row>
    <row r="4064" spans="1:7" ht="24.36" thickBot="1" customHeight="1">
      <c r="A4064" s="24" t="s">
        <v>12635</v>
      </c>
      <c r="B4064" s="24" t="s">
        <v>12636</v>
      </c>
      <c r="C4064" s="24" t="s">
        <v>12637</v>
      </c>
      <c r="D4064" s="25" t="s">
        <v>12638</v>
      </c>
      <c r="E4064" s="28">
        <v>0.20000</v>
      </c>
      <c r="F4064" s="29">
        <f ca="1">ROUND(19.000,3)</f>
        <v>0</v>
      </c>
      <c r="G4064" s="27">
        <f ca="1">ROUND(E4064*F4064,2)</f>
        <v>0</v>
      </c>
    </row>
    <row r="4065" spans="1:7" ht="15.12" thickBot="1" customHeight="1">
      <c r="A4065" s="26"/>
      <c r="B4065" s="26"/>
      <c r="C4065" s="26"/>
      <c r="D4065" s="24" t="s">
        <v>12639</v>
      </c>
      <c r="E4065" s="28">
        <v>0.66667</v>
      </c>
      <c r="F4065" s="29">
        <f ca="1">ROUND((G4062+G4063+G4064),3)</f>
        <v>0</v>
      </c>
      <c r="G4065" s="27">
        <f ca="1">ROUND(E4065*F4065,2)</f>
        <v>0</v>
      </c>
    </row>
    <row r="4066" spans="1:7" ht="15.12" thickBot="1" customHeight="1">
      <c r="A4066" s="24" t="s">
        <v>12640</v>
      </c>
      <c r="B4066" s="24"/>
      <c r="C4066" s="24" t="s">
        <v>12641</v>
      </c>
      <c r="D4066" s="25" t="s">
        <v>12642</v>
      </c>
      <c r="E4066" s="28">
        <v>5.00000</v>
      </c>
      <c r="F4066" s="29">
        <f ca="1">ROUND(29.200,3)</f>
        <v>0</v>
      </c>
      <c r="G4066" s="27">
        <f ca="1">ROUND((E4066*F4066)/100,2)</f>
        <v>0</v>
      </c>
    </row>
    <row r="4067" spans="1:7" ht="15.48" thickBot="1" customHeight="1">
      <c r="A4067" s="30"/>
      <c r="B4067" s="30"/>
      <c r="C4067" s="30"/>
      <c r="D4067" s="31" t="s">
        <v>12643</v>
      </c>
      <c r="E4067" s="30"/>
      <c r="F4067" s="33">
        <f ca="1">ROUND((G4045+G4046+G4047+G4048+G4049+G4050+G4051+G4052+G4058+G4059+G4060+G4061+G4066)*(1+G2/100),2)</f>
        <v>0</v>
      </c>
      <c r="G4067" s="30"/>
    </row>
    <row r="4068" spans="1:7" ht="58.32" thickBot="1" customHeight="1">
      <c r="A4068" s="34" t="s">
        <v>12644</v>
      </c>
      <c r="B4068" s="35" t="s">
        <v>12645</v>
      </c>
      <c r="C4068" s="35" t="s">
        <v>12646</v>
      </c>
      <c r="D4068" s="36" t="s">
        <v>12647</v>
      </c>
      <c r="E4068" s="37"/>
      <c r="F4068" s="38">
        <f ca="1">F4092</f>
        <v>0</v>
      </c>
      <c r="G4068" s="37"/>
    </row>
    <row r="4069" spans="1:7" ht="39.84" thickBot="1" customHeight="1">
      <c r="A4069" s="26"/>
      <c r="B4069" s="26"/>
      <c r="C4069" s="26"/>
      <c r="D4069" s="25" t="s">
        <v>12648</v>
      </c>
      <c r="E4069" s="25"/>
      <c r="F4069" s="25"/>
      <c r="G4069" s="25"/>
    </row>
    <row r="4070" spans="1:7" ht="30.60" thickBot="1" customHeight="1">
      <c r="A4070" s="24" t="s">
        <v>12649</v>
      </c>
      <c r="B4070" s="24" t="s">
        <v>12650</v>
      </c>
      <c r="C4070" s="24" t="s">
        <v>12651</v>
      </c>
      <c r="D4070" s="25" t="s">
        <v>12652</v>
      </c>
      <c r="E4070" s="28">
        <v>0.20000</v>
      </c>
      <c r="F4070" s="29">
        <f ca="1">ROUND(4.920,3)</f>
        <v>0</v>
      </c>
      <c r="G4070" s="27">
        <f ca="1">ROUND(E4070*F4070,2)</f>
        <v>0</v>
      </c>
    </row>
    <row r="4071" spans="1:7" ht="21.36" thickBot="1" customHeight="1">
      <c r="A4071" s="24" t="s">
        <v>12653</v>
      </c>
      <c r="B4071" s="24" t="s">
        <v>12654</v>
      </c>
      <c r="C4071" s="24" t="s">
        <v>12655</v>
      </c>
      <c r="D4071" s="25" t="s">
        <v>12656</v>
      </c>
      <c r="E4071" s="28">
        <v>0.15000</v>
      </c>
      <c r="F4071" s="29">
        <f ca="1">ROUND(2.000,3)</f>
        <v>0</v>
      </c>
      <c r="G4071" s="27">
        <f ca="1">ROUND(E4071*F4071,2)</f>
        <v>0</v>
      </c>
    </row>
    <row r="4072" spans="1:7" ht="30.60" thickBot="1" customHeight="1">
      <c r="A4072" s="24" t="s">
        <v>12657</v>
      </c>
      <c r="B4072" s="24" t="s">
        <v>12658</v>
      </c>
      <c r="C4072" s="24" t="s">
        <v>12659</v>
      </c>
      <c r="D4072" s="25" t="s">
        <v>12660</v>
      </c>
      <c r="E4072" s="28">
        <v>0.02500</v>
      </c>
      <c r="F4072" s="29">
        <f ca="1">ROUND(8.810,3)</f>
        <v>0</v>
      </c>
      <c r="G4072" s="27">
        <f ca="1">ROUND(E4072*F4072,2)</f>
        <v>0</v>
      </c>
    </row>
    <row r="4073" spans="1:7" ht="39.84" thickBot="1" customHeight="1">
      <c r="A4073" s="24" t="s">
        <v>12661</v>
      </c>
      <c r="B4073" s="24" t="s">
        <v>12662</v>
      </c>
      <c r="C4073" s="24" t="s">
        <v>12663</v>
      </c>
      <c r="D4073" s="25" t="s">
        <v>12664</v>
      </c>
      <c r="E4073" s="28">
        <v>0.15000</v>
      </c>
      <c r="F4073" s="29">
        <f ca="1">ROUND(1.750,3)</f>
        <v>0</v>
      </c>
      <c r="G4073" s="27">
        <f ca="1">ROUND(E4073*F4073,2)</f>
        <v>0</v>
      </c>
    </row>
    <row r="4074" spans="1:7" ht="30.60" thickBot="1" customHeight="1">
      <c r="A4074" s="24" t="s">
        <v>12665</v>
      </c>
      <c r="B4074" s="24" t="s">
        <v>12666</v>
      </c>
      <c r="C4074" s="24" t="s">
        <v>12667</v>
      </c>
      <c r="D4074" s="25" t="s">
        <v>12668</v>
      </c>
      <c r="E4074" s="28">
        <v>0.20000</v>
      </c>
      <c r="F4074" s="29">
        <f ca="1">ROUND(3.740,3)</f>
        <v>0</v>
      </c>
      <c r="G4074" s="27">
        <f ca="1">ROUND(E4074*F4074,2)</f>
        <v>0</v>
      </c>
    </row>
    <row r="4075" spans="1:7" ht="30.60" thickBot="1" customHeight="1">
      <c r="A4075" s="24" t="s">
        <v>12669</v>
      </c>
      <c r="B4075" s="24" t="s">
        <v>12670</v>
      </c>
      <c r="C4075" s="24" t="s">
        <v>12671</v>
      </c>
      <c r="D4075" s="25" t="s">
        <v>12672</v>
      </c>
      <c r="E4075" s="28">
        <v>0.30000</v>
      </c>
      <c r="F4075" s="29">
        <f ca="1">ROUND(6.140,3)</f>
        <v>0</v>
      </c>
      <c r="G4075" s="27">
        <f ca="1">ROUND(E4075*F4075,2)</f>
        <v>0</v>
      </c>
    </row>
    <row r="4076" spans="1:7" ht="39.84" thickBot="1" customHeight="1">
      <c r="A4076" s="24" t="s">
        <v>12673</v>
      </c>
      <c r="B4076" s="24" t="s">
        <v>12674</v>
      </c>
      <c r="C4076" s="24" t="s">
        <v>12675</v>
      </c>
      <c r="D4076" s="25" t="s">
        <v>12676</v>
      </c>
      <c r="E4076" s="28">
        <v>0.22987</v>
      </c>
      <c r="F4076" s="29">
        <f ca="1">ROUND(7.370,3)</f>
        <v>0</v>
      </c>
      <c r="G4076" s="27">
        <f ca="1">ROUND(E4076*F4076,2)</f>
        <v>0</v>
      </c>
    </row>
    <row r="4077" spans="1:7" ht="39.84" thickBot="1" customHeight="1">
      <c r="A4077" s="24" t="s">
        <v>12677</v>
      </c>
      <c r="B4077" s="24" t="s">
        <v>12678</v>
      </c>
      <c r="C4077" s="24" t="s">
        <v>12679</v>
      </c>
      <c r="D4077" s="25" t="s">
        <v>12680</v>
      </c>
      <c r="E4077" s="28">
        <v>3.00000</v>
      </c>
      <c r="F4077" s="29">
        <f ca="1">F4082</f>
        <v>0</v>
      </c>
      <c r="G4077" s="27">
        <f ca="1">ROUND(E4077*F4077,2)</f>
        <v>0</v>
      </c>
    </row>
    <row r="4078" spans="1:7" ht="21.36" thickBot="1" customHeight="1">
      <c r="A4078" s="24" t="s">
        <v>12681</v>
      </c>
      <c r="B4078" s="24" t="s">
        <v>12682</v>
      </c>
      <c r="C4078" s="24" t="s">
        <v>12683</v>
      </c>
      <c r="D4078" s="25" t="s">
        <v>12684</v>
      </c>
      <c r="E4078" s="28">
        <v>0.20000</v>
      </c>
      <c r="F4078" s="29">
        <f ca="1">ROUND(3.540,3)</f>
        <v>0</v>
      </c>
      <c r="G4078" s="27">
        <f ca="1">ROUND(E4078*F4078,2)</f>
        <v>0</v>
      </c>
    </row>
    <row r="4079" spans="1:7" ht="24.36" thickBot="1" customHeight="1">
      <c r="A4079" s="24" t="s">
        <v>12685</v>
      </c>
      <c r="B4079" s="24" t="s">
        <v>12686</v>
      </c>
      <c r="C4079" s="24" t="s">
        <v>12687</v>
      </c>
      <c r="D4079" s="25" t="s">
        <v>12688</v>
      </c>
      <c r="E4079" s="28">
        <v>0.05333</v>
      </c>
      <c r="F4079" s="29">
        <f ca="1">ROUND(4.880,3)</f>
        <v>0</v>
      </c>
      <c r="G4079" s="27">
        <f ca="1">ROUND(E4079*F4079,2)</f>
        <v>0</v>
      </c>
    </row>
    <row r="4080" spans="1:7" ht="24.36" thickBot="1" customHeight="1">
      <c r="A4080" s="24" t="s">
        <v>12689</v>
      </c>
      <c r="B4080" s="24" t="s">
        <v>12690</v>
      </c>
      <c r="C4080" s="24" t="s">
        <v>12691</v>
      </c>
      <c r="D4080" s="25" t="s">
        <v>12692</v>
      </c>
      <c r="E4080" s="28">
        <v>0.05333</v>
      </c>
      <c r="F4080" s="29">
        <f ca="1">ROUND(19.000,3)</f>
        <v>0</v>
      </c>
      <c r="G4080" s="27">
        <f ca="1">ROUND(E4080*F4080,2)</f>
        <v>0</v>
      </c>
    </row>
    <row r="4081" spans="1:7" ht="15.12" thickBot="1" customHeight="1">
      <c r="A4081" s="24" t="s">
        <v>12693</v>
      </c>
      <c r="B4081" s="24"/>
      <c r="C4081" s="24" t="s">
        <v>12694</v>
      </c>
      <c r="D4081" s="25" t="s">
        <v>12695</v>
      </c>
      <c r="E4081" s="28">
        <v>3.00000</v>
      </c>
      <c r="F4081" s="29">
        <f ca="1">ROUND(1.010,3)</f>
        <v>0</v>
      </c>
      <c r="G4081" s="27">
        <f ca="1">ROUND((E4081*F4081)/100,2)</f>
        <v>0</v>
      </c>
    </row>
    <row r="4082" spans="1:7" ht="15.12" thickBot="1" customHeight="1">
      <c r="A4082" s="26"/>
      <c r="B4082" s="26"/>
      <c r="C4082" s="26"/>
      <c r="D4082" s="24" t="s">
        <v>12696</v>
      </c>
      <c r="E4082" s="28">
        <v>3.00000</v>
      </c>
      <c r="F4082" s="29">
        <f ca="1">ROUND((G4078+G4079+G4080+G4081),3)</f>
        <v>0</v>
      </c>
      <c r="G4082" s="27">
        <f ca="1">ROUND(E4082*F4082,2)</f>
        <v>0</v>
      </c>
    </row>
    <row r="4083" spans="1:7" ht="49.08" thickBot="1" customHeight="1">
      <c r="A4083" s="24" t="s">
        <v>12697</v>
      </c>
      <c r="B4083" s="24" t="s">
        <v>12698</v>
      </c>
      <c r="C4083" s="24" t="s">
        <v>12699</v>
      </c>
      <c r="D4083" s="25" t="s">
        <v>12700</v>
      </c>
      <c r="E4083" s="28">
        <v>0.02500</v>
      </c>
      <c r="F4083" s="29">
        <f ca="1">ROUND(45.570,3)</f>
        <v>0</v>
      </c>
      <c r="G4083" s="27">
        <f ca="1">ROUND(E4083*F4083,2)</f>
        <v>0</v>
      </c>
    </row>
    <row r="4084" spans="1:7" ht="30.60" thickBot="1" customHeight="1">
      <c r="A4084" s="24" t="s">
        <v>12701</v>
      </c>
      <c r="B4084" s="24" t="s">
        <v>12702</v>
      </c>
      <c r="C4084" s="24" t="s">
        <v>12703</v>
      </c>
      <c r="D4084" s="25" t="s">
        <v>12704</v>
      </c>
      <c r="E4084" s="28">
        <v>0.25000</v>
      </c>
      <c r="F4084" s="29">
        <f ca="1">ROUND(17.450,3)</f>
        <v>0</v>
      </c>
      <c r="G4084" s="27">
        <f ca="1">ROUND(E4084*F4084,2)</f>
        <v>0</v>
      </c>
    </row>
    <row r="4085" spans="1:7" ht="30.60" thickBot="1" customHeight="1">
      <c r="A4085" s="24" t="s">
        <v>12705</v>
      </c>
      <c r="B4085" s="24" t="s">
        <v>12706</v>
      </c>
      <c r="C4085" s="24" t="s">
        <v>12707</v>
      </c>
      <c r="D4085" s="25" t="s">
        <v>12708</v>
      </c>
      <c r="E4085" s="28">
        <v>0.00400</v>
      </c>
      <c r="F4085" s="29">
        <f ca="1">ROUND(27.500,3)</f>
        <v>0</v>
      </c>
      <c r="G4085" s="27">
        <f ca="1">ROUND(E4085*F4085,2)</f>
        <v>0</v>
      </c>
    </row>
    <row r="4086" spans="1:7" ht="21.36" thickBot="1" customHeight="1">
      <c r="A4086" s="24" t="s">
        <v>12709</v>
      </c>
      <c r="B4086" s="24" t="s">
        <v>12710</v>
      </c>
      <c r="C4086" s="24" t="s">
        <v>12711</v>
      </c>
      <c r="D4086" s="25" t="s">
        <v>12712</v>
      </c>
      <c r="E4086" s="28">
        <v>1.35000</v>
      </c>
      <c r="F4086" s="29">
        <f ca="1">F4090</f>
        <v>0</v>
      </c>
      <c r="G4086" s="27">
        <f ca="1">ROUND(E4086*F4086,2)</f>
        <v>0</v>
      </c>
    </row>
    <row r="4087" spans="1:7" ht="24.36" thickBot="1" customHeight="1">
      <c r="A4087" s="24" t="s">
        <v>12713</v>
      </c>
      <c r="B4087" s="24" t="s">
        <v>12714</v>
      </c>
      <c r="C4087" s="24" t="s">
        <v>12715</v>
      </c>
      <c r="D4087" s="25" t="s">
        <v>12716</v>
      </c>
      <c r="E4087" s="28">
        <v>1.00000</v>
      </c>
      <c r="F4087" s="29">
        <f ca="1">ROUND(21.000,3)</f>
        <v>0</v>
      </c>
      <c r="G4087" s="27">
        <f ca="1">ROUND(E4087*F4087,2)</f>
        <v>0</v>
      </c>
    </row>
    <row r="4088" spans="1:7" ht="24.36" thickBot="1" customHeight="1">
      <c r="A4088" s="24" t="s">
        <v>12717</v>
      </c>
      <c r="B4088" s="24" t="s">
        <v>12718</v>
      </c>
      <c r="C4088" s="24" t="s">
        <v>12719</v>
      </c>
      <c r="D4088" s="25" t="s">
        <v>12720</v>
      </c>
      <c r="E4088" s="28">
        <v>1.00000</v>
      </c>
      <c r="F4088" s="29">
        <f ca="1">ROUND(19.000,3)</f>
        <v>0</v>
      </c>
      <c r="G4088" s="27">
        <f ca="1">ROUND(E4088*F4088,2)</f>
        <v>0</v>
      </c>
    </row>
    <row r="4089" spans="1:7" ht="24.36" thickBot="1" customHeight="1">
      <c r="A4089" s="24" t="s">
        <v>12721</v>
      </c>
      <c r="B4089" s="24" t="s">
        <v>12722</v>
      </c>
      <c r="C4089" s="24" t="s">
        <v>12723</v>
      </c>
      <c r="D4089" s="25" t="s">
        <v>12724</v>
      </c>
      <c r="E4089" s="28">
        <v>0.20000</v>
      </c>
      <c r="F4089" s="29">
        <f ca="1">ROUND(19.000,3)</f>
        <v>0</v>
      </c>
      <c r="G4089" s="27">
        <f ca="1">ROUND(E4089*F4089,2)</f>
        <v>0</v>
      </c>
    </row>
    <row r="4090" spans="1:7" ht="15.12" thickBot="1" customHeight="1">
      <c r="A4090" s="26"/>
      <c r="B4090" s="26"/>
      <c r="C4090" s="26"/>
      <c r="D4090" s="24" t="s">
        <v>12725</v>
      </c>
      <c r="E4090" s="28">
        <v>1.35000</v>
      </c>
      <c r="F4090" s="29">
        <f ca="1">ROUND((G4087+G4088+G4089),3)</f>
        <v>0</v>
      </c>
      <c r="G4090" s="27">
        <f ca="1">ROUND(E4090*F4090,2)</f>
        <v>0</v>
      </c>
    </row>
    <row r="4091" spans="1:7" ht="15.12" thickBot="1" customHeight="1">
      <c r="A4091" s="24" t="s">
        <v>12726</v>
      </c>
      <c r="B4091" s="24"/>
      <c r="C4091" s="24" t="s">
        <v>12727</v>
      </c>
      <c r="D4091" s="25" t="s">
        <v>12728</v>
      </c>
      <c r="E4091" s="28">
        <v>5.00000</v>
      </c>
      <c r="F4091" s="29">
        <f ca="1">ROUND(59.130,3)</f>
        <v>0</v>
      </c>
      <c r="G4091" s="27">
        <f ca="1">ROUND((E4091*F4091)/100,2)</f>
        <v>0</v>
      </c>
    </row>
    <row r="4092" spans="1:7" ht="15.48" thickBot="1" customHeight="1">
      <c r="A4092" s="30"/>
      <c r="B4092" s="30"/>
      <c r="C4092" s="30"/>
      <c r="D4092" s="31" t="s">
        <v>12729</v>
      </c>
      <c r="E4092" s="30"/>
      <c r="F4092" s="33">
        <f ca="1">ROUND((G4070+G4071+G4072+G4073+G4074+G4075+G4076+G4077+G4083+G4084+G4085+G4086+G4091)*(1+G2/100),2)</f>
        <v>0</v>
      </c>
      <c r="G4092" s="30"/>
    </row>
    <row r="4093" spans="1:7" ht="58.32" thickBot="1" customHeight="1">
      <c r="A4093" s="34" t="s">
        <v>12730</v>
      </c>
      <c r="B4093" s="35" t="s">
        <v>12731</v>
      </c>
      <c r="C4093" s="35" t="s">
        <v>12732</v>
      </c>
      <c r="D4093" s="36" t="s">
        <v>12733</v>
      </c>
      <c r="E4093" s="37"/>
      <c r="F4093" s="38">
        <f ca="1">F4117</f>
        <v>0</v>
      </c>
      <c r="G4093" s="37"/>
    </row>
    <row r="4094" spans="1:7" ht="39.84" thickBot="1" customHeight="1">
      <c r="A4094" s="26"/>
      <c r="B4094" s="26"/>
      <c r="C4094" s="26"/>
      <c r="D4094" s="25" t="s">
        <v>12734</v>
      </c>
      <c r="E4094" s="25"/>
      <c r="F4094" s="25"/>
      <c r="G4094" s="25"/>
    </row>
    <row r="4095" spans="1:7" ht="30.60" thickBot="1" customHeight="1">
      <c r="A4095" s="24" t="s">
        <v>12735</v>
      </c>
      <c r="B4095" s="24" t="s">
        <v>12736</v>
      </c>
      <c r="C4095" s="24" t="s">
        <v>12737</v>
      </c>
      <c r="D4095" s="25" t="s">
        <v>12738</v>
      </c>
      <c r="E4095" s="28">
        <v>0.20000</v>
      </c>
      <c r="F4095" s="29">
        <f ca="1">ROUND(4.920,3)</f>
        <v>0</v>
      </c>
      <c r="G4095" s="27">
        <f ca="1">ROUND(E4095*F4095,2)</f>
        <v>0</v>
      </c>
    </row>
    <row r="4096" spans="1:7" ht="21.36" thickBot="1" customHeight="1">
      <c r="A4096" s="24" t="s">
        <v>12739</v>
      </c>
      <c r="B4096" s="24" t="s">
        <v>12740</v>
      </c>
      <c r="C4096" s="24" t="s">
        <v>12741</v>
      </c>
      <c r="D4096" s="25" t="s">
        <v>12742</v>
      </c>
      <c r="E4096" s="28">
        <v>0.15000</v>
      </c>
      <c r="F4096" s="29">
        <f ca="1">ROUND(2.000,3)</f>
        <v>0</v>
      </c>
      <c r="G4096" s="27">
        <f ca="1">ROUND(E4096*F4096,2)</f>
        <v>0</v>
      </c>
    </row>
    <row r="4097" spans="1:7" ht="30.60" thickBot="1" customHeight="1">
      <c r="A4097" s="24" t="s">
        <v>12743</v>
      </c>
      <c r="B4097" s="24" t="s">
        <v>12744</v>
      </c>
      <c r="C4097" s="24" t="s">
        <v>12745</v>
      </c>
      <c r="D4097" s="25" t="s">
        <v>12746</v>
      </c>
      <c r="E4097" s="28">
        <v>0.02500</v>
      </c>
      <c r="F4097" s="29">
        <f ca="1">ROUND(8.810,3)</f>
        <v>0</v>
      </c>
      <c r="G4097" s="27">
        <f ca="1">ROUND(E4097*F4097,2)</f>
        <v>0</v>
      </c>
    </row>
    <row r="4098" spans="1:7" ht="39.84" thickBot="1" customHeight="1">
      <c r="A4098" s="24" t="s">
        <v>12747</v>
      </c>
      <c r="B4098" s="24" t="s">
        <v>12748</v>
      </c>
      <c r="C4098" s="24" t="s">
        <v>12749</v>
      </c>
      <c r="D4098" s="25" t="s">
        <v>12750</v>
      </c>
      <c r="E4098" s="28">
        <v>0.15000</v>
      </c>
      <c r="F4098" s="29">
        <f ca="1">ROUND(1.750,3)</f>
        <v>0</v>
      </c>
      <c r="G4098" s="27">
        <f ca="1">ROUND(E4098*F4098,2)</f>
        <v>0</v>
      </c>
    </row>
    <row r="4099" spans="1:7" ht="30.60" thickBot="1" customHeight="1">
      <c r="A4099" s="24" t="s">
        <v>12751</v>
      </c>
      <c r="B4099" s="24" t="s">
        <v>12752</v>
      </c>
      <c r="C4099" s="24" t="s">
        <v>12753</v>
      </c>
      <c r="D4099" s="25" t="s">
        <v>12754</v>
      </c>
      <c r="E4099" s="28">
        <v>0.20000</v>
      </c>
      <c r="F4099" s="29">
        <f ca="1">ROUND(3.740,3)</f>
        <v>0</v>
      </c>
      <c r="G4099" s="27">
        <f ca="1">ROUND(E4099*F4099,2)</f>
        <v>0</v>
      </c>
    </row>
    <row r="4100" spans="1:7" ht="30.60" thickBot="1" customHeight="1">
      <c r="A4100" s="24" t="s">
        <v>12755</v>
      </c>
      <c r="B4100" s="24" t="s">
        <v>12756</v>
      </c>
      <c r="C4100" s="24" t="s">
        <v>12757</v>
      </c>
      <c r="D4100" s="25" t="s">
        <v>12758</v>
      </c>
      <c r="E4100" s="28">
        <v>0.30000</v>
      </c>
      <c r="F4100" s="29">
        <f ca="1">ROUND(6.140,3)</f>
        <v>0</v>
      </c>
      <c r="G4100" s="27">
        <f ca="1">ROUND(E4100*F4100,2)</f>
        <v>0</v>
      </c>
    </row>
    <row r="4101" spans="1:7" ht="39.84" thickBot="1" customHeight="1">
      <c r="A4101" s="24" t="s">
        <v>12759</v>
      </c>
      <c r="B4101" s="24" t="s">
        <v>12760</v>
      </c>
      <c r="C4101" s="24" t="s">
        <v>12761</v>
      </c>
      <c r="D4101" s="25" t="s">
        <v>12762</v>
      </c>
      <c r="E4101" s="28">
        <v>0.22987</v>
      </c>
      <c r="F4101" s="29">
        <f ca="1">ROUND(7.370,3)</f>
        <v>0</v>
      </c>
      <c r="G4101" s="27">
        <f ca="1">ROUND(E4101*F4101,2)</f>
        <v>0</v>
      </c>
    </row>
    <row r="4102" spans="1:7" ht="39.84" thickBot="1" customHeight="1">
      <c r="A4102" s="24" t="s">
        <v>12763</v>
      </c>
      <c r="B4102" s="24" t="s">
        <v>12764</v>
      </c>
      <c r="C4102" s="24" t="s">
        <v>12765</v>
      </c>
      <c r="D4102" s="25" t="s">
        <v>12766</v>
      </c>
      <c r="E4102" s="28">
        <v>3.00000</v>
      </c>
      <c r="F4102" s="29">
        <f ca="1">F4107</f>
        <v>0</v>
      </c>
      <c r="G4102" s="27">
        <f ca="1">ROUND(E4102*F4102,2)</f>
        <v>0</v>
      </c>
    </row>
    <row r="4103" spans="1:7" ht="21.36" thickBot="1" customHeight="1">
      <c r="A4103" s="24" t="s">
        <v>12767</v>
      </c>
      <c r="B4103" s="24" t="s">
        <v>12768</v>
      </c>
      <c r="C4103" s="24" t="s">
        <v>12769</v>
      </c>
      <c r="D4103" s="25" t="s">
        <v>12770</v>
      </c>
      <c r="E4103" s="28">
        <v>0.20000</v>
      </c>
      <c r="F4103" s="29">
        <f ca="1">ROUND(3.540,3)</f>
        <v>0</v>
      </c>
      <c r="G4103" s="27">
        <f ca="1">ROUND(E4103*F4103,2)</f>
        <v>0</v>
      </c>
    </row>
    <row r="4104" spans="1:7" ht="24.36" thickBot="1" customHeight="1">
      <c r="A4104" s="24" t="s">
        <v>12771</v>
      </c>
      <c r="B4104" s="24" t="s">
        <v>12772</v>
      </c>
      <c r="C4104" s="24" t="s">
        <v>12773</v>
      </c>
      <c r="D4104" s="25" t="s">
        <v>12774</v>
      </c>
      <c r="E4104" s="28">
        <v>0.05333</v>
      </c>
      <c r="F4104" s="29">
        <f ca="1">ROUND(4.880,3)</f>
        <v>0</v>
      </c>
      <c r="G4104" s="27">
        <f ca="1">ROUND(E4104*F4104,2)</f>
        <v>0</v>
      </c>
    </row>
    <row r="4105" spans="1:7" ht="24.36" thickBot="1" customHeight="1">
      <c r="A4105" s="24" t="s">
        <v>12775</v>
      </c>
      <c r="B4105" s="24" t="s">
        <v>12776</v>
      </c>
      <c r="C4105" s="24" t="s">
        <v>12777</v>
      </c>
      <c r="D4105" s="25" t="s">
        <v>12778</v>
      </c>
      <c r="E4105" s="28">
        <v>0.05333</v>
      </c>
      <c r="F4105" s="29">
        <f ca="1">ROUND(19.000,3)</f>
        <v>0</v>
      </c>
      <c r="G4105" s="27">
        <f ca="1">ROUND(E4105*F4105,2)</f>
        <v>0</v>
      </c>
    </row>
    <row r="4106" spans="1:7" ht="15.12" thickBot="1" customHeight="1">
      <c r="A4106" s="24" t="s">
        <v>12779</v>
      </c>
      <c r="B4106" s="24"/>
      <c r="C4106" s="24" t="s">
        <v>12780</v>
      </c>
      <c r="D4106" s="25" t="s">
        <v>12781</v>
      </c>
      <c r="E4106" s="28">
        <v>3.00000</v>
      </c>
      <c r="F4106" s="29">
        <f ca="1">ROUND(1.010,3)</f>
        <v>0</v>
      </c>
      <c r="G4106" s="27">
        <f ca="1">ROUND((E4106*F4106)/100,2)</f>
        <v>0</v>
      </c>
    </row>
    <row r="4107" spans="1:7" ht="15.12" thickBot="1" customHeight="1">
      <c r="A4107" s="26"/>
      <c r="B4107" s="26"/>
      <c r="C4107" s="26"/>
      <c r="D4107" s="24" t="s">
        <v>12782</v>
      </c>
      <c r="E4107" s="28">
        <v>3.00000</v>
      </c>
      <c r="F4107" s="29">
        <f ca="1">ROUND((G4103+G4104+G4105+G4106),3)</f>
        <v>0</v>
      </c>
      <c r="G4107" s="27">
        <f ca="1">ROUND(E4107*F4107,2)</f>
        <v>0</v>
      </c>
    </row>
    <row r="4108" spans="1:7" ht="49.08" thickBot="1" customHeight="1">
      <c r="A4108" s="24" t="s">
        <v>12783</v>
      </c>
      <c r="B4108" s="24" t="s">
        <v>12784</v>
      </c>
      <c r="C4108" s="24" t="s">
        <v>12785</v>
      </c>
      <c r="D4108" s="25" t="s">
        <v>12786</v>
      </c>
      <c r="E4108" s="28">
        <v>0.02500</v>
      </c>
      <c r="F4108" s="29">
        <f ca="1">ROUND(45.570,3)</f>
        <v>0</v>
      </c>
      <c r="G4108" s="27">
        <f ca="1">ROUND(E4108*F4108,2)</f>
        <v>0</v>
      </c>
    </row>
    <row r="4109" spans="1:7" ht="30.60" thickBot="1" customHeight="1">
      <c r="A4109" s="24" t="s">
        <v>12787</v>
      </c>
      <c r="B4109" s="24" t="s">
        <v>12788</v>
      </c>
      <c r="C4109" s="24" t="s">
        <v>12789</v>
      </c>
      <c r="D4109" s="25" t="s">
        <v>12790</v>
      </c>
      <c r="E4109" s="28">
        <v>0.25000</v>
      </c>
      <c r="F4109" s="29">
        <f ca="1">ROUND(17.450,3)</f>
        <v>0</v>
      </c>
      <c r="G4109" s="27">
        <f ca="1">ROUND(E4109*F4109,2)</f>
        <v>0</v>
      </c>
    </row>
    <row r="4110" spans="1:7" ht="30.60" thickBot="1" customHeight="1">
      <c r="A4110" s="24" t="s">
        <v>12791</v>
      </c>
      <c r="B4110" s="24" t="s">
        <v>12792</v>
      </c>
      <c r="C4110" s="24" t="s">
        <v>12793</v>
      </c>
      <c r="D4110" s="25" t="s">
        <v>12794</v>
      </c>
      <c r="E4110" s="28">
        <v>0.00400</v>
      </c>
      <c r="F4110" s="29">
        <f ca="1">ROUND(27.500,3)</f>
        <v>0</v>
      </c>
      <c r="G4110" s="27">
        <f ca="1">ROUND(E4110*F4110,2)</f>
        <v>0</v>
      </c>
    </row>
    <row r="4111" spans="1:7" ht="21.36" thickBot="1" customHeight="1">
      <c r="A4111" s="24" t="s">
        <v>12795</v>
      </c>
      <c r="B4111" s="24" t="s">
        <v>12796</v>
      </c>
      <c r="C4111" s="24" t="s">
        <v>12797</v>
      </c>
      <c r="D4111" s="25" t="s">
        <v>12798</v>
      </c>
      <c r="E4111" s="28">
        <v>1.00000</v>
      </c>
      <c r="F4111" s="29">
        <f ca="1">F4115</f>
        <v>0</v>
      </c>
      <c r="G4111" s="27">
        <f ca="1">ROUND(E4111*F4111,2)</f>
        <v>0</v>
      </c>
    </row>
    <row r="4112" spans="1:7" ht="24.36" thickBot="1" customHeight="1">
      <c r="A4112" s="24" t="s">
        <v>12799</v>
      </c>
      <c r="B4112" s="24" t="s">
        <v>12800</v>
      </c>
      <c r="C4112" s="24" t="s">
        <v>12801</v>
      </c>
      <c r="D4112" s="25" t="s">
        <v>12802</v>
      </c>
      <c r="E4112" s="28">
        <v>1.00000</v>
      </c>
      <c r="F4112" s="29">
        <f ca="1">ROUND(21.000,3)</f>
        <v>0</v>
      </c>
      <c r="G4112" s="27">
        <f ca="1">ROUND(E4112*F4112,2)</f>
        <v>0</v>
      </c>
    </row>
    <row r="4113" spans="1:7" ht="24.36" thickBot="1" customHeight="1">
      <c r="A4113" s="24" t="s">
        <v>12803</v>
      </c>
      <c r="B4113" s="24" t="s">
        <v>12804</v>
      </c>
      <c r="C4113" s="24" t="s">
        <v>12805</v>
      </c>
      <c r="D4113" s="25" t="s">
        <v>12806</v>
      </c>
      <c r="E4113" s="28">
        <v>1.00000</v>
      </c>
      <c r="F4113" s="29">
        <f ca="1">ROUND(19.000,3)</f>
        <v>0</v>
      </c>
      <c r="G4113" s="27">
        <f ca="1">ROUND(E4113*F4113,2)</f>
        <v>0</v>
      </c>
    </row>
    <row r="4114" spans="1:7" ht="24.36" thickBot="1" customHeight="1">
      <c r="A4114" s="24" t="s">
        <v>12807</v>
      </c>
      <c r="B4114" s="24" t="s">
        <v>12808</v>
      </c>
      <c r="C4114" s="24" t="s">
        <v>12809</v>
      </c>
      <c r="D4114" s="25" t="s">
        <v>12810</v>
      </c>
      <c r="E4114" s="28">
        <v>0.20000</v>
      </c>
      <c r="F4114" s="29">
        <f ca="1">ROUND(19.000,3)</f>
        <v>0</v>
      </c>
      <c r="G4114" s="27">
        <f ca="1">ROUND(E4114*F4114,2)</f>
        <v>0</v>
      </c>
    </row>
    <row r="4115" spans="1:7" ht="15.12" thickBot="1" customHeight="1">
      <c r="A4115" s="26"/>
      <c r="B4115" s="26"/>
      <c r="C4115" s="26"/>
      <c r="D4115" s="24" t="s">
        <v>12811</v>
      </c>
      <c r="E4115" s="28">
        <v>1.00000</v>
      </c>
      <c r="F4115" s="29">
        <f ca="1">ROUND((G4112+G4113+G4114),3)</f>
        <v>0</v>
      </c>
      <c r="G4115" s="27">
        <f ca="1">ROUND(E4115*F4115,2)</f>
        <v>0</v>
      </c>
    </row>
    <row r="4116" spans="1:7" ht="15.12" thickBot="1" customHeight="1">
      <c r="A4116" s="24" t="s">
        <v>12812</v>
      </c>
      <c r="B4116" s="24"/>
      <c r="C4116" s="24" t="s">
        <v>12813</v>
      </c>
      <c r="D4116" s="25" t="s">
        <v>12814</v>
      </c>
      <c r="E4116" s="28">
        <v>5.00000</v>
      </c>
      <c r="F4116" s="29">
        <f ca="1">ROUND(43.800,3)</f>
        <v>0</v>
      </c>
      <c r="G4116" s="27">
        <f ca="1">ROUND((E4116*F4116)/100,2)</f>
        <v>0</v>
      </c>
    </row>
    <row r="4117" spans="1:7" ht="15.48" thickBot="1" customHeight="1">
      <c r="A4117" s="30"/>
      <c r="B4117" s="30"/>
      <c r="C4117" s="30"/>
      <c r="D4117" s="31" t="s">
        <v>12815</v>
      </c>
      <c r="E4117" s="30"/>
      <c r="F4117" s="33">
        <f ca="1">ROUND((G4095+G4096+G4097+G4098+G4099+G4100+G4101+G4102+G4108+G4109+G4110+G4111+G4116)*(1+G2/100),2)</f>
        <v>0</v>
      </c>
      <c r="G4117" s="30"/>
    </row>
    <row r="4118" spans="1:7" ht="15.48" thickBot="1" customHeight="1">
      <c r="A4118" s="34" t="s">
        <v>12816</v>
      </c>
      <c r="B4118" s="35" t="s">
        <v>12817</v>
      </c>
      <c r="C4118" s="35" t="s">
        <v>12818</v>
      </c>
      <c r="D4118" s="36" t="s">
        <v>12819</v>
      </c>
      <c r="E4118" s="37"/>
      <c r="F4118" s="38">
        <f ca="1">F4140</f>
        <v>0</v>
      </c>
      <c r="G4118" s="37"/>
    </row>
    <row r="4119" spans="1:7" ht="12.12" thickBot="1" customHeight="1">
      <c r="A4119" s="26"/>
      <c r="B4119" s="26"/>
      <c r="C4119" s="26"/>
      <c r="D4119" s="25" t="s">
        <v>12820</v>
      </c>
      <c r="E4119" s="25"/>
      <c r="F4119" s="25"/>
      <c r="G4119" s="25"/>
    </row>
    <row r="4120" spans="1:7" ht="15.12" thickBot="1" customHeight="1">
      <c r="A4120" s="24" t="s">
        <v>12821</v>
      </c>
      <c r="B4120" s="24" t="s">
        <v>12822</v>
      </c>
      <c r="C4120" s="24" t="s">
        <v>12823</v>
      </c>
      <c r="D4120" s="25" t="s">
        <v>12824</v>
      </c>
      <c r="E4120" s="28">
        <v>0.00000</v>
      </c>
      <c r="F4120" s="29">
        <f ca="1">F4124</f>
        <v>0</v>
      </c>
      <c r="G4120" s="27">
        <f ca="1">ROUND(E4120*F4120,2)</f>
        <v>0</v>
      </c>
    </row>
    <row r="4121" spans="1:7" ht="24.36" thickBot="1" customHeight="1">
      <c r="A4121" s="24" t="s">
        <v>12825</v>
      </c>
      <c r="B4121" s="24" t="s">
        <v>12826</v>
      </c>
      <c r="C4121" s="24" t="s">
        <v>12827</v>
      </c>
      <c r="D4121" s="25" t="s">
        <v>12828</v>
      </c>
      <c r="E4121" s="28">
        <v>0.32000</v>
      </c>
      <c r="F4121" s="29">
        <f ca="1">ROUND(49.500,3)</f>
        <v>0</v>
      </c>
      <c r="G4121" s="27">
        <f ca="1">ROUND(E4121*F4121,2)</f>
        <v>0</v>
      </c>
    </row>
    <row r="4122" spans="1:7" ht="15.12" thickBot="1" customHeight="1">
      <c r="A4122" s="24" t="s">
        <v>12829</v>
      </c>
      <c r="B4122" s="24" t="s">
        <v>12830</v>
      </c>
      <c r="C4122" s="24" t="s">
        <v>12831</v>
      </c>
      <c r="D4122" s="25" t="s">
        <v>12832</v>
      </c>
      <c r="E4122" s="28">
        <v>0.00200</v>
      </c>
      <c r="F4122" s="29">
        <f ca="1">ROUND(32.000,3)</f>
        <v>0</v>
      </c>
      <c r="G4122" s="27">
        <f ca="1">ROUND(E4122*F4122,2)</f>
        <v>0</v>
      </c>
    </row>
    <row r="4123" spans="1:7" ht="24.36" thickBot="1" customHeight="1">
      <c r="A4123" s="24" t="s">
        <v>12833</v>
      </c>
      <c r="B4123" s="24" t="s">
        <v>12834</v>
      </c>
      <c r="C4123" s="24" t="s">
        <v>12835</v>
      </c>
      <c r="D4123" s="25" t="s">
        <v>12836</v>
      </c>
      <c r="E4123" s="28">
        <v>0.02200</v>
      </c>
      <c r="F4123" s="29">
        <f ca="1">ROUND(33.750,3)</f>
        <v>0</v>
      </c>
      <c r="G4123" s="27">
        <f ca="1">ROUND(E4123*F4123,2)</f>
        <v>0</v>
      </c>
    </row>
    <row r="4124" spans="1:7" ht="15.12" thickBot="1" customHeight="1">
      <c r="A4124" s="26"/>
      <c r="B4124" s="26"/>
      <c r="C4124" s="26"/>
      <c r="D4124" s="24" t="s">
        <v>12837</v>
      </c>
      <c r="E4124" s="28">
        <v>0.00000</v>
      </c>
      <c r="F4124" s="29">
        <f ca="1">ROUND((G4121+G4122+G4123),3)</f>
        <v>0</v>
      </c>
      <c r="G4124" s="27">
        <f ca="1">ROUND(E4124*F4124,2)</f>
        <v>0</v>
      </c>
    </row>
    <row r="4125" spans="1:7" ht="15.12" thickBot="1" customHeight="1">
      <c r="A4125" s="24" t="s">
        <v>12838</v>
      </c>
      <c r="B4125" s="24" t="s">
        <v>12839</v>
      </c>
      <c r="C4125" s="24" t="s">
        <v>12840</v>
      </c>
      <c r="D4125" s="25" t="s">
        <v>12841</v>
      </c>
      <c r="E4125" s="28">
        <v>0.00000</v>
      </c>
      <c r="F4125" s="29">
        <f ca="1">F4129</f>
        <v>0</v>
      </c>
      <c r="G4125" s="27">
        <f ca="1">ROUND(E4125*F4125,2)</f>
        <v>0</v>
      </c>
    </row>
    <row r="4126" spans="1:7" ht="24.36" thickBot="1" customHeight="1">
      <c r="A4126" s="24" t="s">
        <v>12842</v>
      </c>
      <c r="B4126" s="24" t="s">
        <v>12843</v>
      </c>
      <c r="C4126" s="24" t="s">
        <v>12844</v>
      </c>
      <c r="D4126" s="25" t="s">
        <v>12845</v>
      </c>
      <c r="E4126" s="28">
        <v>0.26700</v>
      </c>
      <c r="F4126" s="29">
        <f ca="1">ROUND(49.500,3)</f>
        <v>0</v>
      </c>
      <c r="G4126" s="27">
        <f ca="1">ROUND(E4126*F4126,2)</f>
        <v>0</v>
      </c>
    </row>
    <row r="4127" spans="1:7" ht="15.12" thickBot="1" customHeight="1">
      <c r="A4127" s="24" t="s">
        <v>12846</v>
      </c>
      <c r="B4127" s="24" t="s">
        <v>12847</v>
      </c>
      <c r="C4127" s="24" t="s">
        <v>12848</v>
      </c>
      <c r="D4127" s="25" t="s">
        <v>12849</v>
      </c>
      <c r="E4127" s="28">
        <v>0.00500</v>
      </c>
      <c r="F4127" s="29">
        <f ca="1">ROUND(32.000,3)</f>
        <v>0</v>
      </c>
      <c r="G4127" s="27">
        <f ca="1">ROUND(E4127*F4127,2)</f>
        <v>0</v>
      </c>
    </row>
    <row r="4128" spans="1:7" ht="24.36" thickBot="1" customHeight="1">
      <c r="A4128" s="24" t="s">
        <v>12850</v>
      </c>
      <c r="B4128" s="24" t="s">
        <v>12851</v>
      </c>
      <c r="C4128" s="24" t="s">
        <v>12852</v>
      </c>
      <c r="D4128" s="25" t="s">
        <v>12853</v>
      </c>
      <c r="E4128" s="28">
        <v>0.02200</v>
      </c>
      <c r="F4128" s="29">
        <f ca="1">ROUND(33.750,3)</f>
        <v>0</v>
      </c>
      <c r="G4128" s="27">
        <f ca="1">ROUND(E4128*F4128,2)</f>
        <v>0</v>
      </c>
    </row>
    <row r="4129" spans="1:7" ht="15.12" thickBot="1" customHeight="1">
      <c r="A4129" s="26"/>
      <c r="B4129" s="26"/>
      <c r="C4129" s="26"/>
      <c r="D4129" s="24" t="s">
        <v>12854</v>
      </c>
      <c r="E4129" s="28">
        <v>0.00000</v>
      </c>
      <c r="F4129" s="29">
        <f ca="1">ROUND((G4126+G4127+G4128),3)</f>
        <v>0</v>
      </c>
      <c r="G4129" s="27">
        <f ca="1">ROUND(E4129*F4129,2)</f>
        <v>0</v>
      </c>
    </row>
    <row r="4130" spans="1:7" ht="15.12" thickBot="1" customHeight="1">
      <c r="A4130" s="24" t="s">
        <v>12855</v>
      </c>
      <c r="B4130" s="24" t="s">
        <v>12856</v>
      </c>
      <c r="C4130" s="24" t="s">
        <v>12857</v>
      </c>
      <c r="D4130" s="25" t="s">
        <v>12858</v>
      </c>
      <c r="E4130" s="28">
        <v>0.00000</v>
      </c>
      <c r="F4130" s="29">
        <f ca="1">F4134</f>
        <v>0</v>
      </c>
      <c r="G4130" s="27">
        <f ca="1">ROUND(E4130*F4130,2)</f>
        <v>0</v>
      </c>
    </row>
    <row r="4131" spans="1:7" ht="24.36" thickBot="1" customHeight="1">
      <c r="A4131" s="24" t="s">
        <v>12859</v>
      </c>
      <c r="B4131" s="24" t="s">
        <v>12860</v>
      </c>
      <c r="C4131" s="24" t="s">
        <v>12861</v>
      </c>
      <c r="D4131" s="25" t="s">
        <v>12862</v>
      </c>
      <c r="E4131" s="28">
        <v>0.32000</v>
      </c>
      <c r="F4131" s="29">
        <f ca="1">ROUND(49.500,3)</f>
        <v>0</v>
      </c>
      <c r="G4131" s="27">
        <f ca="1">ROUND(E4131*F4131,2)</f>
        <v>0</v>
      </c>
    </row>
    <row r="4132" spans="1:7" ht="15.12" thickBot="1" customHeight="1">
      <c r="A4132" s="24" t="s">
        <v>12863</v>
      </c>
      <c r="B4132" s="24" t="s">
        <v>12864</v>
      </c>
      <c r="C4132" s="24" t="s">
        <v>12865</v>
      </c>
      <c r="D4132" s="25" t="s">
        <v>12866</v>
      </c>
      <c r="E4132" s="28">
        <v>0.00200</v>
      </c>
      <c r="F4132" s="29">
        <f ca="1">ROUND(32.000,3)</f>
        <v>0</v>
      </c>
      <c r="G4132" s="27">
        <f ca="1">ROUND(E4132*F4132,2)</f>
        <v>0</v>
      </c>
    </row>
    <row r="4133" spans="1:7" ht="24.36" thickBot="1" customHeight="1">
      <c r="A4133" s="24" t="s">
        <v>12867</v>
      </c>
      <c r="B4133" s="24" t="s">
        <v>12868</v>
      </c>
      <c r="C4133" s="24" t="s">
        <v>12869</v>
      </c>
      <c r="D4133" s="25" t="s">
        <v>12870</v>
      </c>
      <c r="E4133" s="28">
        <v>0.02200</v>
      </c>
      <c r="F4133" s="29">
        <f ca="1">ROUND(33.750,3)</f>
        <v>0</v>
      </c>
      <c r="G4133" s="27">
        <f ca="1">ROUND(E4133*F4133,2)</f>
        <v>0</v>
      </c>
    </row>
    <row r="4134" spans="1:7" ht="15.12" thickBot="1" customHeight="1">
      <c r="A4134" s="26"/>
      <c r="B4134" s="26"/>
      <c r="C4134" s="26"/>
      <c r="D4134" s="24" t="s">
        <v>12871</v>
      </c>
      <c r="E4134" s="28">
        <v>0.00000</v>
      </c>
      <c r="F4134" s="29">
        <f ca="1">ROUND((G4131+G4132+G4133),3)</f>
        <v>0</v>
      </c>
      <c r="G4134" s="27">
        <f ca="1">ROUND(E4134*F4134,2)</f>
        <v>0</v>
      </c>
    </row>
    <row r="4135" spans="1:7" ht="21.36" thickBot="1" customHeight="1">
      <c r="A4135" s="24" t="s">
        <v>12872</v>
      </c>
      <c r="B4135" s="24" t="s">
        <v>12873</v>
      </c>
      <c r="C4135" s="24" t="s">
        <v>12874</v>
      </c>
      <c r="D4135" s="25" t="s">
        <v>12875</v>
      </c>
      <c r="E4135" s="28">
        <v>0.00000</v>
      </c>
      <c r="F4135" s="29">
        <f ca="1">F4139</f>
        <v>0</v>
      </c>
      <c r="G4135" s="27">
        <f ca="1">ROUND(E4135*F4135,2)</f>
        <v>0</v>
      </c>
    </row>
    <row r="4136" spans="1:7" ht="24.36" thickBot="1" customHeight="1">
      <c r="A4136" s="24" t="s">
        <v>12876</v>
      </c>
      <c r="B4136" s="24" t="s">
        <v>12877</v>
      </c>
      <c r="C4136" s="24" t="s">
        <v>12878</v>
      </c>
      <c r="D4136" s="25" t="s">
        <v>12879</v>
      </c>
      <c r="E4136" s="28">
        <v>0.32000</v>
      </c>
      <c r="F4136" s="29">
        <f ca="1">ROUND(49.500,3)</f>
        <v>0</v>
      </c>
      <c r="G4136" s="27">
        <f ca="1">ROUND(E4136*F4136,2)</f>
        <v>0</v>
      </c>
    </row>
    <row r="4137" spans="1:7" ht="15.12" thickBot="1" customHeight="1">
      <c r="A4137" s="24" t="s">
        <v>12880</v>
      </c>
      <c r="B4137" s="24" t="s">
        <v>12881</v>
      </c>
      <c r="C4137" s="24" t="s">
        <v>12882</v>
      </c>
      <c r="D4137" s="25" t="s">
        <v>12883</v>
      </c>
      <c r="E4137" s="28">
        <v>0.00200</v>
      </c>
      <c r="F4137" s="29">
        <f ca="1">ROUND(32.000,3)</f>
        <v>0</v>
      </c>
      <c r="G4137" s="27">
        <f ca="1">ROUND(E4137*F4137,2)</f>
        <v>0</v>
      </c>
    </row>
    <row r="4138" spans="1:7" ht="24.36" thickBot="1" customHeight="1">
      <c r="A4138" s="24" t="s">
        <v>12884</v>
      </c>
      <c r="B4138" s="24" t="s">
        <v>12885</v>
      </c>
      <c r="C4138" s="24" t="s">
        <v>12886</v>
      </c>
      <c r="D4138" s="25" t="s">
        <v>12887</v>
      </c>
      <c r="E4138" s="28">
        <v>0.02200</v>
      </c>
      <c r="F4138" s="29">
        <f ca="1">ROUND(33.750,3)</f>
        <v>0</v>
      </c>
      <c r="G4138" s="27">
        <f ca="1">ROUND(E4138*F4138,2)</f>
        <v>0</v>
      </c>
    </row>
    <row r="4139" spans="1:7" ht="15.12" thickBot="1" customHeight="1">
      <c r="A4139" s="26"/>
      <c r="B4139" s="26"/>
      <c r="C4139" s="26"/>
      <c r="D4139" s="24" t="s">
        <v>12888</v>
      </c>
      <c r="E4139" s="28">
        <v>0.00000</v>
      </c>
      <c r="F4139" s="29">
        <f ca="1">ROUND((G4136+G4137+G4138),3)</f>
        <v>0</v>
      </c>
      <c r="G4139" s="27">
        <f ca="1">ROUND(E4139*F4139,2)</f>
        <v>0</v>
      </c>
    </row>
    <row r="4140" spans="1:7" ht="15.48" thickBot="1" customHeight="1">
      <c r="A4140" s="30"/>
      <c r="B4140" s="30"/>
      <c r="C4140" s="30"/>
      <c r="D4140" s="31" t="s">
        <v>12889</v>
      </c>
      <c r="E4140" s="30"/>
      <c r="F4140" s="33">
        <f ca="1">ROUND((G4120+G4125+G4130+G4135)*(1+G2/100),2)</f>
        <v>0</v>
      </c>
      <c r="G4140" s="30"/>
    </row>
    <row r="4141" spans="1:7" ht="39.84" thickBot="1" customHeight="1">
      <c r="A4141" s="34" t="s">
        <v>12890</v>
      </c>
      <c r="B4141" s="35" t="s">
        <v>12891</v>
      </c>
      <c r="C4141" s="35" t="s">
        <v>12892</v>
      </c>
      <c r="D4141" s="36" t="s">
        <v>12893</v>
      </c>
      <c r="E4141" s="37"/>
      <c r="F4141" s="38">
        <f ca="1">F4153</f>
        <v>0</v>
      </c>
      <c r="G4141" s="37"/>
    </row>
    <row r="4142" spans="1:7" ht="30.60" thickBot="1" customHeight="1">
      <c r="A4142" s="26"/>
      <c r="B4142" s="26"/>
      <c r="C4142" s="26"/>
      <c r="D4142" s="25" t="s">
        <v>12894</v>
      </c>
      <c r="E4142" s="25"/>
      <c r="F4142" s="25"/>
      <c r="G4142" s="25"/>
    </row>
    <row r="4143" spans="1:7" ht="30.60" thickBot="1" customHeight="1">
      <c r="A4143" s="24" t="s">
        <v>12895</v>
      </c>
      <c r="B4143" s="24" t="s">
        <v>12896</v>
      </c>
      <c r="C4143" s="24" t="s">
        <v>12897</v>
      </c>
      <c r="D4143" s="25" t="s">
        <v>12898</v>
      </c>
      <c r="E4143" s="28">
        <v>1.50000</v>
      </c>
      <c r="F4143" s="29">
        <f ca="1">ROUND(3.850,3)</f>
        <v>0</v>
      </c>
      <c r="G4143" s="27">
        <f ca="1">ROUND(E4143*F4143,2)</f>
        <v>0</v>
      </c>
    </row>
    <row r="4144" spans="1:7" ht="30.60" thickBot="1" customHeight="1">
      <c r="A4144" s="24" t="s">
        <v>12899</v>
      </c>
      <c r="B4144" s="24" t="s">
        <v>12900</v>
      </c>
      <c r="C4144" s="24" t="s">
        <v>12901</v>
      </c>
      <c r="D4144" s="25" t="s">
        <v>12902</v>
      </c>
      <c r="E4144" s="28">
        <v>0.02200</v>
      </c>
      <c r="F4144" s="29">
        <f ca="1">ROUND(27.500,3)</f>
        <v>0</v>
      </c>
      <c r="G4144" s="27">
        <f ca="1">ROUND(E4144*F4144,2)</f>
        <v>0</v>
      </c>
    </row>
    <row r="4145" spans="1:7" ht="21.36" thickBot="1" customHeight="1">
      <c r="A4145" s="24" t="s">
        <v>12903</v>
      </c>
      <c r="B4145" s="24" t="s">
        <v>12904</v>
      </c>
      <c r="C4145" s="24" t="s">
        <v>12905</v>
      </c>
      <c r="D4145" s="25" t="s">
        <v>12906</v>
      </c>
      <c r="E4145" s="28">
        <v>0.37500</v>
      </c>
      <c r="F4145" s="29">
        <f ca="1">ROUND(1.050,3)</f>
        <v>0</v>
      </c>
      <c r="G4145" s="27">
        <f ca="1">ROUND(E4145*F4145,2)</f>
        <v>0</v>
      </c>
    </row>
    <row r="4146" spans="1:7" ht="39.84" thickBot="1" customHeight="1">
      <c r="A4146" s="24" t="s">
        <v>12907</v>
      </c>
      <c r="B4146" s="24" t="s">
        <v>12908</v>
      </c>
      <c r="C4146" s="24" t="s">
        <v>12909</v>
      </c>
      <c r="D4146" s="25" t="s">
        <v>12910</v>
      </c>
      <c r="E4146" s="28">
        <v>0.15000</v>
      </c>
      <c r="F4146" s="29">
        <f ca="1">ROUND(4.050,3)</f>
        <v>0</v>
      </c>
      <c r="G4146" s="27">
        <f ca="1">ROUND(E4146*F4146,2)</f>
        <v>0</v>
      </c>
    </row>
    <row r="4147" spans="1:7" ht="21.36" thickBot="1" customHeight="1">
      <c r="A4147" s="24" t="s">
        <v>12911</v>
      </c>
      <c r="B4147" s="24" t="s">
        <v>12912</v>
      </c>
      <c r="C4147" s="24" t="s">
        <v>12913</v>
      </c>
      <c r="D4147" s="25" t="s">
        <v>12914</v>
      </c>
      <c r="E4147" s="28">
        <v>0.66667</v>
      </c>
      <c r="F4147" s="29">
        <f ca="1">F4151</f>
        <v>0</v>
      </c>
      <c r="G4147" s="27">
        <f ca="1">ROUND(E4147*F4147,2)</f>
        <v>0</v>
      </c>
    </row>
    <row r="4148" spans="1:7" ht="24.36" thickBot="1" customHeight="1">
      <c r="A4148" s="24" t="s">
        <v>12915</v>
      </c>
      <c r="B4148" s="24" t="s">
        <v>12916</v>
      </c>
      <c r="C4148" s="24" t="s">
        <v>12917</v>
      </c>
      <c r="D4148" s="25" t="s">
        <v>12918</v>
      </c>
      <c r="E4148" s="28">
        <v>1.00000</v>
      </c>
      <c r="F4148" s="29">
        <f ca="1">ROUND(21.000,3)</f>
        <v>0</v>
      </c>
      <c r="G4148" s="27">
        <f ca="1">ROUND(E4148*F4148,2)</f>
        <v>0</v>
      </c>
    </row>
    <row r="4149" spans="1:7" ht="24.36" thickBot="1" customHeight="1">
      <c r="A4149" s="24" t="s">
        <v>12919</v>
      </c>
      <c r="B4149" s="24" t="s">
        <v>12920</v>
      </c>
      <c r="C4149" s="24" t="s">
        <v>12921</v>
      </c>
      <c r="D4149" s="25" t="s">
        <v>12922</v>
      </c>
      <c r="E4149" s="28">
        <v>1.00000</v>
      </c>
      <c r="F4149" s="29">
        <f ca="1">ROUND(19.000,3)</f>
        <v>0</v>
      </c>
      <c r="G4149" s="27">
        <f ca="1">ROUND(E4149*F4149,2)</f>
        <v>0</v>
      </c>
    </row>
    <row r="4150" spans="1:7" ht="24.36" thickBot="1" customHeight="1">
      <c r="A4150" s="24" t="s">
        <v>12923</v>
      </c>
      <c r="B4150" s="24" t="s">
        <v>12924</v>
      </c>
      <c r="C4150" s="24" t="s">
        <v>12925</v>
      </c>
      <c r="D4150" s="25" t="s">
        <v>12926</v>
      </c>
      <c r="E4150" s="28">
        <v>0.20000</v>
      </c>
      <c r="F4150" s="29">
        <f ca="1">ROUND(19.000,3)</f>
        <v>0</v>
      </c>
      <c r="G4150" s="27">
        <f ca="1">ROUND(E4150*F4150,2)</f>
        <v>0</v>
      </c>
    </row>
    <row r="4151" spans="1:7" ht="15.12" thickBot="1" customHeight="1">
      <c r="A4151" s="26"/>
      <c r="B4151" s="26"/>
      <c r="C4151" s="26"/>
      <c r="D4151" s="24" t="s">
        <v>12927</v>
      </c>
      <c r="E4151" s="28">
        <v>0.66667</v>
      </c>
      <c r="F4151" s="29">
        <f ca="1">ROUND((G4148+G4149+G4150),3)</f>
        <v>0</v>
      </c>
      <c r="G4151" s="27">
        <f ca="1">ROUND(E4151*F4151,2)</f>
        <v>0</v>
      </c>
    </row>
    <row r="4152" spans="1:7" ht="15.12" thickBot="1" customHeight="1">
      <c r="A4152" s="24" t="s">
        <v>12928</v>
      </c>
      <c r="B4152" s="24"/>
      <c r="C4152" s="24" t="s">
        <v>12929</v>
      </c>
      <c r="D4152" s="25" t="s">
        <v>12930</v>
      </c>
      <c r="E4152" s="28">
        <v>3.00000</v>
      </c>
      <c r="F4152" s="29">
        <f ca="1">ROUND(29.200,3)</f>
        <v>0</v>
      </c>
      <c r="G4152" s="27">
        <f ca="1">ROUND((E4152*F4152)/100,2)</f>
        <v>0</v>
      </c>
    </row>
    <row r="4153" spans="1:7" ht="25.08" thickBot="1" customHeight="1">
      <c r="A4153" s="30"/>
      <c r="B4153" s="30"/>
      <c r="C4153" s="30"/>
      <c r="D4153" s="31" t="s">
        <v>12931</v>
      </c>
      <c r="E4153" s="30"/>
      <c r="F4153" s="33">
        <f ca="1">ROUND((G4143+G4144+G4145+G4146+G4147+G4152)*(1+G2/100),2)</f>
        <v>0</v>
      </c>
      <c r="G4153" s="30"/>
    </row>
    <row r="4154" spans="1:7" ht="21.36" thickBot="1" customHeight="1">
      <c r="A4154" s="34" t="s">
        <v>12932</v>
      </c>
      <c r="B4154" s="35" t="s">
        <v>12933</v>
      </c>
      <c r="C4154" s="35" t="s">
        <v>12934</v>
      </c>
      <c r="D4154" s="36" t="s">
        <v>12935</v>
      </c>
      <c r="E4154" s="37"/>
      <c r="F4154" s="38">
        <f ca="1">F4159</f>
        <v>0</v>
      </c>
      <c r="G4154" s="37"/>
    </row>
    <row r="4155" spans="1:7" ht="21.36" thickBot="1" customHeight="1">
      <c r="A4155" s="26"/>
      <c r="B4155" s="26"/>
      <c r="C4155" s="26"/>
      <c r="D4155" s="25" t="s">
        <v>12936</v>
      </c>
      <c r="E4155" s="25"/>
      <c r="F4155" s="25"/>
      <c r="G4155" s="25"/>
    </row>
    <row r="4156" spans="1:7" ht="30.60" thickBot="1" customHeight="1">
      <c r="A4156" s="24" t="s">
        <v>12937</v>
      </c>
      <c r="B4156" s="24" t="s">
        <v>12938</v>
      </c>
      <c r="C4156" s="24" t="s">
        <v>12939</v>
      </c>
      <c r="D4156" s="25" t="s">
        <v>12940</v>
      </c>
      <c r="E4156" s="28">
        <v>0.45000</v>
      </c>
      <c r="F4156" s="29">
        <f ca="1">ROUND(6.320,3)</f>
        <v>0</v>
      </c>
      <c r="G4156" s="27">
        <f ca="1">ROUND(E4156*F4156,2)</f>
        <v>0</v>
      </c>
    </row>
    <row r="4157" spans="1:7" ht="30.60" thickBot="1" customHeight="1">
      <c r="A4157" s="24" t="s">
        <v>12941</v>
      </c>
      <c r="B4157" s="24" t="s">
        <v>12942</v>
      </c>
      <c r="C4157" s="24" t="s">
        <v>12943</v>
      </c>
      <c r="D4157" s="25" t="s">
        <v>12944</v>
      </c>
      <c r="E4157" s="28">
        <v>1.00000</v>
      </c>
      <c r="F4157" s="29">
        <f ca="1">ROUND(0.630,3)</f>
        <v>0</v>
      </c>
      <c r="G4157" s="27">
        <f ca="1">ROUND(E4157*F4157,2)</f>
        <v>0</v>
      </c>
    </row>
    <row r="4158" spans="1:7" ht="24.36" thickBot="1" customHeight="1">
      <c r="A4158" s="24" t="s">
        <v>12945</v>
      </c>
      <c r="B4158" s="24" t="s">
        <v>12946</v>
      </c>
      <c r="C4158" s="24" t="s">
        <v>12947</v>
      </c>
      <c r="D4158" s="25" t="s">
        <v>12948</v>
      </c>
      <c r="E4158" s="28">
        <v>0.35000</v>
      </c>
      <c r="F4158" s="29">
        <f ca="1">ROUND(19.000,3)</f>
        <v>0</v>
      </c>
      <c r="G4158" s="27">
        <f ca="1">ROUND(E4158*F4158,2)</f>
        <v>0</v>
      </c>
    </row>
    <row r="4159" spans="1:7" ht="15.48" thickBot="1" customHeight="1">
      <c r="A4159" s="30"/>
      <c r="B4159" s="30"/>
      <c r="C4159" s="30"/>
      <c r="D4159" s="31" t="s">
        <v>12949</v>
      </c>
      <c r="E4159" s="30"/>
      <c r="F4159" s="33">
        <f ca="1">ROUND((G4156+G4157+G4158)*(1+G2/100),2)</f>
        <v>0</v>
      </c>
      <c r="G4159" s="30"/>
    </row>
    <row r="4160" spans="1:7" ht="25.08" thickBot="1" customHeight="1">
      <c r="A4160" s="34" t="s">
        <v>12950</v>
      </c>
      <c r="B4160" s="35" t="s">
        <v>12951</v>
      </c>
      <c r="C4160" s="35" t="s">
        <v>12952</v>
      </c>
      <c r="D4160" s="36" t="s">
        <v>12953</v>
      </c>
      <c r="E4160" s="37"/>
      <c r="F4160" s="38">
        <f ca="1">F4170</f>
        <v>0</v>
      </c>
      <c r="G4160" s="37"/>
    </row>
    <row r="4161" spans="1:7" ht="12.12" thickBot="1" customHeight="1">
      <c r="A4161" s="26"/>
      <c r="B4161" s="26"/>
      <c r="C4161" s="26"/>
      <c r="D4161" s="25" t="s">
        <v>12954</v>
      </c>
      <c r="E4161" s="25"/>
      <c r="F4161" s="25"/>
      <c r="G4161" s="25"/>
    </row>
    <row r="4162" spans="1:7" ht="30.60" thickBot="1" customHeight="1">
      <c r="A4162" s="24" t="s">
        <v>12955</v>
      </c>
      <c r="B4162" s="24" t="s">
        <v>12956</v>
      </c>
      <c r="C4162" s="24" t="s">
        <v>12957</v>
      </c>
      <c r="D4162" s="25" t="s">
        <v>12958</v>
      </c>
      <c r="E4162" s="28">
        <v>0.58800</v>
      </c>
      <c r="F4162" s="29">
        <f ca="1">ROUND(8.650,3)</f>
        <v>0</v>
      </c>
      <c r="G4162" s="27">
        <f ca="1">ROUND(E4162*F4162,2)</f>
        <v>0</v>
      </c>
    </row>
    <row r="4163" spans="1:7" ht="30.60" thickBot="1" customHeight="1">
      <c r="A4163" s="24" t="s">
        <v>12959</v>
      </c>
      <c r="B4163" s="24" t="s">
        <v>12960</v>
      </c>
      <c r="C4163" s="24" t="s">
        <v>12961</v>
      </c>
      <c r="D4163" s="25" t="s">
        <v>12962</v>
      </c>
      <c r="E4163" s="28">
        <v>0.02200</v>
      </c>
      <c r="F4163" s="29">
        <f ca="1">ROUND(27.500,3)</f>
        <v>0</v>
      </c>
      <c r="G4163" s="27">
        <f ca="1">ROUND(E4163*F4163,2)</f>
        <v>0</v>
      </c>
    </row>
    <row r="4164" spans="1:7" ht="21.36" thickBot="1" customHeight="1">
      <c r="A4164" s="24" t="s">
        <v>12963</v>
      </c>
      <c r="B4164" s="24" t="s">
        <v>12964</v>
      </c>
      <c r="C4164" s="24" t="s">
        <v>12965</v>
      </c>
      <c r="D4164" s="25" t="s">
        <v>12966</v>
      </c>
      <c r="E4164" s="28">
        <v>0.38000</v>
      </c>
      <c r="F4164" s="29">
        <f ca="1">ROUND(1.050,3)</f>
        <v>0</v>
      </c>
      <c r="G4164" s="27">
        <f ca="1">ROUND(E4164*F4164,2)</f>
        <v>0</v>
      </c>
    </row>
    <row r="4165" spans="1:7" ht="21.36" thickBot="1" customHeight="1">
      <c r="A4165" s="24" t="s">
        <v>12967</v>
      </c>
      <c r="B4165" s="24" t="s">
        <v>12968</v>
      </c>
      <c r="C4165" s="24" t="s">
        <v>12969</v>
      </c>
      <c r="D4165" s="25" t="s">
        <v>12970</v>
      </c>
      <c r="E4165" s="28">
        <v>0.70000</v>
      </c>
      <c r="F4165" s="29">
        <f ca="1">F4169</f>
        <v>0</v>
      </c>
      <c r="G4165" s="27">
        <f ca="1">ROUND(E4165*F4165,2)</f>
        <v>0</v>
      </c>
    </row>
    <row r="4166" spans="1:7" ht="24.36" thickBot="1" customHeight="1">
      <c r="A4166" s="24" t="s">
        <v>12971</v>
      </c>
      <c r="B4166" s="24" t="s">
        <v>12972</v>
      </c>
      <c r="C4166" s="24" t="s">
        <v>12973</v>
      </c>
      <c r="D4166" s="25" t="s">
        <v>12974</v>
      </c>
      <c r="E4166" s="28">
        <v>1.00000</v>
      </c>
      <c r="F4166" s="29">
        <f ca="1">ROUND(21.000,3)</f>
        <v>0</v>
      </c>
      <c r="G4166" s="27">
        <f ca="1">ROUND(E4166*F4166,2)</f>
        <v>0</v>
      </c>
    </row>
    <row r="4167" spans="1:7" ht="24.36" thickBot="1" customHeight="1">
      <c r="A4167" s="24" t="s">
        <v>12975</v>
      </c>
      <c r="B4167" s="24" t="s">
        <v>12976</v>
      </c>
      <c r="C4167" s="24" t="s">
        <v>12977</v>
      </c>
      <c r="D4167" s="25" t="s">
        <v>12978</v>
      </c>
      <c r="E4167" s="28">
        <v>1.00000</v>
      </c>
      <c r="F4167" s="29">
        <f ca="1">ROUND(19.000,3)</f>
        <v>0</v>
      </c>
      <c r="G4167" s="27">
        <f ca="1">ROUND(E4167*F4167,2)</f>
        <v>0</v>
      </c>
    </row>
    <row r="4168" spans="1:7" ht="24.36" thickBot="1" customHeight="1">
      <c r="A4168" s="24" t="s">
        <v>12979</v>
      </c>
      <c r="B4168" s="24" t="s">
        <v>12980</v>
      </c>
      <c r="C4168" s="24" t="s">
        <v>12981</v>
      </c>
      <c r="D4168" s="25" t="s">
        <v>12982</v>
      </c>
      <c r="E4168" s="28">
        <v>0.20000</v>
      </c>
      <c r="F4168" s="29">
        <f ca="1">ROUND(19.000,3)</f>
        <v>0</v>
      </c>
      <c r="G4168" s="27">
        <f ca="1">ROUND(E4168*F4168,2)</f>
        <v>0</v>
      </c>
    </row>
    <row r="4169" spans="1:7" ht="15.12" thickBot="1" customHeight="1">
      <c r="A4169" s="26"/>
      <c r="B4169" s="26"/>
      <c r="C4169" s="26"/>
      <c r="D4169" s="24" t="s">
        <v>12983</v>
      </c>
      <c r="E4169" s="28">
        <v>0.70000</v>
      </c>
      <c r="F4169" s="29">
        <f ca="1">ROUND((G4166+G4167+G4168),3)</f>
        <v>0</v>
      </c>
      <c r="G4169" s="27">
        <f ca="1">ROUND(E4169*F4169,2)</f>
        <v>0</v>
      </c>
    </row>
    <row r="4170" spans="1:7" ht="15.48" thickBot="1" customHeight="1">
      <c r="A4170" s="30"/>
      <c r="B4170" s="30"/>
      <c r="C4170" s="30"/>
      <c r="D4170" s="31" t="s">
        <v>12984</v>
      </c>
      <c r="E4170" s="30"/>
      <c r="F4170" s="33">
        <f ca="1">ROUND((G4162+G4163+G4164+G4165)*(1+G2/100),2)</f>
        <v>0</v>
      </c>
      <c r="G4170" s="30"/>
    </row>
    <row r="4171" spans="1:7" ht="25.08" thickBot="1" customHeight="1">
      <c r="A4171" s="34" t="s">
        <v>12985</v>
      </c>
      <c r="B4171" s="35" t="s">
        <v>12986</v>
      </c>
      <c r="C4171" s="35" t="s">
        <v>12987</v>
      </c>
      <c r="D4171" s="36" t="s">
        <v>12988</v>
      </c>
      <c r="E4171" s="37"/>
      <c r="F4171" s="38">
        <f ca="1">F4181</f>
        <v>0</v>
      </c>
      <c r="G4171" s="37"/>
    </row>
    <row r="4172" spans="1:7" ht="12.12" thickBot="1" customHeight="1">
      <c r="A4172" s="26"/>
      <c r="B4172" s="26"/>
      <c r="C4172" s="26"/>
      <c r="D4172" s="25" t="s">
        <v>12989</v>
      </c>
      <c r="E4172" s="25"/>
      <c r="F4172" s="25"/>
      <c r="G4172" s="25"/>
    </row>
    <row r="4173" spans="1:7" ht="39.84" thickBot="1" customHeight="1">
      <c r="A4173" s="24" t="s">
        <v>12990</v>
      </c>
      <c r="B4173" s="24" t="s">
        <v>12991</v>
      </c>
      <c r="C4173" s="24" t="s">
        <v>12992</v>
      </c>
      <c r="D4173" s="25" t="s">
        <v>12993</v>
      </c>
      <c r="E4173" s="28">
        <v>0.56000</v>
      </c>
      <c r="F4173" s="29">
        <f ca="1">ROUND(20.040,3)</f>
        <v>0</v>
      </c>
      <c r="G4173" s="27">
        <f ca="1">ROUND(E4173*F4173,2)</f>
        <v>0</v>
      </c>
    </row>
    <row r="4174" spans="1:7" ht="30.60" thickBot="1" customHeight="1">
      <c r="A4174" s="24" t="s">
        <v>12994</v>
      </c>
      <c r="B4174" s="24" t="s">
        <v>12995</v>
      </c>
      <c r="C4174" s="24" t="s">
        <v>12996</v>
      </c>
      <c r="D4174" s="25" t="s">
        <v>12997</v>
      </c>
      <c r="E4174" s="28">
        <v>0.02200</v>
      </c>
      <c r="F4174" s="29">
        <f ca="1">ROUND(27.500,3)</f>
        <v>0</v>
      </c>
      <c r="G4174" s="27">
        <f ca="1">ROUND(E4174*F4174,2)</f>
        <v>0</v>
      </c>
    </row>
    <row r="4175" spans="1:7" ht="21.36" thickBot="1" customHeight="1">
      <c r="A4175" s="24" t="s">
        <v>12998</v>
      </c>
      <c r="B4175" s="24" t="s">
        <v>12999</v>
      </c>
      <c r="C4175" s="24" t="s">
        <v>13000</v>
      </c>
      <c r="D4175" s="25" t="s">
        <v>13001</v>
      </c>
      <c r="E4175" s="28">
        <v>0.37500</v>
      </c>
      <c r="F4175" s="29">
        <f ca="1">ROUND(1.050,3)</f>
        <v>0</v>
      </c>
      <c r="G4175" s="27">
        <f ca="1">ROUND(E4175*F4175,2)</f>
        <v>0</v>
      </c>
    </row>
    <row r="4176" spans="1:7" ht="21.36" thickBot="1" customHeight="1">
      <c r="A4176" s="24" t="s">
        <v>13002</v>
      </c>
      <c r="B4176" s="24" t="s">
        <v>13003</v>
      </c>
      <c r="C4176" s="24" t="s">
        <v>13004</v>
      </c>
      <c r="D4176" s="25" t="s">
        <v>13005</v>
      </c>
      <c r="E4176" s="28">
        <v>0.70000</v>
      </c>
      <c r="F4176" s="29">
        <f ca="1">F4180</f>
        <v>0</v>
      </c>
      <c r="G4176" s="27">
        <f ca="1">ROUND(E4176*F4176,2)</f>
        <v>0</v>
      </c>
    </row>
    <row r="4177" spans="1:7" ht="24.36" thickBot="1" customHeight="1">
      <c r="A4177" s="24" t="s">
        <v>13006</v>
      </c>
      <c r="B4177" s="24" t="s">
        <v>13007</v>
      </c>
      <c r="C4177" s="24" t="s">
        <v>13008</v>
      </c>
      <c r="D4177" s="25" t="s">
        <v>13009</v>
      </c>
      <c r="E4177" s="28">
        <v>1.00000</v>
      </c>
      <c r="F4177" s="29">
        <f ca="1">ROUND(21.000,3)</f>
        <v>0</v>
      </c>
      <c r="G4177" s="27">
        <f ca="1">ROUND(E4177*F4177,2)</f>
        <v>0</v>
      </c>
    </row>
    <row r="4178" spans="1:7" ht="24.36" thickBot="1" customHeight="1">
      <c r="A4178" s="24" t="s">
        <v>13010</v>
      </c>
      <c r="B4178" s="24" t="s">
        <v>13011</v>
      </c>
      <c r="C4178" s="24" t="s">
        <v>13012</v>
      </c>
      <c r="D4178" s="25" t="s">
        <v>13013</v>
      </c>
      <c r="E4178" s="28">
        <v>1.00000</v>
      </c>
      <c r="F4178" s="29">
        <f ca="1">ROUND(19.000,3)</f>
        <v>0</v>
      </c>
      <c r="G4178" s="27">
        <f ca="1">ROUND(E4178*F4178,2)</f>
        <v>0</v>
      </c>
    </row>
    <row r="4179" spans="1:7" ht="24.36" thickBot="1" customHeight="1">
      <c r="A4179" s="24" t="s">
        <v>13014</v>
      </c>
      <c r="B4179" s="24" t="s">
        <v>13015</v>
      </c>
      <c r="C4179" s="24" t="s">
        <v>13016</v>
      </c>
      <c r="D4179" s="25" t="s">
        <v>13017</v>
      </c>
      <c r="E4179" s="28">
        <v>0.20000</v>
      </c>
      <c r="F4179" s="29">
        <f ca="1">ROUND(19.000,3)</f>
        <v>0</v>
      </c>
      <c r="G4179" s="27">
        <f ca="1">ROUND(E4179*F4179,2)</f>
        <v>0</v>
      </c>
    </row>
    <row r="4180" spans="1:7" ht="15.12" thickBot="1" customHeight="1">
      <c r="A4180" s="26"/>
      <c r="B4180" s="26"/>
      <c r="C4180" s="26"/>
      <c r="D4180" s="24" t="s">
        <v>13018</v>
      </c>
      <c r="E4180" s="28">
        <v>0.70000</v>
      </c>
      <c r="F4180" s="29">
        <f ca="1">ROUND((G4177+G4178+G4179),3)</f>
        <v>0</v>
      </c>
      <c r="G4180" s="27">
        <f ca="1">ROUND(E4180*F4180,2)</f>
        <v>0</v>
      </c>
    </row>
    <row r="4181" spans="1:7" ht="15.48" thickBot="1" customHeight="1">
      <c r="A4181" s="30"/>
      <c r="B4181" s="30"/>
      <c r="C4181" s="30"/>
      <c r="D4181" s="31" t="s">
        <v>13019</v>
      </c>
      <c r="E4181" s="30"/>
      <c r="F4181" s="33">
        <f ca="1">ROUND((G4173+G4174+G4175+G4176)*(1+G2/100),2)</f>
        <v>0</v>
      </c>
      <c r="G4181" s="30"/>
    </row>
    <row r="4182" spans="1:7" ht="30.60" thickBot="1" customHeight="1">
      <c r="A4182" s="34" t="s">
        <v>13020</v>
      </c>
      <c r="B4182" s="35" t="s">
        <v>13021</v>
      </c>
      <c r="C4182" s="35" t="s">
        <v>13022</v>
      </c>
      <c r="D4182" s="36" t="s">
        <v>13023</v>
      </c>
      <c r="E4182" s="37"/>
      <c r="F4182" s="38">
        <f ca="1">F4193</f>
        <v>0</v>
      </c>
      <c r="G4182" s="37"/>
    </row>
    <row r="4183" spans="1:7" ht="49.08" thickBot="1" customHeight="1">
      <c r="A4183" s="26"/>
      <c r="B4183" s="26"/>
      <c r="C4183" s="26"/>
      <c r="D4183" s="25" t="s">
        <v>13024</v>
      </c>
      <c r="E4183" s="25"/>
      <c r="F4183" s="25"/>
      <c r="G4183" s="25"/>
    </row>
    <row r="4184" spans="1:7" ht="39.84" thickBot="1" customHeight="1">
      <c r="A4184" s="24" t="s">
        <v>13025</v>
      </c>
      <c r="B4184" s="24" t="s">
        <v>13026</v>
      </c>
      <c r="C4184" s="24" t="s">
        <v>13027</v>
      </c>
      <c r="D4184" s="25" t="s">
        <v>13028</v>
      </c>
      <c r="E4184" s="28">
        <v>0.13200</v>
      </c>
      <c r="F4184" s="29">
        <f ca="1">ROUND(13.450,3)</f>
        <v>0</v>
      </c>
      <c r="G4184" s="27">
        <f ca="1">ROUND(E4184*F4184,2)</f>
        <v>0</v>
      </c>
    </row>
    <row r="4185" spans="1:7" ht="30.60" thickBot="1" customHeight="1">
      <c r="A4185" s="24" t="s">
        <v>13029</v>
      </c>
      <c r="B4185" s="24" t="s">
        <v>13030</v>
      </c>
      <c r="C4185" s="24" t="s">
        <v>13031</v>
      </c>
      <c r="D4185" s="25" t="s">
        <v>13032</v>
      </c>
      <c r="E4185" s="28">
        <v>1.10000</v>
      </c>
      <c r="F4185" s="29">
        <f ca="1">ROUND(2.340,3)</f>
        <v>0</v>
      </c>
      <c r="G4185" s="27">
        <f ca="1">ROUND(E4185*F4185,2)</f>
        <v>0</v>
      </c>
    </row>
    <row r="4186" spans="1:7" ht="30.60" thickBot="1" customHeight="1">
      <c r="A4186" s="24" t="s">
        <v>13033</v>
      </c>
      <c r="B4186" s="24" t="s">
        <v>13034</v>
      </c>
      <c r="C4186" s="24" t="s">
        <v>13035</v>
      </c>
      <c r="D4186" s="25" t="s">
        <v>13036</v>
      </c>
      <c r="E4186" s="28">
        <v>0.00100</v>
      </c>
      <c r="F4186" s="29">
        <f ca="1">ROUND(4.680,3)</f>
        <v>0</v>
      </c>
      <c r="G4186" s="27">
        <f ca="1">ROUND(E4186*F4186,2)</f>
        <v>0</v>
      </c>
    </row>
    <row r="4187" spans="1:7" ht="49.08" thickBot="1" customHeight="1">
      <c r="A4187" s="24" t="s">
        <v>13037</v>
      </c>
      <c r="B4187" s="24" t="s">
        <v>13038</v>
      </c>
      <c r="C4187" s="24" t="s">
        <v>13039</v>
      </c>
      <c r="D4187" s="25" t="s">
        <v>13040</v>
      </c>
      <c r="E4187" s="28">
        <v>0.03000</v>
      </c>
      <c r="F4187" s="29">
        <f ca="1">ROUND(35.690,3)</f>
        <v>0</v>
      </c>
      <c r="G4187" s="27">
        <f ca="1">ROUND(E4187*F4187,2)</f>
        <v>0</v>
      </c>
    </row>
    <row r="4188" spans="1:7" ht="21.36" thickBot="1" customHeight="1">
      <c r="A4188" s="24" t="s">
        <v>13041</v>
      </c>
      <c r="B4188" s="24" t="s">
        <v>13042</v>
      </c>
      <c r="C4188" s="24" t="s">
        <v>13043</v>
      </c>
      <c r="D4188" s="25" t="s">
        <v>13044</v>
      </c>
      <c r="E4188" s="28">
        <v>0.20000</v>
      </c>
      <c r="F4188" s="29">
        <f ca="1">F4192</f>
        <v>0</v>
      </c>
      <c r="G4188" s="27">
        <f ca="1">ROUND(E4188*F4188,2)</f>
        <v>0</v>
      </c>
    </row>
    <row r="4189" spans="1:7" ht="24.36" thickBot="1" customHeight="1">
      <c r="A4189" s="24" t="s">
        <v>13045</v>
      </c>
      <c r="B4189" s="24" t="s">
        <v>13046</v>
      </c>
      <c r="C4189" s="24" t="s">
        <v>13047</v>
      </c>
      <c r="D4189" s="25" t="s">
        <v>13048</v>
      </c>
      <c r="E4189" s="28">
        <v>1.00000</v>
      </c>
      <c r="F4189" s="29">
        <f ca="1">ROUND(21.000,3)</f>
        <v>0</v>
      </c>
      <c r="G4189" s="27">
        <f ca="1">ROUND(E4189*F4189,2)</f>
        <v>0</v>
      </c>
    </row>
    <row r="4190" spans="1:7" ht="24.36" thickBot="1" customHeight="1">
      <c r="A4190" s="24" t="s">
        <v>13049</v>
      </c>
      <c r="B4190" s="24" t="s">
        <v>13050</v>
      </c>
      <c r="C4190" s="24" t="s">
        <v>13051</v>
      </c>
      <c r="D4190" s="25" t="s">
        <v>13052</v>
      </c>
      <c r="E4190" s="28">
        <v>1.00000</v>
      </c>
      <c r="F4190" s="29">
        <f ca="1">ROUND(19.000,3)</f>
        <v>0</v>
      </c>
      <c r="G4190" s="27">
        <f ca="1">ROUND(E4190*F4190,2)</f>
        <v>0</v>
      </c>
    </row>
    <row r="4191" spans="1:7" ht="24.36" thickBot="1" customHeight="1">
      <c r="A4191" s="24" t="s">
        <v>13053</v>
      </c>
      <c r="B4191" s="24" t="s">
        <v>13054</v>
      </c>
      <c r="C4191" s="24" t="s">
        <v>13055</v>
      </c>
      <c r="D4191" s="25" t="s">
        <v>13056</v>
      </c>
      <c r="E4191" s="28">
        <v>0.20000</v>
      </c>
      <c r="F4191" s="29">
        <f ca="1">ROUND(19.000,3)</f>
        <v>0</v>
      </c>
      <c r="G4191" s="27">
        <f ca="1">ROUND(E4191*F4191,2)</f>
        <v>0</v>
      </c>
    </row>
    <row r="4192" spans="1:7" ht="15.12" thickBot="1" customHeight="1">
      <c r="A4192" s="26"/>
      <c r="B4192" s="26"/>
      <c r="C4192" s="26"/>
      <c r="D4192" s="24" t="s">
        <v>13057</v>
      </c>
      <c r="E4192" s="28">
        <v>0.20000</v>
      </c>
      <c r="F4192" s="29">
        <f ca="1">ROUND((G4189+G4190+G4191),3)</f>
        <v>0</v>
      </c>
      <c r="G4192" s="27">
        <f ca="1">ROUND(E4192*F4192,2)</f>
        <v>0</v>
      </c>
    </row>
    <row r="4193" spans="1:7" ht="15.48" thickBot="1" customHeight="1">
      <c r="A4193" s="30"/>
      <c r="B4193" s="30"/>
      <c r="C4193" s="30"/>
      <c r="D4193" s="31" t="s">
        <v>13058</v>
      </c>
      <c r="E4193" s="30"/>
      <c r="F4193" s="33">
        <f ca="1">ROUND((G4184+G4185+G4186+G4187+G4188)*(1+G2/100),2)</f>
        <v>0</v>
      </c>
      <c r="G4193" s="30"/>
    </row>
    <row r="4194" spans="1:7" ht="21.36" thickBot="1" customHeight="1">
      <c r="A4194" s="34" t="s">
        <v>13059</v>
      </c>
      <c r="B4194" s="35" t="s">
        <v>13060</v>
      </c>
      <c r="C4194" s="35" t="s">
        <v>13061</v>
      </c>
      <c r="D4194" s="36" t="s">
        <v>13062</v>
      </c>
      <c r="E4194" s="37"/>
      <c r="F4194" s="38">
        <f ca="1">F4205</f>
        <v>0</v>
      </c>
      <c r="G4194" s="37"/>
    </row>
    <row r="4195" spans="1:7" ht="12.12" thickBot="1" customHeight="1">
      <c r="A4195" s="26"/>
      <c r="B4195" s="26"/>
      <c r="C4195" s="26"/>
      <c r="D4195" s="25" t="s">
        <v>13063</v>
      </c>
      <c r="E4195" s="25"/>
      <c r="F4195" s="25"/>
      <c r="G4195" s="25"/>
    </row>
    <row r="4196" spans="1:7" ht="21.36" thickBot="1" customHeight="1">
      <c r="A4196" s="24" t="s">
        <v>13064</v>
      </c>
      <c r="B4196" s="24" t="s">
        <v>13065</v>
      </c>
      <c r="C4196" s="24" t="s">
        <v>13066</v>
      </c>
      <c r="D4196" s="25" t="s">
        <v>13067</v>
      </c>
      <c r="E4196" s="28">
        <v>1.10000</v>
      </c>
      <c r="F4196" s="29">
        <f ca="1">ROUND(16.000,3)</f>
        <v>0</v>
      </c>
      <c r="G4196" s="27">
        <f ca="1">ROUND(E4196*F4196,2)</f>
        <v>0</v>
      </c>
    </row>
    <row r="4197" spans="1:7" ht="21.36" thickBot="1" customHeight="1">
      <c r="A4197" s="24" t="s">
        <v>13068</v>
      </c>
      <c r="B4197" s="24" t="s">
        <v>13069</v>
      </c>
      <c r="C4197" s="24" t="s">
        <v>13070</v>
      </c>
      <c r="D4197" s="25" t="s">
        <v>13071</v>
      </c>
      <c r="E4197" s="28">
        <v>6.00000</v>
      </c>
      <c r="F4197" s="29">
        <f ca="1">ROUND(0.150,3)</f>
        <v>0</v>
      </c>
      <c r="G4197" s="27">
        <f ca="1">ROUND(E4197*F4197,2)</f>
        <v>0</v>
      </c>
    </row>
    <row r="4198" spans="1:7" ht="30.60" thickBot="1" customHeight="1">
      <c r="A4198" s="24" t="s">
        <v>13072</v>
      </c>
      <c r="B4198" s="24" t="s">
        <v>13073</v>
      </c>
      <c r="C4198" s="24" t="s">
        <v>13074</v>
      </c>
      <c r="D4198" s="25" t="s">
        <v>13075</v>
      </c>
      <c r="E4198" s="28">
        <v>0.50000</v>
      </c>
      <c r="F4198" s="29">
        <f ca="1">ROUND(2.000,3)</f>
        <v>0</v>
      </c>
      <c r="G4198" s="27">
        <f ca="1">ROUND(E4198*F4198,2)</f>
        <v>0</v>
      </c>
    </row>
    <row r="4199" spans="1:7" ht="21.36" thickBot="1" customHeight="1">
      <c r="A4199" s="24" t="s">
        <v>13076</v>
      </c>
      <c r="B4199" s="24" t="s">
        <v>13077</v>
      </c>
      <c r="C4199" s="24" t="s">
        <v>13078</v>
      </c>
      <c r="D4199" s="25" t="s">
        <v>13079</v>
      </c>
      <c r="E4199" s="28">
        <v>0.20000</v>
      </c>
      <c r="F4199" s="29">
        <f ca="1">F4203</f>
        <v>0</v>
      </c>
      <c r="G4199" s="27">
        <f ca="1">ROUND(E4199*F4199,2)</f>
        <v>0</v>
      </c>
    </row>
    <row r="4200" spans="1:7" ht="24.36" thickBot="1" customHeight="1">
      <c r="A4200" s="24" t="s">
        <v>13080</v>
      </c>
      <c r="B4200" s="24" t="s">
        <v>13081</v>
      </c>
      <c r="C4200" s="24" t="s">
        <v>13082</v>
      </c>
      <c r="D4200" s="25" t="s">
        <v>13083</v>
      </c>
      <c r="E4200" s="28">
        <v>1.00000</v>
      </c>
      <c r="F4200" s="29">
        <f ca="1">ROUND(21.000,3)</f>
        <v>0</v>
      </c>
      <c r="G4200" s="27">
        <f ca="1">ROUND(E4200*F4200,2)</f>
        <v>0</v>
      </c>
    </row>
    <row r="4201" spans="1:7" ht="24.36" thickBot="1" customHeight="1">
      <c r="A4201" s="24" t="s">
        <v>13084</v>
      </c>
      <c r="B4201" s="24" t="s">
        <v>13085</v>
      </c>
      <c r="C4201" s="24" t="s">
        <v>13086</v>
      </c>
      <c r="D4201" s="25" t="s">
        <v>13087</v>
      </c>
      <c r="E4201" s="28">
        <v>1.00000</v>
      </c>
      <c r="F4201" s="29">
        <f ca="1">ROUND(19.000,3)</f>
        <v>0</v>
      </c>
      <c r="G4201" s="27">
        <f ca="1">ROUND(E4201*F4201,2)</f>
        <v>0</v>
      </c>
    </row>
    <row r="4202" spans="1:7" ht="24.36" thickBot="1" customHeight="1">
      <c r="A4202" s="24" t="s">
        <v>13088</v>
      </c>
      <c r="B4202" s="24" t="s">
        <v>13089</v>
      </c>
      <c r="C4202" s="24" t="s">
        <v>13090</v>
      </c>
      <c r="D4202" s="25" t="s">
        <v>13091</v>
      </c>
      <c r="E4202" s="28">
        <v>0.20000</v>
      </c>
      <c r="F4202" s="29">
        <f ca="1">ROUND(19.000,3)</f>
        <v>0</v>
      </c>
      <c r="G4202" s="27">
        <f ca="1">ROUND(E4202*F4202,2)</f>
        <v>0</v>
      </c>
    </row>
    <row r="4203" spans="1:7" ht="15.12" thickBot="1" customHeight="1">
      <c r="A4203" s="26"/>
      <c r="B4203" s="26"/>
      <c r="C4203" s="26"/>
      <c r="D4203" s="24" t="s">
        <v>13092</v>
      </c>
      <c r="E4203" s="28">
        <v>0.20000</v>
      </c>
      <c r="F4203" s="29">
        <f ca="1">ROUND((G4200+G4201+G4202),3)</f>
        <v>0</v>
      </c>
      <c r="G4203" s="27">
        <f ca="1">ROUND(E4203*F4203,2)</f>
        <v>0</v>
      </c>
    </row>
    <row r="4204" spans="1:7" ht="24.36" thickBot="1" customHeight="1">
      <c r="A4204" s="24" t="s">
        <v>13093</v>
      </c>
      <c r="B4204" s="24" t="s">
        <v>13094</v>
      </c>
      <c r="C4204" s="24" t="s">
        <v>13095</v>
      </c>
      <c r="D4204" s="25" t="s">
        <v>13096</v>
      </c>
      <c r="E4204" s="28">
        <v>0.26600</v>
      </c>
      <c r="F4204" s="29">
        <f ca="1">ROUND(49.500,3)</f>
        <v>0</v>
      </c>
      <c r="G4204" s="27">
        <f ca="1">ROUND(E4204*F4204,2)</f>
        <v>0</v>
      </c>
    </row>
    <row r="4205" spans="1:7" ht="15.48" thickBot="1" customHeight="1">
      <c r="A4205" s="30"/>
      <c r="B4205" s="30"/>
      <c r="C4205" s="30"/>
      <c r="D4205" s="31" t="s">
        <v>13097</v>
      </c>
      <c r="E4205" s="30"/>
      <c r="F4205" s="33">
        <f ca="1">ROUND((G4196+G4197+G4198+G4199+G4204)*(1+G2/100),2)</f>
        <v>0</v>
      </c>
      <c r="G4205" s="30"/>
    </row>
    <row r="4206" spans="1:7" ht="30.60" thickBot="1" customHeight="1">
      <c r="A4206" s="34" t="s">
        <v>13098</v>
      </c>
      <c r="B4206" s="35" t="s">
        <v>13099</v>
      </c>
      <c r="C4206" s="35" t="s">
        <v>13100</v>
      </c>
      <c r="D4206" s="36" t="s">
        <v>13101</v>
      </c>
      <c r="E4206" s="37"/>
      <c r="F4206" s="38">
        <f ca="1">F4224</f>
        <v>0</v>
      </c>
      <c r="G4206" s="37"/>
    </row>
    <row r="4207" spans="1:7" ht="21.36" thickBot="1" customHeight="1">
      <c r="A4207" s="26"/>
      <c r="B4207" s="26"/>
      <c r="C4207" s="26"/>
      <c r="D4207" s="25" t="s">
        <v>13102</v>
      </c>
      <c r="E4207" s="25"/>
      <c r="F4207" s="25"/>
      <c r="G4207" s="25"/>
    </row>
    <row r="4208" spans="1:7" ht="30.60" thickBot="1" customHeight="1">
      <c r="A4208" s="24" t="s">
        <v>13103</v>
      </c>
      <c r="B4208" s="24" t="s">
        <v>13104</v>
      </c>
      <c r="C4208" s="24" t="s">
        <v>13105</v>
      </c>
      <c r="D4208" s="25" t="s">
        <v>13106</v>
      </c>
      <c r="E4208" s="28">
        <v>0.66000</v>
      </c>
      <c r="F4208" s="29">
        <f ca="1">ROUND(28.000,3)</f>
        <v>0</v>
      </c>
      <c r="G4208" s="27">
        <f ca="1">ROUND(E4208*F4208,2)</f>
        <v>0</v>
      </c>
    </row>
    <row r="4209" spans="1:7" ht="30.60" thickBot="1" customHeight="1">
      <c r="A4209" s="24" t="s">
        <v>13107</v>
      </c>
      <c r="B4209" s="24" t="s">
        <v>13108</v>
      </c>
      <c r="C4209" s="24" t="s">
        <v>13109</v>
      </c>
      <c r="D4209" s="25" t="s">
        <v>13110</v>
      </c>
      <c r="E4209" s="28">
        <v>2.10000</v>
      </c>
      <c r="F4209" s="29">
        <f ca="1">ROUND(4.680,3)</f>
        <v>0</v>
      </c>
      <c r="G4209" s="27">
        <f ca="1">ROUND(E4209*F4209,2)</f>
        <v>0</v>
      </c>
    </row>
    <row r="4210" spans="1:7" ht="49.08" thickBot="1" customHeight="1">
      <c r="A4210" s="24" t="s">
        <v>13111</v>
      </c>
      <c r="B4210" s="24" t="s">
        <v>13112</v>
      </c>
      <c r="C4210" s="24" t="s">
        <v>13113</v>
      </c>
      <c r="D4210" s="25" t="s">
        <v>13114</v>
      </c>
      <c r="E4210" s="28">
        <v>0.03500</v>
      </c>
      <c r="F4210" s="29">
        <f ca="1">ROUND(72.450,3)</f>
        <v>0</v>
      </c>
      <c r="G4210" s="27">
        <f ca="1">ROUND(E4210*F4210,2)</f>
        <v>0</v>
      </c>
    </row>
    <row r="4211" spans="1:7" ht="30.60" thickBot="1" customHeight="1">
      <c r="A4211" s="24" t="s">
        <v>13115</v>
      </c>
      <c r="B4211" s="24" t="s">
        <v>13116</v>
      </c>
      <c r="C4211" s="24" t="s">
        <v>13117</v>
      </c>
      <c r="D4211" s="25" t="s">
        <v>13118</v>
      </c>
      <c r="E4211" s="28">
        <v>0.02200</v>
      </c>
      <c r="F4211" s="29">
        <f ca="1">ROUND(75.520,3)</f>
        <v>0</v>
      </c>
      <c r="G4211" s="27">
        <f ca="1">ROUND(E4211*F4211,2)</f>
        <v>0</v>
      </c>
    </row>
    <row r="4212" spans="1:7" ht="39.84" thickBot="1" customHeight="1">
      <c r="A4212" s="24" t="s">
        <v>13119</v>
      </c>
      <c r="B4212" s="24" t="s">
        <v>13120</v>
      </c>
      <c r="C4212" s="24" t="s">
        <v>13121</v>
      </c>
      <c r="D4212" s="25" t="s">
        <v>13122</v>
      </c>
      <c r="E4212" s="28">
        <v>0.30000</v>
      </c>
      <c r="F4212" s="29">
        <f ca="1">ROUND(94.920,3)</f>
        <v>0</v>
      </c>
      <c r="G4212" s="27">
        <f ca="1">ROUND(E4212*F4212,2)</f>
        <v>0</v>
      </c>
    </row>
    <row r="4213" spans="1:7" ht="49.08" thickBot="1" customHeight="1">
      <c r="A4213" s="24" t="s">
        <v>13123</v>
      </c>
      <c r="B4213" s="24" t="s">
        <v>13124</v>
      </c>
      <c r="C4213" s="24" t="s">
        <v>13125</v>
      </c>
      <c r="D4213" s="25" t="s">
        <v>13126</v>
      </c>
      <c r="E4213" s="28">
        <v>0.12000</v>
      </c>
      <c r="F4213" s="29">
        <f ca="1">ROUND(123.340,3)</f>
        <v>0</v>
      </c>
      <c r="G4213" s="27">
        <f ca="1">ROUND(E4213*F4213,2)</f>
        <v>0</v>
      </c>
    </row>
    <row r="4214" spans="1:7" ht="39.84" thickBot="1" customHeight="1">
      <c r="A4214" s="24" t="s">
        <v>13127</v>
      </c>
      <c r="B4214" s="24" t="s">
        <v>13128</v>
      </c>
      <c r="C4214" s="24" t="s">
        <v>13129</v>
      </c>
      <c r="D4214" s="25" t="s">
        <v>13130</v>
      </c>
      <c r="E4214" s="28">
        <v>0.00100</v>
      </c>
      <c r="F4214" s="29">
        <f ca="1">ROUND(2.850,3)</f>
        <v>0</v>
      </c>
      <c r="G4214" s="27">
        <f ca="1">ROUND(E4214*F4214,2)</f>
        <v>0</v>
      </c>
    </row>
    <row r="4215" spans="1:7" ht="30.60" thickBot="1" customHeight="1">
      <c r="A4215" s="24" t="s">
        <v>13131</v>
      </c>
      <c r="B4215" s="24" t="s">
        <v>13132</v>
      </c>
      <c r="C4215" s="24" t="s">
        <v>13133</v>
      </c>
      <c r="D4215" s="25" t="s">
        <v>13134</v>
      </c>
      <c r="E4215" s="28">
        <v>0.00100</v>
      </c>
      <c r="F4215" s="29">
        <f ca="1">ROUND(2.620,3)</f>
        <v>0</v>
      </c>
      <c r="G4215" s="27">
        <f ca="1">ROUND(E4215*F4215,2)</f>
        <v>0</v>
      </c>
    </row>
    <row r="4216" spans="1:7" ht="30.60" thickBot="1" customHeight="1">
      <c r="A4216" s="24" t="s">
        <v>13135</v>
      </c>
      <c r="B4216" s="24" t="s">
        <v>13136</v>
      </c>
      <c r="C4216" s="24" t="s">
        <v>13137</v>
      </c>
      <c r="D4216" s="25" t="s">
        <v>13138</v>
      </c>
      <c r="E4216" s="28">
        <v>0.00100</v>
      </c>
      <c r="F4216" s="29">
        <f ca="1">ROUND(2.340,3)</f>
        <v>0</v>
      </c>
      <c r="G4216" s="27">
        <f ca="1">ROUND(E4216*F4216,2)</f>
        <v>0</v>
      </c>
    </row>
    <row r="4217" spans="1:7" ht="30.60" thickBot="1" customHeight="1">
      <c r="A4217" s="24" t="s">
        <v>13139</v>
      </c>
      <c r="B4217" s="24" t="s">
        <v>13140</v>
      </c>
      <c r="C4217" s="24" t="s">
        <v>13141</v>
      </c>
      <c r="D4217" s="25" t="s">
        <v>13142</v>
      </c>
      <c r="E4217" s="28">
        <v>0.00100</v>
      </c>
      <c r="F4217" s="29">
        <f ca="1">ROUND(44.200,3)</f>
        <v>0</v>
      </c>
      <c r="G4217" s="27">
        <f ca="1">ROUND(E4217*F4217,2)</f>
        <v>0</v>
      </c>
    </row>
    <row r="4218" spans="1:7" ht="30.60" thickBot="1" customHeight="1">
      <c r="A4218" s="24" t="s">
        <v>13143</v>
      </c>
      <c r="B4218" s="24" t="s">
        <v>13144</v>
      </c>
      <c r="C4218" s="24" t="s">
        <v>13145</v>
      </c>
      <c r="D4218" s="25" t="s">
        <v>13146</v>
      </c>
      <c r="E4218" s="28">
        <v>0.00100</v>
      </c>
      <c r="F4218" s="29">
        <f ca="1">ROUND(52.250,3)</f>
        <v>0</v>
      </c>
      <c r="G4218" s="27">
        <f ca="1">ROUND(E4218*F4218,2)</f>
        <v>0</v>
      </c>
    </row>
    <row r="4219" spans="1:7" ht="21.36" thickBot="1" customHeight="1">
      <c r="A4219" s="24" t="s">
        <v>13147</v>
      </c>
      <c r="B4219" s="24" t="s">
        <v>13148</v>
      </c>
      <c r="C4219" s="24" t="s">
        <v>13149</v>
      </c>
      <c r="D4219" s="25" t="s">
        <v>13150</v>
      </c>
      <c r="E4219" s="28">
        <v>0.80000</v>
      </c>
      <c r="F4219" s="29">
        <f ca="1">F4223</f>
        <v>0</v>
      </c>
      <c r="G4219" s="27">
        <f ca="1">ROUND(E4219*F4219,2)</f>
        <v>0</v>
      </c>
    </row>
    <row r="4220" spans="1:7" ht="24.36" thickBot="1" customHeight="1">
      <c r="A4220" s="24" t="s">
        <v>13151</v>
      </c>
      <c r="B4220" s="24" t="s">
        <v>13152</v>
      </c>
      <c r="C4220" s="24" t="s">
        <v>13153</v>
      </c>
      <c r="D4220" s="25" t="s">
        <v>13154</v>
      </c>
      <c r="E4220" s="28">
        <v>1.00000</v>
      </c>
      <c r="F4220" s="29">
        <f ca="1">ROUND(21.000,3)</f>
        <v>0</v>
      </c>
      <c r="G4220" s="27">
        <f ca="1">ROUND(E4220*F4220,2)</f>
        <v>0</v>
      </c>
    </row>
    <row r="4221" spans="1:7" ht="24.36" thickBot="1" customHeight="1">
      <c r="A4221" s="24" t="s">
        <v>13155</v>
      </c>
      <c r="B4221" s="24" t="s">
        <v>13156</v>
      </c>
      <c r="C4221" s="24" t="s">
        <v>13157</v>
      </c>
      <c r="D4221" s="25" t="s">
        <v>13158</v>
      </c>
      <c r="E4221" s="28">
        <v>1.00000</v>
      </c>
      <c r="F4221" s="29">
        <f ca="1">ROUND(19.000,3)</f>
        <v>0</v>
      </c>
      <c r="G4221" s="27">
        <f ca="1">ROUND(E4221*F4221,2)</f>
        <v>0</v>
      </c>
    </row>
    <row r="4222" spans="1:7" ht="24.36" thickBot="1" customHeight="1">
      <c r="A4222" s="24" t="s">
        <v>13159</v>
      </c>
      <c r="B4222" s="24" t="s">
        <v>13160</v>
      </c>
      <c r="C4222" s="24" t="s">
        <v>13161</v>
      </c>
      <c r="D4222" s="25" t="s">
        <v>13162</v>
      </c>
      <c r="E4222" s="28">
        <v>0.20000</v>
      </c>
      <c r="F4222" s="29">
        <f ca="1">ROUND(19.000,3)</f>
        <v>0</v>
      </c>
      <c r="G4222" s="27">
        <f ca="1">ROUND(E4222*F4222,2)</f>
        <v>0</v>
      </c>
    </row>
    <row r="4223" spans="1:7" ht="15.12" thickBot="1" customHeight="1">
      <c r="A4223" s="26"/>
      <c r="B4223" s="26"/>
      <c r="C4223" s="26"/>
      <c r="D4223" s="24" t="s">
        <v>13163</v>
      </c>
      <c r="E4223" s="28">
        <v>0.80000</v>
      </c>
      <c r="F4223" s="29">
        <f ca="1">ROUND((G4220+G4221+G4222),3)</f>
        <v>0</v>
      </c>
      <c r="G4223" s="27">
        <f ca="1">ROUND(E4223*F4223,2)</f>
        <v>0</v>
      </c>
    </row>
    <row r="4224" spans="1:7" ht="15.48" thickBot="1" customHeight="1">
      <c r="A4224" s="30"/>
      <c r="B4224" s="30"/>
      <c r="C4224" s="30"/>
      <c r="D4224" s="31" t="s">
        <v>13164</v>
      </c>
      <c r="E4224" s="30"/>
      <c r="F4224" s="33">
        <f ca="1">ROUND((G4208+G4209+G4210+G4211+G4212+G4213+G4214+G4215+G4216+G4217+G4218+G4219)*(1+G2/100),2)</f>
        <v>0</v>
      </c>
      <c r="G4224" s="30"/>
    </row>
    <row r="4225" spans="1:7" ht="25.08" thickBot="1" customHeight="1">
      <c r="A4225" s="34" t="s">
        <v>13165</v>
      </c>
      <c r="B4225" s="35" t="s">
        <v>13166</v>
      </c>
      <c r="C4225" s="35" t="s">
        <v>13167</v>
      </c>
      <c r="D4225" s="36" t="s">
        <v>13168</v>
      </c>
      <c r="E4225" s="37"/>
      <c r="F4225" s="38">
        <f ca="1">F4235</f>
        <v>0</v>
      </c>
      <c r="G4225" s="37"/>
    </row>
    <row r="4226" spans="1:7" ht="30.60" thickBot="1" customHeight="1">
      <c r="A4226" s="26"/>
      <c r="B4226" s="26"/>
      <c r="C4226" s="26"/>
      <c r="D4226" s="25" t="s">
        <v>13169</v>
      </c>
      <c r="E4226" s="25"/>
      <c r="F4226" s="25"/>
      <c r="G4226" s="25"/>
    </row>
    <row r="4227" spans="1:7" ht="30.60" thickBot="1" customHeight="1">
      <c r="A4227" s="24" t="s">
        <v>13170</v>
      </c>
      <c r="B4227" s="24" t="s">
        <v>13171</v>
      </c>
      <c r="C4227" s="24" t="s">
        <v>13172</v>
      </c>
      <c r="D4227" s="25" t="s">
        <v>13173</v>
      </c>
      <c r="E4227" s="28">
        <v>1.17600</v>
      </c>
      <c r="F4227" s="29">
        <f ca="1">ROUND(8.650,3)</f>
        <v>0</v>
      </c>
      <c r="G4227" s="27">
        <f ca="1">ROUND(E4227*F4227,2)</f>
        <v>0</v>
      </c>
    </row>
    <row r="4228" spans="1:7" ht="30.60" thickBot="1" customHeight="1">
      <c r="A4228" s="24" t="s">
        <v>13174</v>
      </c>
      <c r="B4228" s="24" t="s">
        <v>13175</v>
      </c>
      <c r="C4228" s="24" t="s">
        <v>13176</v>
      </c>
      <c r="D4228" s="25" t="s">
        <v>13177</v>
      </c>
      <c r="E4228" s="28">
        <v>0.02200</v>
      </c>
      <c r="F4228" s="29">
        <f ca="1">ROUND(27.500,3)</f>
        <v>0</v>
      </c>
      <c r="G4228" s="27">
        <f ca="1">ROUND(E4228*F4228,2)</f>
        <v>0</v>
      </c>
    </row>
    <row r="4229" spans="1:7" ht="21.36" thickBot="1" customHeight="1">
      <c r="A4229" s="24" t="s">
        <v>13178</v>
      </c>
      <c r="B4229" s="24" t="s">
        <v>13179</v>
      </c>
      <c r="C4229" s="24" t="s">
        <v>13180</v>
      </c>
      <c r="D4229" s="25" t="s">
        <v>13181</v>
      </c>
      <c r="E4229" s="28">
        <v>0.38000</v>
      </c>
      <c r="F4229" s="29">
        <f ca="1">ROUND(1.050,3)</f>
        <v>0</v>
      </c>
      <c r="G4229" s="27">
        <f ca="1">ROUND(E4229*F4229,2)</f>
        <v>0</v>
      </c>
    </row>
    <row r="4230" spans="1:7" ht="21.36" thickBot="1" customHeight="1">
      <c r="A4230" s="24" t="s">
        <v>13182</v>
      </c>
      <c r="B4230" s="24" t="s">
        <v>13183</v>
      </c>
      <c r="C4230" s="24" t="s">
        <v>13184</v>
      </c>
      <c r="D4230" s="25" t="s">
        <v>13185</v>
      </c>
      <c r="E4230" s="28">
        <v>0.75000</v>
      </c>
      <c r="F4230" s="29">
        <f ca="1">F4234</f>
        <v>0</v>
      </c>
      <c r="G4230" s="27">
        <f ca="1">ROUND(E4230*F4230,2)</f>
        <v>0</v>
      </c>
    </row>
    <row r="4231" spans="1:7" ht="24.36" thickBot="1" customHeight="1">
      <c r="A4231" s="24" t="s">
        <v>13186</v>
      </c>
      <c r="B4231" s="24" t="s">
        <v>13187</v>
      </c>
      <c r="C4231" s="24" t="s">
        <v>13188</v>
      </c>
      <c r="D4231" s="25" t="s">
        <v>13189</v>
      </c>
      <c r="E4231" s="28">
        <v>1.00000</v>
      </c>
      <c r="F4231" s="29">
        <f ca="1">ROUND(21.000,3)</f>
        <v>0</v>
      </c>
      <c r="G4231" s="27">
        <f ca="1">ROUND(E4231*F4231,2)</f>
        <v>0</v>
      </c>
    </row>
    <row r="4232" spans="1:7" ht="24.36" thickBot="1" customHeight="1">
      <c r="A4232" s="24" t="s">
        <v>13190</v>
      </c>
      <c r="B4232" s="24" t="s">
        <v>13191</v>
      </c>
      <c r="C4232" s="24" t="s">
        <v>13192</v>
      </c>
      <c r="D4232" s="25" t="s">
        <v>13193</v>
      </c>
      <c r="E4232" s="28">
        <v>1.00000</v>
      </c>
      <c r="F4232" s="29">
        <f ca="1">ROUND(19.000,3)</f>
        <v>0</v>
      </c>
      <c r="G4232" s="27">
        <f ca="1">ROUND(E4232*F4232,2)</f>
        <v>0</v>
      </c>
    </row>
    <row r="4233" spans="1:7" ht="24.36" thickBot="1" customHeight="1">
      <c r="A4233" s="24" t="s">
        <v>13194</v>
      </c>
      <c r="B4233" s="24" t="s">
        <v>13195</v>
      </c>
      <c r="C4233" s="24" t="s">
        <v>13196</v>
      </c>
      <c r="D4233" s="25" t="s">
        <v>13197</v>
      </c>
      <c r="E4233" s="28">
        <v>0.20000</v>
      </c>
      <c r="F4233" s="29">
        <f ca="1">ROUND(19.000,3)</f>
        <v>0</v>
      </c>
      <c r="G4233" s="27">
        <f ca="1">ROUND(E4233*F4233,2)</f>
        <v>0</v>
      </c>
    </row>
    <row r="4234" spans="1:7" ht="15.12" thickBot="1" customHeight="1">
      <c r="A4234" s="26"/>
      <c r="B4234" s="26"/>
      <c r="C4234" s="26"/>
      <c r="D4234" s="24" t="s">
        <v>13198</v>
      </c>
      <c r="E4234" s="28">
        <v>0.75000</v>
      </c>
      <c r="F4234" s="29">
        <f ca="1">ROUND((G4231+G4232+G4233),3)</f>
        <v>0</v>
      </c>
      <c r="G4234" s="27">
        <f ca="1">ROUND(E4234*F4234,2)</f>
        <v>0</v>
      </c>
    </row>
    <row r="4235" spans="1:7" ht="15.48" thickBot="1" customHeight="1">
      <c r="A4235" s="30"/>
      <c r="B4235" s="30"/>
      <c r="C4235" s="30"/>
      <c r="D4235" s="31" t="s">
        <v>13199</v>
      </c>
      <c r="E4235" s="30"/>
      <c r="F4235" s="33">
        <f ca="1">ROUND((G4227+G4228+G4229+G4230)*(1+G2/100),2)</f>
        <v>0</v>
      </c>
      <c r="G4235" s="30"/>
    </row>
    <row r="4236" spans="1:7" ht="25.08" thickBot="1" customHeight="1">
      <c r="A4236" s="34" t="s">
        <v>13200</v>
      </c>
      <c r="B4236" s="35" t="s">
        <v>13201</v>
      </c>
      <c r="C4236" s="35" t="s">
        <v>13202</v>
      </c>
      <c r="D4236" s="36" t="s">
        <v>13203</v>
      </c>
      <c r="E4236" s="37"/>
      <c r="F4236" s="38">
        <f ca="1">F4246</f>
        <v>0</v>
      </c>
      <c r="G4236" s="37"/>
    </row>
    <row r="4237" spans="1:7" ht="12.12" thickBot="1" customHeight="1">
      <c r="A4237" s="26"/>
      <c r="B4237" s="26"/>
      <c r="C4237" s="26"/>
      <c r="D4237" s="25" t="s">
        <v>13204</v>
      </c>
      <c r="E4237" s="25"/>
      <c r="F4237" s="25"/>
      <c r="G4237" s="25"/>
    </row>
    <row r="4238" spans="1:7" ht="39.84" thickBot="1" customHeight="1">
      <c r="A4238" s="24" t="s">
        <v>13205</v>
      </c>
      <c r="B4238" s="24" t="s">
        <v>13206</v>
      </c>
      <c r="C4238" s="24" t="s">
        <v>13207</v>
      </c>
      <c r="D4238" s="25" t="s">
        <v>13208</v>
      </c>
      <c r="E4238" s="28">
        <v>0.56000</v>
      </c>
      <c r="F4238" s="29">
        <f ca="1">ROUND(20.040,3)</f>
        <v>0</v>
      </c>
      <c r="G4238" s="27">
        <f ca="1">ROUND(E4238*F4238,2)</f>
        <v>0</v>
      </c>
    </row>
    <row r="4239" spans="1:7" ht="30.60" thickBot="1" customHeight="1">
      <c r="A4239" s="24" t="s">
        <v>13209</v>
      </c>
      <c r="B4239" s="24" t="s">
        <v>13210</v>
      </c>
      <c r="C4239" s="24" t="s">
        <v>13211</v>
      </c>
      <c r="D4239" s="25" t="s">
        <v>13212</v>
      </c>
      <c r="E4239" s="28">
        <v>0.02200</v>
      </c>
      <c r="F4239" s="29">
        <f ca="1">ROUND(27.500,3)</f>
        <v>0</v>
      </c>
      <c r="G4239" s="27">
        <f ca="1">ROUND(E4239*F4239,2)</f>
        <v>0</v>
      </c>
    </row>
    <row r="4240" spans="1:7" ht="21.36" thickBot="1" customHeight="1">
      <c r="A4240" s="24" t="s">
        <v>13213</v>
      </c>
      <c r="B4240" s="24" t="s">
        <v>13214</v>
      </c>
      <c r="C4240" s="24" t="s">
        <v>13215</v>
      </c>
      <c r="D4240" s="25" t="s">
        <v>13216</v>
      </c>
      <c r="E4240" s="28">
        <v>0.37500</v>
      </c>
      <c r="F4240" s="29">
        <f ca="1">ROUND(1.050,3)</f>
        <v>0</v>
      </c>
      <c r="G4240" s="27">
        <f ca="1">ROUND(E4240*F4240,2)</f>
        <v>0</v>
      </c>
    </row>
    <row r="4241" spans="1:7" ht="21.36" thickBot="1" customHeight="1">
      <c r="A4241" s="24" t="s">
        <v>13217</v>
      </c>
      <c r="B4241" s="24" t="s">
        <v>13218</v>
      </c>
      <c r="C4241" s="24" t="s">
        <v>13219</v>
      </c>
      <c r="D4241" s="25" t="s">
        <v>13220</v>
      </c>
      <c r="E4241" s="28">
        <v>0.75000</v>
      </c>
      <c r="F4241" s="29">
        <f ca="1">F4245</f>
        <v>0</v>
      </c>
      <c r="G4241" s="27">
        <f ca="1">ROUND(E4241*F4241,2)</f>
        <v>0</v>
      </c>
    </row>
    <row r="4242" spans="1:7" ht="24.36" thickBot="1" customHeight="1">
      <c r="A4242" s="24" t="s">
        <v>13221</v>
      </c>
      <c r="B4242" s="24" t="s">
        <v>13222</v>
      </c>
      <c r="C4242" s="24" t="s">
        <v>13223</v>
      </c>
      <c r="D4242" s="25" t="s">
        <v>13224</v>
      </c>
      <c r="E4242" s="28">
        <v>1.00000</v>
      </c>
      <c r="F4242" s="29">
        <f ca="1">ROUND(21.000,3)</f>
        <v>0</v>
      </c>
      <c r="G4242" s="27">
        <f ca="1">ROUND(E4242*F4242,2)</f>
        <v>0</v>
      </c>
    </row>
    <row r="4243" spans="1:7" ht="24.36" thickBot="1" customHeight="1">
      <c r="A4243" s="24" t="s">
        <v>13225</v>
      </c>
      <c r="B4243" s="24" t="s">
        <v>13226</v>
      </c>
      <c r="C4243" s="24" t="s">
        <v>13227</v>
      </c>
      <c r="D4243" s="25" t="s">
        <v>13228</v>
      </c>
      <c r="E4243" s="28">
        <v>1.00000</v>
      </c>
      <c r="F4243" s="29">
        <f ca="1">ROUND(19.000,3)</f>
        <v>0</v>
      </c>
      <c r="G4243" s="27">
        <f ca="1">ROUND(E4243*F4243,2)</f>
        <v>0</v>
      </c>
    </row>
    <row r="4244" spans="1:7" ht="24.36" thickBot="1" customHeight="1">
      <c r="A4244" s="24" t="s">
        <v>13229</v>
      </c>
      <c r="B4244" s="24" t="s">
        <v>13230</v>
      </c>
      <c r="C4244" s="24" t="s">
        <v>13231</v>
      </c>
      <c r="D4244" s="25" t="s">
        <v>13232</v>
      </c>
      <c r="E4244" s="28">
        <v>0.20000</v>
      </c>
      <c r="F4244" s="29">
        <f ca="1">ROUND(19.000,3)</f>
        <v>0</v>
      </c>
      <c r="G4244" s="27">
        <f ca="1">ROUND(E4244*F4244,2)</f>
        <v>0</v>
      </c>
    </row>
    <row r="4245" spans="1:7" ht="15.12" thickBot="1" customHeight="1">
      <c r="A4245" s="26"/>
      <c r="B4245" s="26"/>
      <c r="C4245" s="26"/>
      <c r="D4245" s="24" t="s">
        <v>13233</v>
      </c>
      <c r="E4245" s="28">
        <v>0.75000</v>
      </c>
      <c r="F4245" s="29">
        <f ca="1">ROUND((G4242+G4243+G4244),3)</f>
        <v>0</v>
      </c>
      <c r="G4245" s="27">
        <f ca="1">ROUND(E4245*F4245,2)</f>
        <v>0</v>
      </c>
    </row>
    <row r="4246" spans="1:7" ht="15.48" thickBot="1" customHeight="1">
      <c r="A4246" s="30"/>
      <c r="B4246" s="30"/>
      <c r="C4246" s="30"/>
      <c r="D4246" s="31" t="s">
        <v>13234</v>
      </c>
      <c r="E4246" s="30"/>
      <c r="F4246" s="33">
        <f ca="1">ROUND((G4238+G4239+G4240+G4241)*(1+G2/100),2)</f>
        <v>0</v>
      </c>
      <c r="G4246" s="30"/>
    </row>
    <row r="4247" spans="1:7" ht="30.60" thickBot="1" customHeight="1">
      <c r="A4247" s="34" t="s">
        <v>13235</v>
      </c>
      <c r="B4247" s="35" t="s">
        <v>13236</v>
      </c>
      <c r="C4247" s="35" t="s">
        <v>13237</v>
      </c>
      <c r="D4247" s="36" t="s">
        <v>13238</v>
      </c>
      <c r="E4247" s="37"/>
      <c r="F4247" s="38">
        <f ca="1">F4258</f>
        <v>0</v>
      </c>
      <c r="G4247" s="37"/>
    </row>
    <row r="4248" spans="1:7" ht="21.36" thickBot="1" customHeight="1">
      <c r="A4248" s="26"/>
      <c r="B4248" s="26"/>
      <c r="C4248" s="26"/>
      <c r="D4248" s="25" t="s">
        <v>13239</v>
      </c>
      <c r="E4248" s="25"/>
      <c r="F4248" s="25"/>
      <c r="G4248" s="25"/>
    </row>
    <row r="4249" spans="1:7" ht="30.60" thickBot="1" customHeight="1">
      <c r="A4249" s="24" t="s">
        <v>13240</v>
      </c>
      <c r="B4249" s="24" t="s">
        <v>13241</v>
      </c>
      <c r="C4249" s="24" t="s">
        <v>13242</v>
      </c>
      <c r="D4249" s="25" t="s">
        <v>13243</v>
      </c>
      <c r="E4249" s="28">
        <v>0.88200</v>
      </c>
      <c r="F4249" s="29">
        <f ca="1">ROUND(8.650,3)</f>
        <v>0</v>
      </c>
      <c r="G4249" s="27">
        <f ca="1">ROUND(E4249*F4249,2)</f>
        <v>0</v>
      </c>
    </row>
    <row r="4250" spans="1:7" ht="30.60" thickBot="1" customHeight="1">
      <c r="A4250" s="24" t="s">
        <v>13244</v>
      </c>
      <c r="B4250" s="24" t="s">
        <v>13245</v>
      </c>
      <c r="C4250" s="24" t="s">
        <v>13246</v>
      </c>
      <c r="D4250" s="25" t="s">
        <v>13247</v>
      </c>
      <c r="E4250" s="28">
        <v>0.30000</v>
      </c>
      <c r="F4250" s="29">
        <f ca="1">ROUND(17.770,3)</f>
        <v>0</v>
      </c>
      <c r="G4250" s="27">
        <f ca="1">ROUND(E4250*F4250,2)</f>
        <v>0</v>
      </c>
    </row>
    <row r="4251" spans="1:7" ht="30.60" thickBot="1" customHeight="1">
      <c r="A4251" s="24" t="s">
        <v>13248</v>
      </c>
      <c r="B4251" s="24" t="s">
        <v>13249</v>
      </c>
      <c r="C4251" s="24" t="s">
        <v>13250</v>
      </c>
      <c r="D4251" s="25" t="s">
        <v>13251</v>
      </c>
      <c r="E4251" s="28">
        <v>0.25000</v>
      </c>
      <c r="F4251" s="29">
        <f ca="1">ROUND(6.720,3)</f>
        <v>0</v>
      </c>
      <c r="G4251" s="27">
        <f ca="1">ROUND(E4251*F4251,2)</f>
        <v>0</v>
      </c>
    </row>
    <row r="4252" spans="1:7" ht="30.60" thickBot="1" customHeight="1">
      <c r="A4252" s="24" t="s">
        <v>13252</v>
      </c>
      <c r="B4252" s="24" t="s">
        <v>13253</v>
      </c>
      <c r="C4252" s="24" t="s">
        <v>13254</v>
      </c>
      <c r="D4252" s="25" t="s">
        <v>13255</v>
      </c>
      <c r="E4252" s="28">
        <v>0.02200</v>
      </c>
      <c r="F4252" s="29">
        <f ca="1">ROUND(39.500,3)</f>
        <v>0</v>
      </c>
      <c r="G4252" s="27">
        <f ca="1">ROUND(E4252*F4252,2)</f>
        <v>0</v>
      </c>
    </row>
    <row r="4253" spans="1:7" ht="21.36" thickBot="1" customHeight="1">
      <c r="A4253" s="24" t="s">
        <v>13256</v>
      </c>
      <c r="B4253" s="24" t="s">
        <v>13257</v>
      </c>
      <c r="C4253" s="24" t="s">
        <v>13258</v>
      </c>
      <c r="D4253" s="25" t="s">
        <v>13259</v>
      </c>
      <c r="E4253" s="28">
        <v>0.60000</v>
      </c>
      <c r="F4253" s="29">
        <f ca="1">F4257</f>
        <v>0</v>
      </c>
      <c r="G4253" s="27">
        <f ca="1">ROUND(E4253*F4253,2)</f>
        <v>0</v>
      </c>
    </row>
    <row r="4254" spans="1:7" ht="24.36" thickBot="1" customHeight="1">
      <c r="A4254" s="24" t="s">
        <v>13260</v>
      </c>
      <c r="B4254" s="24" t="s">
        <v>13261</v>
      </c>
      <c r="C4254" s="24" t="s">
        <v>13262</v>
      </c>
      <c r="D4254" s="25" t="s">
        <v>13263</v>
      </c>
      <c r="E4254" s="28">
        <v>1.00000</v>
      </c>
      <c r="F4254" s="29">
        <f ca="1">ROUND(21.000,3)</f>
        <v>0</v>
      </c>
      <c r="G4254" s="27">
        <f ca="1">ROUND(E4254*F4254,2)</f>
        <v>0</v>
      </c>
    </row>
    <row r="4255" spans="1:7" ht="24.36" thickBot="1" customHeight="1">
      <c r="A4255" s="24" t="s">
        <v>13264</v>
      </c>
      <c r="B4255" s="24" t="s">
        <v>13265</v>
      </c>
      <c r="C4255" s="24" t="s">
        <v>13266</v>
      </c>
      <c r="D4255" s="25" t="s">
        <v>13267</v>
      </c>
      <c r="E4255" s="28">
        <v>1.00000</v>
      </c>
      <c r="F4255" s="29">
        <f ca="1">ROUND(19.000,3)</f>
        <v>0</v>
      </c>
      <c r="G4255" s="27">
        <f ca="1">ROUND(E4255*F4255,2)</f>
        <v>0</v>
      </c>
    </row>
    <row r="4256" spans="1:7" ht="24.36" thickBot="1" customHeight="1">
      <c r="A4256" s="24" t="s">
        <v>13268</v>
      </c>
      <c r="B4256" s="24" t="s">
        <v>13269</v>
      </c>
      <c r="C4256" s="24" t="s">
        <v>13270</v>
      </c>
      <c r="D4256" s="25" t="s">
        <v>13271</v>
      </c>
      <c r="E4256" s="28">
        <v>0.20000</v>
      </c>
      <c r="F4256" s="29">
        <f ca="1">ROUND(19.000,3)</f>
        <v>0</v>
      </c>
      <c r="G4256" s="27">
        <f ca="1">ROUND(E4256*F4256,2)</f>
        <v>0</v>
      </c>
    </row>
    <row r="4257" spans="1:7" ht="15.12" thickBot="1" customHeight="1">
      <c r="A4257" s="26"/>
      <c r="B4257" s="26"/>
      <c r="C4257" s="26"/>
      <c r="D4257" s="24" t="s">
        <v>13272</v>
      </c>
      <c r="E4257" s="28">
        <v>0.60000</v>
      </c>
      <c r="F4257" s="29">
        <f ca="1">ROUND((G4254+G4255+G4256),3)</f>
        <v>0</v>
      </c>
      <c r="G4257" s="27">
        <f ca="1">ROUND(E4257*F4257,2)</f>
        <v>0</v>
      </c>
    </row>
    <row r="4258" spans="1:7" ht="15.48" thickBot="1" customHeight="1">
      <c r="A4258" s="30"/>
      <c r="B4258" s="30"/>
      <c r="C4258" s="30"/>
      <c r="D4258" s="31" t="s">
        <v>13273</v>
      </c>
      <c r="E4258" s="30"/>
      <c r="F4258" s="33">
        <f ca="1">ROUND((G4249+G4250+G4251+G4252+G4253)*(1+G2/100),2)</f>
        <v>0</v>
      </c>
      <c r="G4258" s="30"/>
    </row>
    <row r="4259" spans="1:7" ht="21.36" thickBot="1" customHeight="1">
      <c r="A4259" s="34" t="s">
        <v>13274</v>
      </c>
      <c r="B4259" s="35" t="s">
        <v>13275</v>
      </c>
      <c r="C4259" s="35" t="s">
        <v>13276</v>
      </c>
      <c r="D4259" s="36" t="s">
        <v>13277</v>
      </c>
      <c r="E4259" s="37"/>
      <c r="F4259" s="38">
        <f ca="1">F4269</f>
        <v>0</v>
      </c>
      <c r="G4259" s="37"/>
    </row>
    <row r="4260" spans="1:7" ht="12.12" thickBot="1" customHeight="1">
      <c r="A4260" s="26"/>
      <c r="B4260" s="26"/>
      <c r="C4260" s="26"/>
      <c r="D4260" s="25" t="s">
        <v>13278</v>
      </c>
      <c r="E4260" s="25"/>
      <c r="F4260" s="25"/>
      <c r="G4260" s="25"/>
    </row>
    <row r="4261" spans="1:7" ht="30.60" thickBot="1" customHeight="1">
      <c r="A4261" s="24" t="s">
        <v>13279</v>
      </c>
      <c r="B4261" s="24" t="s">
        <v>13280</v>
      </c>
      <c r="C4261" s="24" t="s">
        <v>13281</v>
      </c>
      <c r="D4261" s="25" t="s">
        <v>13282</v>
      </c>
      <c r="E4261" s="28">
        <v>0.20000</v>
      </c>
      <c r="F4261" s="29">
        <f ca="1">ROUND(8.650,3)</f>
        <v>0</v>
      </c>
      <c r="G4261" s="27">
        <f ca="1">ROUND(E4261*F4261,2)</f>
        <v>0</v>
      </c>
    </row>
    <row r="4262" spans="1:7" ht="30.60" thickBot="1" customHeight="1">
      <c r="A4262" s="24" t="s">
        <v>13283</v>
      </c>
      <c r="B4262" s="24" t="s">
        <v>13284</v>
      </c>
      <c r="C4262" s="24" t="s">
        <v>13285</v>
      </c>
      <c r="D4262" s="25" t="s">
        <v>13286</v>
      </c>
      <c r="E4262" s="28">
        <v>0.04000</v>
      </c>
      <c r="F4262" s="29">
        <f ca="1">ROUND(4.930,3)</f>
        <v>0</v>
      </c>
      <c r="G4262" s="27">
        <f ca="1">ROUND(E4262*F4262,2)</f>
        <v>0</v>
      </c>
    </row>
    <row r="4263" spans="1:7" ht="30.60" thickBot="1" customHeight="1">
      <c r="A4263" s="24" t="s">
        <v>13287</v>
      </c>
      <c r="B4263" s="24" t="s">
        <v>13288</v>
      </c>
      <c r="C4263" s="24" t="s">
        <v>13289</v>
      </c>
      <c r="D4263" s="25" t="s">
        <v>13290</v>
      </c>
      <c r="E4263" s="28">
        <v>0.02200</v>
      </c>
      <c r="F4263" s="29">
        <f ca="1">ROUND(39.500,3)</f>
        <v>0</v>
      </c>
      <c r="G4263" s="27">
        <f ca="1">ROUND(E4263*F4263,2)</f>
        <v>0</v>
      </c>
    </row>
    <row r="4264" spans="1:7" ht="21.36" thickBot="1" customHeight="1">
      <c r="A4264" s="24" t="s">
        <v>13291</v>
      </c>
      <c r="B4264" s="24" t="s">
        <v>13292</v>
      </c>
      <c r="C4264" s="24" t="s">
        <v>13293</v>
      </c>
      <c r="D4264" s="25" t="s">
        <v>13294</v>
      </c>
      <c r="E4264" s="28">
        <v>0.15000</v>
      </c>
      <c r="F4264" s="29">
        <f ca="1">F4268</f>
        <v>0</v>
      </c>
      <c r="G4264" s="27">
        <f ca="1">ROUND(E4264*F4264,2)</f>
        <v>0</v>
      </c>
    </row>
    <row r="4265" spans="1:7" ht="24.36" thickBot="1" customHeight="1">
      <c r="A4265" s="24" t="s">
        <v>13295</v>
      </c>
      <c r="B4265" s="24" t="s">
        <v>13296</v>
      </c>
      <c r="C4265" s="24" t="s">
        <v>13297</v>
      </c>
      <c r="D4265" s="25" t="s">
        <v>13298</v>
      </c>
      <c r="E4265" s="28">
        <v>1.00000</v>
      </c>
      <c r="F4265" s="29">
        <f ca="1">ROUND(21.000,3)</f>
        <v>0</v>
      </c>
      <c r="G4265" s="27">
        <f ca="1">ROUND(E4265*F4265,2)</f>
        <v>0</v>
      </c>
    </row>
    <row r="4266" spans="1:7" ht="24.36" thickBot="1" customHeight="1">
      <c r="A4266" s="24" t="s">
        <v>13299</v>
      </c>
      <c r="B4266" s="24" t="s">
        <v>13300</v>
      </c>
      <c r="C4266" s="24" t="s">
        <v>13301</v>
      </c>
      <c r="D4266" s="25" t="s">
        <v>13302</v>
      </c>
      <c r="E4266" s="28">
        <v>1.00000</v>
      </c>
      <c r="F4266" s="29">
        <f ca="1">ROUND(19.000,3)</f>
        <v>0</v>
      </c>
      <c r="G4266" s="27">
        <f ca="1">ROUND(E4266*F4266,2)</f>
        <v>0</v>
      </c>
    </row>
    <row r="4267" spans="1:7" ht="24.36" thickBot="1" customHeight="1">
      <c r="A4267" s="24" t="s">
        <v>13303</v>
      </c>
      <c r="B4267" s="24" t="s">
        <v>13304</v>
      </c>
      <c r="C4267" s="24" t="s">
        <v>13305</v>
      </c>
      <c r="D4267" s="25" t="s">
        <v>13306</v>
      </c>
      <c r="E4267" s="28">
        <v>0.20000</v>
      </c>
      <c r="F4267" s="29">
        <f ca="1">ROUND(19.000,3)</f>
        <v>0</v>
      </c>
      <c r="G4267" s="27">
        <f ca="1">ROUND(E4267*F4267,2)</f>
        <v>0</v>
      </c>
    </row>
    <row r="4268" spans="1:7" ht="15.12" thickBot="1" customHeight="1">
      <c r="A4268" s="26"/>
      <c r="B4268" s="26"/>
      <c r="C4268" s="26"/>
      <c r="D4268" s="24" t="s">
        <v>13307</v>
      </c>
      <c r="E4268" s="28">
        <v>0.15000</v>
      </c>
      <c r="F4268" s="29">
        <f ca="1">ROUND((G4265+G4266+G4267),3)</f>
        <v>0</v>
      </c>
      <c r="G4268" s="27">
        <f ca="1">ROUND(E4268*F4268,2)</f>
        <v>0</v>
      </c>
    </row>
    <row r="4269" spans="1:7" ht="15.48" thickBot="1" customHeight="1">
      <c r="A4269" s="30"/>
      <c r="B4269" s="30"/>
      <c r="C4269" s="30"/>
      <c r="D4269" s="31" t="s">
        <v>13308</v>
      </c>
      <c r="E4269" s="30"/>
      <c r="F4269" s="33">
        <f ca="1">ROUND((G4261+G4262+G4263+G4264)*(1+G2/100),2)</f>
        <v>0</v>
      </c>
      <c r="G4269" s="30"/>
    </row>
    <row r="4270" spans="1:7" ht="30.60" thickBot="1" customHeight="1">
      <c r="A4270" s="34" t="s">
        <v>13309</v>
      </c>
      <c r="B4270" s="35" t="s">
        <v>13310</v>
      </c>
      <c r="C4270" s="35" t="s">
        <v>13311</v>
      </c>
      <c r="D4270" s="36" t="s">
        <v>13312</v>
      </c>
      <c r="E4270" s="37"/>
      <c r="F4270" s="38">
        <f ca="1">F4280</f>
        <v>0</v>
      </c>
      <c r="G4270" s="37"/>
    </row>
    <row r="4271" spans="1:7" ht="21.36" thickBot="1" customHeight="1">
      <c r="A4271" s="26"/>
      <c r="B4271" s="26"/>
      <c r="C4271" s="26"/>
      <c r="D4271" s="25" t="s">
        <v>13313</v>
      </c>
      <c r="E4271" s="25"/>
      <c r="F4271" s="25"/>
      <c r="G4271" s="25"/>
    </row>
    <row r="4272" spans="1:7" ht="30.60" thickBot="1" customHeight="1">
      <c r="A4272" s="24" t="s">
        <v>13314</v>
      </c>
      <c r="B4272" s="24" t="s">
        <v>13315</v>
      </c>
      <c r="C4272" s="24" t="s">
        <v>13316</v>
      </c>
      <c r="D4272" s="25" t="s">
        <v>13317</v>
      </c>
      <c r="E4272" s="28">
        <v>0.20000</v>
      </c>
      <c r="F4272" s="29">
        <f ca="1">ROUND(8.650,3)</f>
        <v>0</v>
      </c>
      <c r="G4272" s="27">
        <f ca="1">ROUND(E4272*F4272,2)</f>
        <v>0</v>
      </c>
    </row>
    <row r="4273" spans="1:7" ht="30.60" thickBot="1" customHeight="1">
      <c r="A4273" s="24" t="s">
        <v>13318</v>
      </c>
      <c r="B4273" s="24" t="s">
        <v>13319</v>
      </c>
      <c r="C4273" s="24" t="s">
        <v>13320</v>
      </c>
      <c r="D4273" s="25" t="s">
        <v>13321</v>
      </c>
      <c r="E4273" s="28">
        <v>0.03333</v>
      </c>
      <c r="F4273" s="29">
        <f ca="1">ROUND(10.180,3)</f>
        <v>0</v>
      </c>
      <c r="G4273" s="27">
        <f ca="1">ROUND(E4273*F4273,2)</f>
        <v>0</v>
      </c>
    </row>
    <row r="4274" spans="1:7" ht="30.60" thickBot="1" customHeight="1">
      <c r="A4274" s="24" t="s">
        <v>13322</v>
      </c>
      <c r="B4274" s="24" t="s">
        <v>13323</v>
      </c>
      <c r="C4274" s="24" t="s">
        <v>13324</v>
      </c>
      <c r="D4274" s="25" t="s">
        <v>13325</v>
      </c>
      <c r="E4274" s="28">
        <v>0.02200</v>
      </c>
      <c r="F4274" s="29">
        <f ca="1">ROUND(27.500,3)</f>
        <v>0</v>
      </c>
      <c r="G4274" s="27">
        <f ca="1">ROUND(E4274*F4274,2)</f>
        <v>0</v>
      </c>
    </row>
    <row r="4275" spans="1:7" ht="21.36" thickBot="1" customHeight="1">
      <c r="A4275" s="24" t="s">
        <v>13326</v>
      </c>
      <c r="B4275" s="24" t="s">
        <v>13327</v>
      </c>
      <c r="C4275" s="24" t="s">
        <v>13328</v>
      </c>
      <c r="D4275" s="25" t="s">
        <v>13329</v>
      </c>
      <c r="E4275" s="28">
        <v>0.15000</v>
      </c>
      <c r="F4275" s="29">
        <f ca="1">F4279</f>
        <v>0</v>
      </c>
      <c r="G4275" s="27">
        <f ca="1">ROUND(E4275*F4275,2)</f>
        <v>0</v>
      </c>
    </row>
    <row r="4276" spans="1:7" ht="24.36" thickBot="1" customHeight="1">
      <c r="A4276" s="24" t="s">
        <v>13330</v>
      </c>
      <c r="B4276" s="24" t="s">
        <v>13331</v>
      </c>
      <c r="C4276" s="24" t="s">
        <v>13332</v>
      </c>
      <c r="D4276" s="25" t="s">
        <v>13333</v>
      </c>
      <c r="E4276" s="28">
        <v>1.00000</v>
      </c>
      <c r="F4276" s="29">
        <f ca="1">ROUND(21.000,3)</f>
        <v>0</v>
      </c>
      <c r="G4276" s="27">
        <f ca="1">ROUND(E4276*F4276,2)</f>
        <v>0</v>
      </c>
    </row>
    <row r="4277" spans="1:7" ht="24.36" thickBot="1" customHeight="1">
      <c r="A4277" s="24" t="s">
        <v>13334</v>
      </c>
      <c r="B4277" s="24" t="s">
        <v>13335</v>
      </c>
      <c r="C4277" s="24" t="s">
        <v>13336</v>
      </c>
      <c r="D4277" s="25" t="s">
        <v>13337</v>
      </c>
      <c r="E4277" s="28">
        <v>1.00000</v>
      </c>
      <c r="F4277" s="29">
        <f ca="1">ROUND(19.000,3)</f>
        <v>0</v>
      </c>
      <c r="G4277" s="27">
        <f ca="1">ROUND(E4277*F4277,2)</f>
        <v>0</v>
      </c>
    </row>
    <row r="4278" spans="1:7" ht="24.36" thickBot="1" customHeight="1">
      <c r="A4278" s="24" t="s">
        <v>13338</v>
      </c>
      <c r="B4278" s="24" t="s">
        <v>13339</v>
      </c>
      <c r="C4278" s="24" t="s">
        <v>13340</v>
      </c>
      <c r="D4278" s="25" t="s">
        <v>13341</v>
      </c>
      <c r="E4278" s="28">
        <v>0.20000</v>
      </c>
      <c r="F4278" s="29">
        <f ca="1">ROUND(19.000,3)</f>
        <v>0</v>
      </c>
      <c r="G4278" s="27">
        <f ca="1">ROUND(E4278*F4278,2)</f>
        <v>0</v>
      </c>
    </row>
    <row r="4279" spans="1:7" ht="15.12" thickBot="1" customHeight="1">
      <c r="A4279" s="26"/>
      <c r="B4279" s="26"/>
      <c r="C4279" s="26"/>
      <c r="D4279" s="24" t="s">
        <v>13342</v>
      </c>
      <c r="E4279" s="28">
        <v>0.15000</v>
      </c>
      <c r="F4279" s="29">
        <f ca="1">ROUND((G4276+G4277+G4278),3)</f>
        <v>0</v>
      </c>
      <c r="G4279" s="27">
        <f ca="1">ROUND(E4279*F4279,2)</f>
        <v>0</v>
      </c>
    </row>
    <row r="4280" spans="1:7" ht="15.48" thickBot="1" customHeight="1">
      <c r="A4280" s="30"/>
      <c r="B4280" s="30"/>
      <c r="C4280" s="30"/>
      <c r="D4280" s="31" t="s">
        <v>13343</v>
      </c>
      <c r="E4280" s="30"/>
      <c r="F4280" s="33">
        <f ca="1">ROUND((G4272+G4273+G4274+G4275)*(1+G2/100),2)</f>
        <v>0</v>
      </c>
      <c r="G4280" s="30"/>
    </row>
    <row r="4281" spans="1:7" ht="30.60" thickBot="1" customHeight="1">
      <c r="A4281" s="34" t="s">
        <v>13344</v>
      </c>
      <c r="B4281" s="35" t="s">
        <v>13345</v>
      </c>
      <c r="C4281" s="35" t="s">
        <v>13346</v>
      </c>
      <c r="D4281" s="36" t="s">
        <v>13347</v>
      </c>
      <c r="E4281" s="37"/>
      <c r="F4281" s="38">
        <f ca="1">F4292</f>
        <v>0</v>
      </c>
      <c r="G4281" s="37"/>
    </row>
    <row r="4282" spans="1:7" ht="12.12" thickBot="1" customHeight="1">
      <c r="A4282" s="26"/>
      <c r="B4282" s="26"/>
      <c r="C4282" s="26"/>
      <c r="D4282" s="25" t="s">
        <v>13348</v>
      </c>
      <c r="E4282" s="25"/>
      <c r="F4282" s="25"/>
      <c r="G4282" s="25"/>
    </row>
    <row r="4283" spans="1:7" ht="30.60" thickBot="1" customHeight="1">
      <c r="A4283" s="24" t="s">
        <v>13349</v>
      </c>
      <c r="B4283" s="24" t="s">
        <v>13350</v>
      </c>
      <c r="C4283" s="24" t="s">
        <v>13351</v>
      </c>
      <c r="D4283" s="25" t="s">
        <v>13352</v>
      </c>
      <c r="E4283" s="28">
        <v>0.13200</v>
      </c>
      <c r="F4283" s="29">
        <f ca="1">ROUND(5.920,3)</f>
        <v>0</v>
      </c>
      <c r="G4283" s="27">
        <f ca="1">ROUND(E4283*F4283,2)</f>
        <v>0</v>
      </c>
    </row>
    <row r="4284" spans="1:7" ht="30.60" thickBot="1" customHeight="1">
      <c r="A4284" s="24" t="s">
        <v>13353</v>
      </c>
      <c r="B4284" s="24" t="s">
        <v>13354</v>
      </c>
      <c r="C4284" s="24" t="s">
        <v>13355</v>
      </c>
      <c r="D4284" s="25" t="s">
        <v>13356</v>
      </c>
      <c r="E4284" s="28">
        <v>0.00440</v>
      </c>
      <c r="F4284" s="29">
        <f ca="1">ROUND(10.180,3)</f>
        <v>0</v>
      </c>
      <c r="G4284" s="27">
        <f ca="1">ROUND(E4284*F4284,2)</f>
        <v>0</v>
      </c>
    </row>
    <row r="4285" spans="1:7" ht="30.60" thickBot="1" customHeight="1">
      <c r="A4285" s="24" t="s">
        <v>13357</v>
      </c>
      <c r="B4285" s="24" t="s">
        <v>13358</v>
      </c>
      <c r="C4285" s="24" t="s">
        <v>13359</v>
      </c>
      <c r="D4285" s="25" t="s">
        <v>13360</v>
      </c>
      <c r="E4285" s="28">
        <v>0.02200</v>
      </c>
      <c r="F4285" s="29">
        <f ca="1">ROUND(27.500,3)</f>
        <v>0</v>
      </c>
      <c r="G4285" s="27">
        <f ca="1">ROUND(E4285*F4285,2)</f>
        <v>0</v>
      </c>
    </row>
    <row r="4286" spans="1:7" ht="21.36" thickBot="1" customHeight="1">
      <c r="A4286" s="24" t="s">
        <v>13361</v>
      </c>
      <c r="B4286" s="24" t="s">
        <v>13362</v>
      </c>
      <c r="C4286" s="24" t="s">
        <v>13363</v>
      </c>
      <c r="D4286" s="25" t="s">
        <v>13364</v>
      </c>
      <c r="E4286" s="28">
        <v>0.40000</v>
      </c>
      <c r="F4286" s="29">
        <f ca="1">F4290</f>
        <v>0</v>
      </c>
      <c r="G4286" s="27">
        <f ca="1">ROUND(E4286*F4286,2)</f>
        <v>0</v>
      </c>
    </row>
    <row r="4287" spans="1:7" ht="24.36" thickBot="1" customHeight="1">
      <c r="A4287" s="24" t="s">
        <v>13365</v>
      </c>
      <c r="B4287" s="24" t="s">
        <v>13366</v>
      </c>
      <c r="C4287" s="24" t="s">
        <v>13367</v>
      </c>
      <c r="D4287" s="25" t="s">
        <v>13368</v>
      </c>
      <c r="E4287" s="28">
        <v>1.00000</v>
      </c>
      <c r="F4287" s="29">
        <f ca="1">ROUND(21.000,3)</f>
        <v>0</v>
      </c>
      <c r="G4287" s="27">
        <f ca="1">ROUND(E4287*F4287,2)</f>
        <v>0</v>
      </c>
    </row>
    <row r="4288" spans="1:7" ht="24.36" thickBot="1" customHeight="1">
      <c r="A4288" s="24" t="s">
        <v>13369</v>
      </c>
      <c r="B4288" s="24" t="s">
        <v>13370</v>
      </c>
      <c r="C4288" s="24" t="s">
        <v>13371</v>
      </c>
      <c r="D4288" s="25" t="s">
        <v>13372</v>
      </c>
      <c r="E4288" s="28">
        <v>1.00000</v>
      </c>
      <c r="F4288" s="29">
        <f ca="1">ROUND(19.000,3)</f>
        <v>0</v>
      </c>
      <c r="G4288" s="27">
        <f ca="1">ROUND(E4288*F4288,2)</f>
        <v>0</v>
      </c>
    </row>
    <row r="4289" spans="1:7" ht="24.36" thickBot="1" customHeight="1">
      <c r="A4289" s="24" t="s">
        <v>13373</v>
      </c>
      <c r="B4289" s="24" t="s">
        <v>13374</v>
      </c>
      <c r="C4289" s="24" t="s">
        <v>13375</v>
      </c>
      <c r="D4289" s="25" t="s">
        <v>13376</v>
      </c>
      <c r="E4289" s="28">
        <v>0.20000</v>
      </c>
      <c r="F4289" s="29">
        <f ca="1">ROUND(19.000,3)</f>
        <v>0</v>
      </c>
      <c r="G4289" s="27">
        <f ca="1">ROUND(E4289*F4289,2)</f>
        <v>0</v>
      </c>
    </row>
    <row r="4290" spans="1:7" ht="15.12" thickBot="1" customHeight="1">
      <c r="A4290" s="26"/>
      <c r="B4290" s="26"/>
      <c r="C4290" s="26"/>
      <c r="D4290" s="24" t="s">
        <v>13377</v>
      </c>
      <c r="E4290" s="28">
        <v>0.40000</v>
      </c>
      <c r="F4290" s="29">
        <f ca="1">ROUND((G4287+G4288+G4289),3)</f>
        <v>0</v>
      </c>
      <c r="G4290" s="27">
        <f ca="1">ROUND(E4290*F4290,2)</f>
        <v>0</v>
      </c>
    </row>
    <row r="4291" spans="1:7" ht="15.12" thickBot="1" customHeight="1">
      <c r="A4291" s="24" t="s">
        <v>13378</v>
      </c>
      <c r="B4291" s="24"/>
      <c r="C4291" s="24" t="s">
        <v>13379</v>
      </c>
      <c r="D4291" s="25" t="s">
        <v>13380</v>
      </c>
      <c r="E4291" s="28">
        <v>5.00000</v>
      </c>
      <c r="F4291" s="29">
        <f ca="1">ROUND(17.520,3)</f>
        <v>0</v>
      </c>
      <c r="G4291" s="27">
        <f ca="1">ROUND((E4291*F4291)/100,2)</f>
        <v>0</v>
      </c>
    </row>
    <row r="4292" spans="1:7" ht="15.48" thickBot="1" customHeight="1">
      <c r="A4292" s="30"/>
      <c r="B4292" s="30"/>
      <c r="C4292" s="30"/>
      <c r="D4292" s="31" t="s">
        <v>13381</v>
      </c>
      <c r="E4292" s="30"/>
      <c r="F4292" s="33">
        <f ca="1">ROUND((G4283+G4284+G4285+G4286+G4291)*(1+G2/100),2)</f>
        <v>0</v>
      </c>
      <c r="G4292" s="30"/>
    </row>
    <row r="4293" spans="1:7" ht="21.36" thickBot="1" customHeight="1">
      <c r="A4293" s="34" t="s">
        <v>13382</v>
      </c>
      <c r="B4293" s="35" t="s">
        <v>13383</v>
      </c>
      <c r="C4293" s="35" t="s">
        <v>13384</v>
      </c>
      <c r="D4293" s="36" t="s">
        <v>13385</v>
      </c>
      <c r="E4293" s="37"/>
      <c r="F4293" s="38">
        <f ca="1">F4305</f>
        <v>0</v>
      </c>
      <c r="G4293" s="37"/>
    </row>
    <row r="4294" spans="1:7" ht="12.12" thickBot="1" customHeight="1">
      <c r="A4294" s="26"/>
      <c r="B4294" s="26"/>
      <c r="C4294" s="26"/>
      <c r="D4294" s="25" t="s">
        <v>13386</v>
      </c>
      <c r="E4294" s="25"/>
      <c r="F4294" s="25"/>
      <c r="G4294" s="25"/>
    </row>
    <row r="4295" spans="1:7" ht="30.60" thickBot="1" customHeight="1">
      <c r="A4295" s="24" t="s">
        <v>13387</v>
      </c>
      <c r="B4295" s="24" t="s">
        <v>13388</v>
      </c>
      <c r="C4295" s="24" t="s">
        <v>13389</v>
      </c>
      <c r="D4295" s="25" t="s">
        <v>13390</v>
      </c>
      <c r="E4295" s="28">
        <v>0.10000</v>
      </c>
      <c r="F4295" s="29">
        <f ca="1">ROUND(29.170,3)</f>
        <v>0</v>
      </c>
      <c r="G4295" s="27">
        <f ca="1">ROUND(E4295*F4295,2)</f>
        <v>0</v>
      </c>
    </row>
    <row r="4296" spans="1:7" ht="30.60" thickBot="1" customHeight="1">
      <c r="A4296" s="24" t="s">
        <v>13391</v>
      </c>
      <c r="B4296" s="24" t="s">
        <v>13392</v>
      </c>
      <c r="C4296" s="24" t="s">
        <v>13393</v>
      </c>
      <c r="D4296" s="25" t="s">
        <v>13394</v>
      </c>
      <c r="E4296" s="28">
        <v>1.05600</v>
      </c>
      <c r="F4296" s="29">
        <f ca="1">ROUND(8.330,3)</f>
        <v>0</v>
      </c>
      <c r="G4296" s="27">
        <f ca="1">ROUND(E4296*F4296,2)</f>
        <v>0</v>
      </c>
    </row>
    <row r="4297" spans="1:7" ht="21.36" thickBot="1" customHeight="1">
      <c r="A4297" s="24" t="s">
        <v>13395</v>
      </c>
      <c r="B4297" s="24" t="s">
        <v>13396</v>
      </c>
      <c r="C4297" s="24" t="s">
        <v>13397</v>
      </c>
      <c r="D4297" s="25" t="s">
        <v>13398</v>
      </c>
      <c r="E4297" s="28">
        <v>0.50000</v>
      </c>
      <c r="F4297" s="29">
        <f ca="1">ROUND(6.900,3)</f>
        <v>0</v>
      </c>
      <c r="G4297" s="27">
        <f ca="1">ROUND(E4297*F4297,2)</f>
        <v>0</v>
      </c>
    </row>
    <row r="4298" spans="1:7" ht="30.60" thickBot="1" customHeight="1">
      <c r="A4298" s="24" t="s">
        <v>13399</v>
      </c>
      <c r="B4298" s="24" t="s">
        <v>13400</v>
      </c>
      <c r="C4298" s="24" t="s">
        <v>13401</v>
      </c>
      <c r="D4298" s="25" t="s">
        <v>13402</v>
      </c>
      <c r="E4298" s="28">
        <v>0.02200</v>
      </c>
      <c r="F4298" s="29">
        <f ca="1">ROUND(27.500,3)</f>
        <v>0</v>
      </c>
      <c r="G4298" s="27">
        <f ca="1">ROUND(E4298*F4298,2)</f>
        <v>0</v>
      </c>
    </row>
    <row r="4299" spans="1:7" ht="21.36" thickBot="1" customHeight="1">
      <c r="A4299" s="24" t="s">
        <v>13403</v>
      </c>
      <c r="B4299" s="24" t="s">
        <v>13404</v>
      </c>
      <c r="C4299" s="24" t="s">
        <v>13405</v>
      </c>
      <c r="D4299" s="25" t="s">
        <v>13406</v>
      </c>
      <c r="E4299" s="28">
        <v>0.50000</v>
      </c>
      <c r="F4299" s="29">
        <f ca="1">ROUND(1.050,3)</f>
        <v>0</v>
      </c>
      <c r="G4299" s="27">
        <f ca="1">ROUND(E4299*F4299,2)</f>
        <v>0</v>
      </c>
    </row>
    <row r="4300" spans="1:7" ht="21.36" thickBot="1" customHeight="1">
      <c r="A4300" s="24" t="s">
        <v>13407</v>
      </c>
      <c r="B4300" s="24" t="s">
        <v>13408</v>
      </c>
      <c r="C4300" s="24" t="s">
        <v>13409</v>
      </c>
      <c r="D4300" s="25" t="s">
        <v>13410</v>
      </c>
      <c r="E4300" s="28">
        <v>0.60000</v>
      </c>
      <c r="F4300" s="29">
        <f ca="1">F4304</f>
        <v>0</v>
      </c>
      <c r="G4300" s="27">
        <f ca="1">ROUND(E4300*F4300,2)</f>
        <v>0</v>
      </c>
    </row>
    <row r="4301" spans="1:7" ht="24.36" thickBot="1" customHeight="1">
      <c r="A4301" s="24" t="s">
        <v>13411</v>
      </c>
      <c r="B4301" s="24" t="s">
        <v>13412</v>
      </c>
      <c r="C4301" s="24" t="s">
        <v>13413</v>
      </c>
      <c r="D4301" s="25" t="s">
        <v>13414</v>
      </c>
      <c r="E4301" s="28">
        <v>1.00000</v>
      </c>
      <c r="F4301" s="29">
        <f ca="1">ROUND(21.000,3)</f>
        <v>0</v>
      </c>
      <c r="G4301" s="27">
        <f ca="1">ROUND(E4301*F4301,2)</f>
        <v>0</v>
      </c>
    </row>
    <row r="4302" spans="1:7" ht="24.36" thickBot="1" customHeight="1">
      <c r="A4302" s="24" t="s">
        <v>13415</v>
      </c>
      <c r="B4302" s="24" t="s">
        <v>13416</v>
      </c>
      <c r="C4302" s="24" t="s">
        <v>13417</v>
      </c>
      <c r="D4302" s="25" t="s">
        <v>13418</v>
      </c>
      <c r="E4302" s="28">
        <v>1.00000</v>
      </c>
      <c r="F4302" s="29">
        <f ca="1">ROUND(19.000,3)</f>
        <v>0</v>
      </c>
      <c r="G4302" s="27">
        <f ca="1">ROUND(E4302*F4302,2)</f>
        <v>0</v>
      </c>
    </row>
    <row r="4303" spans="1:7" ht="24.36" thickBot="1" customHeight="1">
      <c r="A4303" s="24" t="s">
        <v>13419</v>
      </c>
      <c r="B4303" s="24" t="s">
        <v>13420</v>
      </c>
      <c r="C4303" s="24" t="s">
        <v>13421</v>
      </c>
      <c r="D4303" s="25" t="s">
        <v>13422</v>
      </c>
      <c r="E4303" s="28">
        <v>0.20000</v>
      </c>
      <c r="F4303" s="29">
        <f ca="1">ROUND(19.000,3)</f>
        <v>0</v>
      </c>
      <c r="G4303" s="27">
        <f ca="1">ROUND(E4303*F4303,2)</f>
        <v>0</v>
      </c>
    </row>
    <row r="4304" spans="1:7" ht="15.12" thickBot="1" customHeight="1">
      <c r="A4304" s="26"/>
      <c r="B4304" s="26"/>
      <c r="C4304" s="26"/>
      <c r="D4304" s="24" t="s">
        <v>13423</v>
      </c>
      <c r="E4304" s="28">
        <v>0.60000</v>
      </c>
      <c r="F4304" s="29">
        <f ca="1">ROUND((G4301+G4302+G4303),3)</f>
        <v>0</v>
      </c>
      <c r="G4304" s="27">
        <f ca="1">ROUND(E4304*F4304,2)</f>
        <v>0</v>
      </c>
    </row>
    <row r="4305" spans="1:7" ht="15.48" thickBot="1" customHeight="1">
      <c r="A4305" s="30"/>
      <c r="B4305" s="30"/>
      <c r="C4305" s="30"/>
      <c r="D4305" s="31" t="s">
        <v>13424</v>
      </c>
      <c r="E4305" s="30"/>
      <c r="F4305" s="33">
        <f ca="1">ROUND((G4295+G4296+G4297+G4298+G4299+G4300)*(1+G2/100),2)</f>
        <v>0</v>
      </c>
      <c r="G4305" s="30"/>
    </row>
    <row r="4306" spans="1:7" ht="21.36" thickBot="1" customHeight="1">
      <c r="A4306" s="34" t="s">
        <v>13425</v>
      </c>
      <c r="B4306" s="35" t="s">
        <v>13426</v>
      </c>
      <c r="C4306" s="35" t="s">
        <v>13427</v>
      </c>
      <c r="D4306" s="36" t="s">
        <v>13428</v>
      </c>
      <c r="E4306" s="37"/>
      <c r="F4306" s="38">
        <f ca="1">F4315</f>
        <v>0</v>
      </c>
      <c r="G4306" s="37"/>
    </row>
    <row r="4307" spans="1:7" ht="12.12" thickBot="1" customHeight="1">
      <c r="A4307" s="26"/>
      <c r="B4307" s="26"/>
      <c r="C4307" s="26"/>
      <c r="D4307" s="25" t="s">
        <v>13429</v>
      </c>
      <c r="E4307" s="25"/>
      <c r="F4307" s="25"/>
      <c r="G4307" s="25"/>
    </row>
    <row r="4308" spans="1:7" ht="30.60" thickBot="1" customHeight="1">
      <c r="A4308" s="24" t="s">
        <v>13430</v>
      </c>
      <c r="B4308" s="24" t="s">
        <v>13431</v>
      </c>
      <c r="C4308" s="24" t="s">
        <v>13432</v>
      </c>
      <c r="D4308" s="25" t="s">
        <v>13433</v>
      </c>
      <c r="E4308" s="28">
        <v>0.33600</v>
      </c>
      <c r="F4308" s="29">
        <f ca="1">ROUND(4.750,3)</f>
        <v>0</v>
      </c>
      <c r="G4308" s="27">
        <f ca="1">ROUND(E4308*F4308,2)</f>
        <v>0</v>
      </c>
    </row>
    <row r="4309" spans="1:7" ht="21.36" thickBot="1" customHeight="1">
      <c r="A4309" s="24" t="s">
        <v>13434</v>
      </c>
      <c r="B4309" s="24" t="s">
        <v>13435</v>
      </c>
      <c r="C4309" s="24" t="s">
        <v>13436</v>
      </c>
      <c r="D4309" s="25" t="s">
        <v>13437</v>
      </c>
      <c r="E4309" s="28">
        <v>0.53333</v>
      </c>
      <c r="F4309" s="29">
        <f ca="1">F4313</f>
        <v>0</v>
      </c>
      <c r="G4309" s="27">
        <f ca="1">ROUND(E4309*F4309,2)</f>
        <v>0</v>
      </c>
    </row>
    <row r="4310" spans="1:7" ht="24.36" thickBot="1" customHeight="1">
      <c r="A4310" s="24" t="s">
        <v>13438</v>
      </c>
      <c r="B4310" s="24" t="s">
        <v>13439</v>
      </c>
      <c r="C4310" s="24" t="s">
        <v>13440</v>
      </c>
      <c r="D4310" s="25" t="s">
        <v>13441</v>
      </c>
      <c r="E4310" s="28">
        <v>1.00000</v>
      </c>
      <c r="F4310" s="29">
        <f ca="1">ROUND(21.000,3)</f>
        <v>0</v>
      </c>
      <c r="G4310" s="27">
        <f ca="1">ROUND(E4310*F4310,2)</f>
        <v>0</v>
      </c>
    </row>
    <row r="4311" spans="1:7" ht="24.36" thickBot="1" customHeight="1">
      <c r="A4311" s="24" t="s">
        <v>13442</v>
      </c>
      <c r="B4311" s="24" t="s">
        <v>13443</v>
      </c>
      <c r="C4311" s="24" t="s">
        <v>13444</v>
      </c>
      <c r="D4311" s="25" t="s">
        <v>13445</v>
      </c>
      <c r="E4311" s="28">
        <v>1.00000</v>
      </c>
      <c r="F4311" s="29">
        <f ca="1">ROUND(19.000,3)</f>
        <v>0</v>
      </c>
      <c r="G4311" s="27">
        <f ca="1">ROUND(E4311*F4311,2)</f>
        <v>0</v>
      </c>
    </row>
    <row r="4312" spans="1:7" ht="24.36" thickBot="1" customHeight="1">
      <c r="A4312" s="24" t="s">
        <v>13446</v>
      </c>
      <c r="B4312" s="24" t="s">
        <v>13447</v>
      </c>
      <c r="C4312" s="24" t="s">
        <v>13448</v>
      </c>
      <c r="D4312" s="25" t="s">
        <v>13449</v>
      </c>
      <c r="E4312" s="28">
        <v>0.20000</v>
      </c>
      <c r="F4312" s="29">
        <f ca="1">ROUND(19.000,3)</f>
        <v>0</v>
      </c>
      <c r="G4312" s="27">
        <f ca="1">ROUND(E4312*F4312,2)</f>
        <v>0</v>
      </c>
    </row>
    <row r="4313" spans="1:7" ht="15.12" thickBot="1" customHeight="1">
      <c r="A4313" s="26"/>
      <c r="B4313" s="26"/>
      <c r="C4313" s="26"/>
      <c r="D4313" s="24" t="s">
        <v>13450</v>
      </c>
      <c r="E4313" s="28">
        <v>0.53333</v>
      </c>
      <c r="F4313" s="29">
        <f ca="1">ROUND((G4310+G4311+G4312),3)</f>
        <v>0</v>
      </c>
      <c r="G4313" s="27">
        <f ca="1">ROUND(E4313*F4313,2)</f>
        <v>0</v>
      </c>
    </row>
    <row r="4314" spans="1:7" ht="15.12" thickBot="1" customHeight="1">
      <c r="A4314" s="24" t="s">
        <v>13451</v>
      </c>
      <c r="B4314" s="24"/>
      <c r="C4314" s="24" t="s">
        <v>13452</v>
      </c>
      <c r="D4314" s="25" t="s">
        <v>13453</v>
      </c>
      <c r="E4314" s="28">
        <v>5.00000</v>
      </c>
      <c r="F4314" s="29">
        <f ca="1">ROUND(23.360,3)</f>
        <v>0</v>
      </c>
      <c r="G4314" s="27">
        <f ca="1">ROUND((E4314*F4314)/100,2)</f>
        <v>0</v>
      </c>
    </row>
    <row r="4315" spans="1:7" ht="15.48" thickBot="1" customHeight="1">
      <c r="A4315" s="30"/>
      <c r="B4315" s="30"/>
      <c r="C4315" s="30"/>
      <c r="D4315" s="31" t="s">
        <v>13454</v>
      </c>
      <c r="E4315" s="30"/>
      <c r="F4315" s="33">
        <f ca="1">ROUND((G4308+G4309+G4314)*(1+G2/100),2)</f>
        <v>0</v>
      </c>
      <c r="G4315" s="30"/>
    </row>
    <row r="4316" spans="1:7" ht="30.60" thickBot="1" customHeight="1">
      <c r="A4316" s="34" t="s">
        <v>13455</v>
      </c>
      <c r="B4316" s="35" t="s">
        <v>13456</v>
      </c>
      <c r="C4316" s="35" t="s">
        <v>13457</v>
      </c>
      <c r="D4316" s="36" t="s">
        <v>13458</v>
      </c>
      <c r="E4316" s="37"/>
      <c r="F4316" s="38">
        <f ca="1">F4326</f>
        <v>0</v>
      </c>
      <c r="G4316" s="37"/>
    </row>
    <row r="4317" spans="1:7" ht="12.12" thickBot="1" customHeight="1">
      <c r="A4317" s="26"/>
      <c r="B4317" s="26"/>
      <c r="C4317" s="26"/>
      <c r="D4317" s="25" t="s">
        <v>13459</v>
      </c>
      <c r="E4317" s="25"/>
      <c r="F4317" s="25"/>
      <c r="G4317" s="25"/>
    </row>
    <row r="4318" spans="1:7" ht="30.60" thickBot="1" customHeight="1">
      <c r="A4318" s="24" t="s">
        <v>13460</v>
      </c>
      <c r="B4318" s="24" t="s">
        <v>13461</v>
      </c>
      <c r="C4318" s="24" t="s">
        <v>13462</v>
      </c>
      <c r="D4318" s="25" t="s">
        <v>13463</v>
      </c>
      <c r="E4318" s="28">
        <v>1.00000</v>
      </c>
      <c r="F4318" s="29">
        <f ca="1">ROUND(5.250,3)</f>
        <v>0</v>
      </c>
      <c r="G4318" s="27">
        <f ca="1">ROUND(E4318*F4318,2)</f>
        <v>0</v>
      </c>
    </row>
    <row r="4319" spans="1:7" ht="30.60" thickBot="1" customHeight="1">
      <c r="A4319" s="24" t="s">
        <v>13464</v>
      </c>
      <c r="B4319" s="24" t="s">
        <v>13465</v>
      </c>
      <c r="C4319" s="24" t="s">
        <v>13466</v>
      </c>
      <c r="D4319" s="25" t="s">
        <v>13467</v>
      </c>
      <c r="E4319" s="28">
        <v>0.02200</v>
      </c>
      <c r="F4319" s="29">
        <f ca="1">ROUND(27.500,3)</f>
        <v>0</v>
      </c>
      <c r="G4319" s="27">
        <f ca="1">ROUND(E4319*F4319,2)</f>
        <v>0</v>
      </c>
    </row>
    <row r="4320" spans="1:7" ht="21.36" thickBot="1" customHeight="1">
      <c r="A4320" s="24" t="s">
        <v>13468</v>
      </c>
      <c r="B4320" s="24" t="s">
        <v>13469</v>
      </c>
      <c r="C4320" s="24" t="s">
        <v>13470</v>
      </c>
      <c r="D4320" s="25" t="s">
        <v>13471</v>
      </c>
      <c r="E4320" s="28">
        <v>0.66667</v>
      </c>
      <c r="F4320" s="29">
        <f ca="1">F4324</f>
        <v>0</v>
      </c>
      <c r="G4320" s="27">
        <f ca="1">ROUND(E4320*F4320,2)</f>
        <v>0</v>
      </c>
    </row>
    <row r="4321" spans="1:7" ht="24.36" thickBot="1" customHeight="1">
      <c r="A4321" s="24" t="s">
        <v>13472</v>
      </c>
      <c r="B4321" s="24" t="s">
        <v>13473</v>
      </c>
      <c r="C4321" s="24" t="s">
        <v>13474</v>
      </c>
      <c r="D4321" s="25" t="s">
        <v>13475</v>
      </c>
      <c r="E4321" s="28">
        <v>1.00000</v>
      </c>
      <c r="F4321" s="29">
        <f ca="1">ROUND(21.000,3)</f>
        <v>0</v>
      </c>
      <c r="G4321" s="27">
        <f ca="1">ROUND(E4321*F4321,2)</f>
        <v>0</v>
      </c>
    </row>
    <row r="4322" spans="1:7" ht="24.36" thickBot="1" customHeight="1">
      <c r="A4322" s="24" t="s">
        <v>13476</v>
      </c>
      <c r="B4322" s="24" t="s">
        <v>13477</v>
      </c>
      <c r="C4322" s="24" t="s">
        <v>13478</v>
      </c>
      <c r="D4322" s="25" t="s">
        <v>13479</v>
      </c>
      <c r="E4322" s="28">
        <v>1.00000</v>
      </c>
      <c r="F4322" s="29">
        <f ca="1">ROUND(19.000,3)</f>
        <v>0</v>
      </c>
      <c r="G4322" s="27">
        <f ca="1">ROUND(E4322*F4322,2)</f>
        <v>0</v>
      </c>
    </row>
    <row r="4323" spans="1:7" ht="24.36" thickBot="1" customHeight="1">
      <c r="A4323" s="24" t="s">
        <v>13480</v>
      </c>
      <c r="B4323" s="24" t="s">
        <v>13481</v>
      </c>
      <c r="C4323" s="24" t="s">
        <v>13482</v>
      </c>
      <c r="D4323" s="25" t="s">
        <v>13483</v>
      </c>
      <c r="E4323" s="28">
        <v>0.20000</v>
      </c>
      <c r="F4323" s="29">
        <f ca="1">ROUND(19.000,3)</f>
        <v>0</v>
      </c>
      <c r="G4323" s="27">
        <f ca="1">ROUND(E4323*F4323,2)</f>
        <v>0</v>
      </c>
    </row>
    <row r="4324" spans="1:7" ht="15.12" thickBot="1" customHeight="1">
      <c r="A4324" s="26"/>
      <c r="B4324" s="26"/>
      <c r="C4324" s="26"/>
      <c r="D4324" s="24" t="s">
        <v>13484</v>
      </c>
      <c r="E4324" s="28">
        <v>0.66667</v>
      </c>
      <c r="F4324" s="29">
        <f ca="1">ROUND((G4321+G4322+G4323),3)</f>
        <v>0</v>
      </c>
      <c r="G4324" s="27">
        <f ca="1">ROUND(E4324*F4324,2)</f>
        <v>0</v>
      </c>
    </row>
    <row r="4325" spans="1:7" ht="15.12" thickBot="1" customHeight="1">
      <c r="A4325" s="24" t="s">
        <v>13485</v>
      </c>
      <c r="B4325" s="24"/>
      <c r="C4325" s="24" t="s">
        <v>13486</v>
      </c>
      <c r="D4325" s="25" t="s">
        <v>13487</v>
      </c>
      <c r="E4325" s="28">
        <v>5.00000</v>
      </c>
      <c r="F4325" s="29">
        <f ca="1">ROUND(29.200,3)</f>
        <v>0</v>
      </c>
      <c r="G4325" s="27">
        <f ca="1">ROUND((E4325*F4325)/100,2)</f>
        <v>0</v>
      </c>
    </row>
    <row r="4326" spans="1:7" ht="15.48" thickBot="1" customHeight="1">
      <c r="A4326" s="30"/>
      <c r="B4326" s="30"/>
      <c r="C4326" s="30"/>
      <c r="D4326" s="31" t="s">
        <v>13488</v>
      </c>
      <c r="E4326" s="30"/>
      <c r="F4326" s="33">
        <f ca="1">ROUND((G4318+G4319+G4320+G4325)*(1+G2/100),2)</f>
        <v>0</v>
      </c>
      <c r="G4326" s="30"/>
    </row>
    <row r="4327" spans="1:7" ht="15.48" thickBot="1" customHeight="1">
      <c r="A4327" s="34" t="s">
        <v>13489</v>
      </c>
      <c r="B4327" s="35" t="s">
        <v>13490</v>
      </c>
      <c r="C4327" s="35" t="s">
        <v>13491</v>
      </c>
      <c r="D4327" s="36" t="s">
        <v>13492</v>
      </c>
      <c r="E4327" s="37"/>
      <c r="F4327" s="38">
        <f ca="1">F4338</f>
        <v>0</v>
      </c>
      <c r="G4327" s="37"/>
    </row>
    <row r="4328" spans="1:7" ht="12.12" thickBot="1" customHeight="1">
      <c r="A4328" s="26"/>
      <c r="B4328" s="26"/>
      <c r="C4328" s="26"/>
      <c r="D4328" s="25" t="s">
        <v>13493</v>
      </c>
      <c r="E4328" s="25"/>
      <c r="F4328" s="25"/>
      <c r="G4328" s="25"/>
    </row>
    <row r="4329" spans="1:7" ht="39.84" thickBot="1" customHeight="1">
      <c r="A4329" s="24" t="s">
        <v>13494</v>
      </c>
      <c r="B4329" s="24" t="s">
        <v>13495</v>
      </c>
      <c r="C4329" s="24" t="s">
        <v>13496</v>
      </c>
      <c r="D4329" s="25" t="s">
        <v>13497</v>
      </c>
      <c r="E4329" s="28">
        <v>1.00000</v>
      </c>
      <c r="F4329" s="29">
        <f ca="1">ROUND(1.150,3)</f>
        <v>0</v>
      </c>
      <c r="G4329" s="27">
        <f ca="1">ROUND(E4329*F4329,2)</f>
        <v>0</v>
      </c>
    </row>
    <row r="4330" spans="1:7" ht="30.60" thickBot="1" customHeight="1">
      <c r="A4330" s="24" t="s">
        <v>13498</v>
      </c>
      <c r="B4330" s="24" t="s">
        <v>13499</v>
      </c>
      <c r="C4330" s="24" t="s">
        <v>13500</v>
      </c>
      <c r="D4330" s="25" t="s">
        <v>13501</v>
      </c>
      <c r="E4330" s="28">
        <v>0.02200</v>
      </c>
      <c r="F4330" s="29">
        <f ca="1">ROUND(39.500,3)</f>
        <v>0</v>
      </c>
      <c r="G4330" s="27">
        <f ca="1">ROUND(E4330*F4330,2)</f>
        <v>0</v>
      </c>
    </row>
    <row r="4331" spans="1:7" ht="21.36" thickBot="1" customHeight="1">
      <c r="A4331" s="24" t="s">
        <v>13502</v>
      </c>
      <c r="B4331" s="24" t="s">
        <v>13503</v>
      </c>
      <c r="C4331" s="24" t="s">
        <v>13504</v>
      </c>
      <c r="D4331" s="25" t="s">
        <v>13505</v>
      </c>
      <c r="E4331" s="28">
        <v>0.10000</v>
      </c>
      <c r="F4331" s="29">
        <f ca="1">ROUND(0.840,3)</f>
        <v>0</v>
      </c>
      <c r="G4331" s="27">
        <f ca="1">ROUND(E4331*F4331,2)</f>
        <v>0</v>
      </c>
    </row>
    <row r="4332" spans="1:7" ht="21.36" thickBot="1" customHeight="1">
      <c r="A4332" s="24" t="s">
        <v>13506</v>
      </c>
      <c r="B4332" s="24" t="s">
        <v>13507</v>
      </c>
      <c r="C4332" s="24" t="s">
        <v>13508</v>
      </c>
      <c r="D4332" s="25" t="s">
        <v>13509</v>
      </c>
      <c r="E4332" s="28">
        <v>0.40000</v>
      </c>
      <c r="F4332" s="29">
        <f ca="1">F4336</f>
        <v>0</v>
      </c>
      <c r="G4332" s="27">
        <f ca="1">ROUND(E4332*F4332,2)</f>
        <v>0</v>
      </c>
    </row>
    <row r="4333" spans="1:7" ht="24.36" thickBot="1" customHeight="1">
      <c r="A4333" s="24" t="s">
        <v>13510</v>
      </c>
      <c r="B4333" s="24" t="s">
        <v>13511</v>
      </c>
      <c r="C4333" s="24" t="s">
        <v>13512</v>
      </c>
      <c r="D4333" s="25" t="s">
        <v>13513</v>
      </c>
      <c r="E4333" s="28">
        <v>1.00000</v>
      </c>
      <c r="F4333" s="29">
        <f ca="1">ROUND(21.000,3)</f>
        <v>0</v>
      </c>
      <c r="G4333" s="27">
        <f ca="1">ROUND(E4333*F4333,2)</f>
        <v>0</v>
      </c>
    </row>
    <row r="4334" spans="1:7" ht="24.36" thickBot="1" customHeight="1">
      <c r="A4334" s="24" t="s">
        <v>13514</v>
      </c>
      <c r="B4334" s="24" t="s">
        <v>13515</v>
      </c>
      <c r="C4334" s="24" t="s">
        <v>13516</v>
      </c>
      <c r="D4334" s="25" t="s">
        <v>13517</v>
      </c>
      <c r="E4334" s="28">
        <v>1.00000</v>
      </c>
      <c r="F4334" s="29">
        <f ca="1">ROUND(19.000,3)</f>
        <v>0</v>
      </c>
      <c r="G4334" s="27">
        <f ca="1">ROUND(E4334*F4334,2)</f>
        <v>0</v>
      </c>
    </row>
    <row r="4335" spans="1:7" ht="24.36" thickBot="1" customHeight="1">
      <c r="A4335" s="24" t="s">
        <v>13518</v>
      </c>
      <c r="B4335" s="24" t="s">
        <v>13519</v>
      </c>
      <c r="C4335" s="24" t="s">
        <v>13520</v>
      </c>
      <c r="D4335" s="25" t="s">
        <v>13521</v>
      </c>
      <c r="E4335" s="28">
        <v>0.20000</v>
      </c>
      <c r="F4335" s="29">
        <f ca="1">ROUND(19.000,3)</f>
        <v>0</v>
      </c>
      <c r="G4335" s="27">
        <f ca="1">ROUND(E4335*F4335,2)</f>
        <v>0</v>
      </c>
    </row>
    <row r="4336" spans="1:7" ht="15.12" thickBot="1" customHeight="1">
      <c r="A4336" s="26"/>
      <c r="B4336" s="26"/>
      <c r="C4336" s="26"/>
      <c r="D4336" s="24" t="s">
        <v>13522</v>
      </c>
      <c r="E4336" s="28">
        <v>0.40000</v>
      </c>
      <c r="F4336" s="29">
        <f ca="1">ROUND((G4333+G4334+G4335),3)</f>
        <v>0</v>
      </c>
      <c r="G4336" s="27">
        <f ca="1">ROUND(E4336*F4336,2)</f>
        <v>0</v>
      </c>
    </row>
    <row r="4337" spans="1:7" ht="15.12" thickBot="1" customHeight="1">
      <c r="A4337" s="24" t="s">
        <v>13523</v>
      </c>
      <c r="B4337" s="24"/>
      <c r="C4337" s="24" t="s">
        <v>13524</v>
      </c>
      <c r="D4337" s="25" t="s">
        <v>13525</v>
      </c>
      <c r="E4337" s="28">
        <v>5.00000</v>
      </c>
      <c r="F4337" s="29">
        <f ca="1">ROUND(17.520,3)</f>
        <v>0</v>
      </c>
      <c r="G4337" s="27">
        <f ca="1">ROUND((E4337*F4337)/100,2)</f>
        <v>0</v>
      </c>
    </row>
    <row r="4338" spans="1:7" ht="15.48" thickBot="1" customHeight="1">
      <c r="A4338" s="30"/>
      <c r="B4338" s="30"/>
      <c r="C4338" s="30"/>
      <c r="D4338" s="31" t="s">
        <v>13526</v>
      </c>
      <c r="E4338" s="30"/>
      <c r="F4338" s="33">
        <f ca="1">ROUND((G4329+G4330+G4331+G4332+G4337)*(1+G2/100),2)</f>
        <v>0</v>
      </c>
      <c r="G4338" s="30"/>
    </row>
    <row r="4339" spans="1:7" ht="21.36" thickBot="1" customHeight="1">
      <c r="A4339" s="34" t="s">
        <v>13527</v>
      </c>
      <c r="B4339" s="35" t="s">
        <v>13528</v>
      </c>
      <c r="C4339" s="35" t="s">
        <v>13529</v>
      </c>
      <c r="D4339" s="36" t="s">
        <v>13530</v>
      </c>
      <c r="E4339" s="37"/>
      <c r="F4339" s="38">
        <f ca="1">F4348</f>
        <v>0</v>
      </c>
      <c r="G4339" s="37"/>
    </row>
    <row r="4340" spans="1:7" ht="39.84" thickBot="1" customHeight="1">
      <c r="A4340" s="26"/>
      <c r="B4340" s="26"/>
      <c r="C4340" s="26"/>
      <c r="D4340" s="25" t="s">
        <v>13531</v>
      </c>
      <c r="E4340" s="25"/>
      <c r="F4340" s="25"/>
      <c r="G4340" s="25"/>
    </row>
    <row r="4341" spans="1:7" ht="30.60" thickBot="1" customHeight="1">
      <c r="A4341" s="24" t="s">
        <v>13532</v>
      </c>
      <c r="B4341" s="24" t="s">
        <v>13533</v>
      </c>
      <c r="C4341" s="24" t="s">
        <v>13534</v>
      </c>
      <c r="D4341" s="25" t="s">
        <v>13535</v>
      </c>
      <c r="E4341" s="28">
        <v>1.60000</v>
      </c>
      <c r="F4341" s="29">
        <f ca="1">ROUND(10.670,3)</f>
        <v>0</v>
      </c>
      <c r="G4341" s="27">
        <f ca="1">ROUND(E4341*F4341,2)</f>
        <v>0</v>
      </c>
    </row>
    <row r="4342" spans="1:7" ht="30.60" thickBot="1" customHeight="1">
      <c r="A4342" s="24" t="s">
        <v>13536</v>
      </c>
      <c r="B4342" s="24" t="s">
        <v>13537</v>
      </c>
      <c r="C4342" s="24" t="s">
        <v>13538</v>
      </c>
      <c r="D4342" s="25" t="s">
        <v>13539</v>
      </c>
      <c r="E4342" s="28">
        <v>0.02200</v>
      </c>
      <c r="F4342" s="29">
        <f ca="1">ROUND(27.500,3)</f>
        <v>0</v>
      </c>
      <c r="G4342" s="27">
        <f ca="1">ROUND(E4342*F4342,2)</f>
        <v>0</v>
      </c>
    </row>
    <row r="4343" spans="1:7" ht="21.36" thickBot="1" customHeight="1">
      <c r="A4343" s="24" t="s">
        <v>13540</v>
      </c>
      <c r="B4343" s="24" t="s">
        <v>13541</v>
      </c>
      <c r="C4343" s="24" t="s">
        <v>13542</v>
      </c>
      <c r="D4343" s="25" t="s">
        <v>13543</v>
      </c>
      <c r="E4343" s="28">
        <v>0.80000</v>
      </c>
      <c r="F4343" s="29">
        <f ca="1">F4347</f>
        <v>0</v>
      </c>
      <c r="G4343" s="27">
        <f ca="1">ROUND(E4343*F4343,2)</f>
        <v>0</v>
      </c>
    </row>
    <row r="4344" spans="1:7" ht="24.36" thickBot="1" customHeight="1">
      <c r="A4344" s="24" t="s">
        <v>13544</v>
      </c>
      <c r="B4344" s="24" t="s">
        <v>13545</v>
      </c>
      <c r="C4344" s="24" t="s">
        <v>13546</v>
      </c>
      <c r="D4344" s="25" t="s">
        <v>13547</v>
      </c>
      <c r="E4344" s="28">
        <v>1.00000</v>
      </c>
      <c r="F4344" s="29">
        <f ca="1">ROUND(21.000,3)</f>
        <v>0</v>
      </c>
      <c r="G4344" s="27">
        <f ca="1">ROUND(E4344*F4344,2)</f>
        <v>0</v>
      </c>
    </row>
    <row r="4345" spans="1:7" ht="24.36" thickBot="1" customHeight="1">
      <c r="A4345" s="24" t="s">
        <v>13548</v>
      </c>
      <c r="B4345" s="24" t="s">
        <v>13549</v>
      </c>
      <c r="C4345" s="24" t="s">
        <v>13550</v>
      </c>
      <c r="D4345" s="25" t="s">
        <v>13551</v>
      </c>
      <c r="E4345" s="28">
        <v>1.00000</v>
      </c>
      <c r="F4345" s="29">
        <f ca="1">ROUND(19.000,3)</f>
        <v>0</v>
      </c>
      <c r="G4345" s="27">
        <f ca="1">ROUND(E4345*F4345,2)</f>
        <v>0</v>
      </c>
    </row>
    <row r="4346" spans="1:7" ht="24.36" thickBot="1" customHeight="1">
      <c r="A4346" s="24" t="s">
        <v>13552</v>
      </c>
      <c r="B4346" s="24" t="s">
        <v>13553</v>
      </c>
      <c r="C4346" s="24" t="s">
        <v>13554</v>
      </c>
      <c r="D4346" s="25" t="s">
        <v>13555</v>
      </c>
      <c r="E4346" s="28">
        <v>0.20000</v>
      </c>
      <c r="F4346" s="29">
        <f ca="1">ROUND(19.000,3)</f>
        <v>0</v>
      </c>
      <c r="G4346" s="27">
        <f ca="1">ROUND(E4346*F4346,2)</f>
        <v>0</v>
      </c>
    </row>
    <row r="4347" spans="1:7" ht="15.12" thickBot="1" customHeight="1">
      <c r="A4347" s="26"/>
      <c r="B4347" s="26"/>
      <c r="C4347" s="26"/>
      <c r="D4347" s="24" t="s">
        <v>13556</v>
      </c>
      <c r="E4347" s="28">
        <v>0.80000</v>
      </c>
      <c r="F4347" s="29">
        <f ca="1">ROUND((G4344+G4345+G4346),3)</f>
        <v>0</v>
      </c>
      <c r="G4347" s="27">
        <f ca="1">ROUND(E4347*F4347,2)</f>
        <v>0</v>
      </c>
    </row>
    <row r="4348" spans="1:7" ht="15.48" thickBot="1" customHeight="1">
      <c r="A4348" s="30"/>
      <c r="B4348" s="30"/>
      <c r="C4348" s="30"/>
      <c r="D4348" s="31" t="s">
        <v>13557</v>
      </c>
      <c r="E4348" s="30"/>
      <c r="F4348" s="33">
        <f ca="1">ROUND((G4341+G4342+G4343)*(1+G2/100),2)</f>
        <v>0</v>
      </c>
      <c r="G4348" s="30"/>
    </row>
    <row r="4349" spans="1:7" ht="21.36" thickBot="1" customHeight="1">
      <c r="A4349" s="34" t="s">
        <v>13558</v>
      </c>
      <c r="B4349" s="35" t="s">
        <v>13559</v>
      </c>
      <c r="C4349" s="35" t="s">
        <v>13560</v>
      </c>
      <c r="D4349" s="36" t="s">
        <v>13561</v>
      </c>
      <c r="E4349" s="37"/>
      <c r="F4349" s="38">
        <f ca="1">F4357</f>
        <v>0</v>
      </c>
      <c r="G4349" s="37"/>
    </row>
    <row r="4350" spans="1:7" ht="39.84" thickBot="1" customHeight="1">
      <c r="A4350" s="26"/>
      <c r="B4350" s="26"/>
      <c r="C4350" s="26"/>
      <c r="D4350" s="25" t="s">
        <v>13562</v>
      </c>
      <c r="E4350" s="25"/>
      <c r="F4350" s="25"/>
      <c r="G4350" s="25"/>
    </row>
    <row r="4351" spans="1:7" ht="21.36" thickBot="1" customHeight="1">
      <c r="A4351" s="24" t="s">
        <v>13563</v>
      </c>
      <c r="B4351" s="24" t="s">
        <v>13564</v>
      </c>
      <c r="C4351" s="24" t="s">
        <v>13565</v>
      </c>
      <c r="D4351" s="25" t="s">
        <v>13566</v>
      </c>
      <c r="E4351" s="28">
        <v>0.22200</v>
      </c>
      <c r="F4351" s="29">
        <f ca="1">ROUND(3.300,3)</f>
        <v>0</v>
      </c>
      <c r="G4351" s="27">
        <f ca="1">ROUND(E4351*F4351,2)</f>
        <v>0</v>
      </c>
    </row>
    <row r="4352" spans="1:7" ht="21.36" thickBot="1" customHeight="1">
      <c r="A4352" s="24" t="s">
        <v>13567</v>
      </c>
      <c r="B4352" s="24" t="s">
        <v>13568</v>
      </c>
      <c r="C4352" s="24" t="s">
        <v>13569</v>
      </c>
      <c r="D4352" s="25" t="s">
        <v>13570</v>
      </c>
      <c r="E4352" s="28">
        <v>0.22220</v>
      </c>
      <c r="F4352" s="29">
        <f ca="1">F4356</f>
        <v>0</v>
      </c>
      <c r="G4352" s="27">
        <f ca="1">ROUND(E4352*F4352,2)</f>
        <v>0</v>
      </c>
    </row>
    <row r="4353" spans="1:7" ht="24.36" thickBot="1" customHeight="1">
      <c r="A4353" s="24" t="s">
        <v>13571</v>
      </c>
      <c r="B4353" s="24" t="s">
        <v>13572</v>
      </c>
      <c r="C4353" s="24" t="s">
        <v>13573</v>
      </c>
      <c r="D4353" s="25" t="s">
        <v>13574</v>
      </c>
      <c r="E4353" s="28">
        <v>1.00000</v>
      </c>
      <c r="F4353" s="29">
        <f ca="1">ROUND(21.000,3)</f>
        <v>0</v>
      </c>
      <c r="G4353" s="27">
        <f ca="1">ROUND(E4353*F4353,2)</f>
        <v>0</v>
      </c>
    </row>
    <row r="4354" spans="1:7" ht="24.36" thickBot="1" customHeight="1">
      <c r="A4354" s="24" t="s">
        <v>13575</v>
      </c>
      <c r="B4354" s="24" t="s">
        <v>13576</v>
      </c>
      <c r="C4354" s="24" t="s">
        <v>13577</v>
      </c>
      <c r="D4354" s="25" t="s">
        <v>13578</v>
      </c>
      <c r="E4354" s="28">
        <v>1.00000</v>
      </c>
      <c r="F4354" s="29">
        <f ca="1">ROUND(19.000,3)</f>
        <v>0</v>
      </c>
      <c r="G4354" s="27">
        <f ca="1">ROUND(E4354*F4354,2)</f>
        <v>0</v>
      </c>
    </row>
    <row r="4355" spans="1:7" ht="24.36" thickBot="1" customHeight="1">
      <c r="A4355" s="24" t="s">
        <v>13579</v>
      </c>
      <c r="B4355" s="24" t="s">
        <v>13580</v>
      </c>
      <c r="C4355" s="24" t="s">
        <v>13581</v>
      </c>
      <c r="D4355" s="25" t="s">
        <v>13582</v>
      </c>
      <c r="E4355" s="28">
        <v>0.20000</v>
      </c>
      <c r="F4355" s="29">
        <f ca="1">ROUND(19.000,3)</f>
        <v>0</v>
      </c>
      <c r="G4355" s="27">
        <f ca="1">ROUND(E4355*F4355,2)</f>
        <v>0</v>
      </c>
    </row>
    <row r="4356" spans="1:7" ht="15.12" thickBot="1" customHeight="1">
      <c r="A4356" s="26"/>
      <c r="B4356" s="26"/>
      <c r="C4356" s="26"/>
      <c r="D4356" s="24" t="s">
        <v>13583</v>
      </c>
      <c r="E4356" s="28">
        <v>0.22220</v>
      </c>
      <c r="F4356" s="29">
        <f ca="1">ROUND((G4353+G4354+G4355),3)</f>
        <v>0</v>
      </c>
      <c r="G4356" s="27">
        <f ca="1">ROUND(E4356*F4356,2)</f>
        <v>0</v>
      </c>
    </row>
    <row r="4357" spans="1:7" ht="15.48" thickBot="1" customHeight="1">
      <c r="A4357" s="30"/>
      <c r="B4357" s="30"/>
      <c r="C4357" s="30"/>
      <c r="D4357" s="31" t="s">
        <v>13584</v>
      </c>
      <c r="E4357" s="30"/>
      <c r="F4357" s="33">
        <f ca="1">ROUND((G4351+G4352)*(1+G2/100),2)</f>
        <v>0</v>
      </c>
      <c r="G4357" s="30"/>
    </row>
    <row r="4358" spans="1:7" ht="15.48" thickBot="1" customHeight="1">
      <c r="A4358" s="34" t="s">
        <v>13585</v>
      </c>
      <c r="B4358" s="35" t="s">
        <v>13586</v>
      </c>
      <c r="C4358" s="35" t="s">
        <v>13587</v>
      </c>
      <c r="D4358" s="36" t="s">
        <v>13588</v>
      </c>
      <c r="E4358" s="37"/>
      <c r="F4358" s="38">
        <f ca="1">F4367</f>
        <v>0</v>
      </c>
      <c r="G4358" s="37"/>
    </row>
    <row r="4359" spans="1:7" ht="30.60" thickBot="1" customHeight="1">
      <c r="A4359" s="26"/>
      <c r="B4359" s="26"/>
      <c r="C4359" s="26"/>
      <c r="D4359" s="25" t="s">
        <v>13589</v>
      </c>
      <c r="E4359" s="25"/>
      <c r="F4359" s="25"/>
      <c r="G4359" s="25"/>
    </row>
    <row r="4360" spans="1:7" ht="49.08" thickBot="1" customHeight="1">
      <c r="A4360" s="24" t="s">
        <v>13590</v>
      </c>
      <c r="B4360" s="24" t="s">
        <v>13591</v>
      </c>
      <c r="C4360" s="24" t="s">
        <v>13592</v>
      </c>
      <c r="D4360" s="25" t="s">
        <v>13593</v>
      </c>
      <c r="E4360" s="28">
        <v>0.50000</v>
      </c>
      <c r="F4360" s="29">
        <f ca="1">ROUND(45.740,3)</f>
        <v>0</v>
      </c>
      <c r="G4360" s="27">
        <f ca="1">ROUND(E4360*F4360,2)</f>
        <v>0</v>
      </c>
    </row>
    <row r="4361" spans="1:7" ht="21.36" thickBot="1" customHeight="1">
      <c r="A4361" s="24" t="s">
        <v>13594</v>
      </c>
      <c r="B4361" s="24" t="s">
        <v>13595</v>
      </c>
      <c r="C4361" s="24" t="s">
        <v>13596</v>
      </c>
      <c r="D4361" s="25" t="s">
        <v>13597</v>
      </c>
      <c r="E4361" s="28">
        <v>0.15000</v>
      </c>
      <c r="F4361" s="29">
        <f ca="1">ROUND(12.500,3)</f>
        <v>0</v>
      </c>
      <c r="G4361" s="27">
        <f ca="1">ROUND(E4361*F4361,2)</f>
        <v>0</v>
      </c>
    </row>
    <row r="4362" spans="1:7" ht="21.36" thickBot="1" customHeight="1">
      <c r="A4362" s="24" t="s">
        <v>13598</v>
      </c>
      <c r="B4362" s="24" t="s">
        <v>13599</v>
      </c>
      <c r="C4362" s="24" t="s">
        <v>13600</v>
      </c>
      <c r="D4362" s="25" t="s">
        <v>13601</v>
      </c>
      <c r="E4362" s="28">
        <v>0.20000</v>
      </c>
      <c r="F4362" s="29">
        <f ca="1">F4366</f>
        <v>0</v>
      </c>
      <c r="G4362" s="27">
        <f ca="1">ROUND(E4362*F4362,2)</f>
        <v>0</v>
      </c>
    </row>
    <row r="4363" spans="1:7" ht="24.36" thickBot="1" customHeight="1">
      <c r="A4363" s="24" t="s">
        <v>13602</v>
      </c>
      <c r="B4363" s="24" t="s">
        <v>13603</v>
      </c>
      <c r="C4363" s="24" t="s">
        <v>13604</v>
      </c>
      <c r="D4363" s="25" t="s">
        <v>13605</v>
      </c>
      <c r="E4363" s="28">
        <v>1.00000</v>
      </c>
      <c r="F4363" s="29">
        <f ca="1">ROUND(21.000,3)</f>
        <v>0</v>
      </c>
      <c r="G4363" s="27">
        <f ca="1">ROUND(E4363*F4363,2)</f>
        <v>0</v>
      </c>
    </row>
    <row r="4364" spans="1:7" ht="24.36" thickBot="1" customHeight="1">
      <c r="A4364" s="24" t="s">
        <v>13606</v>
      </c>
      <c r="B4364" s="24" t="s">
        <v>13607</v>
      </c>
      <c r="C4364" s="24" t="s">
        <v>13608</v>
      </c>
      <c r="D4364" s="25" t="s">
        <v>13609</v>
      </c>
      <c r="E4364" s="28">
        <v>1.00000</v>
      </c>
      <c r="F4364" s="29">
        <f ca="1">ROUND(19.000,3)</f>
        <v>0</v>
      </c>
      <c r="G4364" s="27">
        <f ca="1">ROUND(E4364*F4364,2)</f>
        <v>0</v>
      </c>
    </row>
    <row r="4365" spans="1:7" ht="24.36" thickBot="1" customHeight="1">
      <c r="A4365" s="24" t="s">
        <v>13610</v>
      </c>
      <c r="B4365" s="24" t="s">
        <v>13611</v>
      </c>
      <c r="C4365" s="24" t="s">
        <v>13612</v>
      </c>
      <c r="D4365" s="25" t="s">
        <v>13613</v>
      </c>
      <c r="E4365" s="28">
        <v>0.20000</v>
      </c>
      <c r="F4365" s="29">
        <f ca="1">ROUND(19.000,3)</f>
        <v>0</v>
      </c>
      <c r="G4365" s="27">
        <f ca="1">ROUND(E4365*F4365,2)</f>
        <v>0</v>
      </c>
    </row>
    <row r="4366" spans="1:7" ht="15.12" thickBot="1" customHeight="1">
      <c r="A4366" s="26"/>
      <c r="B4366" s="26"/>
      <c r="C4366" s="26"/>
      <c r="D4366" s="24" t="s">
        <v>13614</v>
      </c>
      <c r="E4366" s="28">
        <v>0.20000</v>
      </c>
      <c r="F4366" s="29">
        <f ca="1">ROUND((G4363+G4364+G4365),3)</f>
        <v>0</v>
      </c>
      <c r="G4366" s="27">
        <f ca="1">ROUND(E4366*F4366,2)</f>
        <v>0</v>
      </c>
    </row>
    <row r="4367" spans="1:7" ht="15.48" thickBot="1" customHeight="1">
      <c r="A4367" s="30"/>
      <c r="B4367" s="30"/>
      <c r="C4367" s="30"/>
      <c r="D4367" s="31" t="s">
        <v>13615</v>
      </c>
      <c r="E4367" s="30"/>
      <c r="F4367" s="33">
        <f ca="1">ROUND((G4360+G4361+G4362)*(1+G2/100),2)</f>
        <v>0</v>
      </c>
      <c r="G4367" s="30"/>
    </row>
    <row r="4368" spans="1:7" ht="21.36" thickBot="1" customHeight="1">
      <c r="A4368" s="34" t="s">
        <v>13616</v>
      </c>
      <c r="B4368" s="35" t="s">
        <v>13617</v>
      </c>
      <c r="C4368" s="35" t="s">
        <v>13618</v>
      </c>
      <c r="D4368" s="36" t="s">
        <v>13619</v>
      </c>
      <c r="E4368" s="37"/>
      <c r="F4368" s="38">
        <f ca="1">F4378</f>
        <v>0</v>
      </c>
      <c r="G4368" s="37"/>
    </row>
    <row r="4369" spans="1:7" ht="12.12" thickBot="1" customHeight="1">
      <c r="A4369" s="26"/>
      <c r="B4369" s="26"/>
      <c r="C4369" s="26"/>
      <c r="D4369" s="25" t="s">
        <v>13620</v>
      </c>
      <c r="E4369" s="25"/>
      <c r="F4369" s="25"/>
      <c r="G4369" s="25"/>
    </row>
    <row r="4370" spans="1:7" ht="21.36" thickBot="1" customHeight="1">
      <c r="A4370" s="24" t="s">
        <v>13621</v>
      </c>
      <c r="B4370" s="24" t="s">
        <v>13622</v>
      </c>
      <c r="C4370" s="24" t="s">
        <v>13623</v>
      </c>
      <c r="D4370" s="25" t="s">
        <v>13624</v>
      </c>
      <c r="E4370" s="28">
        <v>1.20000</v>
      </c>
      <c r="F4370" s="29">
        <f ca="1">ROUND(18.440,3)</f>
        <v>0</v>
      </c>
      <c r="G4370" s="27">
        <f ca="1">ROUND(E4370*F4370,2)</f>
        <v>0</v>
      </c>
    </row>
    <row r="4371" spans="1:7" ht="30.60" thickBot="1" customHeight="1">
      <c r="A4371" s="24" t="s">
        <v>13625</v>
      </c>
      <c r="B4371" s="24" t="s">
        <v>13626</v>
      </c>
      <c r="C4371" s="24" t="s">
        <v>13627</v>
      </c>
      <c r="D4371" s="25" t="s">
        <v>13628</v>
      </c>
      <c r="E4371" s="28">
        <v>0.02200</v>
      </c>
      <c r="F4371" s="29">
        <f ca="1">ROUND(27.500,3)</f>
        <v>0</v>
      </c>
      <c r="G4371" s="27">
        <f ca="1">ROUND(E4371*F4371,2)</f>
        <v>0</v>
      </c>
    </row>
    <row r="4372" spans="1:7" ht="15.12" thickBot="1" customHeight="1">
      <c r="A4372" s="24" t="s">
        <v>13629</v>
      </c>
      <c r="B4372" s="24"/>
      <c r="C4372" s="24" t="s">
        <v>13630</v>
      </c>
      <c r="D4372" s="25" t="s">
        <v>13631</v>
      </c>
      <c r="E4372" s="28">
        <v>10.00000</v>
      </c>
      <c r="F4372" s="29">
        <f ca="1">ROUND(22.740,3)</f>
        <v>0</v>
      </c>
      <c r="G4372" s="27">
        <f ca="1">ROUND((E4372*F4372)/100,2)</f>
        <v>0</v>
      </c>
    </row>
    <row r="4373" spans="1:7" ht="21.36" thickBot="1" customHeight="1">
      <c r="A4373" s="24" t="s">
        <v>13632</v>
      </c>
      <c r="B4373" s="24" t="s">
        <v>13633</v>
      </c>
      <c r="C4373" s="24" t="s">
        <v>13634</v>
      </c>
      <c r="D4373" s="25" t="s">
        <v>13635</v>
      </c>
      <c r="E4373" s="28">
        <v>0.80000</v>
      </c>
      <c r="F4373" s="29">
        <f ca="1">F4377</f>
        <v>0</v>
      </c>
      <c r="G4373" s="27">
        <f ca="1">ROUND(E4373*F4373,2)</f>
        <v>0</v>
      </c>
    </row>
    <row r="4374" spans="1:7" ht="24.36" thickBot="1" customHeight="1">
      <c r="A4374" s="24" t="s">
        <v>13636</v>
      </c>
      <c r="B4374" s="24" t="s">
        <v>13637</v>
      </c>
      <c r="C4374" s="24" t="s">
        <v>13638</v>
      </c>
      <c r="D4374" s="25" t="s">
        <v>13639</v>
      </c>
      <c r="E4374" s="28">
        <v>1.00000</v>
      </c>
      <c r="F4374" s="29">
        <f ca="1">ROUND(21.000,3)</f>
        <v>0</v>
      </c>
      <c r="G4374" s="27">
        <f ca="1">ROUND(E4374*F4374,2)</f>
        <v>0</v>
      </c>
    </row>
    <row r="4375" spans="1:7" ht="24.36" thickBot="1" customHeight="1">
      <c r="A4375" s="24" t="s">
        <v>13640</v>
      </c>
      <c r="B4375" s="24" t="s">
        <v>13641</v>
      </c>
      <c r="C4375" s="24" t="s">
        <v>13642</v>
      </c>
      <c r="D4375" s="25" t="s">
        <v>13643</v>
      </c>
      <c r="E4375" s="28">
        <v>1.00000</v>
      </c>
      <c r="F4375" s="29">
        <f ca="1">ROUND(19.000,3)</f>
        <v>0</v>
      </c>
      <c r="G4375" s="27">
        <f ca="1">ROUND(E4375*F4375,2)</f>
        <v>0</v>
      </c>
    </row>
    <row r="4376" spans="1:7" ht="24.36" thickBot="1" customHeight="1">
      <c r="A4376" s="24" t="s">
        <v>13644</v>
      </c>
      <c r="B4376" s="24" t="s">
        <v>13645</v>
      </c>
      <c r="C4376" s="24" t="s">
        <v>13646</v>
      </c>
      <c r="D4376" s="25" t="s">
        <v>13647</v>
      </c>
      <c r="E4376" s="28">
        <v>0.20000</v>
      </c>
      <c r="F4376" s="29">
        <f ca="1">ROUND(19.000,3)</f>
        <v>0</v>
      </c>
      <c r="G4376" s="27">
        <f ca="1">ROUND(E4376*F4376,2)</f>
        <v>0</v>
      </c>
    </row>
    <row r="4377" spans="1:7" ht="15.12" thickBot="1" customHeight="1">
      <c r="A4377" s="26"/>
      <c r="B4377" s="26"/>
      <c r="C4377" s="26"/>
      <c r="D4377" s="24" t="s">
        <v>13648</v>
      </c>
      <c r="E4377" s="28">
        <v>0.80000</v>
      </c>
      <c r="F4377" s="29">
        <f ca="1">ROUND((G4374+G4375+G4376),3)</f>
        <v>0</v>
      </c>
      <c r="G4377" s="27">
        <f ca="1">ROUND(E4377*F4377,2)</f>
        <v>0</v>
      </c>
    </row>
    <row r="4378" spans="1:7" ht="15.48" thickBot="1" customHeight="1">
      <c r="A4378" s="30"/>
      <c r="B4378" s="30"/>
      <c r="C4378" s="30"/>
      <c r="D4378" s="31" t="s">
        <v>13649</v>
      </c>
      <c r="E4378" s="30"/>
      <c r="F4378" s="33">
        <f ca="1">ROUND((G4370+G4371+G4372+G4373)*(1+G2/100),2)</f>
        <v>0</v>
      </c>
      <c r="G4378" s="30"/>
    </row>
    <row r="4379" spans="1:7" ht="21.36" thickBot="1" customHeight="1">
      <c r="A4379" s="34" t="s">
        <v>13650</v>
      </c>
      <c r="B4379" s="35" t="s">
        <v>13651</v>
      </c>
      <c r="C4379" s="35" t="s">
        <v>13652</v>
      </c>
      <c r="D4379" s="36" t="s">
        <v>13653</v>
      </c>
      <c r="E4379" s="37"/>
      <c r="F4379" s="38">
        <f ca="1">F4389</f>
        <v>0</v>
      </c>
      <c r="G4379" s="37"/>
    </row>
    <row r="4380" spans="1:7" ht="12.12" thickBot="1" customHeight="1">
      <c r="A4380" s="26"/>
      <c r="B4380" s="26"/>
      <c r="C4380" s="26"/>
      <c r="D4380" s="25" t="s">
        <v>13654</v>
      </c>
      <c r="E4380" s="25"/>
      <c r="F4380" s="25"/>
      <c r="G4380" s="25"/>
    </row>
    <row r="4381" spans="1:7" ht="39.84" thickBot="1" customHeight="1">
      <c r="A4381" s="24" t="s">
        <v>13655</v>
      </c>
      <c r="B4381" s="24" t="s">
        <v>13656</v>
      </c>
      <c r="C4381" s="24" t="s">
        <v>13657</v>
      </c>
      <c r="D4381" s="25" t="s">
        <v>13658</v>
      </c>
      <c r="E4381" s="28">
        <v>1.60000</v>
      </c>
      <c r="F4381" s="29">
        <f ca="1">ROUND(24.840,3)</f>
        <v>0</v>
      </c>
      <c r="G4381" s="27">
        <f ca="1">ROUND(E4381*F4381,2)</f>
        <v>0</v>
      </c>
    </row>
    <row r="4382" spans="1:7" ht="30.60" thickBot="1" customHeight="1">
      <c r="A4382" s="24" t="s">
        <v>13659</v>
      </c>
      <c r="B4382" s="24" t="s">
        <v>13660</v>
      </c>
      <c r="C4382" s="24" t="s">
        <v>13661</v>
      </c>
      <c r="D4382" s="25" t="s">
        <v>13662</v>
      </c>
      <c r="E4382" s="28">
        <v>0.02200</v>
      </c>
      <c r="F4382" s="29">
        <f ca="1">ROUND(27.500,3)</f>
        <v>0</v>
      </c>
      <c r="G4382" s="27">
        <f ca="1">ROUND(E4382*F4382,2)</f>
        <v>0</v>
      </c>
    </row>
    <row r="4383" spans="1:7" ht="21.36" thickBot="1" customHeight="1">
      <c r="A4383" s="24" t="s">
        <v>13663</v>
      </c>
      <c r="B4383" s="24" t="s">
        <v>13664</v>
      </c>
      <c r="C4383" s="24" t="s">
        <v>13665</v>
      </c>
      <c r="D4383" s="25" t="s">
        <v>13666</v>
      </c>
      <c r="E4383" s="28">
        <v>0.66667</v>
      </c>
      <c r="F4383" s="29">
        <f ca="1">F4387</f>
        <v>0</v>
      </c>
      <c r="G4383" s="27">
        <f ca="1">ROUND(E4383*F4383,2)</f>
        <v>0</v>
      </c>
    </row>
    <row r="4384" spans="1:7" ht="24.36" thickBot="1" customHeight="1">
      <c r="A4384" s="24" t="s">
        <v>13667</v>
      </c>
      <c r="B4384" s="24" t="s">
        <v>13668</v>
      </c>
      <c r="C4384" s="24" t="s">
        <v>13669</v>
      </c>
      <c r="D4384" s="25" t="s">
        <v>13670</v>
      </c>
      <c r="E4384" s="28">
        <v>1.00000</v>
      </c>
      <c r="F4384" s="29">
        <f ca="1">ROUND(21.000,3)</f>
        <v>0</v>
      </c>
      <c r="G4384" s="27">
        <f ca="1">ROUND(E4384*F4384,2)</f>
        <v>0</v>
      </c>
    </row>
    <row r="4385" spans="1:7" ht="24.36" thickBot="1" customHeight="1">
      <c r="A4385" s="24" t="s">
        <v>13671</v>
      </c>
      <c r="B4385" s="24" t="s">
        <v>13672</v>
      </c>
      <c r="C4385" s="24" t="s">
        <v>13673</v>
      </c>
      <c r="D4385" s="25" t="s">
        <v>13674</v>
      </c>
      <c r="E4385" s="28">
        <v>1.00000</v>
      </c>
      <c r="F4385" s="29">
        <f ca="1">ROUND(19.000,3)</f>
        <v>0</v>
      </c>
      <c r="G4385" s="27">
        <f ca="1">ROUND(E4385*F4385,2)</f>
        <v>0</v>
      </c>
    </row>
    <row r="4386" spans="1:7" ht="24.36" thickBot="1" customHeight="1">
      <c r="A4386" s="24" t="s">
        <v>13675</v>
      </c>
      <c r="B4386" s="24" t="s">
        <v>13676</v>
      </c>
      <c r="C4386" s="24" t="s">
        <v>13677</v>
      </c>
      <c r="D4386" s="25" t="s">
        <v>13678</v>
      </c>
      <c r="E4386" s="28">
        <v>0.20000</v>
      </c>
      <c r="F4386" s="29">
        <f ca="1">ROUND(19.000,3)</f>
        <v>0</v>
      </c>
      <c r="G4386" s="27">
        <f ca="1">ROUND(E4386*F4386,2)</f>
        <v>0</v>
      </c>
    </row>
    <row r="4387" spans="1:7" ht="15.12" thickBot="1" customHeight="1">
      <c r="A4387" s="26"/>
      <c r="B4387" s="26"/>
      <c r="C4387" s="26"/>
      <c r="D4387" s="24" t="s">
        <v>13679</v>
      </c>
      <c r="E4387" s="28">
        <v>0.66667</v>
      </c>
      <c r="F4387" s="29">
        <f ca="1">ROUND((G4384+G4385+G4386),3)</f>
        <v>0</v>
      </c>
      <c r="G4387" s="27">
        <f ca="1">ROUND(E4387*F4387,2)</f>
        <v>0</v>
      </c>
    </row>
    <row r="4388" spans="1:7" ht="15.12" thickBot="1" customHeight="1">
      <c r="A4388" s="24" t="s">
        <v>13680</v>
      </c>
      <c r="B4388" s="24"/>
      <c r="C4388" s="24" t="s">
        <v>13681</v>
      </c>
      <c r="D4388" s="25" t="s">
        <v>13682</v>
      </c>
      <c r="E4388" s="28">
        <v>5.00000</v>
      </c>
      <c r="F4388" s="29">
        <f ca="1">ROUND(29.200,3)</f>
        <v>0</v>
      </c>
      <c r="G4388" s="27">
        <f ca="1">ROUND((E4388*F4388)/100,2)</f>
        <v>0</v>
      </c>
    </row>
    <row r="4389" spans="1:7" ht="15.48" thickBot="1" customHeight="1">
      <c r="A4389" s="30"/>
      <c r="B4389" s="30"/>
      <c r="C4389" s="30"/>
      <c r="D4389" s="31" t="s">
        <v>13683</v>
      </c>
      <c r="E4389" s="30"/>
      <c r="F4389" s="33">
        <f ca="1">ROUND((G4381+G4382+G4383+G4388)*(1+G2/100),2)</f>
        <v>0</v>
      </c>
      <c r="G4389" s="30"/>
    </row>
    <row r="4390" spans="1:7" ht="30.60" thickBot="1" customHeight="1">
      <c r="A4390" s="34" t="s">
        <v>13684</v>
      </c>
      <c r="B4390" s="35" t="s">
        <v>13685</v>
      </c>
      <c r="C4390" s="35" t="s">
        <v>13686</v>
      </c>
      <c r="D4390" s="36" t="s">
        <v>13687</v>
      </c>
      <c r="E4390" s="37"/>
      <c r="F4390" s="38">
        <f ca="1">F4400</f>
        <v>0</v>
      </c>
      <c r="G4390" s="37"/>
    </row>
    <row r="4391" spans="1:7" ht="12.12" thickBot="1" customHeight="1">
      <c r="A4391" s="26"/>
      <c r="B4391" s="26"/>
      <c r="C4391" s="26"/>
      <c r="D4391" s="25" t="s">
        <v>13688</v>
      </c>
      <c r="E4391" s="25"/>
      <c r="F4391" s="25"/>
      <c r="G4391" s="25"/>
    </row>
    <row r="4392" spans="1:7" ht="39.84" thickBot="1" customHeight="1">
      <c r="A4392" s="24" t="s">
        <v>13689</v>
      </c>
      <c r="B4392" s="24" t="s">
        <v>13690</v>
      </c>
      <c r="C4392" s="24" t="s">
        <v>13691</v>
      </c>
      <c r="D4392" s="25" t="s">
        <v>13692</v>
      </c>
      <c r="E4392" s="28">
        <v>0.50000</v>
      </c>
      <c r="F4392" s="29">
        <f ca="1">ROUND(22.380,3)</f>
        <v>0</v>
      </c>
      <c r="G4392" s="27">
        <f ca="1">ROUND(E4392*F4392,2)</f>
        <v>0</v>
      </c>
    </row>
    <row r="4393" spans="1:7" ht="30.60" thickBot="1" customHeight="1">
      <c r="A4393" s="24" t="s">
        <v>13693</v>
      </c>
      <c r="B4393" s="24" t="s">
        <v>13694</v>
      </c>
      <c r="C4393" s="24" t="s">
        <v>13695</v>
      </c>
      <c r="D4393" s="25" t="s">
        <v>13696</v>
      </c>
      <c r="E4393" s="28">
        <v>0.02200</v>
      </c>
      <c r="F4393" s="29">
        <f ca="1">ROUND(27.500,3)</f>
        <v>0</v>
      </c>
      <c r="G4393" s="27">
        <f ca="1">ROUND(E4393*F4393,2)</f>
        <v>0</v>
      </c>
    </row>
    <row r="4394" spans="1:7" ht="21.36" thickBot="1" customHeight="1">
      <c r="A4394" s="24" t="s">
        <v>13697</v>
      </c>
      <c r="B4394" s="24" t="s">
        <v>13698</v>
      </c>
      <c r="C4394" s="24" t="s">
        <v>13699</v>
      </c>
      <c r="D4394" s="25" t="s">
        <v>13700</v>
      </c>
      <c r="E4394" s="28">
        <v>0.66667</v>
      </c>
      <c r="F4394" s="29">
        <f ca="1">F4398</f>
        <v>0</v>
      </c>
      <c r="G4394" s="27">
        <f ca="1">ROUND(E4394*F4394,2)</f>
        <v>0</v>
      </c>
    </row>
    <row r="4395" spans="1:7" ht="24.36" thickBot="1" customHeight="1">
      <c r="A4395" s="24" t="s">
        <v>13701</v>
      </c>
      <c r="B4395" s="24" t="s">
        <v>13702</v>
      </c>
      <c r="C4395" s="24" t="s">
        <v>13703</v>
      </c>
      <c r="D4395" s="25" t="s">
        <v>13704</v>
      </c>
      <c r="E4395" s="28">
        <v>1.00000</v>
      </c>
      <c r="F4395" s="29">
        <f ca="1">ROUND(21.000,3)</f>
        <v>0</v>
      </c>
      <c r="G4395" s="27">
        <f ca="1">ROUND(E4395*F4395,2)</f>
        <v>0</v>
      </c>
    </row>
    <row r="4396" spans="1:7" ht="24.36" thickBot="1" customHeight="1">
      <c r="A4396" s="24" t="s">
        <v>13705</v>
      </c>
      <c r="B4396" s="24" t="s">
        <v>13706</v>
      </c>
      <c r="C4396" s="24" t="s">
        <v>13707</v>
      </c>
      <c r="D4396" s="25" t="s">
        <v>13708</v>
      </c>
      <c r="E4396" s="28">
        <v>1.00000</v>
      </c>
      <c r="F4396" s="29">
        <f ca="1">ROUND(19.000,3)</f>
        <v>0</v>
      </c>
      <c r="G4396" s="27">
        <f ca="1">ROUND(E4396*F4396,2)</f>
        <v>0</v>
      </c>
    </row>
    <row r="4397" spans="1:7" ht="24.36" thickBot="1" customHeight="1">
      <c r="A4397" s="24" t="s">
        <v>13709</v>
      </c>
      <c r="B4397" s="24" t="s">
        <v>13710</v>
      </c>
      <c r="C4397" s="24" t="s">
        <v>13711</v>
      </c>
      <c r="D4397" s="25" t="s">
        <v>13712</v>
      </c>
      <c r="E4397" s="28">
        <v>0.20000</v>
      </c>
      <c r="F4397" s="29">
        <f ca="1">ROUND(19.000,3)</f>
        <v>0</v>
      </c>
      <c r="G4397" s="27">
        <f ca="1">ROUND(E4397*F4397,2)</f>
        <v>0</v>
      </c>
    </row>
    <row r="4398" spans="1:7" ht="15.12" thickBot="1" customHeight="1">
      <c r="A4398" s="26"/>
      <c r="B4398" s="26"/>
      <c r="C4398" s="26"/>
      <c r="D4398" s="24" t="s">
        <v>13713</v>
      </c>
      <c r="E4398" s="28">
        <v>0.66667</v>
      </c>
      <c r="F4398" s="29">
        <f ca="1">ROUND((G4395+G4396+G4397),3)</f>
        <v>0</v>
      </c>
      <c r="G4398" s="27">
        <f ca="1">ROUND(E4398*F4398,2)</f>
        <v>0</v>
      </c>
    </row>
    <row r="4399" spans="1:7" ht="15.12" thickBot="1" customHeight="1">
      <c r="A4399" s="24" t="s">
        <v>13714</v>
      </c>
      <c r="B4399" s="24"/>
      <c r="C4399" s="24" t="s">
        <v>13715</v>
      </c>
      <c r="D4399" s="25" t="s">
        <v>13716</v>
      </c>
      <c r="E4399" s="28">
        <v>5.00000</v>
      </c>
      <c r="F4399" s="29">
        <f ca="1">ROUND(29.200,3)</f>
        <v>0</v>
      </c>
      <c r="G4399" s="27">
        <f ca="1">ROUND((E4399*F4399)/100,2)</f>
        <v>0</v>
      </c>
    </row>
    <row r="4400" spans="1:7" ht="15.48" thickBot="1" customHeight="1">
      <c r="A4400" s="30"/>
      <c r="B4400" s="30"/>
      <c r="C4400" s="30"/>
      <c r="D4400" s="31" t="s">
        <v>13717</v>
      </c>
      <c r="E4400" s="30"/>
      <c r="F4400" s="33">
        <f ca="1">ROUND((G4392+G4393+G4394+G4399)*(1+G2/100),2)</f>
        <v>0</v>
      </c>
      <c r="G4400" s="30"/>
    </row>
    <row r="4401" spans="1:7" ht="58.32" thickBot="1" customHeight="1">
      <c r="A4401" s="34" t="s">
        <v>13718</v>
      </c>
      <c r="B4401" s="35" t="s">
        <v>13719</v>
      </c>
      <c r="C4401" s="35" t="s">
        <v>13720</v>
      </c>
      <c r="D4401" s="36" t="s">
        <v>13721</v>
      </c>
      <c r="E4401" s="37"/>
      <c r="F4401" s="38">
        <f ca="1">F4415</f>
        <v>0</v>
      </c>
      <c r="G4401" s="37"/>
    </row>
    <row r="4402" spans="1:7" ht="21.36" thickBot="1" customHeight="1">
      <c r="A4402" s="26"/>
      <c r="B4402" s="26"/>
      <c r="C4402" s="26"/>
      <c r="D4402" s="25" t="s">
        <v>13722</v>
      </c>
      <c r="E4402" s="25"/>
      <c r="F4402" s="25"/>
      <c r="G4402" s="25"/>
    </row>
    <row r="4403" spans="1:7" ht="39.84" thickBot="1" customHeight="1">
      <c r="A4403" s="24" t="s">
        <v>13723</v>
      </c>
      <c r="B4403" s="24" t="s">
        <v>13724</v>
      </c>
      <c r="C4403" s="24" t="s">
        <v>13725</v>
      </c>
      <c r="D4403" s="25" t="s">
        <v>13726</v>
      </c>
      <c r="E4403" s="28">
        <v>0.64000</v>
      </c>
      <c r="F4403" s="29">
        <f ca="1">ROUND(10.460,3)</f>
        <v>0</v>
      </c>
      <c r="G4403" s="27">
        <f ca="1">ROUND(E4403*F4403,2)</f>
        <v>0</v>
      </c>
    </row>
    <row r="4404" spans="1:7" ht="39.84" thickBot="1" customHeight="1">
      <c r="A4404" s="24" t="s">
        <v>13727</v>
      </c>
      <c r="B4404" s="24" t="s">
        <v>13728</v>
      </c>
      <c r="C4404" s="24" t="s">
        <v>13729</v>
      </c>
      <c r="D4404" s="25" t="s">
        <v>13730</v>
      </c>
      <c r="E4404" s="28">
        <v>0.34000</v>
      </c>
      <c r="F4404" s="29">
        <f ca="1">ROUND(15.200,3)</f>
        <v>0</v>
      </c>
      <c r="G4404" s="27">
        <f ca="1">ROUND(E4404*F4404,2)</f>
        <v>0</v>
      </c>
    </row>
    <row r="4405" spans="1:7" ht="30.60" thickBot="1" customHeight="1">
      <c r="A4405" s="24" t="s">
        <v>13731</v>
      </c>
      <c r="B4405" s="24" t="s">
        <v>13732</v>
      </c>
      <c r="C4405" s="24" t="s">
        <v>13733</v>
      </c>
      <c r="D4405" s="25" t="s">
        <v>13734</v>
      </c>
      <c r="E4405" s="28">
        <v>0.02200</v>
      </c>
      <c r="F4405" s="29">
        <f ca="1">ROUND(27.500,3)</f>
        <v>0</v>
      </c>
      <c r="G4405" s="27">
        <f ca="1">ROUND(E4405*F4405,2)</f>
        <v>0</v>
      </c>
    </row>
    <row r="4406" spans="1:7" ht="39.84" thickBot="1" customHeight="1">
      <c r="A4406" s="24" t="s">
        <v>13735</v>
      </c>
      <c r="B4406" s="24" t="s">
        <v>13736</v>
      </c>
      <c r="C4406" s="24" t="s">
        <v>13737</v>
      </c>
      <c r="D4406" s="25" t="s">
        <v>13738</v>
      </c>
      <c r="E4406" s="28">
        <v>0.12000</v>
      </c>
      <c r="F4406" s="29">
        <f ca="1">ROUND(4.050,3)</f>
        <v>0</v>
      </c>
      <c r="G4406" s="27">
        <f ca="1">ROUND(E4406*F4406,2)</f>
        <v>0</v>
      </c>
    </row>
    <row r="4407" spans="1:7" ht="39.84" thickBot="1" customHeight="1">
      <c r="A4407" s="24" t="s">
        <v>13739</v>
      </c>
      <c r="B4407" s="24" t="s">
        <v>13740</v>
      </c>
      <c r="C4407" s="24" t="s">
        <v>13741</v>
      </c>
      <c r="D4407" s="25" t="s">
        <v>13742</v>
      </c>
      <c r="E4407" s="28">
        <v>0.24000</v>
      </c>
      <c r="F4407" s="29">
        <f ca="1">ROUND(2.630,3)</f>
        <v>0</v>
      </c>
      <c r="G4407" s="27">
        <f ca="1">ROUND(E4407*F4407,2)</f>
        <v>0</v>
      </c>
    </row>
    <row r="4408" spans="1:7" ht="39.84" thickBot="1" customHeight="1">
      <c r="A4408" s="24" t="s">
        <v>13743</v>
      </c>
      <c r="B4408" s="24" t="s">
        <v>13744</v>
      </c>
      <c r="C4408" s="24" t="s">
        <v>13745</v>
      </c>
      <c r="D4408" s="25" t="s">
        <v>13746</v>
      </c>
      <c r="E4408" s="28">
        <v>0.12370</v>
      </c>
      <c r="F4408" s="29">
        <f ca="1">ROUND(5.040,3)</f>
        <v>0</v>
      </c>
      <c r="G4408" s="27">
        <f ca="1">ROUND(E4408*F4408,2)</f>
        <v>0</v>
      </c>
    </row>
    <row r="4409" spans="1:7" ht="21.36" thickBot="1" customHeight="1">
      <c r="A4409" s="24" t="s">
        <v>13747</v>
      </c>
      <c r="B4409" s="24" t="s">
        <v>13748</v>
      </c>
      <c r="C4409" s="24" t="s">
        <v>13749</v>
      </c>
      <c r="D4409" s="25" t="s">
        <v>13750</v>
      </c>
      <c r="E4409" s="28">
        <v>0.47000</v>
      </c>
      <c r="F4409" s="29">
        <f ca="1">F4413</f>
        <v>0</v>
      </c>
      <c r="G4409" s="27">
        <f ca="1">ROUND(E4409*F4409,2)</f>
        <v>0</v>
      </c>
    </row>
    <row r="4410" spans="1:7" ht="24.36" thickBot="1" customHeight="1">
      <c r="A4410" s="24" t="s">
        <v>13751</v>
      </c>
      <c r="B4410" s="24" t="s">
        <v>13752</v>
      </c>
      <c r="C4410" s="24" t="s">
        <v>13753</v>
      </c>
      <c r="D4410" s="25" t="s">
        <v>13754</v>
      </c>
      <c r="E4410" s="28">
        <v>1.00000</v>
      </c>
      <c r="F4410" s="29">
        <f ca="1">ROUND(21.000,3)</f>
        <v>0</v>
      </c>
      <c r="G4410" s="27">
        <f ca="1">ROUND(E4410*F4410,2)</f>
        <v>0</v>
      </c>
    </row>
    <row r="4411" spans="1:7" ht="24.36" thickBot="1" customHeight="1">
      <c r="A4411" s="24" t="s">
        <v>13755</v>
      </c>
      <c r="B4411" s="24" t="s">
        <v>13756</v>
      </c>
      <c r="C4411" s="24" t="s">
        <v>13757</v>
      </c>
      <c r="D4411" s="25" t="s">
        <v>13758</v>
      </c>
      <c r="E4411" s="28">
        <v>1.00000</v>
      </c>
      <c r="F4411" s="29">
        <f ca="1">ROUND(19.000,3)</f>
        <v>0</v>
      </c>
      <c r="G4411" s="27">
        <f ca="1">ROUND(E4411*F4411,2)</f>
        <v>0</v>
      </c>
    </row>
    <row r="4412" spans="1:7" ht="24.36" thickBot="1" customHeight="1">
      <c r="A4412" s="24" t="s">
        <v>13759</v>
      </c>
      <c r="B4412" s="24" t="s">
        <v>13760</v>
      </c>
      <c r="C4412" s="24" t="s">
        <v>13761</v>
      </c>
      <c r="D4412" s="25" t="s">
        <v>13762</v>
      </c>
      <c r="E4412" s="28">
        <v>0.20000</v>
      </c>
      <c r="F4412" s="29">
        <f ca="1">ROUND(19.000,3)</f>
        <v>0</v>
      </c>
      <c r="G4412" s="27">
        <f ca="1">ROUND(E4412*F4412,2)</f>
        <v>0</v>
      </c>
    </row>
    <row r="4413" spans="1:7" ht="15.12" thickBot="1" customHeight="1">
      <c r="A4413" s="26"/>
      <c r="B4413" s="26"/>
      <c r="C4413" s="26"/>
      <c r="D4413" s="24" t="s">
        <v>13763</v>
      </c>
      <c r="E4413" s="28">
        <v>0.47000</v>
      </c>
      <c r="F4413" s="29">
        <f ca="1">ROUND((G4410+G4411+G4412),3)</f>
        <v>0</v>
      </c>
      <c r="G4413" s="27">
        <f ca="1">ROUND(E4413*F4413,2)</f>
        <v>0</v>
      </c>
    </row>
    <row r="4414" spans="1:7" ht="15.12" thickBot="1" customHeight="1">
      <c r="A4414" s="24" t="s">
        <v>13764</v>
      </c>
      <c r="B4414" s="24"/>
      <c r="C4414" s="24" t="s">
        <v>13765</v>
      </c>
      <c r="D4414" s="25" t="s">
        <v>13766</v>
      </c>
      <c r="E4414" s="28">
        <v>3.00000</v>
      </c>
      <c r="F4414" s="29">
        <f ca="1">ROUND(20.590,3)</f>
        <v>0</v>
      </c>
      <c r="G4414" s="27">
        <f ca="1">ROUND((E4414*F4414)/100,2)</f>
        <v>0</v>
      </c>
    </row>
    <row r="4415" spans="1:7" ht="15.48" thickBot="1" customHeight="1">
      <c r="A4415" s="30"/>
      <c r="B4415" s="30"/>
      <c r="C4415" s="30"/>
      <c r="D4415" s="31" t="s">
        <v>13767</v>
      </c>
      <c r="E4415" s="30"/>
      <c r="F4415" s="33">
        <f ca="1">ROUND((G4403+G4404+G4405+G4406+G4407+G4408+G4409+G4414)*(1+G2/100),2)</f>
        <v>0</v>
      </c>
      <c r="G4415" s="30"/>
    </row>
    <row r="4416" spans="1:7" ht="49.08" thickBot="1" customHeight="1">
      <c r="A4416" s="34" t="s">
        <v>13768</v>
      </c>
      <c r="B4416" s="35" t="s">
        <v>13769</v>
      </c>
      <c r="C4416" s="35" t="s">
        <v>13770</v>
      </c>
      <c r="D4416" s="36" t="s">
        <v>13771</v>
      </c>
      <c r="E4416" s="37"/>
      <c r="F4416" s="38">
        <f ca="1">F4426</f>
        <v>0</v>
      </c>
      <c r="G4416" s="37"/>
    </row>
    <row r="4417" spans="1:7" ht="21.36" thickBot="1" customHeight="1">
      <c r="A4417" s="26"/>
      <c r="B4417" s="26"/>
      <c r="C4417" s="26"/>
      <c r="D4417" s="25" t="s">
        <v>13772</v>
      </c>
      <c r="E4417" s="25"/>
      <c r="F4417" s="25"/>
      <c r="G4417" s="25"/>
    </row>
    <row r="4418" spans="1:7" ht="30.60" thickBot="1" customHeight="1">
      <c r="A4418" s="24" t="s">
        <v>13773</v>
      </c>
      <c r="B4418" s="24" t="s">
        <v>13774</v>
      </c>
      <c r="C4418" s="24" t="s">
        <v>13775</v>
      </c>
      <c r="D4418" s="25" t="s">
        <v>13776</v>
      </c>
      <c r="E4418" s="28">
        <v>0.79200</v>
      </c>
      <c r="F4418" s="29">
        <f ca="1">ROUND(22.450,3)</f>
        <v>0</v>
      </c>
      <c r="G4418" s="27">
        <f ca="1">ROUND(E4418*F4418,2)</f>
        <v>0</v>
      </c>
    </row>
    <row r="4419" spans="1:7" ht="30.60" thickBot="1" customHeight="1">
      <c r="A4419" s="24" t="s">
        <v>13777</v>
      </c>
      <c r="B4419" s="24" t="s">
        <v>13778</v>
      </c>
      <c r="C4419" s="24" t="s">
        <v>13779</v>
      </c>
      <c r="D4419" s="25" t="s">
        <v>13780</v>
      </c>
      <c r="E4419" s="28">
        <v>0.02200</v>
      </c>
      <c r="F4419" s="29">
        <f ca="1">ROUND(27.500,3)</f>
        <v>0</v>
      </c>
      <c r="G4419" s="27">
        <f ca="1">ROUND(E4419*F4419,2)</f>
        <v>0</v>
      </c>
    </row>
    <row r="4420" spans="1:7" ht="21.36" thickBot="1" customHeight="1">
      <c r="A4420" s="24" t="s">
        <v>13781</v>
      </c>
      <c r="B4420" s="24" t="s">
        <v>13782</v>
      </c>
      <c r="C4420" s="24" t="s">
        <v>13783</v>
      </c>
      <c r="D4420" s="25" t="s">
        <v>13784</v>
      </c>
      <c r="E4420" s="28">
        <v>0.53333</v>
      </c>
      <c r="F4420" s="29">
        <f ca="1">F4424</f>
        <v>0</v>
      </c>
      <c r="G4420" s="27">
        <f ca="1">ROUND(E4420*F4420,2)</f>
        <v>0</v>
      </c>
    </row>
    <row r="4421" spans="1:7" ht="24.36" thickBot="1" customHeight="1">
      <c r="A4421" s="24" t="s">
        <v>13785</v>
      </c>
      <c r="B4421" s="24" t="s">
        <v>13786</v>
      </c>
      <c r="C4421" s="24" t="s">
        <v>13787</v>
      </c>
      <c r="D4421" s="25" t="s">
        <v>13788</v>
      </c>
      <c r="E4421" s="28">
        <v>1.00000</v>
      </c>
      <c r="F4421" s="29">
        <f ca="1">ROUND(21.000,3)</f>
        <v>0</v>
      </c>
      <c r="G4421" s="27">
        <f ca="1">ROUND(E4421*F4421,2)</f>
        <v>0</v>
      </c>
    </row>
    <row r="4422" spans="1:7" ht="24.36" thickBot="1" customHeight="1">
      <c r="A4422" s="24" t="s">
        <v>13789</v>
      </c>
      <c r="B4422" s="24" t="s">
        <v>13790</v>
      </c>
      <c r="C4422" s="24" t="s">
        <v>13791</v>
      </c>
      <c r="D4422" s="25" t="s">
        <v>13792</v>
      </c>
      <c r="E4422" s="28">
        <v>1.00000</v>
      </c>
      <c r="F4422" s="29">
        <f ca="1">ROUND(19.000,3)</f>
        <v>0</v>
      </c>
      <c r="G4422" s="27">
        <f ca="1">ROUND(E4422*F4422,2)</f>
        <v>0</v>
      </c>
    </row>
    <row r="4423" spans="1:7" ht="24.36" thickBot="1" customHeight="1">
      <c r="A4423" s="24" t="s">
        <v>13793</v>
      </c>
      <c r="B4423" s="24" t="s">
        <v>13794</v>
      </c>
      <c r="C4423" s="24" t="s">
        <v>13795</v>
      </c>
      <c r="D4423" s="25" t="s">
        <v>13796</v>
      </c>
      <c r="E4423" s="28">
        <v>0.20000</v>
      </c>
      <c r="F4423" s="29">
        <f ca="1">ROUND(19.000,3)</f>
        <v>0</v>
      </c>
      <c r="G4423" s="27">
        <f ca="1">ROUND(E4423*F4423,2)</f>
        <v>0</v>
      </c>
    </row>
    <row r="4424" spans="1:7" ht="15.12" thickBot="1" customHeight="1">
      <c r="A4424" s="26"/>
      <c r="B4424" s="26"/>
      <c r="C4424" s="26"/>
      <c r="D4424" s="24" t="s">
        <v>13797</v>
      </c>
      <c r="E4424" s="28">
        <v>0.53333</v>
      </c>
      <c r="F4424" s="29">
        <f ca="1">ROUND((G4421+G4422+G4423),3)</f>
        <v>0</v>
      </c>
      <c r="G4424" s="27">
        <f ca="1">ROUND(E4424*F4424,2)</f>
        <v>0</v>
      </c>
    </row>
    <row r="4425" spans="1:7" ht="15.12" thickBot="1" customHeight="1">
      <c r="A4425" s="24" t="s">
        <v>13798</v>
      </c>
      <c r="B4425" s="24"/>
      <c r="C4425" s="24" t="s">
        <v>13799</v>
      </c>
      <c r="D4425" s="25" t="s">
        <v>13800</v>
      </c>
      <c r="E4425" s="28">
        <v>5.00000</v>
      </c>
      <c r="F4425" s="29">
        <f ca="1">ROUND(23.360,3)</f>
        <v>0</v>
      </c>
      <c r="G4425" s="27">
        <f ca="1">ROUND((E4425*F4425)/100,2)</f>
        <v>0</v>
      </c>
    </row>
    <row r="4426" spans="1:7" ht="15.48" thickBot="1" customHeight="1">
      <c r="A4426" s="30"/>
      <c r="B4426" s="30"/>
      <c r="C4426" s="30"/>
      <c r="D4426" s="31" t="s">
        <v>13801</v>
      </c>
      <c r="E4426" s="30"/>
      <c r="F4426" s="33">
        <f ca="1">ROUND((G4418+G4419+G4420+G4425)*(1+G2/100),2)</f>
        <v>0</v>
      </c>
      <c r="G4426" s="30"/>
    </row>
    <row r="4427" spans="1:7" ht="49.08" thickBot="1" customHeight="1">
      <c r="A4427" s="34" t="s">
        <v>13802</v>
      </c>
      <c r="B4427" s="35" t="s">
        <v>13803</v>
      </c>
      <c r="C4427" s="35" t="s">
        <v>13804</v>
      </c>
      <c r="D4427" s="36" t="s">
        <v>13805</v>
      </c>
      <c r="E4427" s="37"/>
      <c r="F4427" s="38">
        <f ca="1">F4437</f>
        <v>0</v>
      </c>
      <c r="G4427" s="37"/>
    </row>
    <row r="4428" spans="1:7" ht="21.36" thickBot="1" customHeight="1">
      <c r="A4428" s="26"/>
      <c r="B4428" s="26"/>
      <c r="C4428" s="26"/>
      <c r="D4428" s="25" t="s">
        <v>13806</v>
      </c>
      <c r="E4428" s="25"/>
      <c r="F4428" s="25"/>
      <c r="G4428" s="25"/>
    </row>
    <row r="4429" spans="1:7" ht="30.60" thickBot="1" customHeight="1">
      <c r="A4429" s="24" t="s">
        <v>13807</v>
      </c>
      <c r="B4429" s="24" t="s">
        <v>13808</v>
      </c>
      <c r="C4429" s="24" t="s">
        <v>13809</v>
      </c>
      <c r="D4429" s="25" t="s">
        <v>13810</v>
      </c>
      <c r="E4429" s="28">
        <v>1.58400</v>
      </c>
      <c r="F4429" s="29">
        <f ca="1">ROUND(22.450,3)</f>
        <v>0</v>
      </c>
      <c r="G4429" s="27">
        <f ca="1">ROUND(E4429*F4429,2)</f>
        <v>0</v>
      </c>
    </row>
    <row r="4430" spans="1:7" ht="30.60" thickBot="1" customHeight="1">
      <c r="A4430" s="24" t="s">
        <v>13811</v>
      </c>
      <c r="B4430" s="24" t="s">
        <v>13812</v>
      </c>
      <c r="C4430" s="24" t="s">
        <v>13813</v>
      </c>
      <c r="D4430" s="25" t="s">
        <v>13814</v>
      </c>
      <c r="E4430" s="28">
        <v>0.02200</v>
      </c>
      <c r="F4430" s="29">
        <f ca="1">ROUND(27.500,3)</f>
        <v>0</v>
      </c>
      <c r="G4430" s="27">
        <f ca="1">ROUND(E4430*F4430,2)</f>
        <v>0</v>
      </c>
    </row>
    <row r="4431" spans="1:7" ht="21.36" thickBot="1" customHeight="1">
      <c r="A4431" s="24" t="s">
        <v>13815</v>
      </c>
      <c r="B4431" s="24" t="s">
        <v>13816</v>
      </c>
      <c r="C4431" s="24" t="s">
        <v>13817</v>
      </c>
      <c r="D4431" s="25" t="s">
        <v>13818</v>
      </c>
      <c r="E4431" s="28">
        <v>0.66666</v>
      </c>
      <c r="F4431" s="29">
        <f ca="1">F4435</f>
        <v>0</v>
      </c>
      <c r="G4431" s="27">
        <f ca="1">ROUND(E4431*F4431,2)</f>
        <v>0</v>
      </c>
    </row>
    <row r="4432" spans="1:7" ht="24.36" thickBot="1" customHeight="1">
      <c r="A4432" s="24" t="s">
        <v>13819</v>
      </c>
      <c r="B4432" s="24" t="s">
        <v>13820</v>
      </c>
      <c r="C4432" s="24" t="s">
        <v>13821</v>
      </c>
      <c r="D4432" s="25" t="s">
        <v>13822</v>
      </c>
      <c r="E4432" s="28">
        <v>1.00000</v>
      </c>
      <c r="F4432" s="29">
        <f ca="1">ROUND(21.000,3)</f>
        <v>0</v>
      </c>
      <c r="G4432" s="27">
        <f ca="1">ROUND(E4432*F4432,2)</f>
        <v>0</v>
      </c>
    </row>
    <row r="4433" spans="1:7" ht="24.36" thickBot="1" customHeight="1">
      <c r="A4433" s="24" t="s">
        <v>13823</v>
      </c>
      <c r="B4433" s="24" t="s">
        <v>13824</v>
      </c>
      <c r="C4433" s="24" t="s">
        <v>13825</v>
      </c>
      <c r="D4433" s="25" t="s">
        <v>13826</v>
      </c>
      <c r="E4433" s="28">
        <v>1.00000</v>
      </c>
      <c r="F4433" s="29">
        <f ca="1">ROUND(19.000,3)</f>
        <v>0</v>
      </c>
      <c r="G4433" s="27">
        <f ca="1">ROUND(E4433*F4433,2)</f>
        <v>0</v>
      </c>
    </row>
    <row r="4434" spans="1:7" ht="24.36" thickBot="1" customHeight="1">
      <c r="A4434" s="24" t="s">
        <v>13827</v>
      </c>
      <c r="B4434" s="24" t="s">
        <v>13828</v>
      </c>
      <c r="C4434" s="24" t="s">
        <v>13829</v>
      </c>
      <c r="D4434" s="25" t="s">
        <v>13830</v>
      </c>
      <c r="E4434" s="28">
        <v>0.20000</v>
      </c>
      <c r="F4434" s="29">
        <f ca="1">ROUND(19.000,3)</f>
        <v>0</v>
      </c>
      <c r="G4434" s="27">
        <f ca="1">ROUND(E4434*F4434,2)</f>
        <v>0</v>
      </c>
    </row>
    <row r="4435" spans="1:7" ht="15.12" thickBot="1" customHeight="1">
      <c r="A4435" s="26"/>
      <c r="B4435" s="26"/>
      <c r="C4435" s="26"/>
      <c r="D4435" s="24" t="s">
        <v>13831</v>
      </c>
      <c r="E4435" s="28">
        <v>0.66666</v>
      </c>
      <c r="F4435" s="29">
        <f ca="1">ROUND((G4432+G4433+G4434),3)</f>
        <v>0</v>
      </c>
      <c r="G4435" s="27">
        <f ca="1">ROUND(E4435*F4435,2)</f>
        <v>0</v>
      </c>
    </row>
    <row r="4436" spans="1:7" ht="15.12" thickBot="1" customHeight="1">
      <c r="A4436" s="24" t="s">
        <v>13832</v>
      </c>
      <c r="B4436" s="24"/>
      <c r="C4436" s="24" t="s">
        <v>13833</v>
      </c>
      <c r="D4436" s="25" t="s">
        <v>13834</v>
      </c>
      <c r="E4436" s="28">
        <v>5.00000</v>
      </c>
      <c r="F4436" s="29">
        <f ca="1">ROUND(29.200,3)</f>
        <v>0</v>
      </c>
      <c r="G4436" s="27">
        <f ca="1">ROUND((E4436*F4436)/100,2)</f>
        <v>0</v>
      </c>
    </row>
    <row r="4437" spans="1:7" ht="15.48" thickBot="1" customHeight="1">
      <c r="A4437" s="30"/>
      <c r="B4437" s="30"/>
      <c r="C4437" s="30"/>
      <c r="D4437" s="31" t="s">
        <v>13835</v>
      </c>
      <c r="E4437" s="30"/>
      <c r="F4437" s="33">
        <f ca="1">ROUND((G4429+G4430+G4431+G4436)*(1+G2/100),2)</f>
        <v>0</v>
      </c>
      <c r="G4437" s="30"/>
    </row>
    <row r="4438" spans="1:7" ht="49.08" thickBot="1" customHeight="1">
      <c r="A4438" s="34" t="s">
        <v>13836</v>
      </c>
      <c r="B4438" s="35" t="s">
        <v>13837</v>
      </c>
      <c r="C4438" s="35" t="s">
        <v>13838</v>
      </c>
      <c r="D4438" s="36" t="s">
        <v>13839</v>
      </c>
      <c r="E4438" s="37"/>
      <c r="F4438" s="38">
        <f ca="1">F4448</f>
        <v>0</v>
      </c>
      <c r="G4438" s="37"/>
    </row>
    <row r="4439" spans="1:7" ht="21.36" thickBot="1" customHeight="1">
      <c r="A4439" s="26"/>
      <c r="B4439" s="26"/>
      <c r="C4439" s="26"/>
      <c r="D4439" s="25" t="s">
        <v>13840</v>
      </c>
      <c r="E4439" s="25"/>
      <c r="F4439" s="25"/>
      <c r="G4439" s="25"/>
    </row>
    <row r="4440" spans="1:7" ht="30.60" thickBot="1" customHeight="1">
      <c r="A4440" s="24" t="s">
        <v>13841</v>
      </c>
      <c r="B4440" s="24" t="s">
        <v>13842</v>
      </c>
      <c r="C4440" s="24" t="s">
        <v>13843</v>
      </c>
      <c r="D4440" s="25" t="s">
        <v>13844</v>
      </c>
      <c r="E4440" s="28">
        <v>0.79200</v>
      </c>
      <c r="F4440" s="29">
        <f ca="1">ROUND(22.450,3)</f>
        <v>0</v>
      </c>
      <c r="G4440" s="27">
        <f ca="1">ROUND(E4440*F4440,2)</f>
        <v>0</v>
      </c>
    </row>
    <row r="4441" spans="1:7" ht="30.60" thickBot="1" customHeight="1">
      <c r="A4441" s="24" t="s">
        <v>13845</v>
      </c>
      <c r="B4441" s="24" t="s">
        <v>13846</v>
      </c>
      <c r="C4441" s="24" t="s">
        <v>13847</v>
      </c>
      <c r="D4441" s="25" t="s">
        <v>13848</v>
      </c>
      <c r="E4441" s="28">
        <v>0.02200</v>
      </c>
      <c r="F4441" s="29">
        <f ca="1">ROUND(27.500,3)</f>
        <v>0</v>
      </c>
      <c r="G4441" s="27">
        <f ca="1">ROUND(E4441*F4441,2)</f>
        <v>0</v>
      </c>
    </row>
    <row r="4442" spans="1:7" ht="21.36" thickBot="1" customHeight="1">
      <c r="A4442" s="24" t="s">
        <v>13849</v>
      </c>
      <c r="B4442" s="24" t="s">
        <v>13850</v>
      </c>
      <c r="C4442" s="24" t="s">
        <v>13851</v>
      </c>
      <c r="D4442" s="25" t="s">
        <v>13852</v>
      </c>
      <c r="E4442" s="28">
        <v>0.40000</v>
      </c>
      <c r="F4442" s="29">
        <f ca="1">F4446</f>
        <v>0</v>
      </c>
      <c r="G4442" s="27">
        <f ca="1">ROUND(E4442*F4442,2)</f>
        <v>0</v>
      </c>
    </row>
    <row r="4443" spans="1:7" ht="24.36" thickBot="1" customHeight="1">
      <c r="A4443" s="24" t="s">
        <v>13853</v>
      </c>
      <c r="B4443" s="24" t="s">
        <v>13854</v>
      </c>
      <c r="C4443" s="24" t="s">
        <v>13855</v>
      </c>
      <c r="D4443" s="25" t="s">
        <v>13856</v>
      </c>
      <c r="E4443" s="28">
        <v>1.00000</v>
      </c>
      <c r="F4443" s="29">
        <f ca="1">ROUND(21.000,3)</f>
        <v>0</v>
      </c>
      <c r="G4443" s="27">
        <f ca="1">ROUND(E4443*F4443,2)</f>
        <v>0</v>
      </c>
    </row>
    <row r="4444" spans="1:7" ht="24.36" thickBot="1" customHeight="1">
      <c r="A4444" s="24" t="s">
        <v>13857</v>
      </c>
      <c r="B4444" s="24" t="s">
        <v>13858</v>
      </c>
      <c r="C4444" s="24" t="s">
        <v>13859</v>
      </c>
      <c r="D4444" s="25" t="s">
        <v>13860</v>
      </c>
      <c r="E4444" s="28">
        <v>1.00000</v>
      </c>
      <c r="F4444" s="29">
        <f ca="1">ROUND(19.000,3)</f>
        <v>0</v>
      </c>
      <c r="G4444" s="27">
        <f ca="1">ROUND(E4444*F4444,2)</f>
        <v>0</v>
      </c>
    </row>
    <row r="4445" spans="1:7" ht="24.36" thickBot="1" customHeight="1">
      <c r="A4445" s="24" t="s">
        <v>13861</v>
      </c>
      <c r="B4445" s="24" t="s">
        <v>13862</v>
      </c>
      <c r="C4445" s="24" t="s">
        <v>13863</v>
      </c>
      <c r="D4445" s="25" t="s">
        <v>13864</v>
      </c>
      <c r="E4445" s="28">
        <v>0.20000</v>
      </c>
      <c r="F4445" s="29">
        <f ca="1">ROUND(19.000,3)</f>
        <v>0</v>
      </c>
      <c r="G4445" s="27">
        <f ca="1">ROUND(E4445*F4445,2)</f>
        <v>0</v>
      </c>
    </row>
    <row r="4446" spans="1:7" ht="15.12" thickBot="1" customHeight="1">
      <c r="A4446" s="26"/>
      <c r="B4446" s="26"/>
      <c r="C4446" s="26"/>
      <c r="D4446" s="24" t="s">
        <v>13865</v>
      </c>
      <c r="E4446" s="28">
        <v>0.40000</v>
      </c>
      <c r="F4446" s="29">
        <f ca="1">ROUND((G4443+G4444+G4445),3)</f>
        <v>0</v>
      </c>
      <c r="G4446" s="27">
        <f ca="1">ROUND(E4446*F4446,2)</f>
        <v>0</v>
      </c>
    </row>
    <row r="4447" spans="1:7" ht="15.12" thickBot="1" customHeight="1">
      <c r="A4447" s="24" t="s">
        <v>13866</v>
      </c>
      <c r="B4447" s="24"/>
      <c r="C4447" s="24" t="s">
        <v>13867</v>
      </c>
      <c r="D4447" s="25" t="s">
        <v>13868</v>
      </c>
      <c r="E4447" s="28">
        <v>5.00000</v>
      </c>
      <c r="F4447" s="29">
        <f ca="1">ROUND(17.520,3)</f>
        <v>0</v>
      </c>
      <c r="G4447" s="27">
        <f ca="1">ROUND((E4447*F4447)/100,2)</f>
        <v>0</v>
      </c>
    </row>
    <row r="4448" spans="1:7" ht="15.48" thickBot="1" customHeight="1">
      <c r="A4448" s="30"/>
      <c r="B4448" s="30"/>
      <c r="C4448" s="30"/>
      <c r="D4448" s="31" t="s">
        <v>13869</v>
      </c>
      <c r="E4448" s="30"/>
      <c r="F4448" s="33">
        <f ca="1">ROUND((G4440+G4441+G4442+G4447)*(1+G2/100),2)</f>
        <v>0</v>
      </c>
      <c r="G4448" s="30"/>
    </row>
    <row r="4449" spans="1:7" ht="49.08" thickBot="1" customHeight="1">
      <c r="A4449" s="34" t="s">
        <v>13870</v>
      </c>
      <c r="B4449" s="35" t="s">
        <v>13871</v>
      </c>
      <c r="C4449" s="35" t="s">
        <v>13872</v>
      </c>
      <c r="D4449" s="36" t="s">
        <v>13873</v>
      </c>
      <c r="E4449" s="37"/>
      <c r="F4449" s="38">
        <f ca="1">F4459</f>
        <v>0</v>
      </c>
      <c r="G4449" s="37"/>
    </row>
    <row r="4450" spans="1:7" ht="21.36" thickBot="1" customHeight="1">
      <c r="A4450" s="26"/>
      <c r="B4450" s="26"/>
      <c r="C4450" s="26"/>
      <c r="D4450" s="25" t="s">
        <v>13874</v>
      </c>
      <c r="E4450" s="25"/>
      <c r="F4450" s="25"/>
      <c r="G4450" s="25"/>
    </row>
    <row r="4451" spans="1:7" ht="30.60" thickBot="1" customHeight="1">
      <c r="A4451" s="24" t="s">
        <v>13875</v>
      </c>
      <c r="B4451" s="24" t="s">
        <v>13876</v>
      </c>
      <c r="C4451" s="24" t="s">
        <v>13877</v>
      </c>
      <c r="D4451" s="25" t="s">
        <v>13878</v>
      </c>
      <c r="E4451" s="28">
        <v>1.58400</v>
      </c>
      <c r="F4451" s="29">
        <f ca="1">ROUND(22.450,3)</f>
        <v>0</v>
      </c>
      <c r="G4451" s="27">
        <f ca="1">ROUND(E4451*F4451,2)</f>
        <v>0</v>
      </c>
    </row>
    <row r="4452" spans="1:7" ht="30.60" thickBot="1" customHeight="1">
      <c r="A4452" s="24" t="s">
        <v>13879</v>
      </c>
      <c r="B4452" s="24" t="s">
        <v>13880</v>
      </c>
      <c r="C4452" s="24" t="s">
        <v>13881</v>
      </c>
      <c r="D4452" s="25" t="s">
        <v>13882</v>
      </c>
      <c r="E4452" s="28">
        <v>0.02200</v>
      </c>
      <c r="F4452" s="29">
        <f ca="1">ROUND(27.500,3)</f>
        <v>0</v>
      </c>
      <c r="G4452" s="27">
        <f ca="1">ROUND(E4452*F4452,2)</f>
        <v>0</v>
      </c>
    </row>
    <row r="4453" spans="1:7" ht="21.36" thickBot="1" customHeight="1">
      <c r="A4453" s="24" t="s">
        <v>13883</v>
      </c>
      <c r="B4453" s="24" t="s">
        <v>13884</v>
      </c>
      <c r="C4453" s="24" t="s">
        <v>13885</v>
      </c>
      <c r="D4453" s="25" t="s">
        <v>13886</v>
      </c>
      <c r="E4453" s="28">
        <v>0.53333</v>
      </c>
      <c r="F4453" s="29">
        <f ca="1">F4457</f>
        <v>0</v>
      </c>
      <c r="G4453" s="27">
        <f ca="1">ROUND(E4453*F4453,2)</f>
        <v>0</v>
      </c>
    </row>
    <row r="4454" spans="1:7" ht="24.36" thickBot="1" customHeight="1">
      <c r="A4454" s="24" t="s">
        <v>13887</v>
      </c>
      <c r="B4454" s="24" t="s">
        <v>13888</v>
      </c>
      <c r="C4454" s="24" t="s">
        <v>13889</v>
      </c>
      <c r="D4454" s="25" t="s">
        <v>13890</v>
      </c>
      <c r="E4454" s="28">
        <v>1.00000</v>
      </c>
      <c r="F4454" s="29">
        <f ca="1">ROUND(21.000,3)</f>
        <v>0</v>
      </c>
      <c r="G4454" s="27">
        <f ca="1">ROUND(E4454*F4454,2)</f>
        <v>0</v>
      </c>
    </row>
    <row r="4455" spans="1:7" ht="24.36" thickBot="1" customHeight="1">
      <c r="A4455" s="24" t="s">
        <v>13891</v>
      </c>
      <c r="B4455" s="24" t="s">
        <v>13892</v>
      </c>
      <c r="C4455" s="24" t="s">
        <v>13893</v>
      </c>
      <c r="D4455" s="25" t="s">
        <v>13894</v>
      </c>
      <c r="E4455" s="28">
        <v>1.00000</v>
      </c>
      <c r="F4455" s="29">
        <f ca="1">ROUND(19.000,3)</f>
        <v>0</v>
      </c>
      <c r="G4455" s="27">
        <f ca="1">ROUND(E4455*F4455,2)</f>
        <v>0</v>
      </c>
    </row>
    <row r="4456" spans="1:7" ht="24.36" thickBot="1" customHeight="1">
      <c r="A4456" s="24" t="s">
        <v>13895</v>
      </c>
      <c r="B4456" s="24" t="s">
        <v>13896</v>
      </c>
      <c r="C4456" s="24" t="s">
        <v>13897</v>
      </c>
      <c r="D4456" s="25" t="s">
        <v>13898</v>
      </c>
      <c r="E4456" s="28">
        <v>0.20000</v>
      </c>
      <c r="F4456" s="29">
        <f ca="1">ROUND(19.000,3)</f>
        <v>0</v>
      </c>
      <c r="G4456" s="27">
        <f ca="1">ROUND(E4456*F4456,2)</f>
        <v>0</v>
      </c>
    </row>
    <row r="4457" spans="1:7" ht="15.12" thickBot="1" customHeight="1">
      <c r="A4457" s="26"/>
      <c r="B4457" s="26"/>
      <c r="C4457" s="26"/>
      <c r="D4457" s="24" t="s">
        <v>13899</v>
      </c>
      <c r="E4457" s="28">
        <v>0.53333</v>
      </c>
      <c r="F4457" s="29">
        <f ca="1">ROUND((G4454+G4455+G4456),3)</f>
        <v>0</v>
      </c>
      <c r="G4457" s="27">
        <f ca="1">ROUND(E4457*F4457,2)</f>
        <v>0</v>
      </c>
    </row>
    <row r="4458" spans="1:7" ht="15.12" thickBot="1" customHeight="1">
      <c r="A4458" s="24" t="s">
        <v>13900</v>
      </c>
      <c r="B4458" s="24"/>
      <c r="C4458" s="24" t="s">
        <v>13901</v>
      </c>
      <c r="D4458" s="25" t="s">
        <v>13902</v>
      </c>
      <c r="E4458" s="28">
        <v>5.00000</v>
      </c>
      <c r="F4458" s="29">
        <f ca="1">ROUND(23.360,3)</f>
        <v>0</v>
      </c>
      <c r="G4458" s="27">
        <f ca="1">ROUND((E4458*F4458)/100,2)</f>
        <v>0</v>
      </c>
    </row>
    <row r="4459" spans="1:7" ht="15.48" thickBot="1" customHeight="1">
      <c r="A4459" s="30"/>
      <c r="B4459" s="30"/>
      <c r="C4459" s="30"/>
      <c r="D4459" s="31" t="s">
        <v>13903</v>
      </c>
      <c r="E4459" s="30"/>
      <c r="F4459" s="33">
        <f ca="1">ROUND((G4451+G4452+G4453+G4458)*(1+G2/100),2)</f>
        <v>0</v>
      </c>
      <c r="G4459" s="30"/>
    </row>
    <row r="4460" spans="1:7" ht="49.08" thickBot="1" customHeight="1">
      <c r="A4460" s="34" t="s">
        <v>13904</v>
      </c>
      <c r="B4460" s="35" t="s">
        <v>13905</v>
      </c>
      <c r="C4460" s="35" t="s">
        <v>13906</v>
      </c>
      <c r="D4460" s="36" t="s">
        <v>13907</v>
      </c>
      <c r="E4460" s="37"/>
      <c r="F4460" s="38">
        <f ca="1">F4470</f>
        <v>0</v>
      </c>
      <c r="G4460" s="37"/>
    </row>
    <row r="4461" spans="1:7" ht="21.36" thickBot="1" customHeight="1">
      <c r="A4461" s="26"/>
      <c r="B4461" s="26"/>
      <c r="C4461" s="26"/>
      <c r="D4461" s="25" t="s">
        <v>13908</v>
      </c>
      <c r="E4461" s="25"/>
      <c r="F4461" s="25"/>
      <c r="G4461" s="25"/>
    </row>
    <row r="4462" spans="1:7" ht="30.60" thickBot="1" customHeight="1">
      <c r="A4462" s="24" t="s">
        <v>13909</v>
      </c>
      <c r="B4462" s="24" t="s">
        <v>13910</v>
      </c>
      <c r="C4462" s="24" t="s">
        <v>13911</v>
      </c>
      <c r="D4462" s="25" t="s">
        <v>13912</v>
      </c>
      <c r="E4462" s="28">
        <v>2.10000</v>
      </c>
      <c r="F4462" s="29">
        <f ca="1">ROUND(17.450,3)</f>
        <v>0</v>
      </c>
      <c r="G4462" s="27">
        <f ca="1">ROUND(E4462*F4462,2)</f>
        <v>0</v>
      </c>
    </row>
    <row r="4463" spans="1:7" ht="30.60" thickBot="1" customHeight="1">
      <c r="A4463" s="24" t="s">
        <v>13913</v>
      </c>
      <c r="B4463" s="24" t="s">
        <v>13914</v>
      </c>
      <c r="C4463" s="24" t="s">
        <v>13915</v>
      </c>
      <c r="D4463" s="25" t="s">
        <v>13916</v>
      </c>
      <c r="E4463" s="28">
        <v>0.02200</v>
      </c>
      <c r="F4463" s="29">
        <f ca="1">ROUND(27.500,3)</f>
        <v>0</v>
      </c>
      <c r="G4463" s="27">
        <f ca="1">ROUND(E4463*F4463,2)</f>
        <v>0</v>
      </c>
    </row>
    <row r="4464" spans="1:7" ht="21.36" thickBot="1" customHeight="1">
      <c r="A4464" s="24" t="s">
        <v>13917</v>
      </c>
      <c r="B4464" s="24" t="s">
        <v>13918</v>
      </c>
      <c r="C4464" s="24" t="s">
        <v>13919</v>
      </c>
      <c r="D4464" s="25" t="s">
        <v>13920</v>
      </c>
      <c r="E4464" s="28">
        <v>0.66667</v>
      </c>
      <c r="F4464" s="29">
        <f ca="1">F4468</f>
        <v>0</v>
      </c>
      <c r="G4464" s="27">
        <f ca="1">ROUND(E4464*F4464,2)</f>
        <v>0</v>
      </c>
    </row>
    <row r="4465" spans="1:7" ht="24.36" thickBot="1" customHeight="1">
      <c r="A4465" s="24" t="s">
        <v>13921</v>
      </c>
      <c r="B4465" s="24" t="s">
        <v>13922</v>
      </c>
      <c r="C4465" s="24" t="s">
        <v>13923</v>
      </c>
      <c r="D4465" s="25" t="s">
        <v>13924</v>
      </c>
      <c r="E4465" s="28">
        <v>1.00000</v>
      </c>
      <c r="F4465" s="29">
        <f ca="1">ROUND(21.000,3)</f>
        <v>0</v>
      </c>
      <c r="G4465" s="27">
        <f ca="1">ROUND(E4465*F4465,2)</f>
        <v>0</v>
      </c>
    </row>
    <row r="4466" spans="1:7" ht="24.36" thickBot="1" customHeight="1">
      <c r="A4466" s="24" t="s">
        <v>13925</v>
      </c>
      <c r="B4466" s="24" t="s">
        <v>13926</v>
      </c>
      <c r="C4466" s="24" t="s">
        <v>13927</v>
      </c>
      <c r="D4466" s="25" t="s">
        <v>13928</v>
      </c>
      <c r="E4466" s="28">
        <v>1.00000</v>
      </c>
      <c r="F4466" s="29">
        <f ca="1">ROUND(19.000,3)</f>
        <v>0</v>
      </c>
      <c r="G4466" s="27">
        <f ca="1">ROUND(E4466*F4466,2)</f>
        <v>0</v>
      </c>
    </row>
    <row r="4467" spans="1:7" ht="24.36" thickBot="1" customHeight="1">
      <c r="A4467" s="24" t="s">
        <v>13929</v>
      </c>
      <c r="B4467" s="24" t="s">
        <v>13930</v>
      </c>
      <c r="C4467" s="24" t="s">
        <v>13931</v>
      </c>
      <c r="D4467" s="25" t="s">
        <v>13932</v>
      </c>
      <c r="E4467" s="28">
        <v>0.20000</v>
      </c>
      <c r="F4467" s="29">
        <f ca="1">ROUND(19.000,3)</f>
        <v>0</v>
      </c>
      <c r="G4467" s="27">
        <f ca="1">ROUND(E4467*F4467,2)</f>
        <v>0</v>
      </c>
    </row>
    <row r="4468" spans="1:7" ht="15.12" thickBot="1" customHeight="1">
      <c r="A4468" s="26"/>
      <c r="B4468" s="26"/>
      <c r="C4468" s="26"/>
      <c r="D4468" s="24" t="s">
        <v>13933</v>
      </c>
      <c r="E4468" s="28">
        <v>0.66667</v>
      </c>
      <c r="F4468" s="29">
        <f ca="1">ROUND((G4465+G4466+G4467),3)</f>
        <v>0</v>
      </c>
      <c r="G4468" s="27">
        <f ca="1">ROUND(E4468*F4468,2)</f>
        <v>0</v>
      </c>
    </row>
    <row r="4469" spans="1:7" ht="15.12" thickBot="1" customHeight="1">
      <c r="A4469" s="24" t="s">
        <v>13934</v>
      </c>
      <c r="B4469" s="24"/>
      <c r="C4469" s="24" t="s">
        <v>13935</v>
      </c>
      <c r="D4469" s="25" t="s">
        <v>13936</v>
      </c>
      <c r="E4469" s="28">
        <v>5.00000</v>
      </c>
      <c r="F4469" s="29">
        <f ca="1">ROUND(29.200,3)</f>
        <v>0</v>
      </c>
      <c r="G4469" s="27">
        <f ca="1">ROUND((E4469*F4469)/100,2)</f>
        <v>0</v>
      </c>
    </row>
    <row r="4470" spans="1:7" ht="15.48" thickBot="1" customHeight="1">
      <c r="A4470" s="30"/>
      <c r="B4470" s="30"/>
      <c r="C4470" s="30"/>
      <c r="D4470" s="31" t="s">
        <v>13937</v>
      </c>
      <c r="E4470" s="30"/>
      <c r="F4470" s="33">
        <f ca="1">ROUND((G4462+G4463+G4464+G4469)*(1+G2/100),2)</f>
        <v>0</v>
      </c>
      <c r="G4470" s="30"/>
    </row>
    <row r="4471" spans="1:7" ht="49.08" thickBot="1" customHeight="1">
      <c r="A4471" s="34" t="s">
        <v>13938</v>
      </c>
      <c r="B4471" s="35" t="s">
        <v>13939</v>
      </c>
      <c r="C4471" s="35" t="s">
        <v>13940</v>
      </c>
      <c r="D4471" s="36" t="s">
        <v>13941</v>
      </c>
      <c r="E4471" s="37"/>
      <c r="F4471" s="38">
        <f ca="1">F4481</f>
        <v>0</v>
      </c>
      <c r="G4471" s="37"/>
    </row>
    <row r="4472" spans="1:7" ht="21.36" thickBot="1" customHeight="1">
      <c r="A4472" s="26"/>
      <c r="B4472" s="26"/>
      <c r="C4472" s="26"/>
      <c r="D4472" s="25" t="s">
        <v>13942</v>
      </c>
      <c r="E4472" s="25"/>
      <c r="F4472" s="25"/>
      <c r="G4472" s="25"/>
    </row>
    <row r="4473" spans="1:7" ht="30.60" thickBot="1" customHeight="1">
      <c r="A4473" s="24" t="s">
        <v>13943</v>
      </c>
      <c r="B4473" s="24" t="s">
        <v>13944</v>
      </c>
      <c r="C4473" s="24" t="s">
        <v>13945</v>
      </c>
      <c r="D4473" s="25" t="s">
        <v>13946</v>
      </c>
      <c r="E4473" s="28">
        <v>2.10000</v>
      </c>
      <c r="F4473" s="29">
        <f ca="1">ROUND(17.450,3)</f>
        <v>0</v>
      </c>
      <c r="G4473" s="27">
        <f ca="1">ROUND(E4473*F4473,2)</f>
        <v>0</v>
      </c>
    </row>
    <row r="4474" spans="1:7" ht="30.60" thickBot="1" customHeight="1">
      <c r="A4474" s="24" t="s">
        <v>13947</v>
      </c>
      <c r="B4474" s="24" t="s">
        <v>13948</v>
      </c>
      <c r="C4474" s="24" t="s">
        <v>13949</v>
      </c>
      <c r="D4474" s="25" t="s">
        <v>13950</v>
      </c>
      <c r="E4474" s="28">
        <v>0.02200</v>
      </c>
      <c r="F4474" s="29">
        <f ca="1">ROUND(27.500,3)</f>
        <v>0</v>
      </c>
      <c r="G4474" s="27">
        <f ca="1">ROUND(E4474*F4474,2)</f>
        <v>0</v>
      </c>
    </row>
    <row r="4475" spans="1:7" ht="21.36" thickBot="1" customHeight="1">
      <c r="A4475" s="24" t="s">
        <v>13951</v>
      </c>
      <c r="B4475" s="24" t="s">
        <v>13952</v>
      </c>
      <c r="C4475" s="24" t="s">
        <v>13953</v>
      </c>
      <c r="D4475" s="25" t="s">
        <v>13954</v>
      </c>
      <c r="E4475" s="28">
        <v>0.53333</v>
      </c>
      <c r="F4475" s="29">
        <f ca="1">F4479</f>
        <v>0</v>
      </c>
      <c r="G4475" s="27">
        <f ca="1">ROUND(E4475*F4475,2)</f>
        <v>0</v>
      </c>
    </row>
    <row r="4476" spans="1:7" ht="24.36" thickBot="1" customHeight="1">
      <c r="A4476" s="24" t="s">
        <v>13955</v>
      </c>
      <c r="B4476" s="24" t="s">
        <v>13956</v>
      </c>
      <c r="C4476" s="24" t="s">
        <v>13957</v>
      </c>
      <c r="D4476" s="25" t="s">
        <v>13958</v>
      </c>
      <c r="E4476" s="28">
        <v>1.00000</v>
      </c>
      <c r="F4476" s="29">
        <f ca="1">ROUND(21.000,3)</f>
        <v>0</v>
      </c>
      <c r="G4476" s="27">
        <f ca="1">ROUND(E4476*F4476,2)</f>
        <v>0</v>
      </c>
    </row>
    <row r="4477" spans="1:7" ht="24.36" thickBot="1" customHeight="1">
      <c r="A4477" s="24" t="s">
        <v>13959</v>
      </c>
      <c r="B4477" s="24" t="s">
        <v>13960</v>
      </c>
      <c r="C4477" s="24" t="s">
        <v>13961</v>
      </c>
      <c r="D4477" s="25" t="s">
        <v>13962</v>
      </c>
      <c r="E4477" s="28">
        <v>1.00000</v>
      </c>
      <c r="F4477" s="29">
        <f ca="1">ROUND(19.000,3)</f>
        <v>0</v>
      </c>
      <c r="G4477" s="27">
        <f ca="1">ROUND(E4477*F4477,2)</f>
        <v>0</v>
      </c>
    </row>
    <row r="4478" spans="1:7" ht="24.36" thickBot="1" customHeight="1">
      <c r="A4478" s="24" t="s">
        <v>13963</v>
      </c>
      <c r="B4478" s="24" t="s">
        <v>13964</v>
      </c>
      <c r="C4478" s="24" t="s">
        <v>13965</v>
      </c>
      <c r="D4478" s="25" t="s">
        <v>13966</v>
      </c>
      <c r="E4478" s="28">
        <v>0.20000</v>
      </c>
      <c r="F4478" s="29">
        <f ca="1">ROUND(19.000,3)</f>
        <v>0</v>
      </c>
      <c r="G4478" s="27">
        <f ca="1">ROUND(E4478*F4478,2)</f>
        <v>0</v>
      </c>
    </row>
    <row r="4479" spans="1:7" ht="15.12" thickBot="1" customHeight="1">
      <c r="A4479" s="26"/>
      <c r="B4479" s="26"/>
      <c r="C4479" s="26"/>
      <c r="D4479" s="24" t="s">
        <v>13967</v>
      </c>
      <c r="E4479" s="28">
        <v>0.53333</v>
      </c>
      <c r="F4479" s="29">
        <f ca="1">ROUND((G4476+G4477+G4478),3)</f>
        <v>0</v>
      </c>
      <c r="G4479" s="27">
        <f ca="1">ROUND(E4479*F4479,2)</f>
        <v>0</v>
      </c>
    </row>
    <row r="4480" spans="1:7" ht="15.12" thickBot="1" customHeight="1">
      <c r="A4480" s="24" t="s">
        <v>13968</v>
      </c>
      <c r="B4480" s="24"/>
      <c r="C4480" s="24" t="s">
        <v>13969</v>
      </c>
      <c r="D4480" s="25" t="s">
        <v>13970</v>
      </c>
      <c r="E4480" s="28">
        <v>5.00000</v>
      </c>
      <c r="F4480" s="29">
        <f ca="1">ROUND(23.360,3)</f>
        <v>0</v>
      </c>
      <c r="G4480" s="27">
        <f ca="1">ROUND((E4480*F4480)/100,2)</f>
        <v>0</v>
      </c>
    </row>
    <row r="4481" spans="1:7" ht="15.48" thickBot="1" customHeight="1">
      <c r="A4481" s="30"/>
      <c r="B4481" s="30"/>
      <c r="C4481" s="30"/>
      <c r="D4481" s="31" t="s">
        <v>13971</v>
      </c>
      <c r="E4481" s="30"/>
      <c r="F4481" s="33">
        <f ca="1">ROUND((G4473+G4474+G4475+G4480)*(1+G2/100),2)</f>
        <v>0</v>
      </c>
      <c r="G4481" s="30"/>
    </row>
    <row r="4482" spans="1:7" ht="30.60" thickBot="1" customHeight="1">
      <c r="A4482" s="34" t="s">
        <v>13972</v>
      </c>
      <c r="B4482" s="35" t="s">
        <v>13973</v>
      </c>
      <c r="C4482" s="35" t="s">
        <v>13974</v>
      </c>
      <c r="D4482" s="36" t="s">
        <v>13975</v>
      </c>
      <c r="E4482" s="37"/>
      <c r="F4482" s="38">
        <f ca="1">F4492</f>
        <v>0</v>
      </c>
      <c r="G4482" s="37"/>
    </row>
    <row r="4483" spans="1:7" ht="12.12" thickBot="1" customHeight="1">
      <c r="A4483" s="26"/>
      <c r="B4483" s="26"/>
      <c r="C4483" s="26"/>
      <c r="D4483" s="25" t="s">
        <v>13976</v>
      </c>
      <c r="E4483" s="25"/>
      <c r="F4483" s="25"/>
      <c r="G4483" s="25"/>
    </row>
    <row r="4484" spans="1:7" ht="49.08" thickBot="1" customHeight="1">
      <c r="A4484" s="24" t="s">
        <v>13977</v>
      </c>
      <c r="B4484" s="24" t="s">
        <v>13978</v>
      </c>
      <c r="C4484" s="24" t="s">
        <v>13979</v>
      </c>
      <c r="D4484" s="25" t="s">
        <v>13980</v>
      </c>
      <c r="E4484" s="28">
        <v>2.01600</v>
      </c>
      <c r="F4484" s="29">
        <f ca="1">ROUND(4.350,3)</f>
        <v>0</v>
      </c>
      <c r="G4484" s="27">
        <f ca="1">ROUND(E4484*F4484,2)</f>
        <v>0</v>
      </c>
    </row>
    <row r="4485" spans="1:7" ht="30.60" thickBot="1" customHeight="1">
      <c r="A4485" s="24" t="s">
        <v>13981</v>
      </c>
      <c r="B4485" s="24" t="s">
        <v>13982</v>
      </c>
      <c r="C4485" s="24" t="s">
        <v>13983</v>
      </c>
      <c r="D4485" s="25" t="s">
        <v>13984</v>
      </c>
      <c r="E4485" s="28">
        <v>0.02200</v>
      </c>
      <c r="F4485" s="29">
        <f ca="1">ROUND(27.500,3)</f>
        <v>0</v>
      </c>
      <c r="G4485" s="27">
        <f ca="1">ROUND(E4485*F4485,2)</f>
        <v>0</v>
      </c>
    </row>
    <row r="4486" spans="1:7" ht="21.36" thickBot="1" customHeight="1">
      <c r="A4486" s="24" t="s">
        <v>13985</v>
      </c>
      <c r="B4486" s="24" t="s">
        <v>13986</v>
      </c>
      <c r="C4486" s="24" t="s">
        <v>13987</v>
      </c>
      <c r="D4486" s="25" t="s">
        <v>13988</v>
      </c>
      <c r="E4486" s="28">
        <v>0.66667</v>
      </c>
      <c r="F4486" s="29">
        <f ca="1">F4490</f>
        <v>0</v>
      </c>
      <c r="G4486" s="27">
        <f ca="1">ROUND(E4486*F4486,2)</f>
        <v>0</v>
      </c>
    </row>
    <row r="4487" spans="1:7" ht="24.36" thickBot="1" customHeight="1">
      <c r="A4487" s="24" t="s">
        <v>13989</v>
      </c>
      <c r="B4487" s="24" t="s">
        <v>13990</v>
      </c>
      <c r="C4487" s="24" t="s">
        <v>13991</v>
      </c>
      <c r="D4487" s="25" t="s">
        <v>13992</v>
      </c>
      <c r="E4487" s="28">
        <v>1.00000</v>
      </c>
      <c r="F4487" s="29">
        <f ca="1">ROUND(21.000,3)</f>
        <v>0</v>
      </c>
      <c r="G4487" s="27">
        <f ca="1">ROUND(E4487*F4487,2)</f>
        <v>0</v>
      </c>
    </row>
    <row r="4488" spans="1:7" ht="24.36" thickBot="1" customHeight="1">
      <c r="A4488" s="24" t="s">
        <v>13993</v>
      </c>
      <c r="B4488" s="24" t="s">
        <v>13994</v>
      </c>
      <c r="C4488" s="24" t="s">
        <v>13995</v>
      </c>
      <c r="D4488" s="25" t="s">
        <v>13996</v>
      </c>
      <c r="E4488" s="28">
        <v>1.00000</v>
      </c>
      <c r="F4488" s="29">
        <f ca="1">ROUND(19.000,3)</f>
        <v>0</v>
      </c>
      <c r="G4488" s="27">
        <f ca="1">ROUND(E4488*F4488,2)</f>
        <v>0</v>
      </c>
    </row>
    <row r="4489" spans="1:7" ht="24.36" thickBot="1" customHeight="1">
      <c r="A4489" s="24" t="s">
        <v>13997</v>
      </c>
      <c r="B4489" s="24" t="s">
        <v>13998</v>
      </c>
      <c r="C4489" s="24" t="s">
        <v>13999</v>
      </c>
      <c r="D4489" s="25" t="s">
        <v>14000</v>
      </c>
      <c r="E4489" s="28">
        <v>0.20000</v>
      </c>
      <c r="F4489" s="29">
        <f ca="1">ROUND(19.000,3)</f>
        <v>0</v>
      </c>
      <c r="G4489" s="27">
        <f ca="1">ROUND(E4489*F4489,2)</f>
        <v>0</v>
      </c>
    </row>
    <row r="4490" spans="1:7" ht="15.12" thickBot="1" customHeight="1">
      <c r="A4490" s="26"/>
      <c r="B4490" s="26"/>
      <c r="C4490" s="26"/>
      <c r="D4490" s="24" t="s">
        <v>14001</v>
      </c>
      <c r="E4490" s="28">
        <v>0.66667</v>
      </c>
      <c r="F4490" s="29">
        <f ca="1">ROUND((G4487+G4488+G4489),3)</f>
        <v>0</v>
      </c>
      <c r="G4490" s="27">
        <f ca="1">ROUND(E4490*F4490,2)</f>
        <v>0</v>
      </c>
    </row>
    <row r="4491" spans="1:7" ht="15.12" thickBot="1" customHeight="1">
      <c r="A4491" s="24" t="s">
        <v>14002</v>
      </c>
      <c r="B4491" s="24"/>
      <c r="C4491" s="24" t="s">
        <v>14003</v>
      </c>
      <c r="D4491" s="25" t="s">
        <v>14004</v>
      </c>
      <c r="E4491" s="28">
        <v>5.00000</v>
      </c>
      <c r="F4491" s="29">
        <f ca="1">ROUND(29.200,3)</f>
        <v>0</v>
      </c>
      <c r="G4491" s="27">
        <f ca="1">ROUND((E4491*F4491)/100,2)</f>
        <v>0</v>
      </c>
    </row>
    <row r="4492" spans="1:7" ht="15.48" thickBot="1" customHeight="1">
      <c r="A4492" s="30"/>
      <c r="B4492" s="30"/>
      <c r="C4492" s="30"/>
      <c r="D4492" s="31" t="s">
        <v>14005</v>
      </c>
      <c r="E4492" s="30"/>
      <c r="F4492" s="33">
        <f ca="1">ROUND((G4484+G4485+G4486+G4491)*(1+G2/100),2)</f>
        <v>0</v>
      </c>
      <c r="G4492" s="30"/>
    </row>
    <row r="4493" spans="1:7" ht="86.04" thickBot="1" customHeight="1">
      <c r="A4493" s="34" t="s">
        <v>14006</v>
      </c>
      <c r="B4493" s="35" t="s">
        <v>14007</v>
      </c>
      <c r="C4493" s="35" t="s">
        <v>14008</v>
      </c>
      <c r="D4493" s="36" t="s">
        <v>14009</v>
      </c>
      <c r="E4493" s="37"/>
      <c r="F4493" s="38">
        <f ca="1">F4509</f>
        <v>0</v>
      </c>
      <c r="G4493" s="37"/>
    </row>
    <row r="4494" spans="1:7" ht="30.60" thickBot="1" customHeight="1">
      <c r="A4494" s="26"/>
      <c r="B4494" s="26"/>
      <c r="C4494" s="26"/>
      <c r="D4494" s="25" t="s">
        <v>14010</v>
      </c>
      <c r="E4494" s="25"/>
      <c r="F4494" s="25"/>
      <c r="G4494" s="25"/>
    </row>
    <row r="4495" spans="1:7" ht="30.60" thickBot="1" customHeight="1">
      <c r="A4495" s="24" t="s">
        <v>14011</v>
      </c>
      <c r="B4495" s="24" t="s">
        <v>14012</v>
      </c>
      <c r="C4495" s="24" t="s">
        <v>14013</v>
      </c>
      <c r="D4495" s="25" t="s">
        <v>14014</v>
      </c>
      <c r="E4495" s="28">
        <v>0.00770</v>
      </c>
      <c r="F4495" s="29">
        <f ca="1">ROUND(27.500,3)</f>
        <v>0</v>
      </c>
      <c r="G4495" s="27">
        <f ca="1">ROUND(E4495*F4495,2)</f>
        <v>0</v>
      </c>
    </row>
    <row r="4496" spans="1:7" ht="21.36" thickBot="1" customHeight="1">
      <c r="A4496" s="24" t="s">
        <v>14015</v>
      </c>
      <c r="B4496" s="24" t="s">
        <v>14016</v>
      </c>
      <c r="C4496" s="24" t="s">
        <v>14017</v>
      </c>
      <c r="D4496" s="25" t="s">
        <v>14018</v>
      </c>
      <c r="E4496" s="28">
        <v>1.00000</v>
      </c>
      <c r="F4496" s="29">
        <f ca="1">ROUND(2.290,3)</f>
        <v>0</v>
      </c>
      <c r="G4496" s="27">
        <f ca="1">ROUND(E4496*F4496,2)</f>
        <v>0</v>
      </c>
    </row>
    <row r="4497" spans="1:7" ht="30.60" thickBot="1" customHeight="1">
      <c r="A4497" s="24" t="s">
        <v>14019</v>
      </c>
      <c r="B4497" s="24" t="s">
        <v>14020</v>
      </c>
      <c r="C4497" s="24" t="s">
        <v>14021</v>
      </c>
      <c r="D4497" s="25" t="s">
        <v>14022</v>
      </c>
      <c r="E4497" s="28">
        <v>0.08000</v>
      </c>
      <c r="F4497" s="29">
        <f ca="1">ROUND(30.450,3)</f>
        <v>0</v>
      </c>
      <c r="G4497" s="27">
        <f ca="1">ROUND(E4497*F4497,2)</f>
        <v>0</v>
      </c>
    </row>
    <row r="4498" spans="1:7" ht="39.84" thickBot="1" customHeight="1">
      <c r="A4498" s="24" t="s">
        <v>14023</v>
      </c>
      <c r="B4498" s="24" t="s">
        <v>14024</v>
      </c>
      <c r="C4498" s="24" t="s">
        <v>14025</v>
      </c>
      <c r="D4498" s="25" t="s">
        <v>14026</v>
      </c>
      <c r="E4498" s="28">
        <v>0.25000</v>
      </c>
      <c r="F4498" s="29">
        <f ca="1">ROUND(2.860,3)</f>
        <v>0</v>
      </c>
      <c r="G4498" s="27">
        <f ca="1">ROUND(E4498*F4498,2)</f>
        <v>0</v>
      </c>
    </row>
    <row r="4499" spans="1:7" ht="30.60" thickBot="1" customHeight="1">
      <c r="A4499" s="24" t="s">
        <v>14027</v>
      </c>
      <c r="B4499" s="24" t="s">
        <v>14028</v>
      </c>
      <c r="C4499" s="24" t="s">
        <v>14029</v>
      </c>
      <c r="D4499" s="25" t="s">
        <v>14030</v>
      </c>
      <c r="E4499" s="28">
        <v>0.33600</v>
      </c>
      <c r="F4499" s="29">
        <f ca="1">ROUND(16.810,3)</f>
        <v>0</v>
      </c>
      <c r="G4499" s="27">
        <f ca="1">ROUND(E4499*F4499,2)</f>
        <v>0</v>
      </c>
    </row>
    <row r="4500" spans="1:7" ht="30.60" thickBot="1" customHeight="1">
      <c r="A4500" s="24" t="s">
        <v>14031</v>
      </c>
      <c r="B4500" s="24" t="s">
        <v>14032</v>
      </c>
      <c r="C4500" s="24" t="s">
        <v>14033</v>
      </c>
      <c r="D4500" s="25" t="s">
        <v>14034</v>
      </c>
      <c r="E4500" s="28">
        <v>0.79380</v>
      </c>
      <c r="F4500" s="29">
        <f ca="1">ROUND(22.450,3)</f>
        <v>0</v>
      </c>
      <c r="G4500" s="27">
        <f ca="1">ROUND(E4500*F4500,2)</f>
        <v>0</v>
      </c>
    </row>
    <row r="4501" spans="1:7" ht="39.84" thickBot="1" customHeight="1">
      <c r="A4501" s="24" t="s">
        <v>14035</v>
      </c>
      <c r="B4501" s="24" t="s">
        <v>14036</v>
      </c>
      <c r="C4501" s="24" t="s">
        <v>14037</v>
      </c>
      <c r="D4501" s="25" t="s">
        <v>14038</v>
      </c>
      <c r="E4501" s="28">
        <v>0.07000</v>
      </c>
      <c r="F4501" s="29">
        <f ca="1">ROUND(2.630,3)</f>
        <v>0</v>
      </c>
      <c r="G4501" s="27">
        <f ca="1">ROUND(E4501*F4501,2)</f>
        <v>0</v>
      </c>
    </row>
    <row r="4502" spans="1:7" ht="39.84" thickBot="1" customHeight="1">
      <c r="A4502" s="24" t="s">
        <v>14039</v>
      </c>
      <c r="B4502" s="24" t="s">
        <v>14040</v>
      </c>
      <c r="C4502" s="24" t="s">
        <v>14041</v>
      </c>
      <c r="D4502" s="25" t="s">
        <v>14042</v>
      </c>
      <c r="E4502" s="28">
        <v>0.44000</v>
      </c>
      <c r="F4502" s="29">
        <f ca="1">ROUND(4.050,3)</f>
        <v>0</v>
      </c>
      <c r="G4502" s="27">
        <f ca="1">ROUND(E4502*F4502,2)</f>
        <v>0</v>
      </c>
    </row>
    <row r="4503" spans="1:7" ht="21.36" thickBot="1" customHeight="1">
      <c r="A4503" s="24" t="s">
        <v>14043</v>
      </c>
      <c r="B4503" s="24" t="s">
        <v>14044</v>
      </c>
      <c r="C4503" s="24" t="s">
        <v>14045</v>
      </c>
      <c r="D4503" s="25" t="s">
        <v>14046</v>
      </c>
      <c r="E4503" s="28">
        <v>0.70000</v>
      </c>
      <c r="F4503" s="29">
        <f ca="1">F4507</f>
        <v>0</v>
      </c>
      <c r="G4503" s="27">
        <f ca="1">ROUND(E4503*F4503,2)</f>
        <v>0</v>
      </c>
    </row>
    <row r="4504" spans="1:7" ht="24.36" thickBot="1" customHeight="1">
      <c r="A4504" s="24" t="s">
        <v>14047</v>
      </c>
      <c r="B4504" s="24" t="s">
        <v>14048</v>
      </c>
      <c r="C4504" s="24" t="s">
        <v>14049</v>
      </c>
      <c r="D4504" s="25" t="s">
        <v>14050</v>
      </c>
      <c r="E4504" s="28">
        <v>1.00000</v>
      </c>
      <c r="F4504" s="29">
        <f ca="1">ROUND(21.000,3)</f>
        <v>0</v>
      </c>
      <c r="G4504" s="27">
        <f ca="1">ROUND(E4504*F4504,2)</f>
        <v>0</v>
      </c>
    </row>
    <row r="4505" spans="1:7" ht="24.36" thickBot="1" customHeight="1">
      <c r="A4505" s="24" t="s">
        <v>14051</v>
      </c>
      <c r="B4505" s="24" t="s">
        <v>14052</v>
      </c>
      <c r="C4505" s="24" t="s">
        <v>14053</v>
      </c>
      <c r="D4505" s="25" t="s">
        <v>14054</v>
      </c>
      <c r="E4505" s="28">
        <v>1.00000</v>
      </c>
      <c r="F4505" s="29">
        <f ca="1">ROUND(19.000,3)</f>
        <v>0</v>
      </c>
      <c r="G4505" s="27">
        <f ca="1">ROUND(E4505*F4505,2)</f>
        <v>0</v>
      </c>
    </row>
    <row r="4506" spans="1:7" ht="24.36" thickBot="1" customHeight="1">
      <c r="A4506" s="24" t="s">
        <v>14055</v>
      </c>
      <c r="B4506" s="24" t="s">
        <v>14056</v>
      </c>
      <c r="C4506" s="24" t="s">
        <v>14057</v>
      </c>
      <c r="D4506" s="25" t="s">
        <v>14058</v>
      </c>
      <c r="E4506" s="28">
        <v>0.20000</v>
      </c>
      <c r="F4506" s="29">
        <f ca="1">ROUND(19.000,3)</f>
        <v>0</v>
      </c>
      <c r="G4506" s="27">
        <f ca="1">ROUND(E4506*F4506,2)</f>
        <v>0</v>
      </c>
    </row>
    <row r="4507" spans="1:7" ht="15.12" thickBot="1" customHeight="1">
      <c r="A4507" s="26"/>
      <c r="B4507" s="26"/>
      <c r="C4507" s="26"/>
      <c r="D4507" s="24" t="s">
        <v>14059</v>
      </c>
      <c r="E4507" s="28">
        <v>0.70000</v>
      </c>
      <c r="F4507" s="29">
        <f ca="1">ROUND((G4504+G4505+G4506),3)</f>
        <v>0</v>
      </c>
      <c r="G4507" s="27">
        <f ca="1">ROUND(E4507*F4507,2)</f>
        <v>0</v>
      </c>
    </row>
    <row r="4508" spans="1:7" ht="15.12" thickBot="1" customHeight="1">
      <c r="A4508" s="24" t="s">
        <v>14060</v>
      </c>
      <c r="B4508" s="24"/>
      <c r="C4508" s="24" t="s">
        <v>14061</v>
      </c>
      <c r="D4508" s="25" t="s">
        <v>14062</v>
      </c>
      <c r="E4508" s="28">
        <v>7.00000</v>
      </c>
      <c r="F4508" s="29">
        <f ca="1">ROUND(30.660,3)</f>
        <v>0</v>
      </c>
      <c r="G4508" s="27">
        <f ca="1">ROUND((E4508*F4508)/100,2)</f>
        <v>0</v>
      </c>
    </row>
    <row r="4509" spans="1:7" ht="15.48" thickBot="1" customHeight="1">
      <c r="A4509" s="30"/>
      <c r="B4509" s="30"/>
      <c r="C4509" s="30"/>
      <c r="D4509" s="31" t="s">
        <v>14063</v>
      </c>
      <c r="E4509" s="30"/>
      <c r="F4509" s="33">
        <f ca="1">ROUND((G4495+G4496+G4497+G4498+G4499+G4500+G4501+G4502+G4503+G4508)*(1+G2/100),2)</f>
        <v>0</v>
      </c>
      <c r="G4509" s="30"/>
    </row>
    <row r="4510" spans="1:7" ht="76.80" thickBot="1" customHeight="1">
      <c r="A4510" s="34" t="s">
        <v>14064</v>
      </c>
      <c r="B4510" s="35" t="s">
        <v>14065</v>
      </c>
      <c r="C4510" s="35" t="s">
        <v>14066</v>
      </c>
      <c r="D4510" s="36" t="s">
        <v>14067</v>
      </c>
      <c r="E4510" s="37"/>
      <c r="F4510" s="38">
        <f ca="1">F4526</f>
        <v>0</v>
      </c>
      <c r="G4510" s="37"/>
    </row>
    <row r="4511" spans="1:7" ht="30.60" thickBot="1" customHeight="1">
      <c r="A4511" s="26"/>
      <c r="B4511" s="26"/>
      <c r="C4511" s="26"/>
      <c r="D4511" s="25" t="s">
        <v>14068</v>
      </c>
      <c r="E4511" s="25"/>
      <c r="F4511" s="25"/>
      <c r="G4511" s="25"/>
    </row>
    <row r="4512" spans="1:7" ht="30.60" thickBot="1" customHeight="1">
      <c r="A4512" s="24" t="s">
        <v>14069</v>
      </c>
      <c r="B4512" s="24" t="s">
        <v>14070</v>
      </c>
      <c r="C4512" s="24" t="s">
        <v>14071</v>
      </c>
      <c r="D4512" s="25" t="s">
        <v>14072</v>
      </c>
      <c r="E4512" s="28">
        <v>0.02200</v>
      </c>
      <c r="F4512" s="29">
        <f ca="1">ROUND(27.500,3)</f>
        <v>0</v>
      </c>
      <c r="G4512" s="27">
        <f ca="1">ROUND(E4512*F4512,2)</f>
        <v>0</v>
      </c>
    </row>
    <row r="4513" spans="1:7" ht="21.36" thickBot="1" customHeight="1">
      <c r="A4513" s="24" t="s">
        <v>14073</v>
      </c>
      <c r="B4513" s="24" t="s">
        <v>14074</v>
      </c>
      <c r="C4513" s="24" t="s">
        <v>14075</v>
      </c>
      <c r="D4513" s="25" t="s">
        <v>14076</v>
      </c>
      <c r="E4513" s="28">
        <v>2.00000</v>
      </c>
      <c r="F4513" s="29">
        <f ca="1">ROUND(2.290,3)</f>
        <v>0</v>
      </c>
      <c r="G4513" s="27">
        <f ca="1">ROUND(E4513*F4513,2)</f>
        <v>0</v>
      </c>
    </row>
    <row r="4514" spans="1:7" ht="30.60" thickBot="1" customHeight="1">
      <c r="A4514" s="24" t="s">
        <v>14077</v>
      </c>
      <c r="B4514" s="24" t="s">
        <v>14078</v>
      </c>
      <c r="C4514" s="24" t="s">
        <v>14079</v>
      </c>
      <c r="D4514" s="25" t="s">
        <v>14080</v>
      </c>
      <c r="E4514" s="28">
        <v>0.16000</v>
      </c>
      <c r="F4514" s="29">
        <f ca="1">ROUND(30.450,3)</f>
        <v>0</v>
      </c>
      <c r="G4514" s="27">
        <f ca="1">ROUND(E4514*F4514,2)</f>
        <v>0</v>
      </c>
    </row>
    <row r="4515" spans="1:7" ht="39.84" thickBot="1" customHeight="1">
      <c r="A4515" s="24" t="s">
        <v>14081</v>
      </c>
      <c r="B4515" s="24" t="s">
        <v>14082</v>
      </c>
      <c r="C4515" s="24" t="s">
        <v>14083</v>
      </c>
      <c r="D4515" s="25" t="s">
        <v>14084</v>
      </c>
      <c r="E4515" s="28">
        <v>0.25000</v>
      </c>
      <c r="F4515" s="29">
        <f ca="1">ROUND(2.860,3)</f>
        <v>0</v>
      </c>
      <c r="G4515" s="27">
        <f ca="1">ROUND(E4515*F4515,2)</f>
        <v>0</v>
      </c>
    </row>
    <row r="4516" spans="1:7" ht="30.60" thickBot="1" customHeight="1">
      <c r="A4516" s="24" t="s">
        <v>14085</v>
      </c>
      <c r="B4516" s="24" t="s">
        <v>14086</v>
      </c>
      <c r="C4516" s="24" t="s">
        <v>14087</v>
      </c>
      <c r="D4516" s="25" t="s">
        <v>14088</v>
      </c>
      <c r="E4516" s="28">
        <v>0.83570</v>
      </c>
      <c r="F4516" s="29">
        <f ca="1">ROUND(16.810,3)</f>
        <v>0</v>
      </c>
      <c r="G4516" s="27">
        <f ca="1">ROUND(E4516*F4516,2)</f>
        <v>0</v>
      </c>
    </row>
    <row r="4517" spans="1:7" ht="30.60" thickBot="1" customHeight="1">
      <c r="A4517" s="24" t="s">
        <v>14089</v>
      </c>
      <c r="B4517" s="24" t="s">
        <v>14090</v>
      </c>
      <c r="C4517" s="24" t="s">
        <v>14091</v>
      </c>
      <c r="D4517" s="25" t="s">
        <v>14092</v>
      </c>
      <c r="E4517" s="28">
        <v>2.26800</v>
      </c>
      <c r="F4517" s="29">
        <f ca="1">ROUND(22.450,3)</f>
        <v>0</v>
      </c>
      <c r="G4517" s="27">
        <f ca="1">ROUND(E4517*F4517,2)</f>
        <v>0</v>
      </c>
    </row>
    <row r="4518" spans="1:7" ht="39.84" thickBot="1" customHeight="1">
      <c r="A4518" s="24" t="s">
        <v>14093</v>
      </c>
      <c r="B4518" s="24" t="s">
        <v>14094</v>
      </c>
      <c r="C4518" s="24" t="s">
        <v>14095</v>
      </c>
      <c r="D4518" s="25" t="s">
        <v>14096</v>
      </c>
      <c r="E4518" s="28">
        <v>0.07000</v>
      </c>
      <c r="F4518" s="29">
        <f ca="1">ROUND(2.630,3)</f>
        <v>0</v>
      </c>
      <c r="G4518" s="27">
        <f ca="1">ROUND(E4518*F4518,2)</f>
        <v>0</v>
      </c>
    </row>
    <row r="4519" spans="1:7" ht="39.84" thickBot="1" customHeight="1">
      <c r="A4519" s="24" t="s">
        <v>14097</v>
      </c>
      <c r="B4519" s="24" t="s">
        <v>14098</v>
      </c>
      <c r="C4519" s="24" t="s">
        <v>14099</v>
      </c>
      <c r="D4519" s="25" t="s">
        <v>14100</v>
      </c>
      <c r="E4519" s="28">
        <v>0.44000</v>
      </c>
      <c r="F4519" s="29">
        <f ca="1">ROUND(4.050,3)</f>
        <v>0</v>
      </c>
      <c r="G4519" s="27">
        <f ca="1">ROUND(E4519*F4519,2)</f>
        <v>0</v>
      </c>
    </row>
    <row r="4520" spans="1:7" ht="21.36" thickBot="1" customHeight="1">
      <c r="A4520" s="24" t="s">
        <v>14101</v>
      </c>
      <c r="B4520" s="24" t="s">
        <v>14102</v>
      </c>
      <c r="C4520" s="24" t="s">
        <v>14103</v>
      </c>
      <c r="D4520" s="25" t="s">
        <v>14104</v>
      </c>
      <c r="E4520" s="28">
        <v>0.80000</v>
      </c>
      <c r="F4520" s="29">
        <f ca="1">F4524</f>
        <v>0</v>
      </c>
      <c r="G4520" s="27">
        <f ca="1">ROUND(E4520*F4520,2)</f>
        <v>0</v>
      </c>
    </row>
    <row r="4521" spans="1:7" ht="24.36" thickBot="1" customHeight="1">
      <c r="A4521" s="24" t="s">
        <v>14105</v>
      </c>
      <c r="B4521" s="24" t="s">
        <v>14106</v>
      </c>
      <c r="C4521" s="24" t="s">
        <v>14107</v>
      </c>
      <c r="D4521" s="25" t="s">
        <v>14108</v>
      </c>
      <c r="E4521" s="28">
        <v>1.00000</v>
      </c>
      <c r="F4521" s="29">
        <f ca="1">ROUND(21.000,3)</f>
        <v>0</v>
      </c>
      <c r="G4521" s="27">
        <f ca="1">ROUND(E4521*F4521,2)</f>
        <v>0</v>
      </c>
    </row>
    <row r="4522" spans="1:7" ht="24.36" thickBot="1" customHeight="1">
      <c r="A4522" s="24" t="s">
        <v>14109</v>
      </c>
      <c r="B4522" s="24" t="s">
        <v>14110</v>
      </c>
      <c r="C4522" s="24" t="s">
        <v>14111</v>
      </c>
      <c r="D4522" s="25" t="s">
        <v>14112</v>
      </c>
      <c r="E4522" s="28">
        <v>1.00000</v>
      </c>
      <c r="F4522" s="29">
        <f ca="1">ROUND(19.000,3)</f>
        <v>0</v>
      </c>
      <c r="G4522" s="27">
        <f ca="1">ROUND(E4522*F4522,2)</f>
        <v>0</v>
      </c>
    </row>
    <row r="4523" spans="1:7" ht="24.36" thickBot="1" customHeight="1">
      <c r="A4523" s="24" t="s">
        <v>14113</v>
      </c>
      <c r="B4523" s="24" t="s">
        <v>14114</v>
      </c>
      <c r="C4523" s="24" t="s">
        <v>14115</v>
      </c>
      <c r="D4523" s="25" t="s">
        <v>14116</v>
      </c>
      <c r="E4523" s="28">
        <v>0.20000</v>
      </c>
      <c r="F4523" s="29">
        <f ca="1">ROUND(19.000,3)</f>
        <v>0</v>
      </c>
      <c r="G4523" s="27">
        <f ca="1">ROUND(E4523*F4523,2)</f>
        <v>0</v>
      </c>
    </row>
    <row r="4524" spans="1:7" ht="15.12" thickBot="1" customHeight="1">
      <c r="A4524" s="26"/>
      <c r="B4524" s="26"/>
      <c r="C4524" s="26"/>
      <c r="D4524" s="24" t="s">
        <v>14117</v>
      </c>
      <c r="E4524" s="28">
        <v>0.80000</v>
      </c>
      <c r="F4524" s="29">
        <f ca="1">ROUND((G4521+G4522+G4523),3)</f>
        <v>0</v>
      </c>
      <c r="G4524" s="27">
        <f ca="1">ROUND(E4524*F4524,2)</f>
        <v>0</v>
      </c>
    </row>
    <row r="4525" spans="1:7" ht="15.12" thickBot="1" customHeight="1">
      <c r="A4525" s="24" t="s">
        <v>14118</v>
      </c>
      <c r="B4525" s="24"/>
      <c r="C4525" s="24" t="s">
        <v>14119</v>
      </c>
      <c r="D4525" s="25" t="s">
        <v>14120</v>
      </c>
      <c r="E4525" s="28">
        <v>7.00000</v>
      </c>
      <c r="F4525" s="29">
        <f ca="1">ROUND(35.040,3)</f>
        <v>0</v>
      </c>
      <c r="G4525" s="27">
        <f ca="1">ROUND((E4525*F4525)/100,2)</f>
        <v>0</v>
      </c>
    </row>
    <row r="4526" spans="1:7" ht="15.48" thickBot="1" customHeight="1">
      <c r="A4526" s="30"/>
      <c r="B4526" s="30"/>
      <c r="C4526" s="30"/>
      <c r="D4526" s="31" t="s">
        <v>14121</v>
      </c>
      <c r="E4526" s="30"/>
      <c r="F4526" s="33">
        <f ca="1">ROUND((G4512+G4513+G4514+G4515+G4516+G4517+G4518+G4519+G4520+G4525)*(1+G2/100),2)</f>
        <v>0</v>
      </c>
      <c r="G4526" s="30"/>
    </row>
    <row r="4527" spans="1:7" ht="104.52" thickBot="1" customHeight="1">
      <c r="A4527" s="34" t="s">
        <v>14122</v>
      </c>
      <c r="B4527" s="35" t="s">
        <v>14123</v>
      </c>
      <c r="C4527" s="35" t="s">
        <v>14124</v>
      </c>
      <c r="D4527" s="36" t="s">
        <v>14125</v>
      </c>
      <c r="E4527" s="37"/>
      <c r="F4527" s="38">
        <f ca="1">F4540</f>
        <v>0</v>
      </c>
      <c r="G4527" s="37"/>
    </row>
    <row r="4528" spans="1:7" ht="30.60" thickBot="1" customHeight="1">
      <c r="A4528" s="26"/>
      <c r="B4528" s="26"/>
      <c r="C4528" s="26"/>
      <c r="D4528" s="25" t="s">
        <v>14126</v>
      </c>
      <c r="E4528" s="25"/>
      <c r="F4528" s="25"/>
      <c r="G4528" s="25"/>
    </row>
    <row r="4529" spans="1:7" ht="30.60" thickBot="1" customHeight="1">
      <c r="A4529" s="24" t="s">
        <v>14127</v>
      </c>
      <c r="B4529" s="24" t="s">
        <v>14128</v>
      </c>
      <c r="C4529" s="24" t="s">
        <v>14129</v>
      </c>
      <c r="D4529" s="25" t="s">
        <v>14130</v>
      </c>
      <c r="E4529" s="28">
        <v>0.00770</v>
      </c>
      <c r="F4529" s="29">
        <f ca="1">ROUND(27.500,3)</f>
        <v>0</v>
      </c>
      <c r="G4529" s="27">
        <f ca="1">ROUND(E4529*F4529,2)</f>
        <v>0</v>
      </c>
    </row>
    <row r="4530" spans="1:7" ht="49.08" thickBot="1" customHeight="1">
      <c r="A4530" s="24" t="s">
        <v>14131</v>
      </c>
      <c r="B4530" s="24" t="s">
        <v>14132</v>
      </c>
      <c r="C4530" s="24" t="s">
        <v>14133</v>
      </c>
      <c r="D4530" s="25" t="s">
        <v>14134</v>
      </c>
      <c r="E4530" s="28">
        <v>0.11000</v>
      </c>
      <c r="F4530" s="29">
        <f ca="1">ROUND(45.570,3)</f>
        <v>0</v>
      </c>
      <c r="G4530" s="27">
        <f ca="1">ROUND(E4530*F4530,2)</f>
        <v>0</v>
      </c>
    </row>
    <row r="4531" spans="1:7" ht="30.60" thickBot="1" customHeight="1">
      <c r="A4531" s="24" t="s">
        <v>14135</v>
      </c>
      <c r="B4531" s="24" t="s">
        <v>14136</v>
      </c>
      <c r="C4531" s="24" t="s">
        <v>14137</v>
      </c>
      <c r="D4531" s="25" t="s">
        <v>14138</v>
      </c>
      <c r="E4531" s="28">
        <v>0.45360</v>
      </c>
      <c r="F4531" s="29">
        <f ca="1">ROUND(22.450,3)</f>
        <v>0</v>
      </c>
      <c r="G4531" s="27">
        <f ca="1">ROUND(E4531*F4531,2)</f>
        <v>0</v>
      </c>
    </row>
    <row r="4532" spans="1:7" ht="39.84" thickBot="1" customHeight="1">
      <c r="A4532" s="24" t="s">
        <v>14139</v>
      </c>
      <c r="B4532" s="24" t="s">
        <v>14140</v>
      </c>
      <c r="C4532" s="24" t="s">
        <v>14141</v>
      </c>
      <c r="D4532" s="25" t="s">
        <v>14142</v>
      </c>
      <c r="E4532" s="28">
        <v>0.07000</v>
      </c>
      <c r="F4532" s="29">
        <f ca="1">ROUND(2.630,3)</f>
        <v>0</v>
      </c>
      <c r="G4532" s="27">
        <f ca="1">ROUND(E4532*F4532,2)</f>
        <v>0</v>
      </c>
    </row>
    <row r="4533" spans="1:7" ht="39.84" thickBot="1" customHeight="1">
      <c r="A4533" s="24" t="s">
        <v>14143</v>
      </c>
      <c r="B4533" s="24" t="s">
        <v>14144</v>
      </c>
      <c r="C4533" s="24" t="s">
        <v>14145</v>
      </c>
      <c r="D4533" s="25" t="s">
        <v>14146</v>
      </c>
      <c r="E4533" s="28">
        <v>0.44000</v>
      </c>
      <c r="F4533" s="29">
        <f ca="1">ROUND(4.050,3)</f>
        <v>0</v>
      </c>
      <c r="G4533" s="27">
        <f ca="1">ROUND(E4533*F4533,2)</f>
        <v>0</v>
      </c>
    </row>
    <row r="4534" spans="1:7" ht="21.36" thickBot="1" customHeight="1">
      <c r="A4534" s="24" t="s">
        <v>14147</v>
      </c>
      <c r="B4534" s="24" t="s">
        <v>14148</v>
      </c>
      <c r="C4534" s="24" t="s">
        <v>14149</v>
      </c>
      <c r="D4534" s="25" t="s">
        <v>14150</v>
      </c>
      <c r="E4534" s="28">
        <v>0.60000</v>
      </c>
      <c r="F4534" s="29">
        <f ca="1">F4538</f>
        <v>0</v>
      </c>
      <c r="G4534" s="27">
        <f ca="1">ROUND(E4534*F4534,2)</f>
        <v>0</v>
      </c>
    </row>
    <row r="4535" spans="1:7" ht="24.36" thickBot="1" customHeight="1">
      <c r="A4535" s="24" t="s">
        <v>14151</v>
      </c>
      <c r="B4535" s="24" t="s">
        <v>14152</v>
      </c>
      <c r="C4535" s="24" t="s">
        <v>14153</v>
      </c>
      <c r="D4535" s="25" t="s">
        <v>14154</v>
      </c>
      <c r="E4535" s="28">
        <v>1.00000</v>
      </c>
      <c r="F4535" s="29">
        <f ca="1">ROUND(21.000,3)</f>
        <v>0</v>
      </c>
      <c r="G4535" s="27">
        <f ca="1">ROUND(E4535*F4535,2)</f>
        <v>0</v>
      </c>
    </row>
    <row r="4536" spans="1:7" ht="24.36" thickBot="1" customHeight="1">
      <c r="A4536" s="24" t="s">
        <v>14155</v>
      </c>
      <c r="B4536" s="24" t="s">
        <v>14156</v>
      </c>
      <c r="C4536" s="24" t="s">
        <v>14157</v>
      </c>
      <c r="D4536" s="25" t="s">
        <v>14158</v>
      </c>
      <c r="E4536" s="28">
        <v>1.00000</v>
      </c>
      <c r="F4536" s="29">
        <f ca="1">ROUND(19.000,3)</f>
        <v>0</v>
      </c>
      <c r="G4536" s="27">
        <f ca="1">ROUND(E4536*F4536,2)</f>
        <v>0</v>
      </c>
    </row>
    <row r="4537" spans="1:7" ht="24.36" thickBot="1" customHeight="1">
      <c r="A4537" s="24" t="s">
        <v>14159</v>
      </c>
      <c r="B4537" s="24" t="s">
        <v>14160</v>
      </c>
      <c r="C4537" s="24" t="s">
        <v>14161</v>
      </c>
      <c r="D4537" s="25" t="s">
        <v>14162</v>
      </c>
      <c r="E4537" s="28">
        <v>0.20000</v>
      </c>
      <c r="F4537" s="29">
        <f ca="1">ROUND(19.000,3)</f>
        <v>0</v>
      </c>
      <c r="G4537" s="27">
        <f ca="1">ROUND(E4537*F4537,2)</f>
        <v>0</v>
      </c>
    </row>
    <row r="4538" spans="1:7" ht="15.12" thickBot="1" customHeight="1">
      <c r="A4538" s="26"/>
      <c r="B4538" s="26"/>
      <c r="C4538" s="26"/>
      <c r="D4538" s="24" t="s">
        <v>14163</v>
      </c>
      <c r="E4538" s="28">
        <v>0.60000</v>
      </c>
      <c r="F4538" s="29">
        <f ca="1">ROUND((G4535+G4536+G4537),3)</f>
        <v>0</v>
      </c>
      <c r="G4538" s="27">
        <f ca="1">ROUND(E4538*F4538,2)</f>
        <v>0</v>
      </c>
    </row>
    <row r="4539" spans="1:7" ht="15.12" thickBot="1" customHeight="1">
      <c r="A4539" s="24" t="s">
        <v>14164</v>
      </c>
      <c r="B4539" s="24"/>
      <c r="C4539" s="24" t="s">
        <v>14165</v>
      </c>
      <c r="D4539" s="25" t="s">
        <v>14166</v>
      </c>
      <c r="E4539" s="28">
        <v>7.00000</v>
      </c>
      <c r="F4539" s="29">
        <f ca="1">ROUND(26.280,3)</f>
        <v>0</v>
      </c>
      <c r="G4539" s="27">
        <f ca="1">ROUND((E4539*F4539)/100,2)</f>
        <v>0</v>
      </c>
    </row>
    <row r="4540" spans="1:7" ht="15.48" thickBot="1" customHeight="1">
      <c r="A4540" s="30"/>
      <c r="B4540" s="30"/>
      <c r="C4540" s="30"/>
      <c r="D4540" s="31" t="s">
        <v>14167</v>
      </c>
      <c r="E4540" s="30"/>
      <c r="F4540" s="33">
        <f ca="1">ROUND((G4529+G4530+G4531+G4532+G4533+G4534+G4539)*(1+G2/100),2)</f>
        <v>0</v>
      </c>
      <c r="G4540" s="30"/>
    </row>
    <row r="4541" spans="1:7" ht="95.28" thickBot="1" customHeight="1">
      <c r="A4541" s="34" t="s">
        <v>14168</v>
      </c>
      <c r="B4541" s="35" t="s">
        <v>14169</v>
      </c>
      <c r="C4541" s="35" t="s">
        <v>14170</v>
      </c>
      <c r="D4541" s="36" t="s">
        <v>14171</v>
      </c>
      <c r="E4541" s="37"/>
      <c r="F4541" s="38">
        <f ca="1">F4554</f>
        <v>0</v>
      </c>
      <c r="G4541" s="37"/>
    </row>
    <row r="4542" spans="1:7" ht="30.60" thickBot="1" customHeight="1">
      <c r="A4542" s="26"/>
      <c r="B4542" s="26"/>
      <c r="C4542" s="26"/>
      <c r="D4542" s="25" t="s">
        <v>14172</v>
      </c>
      <c r="E4542" s="25"/>
      <c r="F4542" s="25"/>
      <c r="G4542" s="25"/>
    </row>
    <row r="4543" spans="1:7" ht="30.60" thickBot="1" customHeight="1">
      <c r="A4543" s="24" t="s">
        <v>14173</v>
      </c>
      <c r="B4543" s="24" t="s">
        <v>14174</v>
      </c>
      <c r="C4543" s="24" t="s">
        <v>14175</v>
      </c>
      <c r="D4543" s="25" t="s">
        <v>14176</v>
      </c>
      <c r="E4543" s="28">
        <v>0.02200</v>
      </c>
      <c r="F4543" s="29">
        <f ca="1">ROUND(27.500,3)</f>
        <v>0</v>
      </c>
      <c r="G4543" s="27">
        <f ca="1">ROUND(E4543*F4543,2)</f>
        <v>0</v>
      </c>
    </row>
    <row r="4544" spans="1:7" ht="49.08" thickBot="1" customHeight="1">
      <c r="A4544" s="24" t="s">
        <v>14177</v>
      </c>
      <c r="B4544" s="24" t="s">
        <v>14178</v>
      </c>
      <c r="C4544" s="24" t="s">
        <v>14179</v>
      </c>
      <c r="D4544" s="25" t="s">
        <v>14180</v>
      </c>
      <c r="E4544" s="28">
        <v>0.25000</v>
      </c>
      <c r="F4544" s="29">
        <f ca="1">ROUND(45.570,3)</f>
        <v>0</v>
      </c>
      <c r="G4544" s="27">
        <f ca="1">ROUND(E4544*F4544,2)</f>
        <v>0</v>
      </c>
    </row>
    <row r="4545" spans="1:7" ht="30.60" thickBot="1" customHeight="1">
      <c r="A4545" s="24" t="s">
        <v>14181</v>
      </c>
      <c r="B4545" s="24" t="s">
        <v>14182</v>
      </c>
      <c r="C4545" s="24" t="s">
        <v>14183</v>
      </c>
      <c r="D4545" s="25" t="s">
        <v>14184</v>
      </c>
      <c r="E4545" s="28">
        <v>1.13000</v>
      </c>
      <c r="F4545" s="29">
        <f ca="1">ROUND(22.450,3)</f>
        <v>0</v>
      </c>
      <c r="G4545" s="27">
        <f ca="1">ROUND(E4545*F4545,2)</f>
        <v>0</v>
      </c>
    </row>
    <row r="4546" spans="1:7" ht="39.84" thickBot="1" customHeight="1">
      <c r="A4546" s="24" t="s">
        <v>14185</v>
      </c>
      <c r="B4546" s="24" t="s">
        <v>14186</v>
      </c>
      <c r="C4546" s="24" t="s">
        <v>14187</v>
      </c>
      <c r="D4546" s="25" t="s">
        <v>14188</v>
      </c>
      <c r="E4546" s="28">
        <v>0.07000</v>
      </c>
      <c r="F4546" s="29">
        <f ca="1">ROUND(2.630,3)</f>
        <v>0</v>
      </c>
      <c r="G4546" s="27">
        <f ca="1">ROUND(E4546*F4546,2)</f>
        <v>0</v>
      </c>
    </row>
    <row r="4547" spans="1:7" ht="39.84" thickBot="1" customHeight="1">
      <c r="A4547" s="24" t="s">
        <v>14189</v>
      </c>
      <c r="B4547" s="24" t="s">
        <v>14190</v>
      </c>
      <c r="C4547" s="24" t="s">
        <v>14191</v>
      </c>
      <c r="D4547" s="25" t="s">
        <v>14192</v>
      </c>
      <c r="E4547" s="28">
        <v>0.44000</v>
      </c>
      <c r="F4547" s="29">
        <f ca="1">ROUND(4.050,3)</f>
        <v>0</v>
      </c>
      <c r="G4547" s="27">
        <f ca="1">ROUND(E4547*F4547,2)</f>
        <v>0</v>
      </c>
    </row>
    <row r="4548" spans="1:7" ht="21.36" thickBot="1" customHeight="1">
      <c r="A4548" s="24" t="s">
        <v>14193</v>
      </c>
      <c r="B4548" s="24" t="s">
        <v>14194</v>
      </c>
      <c r="C4548" s="24" t="s">
        <v>14195</v>
      </c>
      <c r="D4548" s="25" t="s">
        <v>14196</v>
      </c>
      <c r="E4548" s="28">
        <v>0.80000</v>
      </c>
      <c r="F4548" s="29">
        <f ca="1">F4552</f>
        <v>0</v>
      </c>
      <c r="G4548" s="27">
        <f ca="1">ROUND(E4548*F4548,2)</f>
        <v>0</v>
      </c>
    </row>
    <row r="4549" spans="1:7" ht="24.36" thickBot="1" customHeight="1">
      <c r="A4549" s="24" t="s">
        <v>14197</v>
      </c>
      <c r="B4549" s="24" t="s">
        <v>14198</v>
      </c>
      <c r="C4549" s="24" t="s">
        <v>14199</v>
      </c>
      <c r="D4549" s="25" t="s">
        <v>14200</v>
      </c>
      <c r="E4549" s="28">
        <v>1.00000</v>
      </c>
      <c r="F4549" s="29">
        <f ca="1">ROUND(21.000,3)</f>
        <v>0</v>
      </c>
      <c r="G4549" s="27">
        <f ca="1">ROUND(E4549*F4549,2)</f>
        <v>0</v>
      </c>
    </row>
    <row r="4550" spans="1:7" ht="24.36" thickBot="1" customHeight="1">
      <c r="A4550" s="24" t="s">
        <v>14201</v>
      </c>
      <c r="B4550" s="24" t="s">
        <v>14202</v>
      </c>
      <c r="C4550" s="24" t="s">
        <v>14203</v>
      </c>
      <c r="D4550" s="25" t="s">
        <v>14204</v>
      </c>
      <c r="E4550" s="28">
        <v>1.00000</v>
      </c>
      <c r="F4550" s="29">
        <f ca="1">ROUND(19.000,3)</f>
        <v>0</v>
      </c>
      <c r="G4550" s="27">
        <f ca="1">ROUND(E4550*F4550,2)</f>
        <v>0</v>
      </c>
    </row>
    <row r="4551" spans="1:7" ht="24.36" thickBot="1" customHeight="1">
      <c r="A4551" s="24" t="s">
        <v>14205</v>
      </c>
      <c r="B4551" s="24" t="s">
        <v>14206</v>
      </c>
      <c r="C4551" s="24" t="s">
        <v>14207</v>
      </c>
      <c r="D4551" s="25" t="s">
        <v>14208</v>
      </c>
      <c r="E4551" s="28">
        <v>0.20000</v>
      </c>
      <c r="F4551" s="29">
        <f ca="1">ROUND(19.000,3)</f>
        <v>0</v>
      </c>
      <c r="G4551" s="27">
        <f ca="1">ROUND(E4551*F4551,2)</f>
        <v>0</v>
      </c>
    </row>
    <row r="4552" spans="1:7" ht="15.12" thickBot="1" customHeight="1">
      <c r="A4552" s="26"/>
      <c r="B4552" s="26"/>
      <c r="C4552" s="26"/>
      <c r="D4552" s="24" t="s">
        <v>14209</v>
      </c>
      <c r="E4552" s="28">
        <v>0.80000</v>
      </c>
      <c r="F4552" s="29">
        <f ca="1">ROUND((G4549+G4550+G4551),3)</f>
        <v>0</v>
      </c>
      <c r="G4552" s="27">
        <f ca="1">ROUND(E4552*F4552,2)</f>
        <v>0</v>
      </c>
    </row>
    <row r="4553" spans="1:7" ht="15.12" thickBot="1" customHeight="1">
      <c r="A4553" s="24" t="s">
        <v>14210</v>
      </c>
      <c r="B4553" s="24"/>
      <c r="C4553" s="24" t="s">
        <v>14211</v>
      </c>
      <c r="D4553" s="25" t="s">
        <v>14212</v>
      </c>
      <c r="E4553" s="28">
        <v>7.00000</v>
      </c>
      <c r="F4553" s="29">
        <f ca="1">ROUND(35.040,3)</f>
        <v>0</v>
      </c>
      <c r="G4553" s="27">
        <f ca="1">ROUND((E4553*F4553)/100,2)</f>
        <v>0</v>
      </c>
    </row>
    <row r="4554" spans="1:7" ht="15.48" thickBot="1" customHeight="1">
      <c r="A4554" s="30"/>
      <c r="B4554" s="30"/>
      <c r="C4554" s="30"/>
      <c r="D4554" s="31" t="s">
        <v>14213</v>
      </c>
      <c r="E4554" s="30"/>
      <c r="F4554" s="33">
        <f ca="1">ROUND((G4543+G4544+G4545+G4546+G4547+G4548+G4553)*(1+G2/100),2)</f>
        <v>0</v>
      </c>
      <c r="G4554" s="30"/>
    </row>
    <row r="4555" spans="1:7" ht="58.32" thickBot="1" customHeight="1">
      <c r="A4555" s="34" t="s">
        <v>14214</v>
      </c>
      <c r="B4555" s="35" t="s">
        <v>14215</v>
      </c>
      <c r="C4555" s="35" t="s">
        <v>14216</v>
      </c>
      <c r="D4555" s="36" t="s">
        <v>14217</v>
      </c>
      <c r="E4555" s="37"/>
      <c r="F4555" s="38">
        <f ca="1">F4570</f>
        <v>0</v>
      </c>
      <c r="G4555" s="37"/>
    </row>
    <row r="4556" spans="1:7" ht="21.36" thickBot="1" customHeight="1">
      <c r="A4556" s="26"/>
      <c r="B4556" s="26"/>
      <c r="C4556" s="26"/>
      <c r="D4556" s="25" t="s">
        <v>14218</v>
      </c>
      <c r="E4556" s="25"/>
      <c r="F4556" s="25"/>
      <c r="G4556" s="25"/>
    </row>
    <row r="4557" spans="1:7" ht="39.84" thickBot="1" customHeight="1">
      <c r="A4557" s="24" t="s">
        <v>14219</v>
      </c>
      <c r="B4557" s="24" t="s">
        <v>14220</v>
      </c>
      <c r="C4557" s="24" t="s">
        <v>14221</v>
      </c>
      <c r="D4557" s="25" t="s">
        <v>14222</v>
      </c>
      <c r="E4557" s="28">
        <v>0.37800</v>
      </c>
      <c r="F4557" s="29">
        <f ca="1">ROUND(11.260,3)</f>
        <v>0</v>
      </c>
      <c r="G4557" s="27">
        <f ca="1">ROUND(E4557*F4557,2)</f>
        <v>0</v>
      </c>
    </row>
    <row r="4558" spans="1:7" ht="30.60" thickBot="1" customHeight="1">
      <c r="A4558" s="24" t="s">
        <v>14223</v>
      </c>
      <c r="B4558" s="24" t="s">
        <v>14224</v>
      </c>
      <c r="C4558" s="24" t="s">
        <v>14225</v>
      </c>
      <c r="D4558" s="25" t="s">
        <v>14226</v>
      </c>
      <c r="E4558" s="28">
        <v>0.02182</v>
      </c>
      <c r="F4558" s="29">
        <f ca="1">ROUND(75.520,3)</f>
        <v>0</v>
      </c>
      <c r="G4558" s="27">
        <f ca="1">ROUND(E4558*F4558,2)</f>
        <v>0</v>
      </c>
    </row>
    <row r="4559" spans="1:7" ht="30.60" thickBot="1" customHeight="1">
      <c r="A4559" s="24" t="s">
        <v>14227</v>
      </c>
      <c r="B4559" s="24" t="s">
        <v>14228</v>
      </c>
      <c r="C4559" s="24" t="s">
        <v>14229</v>
      </c>
      <c r="D4559" s="25" t="s">
        <v>14230</v>
      </c>
      <c r="E4559" s="28">
        <v>0.12000</v>
      </c>
      <c r="F4559" s="29">
        <f ca="1">ROUND(11.100,3)</f>
        <v>0</v>
      </c>
      <c r="G4559" s="27">
        <f ca="1">ROUND(E4559*F4559,2)</f>
        <v>0</v>
      </c>
    </row>
    <row r="4560" spans="1:7" ht="30.60" thickBot="1" customHeight="1">
      <c r="A4560" s="24" t="s">
        <v>14231</v>
      </c>
      <c r="B4560" s="24" t="s">
        <v>14232</v>
      </c>
      <c r="C4560" s="24" t="s">
        <v>14233</v>
      </c>
      <c r="D4560" s="25" t="s">
        <v>14234</v>
      </c>
      <c r="E4560" s="28">
        <v>0.24000</v>
      </c>
      <c r="F4560" s="29">
        <f ca="1">ROUND(2.800,3)</f>
        <v>0</v>
      </c>
      <c r="G4560" s="27">
        <f ca="1">ROUND(E4560*F4560,2)</f>
        <v>0</v>
      </c>
    </row>
    <row r="4561" spans="1:7" ht="39.84" thickBot="1" customHeight="1">
      <c r="A4561" s="24" t="s">
        <v>14235</v>
      </c>
      <c r="B4561" s="24" t="s">
        <v>14236</v>
      </c>
      <c r="C4561" s="24" t="s">
        <v>14237</v>
      </c>
      <c r="D4561" s="25" t="s">
        <v>14238</v>
      </c>
      <c r="E4561" s="28">
        <v>0.12370</v>
      </c>
      <c r="F4561" s="29">
        <f ca="1">ROUND(5.040,3)</f>
        <v>0</v>
      </c>
      <c r="G4561" s="27">
        <f ca="1">ROUND(E4561*F4561,2)</f>
        <v>0</v>
      </c>
    </row>
    <row r="4562" spans="1:7" ht="39.84" thickBot="1" customHeight="1">
      <c r="A4562" s="24" t="s">
        <v>14239</v>
      </c>
      <c r="B4562" s="24" t="s">
        <v>14240</v>
      </c>
      <c r="C4562" s="24" t="s">
        <v>14241</v>
      </c>
      <c r="D4562" s="25" t="s">
        <v>14242</v>
      </c>
      <c r="E4562" s="28">
        <v>0.11000</v>
      </c>
      <c r="F4562" s="29">
        <f ca="1">ROUND(133.310,3)</f>
        <v>0</v>
      </c>
      <c r="G4562" s="27">
        <f ca="1">ROUND(E4562*F4562,2)</f>
        <v>0</v>
      </c>
    </row>
    <row r="4563" spans="1:7" ht="39.84" thickBot="1" customHeight="1">
      <c r="A4563" s="24" t="s">
        <v>14243</v>
      </c>
      <c r="B4563" s="24" t="s">
        <v>14244</v>
      </c>
      <c r="C4563" s="24" t="s">
        <v>14245</v>
      </c>
      <c r="D4563" s="25" t="s">
        <v>14246</v>
      </c>
      <c r="E4563" s="28">
        <v>0.02200</v>
      </c>
      <c r="F4563" s="29">
        <f ca="1">ROUND(301.400,3)</f>
        <v>0</v>
      </c>
      <c r="G4563" s="27">
        <f ca="1">ROUND(E4563*F4563,2)</f>
        <v>0</v>
      </c>
    </row>
    <row r="4564" spans="1:7" ht="21.36" thickBot="1" customHeight="1">
      <c r="A4564" s="24" t="s">
        <v>14247</v>
      </c>
      <c r="B4564" s="24" t="s">
        <v>14248</v>
      </c>
      <c r="C4564" s="24" t="s">
        <v>14249</v>
      </c>
      <c r="D4564" s="25" t="s">
        <v>14250</v>
      </c>
      <c r="E4564" s="28">
        <v>0.80000</v>
      </c>
      <c r="F4564" s="29">
        <f ca="1">F4568</f>
        <v>0</v>
      </c>
      <c r="G4564" s="27">
        <f ca="1">ROUND(E4564*F4564,2)</f>
        <v>0</v>
      </c>
    </row>
    <row r="4565" spans="1:7" ht="24.36" thickBot="1" customHeight="1">
      <c r="A4565" s="24" t="s">
        <v>14251</v>
      </c>
      <c r="B4565" s="24" t="s">
        <v>14252</v>
      </c>
      <c r="C4565" s="24" t="s">
        <v>14253</v>
      </c>
      <c r="D4565" s="25" t="s">
        <v>14254</v>
      </c>
      <c r="E4565" s="28">
        <v>1.00000</v>
      </c>
      <c r="F4565" s="29">
        <f ca="1">ROUND(21.000,3)</f>
        <v>0</v>
      </c>
      <c r="G4565" s="27">
        <f ca="1">ROUND(E4565*F4565,2)</f>
        <v>0</v>
      </c>
    </row>
    <row r="4566" spans="1:7" ht="24.36" thickBot="1" customHeight="1">
      <c r="A4566" s="24" t="s">
        <v>14255</v>
      </c>
      <c r="B4566" s="24" t="s">
        <v>14256</v>
      </c>
      <c r="C4566" s="24" t="s">
        <v>14257</v>
      </c>
      <c r="D4566" s="25" t="s">
        <v>14258</v>
      </c>
      <c r="E4566" s="28">
        <v>1.00000</v>
      </c>
      <c r="F4566" s="29">
        <f ca="1">ROUND(19.000,3)</f>
        <v>0</v>
      </c>
      <c r="G4566" s="27">
        <f ca="1">ROUND(E4566*F4566,2)</f>
        <v>0</v>
      </c>
    </row>
    <row r="4567" spans="1:7" ht="24.36" thickBot="1" customHeight="1">
      <c r="A4567" s="24" t="s">
        <v>14259</v>
      </c>
      <c r="B4567" s="24" t="s">
        <v>14260</v>
      </c>
      <c r="C4567" s="24" t="s">
        <v>14261</v>
      </c>
      <c r="D4567" s="25" t="s">
        <v>14262</v>
      </c>
      <c r="E4567" s="28">
        <v>0.20000</v>
      </c>
      <c r="F4567" s="29">
        <f ca="1">ROUND(19.000,3)</f>
        <v>0</v>
      </c>
      <c r="G4567" s="27">
        <f ca="1">ROUND(E4567*F4567,2)</f>
        <v>0</v>
      </c>
    </row>
    <row r="4568" spans="1:7" ht="15.12" thickBot="1" customHeight="1">
      <c r="A4568" s="26"/>
      <c r="B4568" s="26"/>
      <c r="C4568" s="26"/>
      <c r="D4568" s="24" t="s">
        <v>14263</v>
      </c>
      <c r="E4568" s="28">
        <v>0.80000</v>
      </c>
      <c r="F4568" s="29">
        <f ca="1">ROUND((G4565+G4566+G4567),3)</f>
        <v>0</v>
      </c>
      <c r="G4568" s="27">
        <f ca="1">ROUND(E4568*F4568,2)</f>
        <v>0</v>
      </c>
    </row>
    <row r="4569" spans="1:7" ht="15.12" thickBot="1" customHeight="1">
      <c r="A4569" s="24" t="s">
        <v>14264</v>
      </c>
      <c r="B4569" s="24"/>
      <c r="C4569" s="24" t="s">
        <v>14265</v>
      </c>
      <c r="D4569" s="25" t="s">
        <v>14266</v>
      </c>
      <c r="E4569" s="28">
        <v>5.00000</v>
      </c>
      <c r="F4569" s="29">
        <f ca="1">ROUND(35.040,3)</f>
        <v>0</v>
      </c>
      <c r="G4569" s="27">
        <f ca="1">ROUND((E4569*F4569)/100,2)</f>
        <v>0</v>
      </c>
    </row>
    <row r="4570" spans="1:7" ht="15.48" thickBot="1" customHeight="1">
      <c r="A4570" s="30"/>
      <c r="B4570" s="30"/>
      <c r="C4570" s="30"/>
      <c r="D4570" s="31" t="s">
        <v>14267</v>
      </c>
      <c r="E4570" s="30"/>
      <c r="F4570" s="33">
        <f ca="1">ROUND((G4557+G4558+G4559+G4560+G4561+G4562+G4563+G4564+G4569)*(1+G2/100),2)</f>
        <v>0</v>
      </c>
      <c r="G4570" s="30"/>
    </row>
    <row r="4571" spans="1:7" ht="58.32" thickBot="1" customHeight="1">
      <c r="A4571" s="34" t="s">
        <v>14268</v>
      </c>
      <c r="B4571" s="35" t="s">
        <v>14269</v>
      </c>
      <c r="C4571" s="35" t="s">
        <v>14270</v>
      </c>
      <c r="D4571" s="36" t="s">
        <v>14271</v>
      </c>
      <c r="E4571" s="37"/>
      <c r="F4571" s="38">
        <f ca="1">F4586</f>
        <v>0</v>
      </c>
      <c r="G4571" s="37"/>
    </row>
    <row r="4572" spans="1:7" ht="21.36" thickBot="1" customHeight="1">
      <c r="A4572" s="26"/>
      <c r="B4572" s="26"/>
      <c r="C4572" s="26"/>
      <c r="D4572" s="25" t="s">
        <v>14272</v>
      </c>
      <c r="E4572" s="25"/>
      <c r="F4572" s="25"/>
      <c r="G4572" s="25"/>
    </row>
    <row r="4573" spans="1:7" ht="49.08" thickBot="1" customHeight="1">
      <c r="A4573" s="24" t="s">
        <v>14273</v>
      </c>
      <c r="B4573" s="24" t="s">
        <v>14274</v>
      </c>
      <c r="C4573" s="24" t="s">
        <v>14275</v>
      </c>
      <c r="D4573" s="25" t="s">
        <v>14276</v>
      </c>
      <c r="E4573" s="28">
        <v>0.20000</v>
      </c>
      <c r="F4573" s="29">
        <f ca="1">ROUND(151.460,3)</f>
        <v>0</v>
      </c>
      <c r="G4573" s="27">
        <f ca="1">ROUND(E4573*F4573,2)</f>
        <v>0</v>
      </c>
    </row>
    <row r="4574" spans="1:7" ht="30.60" thickBot="1" customHeight="1">
      <c r="A4574" s="24" t="s">
        <v>14277</v>
      </c>
      <c r="B4574" s="24" t="s">
        <v>14278</v>
      </c>
      <c r="C4574" s="24" t="s">
        <v>14279</v>
      </c>
      <c r="D4574" s="25" t="s">
        <v>14280</v>
      </c>
      <c r="E4574" s="28">
        <v>0.02182</v>
      </c>
      <c r="F4574" s="29">
        <f ca="1">ROUND(75.520,3)</f>
        <v>0</v>
      </c>
      <c r="G4574" s="27">
        <f ca="1">ROUND(E4574*F4574,2)</f>
        <v>0</v>
      </c>
    </row>
    <row r="4575" spans="1:7" ht="30.60" thickBot="1" customHeight="1">
      <c r="A4575" s="24" t="s">
        <v>14281</v>
      </c>
      <c r="B4575" s="24" t="s">
        <v>14282</v>
      </c>
      <c r="C4575" s="24" t="s">
        <v>14283</v>
      </c>
      <c r="D4575" s="25" t="s">
        <v>14284</v>
      </c>
      <c r="E4575" s="28">
        <v>0.12000</v>
      </c>
      <c r="F4575" s="29">
        <f ca="1">ROUND(11.100,3)</f>
        <v>0</v>
      </c>
      <c r="G4575" s="27">
        <f ca="1">ROUND(E4575*F4575,2)</f>
        <v>0</v>
      </c>
    </row>
    <row r="4576" spans="1:7" ht="30.60" thickBot="1" customHeight="1">
      <c r="A4576" s="24" t="s">
        <v>14285</v>
      </c>
      <c r="B4576" s="24" t="s">
        <v>14286</v>
      </c>
      <c r="C4576" s="24" t="s">
        <v>14287</v>
      </c>
      <c r="D4576" s="25" t="s">
        <v>14288</v>
      </c>
      <c r="E4576" s="28">
        <v>0.24000</v>
      </c>
      <c r="F4576" s="29">
        <f ca="1">ROUND(2.800,3)</f>
        <v>0</v>
      </c>
      <c r="G4576" s="27">
        <f ca="1">ROUND(E4576*F4576,2)</f>
        <v>0</v>
      </c>
    </row>
    <row r="4577" spans="1:7" ht="39.84" thickBot="1" customHeight="1">
      <c r="A4577" s="24" t="s">
        <v>14289</v>
      </c>
      <c r="B4577" s="24" t="s">
        <v>14290</v>
      </c>
      <c r="C4577" s="24" t="s">
        <v>14291</v>
      </c>
      <c r="D4577" s="25" t="s">
        <v>14292</v>
      </c>
      <c r="E4577" s="28">
        <v>0.12370</v>
      </c>
      <c r="F4577" s="29">
        <f ca="1">ROUND(5.040,3)</f>
        <v>0</v>
      </c>
      <c r="G4577" s="27">
        <f ca="1">ROUND(E4577*F4577,2)</f>
        <v>0</v>
      </c>
    </row>
    <row r="4578" spans="1:7" ht="39.84" thickBot="1" customHeight="1">
      <c r="A4578" s="24" t="s">
        <v>14293</v>
      </c>
      <c r="B4578" s="24" t="s">
        <v>14294</v>
      </c>
      <c r="C4578" s="24" t="s">
        <v>14295</v>
      </c>
      <c r="D4578" s="25" t="s">
        <v>14296</v>
      </c>
      <c r="E4578" s="28">
        <v>0.11000</v>
      </c>
      <c r="F4578" s="29">
        <f ca="1">ROUND(133.310,3)</f>
        <v>0</v>
      </c>
      <c r="G4578" s="27">
        <f ca="1">ROUND(E4578*F4578,2)</f>
        <v>0</v>
      </c>
    </row>
    <row r="4579" spans="1:7" ht="39.84" thickBot="1" customHeight="1">
      <c r="A4579" s="24" t="s">
        <v>14297</v>
      </c>
      <c r="B4579" s="24" t="s">
        <v>14298</v>
      </c>
      <c r="C4579" s="24" t="s">
        <v>14299</v>
      </c>
      <c r="D4579" s="25" t="s">
        <v>14300</v>
      </c>
      <c r="E4579" s="28">
        <v>0.02200</v>
      </c>
      <c r="F4579" s="29">
        <f ca="1">ROUND(301.400,3)</f>
        <v>0</v>
      </c>
      <c r="G4579" s="27">
        <f ca="1">ROUND(E4579*F4579,2)</f>
        <v>0</v>
      </c>
    </row>
    <row r="4580" spans="1:7" ht="21.36" thickBot="1" customHeight="1">
      <c r="A4580" s="24" t="s">
        <v>14301</v>
      </c>
      <c r="B4580" s="24" t="s">
        <v>14302</v>
      </c>
      <c r="C4580" s="24" t="s">
        <v>14303</v>
      </c>
      <c r="D4580" s="25" t="s">
        <v>14304</v>
      </c>
      <c r="E4580" s="28">
        <v>0.80000</v>
      </c>
      <c r="F4580" s="29">
        <f ca="1">F4584</f>
        <v>0</v>
      </c>
      <c r="G4580" s="27">
        <f ca="1">ROUND(E4580*F4580,2)</f>
        <v>0</v>
      </c>
    </row>
    <row r="4581" spans="1:7" ht="24.36" thickBot="1" customHeight="1">
      <c r="A4581" s="24" t="s">
        <v>14305</v>
      </c>
      <c r="B4581" s="24" t="s">
        <v>14306</v>
      </c>
      <c r="C4581" s="24" t="s">
        <v>14307</v>
      </c>
      <c r="D4581" s="25" t="s">
        <v>14308</v>
      </c>
      <c r="E4581" s="28">
        <v>1.00000</v>
      </c>
      <c r="F4581" s="29">
        <f ca="1">ROUND(21.000,3)</f>
        <v>0</v>
      </c>
      <c r="G4581" s="27">
        <f ca="1">ROUND(E4581*F4581,2)</f>
        <v>0</v>
      </c>
    </row>
    <row r="4582" spans="1:7" ht="24.36" thickBot="1" customHeight="1">
      <c r="A4582" s="24" t="s">
        <v>14309</v>
      </c>
      <c r="B4582" s="24" t="s">
        <v>14310</v>
      </c>
      <c r="C4582" s="24" t="s">
        <v>14311</v>
      </c>
      <c r="D4582" s="25" t="s">
        <v>14312</v>
      </c>
      <c r="E4582" s="28">
        <v>1.00000</v>
      </c>
      <c r="F4582" s="29">
        <f ca="1">ROUND(19.000,3)</f>
        <v>0</v>
      </c>
      <c r="G4582" s="27">
        <f ca="1">ROUND(E4582*F4582,2)</f>
        <v>0</v>
      </c>
    </row>
    <row r="4583" spans="1:7" ht="24.36" thickBot="1" customHeight="1">
      <c r="A4583" s="24" t="s">
        <v>14313</v>
      </c>
      <c r="B4583" s="24" t="s">
        <v>14314</v>
      </c>
      <c r="C4583" s="24" t="s">
        <v>14315</v>
      </c>
      <c r="D4583" s="25" t="s">
        <v>14316</v>
      </c>
      <c r="E4583" s="28">
        <v>0.20000</v>
      </c>
      <c r="F4583" s="29">
        <f ca="1">ROUND(19.000,3)</f>
        <v>0</v>
      </c>
      <c r="G4583" s="27">
        <f ca="1">ROUND(E4583*F4583,2)</f>
        <v>0</v>
      </c>
    </row>
    <row r="4584" spans="1:7" ht="15.12" thickBot="1" customHeight="1">
      <c r="A4584" s="26"/>
      <c r="B4584" s="26"/>
      <c r="C4584" s="26"/>
      <c r="D4584" s="24" t="s">
        <v>14317</v>
      </c>
      <c r="E4584" s="28">
        <v>0.80000</v>
      </c>
      <c r="F4584" s="29">
        <f ca="1">ROUND((G4581+G4582+G4583),3)</f>
        <v>0</v>
      </c>
      <c r="G4584" s="27">
        <f ca="1">ROUND(E4584*F4584,2)</f>
        <v>0</v>
      </c>
    </row>
    <row r="4585" spans="1:7" ht="15.12" thickBot="1" customHeight="1">
      <c r="A4585" s="24" t="s">
        <v>14318</v>
      </c>
      <c r="B4585" s="24"/>
      <c r="C4585" s="24" t="s">
        <v>14319</v>
      </c>
      <c r="D4585" s="25" t="s">
        <v>14320</v>
      </c>
      <c r="E4585" s="28">
        <v>5.00000</v>
      </c>
      <c r="F4585" s="29">
        <f ca="1">ROUND(35.040,3)</f>
        <v>0</v>
      </c>
      <c r="G4585" s="27">
        <f ca="1">ROUND((E4585*F4585)/100,2)</f>
        <v>0</v>
      </c>
    </row>
    <row r="4586" spans="1:7" ht="25.08" thickBot="1" customHeight="1">
      <c r="A4586" s="30"/>
      <c r="B4586" s="30"/>
      <c r="C4586" s="30"/>
      <c r="D4586" s="31" t="s">
        <v>14321</v>
      </c>
      <c r="E4586" s="30"/>
      <c r="F4586" s="33">
        <f ca="1">ROUND((G4573+G4574+G4575+G4576+G4577+G4578+G4579+G4580+G4585)*(1+G2/100),2)</f>
        <v>0</v>
      </c>
      <c r="G4586" s="30"/>
    </row>
    <row r="4587" spans="1:7" ht="25.08" thickBot="1" customHeight="1">
      <c r="A4587" s="42" t="s">
        <v>14322</v>
      </c>
      <c r="B4587" s="42" t="s">
        <v>14323</v>
      </c>
      <c r="C4587" s="43"/>
      <c r="D4587" s="44" t="s">
        <v>14324</v>
      </c>
      <c r="E4587" s="43"/>
      <c r="F4587" s="43"/>
      <c r="G4587" s="43"/>
    </row>
    <row r="4588" spans="1:7" ht="25.08" thickBot="1" customHeight="1">
      <c r="A4588" s="45" t="s">
        <v>14325</v>
      </c>
      <c r="B4588" s="45" t="s">
        <v>14326</v>
      </c>
      <c r="C4588" s="46"/>
      <c r="D4588" s="47" t="s">
        <v>14327</v>
      </c>
      <c r="E4588" s="46"/>
      <c r="F4588" s="46"/>
      <c r="G4588" s="46"/>
    </row>
    <row r="4589" spans="1:7" ht="39.84" thickBot="1" customHeight="1">
      <c r="A4589" s="10" t="s">
        <v>14328</v>
      </c>
      <c r="B4589" s="24" t="s">
        <v>14329</v>
      </c>
      <c r="C4589" s="24" t="s">
        <v>14330</v>
      </c>
      <c r="D4589" s="25" t="s">
        <v>14331</v>
      </c>
      <c r="E4589" s="26"/>
      <c r="F4589" s="27">
        <f ca="1">F4601</f>
        <v>0</v>
      </c>
      <c r="G4589" s="26"/>
    </row>
    <row r="4590" spans="1:7" ht="21.36" thickBot="1" customHeight="1">
      <c r="A4590" s="26"/>
      <c r="B4590" s="26"/>
      <c r="C4590" s="26"/>
      <c r="D4590" s="25" t="s">
        <v>14332</v>
      </c>
      <c r="E4590" s="25"/>
      <c r="F4590" s="25"/>
      <c r="G4590" s="25"/>
    </row>
    <row r="4591" spans="1:7" ht="21.36" thickBot="1" customHeight="1">
      <c r="A4591" s="24" t="s">
        <v>14333</v>
      </c>
      <c r="B4591" s="24" t="s">
        <v>14334</v>
      </c>
      <c r="C4591" s="24" t="s">
        <v>14335</v>
      </c>
      <c r="D4591" s="25" t="s">
        <v>14336</v>
      </c>
      <c r="E4591" s="28">
        <v>69.30000</v>
      </c>
      <c r="F4591" s="29">
        <f ca="1">ROUND(0.660,3)</f>
        <v>0</v>
      </c>
      <c r="G4591" s="27">
        <f ca="1">ROUND(E4591*F4591,2)</f>
        <v>0</v>
      </c>
    </row>
    <row r="4592" spans="1:7" ht="58.32" thickBot="1" customHeight="1">
      <c r="A4592" s="24" t="s">
        <v>14337</v>
      </c>
      <c r="B4592" s="24" t="s">
        <v>14338</v>
      </c>
      <c r="C4592" s="24" t="s">
        <v>14339</v>
      </c>
      <c r="D4592" s="25" t="s">
        <v>14340</v>
      </c>
      <c r="E4592" s="28">
        <v>0.05000</v>
      </c>
      <c r="F4592" s="29">
        <f ca="1">ROUND(123.140,3)</f>
        <v>0</v>
      </c>
      <c r="G4592" s="27">
        <f ca="1">ROUND(E4592*F4592,2)</f>
        <v>0</v>
      </c>
    </row>
    <row r="4593" spans="1:7" ht="39.84" thickBot="1" customHeight="1">
      <c r="A4593" s="24" t="s">
        <v>14341</v>
      </c>
      <c r="B4593" s="24" t="s">
        <v>14342</v>
      </c>
      <c r="C4593" s="24" t="s">
        <v>14343</v>
      </c>
      <c r="D4593" s="25" t="s">
        <v>14344</v>
      </c>
      <c r="E4593" s="28">
        <v>1.00000</v>
      </c>
      <c r="F4593" s="29">
        <f ca="1">ROUND(24.840,3)</f>
        <v>0</v>
      </c>
      <c r="G4593" s="27">
        <f ca="1">ROUND(E4593*F4593,2)</f>
        <v>0</v>
      </c>
    </row>
    <row r="4594" spans="1:7" ht="30.60" thickBot="1" customHeight="1">
      <c r="A4594" s="24" t="s">
        <v>14345</v>
      </c>
      <c r="B4594" s="24" t="s">
        <v>14346</v>
      </c>
      <c r="C4594" s="24" t="s">
        <v>14347</v>
      </c>
      <c r="D4594" s="25" t="s">
        <v>14348</v>
      </c>
      <c r="E4594" s="28">
        <v>0.02200</v>
      </c>
      <c r="F4594" s="29">
        <f ca="1">ROUND(30.510,3)</f>
        <v>0</v>
      </c>
      <c r="G4594" s="27">
        <f ca="1">ROUND(E4594*F4594,2)</f>
        <v>0</v>
      </c>
    </row>
    <row r="4595" spans="1:7" ht="21.36" thickBot="1" customHeight="1">
      <c r="A4595" s="24" t="s">
        <v>14349</v>
      </c>
      <c r="B4595" s="24" t="s">
        <v>14350</v>
      </c>
      <c r="C4595" s="24" t="s">
        <v>14351</v>
      </c>
      <c r="D4595" s="25" t="s">
        <v>14352</v>
      </c>
      <c r="E4595" s="28">
        <v>0.32000</v>
      </c>
      <c r="F4595" s="29">
        <f ca="1">F4599</f>
        <v>0</v>
      </c>
      <c r="G4595" s="27">
        <f ca="1">ROUND(E4595*F4595,2)</f>
        <v>0</v>
      </c>
    </row>
    <row r="4596" spans="1:7" ht="24.36" thickBot="1" customHeight="1">
      <c r="A4596" s="24" t="s">
        <v>14353</v>
      </c>
      <c r="B4596" s="24" t="s">
        <v>14354</v>
      </c>
      <c r="C4596" s="24" t="s">
        <v>14355</v>
      </c>
      <c r="D4596" s="25" t="s">
        <v>14356</v>
      </c>
      <c r="E4596" s="28">
        <v>1.00000</v>
      </c>
      <c r="F4596" s="29">
        <f ca="1">ROUND(21.000,3)</f>
        <v>0</v>
      </c>
      <c r="G4596" s="27">
        <f ca="1">ROUND(E4596*F4596,2)</f>
        <v>0</v>
      </c>
    </row>
    <row r="4597" spans="1:7" ht="24.36" thickBot="1" customHeight="1">
      <c r="A4597" s="24" t="s">
        <v>14357</v>
      </c>
      <c r="B4597" s="24" t="s">
        <v>14358</v>
      </c>
      <c r="C4597" s="24" t="s">
        <v>14359</v>
      </c>
      <c r="D4597" s="25" t="s">
        <v>14360</v>
      </c>
      <c r="E4597" s="28">
        <v>1.00000</v>
      </c>
      <c r="F4597" s="29">
        <f ca="1">ROUND(19.000,3)</f>
        <v>0</v>
      </c>
      <c r="G4597" s="27">
        <f ca="1">ROUND(E4597*F4597,2)</f>
        <v>0</v>
      </c>
    </row>
    <row r="4598" spans="1:7" ht="24.36" thickBot="1" customHeight="1">
      <c r="A4598" s="24" t="s">
        <v>14361</v>
      </c>
      <c r="B4598" s="24" t="s">
        <v>14362</v>
      </c>
      <c r="C4598" s="24" t="s">
        <v>14363</v>
      </c>
      <c r="D4598" s="25" t="s">
        <v>14364</v>
      </c>
      <c r="E4598" s="28">
        <v>0.20000</v>
      </c>
      <c r="F4598" s="29">
        <f ca="1">ROUND(19.000,3)</f>
        <v>0</v>
      </c>
      <c r="G4598" s="27">
        <f ca="1">ROUND(E4598*F4598,2)</f>
        <v>0</v>
      </c>
    </row>
    <row r="4599" spans="1:7" ht="15.12" thickBot="1" customHeight="1">
      <c r="A4599" s="26"/>
      <c r="B4599" s="26"/>
      <c r="C4599" s="26"/>
      <c r="D4599" s="24" t="s">
        <v>14365</v>
      </c>
      <c r="E4599" s="28">
        <v>0.32000</v>
      </c>
      <c r="F4599" s="29">
        <f ca="1">ROUND((G4596+G4597+G4598),3)</f>
        <v>0</v>
      </c>
      <c r="G4599" s="27">
        <f ca="1">ROUND(E4599*F4599,2)</f>
        <v>0</v>
      </c>
    </row>
    <row r="4600" spans="1:7" ht="15.12" thickBot="1" customHeight="1">
      <c r="A4600" s="24" t="s">
        <v>14366</v>
      </c>
      <c r="B4600" s="24"/>
      <c r="C4600" s="24" t="s">
        <v>14367</v>
      </c>
      <c r="D4600" s="25" t="s">
        <v>14368</v>
      </c>
      <c r="E4600" s="28">
        <v>5.00000</v>
      </c>
      <c r="F4600" s="29">
        <f ca="1">ROUND(14.020,3)</f>
        <v>0</v>
      </c>
      <c r="G4600" s="27">
        <f ca="1">ROUND((E4600*F4600)/100,2)</f>
        <v>0</v>
      </c>
    </row>
    <row r="4601" spans="1:7" ht="25.08" thickBot="1" customHeight="1">
      <c r="A4601" s="30"/>
      <c r="B4601" s="30"/>
      <c r="C4601" s="30"/>
      <c r="D4601" s="31" t="s">
        <v>14369</v>
      </c>
      <c r="E4601" s="30"/>
      <c r="F4601" s="33">
        <f ca="1">ROUND((G4591+G4592+G4593+G4594+G4595+G4600)*(1+G2/100),2)</f>
        <v>0</v>
      </c>
      <c r="G4601" s="30"/>
    </row>
    <row r="4602" spans="1:7" ht="30.60" thickBot="1" customHeight="1">
      <c r="A4602" s="34" t="s">
        <v>14370</v>
      </c>
      <c r="B4602" s="35" t="s">
        <v>14371</v>
      </c>
      <c r="C4602" s="35" t="s">
        <v>14372</v>
      </c>
      <c r="D4602" s="36" t="s">
        <v>14373</v>
      </c>
      <c r="E4602" s="37"/>
      <c r="F4602" s="38">
        <f ca="1">F4614</f>
        <v>0</v>
      </c>
      <c r="G4602" s="37"/>
    </row>
    <row r="4603" spans="1:7" ht="21.36" thickBot="1" customHeight="1">
      <c r="A4603" s="26"/>
      <c r="B4603" s="26"/>
      <c r="C4603" s="26"/>
      <c r="D4603" s="25" t="s">
        <v>14374</v>
      </c>
      <c r="E4603" s="25"/>
      <c r="F4603" s="25"/>
      <c r="G4603" s="25"/>
    </row>
    <row r="4604" spans="1:7" ht="21.36" thickBot="1" customHeight="1">
      <c r="A4604" s="24" t="s">
        <v>14375</v>
      </c>
      <c r="B4604" s="24" t="s">
        <v>14376</v>
      </c>
      <c r="C4604" s="24" t="s">
        <v>14377</v>
      </c>
      <c r="D4604" s="25" t="s">
        <v>14378</v>
      </c>
      <c r="E4604" s="28">
        <v>66.89000</v>
      </c>
      <c r="F4604" s="29">
        <f ca="1">ROUND(0.660,3)</f>
        <v>0</v>
      </c>
      <c r="G4604" s="27">
        <f ca="1">ROUND(E4604*F4604,2)</f>
        <v>0</v>
      </c>
    </row>
    <row r="4605" spans="1:7" ht="58.32" thickBot="1" customHeight="1">
      <c r="A4605" s="24" t="s">
        <v>14379</v>
      </c>
      <c r="B4605" s="24" t="s">
        <v>14380</v>
      </c>
      <c r="C4605" s="24" t="s">
        <v>14381</v>
      </c>
      <c r="D4605" s="25" t="s">
        <v>14382</v>
      </c>
      <c r="E4605" s="28">
        <v>0.05000</v>
      </c>
      <c r="F4605" s="29">
        <f ca="1">ROUND(123.140,3)</f>
        <v>0</v>
      </c>
      <c r="G4605" s="27">
        <f ca="1">ROUND(E4605*F4605,2)</f>
        <v>0</v>
      </c>
    </row>
    <row r="4606" spans="1:7" ht="39.84" thickBot="1" customHeight="1">
      <c r="A4606" s="24" t="s">
        <v>14383</v>
      </c>
      <c r="B4606" s="24" t="s">
        <v>14384</v>
      </c>
      <c r="C4606" s="24" t="s">
        <v>14385</v>
      </c>
      <c r="D4606" s="25" t="s">
        <v>14386</v>
      </c>
      <c r="E4606" s="28">
        <v>1.00000</v>
      </c>
      <c r="F4606" s="29">
        <f ca="1">ROUND(24.840,3)</f>
        <v>0</v>
      </c>
      <c r="G4606" s="27">
        <f ca="1">ROUND(E4606*F4606,2)</f>
        <v>0</v>
      </c>
    </row>
    <row r="4607" spans="1:7" ht="30.60" thickBot="1" customHeight="1">
      <c r="A4607" s="24" t="s">
        <v>14387</v>
      </c>
      <c r="B4607" s="24" t="s">
        <v>14388</v>
      </c>
      <c r="C4607" s="24" t="s">
        <v>14389</v>
      </c>
      <c r="D4607" s="25" t="s">
        <v>14390</v>
      </c>
      <c r="E4607" s="28">
        <v>0.02200</v>
      </c>
      <c r="F4607" s="29">
        <f ca="1">ROUND(30.510,3)</f>
        <v>0</v>
      </c>
      <c r="G4607" s="27">
        <f ca="1">ROUND(E4607*F4607,2)</f>
        <v>0</v>
      </c>
    </row>
    <row r="4608" spans="1:7" ht="21.36" thickBot="1" customHeight="1">
      <c r="A4608" s="24" t="s">
        <v>14391</v>
      </c>
      <c r="B4608" s="24" t="s">
        <v>14392</v>
      </c>
      <c r="C4608" s="24" t="s">
        <v>14393</v>
      </c>
      <c r="D4608" s="25" t="s">
        <v>14394</v>
      </c>
      <c r="E4608" s="28">
        <v>0.45000</v>
      </c>
      <c r="F4608" s="29">
        <f ca="1">F4612</f>
        <v>0</v>
      </c>
      <c r="G4608" s="27">
        <f ca="1">ROUND(E4608*F4608,2)</f>
        <v>0</v>
      </c>
    </row>
    <row r="4609" spans="1:7" ht="24.36" thickBot="1" customHeight="1">
      <c r="A4609" s="24" t="s">
        <v>14395</v>
      </c>
      <c r="B4609" s="24" t="s">
        <v>14396</v>
      </c>
      <c r="C4609" s="24" t="s">
        <v>14397</v>
      </c>
      <c r="D4609" s="25" t="s">
        <v>14398</v>
      </c>
      <c r="E4609" s="28">
        <v>1.00000</v>
      </c>
      <c r="F4609" s="29">
        <f ca="1">ROUND(21.000,3)</f>
        <v>0</v>
      </c>
      <c r="G4609" s="27">
        <f ca="1">ROUND(E4609*F4609,2)</f>
        <v>0</v>
      </c>
    </row>
    <row r="4610" spans="1:7" ht="24.36" thickBot="1" customHeight="1">
      <c r="A4610" s="24" t="s">
        <v>14399</v>
      </c>
      <c r="B4610" s="24" t="s">
        <v>14400</v>
      </c>
      <c r="C4610" s="24" t="s">
        <v>14401</v>
      </c>
      <c r="D4610" s="25" t="s">
        <v>14402</v>
      </c>
      <c r="E4610" s="28">
        <v>1.00000</v>
      </c>
      <c r="F4610" s="29">
        <f ca="1">ROUND(19.000,3)</f>
        <v>0</v>
      </c>
      <c r="G4610" s="27">
        <f ca="1">ROUND(E4610*F4610,2)</f>
        <v>0</v>
      </c>
    </row>
    <row r="4611" spans="1:7" ht="24.36" thickBot="1" customHeight="1">
      <c r="A4611" s="24" t="s">
        <v>14403</v>
      </c>
      <c r="B4611" s="24" t="s">
        <v>14404</v>
      </c>
      <c r="C4611" s="24" t="s">
        <v>14405</v>
      </c>
      <c r="D4611" s="25" t="s">
        <v>14406</v>
      </c>
      <c r="E4611" s="28">
        <v>0.20000</v>
      </c>
      <c r="F4611" s="29">
        <f ca="1">ROUND(19.000,3)</f>
        <v>0</v>
      </c>
      <c r="G4611" s="27">
        <f ca="1">ROUND(E4611*F4611,2)</f>
        <v>0</v>
      </c>
    </row>
    <row r="4612" spans="1:7" ht="15.12" thickBot="1" customHeight="1">
      <c r="A4612" s="26"/>
      <c r="B4612" s="26"/>
      <c r="C4612" s="26"/>
      <c r="D4612" s="24" t="s">
        <v>14407</v>
      </c>
      <c r="E4612" s="28">
        <v>0.45000</v>
      </c>
      <c r="F4612" s="29">
        <f ca="1">ROUND((G4609+G4610+G4611),3)</f>
        <v>0</v>
      </c>
      <c r="G4612" s="27">
        <f ca="1">ROUND(E4612*F4612,2)</f>
        <v>0</v>
      </c>
    </row>
    <row r="4613" spans="1:7" ht="15.12" thickBot="1" customHeight="1">
      <c r="A4613" s="24" t="s">
        <v>14408</v>
      </c>
      <c r="B4613" s="24"/>
      <c r="C4613" s="24" t="s">
        <v>14409</v>
      </c>
      <c r="D4613" s="25" t="s">
        <v>14410</v>
      </c>
      <c r="E4613" s="28">
        <v>3.00000</v>
      </c>
      <c r="F4613" s="29">
        <f ca="1">ROUND(19.710,3)</f>
        <v>0</v>
      </c>
      <c r="G4613" s="27">
        <f ca="1">ROUND((E4613*F4613)/100,2)</f>
        <v>0</v>
      </c>
    </row>
    <row r="4614" spans="1:7" ht="15.48" thickBot="1" customHeight="1">
      <c r="A4614" s="30"/>
      <c r="B4614" s="30"/>
      <c r="C4614" s="30"/>
      <c r="D4614" s="31" t="s">
        <v>14411</v>
      </c>
      <c r="E4614" s="30"/>
      <c r="F4614" s="33">
        <f ca="1">ROUND((G4604+G4605+G4606+G4607+G4608+G4613)*(1+G2/100),2)</f>
        <v>0</v>
      </c>
      <c r="G4614" s="30"/>
    </row>
    <row r="4615" spans="1:7" ht="15.48" thickBot="1" customHeight="1">
      <c r="A4615" s="39"/>
      <c r="B4615" s="39"/>
      <c r="C4615" s="39"/>
      <c r="D4615" s="48" t="s">
        <v>14412</v>
      </c>
      <c r="E4615" s="49"/>
      <c r="F4615" s="49"/>
      <c r="G4615" s="49"/>
    </row>
    <row r="4616" spans="1:7" ht="25.08" thickBot="1" customHeight="1">
      <c r="A4616" s="66" t="s">
        <v>14413</v>
      </c>
      <c r="B4616" s="66" t="s">
        <v>14414</v>
      </c>
      <c r="C4616" s="67"/>
      <c r="D4616" s="68" t="s">
        <v>14415</v>
      </c>
      <c r="E4616" s="67"/>
      <c r="F4616" s="67"/>
      <c r="G4616" s="67"/>
    </row>
    <row r="4617" spans="1:7" ht="49.08" thickBot="1" customHeight="1">
      <c r="A4617" s="10" t="s">
        <v>14416</v>
      </c>
      <c r="B4617" s="24" t="s">
        <v>14417</v>
      </c>
      <c r="C4617" s="24" t="s">
        <v>14418</v>
      </c>
      <c r="D4617" s="25" t="s">
        <v>14419</v>
      </c>
      <c r="E4617" s="26"/>
      <c r="F4617" s="27">
        <f ca="1">F4629</f>
        <v>0</v>
      </c>
      <c r="G4617" s="26"/>
    </row>
    <row r="4618" spans="1:7" ht="21.36" thickBot="1" customHeight="1">
      <c r="A4618" s="26"/>
      <c r="B4618" s="26"/>
      <c r="C4618" s="26"/>
      <c r="D4618" s="25" t="s">
        <v>14420</v>
      </c>
      <c r="E4618" s="25"/>
      <c r="F4618" s="25"/>
      <c r="G4618" s="25"/>
    </row>
    <row r="4619" spans="1:7" ht="30.60" thickBot="1" customHeight="1">
      <c r="A4619" s="24" t="s">
        <v>14421</v>
      </c>
      <c r="B4619" s="24" t="s">
        <v>14422</v>
      </c>
      <c r="C4619" s="24" t="s">
        <v>14423</v>
      </c>
      <c r="D4619" s="25" t="s">
        <v>14424</v>
      </c>
      <c r="E4619" s="28">
        <v>0.06667</v>
      </c>
      <c r="F4619" s="29">
        <f ca="1">ROUND(29.170,3)</f>
        <v>0</v>
      </c>
      <c r="G4619" s="27">
        <f ca="1">ROUND(E4619*F4619,2)</f>
        <v>0</v>
      </c>
    </row>
    <row r="4620" spans="1:7" ht="49.08" thickBot="1" customHeight="1">
      <c r="A4620" s="24" t="s">
        <v>14425</v>
      </c>
      <c r="B4620" s="24" t="s">
        <v>14426</v>
      </c>
      <c r="C4620" s="24" t="s">
        <v>14427</v>
      </c>
      <c r="D4620" s="25" t="s">
        <v>14428</v>
      </c>
      <c r="E4620" s="28">
        <v>0.23100</v>
      </c>
      <c r="F4620" s="29">
        <f ca="1">ROUND(33.200,3)</f>
        <v>0</v>
      </c>
      <c r="G4620" s="27">
        <f ca="1">ROUND(E4620*F4620,2)</f>
        <v>0</v>
      </c>
    </row>
    <row r="4621" spans="1:7" ht="39.84" thickBot="1" customHeight="1">
      <c r="A4621" s="24" t="s">
        <v>14429</v>
      </c>
      <c r="B4621" s="24" t="s">
        <v>14430</v>
      </c>
      <c r="C4621" s="24" t="s">
        <v>14431</v>
      </c>
      <c r="D4621" s="25" t="s">
        <v>14432</v>
      </c>
      <c r="E4621" s="28">
        <v>1.10000</v>
      </c>
      <c r="F4621" s="29">
        <f ca="1">ROUND(40.950,3)</f>
        <v>0</v>
      </c>
      <c r="G4621" s="27">
        <f ca="1">ROUND(E4621*F4621,2)</f>
        <v>0</v>
      </c>
    </row>
    <row r="4622" spans="1:7" ht="30.60" thickBot="1" customHeight="1">
      <c r="A4622" s="24" t="s">
        <v>14433</v>
      </c>
      <c r="B4622" s="24" t="s">
        <v>14434</v>
      </c>
      <c r="C4622" s="24" t="s">
        <v>14435</v>
      </c>
      <c r="D4622" s="25" t="s">
        <v>14436</v>
      </c>
      <c r="E4622" s="28">
        <v>0.20000</v>
      </c>
      <c r="F4622" s="29">
        <f ca="1">ROUND(11.740,3)</f>
        <v>0</v>
      </c>
      <c r="G4622" s="27">
        <f ca="1">ROUND(E4622*F4622,2)</f>
        <v>0</v>
      </c>
    </row>
    <row r="4623" spans="1:7" ht="21.36" thickBot="1" customHeight="1">
      <c r="A4623" s="24" t="s">
        <v>14437</v>
      </c>
      <c r="B4623" s="24" t="s">
        <v>14438</v>
      </c>
      <c r="C4623" s="24" t="s">
        <v>14439</v>
      </c>
      <c r="D4623" s="25" t="s">
        <v>14440</v>
      </c>
      <c r="E4623" s="28">
        <v>0.32000</v>
      </c>
      <c r="F4623" s="29">
        <f ca="1">F4627</f>
        <v>0</v>
      </c>
      <c r="G4623" s="27">
        <f ca="1">ROUND(E4623*F4623,2)</f>
        <v>0</v>
      </c>
    </row>
    <row r="4624" spans="1:7" ht="24.36" thickBot="1" customHeight="1">
      <c r="A4624" s="24" t="s">
        <v>14441</v>
      </c>
      <c r="B4624" s="24" t="s">
        <v>14442</v>
      </c>
      <c r="C4624" s="24" t="s">
        <v>14443</v>
      </c>
      <c r="D4624" s="25" t="s">
        <v>14444</v>
      </c>
      <c r="E4624" s="28">
        <v>1.00000</v>
      </c>
      <c r="F4624" s="29">
        <f ca="1">ROUND(21.000,3)</f>
        <v>0</v>
      </c>
      <c r="G4624" s="27">
        <f ca="1">ROUND(E4624*F4624,2)</f>
        <v>0</v>
      </c>
    </row>
    <row r="4625" spans="1:7" ht="24.36" thickBot="1" customHeight="1">
      <c r="A4625" s="24" t="s">
        <v>14445</v>
      </c>
      <c r="B4625" s="24" t="s">
        <v>14446</v>
      </c>
      <c r="C4625" s="24" t="s">
        <v>14447</v>
      </c>
      <c r="D4625" s="25" t="s">
        <v>14448</v>
      </c>
      <c r="E4625" s="28">
        <v>1.00000</v>
      </c>
      <c r="F4625" s="29">
        <f ca="1">ROUND(19.000,3)</f>
        <v>0</v>
      </c>
      <c r="G4625" s="27">
        <f ca="1">ROUND(E4625*F4625,2)</f>
        <v>0</v>
      </c>
    </row>
    <row r="4626" spans="1:7" ht="24.36" thickBot="1" customHeight="1">
      <c r="A4626" s="24" t="s">
        <v>14449</v>
      </c>
      <c r="B4626" s="24" t="s">
        <v>14450</v>
      </c>
      <c r="C4626" s="24" t="s">
        <v>14451</v>
      </c>
      <c r="D4626" s="25" t="s">
        <v>14452</v>
      </c>
      <c r="E4626" s="28">
        <v>0.20000</v>
      </c>
      <c r="F4626" s="29">
        <f ca="1">ROUND(19.000,3)</f>
        <v>0</v>
      </c>
      <c r="G4626" s="27">
        <f ca="1">ROUND(E4626*F4626,2)</f>
        <v>0</v>
      </c>
    </row>
    <row r="4627" spans="1:7" ht="15.12" thickBot="1" customHeight="1">
      <c r="A4627" s="26"/>
      <c r="B4627" s="26"/>
      <c r="C4627" s="26"/>
      <c r="D4627" s="24" t="s">
        <v>14453</v>
      </c>
      <c r="E4627" s="28">
        <v>0.32000</v>
      </c>
      <c r="F4627" s="29">
        <f ca="1">ROUND((G4624+G4625+G4626),3)</f>
        <v>0</v>
      </c>
      <c r="G4627" s="27">
        <f ca="1">ROUND(E4627*F4627,2)</f>
        <v>0</v>
      </c>
    </row>
    <row r="4628" spans="1:7" ht="15.12" thickBot="1" customHeight="1">
      <c r="A4628" s="24" t="s">
        <v>14454</v>
      </c>
      <c r="B4628" s="24"/>
      <c r="C4628" s="24" t="s">
        <v>14455</v>
      </c>
      <c r="D4628" s="25" t="s">
        <v>14456</v>
      </c>
      <c r="E4628" s="28">
        <v>5.00000</v>
      </c>
      <c r="F4628" s="29">
        <f ca="1">ROUND(14.020,3)</f>
        <v>0</v>
      </c>
      <c r="G4628" s="27">
        <f ca="1">ROUND((E4628*F4628)/100,2)</f>
        <v>0</v>
      </c>
    </row>
    <row r="4629" spans="1:7" ht="15.48" thickBot="1" customHeight="1">
      <c r="A4629" s="30"/>
      <c r="B4629" s="30"/>
      <c r="C4629" s="30"/>
      <c r="D4629" s="31" t="s">
        <v>14457</v>
      </c>
      <c r="E4629" s="30"/>
      <c r="F4629" s="33">
        <f ca="1">ROUND((G4619+G4620+G4621+G4622+G4623+G4628)*(1+G2/100),2)</f>
        <v>0</v>
      </c>
      <c r="G4629" s="30"/>
    </row>
    <row r="4630" spans="1:7" ht="49.08" thickBot="1" customHeight="1">
      <c r="A4630" s="34" t="s">
        <v>14458</v>
      </c>
      <c r="B4630" s="35" t="s">
        <v>14459</v>
      </c>
      <c r="C4630" s="35" t="s">
        <v>14460</v>
      </c>
      <c r="D4630" s="36" t="s">
        <v>14461</v>
      </c>
      <c r="E4630" s="37"/>
      <c r="F4630" s="38">
        <f ca="1">F4642</f>
        <v>0</v>
      </c>
      <c r="G4630" s="37"/>
    </row>
    <row r="4631" spans="1:7" ht="21.36" thickBot="1" customHeight="1">
      <c r="A4631" s="26"/>
      <c r="B4631" s="26"/>
      <c r="C4631" s="26"/>
      <c r="D4631" s="25" t="s">
        <v>14462</v>
      </c>
      <c r="E4631" s="25"/>
      <c r="F4631" s="25"/>
      <c r="G4631" s="25"/>
    </row>
    <row r="4632" spans="1:7" ht="30.60" thickBot="1" customHeight="1">
      <c r="A4632" s="24" t="s">
        <v>14463</v>
      </c>
      <c r="B4632" s="24" t="s">
        <v>14464</v>
      </c>
      <c r="C4632" s="24" t="s">
        <v>14465</v>
      </c>
      <c r="D4632" s="25" t="s">
        <v>14466</v>
      </c>
      <c r="E4632" s="28">
        <v>0.06667</v>
      </c>
      <c r="F4632" s="29">
        <f ca="1">ROUND(29.170,3)</f>
        <v>0</v>
      </c>
      <c r="G4632" s="27">
        <f ca="1">ROUND(E4632*F4632,2)</f>
        <v>0</v>
      </c>
    </row>
    <row r="4633" spans="1:7" ht="49.08" thickBot="1" customHeight="1">
      <c r="A4633" s="24" t="s">
        <v>14467</v>
      </c>
      <c r="B4633" s="24" t="s">
        <v>14468</v>
      </c>
      <c r="C4633" s="24" t="s">
        <v>14469</v>
      </c>
      <c r="D4633" s="25" t="s">
        <v>14470</v>
      </c>
      <c r="E4633" s="28">
        <v>0.23100</v>
      </c>
      <c r="F4633" s="29">
        <f ca="1">ROUND(33.200,3)</f>
        <v>0</v>
      </c>
      <c r="G4633" s="27">
        <f ca="1">ROUND(E4633*F4633,2)</f>
        <v>0</v>
      </c>
    </row>
    <row r="4634" spans="1:7" ht="49.08" thickBot="1" customHeight="1">
      <c r="A4634" s="24" t="s">
        <v>14471</v>
      </c>
      <c r="B4634" s="24" t="s">
        <v>14472</v>
      </c>
      <c r="C4634" s="24" t="s">
        <v>14473</v>
      </c>
      <c r="D4634" s="25" t="s">
        <v>14474</v>
      </c>
      <c r="E4634" s="28">
        <v>1.10000</v>
      </c>
      <c r="F4634" s="29">
        <f ca="1">ROUND(36.980,3)</f>
        <v>0</v>
      </c>
      <c r="G4634" s="27">
        <f ca="1">ROUND(E4634*F4634,2)</f>
        <v>0</v>
      </c>
    </row>
    <row r="4635" spans="1:7" ht="30.60" thickBot="1" customHeight="1">
      <c r="A4635" s="24" t="s">
        <v>14475</v>
      </c>
      <c r="B4635" s="24" t="s">
        <v>14476</v>
      </c>
      <c r="C4635" s="24" t="s">
        <v>14477</v>
      </c>
      <c r="D4635" s="25" t="s">
        <v>14478</v>
      </c>
      <c r="E4635" s="28">
        <v>0.20000</v>
      </c>
      <c r="F4635" s="29">
        <f ca="1">ROUND(11.740,3)</f>
        <v>0</v>
      </c>
      <c r="G4635" s="27">
        <f ca="1">ROUND(E4635*F4635,2)</f>
        <v>0</v>
      </c>
    </row>
    <row r="4636" spans="1:7" ht="21.36" thickBot="1" customHeight="1">
      <c r="A4636" s="24" t="s">
        <v>14479</v>
      </c>
      <c r="B4636" s="24" t="s">
        <v>14480</v>
      </c>
      <c r="C4636" s="24" t="s">
        <v>14481</v>
      </c>
      <c r="D4636" s="25" t="s">
        <v>14482</v>
      </c>
      <c r="E4636" s="28">
        <v>0.32000</v>
      </c>
      <c r="F4636" s="29">
        <f ca="1">F4640</f>
        <v>0</v>
      </c>
      <c r="G4636" s="27">
        <f ca="1">ROUND(E4636*F4636,2)</f>
        <v>0</v>
      </c>
    </row>
    <row r="4637" spans="1:7" ht="24.36" thickBot="1" customHeight="1">
      <c r="A4637" s="24" t="s">
        <v>14483</v>
      </c>
      <c r="B4637" s="24" t="s">
        <v>14484</v>
      </c>
      <c r="C4637" s="24" t="s">
        <v>14485</v>
      </c>
      <c r="D4637" s="25" t="s">
        <v>14486</v>
      </c>
      <c r="E4637" s="28">
        <v>1.00000</v>
      </c>
      <c r="F4637" s="29">
        <f ca="1">ROUND(21.000,3)</f>
        <v>0</v>
      </c>
      <c r="G4637" s="27">
        <f ca="1">ROUND(E4637*F4637,2)</f>
        <v>0</v>
      </c>
    </row>
    <row r="4638" spans="1:7" ht="24.36" thickBot="1" customHeight="1">
      <c r="A4638" s="24" t="s">
        <v>14487</v>
      </c>
      <c r="B4638" s="24" t="s">
        <v>14488</v>
      </c>
      <c r="C4638" s="24" t="s">
        <v>14489</v>
      </c>
      <c r="D4638" s="25" t="s">
        <v>14490</v>
      </c>
      <c r="E4638" s="28">
        <v>1.00000</v>
      </c>
      <c r="F4638" s="29">
        <f ca="1">ROUND(19.000,3)</f>
        <v>0</v>
      </c>
      <c r="G4638" s="27">
        <f ca="1">ROUND(E4638*F4638,2)</f>
        <v>0</v>
      </c>
    </row>
    <row r="4639" spans="1:7" ht="24.36" thickBot="1" customHeight="1">
      <c r="A4639" s="24" t="s">
        <v>14491</v>
      </c>
      <c r="B4639" s="24" t="s">
        <v>14492</v>
      </c>
      <c r="C4639" s="24" t="s">
        <v>14493</v>
      </c>
      <c r="D4639" s="25" t="s">
        <v>14494</v>
      </c>
      <c r="E4639" s="28">
        <v>0.20000</v>
      </c>
      <c r="F4639" s="29">
        <f ca="1">ROUND(19.000,3)</f>
        <v>0</v>
      </c>
      <c r="G4639" s="27">
        <f ca="1">ROUND(E4639*F4639,2)</f>
        <v>0</v>
      </c>
    </row>
    <row r="4640" spans="1:7" ht="15.12" thickBot="1" customHeight="1">
      <c r="A4640" s="26"/>
      <c r="B4640" s="26"/>
      <c r="C4640" s="26"/>
      <c r="D4640" s="24" t="s">
        <v>14495</v>
      </c>
      <c r="E4640" s="28">
        <v>0.32000</v>
      </c>
      <c r="F4640" s="29">
        <f ca="1">ROUND((G4637+G4638+G4639),3)</f>
        <v>0</v>
      </c>
      <c r="G4640" s="27">
        <f ca="1">ROUND(E4640*F4640,2)</f>
        <v>0</v>
      </c>
    </row>
    <row r="4641" spans="1:7" ht="15.12" thickBot="1" customHeight="1">
      <c r="A4641" s="24" t="s">
        <v>14496</v>
      </c>
      <c r="B4641" s="24"/>
      <c r="C4641" s="24" t="s">
        <v>14497</v>
      </c>
      <c r="D4641" s="25" t="s">
        <v>14498</v>
      </c>
      <c r="E4641" s="28">
        <v>5.00000</v>
      </c>
      <c r="F4641" s="29">
        <f ca="1">ROUND(14.020,3)</f>
        <v>0</v>
      </c>
      <c r="G4641" s="27">
        <f ca="1">ROUND((E4641*F4641)/100,2)</f>
        <v>0</v>
      </c>
    </row>
    <row r="4642" spans="1:7" ht="15.48" thickBot="1" customHeight="1">
      <c r="A4642" s="30"/>
      <c r="B4642" s="30"/>
      <c r="C4642" s="30"/>
      <c r="D4642" s="31" t="s">
        <v>14499</v>
      </c>
      <c r="E4642" s="30"/>
      <c r="F4642" s="33">
        <f ca="1">ROUND((G4632+G4633+G4634+G4635+G4636+G4641)*(1+G2/100),2)</f>
        <v>0</v>
      </c>
      <c r="G4642" s="30"/>
    </row>
    <row r="4643" spans="1:7" ht="58.32" thickBot="1" customHeight="1">
      <c r="A4643" s="34" t="s">
        <v>14500</v>
      </c>
      <c r="B4643" s="35" t="s">
        <v>14501</v>
      </c>
      <c r="C4643" s="35" t="s">
        <v>14502</v>
      </c>
      <c r="D4643" s="36" t="s">
        <v>14503</v>
      </c>
      <c r="E4643" s="37"/>
      <c r="F4643" s="38">
        <f ca="1">F4655</f>
        <v>0</v>
      </c>
      <c r="G4643" s="37"/>
    </row>
    <row r="4644" spans="1:7" ht="21.36" thickBot="1" customHeight="1">
      <c r="A4644" s="26"/>
      <c r="B4644" s="26"/>
      <c r="C4644" s="26"/>
      <c r="D4644" s="25" t="s">
        <v>14504</v>
      </c>
      <c r="E4644" s="25"/>
      <c r="F4644" s="25"/>
      <c r="G4644" s="25"/>
    </row>
    <row r="4645" spans="1:7" ht="30.60" thickBot="1" customHeight="1">
      <c r="A4645" s="24" t="s">
        <v>14505</v>
      </c>
      <c r="B4645" s="24" t="s">
        <v>14506</v>
      </c>
      <c r="C4645" s="24" t="s">
        <v>14507</v>
      </c>
      <c r="D4645" s="25" t="s">
        <v>14508</v>
      </c>
      <c r="E4645" s="28">
        <v>0.06667</v>
      </c>
      <c r="F4645" s="29">
        <f ca="1">ROUND(29.170,3)</f>
        <v>0</v>
      </c>
      <c r="G4645" s="27">
        <f ca="1">ROUND(E4645*F4645,2)</f>
        <v>0</v>
      </c>
    </row>
    <row r="4646" spans="1:7" ht="49.08" thickBot="1" customHeight="1">
      <c r="A4646" s="24" t="s">
        <v>14509</v>
      </c>
      <c r="B4646" s="24" t="s">
        <v>14510</v>
      </c>
      <c r="C4646" s="24" t="s">
        <v>14511</v>
      </c>
      <c r="D4646" s="25" t="s">
        <v>14512</v>
      </c>
      <c r="E4646" s="28">
        <v>0.23100</v>
      </c>
      <c r="F4646" s="29">
        <f ca="1">ROUND(33.200,3)</f>
        <v>0</v>
      </c>
      <c r="G4646" s="27">
        <f ca="1">ROUND(E4646*F4646,2)</f>
        <v>0</v>
      </c>
    </row>
    <row r="4647" spans="1:7" ht="39.84" thickBot="1" customHeight="1">
      <c r="A4647" s="24" t="s">
        <v>14513</v>
      </c>
      <c r="B4647" s="24" t="s">
        <v>14514</v>
      </c>
      <c r="C4647" s="24" t="s">
        <v>14515</v>
      </c>
      <c r="D4647" s="25" t="s">
        <v>14516</v>
      </c>
      <c r="E4647" s="28">
        <v>1.10000</v>
      </c>
      <c r="F4647" s="29">
        <f ca="1">ROUND(40.950,3)</f>
        <v>0</v>
      </c>
      <c r="G4647" s="27">
        <f ca="1">ROUND(E4647*F4647,2)</f>
        <v>0</v>
      </c>
    </row>
    <row r="4648" spans="1:7" ht="30.60" thickBot="1" customHeight="1">
      <c r="A4648" s="24" t="s">
        <v>14517</v>
      </c>
      <c r="B4648" s="24" t="s">
        <v>14518</v>
      </c>
      <c r="C4648" s="24" t="s">
        <v>14519</v>
      </c>
      <c r="D4648" s="25" t="s">
        <v>14520</v>
      </c>
      <c r="E4648" s="28">
        <v>0.20000</v>
      </c>
      <c r="F4648" s="29">
        <f ca="1">ROUND(11.740,3)</f>
        <v>0</v>
      </c>
      <c r="G4648" s="27">
        <f ca="1">ROUND(E4648*F4648,2)</f>
        <v>0</v>
      </c>
    </row>
    <row r="4649" spans="1:7" ht="21.36" thickBot="1" customHeight="1">
      <c r="A4649" s="24" t="s">
        <v>14521</v>
      </c>
      <c r="B4649" s="24" t="s">
        <v>14522</v>
      </c>
      <c r="C4649" s="24" t="s">
        <v>14523</v>
      </c>
      <c r="D4649" s="25" t="s">
        <v>14524</v>
      </c>
      <c r="E4649" s="28">
        <v>0.45000</v>
      </c>
      <c r="F4649" s="29">
        <f ca="1">F4653</f>
        <v>0</v>
      </c>
      <c r="G4649" s="27">
        <f ca="1">ROUND(E4649*F4649,2)</f>
        <v>0</v>
      </c>
    </row>
    <row r="4650" spans="1:7" ht="24.36" thickBot="1" customHeight="1">
      <c r="A4650" s="24" t="s">
        <v>14525</v>
      </c>
      <c r="B4650" s="24" t="s">
        <v>14526</v>
      </c>
      <c r="C4650" s="24" t="s">
        <v>14527</v>
      </c>
      <c r="D4650" s="25" t="s">
        <v>14528</v>
      </c>
      <c r="E4650" s="28">
        <v>1.00000</v>
      </c>
      <c r="F4650" s="29">
        <f ca="1">ROUND(21.000,3)</f>
        <v>0</v>
      </c>
      <c r="G4650" s="27">
        <f ca="1">ROUND(E4650*F4650,2)</f>
        <v>0</v>
      </c>
    </row>
    <row r="4651" spans="1:7" ht="24.36" thickBot="1" customHeight="1">
      <c r="A4651" s="24" t="s">
        <v>14529</v>
      </c>
      <c r="B4651" s="24" t="s">
        <v>14530</v>
      </c>
      <c r="C4651" s="24" t="s">
        <v>14531</v>
      </c>
      <c r="D4651" s="25" t="s">
        <v>14532</v>
      </c>
      <c r="E4651" s="28">
        <v>1.00000</v>
      </c>
      <c r="F4651" s="29">
        <f ca="1">ROUND(19.000,3)</f>
        <v>0</v>
      </c>
      <c r="G4651" s="27">
        <f ca="1">ROUND(E4651*F4651,2)</f>
        <v>0</v>
      </c>
    </row>
    <row r="4652" spans="1:7" ht="24.36" thickBot="1" customHeight="1">
      <c r="A4652" s="24" t="s">
        <v>14533</v>
      </c>
      <c r="B4652" s="24" t="s">
        <v>14534</v>
      </c>
      <c r="C4652" s="24" t="s">
        <v>14535</v>
      </c>
      <c r="D4652" s="25" t="s">
        <v>14536</v>
      </c>
      <c r="E4652" s="28">
        <v>0.20000</v>
      </c>
      <c r="F4652" s="29">
        <f ca="1">ROUND(19.000,3)</f>
        <v>0</v>
      </c>
      <c r="G4652" s="27">
        <f ca="1">ROUND(E4652*F4652,2)</f>
        <v>0</v>
      </c>
    </row>
    <row r="4653" spans="1:7" ht="15.12" thickBot="1" customHeight="1">
      <c r="A4653" s="26"/>
      <c r="B4653" s="26"/>
      <c r="C4653" s="26"/>
      <c r="D4653" s="24" t="s">
        <v>14537</v>
      </c>
      <c r="E4653" s="28">
        <v>0.45000</v>
      </c>
      <c r="F4653" s="29">
        <f ca="1">ROUND((G4650+G4651+G4652),3)</f>
        <v>0</v>
      </c>
      <c r="G4653" s="27">
        <f ca="1">ROUND(E4653*F4653,2)</f>
        <v>0</v>
      </c>
    </row>
    <row r="4654" spans="1:7" ht="15.12" thickBot="1" customHeight="1">
      <c r="A4654" s="24" t="s">
        <v>14538</v>
      </c>
      <c r="B4654" s="24"/>
      <c r="C4654" s="24" t="s">
        <v>14539</v>
      </c>
      <c r="D4654" s="25" t="s">
        <v>14540</v>
      </c>
      <c r="E4654" s="28">
        <v>5.00000</v>
      </c>
      <c r="F4654" s="29">
        <f ca="1">ROUND(19.710,3)</f>
        <v>0</v>
      </c>
      <c r="G4654" s="27">
        <f ca="1">ROUND((E4654*F4654)/100,2)</f>
        <v>0</v>
      </c>
    </row>
    <row r="4655" spans="1:7" ht="15.48" thickBot="1" customHeight="1">
      <c r="A4655" s="30"/>
      <c r="B4655" s="30"/>
      <c r="C4655" s="30"/>
      <c r="D4655" s="31" t="s">
        <v>14541</v>
      </c>
      <c r="E4655" s="30"/>
      <c r="F4655" s="33">
        <f ca="1">ROUND((G4645+G4646+G4647+G4648+G4649+G4654)*(1+G2/100),2)</f>
        <v>0</v>
      </c>
      <c r="G4655" s="30"/>
    </row>
    <row r="4656" spans="1:7" ht="49.08" thickBot="1" customHeight="1">
      <c r="A4656" s="34" t="s">
        <v>14542</v>
      </c>
      <c r="B4656" s="35" t="s">
        <v>14543</v>
      </c>
      <c r="C4656" s="35" t="s">
        <v>14544</v>
      </c>
      <c r="D4656" s="36" t="s">
        <v>14545</v>
      </c>
      <c r="E4656" s="37"/>
      <c r="F4656" s="38">
        <f ca="1">F4668</f>
        <v>0</v>
      </c>
      <c r="G4656" s="37"/>
    </row>
    <row r="4657" spans="1:7" ht="21.36" thickBot="1" customHeight="1">
      <c r="A4657" s="26"/>
      <c r="B4657" s="26"/>
      <c r="C4657" s="26"/>
      <c r="D4657" s="25" t="s">
        <v>14546</v>
      </c>
      <c r="E4657" s="25"/>
      <c r="F4657" s="25"/>
      <c r="G4657" s="25"/>
    </row>
    <row r="4658" spans="1:7" ht="30.60" thickBot="1" customHeight="1">
      <c r="A4658" s="24" t="s">
        <v>14547</v>
      </c>
      <c r="B4658" s="24" t="s">
        <v>14548</v>
      </c>
      <c r="C4658" s="24" t="s">
        <v>14549</v>
      </c>
      <c r="D4658" s="25" t="s">
        <v>14550</v>
      </c>
      <c r="E4658" s="28">
        <v>0.06667</v>
      </c>
      <c r="F4658" s="29">
        <f ca="1">ROUND(29.170,3)</f>
        <v>0</v>
      </c>
      <c r="G4658" s="27">
        <f ca="1">ROUND(E4658*F4658,2)</f>
        <v>0</v>
      </c>
    </row>
    <row r="4659" spans="1:7" ht="49.08" thickBot="1" customHeight="1">
      <c r="A4659" s="24" t="s">
        <v>14551</v>
      </c>
      <c r="B4659" s="24" t="s">
        <v>14552</v>
      </c>
      <c r="C4659" s="24" t="s">
        <v>14553</v>
      </c>
      <c r="D4659" s="25" t="s">
        <v>14554</v>
      </c>
      <c r="E4659" s="28">
        <v>0.23100</v>
      </c>
      <c r="F4659" s="29">
        <f ca="1">ROUND(33.200,3)</f>
        <v>0</v>
      </c>
      <c r="G4659" s="27">
        <f ca="1">ROUND(E4659*F4659,2)</f>
        <v>0</v>
      </c>
    </row>
    <row r="4660" spans="1:7" ht="49.08" thickBot="1" customHeight="1">
      <c r="A4660" s="24" t="s">
        <v>14555</v>
      </c>
      <c r="B4660" s="24" t="s">
        <v>14556</v>
      </c>
      <c r="C4660" s="24" t="s">
        <v>14557</v>
      </c>
      <c r="D4660" s="25" t="s">
        <v>14558</v>
      </c>
      <c r="E4660" s="28">
        <v>1.10000</v>
      </c>
      <c r="F4660" s="29">
        <f ca="1">ROUND(36.980,3)</f>
        <v>0</v>
      </c>
      <c r="G4660" s="27">
        <f ca="1">ROUND(E4660*F4660,2)</f>
        <v>0</v>
      </c>
    </row>
    <row r="4661" spans="1:7" ht="30.60" thickBot="1" customHeight="1">
      <c r="A4661" s="24" t="s">
        <v>14559</v>
      </c>
      <c r="B4661" s="24" t="s">
        <v>14560</v>
      </c>
      <c r="C4661" s="24" t="s">
        <v>14561</v>
      </c>
      <c r="D4661" s="25" t="s">
        <v>14562</v>
      </c>
      <c r="E4661" s="28">
        <v>0.20000</v>
      </c>
      <c r="F4661" s="29">
        <f ca="1">ROUND(11.740,3)</f>
        <v>0</v>
      </c>
      <c r="G4661" s="27">
        <f ca="1">ROUND(E4661*F4661,2)</f>
        <v>0</v>
      </c>
    </row>
    <row r="4662" spans="1:7" ht="21.36" thickBot="1" customHeight="1">
      <c r="A4662" s="24" t="s">
        <v>14563</v>
      </c>
      <c r="B4662" s="24" t="s">
        <v>14564</v>
      </c>
      <c r="C4662" s="24" t="s">
        <v>14565</v>
      </c>
      <c r="D4662" s="25" t="s">
        <v>14566</v>
      </c>
      <c r="E4662" s="28">
        <v>0.45000</v>
      </c>
      <c r="F4662" s="29">
        <f ca="1">F4666</f>
        <v>0</v>
      </c>
      <c r="G4662" s="27">
        <f ca="1">ROUND(E4662*F4662,2)</f>
        <v>0</v>
      </c>
    </row>
    <row r="4663" spans="1:7" ht="24.36" thickBot="1" customHeight="1">
      <c r="A4663" s="24" t="s">
        <v>14567</v>
      </c>
      <c r="B4663" s="24" t="s">
        <v>14568</v>
      </c>
      <c r="C4663" s="24" t="s">
        <v>14569</v>
      </c>
      <c r="D4663" s="25" t="s">
        <v>14570</v>
      </c>
      <c r="E4663" s="28">
        <v>1.00000</v>
      </c>
      <c r="F4663" s="29">
        <f ca="1">ROUND(21.000,3)</f>
        <v>0</v>
      </c>
      <c r="G4663" s="27">
        <f ca="1">ROUND(E4663*F4663,2)</f>
        <v>0</v>
      </c>
    </row>
    <row r="4664" spans="1:7" ht="24.36" thickBot="1" customHeight="1">
      <c r="A4664" s="24" t="s">
        <v>14571</v>
      </c>
      <c r="B4664" s="24" t="s">
        <v>14572</v>
      </c>
      <c r="C4664" s="24" t="s">
        <v>14573</v>
      </c>
      <c r="D4664" s="25" t="s">
        <v>14574</v>
      </c>
      <c r="E4664" s="28">
        <v>1.00000</v>
      </c>
      <c r="F4664" s="29">
        <f ca="1">ROUND(19.000,3)</f>
        <v>0</v>
      </c>
      <c r="G4664" s="27">
        <f ca="1">ROUND(E4664*F4664,2)</f>
        <v>0</v>
      </c>
    </row>
    <row r="4665" spans="1:7" ht="24.36" thickBot="1" customHeight="1">
      <c r="A4665" s="24" t="s">
        <v>14575</v>
      </c>
      <c r="B4665" s="24" t="s">
        <v>14576</v>
      </c>
      <c r="C4665" s="24" t="s">
        <v>14577</v>
      </c>
      <c r="D4665" s="25" t="s">
        <v>14578</v>
      </c>
      <c r="E4665" s="28">
        <v>0.20000</v>
      </c>
      <c r="F4665" s="29">
        <f ca="1">ROUND(19.000,3)</f>
        <v>0</v>
      </c>
      <c r="G4665" s="27">
        <f ca="1">ROUND(E4665*F4665,2)</f>
        <v>0</v>
      </c>
    </row>
    <row r="4666" spans="1:7" ht="15.12" thickBot="1" customHeight="1">
      <c r="A4666" s="26"/>
      <c r="B4666" s="26"/>
      <c r="C4666" s="26"/>
      <c r="D4666" s="24" t="s">
        <v>14579</v>
      </c>
      <c r="E4666" s="28">
        <v>0.45000</v>
      </c>
      <c r="F4666" s="29">
        <f ca="1">ROUND((G4663+G4664+G4665),3)</f>
        <v>0</v>
      </c>
      <c r="G4666" s="27">
        <f ca="1">ROUND(E4666*F4666,2)</f>
        <v>0</v>
      </c>
    </row>
    <row r="4667" spans="1:7" ht="15.12" thickBot="1" customHeight="1">
      <c r="A4667" s="24" t="s">
        <v>14580</v>
      </c>
      <c r="B4667" s="24"/>
      <c r="C4667" s="24" t="s">
        <v>14581</v>
      </c>
      <c r="D4667" s="25" t="s">
        <v>14582</v>
      </c>
      <c r="E4667" s="28">
        <v>5.00000</v>
      </c>
      <c r="F4667" s="29">
        <f ca="1">ROUND(19.710,3)</f>
        <v>0</v>
      </c>
      <c r="G4667" s="27">
        <f ca="1">ROUND((E4667*F4667)/100,2)</f>
        <v>0</v>
      </c>
    </row>
    <row r="4668" spans="1:7" ht="15.48" thickBot="1" customHeight="1">
      <c r="A4668" s="30"/>
      <c r="B4668" s="30"/>
      <c r="C4668" s="30"/>
      <c r="D4668" s="31" t="s">
        <v>14583</v>
      </c>
      <c r="E4668" s="30"/>
      <c r="F4668" s="33">
        <f ca="1">ROUND((G4658+G4659+G4660+G4661+G4662+G4667)*(1+G2/100),2)</f>
        <v>0</v>
      </c>
      <c r="G4668" s="30"/>
    </row>
    <row r="4669" spans="1:7" ht="15.48" thickBot="1" customHeight="1">
      <c r="A4669" s="39"/>
      <c r="B4669" s="39"/>
      <c r="C4669" s="39"/>
      <c r="D4669" s="48" t="s">
        <v>14584</v>
      </c>
      <c r="E4669" s="49"/>
      <c r="F4669" s="49"/>
      <c r="G4669" s="49"/>
    </row>
    <row r="4670" spans="1:7" ht="25.08" thickBot="1" customHeight="1">
      <c r="A4670" s="66" t="s">
        <v>14585</v>
      </c>
      <c r="B4670" s="66" t="s">
        <v>14586</v>
      </c>
      <c r="C4670" s="67"/>
      <c r="D4670" s="68" t="s">
        <v>14587</v>
      </c>
      <c r="E4670" s="67"/>
      <c r="F4670" s="67"/>
      <c r="G4670" s="67"/>
    </row>
    <row r="4671" spans="1:7" ht="39.84" thickBot="1" customHeight="1">
      <c r="A4671" s="10" t="s">
        <v>14588</v>
      </c>
      <c r="B4671" s="24" t="s">
        <v>14589</v>
      </c>
      <c r="C4671" s="24" t="s">
        <v>14590</v>
      </c>
      <c r="D4671" s="25" t="s">
        <v>14591</v>
      </c>
      <c r="E4671" s="26"/>
      <c r="F4671" s="27">
        <f ca="1">F4682</f>
        <v>0</v>
      </c>
      <c r="G4671" s="26"/>
    </row>
    <row r="4672" spans="1:7" ht="21.36" thickBot="1" customHeight="1">
      <c r="A4672" s="26"/>
      <c r="B4672" s="26"/>
      <c r="C4672" s="26"/>
      <c r="D4672" s="25" t="s">
        <v>14592</v>
      </c>
      <c r="E4672" s="25"/>
      <c r="F4672" s="25"/>
      <c r="G4672" s="25"/>
    </row>
    <row r="4673" spans="1:7" ht="30.60" thickBot="1" customHeight="1">
      <c r="A4673" s="24" t="s">
        <v>14593</v>
      </c>
      <c r="B4673" s="24" t="s">
        <v>14594</v>
      </c>
      <c r="C4673" s="24" t="s">
        <v>14595</v>
      </c>
      <c r="D4673" s="25" t="s">
        <v>14596</v>
      </c>
      <c r="E4673" s="28">
        <v>1.10000</v>
      </c>
      <c r="F4673" s="29">
        <f ca="1">ROUND(50.000,3)</f>
        <v>0</v>
      </c>
      <c r="G4673" s="27">
        <f ca="1">ROUND(E4673*F4673,2)</f>
        <v>0</v>
      </c>
    </row>
    <row r="4674" spans="1:7" ht="49.08" thickBot="1" customHeight="1">
      <c r="A4674" s="24" t="s">
        <v>14597</v>
      </c>
      <c r="B4674" s="24" t="s">
        <v>14598</v>
      </c>
      <c r="C4674" s="24" t="s">
        <v>14599</v>
      </c>
      <c r="D4674" s="25" t="s">
        <v>14600</v>
      </c>
      <c r="E4674" s="28">
        <v>0.25200</v>
      </c>
      <c r="F4674" s="29">
        <f ca="1">ROUND(10.250,3)</f>
        <v>0</v>
      </c>
      <c r="G4674" s="27">
        <f ca="1">ROUND(E4674*F4674,2)</f>
        <v>0</v>
      </c>
    </row>
    <row r="4675" spans="1:7" ht="30.60" thickBot="1" customHeight="1">
      <c r="A4675" s="24" t="s">
        <v>14601</v>
      </c>
      <c r="B4675" s="24" t="s">
        <v>14602</v>
      </c>
      <c r="C4675" s="24" t="s">
        <v>14603</v>
      </c>
      <c r="D4675" s="25" t="s">
        <v>14604</v>
      </c>
      <c r="E4675" s="28">
        <v>0.02000</v>
      </c>
      <c r="F4675" s="29">
        <f ca="1">ROUND(11.000,3)</f>
        <v>0</v>
      </c>
      <c r="G4675" s="27">
        <f ca="1">ROUND(E4675*F4675,2)</f>
        <v>0</v>
      </c>
    </row>
    <row r="4676" spans="1:7" ht="21.36" thickBot="1" customHeight="1">
      <c r="A4676" s="24" t="s">
        <v>14605</v>
      </c>
      <c r="B4676" s="24" t="s">
        <v>14606</v>
      </c>
      <c r="C4676" s="24" t="s">
        <v>14607</v>
      </c>
      <c r="D4676" s="25" t="s">
        <v>14608</v>
      </c>
      <c r="E4676" s="28">
        <v>1.50000</v>
      </c>
      <c r="F4676" s="29">
        <f ca="1">F4680</f>
        <v>0</v>
      </c>
      <c r="G4676" s="27">
        <f ca="1">ROUND(E4676*F4676,2)</f>
        <v>0</v>
      </c>
    </row>
    <row r="4677" spans="1:7" ht="24.36" thickBot="1" customHeight="1">
      <c r="A4677" s="24" t="s">
        <v>14609</v>
      </c>
      <c r="B4677" s="24" t="s">
        <v>14610</v>
      </c>
      <c r="C4677" s="24" t="s">
        <v>14611</v>
      </c>
      <c r="D4677" s="25" t="s">
        <v>14612</v>
      </c>
      <c r="E4677" s="28">
        <v>1.00000</v>
      </c>
      <c r="F4677" s="29">
        <f ca="1">ROUND(21.000,3)</f>
        <v>0</v>
      </c>
      <c r="G4677" s="27">
        <f ca="1">ROUND(E4677*F4677,2)</f>
        <v>0</v>
      </c>
    </row>
    <row r="4678" spans="1:7" ht="24.36" thickBot="1" customHeight="1">
      <c r="A4678" s="24" t="s">
        <v>14613</v>
      </c>
      <c r="B4678" s="24" t="s">
        <v>14614</v>
      </c>
      <c r="C4678" s="24" t="s">
        <v>14615</v>
      </c>
      <c r="D4678" s="25" t="s">
        <v>14616</v>
      </c>
      <c r="E4678" s="28">
        <v>1.00000</v>
      </c>
      <c r="F4678" s="29">
        <f ca="1">ROUND(19.000,3)</f>
        <v>0</v>
      </c>
      <c r="G4678" s="27">
        <f ca="1">ROUND(E4678*F4678,2)</f>
        <v>0</v>
      </c>
    </row>
    <row r="4679" spans="1:7" ht="24.36" thickBot="1" customHeight="1">
      <c r="A4679" s="24" t="s">
        <v>14617</v>
      </c>
      <c r="B4679" s="24" t="s">
        <v>14618</v>
      </c>
      <c r="C4679" s="24" t="s">
        <v>14619</v>
      </c>
      <c r="D4679" s="25" t="s">
        <v>14620</v>
      </c>
      <c r="E4679" s="28">
        <v>0.20000</v>
      </c>
      <c r="F4679" s="29">
        <f ca="1">ROUND(19.000,3)</f>
        <v>0</v>
      </c>
      <c r="G4679" s="27">
        <f ca="1">ROUND(E4679*F4679,2)</f>
        <v>0</v>
      </c>
    </row>
    <row r="4680" spans="1:7" ht="15.12" thickBot="1" customHeight="1">
      <c r="A4680" s="26"/>
      <c r="B4680" s="26"/>
      <c r="C4680" s="26"/>
      <c r="D4680" s="24" t="s">
        <v>14621</v>
      </c>
      <c r="E4680" s="28">
        <v>1.50000</v>
      </c>
      <c r="F4680" s="29">
        <f ca="1">ROUND((G4677+G4678+G4679),3)</f>
        <v>0</v>
      </c>
      <c r="G4680" s="27">
        <f ca="1">ROUND(E4680*F4680,2)</f>
        <v>0</v>
      </c>
    </row>
    <row r="4681" spans="1:7" ht="15.12" thickBot="1" customHeight="1">
      <c r="A4681" s="24" t="s">
        <v>14622</v>
      </c>
      <c r="B4681" s="24"/>
      <c r="C4681" s="24" t="s">
        <v>14623</v>
      </c>
      <c r="D4681" s="25" t="s">
        <v>14624</v>
      </c>
      <c r="E4681" s="28">
        <v>5.00000</v>
      </c>
      <c r="F4681" s="29">
        <f ca="1">ROUND(65.700,3)</f>
        <v>0</v>
      </c>
      <c r="G4681" s="27">
        <f ca="1">ROUND((E4681*F4681)/100,2)</f>
        <v>0</v>
      </c>
    </row>
    <row r="4682" spans="1:7" ht="15.48" thickBot="1" customHeight="1">
      <c r="A4682" s="30"/>
      <c r="B4682" s="30"/>
      <c r="C4682" s="30"/>
      <c r="D4682" s="31" t="s">
        <v>14625</v>
      </c>
      <c r="E4682" s="30"/>
      <c r="F4682" s="33">
        <f ca="1">ROUND((G4673+G4674+G4675+G4676+G4681)*(1+G2/100),2)</f>
        <v>0</v>
      </c>
      <c r="G4682" s="30"/>
    </row>
    <row r="4683" spans="1:7" ht="49.08" thickBot="1" customHeight="1">
      <c r="A4683" s="34" t="s">
        <v>14626</v>
      </c>
      <c r="B4683" s="35" t="s">
        <v>14627</v>
      </c>
      <c r="C4683" s="35" t="s">
        <v>14628</v>
      </c>
      <c r="D4683" s="36" t="s">
        <v>14629</v>
      </c>
      <c r="E4683" s="37"/>
      <c r="F4683" s="38">
        <f ca="1">F4694</f>
        <v>0</v>
      </c>
      <c r="G4683" s="37"/>
    </row>
    <row r="4684" spans="1:7" ht="21.36" thickBot="1" customHeight="1">
      <c r="A4684" s="26"/>
      <c r="B4684" s="26"/>
      <c r="C4684" s="26"/>
      <c r="D4684" s="25" t="s">
        <v>14630</v>
      </c>
      <c r="E4684" s="25"/>
      <c r="F4684" s="25"/>
      <c r="G4684" s="25"/>
    </row>
    <row r="4685" spans="1:7" ht="21.36" thickBot="1" customHeight="1">
      <c r="A4685" s="24" t="s">
        <v>14631</v>
      </c>
      <c r="B4685" s="24" t="s">
        <v>14632</v>
      </c>
      <c r="C4685" s="24" t="s">
        <v>14633</v>
      </c>
      <c r="D4685" s="25" t="s">
        <v>14634</v>
      </c>
      <c r="E4685" s="28">
        <v>1.10000</v>
      </c>
      <c r="F4685" s="29">
        <f ca="1">ROUND(64.500,3)</f>
        <v>0</v>
      </c>
      <c r="G4685" s="27">
        <f ca="1">ROUND(E4685*F4685,2)</f>
        <v>0</v>
      </c>
    </row>
    <row r="4686" spans="1:7" ht="49.08" thickBot="1" customHeight="1">
      <c r="A4686" s="24" t="s">
        <v>14635</v>
      </c>
      <c r="B4686" s="24" t="s">
        <v>14636</v>
      </c>
      <c r="C4686" s="24" t="s">
        <v>14637</v>
      </c>
      <c r="D4686" s="25" t="s">
        <v>14638</v>
      </c>
      <c r="E4686" s="28">
        <v>0.25200</v>
      </c>
      <c r="F4686" s="29">
        <f ca="1">ROUND(10.250,3)</f>
        <v>0</v>
      </c>
      <c r="G4686" s="27">
        <f ca="1">ROUND(E4686*F4686,2)</f>
        <v>0</v>
      </c>
    </row>
    <row r="4687" spans="1:7" ht="30.60" thickBot="1" customHeight="1">
      <c r="A4687" s="24" t="s">
        <v>14639</v>
      </c>
      <c r="B4687" s="24" t="s">
        <v>14640</v>
      </c>
      <c r="C4687" s="24" t="s">
        <v>14641</v>
      </c>
      <c r="D4687" s="25" t="s">
        <v>14642</v>
      </c>
      <c r="E4687" s="28">
        <v>0.02300</v>
      </c>
      <c r="F4687" s="29">
        <f ca="1">ROUND(11.000,3)</f>
        <v>0</v>
      </c>
      <c r="G4687" s="27">
        <f ca="1">ROUND(E4687*F4687,2)</f>
        <v>0</v>
      </c>
    </row>
    <row r="4688" spans="1:7" ht="21.36" thickBot="1" customHeight="1">
      <c r="A4688" s="24" t="s">
        <v>14643</v>
      </c>
      <c r="B4688" s="24" t="s">
        <v>14644</v>
      </c>
      <c r="C4688" s="24" t="s">
        <v>14645</v>
      </c>
      <c r="D4688" s="25" t="s">
        <v>14646</v>
      </c>
      <c r="E4688" s="28">
        <v>1.50000</v>
      </c>
      <c r="F4688" s="29">
        <f ca="1">F4692</f>
        <v>0</v>
      </c>
      <c r="G4688" s="27">
        <f ca="1">ROUND(E4688*F4688,2)</f>
        <v>0</v>
      </c>
    </row>
    <row r="4689" spans="1:7" ht="24.36" thickBot="1" customHeight="1">
      <c r="A4689" s="24" t="s">
        <v>14647</v>
      </c>
      <c r="B4689" s="24" t="s">
        <v>14648</v>
      </c>
      <c r="C4689" s="24" t="s">
        <v>14649</v>
      </c>
      <c r="D4689" s="25" t="s">
        <v>14650</v>
      </c>
      <c r="E4689" s="28">
        <v>1.00000</v>
      </c>
      <c r="F4689" s="29">
        <f ca="1">ROUND(21.000,3)</f>
        <v>0</v>
      </c>
      <c r="G4689" s="27">
        <f ca="1">ROUND(E4689*F4689,2)</f>
        <v>0</v>
      </c>
    </row>
    <row r="4690" spans="1:7" ht="24.36" thickBot="1" customHeight="1">
      <c r="A4690" s="24" t="s">
        <v>14651</v>
      </c>
      <c r="B4690" s="24" t="s">
        <v>14652</v>
      </c>
      <c r="C4690" s="24" t="s">
        <v>14653</v>
      </c>
      <c r="D4690" s="25" t="s">
        <v>14654</v>
      </c>
      <c r="E4690" s="28">
        <v>1.00000</v>
      </c>
      <c r="F4690" s="29">
        <f ca="1">ROUND(19.000,3)</f>
        <v>0</v>
      </c>
      <c r="G4690" s="27">
        <f ca="1">ROUND(E4690*F4690,2)</f>
        <v>0</v>
      </c>
    </row>
    <row r="4691" spans="1:7" ht="24.36" thickBot="1" customHeight="1">
      <c r="A4691" s="24" t="s">
        <v>14655</v>
      </c>
      <c r="B4691" s="24" t="s">
        <v>14656</v>
      </c>
      <c r="C4691" s="24" t="s">
        <v>14657</v>
      </c>
      <c r="D4691" s="25" t="s">
        <v>14658</v>
      </c>
      <c r="E4691" s="28">
        <v>0.20000</v>
      </c>
      <c r="F4691" s="29">
        <f ca="1">ROUND(19.000,3)</f>
        <v>0</v>
      </c>
      <c r="G4691" s="27">
        <f ca="1">ROUND(E4691*F4691,2)</f>
        <v>0</v>
      </c>
    </row>
    <row r="4692" spans="1:7" ht="15.12" thickBot="1" customHeight="1">
      <c r="A4692" s="26"/>
      <c r="B4692" s="26"/>
      <c r="C4692" s="26"/>
      <c r="D4692" s="24" t="s">
        <v>14659</v>
      </c>
      <c r="E4692" s="28">
        <v>1.50000</v>
      </c>
      <c r="F4692" s="29">
        <f ca="1">ROUND((G4689+G4690+G4691),3)</f>
        <v>0</v>
      </c>
      <c r="G4692" s="27">
        <f ca="1">ROUND(E4692*F4692,2)</f>
        <v>0</v>
      </c>
    </row>
    <row r="4693" spans="1:7" ht="15.12" thickBot="1" customHeight="1">
      <c r="A4693" s="24" t="s">
        <v>14660</v>
      </c>
      <c r="B4693" s="24"/>
      <c r="C4693" s="24" t="s">
        <v>14661</v>
      </c>
      <c r="D4693" s="25" t="s">
        <v>14662</v>
      </c>
      <c r="E4693" s="28">
        <v>5.00000</v>
      </c>
      <c r="F4693" s="29">
        <f ca="1">ROUND(65.700,3)</f>
        <v>0</v>
      </c>
      <c r="G4693" s="27">
        <f ca="1">ROUND((E4693*F4693)/100,2)</f>
        <v>0</v>
      </c>
    </row>
    <row r="4694" spans="1:7" ht="25.08" thickBot="1" customHeight="1">
      <c r="A4694" s="30"/>
      <c r="B4694" s="30"/>
      <c r="C4694" s="30"/>
      <c r="D4694" s="31" t="s">
        <v>14663</v>
      </c>
      <c r="E4694" s="30"/>
      <c r="F4694" s="33">
        <f ca="1">ROUND((G4685+G4686+G4687+G4688+G4693)*(1+G2/100),2)</f>
        <v>0</v>
      </c>
      <c r="G4694" s="30"/>
    </row>
    <row r="4695" spans="1:7" ht="49.08" thickBot="1" customHeight="1">
      <c r="A4695" s="34" t="s">
        <v>14664</v>
      </c>
      <c r="B4695" s="35" t="s">
        <v>14665</v>
      </c>
      <c r="C4695" s="35" t="s">
        <v>14666</v>
      </c>
      <c r="D4695" s="36" t="s">
        <v>14667</v>
      </c>
      <c r="E4695" s="37"/>
      <c r="F4695" s="38">
        <f ca="1">F4706</f>
        <v>0</v>
      </c>
      <c r="G4695" s="37"/>
    </row>
    <row r="4696" spans="1:7" ht="21.36" thickBot="1" customHeight="1">
      <c r="A4696" s="26"/>
      <c r="B4696" s="26"/>
      <c r="C4696" s="26"/>
      <c r="D4696" s="25" t="s">
        <v>14668</v>
      </c>
      <c r="E4696" s="25"/>
      <c r="F4696" s="25"/>
      <c r="G4696" s="25"/>
    </row>
    <row r="4697" spans="1:7" ht="21.36" thickBot="1" customHeight="1">
      <c r="A4697" s="24" t="s">
        <v>14669</v>
      </c>
      <c r="B4697" s="24" t="s">
        <v>14670</v>
      </c>
      <c r="C4697" s="24" t="s">
        <v>14671</v>
      </c>
      <c r="D4697" s="25" t="s">
        <v>14672</v>
      </c>
      <c r="E4697" s="28">
        <v>1.10000</v>
      </c>
      <c r="F4697" s="29">
        <f ca="1">ROUND(64.500,3)</f>
        <v>0</v>
      </c>
      <c r="G4697" s="27">
        <f ca="1">ROUND(E4697*F4697,2)</f>
        <v>0</v>
      </c>
    </row>
    <row r="4698" spans="1:7" ht="49.08" thickBot="1" customHeight="1">
      <c r="A4698" s="24" t="s">
        <v>14673</v>
      </c>
      <c r="B4698" s="24" t="s">
        <v>14674</v>
      </c>
      <c r="C4698" s="24" t="s">
        <v>14675</v>
      </c>
      <c r="D4698" s="25" t="s">
        <v>14676</v>
      </c>
      <c r="E4698" s="28">
        <v>0.25200</v>
      </c>
      <c r="F4698" s="29">
        <f ca="1">ROUND(10.250,3)</f>
        <v>0</v>
      </c>
      <c r="G4698" s="27">
        <f ca="1">ROUND(E4698*F4698,2)</f>
        <v>0</v>
      </c>
    </row>
    <row r="4699" spans="1:7" ht="30.60" thickBot="1" customHeight="1">
      <c r="A4699" s="24" t="s">
        <v>14677</v>
      </c>
      <c r="B4699" s="24" t="s">
        <v>14678</v>
      </c>
      <c r="C4699" s="24" t="s">
        <v>14679</v>
      </c>
      <c r="D4699" s="25" t="s">
        <v>14680</v>
      </c>
      <c r="E4699" s="28">
        <v>0.02300</v>
      </c>
      <c r="F4699" s="29">
        <f ca="1">ROUND(11.000,3)</f>
        <v>0</v>
      </c>
      <c r="G4699" s="27">
        <f ca="1">ROUND(E4699*F4699,2)</f>
        <v>0</v>
      </c>
    </row>
    <row r="4700" spans="1:7" ht="21.36" thickBot="1" customHeight="1">
      <c r="A4700" s="24" t="s">
        <v>14681</v>
      </c>
      <c r="B4700" s="24" t="s">
        <v>14682</v>
      </c>
      <c r="C4700" s="24" t="s">
        <v>14683</v>
      </c>
      <c r="D4700" s="25" t="s">
        <v>14684</v>
      </c>
      <c r="E4700" s="28">
        <v>2.00000</v>
      </c>
      <c r="F4700" s="29">
        <f ca="1">F4704</f>
        <v>0</v>
      </c>
      <c r="G4700" s="27">
        <f ca="1">ROUND(E4700*F4700,2)</f>
        <v>0</v>
      </c>
    </row>
    <row r="4701" spans="1:7" ht="24.36" thickBot="1" customHeight="1">
      <c r="A4701" s="24" t="s">
        <v>14685</v>
      </c>
      <c r="B4701" s="24" t="s">
        <v>14686</v>
      </c>
      <c r="C4701" s="24" t="s">
        <v>14687</v>
      </c>
      <c r="D4701" s="25" t="s">
        <v>14688</v>
      </c>
      <c r="E4701" s="28">
        <v>1.00000</v>
      </c>
      <c r="F4701" s="29">
        <f ca="1">ROUND(21.000,3)</f>
        <v>0</v>
      </c>
      <c r="G4701" s="27">
        <f ca="1">ROUND(E4701*F4701,2)</f>
        <v>0</v>
      </c>
    </row>
    <row r="4702" spans="1:7" ht="24.36" thickBot="1" customHeight="1">
      <c r="A4702" s="24" t="s">
        <v>14689</v>
      </c>
      <c r="B4702" s="24" t="s">
        <v>14690</v>
      </c>
      <c r="C4702" s="24" t="s">
        <v>14691</v>
      </c>
      <c r="D4702" s="25" t="s">
        <v>14692</v>
      </c>
      <c r="E4702" s="28">
        <v>1.00000</v>
      </c>
      <c r="F4702" s="29">
        <f ca="1">ROUND(19.000,3)</f>
        <v>0</v>
      </c>
      <c r="G4702" s="27">
        <f ca="1">ROUND(E4702*F4702,2)</f>
        <v>0</v>
      </c>
    </row>
    <row r="4703" spans="1:7" ht="24.36" thickBot="1" customHeight="1">
      <c r="A4703" s="24" t="s">
        <v>14693</v>
      </c>
      <c r="B4703" s="24" t="s">
        <v>14694</v>
      </c>
      <c r="C4703" s="24" t="s">
        <v>14695</v>
      </c>
      <c r="D4703" s="25" t="s">
        <v>14696</v>
      </c>
      <c r="E4703" s="28">
        <v>0.20000</v>
      </c>
      <c r="F4703" s="29">
        <f ca="1">ROUND(19.000,3)</f>
        <v>0</v>
      </c>
      <c r="G4703" s="27">
        <f ca="1">ROUND(E4703*F4703,2)</f>
        <v>0</v>
      </c>
    </row>
    <row r="4704" spans="1:7" ht="15.12" thickBot="1" customHeight="1">
      <c r="A4704" s="26"/>
      <c r="B4704" s="26"/>
      <c r="C4704" s="26"/>
      <c r="D4704" s="24" t="s">
        <v>14697</v>
      </c>
      <c r="E4704" s="28">
        <v>2.00000</v>
      </c>
      <c r="F4704" s="29">
        <f ca="1">ROUND((G4701+G4702+G4703),3)</f>
        <v>0</v>
      </c>
      <c r="G4704" s="27">
        <f ca="1">ROUND(E4704*F4704,2)</f>
        <v>0</v>
      </c>
    </row>
    <row r="4705" spans="1:7" ht="15.12" thickBot="1" customHeight="1">
      <c r="A4705" s="24" t="s">
        <v>14698</v>
      </c>
      <c r="B4705" s="24"/>
      <c r="C4705" s="24" t="s">
        <v>14699</v>
      </c>
      <c r="D4705" s="25" t="s">
        <v>14700</v>
      </c>
      <c r="E4705" s="28">
        <v>5.00000</v>
      </c>
      <c r="F4705" s="29">
        <f ca="1">ROUND(87.600,3)</f>
        <v>0</v>
      </c>
      <c r="G4705" s="27">
        <f ca="1">ROUND((E4705*F4705)/100,2)</f>
        <v>0</v>
      </c>
    </row>
    <row r="4706" spans="1:7" ht="25.08" thickBot="1" customHeight="1">
      <c r="A4706" s="30"/>
      <c r="B4706" s="30"/>
      <c r="C4706" s="30"/>
      <c r="D4706" s="31" t="s">
        <v>14701</v>
      </c>
      <c r="E4706" s="30"/>
      <c r="F4706" s="33">
        <f ca="1">ROUND((G4697+G4698+G4699+G4700+G4705)*(1+G2/100),2)</f>
        <v>0</v>
      </c>
      <c r="G4706" s="30"/>
    </row>
    <row r="4707" spans="1:7" ht="15.48" thickBot="1" customHeight="1">
      <c r="A4707" s="39"/>
      <c r="B4707" s="39"/>
      <c r="C4707" s="39"/>
      <c r="D4707" s="48" t="s">
        <v>14702</v>
      </c>
      <c r="E4707" s="49"/>
      <c r="F4707" s="49"/>
      <c r="G4707" s="49"/>
    </row>
    <row r="4708" spans="1:7" ht="15.48" thickBot="1" customHeight="1">
      <c r="A4708" s="39"/>
      <c r="B4708" s="39"/>
      <c r="C4708" s="39"/>
      <c r="D4708" s="40" t="s">
        <v>14703</v>
      </c>
      <c r="E4708" s="41"/>
      <c r="F4708" s="41"/>
      <c r="G4708" s="41"/>
    </row>
    <row r="4709" spans="1:7" ht="95.28" thickBot="1" customHeight="1">
      <c r="A4709" s="34" t="s">
        <v>14704</v>
      </c>
      <c r="B4709" s="35" t="s">
        <v>14705</v>
      </c>
      <c r="C4709" s="35" t="s">
        <v>14706</v>
      </c>
      <c r="D4709" s="36" t="s">
        <v>14707</v>
      </c>
      <c r="E4709" s="37"/>
      <c r="F4709" s="38">
        <f ca="1">F4725</f>
        <v>0</v>
      </c>
      <c r="G4709" s="37"/>
    </row>
    <row r="4710" spans="1:7" ht="39.84" thickBot="1" customHeight="1">
      <c r="A4710" s="26"/>
      <c r="B4710" s="26"/>
      <c r="C4710" s="26"/>
      <c r="D4710" s="25" t="s">
        <v>14708</v>
      </c>
      <c r="E4710" s="25"/>
      <c r="F4710" s="25"/>
      <c r="G4710" s="25"/>
    </row>
    <row r="4711" spans="1:7" ht="30.60" thickBot="1" customHeight="1">
      <c r="A4711" s="24" t="s">
        <v>14709</v>
      </c>
      <c r="B4711" s="24" t="s">
        <v>14710</v>
      </c>
      <c r="C4711" s="24" t="s">
        <v>14711</v>
      </c>
      <c r="D4711" s="25" t="s">
        <v>14712</v>
      </c>
      <c r="E4711" s="28">
        <v>0.00770</v>
      </c>
      <c r="F4711" s="29">
        <f ca="1">ROUND(27.500,3)</f>
        <v>0</v>
      </c>
      <c r="G4711" s="27">
        <f ca="1">ROUND(E4711*F4711,2)</f>
        <v>0</v>
      </c>
    </row>
    <row r="4712" spans="1:7" ht="21.36" thickBot="1" customHeight="1">
      <c r="A4712" s="24" t="s">
        <v>14713</v>
      </c>
      <c r="B4712" s="24" t="s">
        <v>14714</v>
      </c>
      <c r="C4712" s="24" t="s">
        <v>14715</v>
      </c>
      <c r="D4712" s="25" t="s">
        <v>14716</v>
      </c>
      <c r="E4712" s="28">
        <v>1.00000</v>
      </c>
      <c r="F4712" s="29">
        <f ca="1">ROUND(2.290,3)</f>
        <v>0</v>
      </c>
      <c r="G4712" s="27">
        <f ca="1">ROUND(E4712*F4712,2)</f>
        <v>0</v>
      </c>
    </row>
    <row r="4713" spans="1:7" ht="30.60" thickBot="1" customHeight="1">
      <c r="A4713" s="24" t="s">
        <v>14717</v>
      </c>
      <c r="B4713" s="24" t="s">
        <v>14718</v>
      </c>
      <c r="C4713" s="24" t="s">
        <v>14719</v>
      </c>
      <c r="D4713" s="25" t="s">
        <v>14720</v>
      </c>
      <c r="E4713" s="28">
        <v>0.08000</v>
      </c>
      <c r="F4713" s="29">
        <f ca="1">ROUND(30.450,3)</f>
        <v>0</v>
      </c>
      <c r="G4713" s="27">
        <f ca="1">ROUND(E4713*F4713,2)</f>
        <v>0</v>
      </c>
    </row>
    <row r="4714" spans="1:7" ht="39.84" thickBot="1" customHeight="1">
      <c r="A4714" s="24" t="s">
        <v>14721</v>
      </c>
      <c r="B4714" s="24" t="s">
        <v>14722</v>
      </c>
      <c r="C4714" s="24" t="s">
        <v>14723</v>
      </c>
      <c r="D4714" s="25" t="s">
        <v>14724</v>
      </c>
      <c r="E4714" s="28">
        <v>0.25000</v>
      </c>
      <c r="F4714" s="29">
        <f ca="1">ROUND(2.860,3)</f>
        <v>0</v>
      </c>
      <c r="G4714" s="27">
        <f ca="1">ROUND(E4714*F4714,2)</f>
        <v>0</v>
      </c>
    </row>
    <row r="4715" spans="1:7" ht="30.60" thickBot="1" customHeight="1">
      <c r="A4715" s="24" t="s">
        <v>14725</v>
      </c>
      <c r="B4715" s="24" t="s">
        <v>14726</v>
      </c>
      <c r="C4715" s="24" t="s">
        <v>14727</v>
      </c>
      <c r="D4715" s="25" t="s">
        <v>14728</v>
      </c>
      <c r="E4715" s="28">
        <v>0.33600</v>
      </c>
      <c r="F4715" s="29">
        <f ca="1">ROUND(16.810,3)</f>
        <v>0</v>
      </c>
      <c r="G4715" s="27">
        <f ca="1">ROUND(E4715*F4715,2)</f>
        <v>0</v>
      </c>
    </row>
    <row r="4716" spans="1:7" ht="30.60" thickBot="1" customHeight="1">
      <c r="A4716" s="24" t="s">
        <v>14729</v>
      </c>
      <c r="B4716" s="24" t="s">
        <v>14730</v>
      </c>
      <c r="C4716" s="24" t="s">
        <v>14731</v>
      </c>
      <c r="D4716" s="25" t="s">
        <v>14732</v>
      </c>
      <c r="E4716" s="28">
        <v>0.79380</v>
      </c>
      <c r="F4716" s="29">
        <f ca="1">ROUND(22.450,3)</f>
        <v>0</v>
      </c>
      <c r="G4716" s="27">
        <f ca="1">ROUND(E4716*F4716,2)</f>
        <v>0</v>
      </c>
    </row>
    <row r="4717" spans="1:7" ht="39.84" thickBot="1" customHeight="1">
      <c r="A4717" s="24" t="s">
        <v>14733</v>
      </c>
      <c r="B4717" s="24" t="s">
        <v>14734</v>
      </c>
      <c r="C4717" s="24" t="s">
        <v>14735</v>
      </c>
      <c r="D4717" s="25" t="s">
        <v>14736</v>
      </c>
      <c r="E4717" s="28">
        <v>0.07000</v>
      </c>
      <c r="F4717" s="29">
        <f ca="1">ROUND(2.630,3)</f>
        <v>0</v>
      </c>
      <c r="G4717" s="27">
        <f ca="1">ROUND(E4717*F4717,2)</f>
        <v>0</v>
      </c>
    </row>
    <row r="4718" spans="1:7" ht="39.84" thickBot="1" customHeight="1">
      <c r="A4718" s="24" t="s">
        <v>14737</v>
      </c>
      <c r="B4718" s="24" t="s">
        <v>14738</v>
      </c>
      <c r="C4718" s="24" t="s">
        <v>14739</v>
      </c>
      <c r="D4718" s="25" t="s">
        <v>14740</v>
      </c>
      <c r="E4718" s="28">
        <v>0.44000</v>
      </c>
      <c r="F4718" s="29">
        <f ca="1">ROUND(4.050,3)</f>
        <v>0</v>
      </c>
      <c r="G4718" s="27">
        <f ca="1">ROUND(E4718*F4718,2)</f>
        <v>0</v>
      </c>
    </row>
    <row r="4719" spans="1:7" ht="21.36" thickBot="1" customHeight="1">
      <c r="A4719" s="24" t="s">
        <v>14741</v>
      </c>
      <c r="B4719" s="24" t="s">
        <v>14742</v>
      </c>
      <c r="C4719" s="24" t="s">
        <v>14743</v>
      </c>
      <c r="D4719" s="25" t="s">
        <v>14744</v>
      </c>
      <c r="E4719" s="28">
        <v>0.98000</v>
      </c>
      <c r="F4719" s="29">
        <f ca="1">F4723</f>
        <v>0</v>
      </c>
      <c r="G4719" s="27">
        <f ca="1">ROUND(E4719*F4719,2)</f>
        <v>0</v>
      </c>
    </row>
    <row r="4720" spans="1:7" ht="24.36" thickBot="1" customHeight="1">
      <c r="A4720" s="24" t="s">
        <v>14745</v>
      </c>
      <c r="B4720" s="24" t="s">
        <v>14746</v>
      </c>
      <c r="C4720" s="24" t="s">
        <v>14747</v>
      </c>
      <c r="D4720" s="25" t="s">
        <v>14748</v>
      </c>
      <c r="E4720" s="28">
        <v>1.00000</v>
      </c>
      <c r="F4720" s="29">
        <f ca="1">ROUND(21.000,3)</f>
        <v>0</v>
      </c>
      <c r="G4720" s="27">
        <f ca="1">ROUND(E4720*F4720,2)</f>
        <v>0</v>
      </c>
    </row>
    <row r="4721" spans="1:7" ht="24.36" thickBot="1" customHeight="1">
      <c r="A4721" s="24" t="s">
        <v>14749</v>
      </c>
      <c r="B4721" s="24" t="s">
        <v>14750</v>
      </c>
      <c r="C4721" s="24" t="s">
        <v>14751</v>
      </c>
      <c r="D4721" s="25" t="s">
        <v>14752</v>
      </c>
      <c r="E4721" s="28">
        <v>1.00000</v>
      </c>
      <c r="F4721" s="29">
        <f ca="1">ROUND(19.000,3)</f>
        <v>0</v>
      </c>
      <c r="G4721" s="27">
        <f ca="1">ROUND(E4721*F4721,2)</f>
        <v>0</v>
      </c>
    </row>
    <row r="4722" spans="1:7" ht="24.36" thickBot="1" customHeight="1">
      <c r="A4722" s="24" t="s">
        <v>14753</v>
      </c>
      <c r="B4722" s="24" t="s">
        <v>14754</v>
      </c>
      <c r="C4722" s="24" t="s">
        <v>14755</v>
      </c>
      <c r="D4722" s="25" t="s">
        <v>14756</v>
      </c>
      <c r="E4722" s="28">
        <v>0.20000</v>
      </c>
      <c r="F4722" s="29">
        <f ca="1">ROUND(19.000,3)</f>
        <v>0</v>
      </c>
      <c r="G4722" s="27">
        <f ca="1">ROUND(E4722*F4722,2)</f>
        <v>0</v>
      </c>
    </row>
    <row r="4723" spans="1:7" ht="15.12" thickBot="1" customHeight="1">
      <c r="A4723" s="26"/>
      <c r="B4723" s="26"/>
      <c r="C4723" s="26"/>
      <c r="D4723" s="24" t="s">
        <v>14757</v>
      </c>
      <c r="E4723" s="28">
        <v>0.98000</v>
      </c>
      <c r="F4723" s="29">
        <f ca="1">ROUND((G4720+G4721+G4722),3)</f>
        <v>0</v>
      </c>
      <c r="G4723" s="27">
        <f ca="1">ROUND(E4723*F4723,2)</f>
        <v>0</v>
      </c>
    </row>
    <row r="4724" spans="1:7" ht="15.12" thickBot="1" customHeight="1">
      <c r="A4724" s="24" t="s">
        <v>14758</v>
      </c>
      <c r="B4724" s="24"/>
      <c r="C4724" s="24" t="s">
        <v>14759</v>
      </c>
      <c r="D4724" s="25" t="s">
        <v>14760</v>
      </c>
      <c r="E4724" s="28">
        <v>7.00000</v>
      </c>
      <c r="F4724" s="29">
        <f ca="1">ROUND(42.920,3)</f>
        <v>0</v>
      </c>
      <c r="G4724" s="27">
        <f ca="1">ROUND((E4724*F4724)/100,2)</f>
        <v>0</v>
      </c>
    </row>
    <row r="4725" spans="1:7" ht="15.48" thickBot="1" customHeight="1">
      <c r="A4725" s="30"/>
      <c r="B4725" s="30"/>
      <c r="C4725" s="30"/>
      <c r="D4725" s="31" t="s">
        <v>14761</v>
      </c>
      <c r="E4725" s="30"/>
      <c r="F4725" s="33">
        <f ca="1">ROUND((G4711+G4712+G4713+G4714+G4715+G4716+G4717+G4718+G4719+G4724)*(1+G2/100),2)</f>
        <v>0</v>
      </c>
      <c r="G4725" s="30"/>
    </row>
    <row r="4726" spans="1:7" ht="104.52" thickBot="1" customHeight="1">
      <c r="A4726" s="34" t="s">
        <v>14762</v>
      </c>
      <c r="B4726" s="35" t="s">
        <v>14763</v>
      </c>
      <c r="C4726" s="35" t="s">
        <v>14764</v>
      </c>
      <c r="D4726" s="36" t="s">
        <v>14765</v>
      </c>
      <c r="E4726" s="37"/>
      <c r="F4726" s="38">
        <f ca="1">F4739</f>
        <v>0</v>
      </c>
      <c r="G4726" s="37"/>
    </row>
    <row r="4727" spans="1:7" ht="39.84" thickBot="1" customHeight="1">
      <c r="A4727" s="26"/>
      <c r="B4727" s="26"/>
      <c r="C4727" s="26"/>
      <c r="D4727" s="25" t="s">
        <v>14766</v>
      </c>
      <c r="E4727" s="25"/>
      <c r="F4727" s="25"/>
      <c r="G4727" s="25"/>
    </row>
    <row r="4728" spans="1:7" ht="30.60" thickBot="1" customHeight="1">
      <c r="A4728" s="24" t="s">
        <v>14767</v>
      </c>
      <c r="B4728" s="24" t="s">
        <v>14768</v>
      </c>
      <c r="C4728" s="24" t="s">
        <v>14769</v>
      </c>
      <c r="D4728" s="25" t="s">
        <v>14770</v>
      </c>
      <c r="E4728" s="28">
        <v>0.00770</v>
      </c>
      <c r="F4728" s="29">
        <f ca="1">ROUND(27.500,3)</f>
        <v>0</v>
      </c>
      <c r="G4728" s="27">
        <f ca="1">ROUND(E4728*F4728,2)</f>
        <v>0</v>
      </c>
    </row>
    <row r="4729" spans="1:7" ht="49.08" thickBot="1" customHeight="1">
      <c r="A4729" s="24" t="s">
        <v>14771</v>
      </c>
      <c r="B4729" s="24" t="s">
        <v>14772</v>
      </c>
      <c r="C4729" s="24" t="s">
        <v>14773</v>
      </c>
      <c r="D4729" s="25" t="s">
        <v>14774</v>
      </c>
      <c r="E4729" s="28">
        <v>0.11000</v>
      </c>
      <c r="F4729" s="29">
        <f ca="1">ROUND(45.570,3)</f>
        <v>0</v>
      </c>
      <c r="G4729" s="27">
        <f ca="1">ROUND(E4729*F4729,2)</f>
        <v>0</v>
      </c>
    </row>
    <row r="4730" spans="1:7" ht="30.60" thickBot="1" customHeight="1">
      <c r="A4730" s="24" t="s">
        <v>14775</v>
      </c>
      <c r="B4730" s="24" t="s">
        <v>14776</v>
      </c>
      <c r="C4730" s="24" t="s">
        <v>14777</v>
      </c>
      <c r="D4730" s="25" t="s">
        <v>14778</v>
      </c>
      <c r="E4730" s="28">
        <v>0.45360</v>
      </c>
      <c r="F4730" s="29">
        <f ca="1">ROUND(22.450,3)</f>
        <v>0</v>
      </c>
      <c r="G4730" s="27">
        <f ca="1">ROUND(E4730*F4730,2)</f>
        <v>0</v>
      </c>
    </row>
    <row r="4731" spans="1:7" ht="39.84" thickBot="1" customHeight="1">
      <c r="A4731" s="24" t="s">
        <v>14779</v>
      </c>
      <c r="B4731" s="24" t="s">
        <v>14780</v>
      </c>
      <c r="C4731" s="24" t="s">
        <v>14781</v>
      </c>
      <c r="D4731" s="25" t="s">
        <v>14782</v>
      </c>
      <c r="E4731" s="28">
        <v>0.07000</v>
      </c>
      <c r="F4731" s="29">
        <f ca="1">ROUND(2.630,3)</f>
        <v>0</v>
      </c>
      <c r="G4731" s="27">
        <f ca="1">ROUND(E4731*F4731,2)</f>
        <v>0</v>
      </c>
    </row>
    <row r="4732" spans="1:7" ht="39.84" thickBot="1" customHeight="1">
      <c r="A4732" s="24" t="s">
        <v>14783</v>
      </c>
      <c r="B4732" s="24" t="s">
        <v>14784</v>
      </c>
      <c r="C4732" s="24" t="s">
        <v>14785</v>
      </c>
      <c r="D4732" s="25" t="s">
        <v>14786</v>
      </c>
      <c r="E4732" s="28">
        <v>0.44000</v>
      </c>
      <c r="F4732" s="29">
        <f ca="1">ROUND(4.050,3)</f>
        <v>0</v>
      </c>
      <c r="G4732" s="27">
        <f ca="1">ROUND(E4732*F4732,2)</f>
        <v>0</v>
      </c>
    </row>
    <row r="4733" spans="1:7" ht="21.36" thickBot="1" customHeight="1">
      <c r="A4733" s="24" t="s">
        <v>14787</v>
      </c>
      <c r="B4733" s="24" t="s">
        <v>14788</v>
      </c>
      <c r="C4733" s="24" t="s">
        <v>14789</v>
      </c>
      <c r="D4733" s="25" t="s">
        <v>14790</v>
      </c>
      <c r="E4733" s="28">
        <v>0.84000</v>
      </c>
      <c r="F4733" s="29">
        <f ca="1">F4737</f>
        <v>0</v>
      </c>
      <c r="G4733" s="27">
        <f ca="1">ROUND(E4733*F4733,2)</f>
        <v>0</v>
      </c>
    </row>
    <row r="4734" spans="1:7" ht="24.36" thickBot="1" customHeight="1">
      <c r="A4734" s="24" t="s">
        <v>14791</v>
      </c>
      <c r="B4734" s="24" t="s">
        <v>14792</v>
      </c>
      <c r="C4734" s="24" t="s">
        <v>14793</v>
      </c>
      <c r="D4734" s="25" t="s">
        <v>14794</v>
      </c>
      <c r="E4734" s="28">
        <v>1.00000</v>
      </c>
      <c r="F4734" s="29">
        <f ca="1">ROUND(21.000,3)</f>
        <v>0</v>
      </c>
      <c r="G4734" s="27">
        <f ca="1">ROUND(E4734*F4734,2)</f>
        <v>0</v>
      </c>
    </row>
    <row r="4735" spans="1:7" ht="24.36" thickBot="1" customHeight="1">
      <c r="A4735" s="24" t="s">
        <v>14795</v>
      </c>
      <c r="B4735" s="24" t="s">
        <v>14796</v>
      </c>
      <c r="C4735" s="24" t="s">
        <v>14797</v>
      </c>
      <c r="D4735" s="25" t="s">
        <v>14798</v>
      </c>
      <c r="E4735" s="28">
        <v>1.00000</v>
      </c>
      <c r="F4735" s="29">
        <f ca="1">ROUND(19.000,3)</f>
        <v>0</v>
      </c>
      <c r="G4735" s="27">
        <f ca="1">ROUND(E4735*F4735,2)</f>
        <v>0</v>
      </c>
    </row>
    <row r="4736" spans="1:7" ht="24.36" thickBot="1" customHeight="1">
      <c r="A4736" s="24" t="s">
        <v>14799</v>
      </c>
      <c r="B4736" s="24" t="s">
        <v>14800</v>
      </c>
      <c r="C4736" s="24" t="s">
        <v>14801</v>
      </c>
      <c r="D4736" s="25" t="s">
        <v>14802</v>
      </c>
      <c r="E4736" s="28">
        <v>0.20000</v>
      </c>
      <c r="F4736" s="29">
        <f ca="1">ROUND(19.000,3)</f>
        <v>0</v>
      </c>
      <c r="G4736" s="27">
        <f ca="1">ROUND(E4736*F4736,2)</f>
        <v>0</v>
      </c>
    </row>
    <row r="4737" spans="1:7" ht="15.12" thickBot="1" customHeight="1">
      <c r="A4737" s="26"/>
      <c r="B4737" s="26"/>
      <c r="C4737" s="26"/>
      <c r="D4737" s="24" t="s">
        <v>14803</v>
      </c>
      <c r="E4737" s="28">
        <v>0.84000</v>
      </c>
      <c r="F4737" s="29">
        <f ca="1">ROUND((G4734+G4735+G4736),3)</f>
        <v>0</v>
      </c>
      <c r="G4737" s="27">
        <f ca="1">ROUND(E4737*F4737,2)</f>
        <v>0</v>
      </c>
    </row>
    <row r="4738" spans="1:7" ht="15.12" thickBot="1" customHeight="1">
      <c r="A4738" s="24" t="s">
        <v>14804</v>
      </c>
      <c r="B4738" s="24"/>
      <c r="C4738" s="24" t="s">
        <v>14805</v>
      </c>
      <c r="D4738" s="25" t="s">
        <v>14806</v>
      </c>
      <c r="E4738" s="28">
        <v>7.00000</v>
      </c>
      <c r="F4738" s="29">
        <f ca="1">ROUND(36.790,3)</f>
        <v>0</v>
      </c>
      <c r="G4738" s="27">
        <f ca="1">ROUND((E4738*F4738)/100,2)</f>
        <v>0</v>
      </c>
    </row>
    <row r="4739" spans="1:7" ht="15.48" thickBot="1" customHeight="1">
      <c r="A4739" s="30"/>
      <c r="B4739" s="30"/>
      <c r="C4739" s="30"/>
      <c r="D4739" s="31" t="s">
        <v>14807</v>
      </c>
      <c r="E4739" s="30"/>
      <c r="F4739" s="33">
        <f ca="1">ROUND((G4728+G4729+G4730+G4731+G4732+G4733+G4738)*(1+G2/100),2)</f>
        <v>0</v>
      </c>
      <c r="G4739" s="30"/>
    </row>
    <row r="4740" spans="1:7" ht="95.28" thickBot="1" customHeight="1">
      <c r="A4740" s="34" t="s">
        <v>14808</v>
      </c>
      <c r="B4740" s="35" t="s">
        <v>14809</v>
      </c>
      <c r="C4740" s="35" t="s">
        <v>14810</v>
      </c>
      <c r="D4740" s="36" t="s">
        <v>14811</v>
      </c>
      <c r="E4740" s="37"/>
      <c r="F4740" s="38">
        <f ca="1">F4756</f>
        <v>0</v>
      </c>
      <c r="G4740" s="37"/>
    </row>
    <row r="4741" spans="1:7" ht="39.84" thickBot="1" customHeight="1">
      <c r="A4741" s="26"/>
      <c r="B4741" s="26"/>
      <c r="C4741" s="26"/>
      <c r="D4741" s="25" t="s">
        <v>14812</v>
      </c>
      <c r="E4741" s="25"/>
      <c r="F4741" s="25"/>
      <c r="G4741" s="25"/>
    </row>
    <row r="4742" spans="1:7" ht="30.60" thickBot="1" customHeight="1">
      <c r="A4742" s="24" t="s">
        <v>14813</v>
      </c>
      <c r="B4742" s="24" t="s">
        <v>14814</v>
      </c>
      <c r="C4742" s="24" t="s">
        <v>14815</v>
      </c>
      <c r="D4742" s="25" t="s">
        <v>14816</v>
      </c>
      <c r="E4742" s="28">
        <v>0.02200</v>
      </c>
      <c r="F4742" s="29">
        <f ca="1">ROUND(27.500,3)</f>
        <v>0</v>
      </c>
      <c r="G4742" s="27">
        <f ca="1">ROUND(E4742*F4742,2)</f>
        <v>0</v>
      </c>
    </row>
    <row r="4743" spans="1:7" ht="21.36" thickBot="1" customHeight="1">
      <c r="A4743" s="24" t="s">
        <v>14817</v>
      </c>
      <c r="B4743" s="24" t="s">
        <v>14818</v>
      </c>
      <c r="C4743" s="24" t="s">
        <v>14819</v>
      </c>
      <c r="D4743" s="25" t="s">
        <v>14820</v>
      </c>
      <c r="E4743" s="28">
        <v>2.00000</v>
      </c>
      <c r="F4743" s="29">
        <f ca="1">ROUND(2.290,3)</f>
        <v>0</v>
      </c>
      <c r="G4743" s="27">
        <f ca="1">ROUND(E4743*F4743,2)</f>
        <v>0</v>
      </c>
    </row>
    <row r="4744" spans="1:7" ht="30.60" thickBot="1" customHeight="1">
      <c r="A4744" s="24" t="s">
        <v>14821</v>
      </c>
      <c r="B4744" s="24" t="s">
        <v>14822</v>
      </c>
      <c r="C4744" s="24" t="s">
        <v>14823</v>
      </c>
      <c r="D4744" s="25" t="s">
        <v>14824</v>
      </c>
      <c r="E4744" s="28">
        <v>0.16000</v>
      </c>
      <c r="F4744" s="29">
        <f ca="1">ROUND(30.450,3)</f>
        <v>0</v>
      </c>
      <c r="G4744" s="27">
        <f ca="1">ROUND(E4744*F4744,2)</f>
        <v>0</v>
      </c>
    </row>
    <row r="4745" spans="1:7" ht="39.84" thickBot="1" customHeight="1">
      <c r="A4745" s="24" t="s">
        <v>14825</v>
      </c>
      <c r="B4745" s="24" t="s">
        <v>14826</v>
      </c>
      <c r="C4745" s="24" t="s">
        <v>14827</v>
      </c>
      <c r="D4745" s="25" t="s">
        <v>14828</v>
      </c>
      <c r="E4745" s="28">
        <v>0.25000</v>
      </c>
      <c r="F4745" s="29">
        <f ca="1">ROUND(2.860,3)</f>
        <v>0</v>
      </c>
      <c r="G4745" s="27">
        <f ca="1">ROUND(E4745*F4745,2)</f>
        <v>0</v>
      </c>
    </row>
    <row r="4746" spans="1:7" ht="30.60" thickBot="1" customHeight="1">
      <c r="A4746" s="24" t="s">
        <v>14829</v>
      </c>
      <c r="B4746" s="24" t="s">
        <v>14830</v>
      </c>
      <c r="C4746" s="24" t="s">
        <v>14831</v>
      </c>
      <c r="D4746" s="25" t="s">
        <v>14832</v>
      </c>
      <c r="E4746" s="28">
        <v>0.83570</v>
      </c>
      <c r="F4746" s="29">
        <f ca="1">ROUND(16.810,3)</f>
        <v>0</v>
      </c>
      <c r="G4746" s="27">
        <f ca="1">ROUND(E4746*F4746,2)</f>
        <v>0</v>
      </c>
    </row>
    <row r="4747" spans="1:7" ht="30.60" thickBot="1" customHeight="1">
      <c r="A4747" s="24" t="s">
        <v>14833</v>
      </c>
      <c r="B4747" s="24" t="s">
        <v>14834</v>
      </c>
      <c r="C4747" s="24" t="s">
        <v>14835</v>
      </c>
      <c r="D4747" s="25" t="s">
        <v>14836</v>
      </c>
      <c r="E4747" s="28">
        <v>2.26800</v>
      </c>
      <c r="F4747" s="29">
        <f ca="1">ROUND(22.450,3)</f>
        <v>0</v>
      </c>
      <c r="G4747" s="27">
        <f ca="1">ROUND(E4747*F4747,2)</f>
        <v>0</v>
      </c>
    </row>
    <row r="4748" spans="1:7" ht="39.84" thickBot="1" customHeight="1">
      <c r="A4748" s="24" t="s">
        <v>14837</v>
      </c>
      <c r="B4748" s="24" t="s">
        <v>14838</v>
      </c>
      <c r="C4748" s="24" t="s">
        <v>14839</v>
      </c>
      <c r="D4748" s="25" t="s">
        <v>14840</v>
      </c>
      <c r="E4748" s="28">
        <v>0.07000</v>
      </c>
      <c r="F4748" s="29">
        <f ca="1">ROUND(2.630,3)</f>
        <v>0</v>
      </c>
      <c r="G4748" s="27">
        <f ca="1">ROUND(E4748*F4748,2)</f>
        <v>0</v>
      </c>
    </row>
    <row r="4749" spans="1:7" ht="39.84" thickBot="1" customHeight="1">
      <c r="A4749" s="24" t="s">
        <v>14841</v>
      </c>
      <c r="B4749" s="24" t="s">
        <v>14842</v>
      </c>
      <c r="C4749" s="24" t="s">
        <v>14843</v>
      </c>
      <c r="D4749" s="25" t="s">
        <v>14844</v>
      </c>
      <c r="E4749" s="28">
        <v>0.44000</v>
      </c>
      <c r="F4749" s="29">
        <f ca="1">ROUND(4.050,3)</f>
        <v>0</v>
      </c>
      <c r="G4749" s="27">
        <f ca="1">ROUND(E4749*F4749,2)</f>
        <v>0</v>
      </c>
    </row>
    <row r="4750" spans="1:7" ht="21.36" thickBot="1" customHeight="1">
      <c r="A4750" s="24" t="s">
        <v>14845</v>
      </c>
      <c r="B4750" s="24" t="s">
        <v>14846</v>
      </c>
      <c r="C4750" s="24" t="s">
        <v>14847</v>
      </c>
      <c r="D4750" s="25" t="s">
        <v>14848</v>
      </c>
      <c r="E4750" s="28">
        <v>1.12000</v>
      </c>
      <c r="F4750" s="29">
        <f ca="1">F4754</f>
        <v>0</v>
      </c>
      <c r="G4750" s="27">
        <f ca="1">ROUND(E4750*F4750,2)</f>
        <v>0</v>
      </c>
    </row>
    <row r="4751" spans="1:7" ht="24.36" thickBot="1" customHeight="1">
      <c r="A4751" s="24" t="s">
        <v>14849</v>
      </c>
      <c r="B4751" s="24" t="s">
        <v>14850</v>
      </c>
      <c r="C4751" s="24" t="s">
        <v>14851</v>
      </c>
      <c r="D4751" s="25" t="s">
        <v>14852</v>
      </c>
      <c r="E4751" s="28">
        <v>1.00000</v>
      </c>
      <c r="F4751" s="29">
        <f ca="1">ROUND(21.000,3)</f>
        <v>0</v>
      </c>
      <c r="G4751" s="27">
        <f ca="1">ROUND(E4751*F4751,2)</f>
        <v>0</v>
      </c>
    </row>
    <row r="4752" spans="1:7" ht="24.36" thickBot="1" customHeight="1">
      <c r="A4752" s="24" t="s">
        <v>14853</v>
      </c>
      <c r="B4752" s="24" t="s">
        <v>14854</v>
      </c>
      <c r="C4752" s="24" t="s">
        <v>14855</v>
      </c>
      <c r="D4752" s="25" t="s">
        <v>14856</v>
      </c>
      <c r="E4752" s="28">
        <v>1.00000</v>
      </c>
      <c r="F4752" s="29">
        <f ca="1">ROUND(19.000,3)</f>
        <v>0</v>
      </c>
      <c r="G4752" s="27">
        <f ca="1">ROUND(E4752*F4752,2)</f>
        <v>0</v>
      </c>
    </row>
    <row r="4753" spans="1:7" ht="24.36" thickBot="1" customHeight="1">
      <c r="A4753" s="24" t="s">
        <v>14857</v>
      </c>
      <c r="B4753" s="24" t="s">
        <v>14858</v>
      </c>
      <c r="C4753" s="24" t="s">
        <v>14859</v>
      </c>
      <c r="D4753" s="25" t="s">
        <v>14860</v>
      </c>
      <c r="E4753" s="28">
        <v>0.20000</v>
      </c>
      <c r="F4753" s="29">
        <f ca="1">ROUND(19.000,3)</f>
        <v>0</v>
      </c>
      <c r="G4753" s="27">
        <f ca="1">ROUND(E4753*F4753,2)</f>
        <v>0</v>
      </c>
    </row>
    <row r="4754" spans="1:7" ht="15.12" thickBot="1" customHeight="1">
      <c r="A4754" s="26"/>
      <c r="B4754" s="26"/>
      <c r="C4754" s="26"/>
      <c r="D4754" s="24" t="s">
        <v>14861</v>
      </c>
      <c r="E4754" s="28">
        <v>1.12000</v>
      </c>
      <c r="F4754" s="29">
        <f ca="1">ROUND((G4751+G4752+G4753),3)</f>
        <v>0</v>
      </c>
      <c r="G4754" s="27">
        <f ca="1">ROUND(E4754*F4754,2)</f>
        <v>0</v>
      </c>
    </row>
    <row r="4755" spans="1:7" ht="15.12" thickBot="1" customHeight="1">
      <c r="A4755" s="24" t="s">
        <v>14862</v>
      </c>
      <c r="B4755" s="24"/>
      <c r="C4755" s="24" t="s">
        <v>14863</v>
      </c>
      <c r="D4755" s="25" t="s">
        <v>14864</v>
      </c>
      <c r="E4755" s="28">
        <v>7.00000</v>
      </c>
      <c r="F4755" s="29">
        <f ca="1">ROUND(49.060,3)</f>
        <v>0</v>
      </c>
      <c r="G4755" s="27">
        <f ca="1">ROUND((E4755*F4755)/100,2)</f>
        <v>0</v>
      </c>
    </row>
    <row r="4756" spans="1:7" ht="15.48" thickBot="1" customHeight="1">
      <c r="A4756" s="30"/>
      <c r="B4756" s="30"/>
      <c r="C4756" s="30"/>
      <c r="D4756" s="31" t="s">
        <v>14865</v>
      </c>
      <c r="E4756" s="30"/>
      <c r="F4756" s="33">
        <f ca="1">ROUND((G4742+G4743+G4744+G4745+G4746+G4747+G4748+G4749+G4750+G4755)*(1+G2/100),2)</f>
        <v>0</v>
      </c>
      <c r="G4756" s="30"/>
    </row>
    <row r="4757" spans="1:7" ht="95.28" thickBot="1" customHeight="1">
      <c r="A4757" s="34" t="s">
        <v>14866</v>
      </c>
      <c r="B4757" s="35" t="s">
        <v>14867</v>
      </c>
      <c r="C4757" s="35" t="s">
        <v>14868</v>
      </c>
      <c r="D4757" s="36" t="s">
        <v>14869</v>
      </c>
      <c r="E4757" s="37"/>
      <c r="F4757" s="38">
        <f ca="1">F4770</f>
        <v>0</v>
      </c>
      <c r="G4757" s="37"/>
    </row>
    <row r="4758" spans="1:7" ht="39.84" thickBot="1" customHeight="1">
      <c r="A4758" s="26"/>
      <c r="B4758" s="26"/>
      <c r="C4758" s="26"/>
      <c r="D4758" s="25" t="s">
        <v>14870</v>
      </c>
      <c r="E4758" s="25"/>
      <c r="F4758" s="25"/>
      <c r="G4758" s="25"/>
    </row>
    <row r="4759" spans="1:7" ht="30.60" thickBot="1" customHeight="1">
      <c r="A4759" s="24" t="s">
        <v>14871</v>
      </c>
      <c r="B4759" s="24" t="s">
        <v>14872</v>
      </c>
      <c r="C4759" s="24" t="s">
        <v>14873</v>
      </c>
      <c r="D4759" s="25" t="s">
        <v>14874</v>
      </c>
      <c r="E4759" s="28">
        <v>0.02200</v>
      </c>
      <c r="F4759" s="29">
        <f ca="1">ROUND(27.500,3)</f>
        <v>0</v>
      </c>
      <c r="G4759" s="27">
        <f ca="1">ROUND(E4759*F4759,2)</f>
        <v>0</v>
      </c>
    </row>
    <row r="4760" spans="1:7" ht="49.08" thickBot="1" customHeight="1">
      <c r="A4760" s="24" t="s">
        <v>14875</v>
      </c>
      <c r="B4760" s="24" t="s">
        <v>14876</v>
      </c>
      <c r="C4760" s="24" t="s">
        <v>14877</v>
      </c>
      <c r="D4760" s="25" t="s">
        <v>14878</v>
      </c>
      <c r="E4760" s="28">
        <v>0.25000</v>
      </c>
      <c r="F4760" s="29">
        <f ca="1">ROUND(45.570,3)</f>
        <v>0</v>
      </c>
      <c r="G4760" s="27">
        <f ca="1">ROUND(E4760*F4760,2)</f>
        <v>0</v>
      </c>
    </row>
    <row r="4761" spans="1:7" ht="30.60" thickBot="1" customHeight="1">
      <c r="A4761" s="24" t="s">
        <v>14879</v>
      </c>
      <c r="B4761" s="24" t="s">
        <v>14880</v>
      </c>
      <c r="C4761" s="24" t="s">
        <v>14881</v>
      </c>
      <c r="D4761" s="25" t="s">
        <v>14882</v>
      </c>
      <c r="E4761" s="28">
        <v>1.13000</v>
      </c>
      <c r="F4761" s="29">
        <f ca="1">ROUND(22.450,3)</f>
        <v>0</v>
      </c>
      <c r="G4761" s="27">
        <f ca="1">ROUND(E4761*F4761,2)</f>
        <v>0</v>
      </c>
    </row>
    <row r="4762" spans="1:7" ht="39.84" thickBot="1" customHeight="1">
      <c r="A4762" s="24" t="s">
        <v>14883</v>
      </c>
      <c r="B4762" s="24" t="s">
        <v>14884</v>
      </c>
      <c r="C4762" s="24" t="s">
        <v>14885</v>
      </c>
      <c r="D4762" s="25" t="s">
        <v>14886</v>
      </c>
      <c r="E4762" s="28">
        <v>0.07000</v>
      </c>
      <c r="F4762" s="29">
        <f ca="1">ROUND(2.630,3)</f>
        <v>0</v>
      </c>
      <c r="G4762" s="27">
        <f ca="1">ROUND(E4762*F4762,2)</f>
        <v>0</v>
      </c>
    </row>
    <row r="4763" spans="1:7" ht="39.84" thickBot="1" customHeight="1">
      <c r="A4763" s="24" t="s">
        <v>14887</v>
      </c>
      <c r="B4763" s="24" t="s">
        <v>14888</v>
      </c>
      <c r="C4763" s="24" t="s">
        <v>14889</v>
      </c>
      <c r="D4763" s="25" t="s">
        <v>14890</v>
      </c>
      <c r="E4763" s="28">
        <v>0.44000</v>
      </c>
      <c r="F4763" s="29">
        <f ca="1">ROUND(4.050,3)</f>
        <v>0</v>
      </c>
      <c r="G4763" s="27">
        <f ca="1">ROUND(E4763*F4763,2)</f>
        <v>0</v>
      </c>
    </row>
    <row r="4764" spans="1:7" ht="21.36" thickBot="1" customHeight="1">
      <c r="A4764" s="24" t="s">
        <v>14891</v>
      </c>
      <c r="B4764" s="24" t="s">
        <v>14892</v>
      </c>
      <c r="C4764" s="24" t="s">
        <v>14893</v>
      </c>
      <c r="D4764" s="25" t="s">
        <v>14894</v>
      </c>
      <c r="E4764" s="28">
        <v>1.12000</v>
      </c>
      <c r="F4764" s="29">
        <f ca="1">F4768</f>
        <v>0</v>
      </c>
      <c r="G4764" s="27">
        <f ca="1">ROUND(E4764*F4764,2)</f>
        <v>0</v>
      </c>
    </row>
    <row r="4765" spans="1:7" ht="24.36" thickBot="1" customHeight="1">
      <c r="A4765" s="24" t="s">
        <v>14895</v>
      </c>
      <c r="B4765" s="24" t="s">
        <v>14896</v>
      </c>
      <c r="C4765" s="24" t="s">
        <v>14897</v>
      </c>
      <c r="D4765" s="25" t="s">
        <v>14898</v>
      </c>
      <c r="E4765" s="28">
        <v>1.00000</v>
      </c>
      <c r="F4765" s="29">
        <f ca="1">ROUND(21.000,3)</f>
        <v>0</v>
      </c>
      <c r="G4765" s="27">
        <f ca="1">ROUND(E4765*F4765,2)</f>
        <v>0</v>
      </c>
    </row>
    <row r="4766" spans="1:7" ht="24.36" thickBot="1" customHeight="1">
      <c r="A4766" s="24" t="s">
        <v>14899</v>
      </c>
      <c r="B4766" s="24" t="s">
        <v>14900</v>
      </c>
      <c r="C4766" s="24" t="s">
        <v>14901</v>
      </c>
      <c r="D4766" s="25" t="s">
        <v>14902</v>
      </c>
      <c r="E4766" s="28">
        <v>1.00000</v>
      </c>
      <c r="F4766" s="29">
        <f ca="1">ROUND(19.000,3)</f>
        <v>0</v>
      </c>
      <c r="G4766" s="27">
        <f ca="1">ROUND(E4766*F4766,2)</f>
        <v>0</v>
      </c>
    </row>
    <row r="4767" spans="1:7" ht="24.36" thickBot="1" customHeight="1">
      <c r="A4767" s="24" t="s">
        <v>14903</v>
      </c>
      <c r="B4767" s="24" t="s">
        <v>14904</v>
      </c>
      <c r="C4767" s="24" t="s">
        <v>14905</v>
      </c>
      <c r="D4767" s="25" t="s">
        <v>14906</v>
      </c>
      <c r="E4767" s="28">
        <v>0.20000</v>
      </c>
      <c r="F4767" s="29">
        <f ca="1">ROUND(19.000,3)</f>
        <v>0</v>
      </c>
      <c r="G4767" s="27">
        <f ca="1">ROUND(E4767*F4767,2)</f>
        <v>0</v>
      </c>
    </row>
    <row r="4768" spans="1:7" ht="15.12" thickBot="1" customHeight="1">
      <c r="A4768" s="26"/>
      <c r="B4768" s="26"/>
      <c r="C4768" s="26"/>
      <c r="D4768" s="24" t="s">
        <v>14907</v>
      </c>
      <c r="E4768" s="28">
        <v>1.12000</v>
      </c>
      <c r="F4768" s="29">
        <f ca="1">ROUND((G4765+G4766+G4767),3)</f>
        <v>0</v>
      </c>
      <c r="G4768" s="27">
        <f ca="1">ROUND(E4768*F4768,2)</f>
        <v>0</v>
      </c>
    </row>
    <row r="4769" spans="1:7" ht="15.12" thickBot="1" customHeight="1">
      <c r="A4769" s="24" t="s">
        <v>14908</v>
      </c>
      <c r="B4769" s="24"/>
      <c r="C4769" s="24" t="s">
        <v>14909</v>
      </c>
      <c r="D4769" s="25" t="s">
        <v>14910</v>
      </c>
      <c r="E4769" s="28">
        <v>7.00000</v>
      </c>
      <c r="F4769" s="29">
        <f ca="1">ROUND(49.060,3)</f>
        <v>0</v>
      </c>
      <c r="G4769" s="27">
        <f ca="1">ROUND((E4769*F4769)/100,2)</f>
        <v>0</v>
      </c>
    </row>
    <row r="4770" spans="1:7" ht="15.48" thickBot="1" customHeight="1">
      <c r="A4770" s="30"/>
      <c r="B4770" s="30"/>
      <c r="C4770" s="30"/>
      <c r="D4770" s="31" t="s">
        <v>14911</v>
      </c>
      <c r="E4770" s="30"/>
      <c r="F4770" s="33">
        <f ca="1">ROUND((G4759+G4760+G4761+G4762+G4763+G4764+G4769)*(1+G2/100),2)</f>
        <v>0</v>
      </c>
      <c r="G4770" s="30"/>
    </row>
    <row r="4771" spans="1:7" ht="22.08" thickBot="1" customHeight="1">
      <c r="A4771" s="42" t="s">
        <v>14912</v>
      </c>
      <c r="B4771" s="42" t="s">
        <v>14913</v>
      </c>
      <c r="C4771" s="43"/>
      <c r="D4771" s="44" t="s">
        <v>14914</v>
      </c>
      <c r="E4771" s="43"/>
      <c r="F4771" s="43"/>
      <c r="G4771" s="43"/>
    </row>
    <row r="4772" spans="1:7" ht="22.08" thickBot="1" customHeight="1">
      <c r="A4772" s="45" t="s">
        <v>14915</v>
      </c>
      <c r="B4772" s="45" t="s">
        <v>14916</v>
      </c>
      <c r="C4772" s="46"/>
      <c r="D4772" s="47" t="s">
        <v>14917</v>
      </c>
      <c r="E4772" s="46"/>
      <c r="F4772" s="46"/>
      <c r="G4772" s="46"/>
    </row>
    <row r="4773" spans="1:7" ht="39.84" thickBot="1" customHeight="1">
      <c r="A4773" s="10" t="s">
        <v>14918</v>
      </c>
      <c r="B4773" s="24" t="s">
        <v>14919</v>
      </c>
      <c r="C4773" s="24" t="s">
        <v>14920</v>
      </c>
      <c r="D4773" s="25" t="s">
        <v>14921</v>
      </c>
      <c r="E4773" s="26"/>
      <c r="F4773" s="27">
        <f ca="1">F4789</f>
        <v>0</v>
      </c>
      <c r="G4773" s="26"/>
    </row>
    <row r="4774" spans="1:7" ht="21.36" thickBot="1" customHeight="1">
      <c r="A4774" s="26"/>
      <c r="B4774" s="26"/>
      <c r="C4774" s="26"/>
      <c r="D4774" s="25" t="s">
        <v>14922</v>
      </c>
      <c r="E4774" s="25"/>
      <c r="F4774" s="25"/>
      <c r="G4774" s="25"/>
    </row>
    <row r="4775" spans="1:7" ht="49.08" thickBot="1" customHeight="1">
      <c r="A4775" s="24" t="s">
        <v>14923</v>
      </c>
      <c r="B4775" s="24" t="s">
        <v>14924</v>
      </c>
      <c r="C4775" s="24" t="s">
        <v>14925</v>
      </c>
      <c r="D4775" s="25" t="s">
        <v>14926</v>
      </c>
      <c r="E4775" s="28">
        <v>0.04400</v>
      </c>
      <c r="F4775" s="29">
        <f ca="1">ROUND(80.150,3)</f>
        <v>0</v>
      </c>
      <c r="G4775" s="27">
        <f ca="1">ROUND(E4775*F4775,2)</f>
        <v>0</v>
      </c>
    </row>
    <row r="4776" spans="1:7" ht="39.84" thickBot="1" customHeight="1">
      <c r="A4776" s="24" t="s">
        <v>14927</v>
      </c>
      <c r="B4776" s="24" t="s">
        <v>14928</v>
      </c>
      <c r="C4776" s="24" t="s">
        <v>14929</v>
      </c>
      <c r="D4776" s="25" t="s">
        <v>14930</v>
      </c>
      <c r="E4776" s="28">
        <v>0.22000</v>
      </c>
      <c r="F4776" s="29">
        <f ca="1">ROUND(22.000,3)</f>
        <v>0</v>
      </c>
      <c r="G4776" s="27">
        <f ca="1">ROUND(E4776*F4776,2)</f>
        <v>0</v>
      </c>
    </row>
    <row r="4777" spans="1:7" ht="39.84" thickBot="1" customHeight="1">
      <c r="A4777" s="24" t="s">
        <v>14931</v>
      </c>
      <c r="B4777" s="24" t="s">
        <v>14932</v>
      </c>
      <c r="C4777" s="24" t="s">
        <v>14933</v>
      </c>
      <c r="D4777" s="25" t="s">
        <v>14934</v>
      </c>
      <c r="E4777" s="28">
        <v>0.02200</v>
      </c>
      <c r="F4777" s="29">
        <f ca="1">ROUND(67.600,3)</f>
        <v>0</v>
      </c>
      <c r="G4777" s="27">
        <f ca="1">ROUND(E4777*F4777,2)</f>
        <v>0</v>
      </c>
    </row>
    <row r="4778" spans="1:7" ht="30.60" thickBot="1" customHeight="1">
      <c r="A4778" s="24" t="s">
        <v>14935</v>
      </c>
      <c r="B4778" s="24" t="s">
        <v>14936</v>
      </c>
      <c r="C4778" s="24" t="s">
        <v>14937</v>
      </c>
      <c r="D4778" s="25" t="s">
        <v>14938</v>
      </c>
      <c r="E4778" s="28">
        <v>0.02200</v>
      </c>
      <c r="F4778" s="29">
        <f ca="1">ROUND(69.200,3)</f>
        <v>0</v>
      </c>
      <c r="G4778" s="27">
        <f ca="1">ROUND(E4778*F4778,2)</f>
        <v>0</v>
      </c>
    </row>
    <row r="4779" spans="1:7" ht="39.84" thickBot="1" customHeight="1">
      <c r="A4779" s="24" t="s">
        <v>14939</v>
      </c>
      <c r="B4779" s="24" t="s">
        <v>14940</v>
      </c>
      <c r="C4779" s="24" t="s">
        <v>14941</v>
      </c>
      <c r="D4779" s="25" t="s">
        <v>14942</v>
      </c>
      <c r="E4779" s="28">
        <v>0.24700</v>
      </c>
      <c r="F4779" s="29">
        <f ca="1">ROUND(2.630,3)</f>
        <v>0</v>
      </c>
      <c r="G4779" s="27">
        <f ca="1">ROUND(E4779*F4779,2)</f>
        <v>0</v>
      </c>
    </row>
    <row r="4780" spans="1:7" ht="39.84" thickBot="1" customHeight="1">
      <c r="A4780" s="24" t="s">
        <v>14943</v>
      </c>
      <c r="B4780" s="24" t="s">
        <v>14944</v>
      </c>
      <c r="C4780" s="24" t="s">
        <v>14945</v>
      </c>
      <c r="D4780" s="25" t="s">
        <v>14946</v>
      </c>
      <c r="E4780" s="28">
        <v>0.12300</v>
      </c>
      <c r="F4780" s="29">
        <f ca="1">ROUND(4.050,3)</f>
        <v>0</v>
      </c>
      <c r="G4780" s="27">
        <f ca="1">ROUND(E4780*F4780,2)</f>
        <v>0</v>
      </c>
    </row>
    <row r="4781" spans="1:7" ht="39.84" thickBot="1" customHeight="1">
      <c r="A4781" s="24" t="s">
        <v>14947</v>
      </c>
      <c r="B4781" s="24" t="s">
        <v>14948</v>
      </c>
      <c r="C4781" s="24" t="s">
        <v>14949</v>
      </c>
      <c r="D4781" s="25" t="s">
        <v>14950</v>
      </c>
      <c r="E4781" s="28">
        <v>0.11000</v>
      </c>
      <c r="F4781" s="29">
        <f ca="1">ROUND(68.650,3)</f>
        <v>0</v>
      </c>
      <c r="G4781" s="27">
        <f ca="1">ROUND(E4781*F4781,2)</f>
        <v>0</v>
      </c>
    </row>
    <row r="4782" spans="1:7" ht="49.08" thickBot="1" customHeight="1">
      <c r="A4782" s="24" t="s">
        <v>14951</v>
      </c>
      <c r="B4782" s="24" t="s">
        <v>14952</v>
      </c>
      <c r="C4782" s="24" t="s">
        <v>14953</v>
      </c>
      <c r="D4782" s="25" t="s">
        <v>14954</v>
      </c>
      <c r="E4782" s="28">
        <v>0.01000</v>
      </c>
      <c r="F4782" s="29">
        <f ca="1">ROUND(113.250,3)</f>
        <v>0</v>
      </c>
      <c r="G4782" s="27">
        <f ca="1">ROUND(E4782*F4782,2)</f>
        <v>0</v>
      </c>
    </row>
    <row r="4783" spans="1:7" ht="21.36" thickBot="1" customHeight="1">
      <c r="A4783" s="24" t="s">
        <v>14955</v>
      </c>
      <c r="B4783" s="24" t="s">
        <v>14956</v>
      </c>
      <c r="C4783" s="24" t="s">
        <v>14957</v>
      </c>
      <c r="D4783" s="25" t="s">
        <v>14958</v>
      </c>
      <c r="E4783" s="28">
        <v>1.25000</v>
      </c>
      <c r="F4783" s="29">
        <f ca="1">F4787</f>
        <v>0</v>
      </c>
      <c r="G4783" s="27">
        <f ca="1">ROUND(E4783*F4783,2)</f>
        <v>0</v>
      </c>
    </row>
    <row r="4784" spans="1:7" ht="24.36" thickBot="1" customHeight="1">
      <c r="A4784" s="24" t="s">
        <v>14959</v>
      </c>
      <c r="B4784" s="24" t="s">
        <v>14960</v>
      </c>
      <c r="C4784" s="24" t="s">
        <v>14961</v>
      </c>
      <c r="D4784" s="25" t="s">
        <v>14962</v>
      </c>
      <c r="E4784" s="28">
        <v>1.00000</v>
      </c>
      <c r="F4784" s="29">
        <f ca="1">ROUND(21.000,3)</f>
        <v>0</v>
      </c>
      <c r="G4784" s="27">
        <f ca="1">ROUND(E4784*F4784,2)</f>
        <v>0</v>
      </c>
    </row>
    <row r="4785" spans="1:7" ht="24.36" thickBot="1" customHeight="1">
      <c r="A4785" s="24" t="s">
        <v>14963</v>
      </c>
      <c r="B4785" s="24" t="s">
        <v>14964</v>
      </c>
      <c r="C4785" s="24" t="s">
        <v>14965</v>
      </c>
      <c r="D4785" s="25" t="s">
        <v>14966</v>
      </c>
      <c r="E4785" s="28">
        <v>1.00000</v>
      </c>
      <c r="F4785" s="29">
        <f ca="1">ROUND(19.000,3)</f>
        <v>0</v>
      </c>
      <c r="G4785" s="27">
        <f ca="1">ROUND(E4785*F4785,2)</f>
        <v>0</v>
      </c>
    </row>
    <row r="4786" spans="1:7" ht="24.36" thickBot="1" customHeight="1">
      <c r="A4786" s="24" t="s">
        <v>14967</v>
      </c>
      <c r="B4786" s="24" t="s">
        <v>14968</v>
      </c>
      <c r="C4786" s="24" t="s">
        <v>14969</v>
      </c>
      <c r="D4786" s="25" t="s">
        <v>14970</v>
      </c>
      <c r="E4786" s="28">
        <v>0.20000</v>
      </c>
      <c r="F4786" s="29">
        <f ca="1">ROUND(19.000,3)</f>
        <v>0</v>
      </c>
      <c r="G4786" s="27">
        <f ca="1">ROUND(E4786*F4786,2)</f>
        <v>0</v>
      </c>
    </row>
    <row r="4787" spans="1:7" ht="15.12" thickBot="1" customHeight="1">
      <c r="A4787" s="26"/>
      <c r="B4787" s="26"/>
      <c r="C4787" s="26"/>
      <c r="D4787" s="24" t="s">
        <v>14971</v>
      </c>
      <c r="E4787" s="28">
        <v>1.25000</v>
      </c>
      <c r="F4787" s="29">
        <f ca="1">ROUND((G4784+G4785+G4786),3)</f>
        <v>0</v>
      </c>
      <c r="G4787" s="27">
        <f ca="1">ROUND(E4787*F4787,2)</f>
        <v>0</v>
      </c>
    </row>
    <row r="4788" spans="1:7" ht="15.12" thickBot="1" customHeight="1">
      <c r="A4788" s="24" t="s">
        <v>14972</v>
      </c>
      <c r="B4788" s="24"/>
      <c r="C4788" s="24" t="s">
        <v>14973</v>
      </c>
      <c r="D4788" s="25" t="s">
        <v>14974</v>
      </c>
      <c r="E4788" s="28">
        <v>5.00000</v>
      </c>
      <c r="F4788" s="29">
        <f ca="1">ROUND(54.750,3)</f>
        <v>0</v>
      </c>
      <c r="G4788" s="27">
        <f ca="1">ROUND((E4788*F4788)/100,2)</f>
        <v>0</v>
      </c>
    </row>
    <row r="4789" spans="1:7" ht="15.48" thickBot="1" customHeight="1">
      <c r="A4789" s="30"/>
      <c r="B4789" s="30"/>
      <c r="C4789" s="30"/>
      <c r="D4789" s="31" t="s">
        <v>14975</v>
      </c>
      <c r="E4789" s="30"/>
      <c r="F4789" s="33">
        <f ca="1">ROUND((G4775+G4776+G4777+G4778+G4779+G4780+G4781+G4782+G4783+G4788)*(1+G2/100),2)</f>
        <v>0</v>
      </c>
      <c r="G4789" s="30"/>
    </row>
    <row r="4790" spans="1:7" ht="15.48" thickBot="1" customHeight="1">
      <c r="A4790" s="39"/>
      <c r="B4790" s="39"/>
      <c r="C4790" s="39"/>
      <c r="D4790" s="48" t="s">
        <v>14976</v>
      </c>
      <c r="E4790" s="49"/>
      <c r="F4790" s="49"/>
      <c r="G4790" s="49"/>
    </row>
    <row r="4791" spans="1:7" ht="58.32" thickBot="1" customHeight="1">
      <c r="A4791" s="34" t="s">
        <v>14977</v>
      </c>
      <c r="B4791" s="35" t="s">
        <v>14978</v>
      </c>
      <c r="C4791" s="35" t="s">
        <v>14979</v>
      </c>
      <c r="D4791" s="36" t="s">
        <v>14980</v>
      </c>
      <c r="E4791" s="37"/>
      <c r="F4791" s="38">
        <f ca="1">F4812</f>
        <v>0</v>
      </c>
      <c r="G4791" s="37"/>
    </row>
    <row r="4792" spans="1:7" ht="243.12" thickBot="1" customHeight="1">
      <c r="A4792" s="26"/>
      <c r="B4792" s="26"/>
      <c r="C4792" s="26"/>
      <c r="D4792" s="25" t="s">
        <v>14981</v>
      </c>
      <c r="E4792" s="25"/>
      <c r="F4792" s="25"/>
      <c r="G4792" s="25"/>
    </row>
    <row r="4793" spans="1:7" ht="67.56" thickBot="1" customHeight="1">
      <c r="A4793" s="24" t="s">
        <v>14982</v>
      </c>
      <c r="B4793" s="24" t="s">
        <v>14983</v>
      </c>
      <c r="C4793" s="24" t="s">
        <v>14984</v>
      </c>
      <c r="D4793" s="25" t="s">
        <v>14985</v>
      </c>
      <c r="E4793" s="28">
        <v>0.60000</v>
      </c>
      <c r="F4793" s="29">
        <f ca="1">ROUND(3.550,3)</f>
        <v>0</v>
      </c>
      <c r="G4793" s="27">
        <f ca="1">ROUND(E4793*F4793,2)</f>
        <v>0</v>
      </c>
    </row>
    <row r="4794" spans="1:7" ht="49.08" thickBot="1" customHeight="1">
      <c r="A4794" s="24" t="s">
        <v>14986</v>
      </c>
      <c r="B4794" s="24" t="s">
        <v>14987</v>
      </c>
      <c r="C4794" s="24" t="s">
        <v>14988</v>
      </c>
      <c r="D4794" s="25" t="s">
        <v>14989</v>
      </c>
      <c r="E4794" s="28">
        <v>0.17000</v>
      </c>
      <c r="F4794" s="29">
        <f ca="1">ROUND(12.050,3)</f>
        <v>0</v>
      </c>
      <c r="G4794" s="27">
        <f ca="1">ROUND(E4794*F4794,2)</f>
        <v>0</v>
      </c>
    </row>
    <row r="4795" spans="1:7" ht="30.60" thickBot="1" customHeight="1">
      <c r="A4795" s="24" t="s">
        <v>14990</v>
      </c>
      <c r="B4795" s="24" t="s">
        <v>14991</v>
      </c>
      <c r="C4795" s="24" t="s">
        <v>14992</v>
      </c>
      <c r="D4795" s="25" t="s">
        <v>14993</v>
      </c>
      <c r="E4795" s="28">
        <v>12.00000</v>
      </c>
      <c r="F4795" s="29">
        <f ca="1">ROUND(0.960,3)</f>
        <v>0</v>
      </c>
      <c r="G4795" s="27">
        <f ca="1">ROUND(E4795*F4795,2)</f>
        <v>0</v>
      </c>
    </row>
    <row r="4796" spans="1:7" ht="169.20" thickBot="1" customHeight="1">
      <c r="A4796" s="24" t="s">
        <v>14994</v>
      </c>
      <c r="B4796" s="24" t="s">
        <v>14995</v>
      </c>
      <c r="C4796" s="24" t="s">
        <v>14996</v>
      </c>
      <c r="D4796" s="25" t="s">
        <v>14997</v>
      </c>
      <c r="E4796" s="28">
        <v>1.10000</v>
      </c>
      <c r="F4796" s="29">
        <f ca="1">ROUND(19.600,3)</f>
        <v>0</v>
      </c>
      <c r="G4796" s="27">
        <f ca="1">ROUND(E4796*F4796,2)</f>
        <v>0</v>
      </c>
    </row>
    <row r="4797" spans="1:7" ht="39.84" thickBot="1" customHeight="1">
      <c r="A4797" s="24" t="s">
        <v>14998</v>
      </c>
      <c r="B4797" s="24" t="s">
        <v>14999</v>
      </c>
      <c r="C4797" s="24" t="s">
        <v>15000</v>
      </c>
      <c r="D4797" s="25" t="s">
        <v>15001</v>
      </c>
      <c r="E4797" s="28">
        <v>8.00000</v>
      </c>
      <c r="F4797" s="29">
        <f ca="1">ROUND(0.433,3)</f>
        <v>0</v>
      </c>
      <c r="G4797" s="27">
        <f ca="1">ROUND(E4797*F4797,2)</f>
        <v>0</v>
      </c>
    </row>
    <row r="4798" spans="1:7" ht="30.60" thickBot="1" customHeight="1">
      <c r="A4798" s="24" t="s">
        <v>15002</v>
      </c>
      <c r="B4798" s="24" t="s">
        <v>15003</v>
      </c>
      <c r="C4798" s="24" t="s">
        <v>15004</v>
      </c>
      <c r="D4798" s="25" t="s">
        <v>15005</v>
      </c>
      <c r="E4798" s="28">
        <v>0.30000</v>
      </c>
      <c r="F4798" s="29">
        <f ca="1">ROUND(3.200,3)</f>
        <v>0</v>
      </c>
      <c r="G4798" s="27">
        <f ca="1">ROUND(E4798*F4798,2)</f>
        <v>0</v>
      </c>
    </row>
    <row r="4799" spans="1:7" ht="30.60" thickBot="1" customHeight="1">
      <c r="A4799" s="24" t="s">
        <v>15006</v>
      </c>
      <c r="B4799" s="24" t="s">
        <v>15007</v>
      </c>
      <c r="C4799" s="24" t="s">
        <v>15008</v>
      </c>
      <c r="D4799" s="25" t="s">
        <v>15009</v>
      </c>
      <c r="E4799" s="28">
        <v>0.30000</v>
      </c>
      <c r="F4799" s="29">
        <f ca="1">ROUND(1.300,3)</f>
        <v>0</v>
      </c>
      <c r="G4799" s="27">
        <f ca="1">ROUND(E4799*F4799,2)</f>
        <v>0</v>
      </c>
    </row>
    <row r="4800" spans="1:7" ht="30.60" thickBot="1" customHeight="1">
      <c r="A4800" s="24" t="s">
        <v>15010</v>
      </c>
      <c r="B4800" s="24" t="s">
        <v>15011</v>
      </c>
      <c r="C4800" s="24" t="s">
        <v>15012</v>
      </c>
      <c r="D4800" s="25" t="s">
        <v>15013</v>
      </c>
      <c r="E4800" s="28">
        <v>0.30000</v>
      </c>
      <c r="F4800" s="29">
        <f ca="1">ROUND(9.600,3)</f>
        <v>0</v>
      </c>
      <c r="G4800" s="27">
        <f ca="1">ROUND(E4800*F4800,2)</f>
        <v>0</v>
      </c>
    </row>
    <row r="4801" spans="1:7" ht="49.08" thickBot="1" customHeight="1">
      <c r="A4801" s="24" t="s">
        <v>15014</v>
      </c>
      <c r="B4801" s="24" t="s">
        <v>15015</v>
      </c>
      <c r="C4801" s="24" t="s">
        <v>15016</v>
      </c>
      <c r="D4801" s="25" t="s">
        <v>15017</v>
      </c>
      <c r="E4801" s="28">
        <v>1.10000</v>
      </c>
      <c r="F4801" s="29">
        <f ca="1">ROUND(1.770,3)</f>
        <v>0</v>
      </c>
      <c r="G4801" s="27">
        <f ca="1">ROUND(E4801*F4801,2)</f>
        <v>0</v>
      </c>
    </row>
    <row r="4802" spans="1:7" ht="39.84" thickBot="1" customHeight="1">
      <c r="A4802" s="24" t="s">
        <v>15018</v>
      </c>
      <c r="B4802" s="24" t="s">
        <v>15019</v>
      </c>
      <c r="C4802" s="24" t="s">
        <v>15020</v>
      </c>
      <c r="D4802" s="25" t="s">
        <v>15021</v>
      </c>
      <c r="E4802" s="28">
        <v>0.35000</v>
      </c>
      <c r="F4802" s="29">
        <f ca="1">ROUND(12.060,3)</f>
        <v>0</v>
      </c>
      <c r="G4802" s="27">
        <f ca="1">ROUND(E4802*F4802,2)</f>
        <v>0</v>
      </c>
    </row>
    <row r="4803" spans="1:7" ht="86.04" thickBot="1" customHeight="1">
      <c r="A4803" s="24" t="s">
        <v>15022</v>
      </c>
      <c r="B4803" s="24" t="s">
        <v>15023</v>
      </c>
      <c r="C4803" s="24" t="s">
        <v>15024</v>
      </c>
      <c r="D4803" s="25" t="s">
        <v>15025</v>
      </c>
      <c r="E4803" s="28">
        <v>2.50000</v>
      </c>
      <c r="F4803" s="29">
        <f ca="1">ROUND(7.180,3)</f>
        <v>0</v>
      </c>
      <c r="G4803" s="27">
        <f ca="1">ROUND(E4803*F4803,2)</f>
        <v>0</v>
      </c>
    </row>
    <row r="4804" spans="1:7" ht="39.84" thickBot="1" customHeight="1">
      <c r="A4804" s="24" t="s">
        <v>15026</v>
      </c>
      <c r="B4804" s="24" t="s">
        <v>15027</v>
      </c>
      <c r="C4804" s="24" t="s">
        <v>15028</v>
      </c>
      <c r="D4804" s="25" t="s">
        <v>15029</v>
      </c>
      <c r="E4804" s="28">
        <v>0.17000</v>
      </c>
      <c r="F4804" s="29">
        <f ca="1">ROUND(0.440,3)</f>
        <v>0</v>
      </c>
      <c r="G4804" s="27">
        <f ca="1">ROUND(E4804*F4804,2)</f>
        <v>0</v>
      </c>
    </row>
    <row r="4805" spans="1:7" ht="95.28" thickBot="1" customHeight="1">
      <c r="A4805" s="24" t="s">
        <v>15030</v>
      </c>
      <c r="B4805" s="24" t="s">
        <v>15031</v>
      </c>
      <c r="C4805" s="24" t="s">
        <v>15032</v>
      </c>
      <c r="D4805" s="25" t="s">
        <v>15033</v>
      </c>
      <c r="E4805" s="28">
        <v>0.02000</v>
      </c>
      <c r="F4805" s="29">
        <f ca="1">ROUND(8.240,3)</f>
        <v>0</v>
      </c>
      <c r="G4805" s="27">
        <f ca="1">ROUND(E4805*F4805,2)</f>
        <v>0</v>
      </c>
    </row>
    <row r="4806" spans="1:7" ht="21.36" thickBot="1" customHeight="1">
      <c r="A4806" s="24" t="s">
        <v>15034</v>
      </c>
      <c r="B4806" s="24" t="s">
        <v>15035</v>
      </c>
      <c r="C4806" s="24" t="s">
        <v>15036</v>
      </c>
      <c r="D4806" s="25" t="s">
        <v>15037</v>
      </c>
      <c r="E4806" s="28">
        <v>1.00000</v>
      </c>
      <c r="F4806" s="29">
        <f ca="1">F4810</f>
        <v>0</v>
      </c>
      <c r="G4806" s="27">
        <f ca="1">ROUND(E4806*F4806,2)</f>
        <v>0</v>
      </c>
    </row>
    <row r="4807" spans="1:7" ht="24.36" thickBot="1" customHeight="1">
      <c r="A4807" s="24" t="s">
        <v>15038</v>
      </c>
      <c r="B4807" s="24" t="s">
        <v>15039</v>
      </c>
      <c r="C4807" s="24" t="s">
        <v>15040</v>
      </c>
      <c r="D4807" s="25" t="s">
        <v>15041</v>
      </c>
      <c r="E4807" s="28">
        <v>1.00000</v>
      </c>
      <c r="F4807" s="29">
        <f ca="1">ROUND(21.000,3)</f>
        <v>0</v>
      </c>
      <c r="G4807" s="27">
        <f ca="1">ROUND(E4807*F4807,2)</f>
        <v>0</v>
      </c>
    </row>
    <row r="4808" spans="1:7" ht="24.36" thickBot="1" customHeight="1">
      <c r="A4808" s="24" t="s">
        <v>15042</v>
      </c>
      <c r="B4808" s="24" t="s">
        <v>15043</v>
      </c>
      <c r="C4808" s="24" t="s">
        <v>15044</v>
      </c>
      <c r="D4808" s="25" t="s">
        <v>15045</v>
      </c>
      <c r="E4808" s="28">
        <v>1.00000</v>
      </c>
      <c r="F4808" s="29">
        <f ca="1">ROUND(19.000,3)</f>
        <v>0</v>
      </c>
      <c r="G4808" s="27">
        <f ca="1">ROUND(E4808*F4808,2)</f>
        <v>0</v>
      </c>
    </row>
    <row r="4809" spans="1:7" ht="24.36" thickBot="1" customHeight="1">
      <c r="A4809" s="24" t="s">
        <v>15046</v>
      </c>
      <c r="B4809" s="24" t="s">
        <v>15047</v>
      </c>
      <c r="C4809" s="24" t="s">
        <v>15048</v>
      </c>
      <c r="D4809" s="25" t="s">
        <v>15049</v>
      </c>
      <c r="E4809" s="28">
        <v>0.20000</v>
      </c>
      <c r="F4809" s="29">
        <f ca="1">ROUND(19.000,3)</f>
        <v>0</v>
      </c>
      <c r="G4809" s="27">
        <f ca="1">ROUND(E4809*F4809,2)</f>
        <v>0</v>
      </c>
    </row>
    <row r="4810" spans="1:7" ht="15.12" thickBot="1" customHeight="1">
      <c r="A4810" s="26"/>
      <c r="B4810" s="26"/>
      <c r="C4810" s="26"/>
      <c r="D4810" s="24" t="s">
        <v>15050</v>
      </c>
      <c r="E4810" s="28">
        <v>1.00000</v>
      </c>
      <c r="F4810" s="29">
        <f ca="1">ROUND((G4807+G4808+G4809),3)</f>
        <v>0</v>
      </c>
      <c r="G4810" s="27">
        <f ca="1">ROUND(E4810*F4810,2)</f>
        <v>0</v>
      </c>
    </row>
    <row r="4811" spans="1:7" ht="15.12" thickBot="1" customHeight="1">
      <c r="A4811" s="24" t="s">
        <v>15051</v>
      </c>
      <c r="B4811" s="24"/>
      <c r="C4811" s="24" t="s">
        <v>15052</v>
      </c>
      <c r="D4811" s="25" t="s">
        <v>15053</v>
      </c>
      <c r="E4811" s="28">
        <v>5.00000</v>
      </c>
      <c r="F4811" s="29">
        <f ca="1">ROUND(113.100,3)</f>
        <v>0</v>
      </c>
      <c r="G4811" s="27">
        <f ca="1">ROUND((E4811*F4811)/100,2)</f>
        <v>0</v>
      </c>
    </row>
    <row r="4812" spans="1:7" ht="15.48" thickBot="1" customHeight="1">
      <c r="A4812" s="30"/>
      <c r="B4812" s="30"/>
      <c r="C4812" s="30"/>
      <c r="D4812" s="31" t="s">
        <v>15054</v>
      </c>
      <c r="E4812" s="30"/>
      <c r="F4812" s="33">
        <f ca="1">ROUND((G4793+G4794+G4795+G4796+G4797+G4798+G4799+G4800+G4801+G4802+G4803+G4804+G4805+G4806+G4811)*(1+G2/100),2)</f>
        <v>0</v>
      </c>
      <c r="G4812" s="30"/>
    </row>
    <row r="4813" spans="1:7" ht="58.32" thickBot="1" customHeight="1">
      <c r="A4813" s="34" t="s">
        <v>15055</v>
      </c>
      <c r="B4813" s="35" t="s">
        <v>15056</v>
      </c>
      <c r="C4813" s="35" t="s">
        <v>15057</v>
      </c>
      <c r="D4813" s="36" t="s">
        <v>15058</v>
      </c>
      <c r="E4813" s="37"/>
      <c r="F4813" s="38">
        <f ca="1">F4834</f>
        <v>0</v>
      </c>
      <c r="G4813" s="37"/>
    </row>
    <row r="4814" spans="1:7" ht="243.12" thickBot="1" customHeight="1">
      <c r="A4814" s="26"/>
      <c r="B4814" s="26"/>
      <c r="C4814" s="26"/>
      <c r="D4814" s="25" t="s">
        <v>15059</v>
      </c>
      <c r="E4814" s="25"/>
      <c r="F4814" s="25"/>
      <c r="G4814" s="25"/>
    </row>
    <row r="4815" spans="1:7" ht="67.56" thickBot="1" customHeight="1">
      <c r="A4815" s="24" t="s">
        <v>15060</v>
      </c>
      <c r="B4815" s="24" t="s">
        <v>15061</v>
      </c>
      <c r="C4815" s="24" t="s">
        <v>15062</v>
      </c>
      <c r="D4815" s="25" t="s">
        <v>15063</v>
      </c>
      <c r="E4815" s="28">
        <v>0.60000</v>
      </c>
      <c r="F4815" s="29">
        <f ca="1">ROUND(3.550,3)</f>
        <v>0</v>
      </c>
      <c r="G4815" s="27">
        <f ca="1">ROUND(E4815*F4815,2)</f>
        <v>0</v>
      </c>
    </row>
    <row r="4816" spans="1:7" ht="49.08" thickBot="1" customHeight="1">
      <c r="A4816" s="24" t="s">
        <v>15064</v>
      </c>
      <c r="B4816" s="24" t="s">
        <v>15065</v>
      </c>
      <c r="C4816" s="24" t="s">
        <v>15066</v>
      </c>
      <c r="D4816" s="25" t="s">
        <v>15067</v>
      </c>
      <c r="E4816" s="28">
        <v>0.17000</v>
      </c>
      <c r="F4816" s="29">
        <f ca="1">ROUND(12.050,3)</f>
        <v>0</v>
      </c>
      <c r="G4816" s="27">
        <f ca="1">ROUND(E4816*F4816,2)</f>
        <v>0</v>
      </c>
    </row>
    <row r="4817" spans="1:7" ht="30.60" thickBot="1" customHeight="1">
      <c r="A4817" s="24" t="s">
        <v>15068</v>
      </c>
      <c r="B4817" s="24" t="s">
        <v>15069</v>
      </c>
      <c r="C4817" s="24" t="s">
        <v>15070</v>
      </c>
      <c r="D4817" s="25" t="s">
        <v>15071</v>
      </c>
      <c r="E4817" s="28">
        <v>12.00000</v>
      </c>
      <c r="F4817" s="29">
        <f ca="1">ROUND(0.960,3)</f>
        <v>0</v>
      </c>
      <c r="G4817" s="27">
        <f ca="1">ROUND(E4817*F4817,2)</f>
        <v>0</v>
      </c>
    </row>
    <row r="4818" spans="1:7" ht="169.20" thickBot="1" customHeight="1">
      <c r="A4818" s="24" t="s">
        <v>15072</v>
      </c>
      <c r="B4818" s="24" t="s">
        <v>15073</v>
      </c>
      <c r="C4818" s="24" t="s">
        <v>15074</v>
      </c>
      <c r="D4818" s="25" t="s">
        <v>15075</v>
      </c>
      <c r="E4818" s="28">
        <v>1.10000</v>
      </c>
      <c r="F4818" s="29">
        <f ca="1">ROUND(28.350,3)</f>
        <v>0</v>
      </c>
      <c r="G4818" s="27">
        <f ca="1">ROUND(E4818*F4818,2)</f>
        <v>0</v>
      </c>
    </row>
    <row r="4819" spans="1:7" ht="39.84" thickBot="1" customHeight="1">
      <c r="A4819" s="24" t="s">
        <v>15076</v>
      </c>
      <c r="B4819" s="24" t="s">
        <v>15077</v>
      </c>
      <c r="C4819" s="24" t="s">
        <v>15078</v>
      </c>
      <c r="D4819" s="25" t="s">
        <v>15079</v>
      </c>
      <c r="E4819" s="28">
        <v>8.00000</v>
      </c>
      <c r="F4819" s="29">
        <f ca="1">ROUND(0.433,3)</f>
        <v>0</v>
      </c>
      <c r="G4819" s="27">
        <f ca="1">ROUND(E4819*F4819,2)</f>
        <v>0</v>
      </c>
    </row>
    <row r="4820" spans="1:7" ht="30.60" thickBot="1" customHeight="1">
      <c r="A4820" s="24" t="s">
        <v>15080</v>
      </c>
      <c r="B4820" s="24" t="s">
        <v>15081</v>
      </c>
      <c r="C4820" s="24" t="s">
        <v>15082</v>
      </c>
      <c r="D4820" s="25" t="s">
        <v>15083</v>
      </c>
      <c r="E4820" s="28">
        <v>0.30000</v>
      </c>
      <c r="F4820" s="29">
        <f ca="1">ROUND(3.200,3)</f>
        <v>0</v>
      </c>
      <c r="G4820" s="27">
        <f ca="1">ROUND(E4820*F4820,2)</f>
        <v>0</v>
      </c>
    </row>
    <row r="4821" spans="1:7" ht="30.60" thickBot="1" customHeight="1">
      <c r="A4821" s="24" t="s">
        <v>15084</v>
      </c>
      <c r="B4821" s="24" t="s">
        <v>15085</v>
      </c>
      <c r="C4821" s="24" t="s">
        <v>15086</v>
      </c>
      <c r="D4821" s="25" t="s">
        <v>15087</v>
      </c>
      <c r="E4821" s="28">
        <v>0.30000</v>
      </c>
      <c r="F4821" s="29">
        <f ca="1">ROUND(1.300,3)</f>
        <v>0</v>
      </c>
      <c r="G4821" s="27">
        <f ca="1">ROUND(E4821*F4821,2)</f>
        <v>0</v>
      </c>
    </row>
    <row r="4822" spans="1:7" ht="30.60" thickBot="1" customHeight="1">
      <c r="A4822" s="24" t="s">
        <v>15088</v>
      </c>
      <c r="B4822" s="24" t="s">
        <v>15089</v>
      </c>
      <c r="C4822" s="24" t="s">
        <v>15090</v>
      </c>
      <c r="D4822" s="25" t="s">
        <v>15091</v>
      </c>
      <c r="E4822" s="28">
        <v>0.30000</v>
      </c>
      <c r="F4822" s="29">
        <f ca="1">ROUND(9.600,3)</f>
        <v>0</v>
      </c>
      <c r="G4822" s="27">
        <f ca="1">ROUND(E4822*F4822,2)</f>
        <v>0</v>
      </c>
    </row>
    <row r="4823" spans="1:7" ht="49.08" thickBot="1" customHeight="1">
      <c r="A4823" s="24" t="s">
        <v>15092</v>
      </c>
      <c r="B4823" s="24" t="s">
        <v>15093</v>
      </c>
      <c r="C4823" s="24" t="s">
        <v>15094</v>
      </c>
      <c r="D4823" s="25" t="s">
        <v>15095</v>
      </c>
      <c r="E4823" s="28">
        <v>1.10000</v>
      </c>
      <c r="F4823" s="29">
        <f ca="1">ROUND(1.770,3)</f>
        <v>0</v>
      </c>
      <c r="G4823" s="27">
        <f ca="1">ROUND(E4823*F4823,2)</f>
        <v>0</v>
      </c>
    </row>
    <row r="4824" spans="1:7" ht="39.84" thickBot="1" customHeight="1">
      <c r="A4824" s="24" t="s">
        <v>15096</v>
      </c>
      <c r="B4824" s="24" t="s">
        <v>15097</v>
      </c>
      <c r="C4824" s="24" t="s">
        <v>15098</v>
      </c>
      <c r="D4824" s="25" t="s">
        <v>15099</v>
      </c>
      <c r="E4824" s="28">
        <v>0.35000</v>
      </c>
      <c r="F4824" s="29">
        <f ca="1">ROUND(12.060,3)</f>
        <v>0</v>
      </c>
      <c r="G4824" s="27">
        <f ca="1">ROUND(E4824*F4824,2)</f>
        <v>0</v>
      </c>
    </row>
    <row r="4825" spans="1:7" ht="86.04" thickBot="1" customHeight="1">
      <c r="A4825" s="24" t="s">
        <v>15100</v>
      </c>
      <c r="B4825" s="24" t="s">
        <v>15101</v>
      </c>
      <c r="C4825" s="24" t="s">
        <v>15102</v>
      </c>
      <c r="D4825" s="25" t="s">
        <v>15103</v>
      </c>
      <c r="E4825" s="28">
        <v>2.50000</v>
      </c>
      <c r="F4825" s="29">
        <f ca="1">ROUND(7.180,3)</f>
        <v>0</v>
      </c>
      <c r="G4825" s="27">
        <f ca="1">ROUND(E4825*F4825,2)</f>
        <v>0</v>
      </c>
    </row>
    <row r="4826" spans="1:7" ht="39.84" thickBot="1" customHeight="1">
      <c r="A4826" s="24" t="s">
        <v>15104</v>
      </c>
      <c r="B4826" s="24" t="s">
        <v>15105</v>
      </c>
      <c r="C4826" s="24" t="s">
        <v>15106</v>
      </c>
      <c r="D4826" s="25" t="s">
        <v>15107</v>
      </c>
      <c r="E4826" s="28">
        <v>0.17000</v>
      </c>
      <c r="F4826" s="29">
        <f ca="1">ROUND(0.440,3)</f>
        <v>0</v>
      </c>
      <c r="G4826" s="27">
        <f ca="1">ROUND(E4826*F4826,2)</f>
        <v>0</v>
      </c>
    </row>
    <row r="4827" spans="1:7" ht="95.28" thickBot="1" customHeight="1">
      <c r="A4827" s="24" t="s">
        <v>15108</v>
      </c>
      <c r="B4827" s="24" t="s">
        <v>15109</v>
      </c>
      <c r="C4827" s="24" t="s">
        <v>15110</v>
      </c>
      <c r="D4827" s="25" t="s">
        <v>15111</v>
      </c>
      <c r="E4827" s="28">
        <v>0.02000</v>
      </c>
      <c r="F4827" s="29">
        <f ca="1">ROUND(8.240,3)</f>
        <v>0</v>
      </c>
      <c r="G4827" s="27">
        <f ca="1">ROUND(E4827*F4827,2)</f>
        <v>0</v>
      </c>
    </row>
    <row r="4828" spans="1:7" ht="21.36" thickBot="1" customHeight="1">
      <c r="A4828" s="24" t="s">
        <v>15112</v>
      </c>
      <c r="B4828" s="24" t="s">
        <v>15113</v>
      </c>
      <c r="C4828" s="24" t="s">
        <v>15114</v>
      </c>
      <c r="D4828" s="25" t="s">
        <v>15115</v>
      </c>
      <c r="E4828" s="28">
        <v>1.00000</v>
      </c>
      <c r="F4828" s="29">
        <f ca="1">F4832</f>
        <v>0</v>
      </c>
      <c r="G4828" s="27">
        <f ca="1">ROUND(E4828*F4828,2)</f>
        <v>0</v>
      </c>
    </row>
    <row r="4829" spans="1:7" ht="24.36" thickBot="1" customHeight="1">
      <c r="A4829" s="24" t="s">
        <v>15116</v>
      </c>
      <c r="B4829" s="24" t="s">
        <v>15117</v>
      </c>
      <c r="C4829" s="24" t="s">
        <v>15118</v>
      </c>
      <c r="D4829" s="25" t="s">
        <v>15119</v>
      </c>
      <c r="E4829" s="28">
        <v>1.00000</v>
      </c>
      <c r="F4829" s="29">
        <f ca="1">ROUND(21.000,3)</f>
        <v>0</v>
      </c>
      <c r="G4829" s="27">
        <f ca="1">ROUND(E4829*F4829,2)</f>
        <v>0</v>
      </c>
    </row>
    <row r="4830" spans="1:7" ht="24.36" thickBot="1" customHeight="1">
      <c r="A4830" s="24" t="s">
        <v>15120</v>
      </c>
      <c r="B4830" s="24" t="s">
        <v>15121</v>
      </c>
      <c r="C4830" s="24" t="s">
        <v>15122</v>
      </c>
      <c r="D4830" s="25" t="s">
        <v>15123</v>
      </c>
      <c r="E4830" s="28">
        <v>1.00000</v>
      </c>
      <c r="F4830" s="29">
        <f ca="1">ROUND(19.000,3)</f>
        <v>0</v>
      </c>
      <c r="G4830" s="27">
        <f ca="1">ROUND(E4830*F4830,2)</f>
        <v>0</v>
      </c>
    </row>
    <row r="4831" spans="1:7" ht="24.36" thickBot="1" customHeight="1">
      <c r="A4831" s="24" t="s">
        <v>15124</v>
      </c>
      <c r="B4831" s="24" t="s">
        <v>15125</v>
      </c>
      <c r="C4831" s="24" t="s">
        <v>15126</v>
      </c>
      <c r="D4831" s="25" t="s">
        <v>15127</v>
      </c>
      <c r="E4831" s="28">
        <v>0.20000</v>
      </c>
      <c r="F4831" s="29">
        <f ca="1">ROUND(19.000,3)</f>
        <v>0</v>
      </c>
      <c r="G4831" s="27">
        <f ca="1">ROUND(E4831*F4831,2)</f>
        <v>0</v>
      </c>
    </row>
    <row r="4832" spans="1:7" ht="15.12" thickBot="1" customHeight="1">
      <c r="A4832" s="26"/>
      <c r="B4832" s="26"/>
      <c r="C4832" s="26"/>
      <c r="D4832" s="24" t="s">
        <v>15128</v>
      </c>
      <c r="E4832" s="28">
        <v>1.00000</v>
      </c>
      <c r="F4832" s="29">
        <f ca="1">ROUND((G4829+G4830+G4831),3)</f>
        <v>0</v>
      </c>
      <c r="G4832" s="27">
        <f ca="1">ROUND(E4832*F4832,2)</f>
        <v>0</v>
      </c>
    </row>
    <row r="4833" spans="1:7" ht="15.12" thickBot="1" customHeight="1">
      <c r="A4833" s="24" t="s">
        <v>15129</v>
      </c>
      <c r="B4833" s="24"/>
      <c r="C4833" s="24" t="s">
        <v>15130</v>
      </c>
      <c r="D4833" s="25" t="s">
        <v>15131</v>
      </c>
      <c r="E4833" s="28">
        <v>5.00000</v>
      </c>
      <c r="F4833" s="29">
        <f ca="1">ROUND(122.730,3)</f>
        <v>0</v>
      </c>
      <c r="G4833" s="27">
        <f ca="1">ROUND((E4833*F4833)/100,2)</f>
        <v>0</v>
      </c>
    </row>
    <row r="4834" spans="1:7" ht="15.48" thickBot="1" customHeight="1">
      <c r="A4834" s="30"/>
      <c r="B4834" s="30"/>
      <c r="C4834" s="30"/>
      <c r="D4834" s="31" t="s">
        <v>15132</v>
      </c>
      <c r="E4834" s="30"/>
      <c r="F4834" s="33">
        <f ca="1">ROUND((G4815+G4816+G4817+G4818+G4819+G4820+G4821+G4822+G4823+G4824+G4825+G4826+G4827+G4828+G4833)*(1+G2/100),2)</f>
        <v>0</v>
      </c>
      <c r="G4834" s="30"/>
    </row>
    <row r="4835" spans="1:7" ht="34.68" thickBot="1" customHeight="1">
      <c r="A4835" s="34" t="s">
        <v>15133</v>
      </c>
      <c r="B4835" s="35" t="s">
        <v>15134</v>
      </c>
      <c r="C4835" s="35" t="s">
        <v>15135</v>
      </c>
      <c r="D4835" s="36" t="s">
        <v>15136</v>
      </c>
      <c r="E4835" s="37"/>
      <c r="F4835" s="38">
        <f ca="1">F4846</f>
        <v>0</v>
      </c>
      <c r="G4835" s="37"/>
    </row>
    <row r="4836" spans="1:7" ht="12.12" thickBot="1" customHeight="1">
      <c r="A4836" s="26"/>
      <c r="B4836" s="26"/>
      <c r="C4836" s="26"/>
      <c r="D4836" s="25" t="s">
        <v>15137</v>
      </c>
      <c r="E4836" s="25"/>
      <c r="F4836" s="25"/>
      <c r="G4836" s="25"/>
    </row>
    <row r="4837" spans="1:7" ht="30.60" thickBot="1" customHeight="1">
      <c r="A4837" s="24" t="s">
        <v>15138</v>
      </c>
      <c r="B4837" s="24" t="s">
        <v>15139</v>
      </c>
      <c r="C4837" s="24" t="s">
        <v>15140</v>
      </c>
      <c r="D4837" s="25" t="s">
        <v>15141</v>
      </c>
      <c r="E4837" s="28">
        <v>0.01650</v>
      </c>
      <c r="F4837" s="29">
        <f ca="1">ROUND(143.220,3)</f>
        <v>0</v>
      </c>
      <c r="G4837" s="27">
        <f ca="1">ROUND(E4837*F4837,2)</f>
        <v>0</v>
      </c>
    </row>
    <row r="4838" spans="1:7" ht="39.84" thickBot="1" customHeight="1">
      <c r="A4838" s="24" t="s">
        <v>15142</v>
      </c>
      <c r="B4838" s="24" t="s">
        <v>15143</v>
      </c>
      <c r="C4838" s="24" t="s">
        <v>15144</v>
      </c>
      <c r="D4838" s="25" t="s">
        <v>15145</v>
      </c>
      <c r="E4838" s="28">
        <v>1.00000</v>
      </c>
      <c r="F4838" s="29">
        <f ca="1">ROUND(6.800,3)</f>
        <v>0</v>
      </c>
      <c r="G4838" s="27">
        <f ca="1">ROUND(E4838*F4838,2)</f>
        <v>0</v>
      </c>
    </row>
    <row r="4839" spans="1:7" ht="39.84" thickBot="1" customHeight="1">
      <c r="A4839" s="24" t="s">
        <v>15146</v>
      </c>
      <c r="B4839" s="24" t="s">
        <v>15147</v>
      </c>
      <c r="C4839" s="24" t="s">
        <v>15148</v>
      </c>
      <c r="D4839" s="25" t="s">
        <v>15149</v>
      </c>
      <c r="E4839" s="28">
        <v>0.02000</v>
      </c>
      <c r="F4839" s="29">
        <f ca="1">ROUND(104.030,3)</f>
        <v>0</v>
      </c>
      <c r="G4839" s="27">
        <f ca="1">ROUND(E4839*F4839,2)</f>
        <v>0</v>
      </c>
    </row>
    <row r="4840" spans="1:7" ht="21.36" thickBot="1" customHeight="1">
      <c r="A4840" s="24" t="s">
        <v>15150</v>
      </c>
      <c r="B4840" s="24" t="s">
        <v>15151</v>
      </c>
      <c r="C4840" s="24" t="s">
        <v>15152</v>
      </c>
      <c r="D4840" s="25" t="s">
        <v>15153</v>
      </c>
      <c r="E4840" s="28">
        <v>0.65000</v>
      </c>
      <c r="F4840" s="29">
        <f ca="1">F4844</f>
        <v>0</v>
      </c>
      <c r="G4840" s="27">
        <f ca="1">ROUND(E4840*F4840,2)</f>
        <v>0</v>
      </c>
    </row>
    <row r="4841" spans="1:7" ht="24.36" thickBot="1" customHeight="1">
      <c r="A4841" s="24" t="s">
        <v>15154</v>
      </c>
      <c r="B4841" s="24" t="s">
        <v>15155</v>
      </c>
      <c r="C4841" s="24" t="s">
        <v>15156</v>
      </c>
      <c r="D4841" s="25" t="s">
        <v>15157</v>
      </c>
      <c r="E4841" s="28">
        <v>1.00000</v>
      </c>
      <c r="F4841" s="29">
        <f ca="1">ROUND(21.000,3)</f>
        <v>0</v>
      </c>
      <c r="G4841" s="27">
        <f ca="1">ROUND(E4841*F4841,2)</f>
        <v>0</v>
      </c>
    </row>
    <row r="4842" spans="1:7" ht="24.36" thickBot="1" customHeight="1">
      <c r="A4842" s="24" t="s">
        <v>15158</v>
      </c>
      <c r="B4842" s="24" t="s">
        <v>15159</v>
      </c>
      <c r="C4842" s="24" t="s">
        <v>15160</v>
      </c>
      <c r="D4842" s="25" t="s">
        <v>15161</v>
      </c>
      <c r="E4842" s="28">
        <v>1.00000</v>
      </c>
      <c r="F4842" s="29">
        <f ca="1">ROUND(19.000,3)</f>
        <v>0</v>
      </c>
      <c r="G4842" s="27">
        <f ca="1">ROUND(E4842*F4842,2)</f>
        <v>0</v>
      </c>
    </row>
    <row r="4843" spans="1:7" ht="24.36" thickBot="1" customHeight="1">
      <c r="A4843" s="24" t="s">
        <v>15162</v>
      </c>
      <c r="B4843" s="24" t="s">
        <v>15163</v>
      </c>
      <c r="C4843" s="24" t="s">
        <v>15164</v>
      </c>
      <c r="D4843" s="25" t="s">
        <v>15165</v>
      </c>
      <c r="E4843" s="28">
        <v>0.20000</v>
      </c>
      <c r="F4843" s="29">
        <f ca="1">ROUND(19.000,3)</f>
        <v>0</v>
      </c>
      <c r="G4843" s="27">
        <f ca="1">ROUND(E4843*F4843,2)</f>
        <v>0</v>
      </c>
    </row>
    <row r="4844" spans="1:7" ht="15.12" thickBot="1" customHeight="1">
      <c r="A4844" s="26"/>
      <c r="B4844" s="26"/>
      <c r="C4844" s="26"/>
      <c r="D4844" s="24" t="s">
        <v>15166</v>
      </c>
      <c r="E4844" s="28">
        <v>0.65000</v>
      </c>
      <c r="F4844" s="29">
        <f ca="1">ROUND((G4841+G4842+G4843),3)</f>
        <v>0</v>
      </c>
      <c r="G4844" s="27">
        <f ca="1">ROUND(E4844*F4844,2)</f>
        <v>0</v>
      </c>
    </row>
    <row r="4845" spans="1:7" ht="15.12" thickBot="1" customHeight="1">
      <c r="A4845" s="24" t="s">
        <v>15167</v>
      </c>
      <c r="B4845" s="24"/>
      <c r="C4845" s="24" t="s">
        <v>15168</v>
      </c>
      <c r="D4845" s="25" t="s">
        <v>15169</v>
      </c>
      <c r="E4845" s="28">
        <v>3.00000</v>
      </c>
      <c r="F4845" s="29">
        <f ca="1">ROUND(28.470,3)</f>
        <v>0</v>
      </c>
      <c r="G4845" s="27">
        <f ca="1">ROUND((E4845*F4845)/100,2)</f>
        <v>0</v>
      </c>
    </row>
    <row r="4846" spans="1:7" ht="25.08" thickBot="1" customHeight="1">
      <c r="A4846" s="30"/>
      <c r="B4846" s="30"/>
      <c r="C4846" s="30"/>
      <c r="D4846" s="31" t="s">
        <v>15170</v>
      </c>
      <c r="E4846" s="30"/>
      <c r="F4846" s="33">
        <f ca="1">ROUND((G4837+G4838+G4839+G4840+G4845)*(1+G2/100),2)</f>
        <v>0</v>
      </c>
      <c r="G4846" s="30"/>
    </row>
    <row r="4847" spans="1:7" ht="21.36" thickBot="1" customHeight="1">
      <c r="A4847" s="34" t="s">
        <v>15171</v>
      </c>
      <c r="B4847" s="35" t="s">
        <v>15172</v>
      </c>
      <c r="C4847" s="35" t="s">
        <v>15173</v>
      </c>
      <c r="D4847" s="36" t="s">
        <v>15174</v>
      </c>
      <c r="E4847" s="37"/>
      <c r="F4847" s="38">
        <f ca="1">F4863</f>
        <v>0</v>
      </c>
      <c r="G4847" s="37"/>
    </row>
    <row r="4848" spans="1:7" ht="12.12" thickBot="1" customHeight="1">
      <c r="A4848" s="26"/>
      <c r="B4848" s="26"/>
      <c r="C4848" s="26"/>
      <c r="D4848" s="25" t="s">
        <v>15175</v>
      </c>
      <c r="E4848" s="25"/>
      <c r="F4848" s="25"/>
      <c r="G4848" s="25"/>
    </row>
    <row r="4849" spans="1:7" ht="39.84" thickBot="1" customHeight="1">
      <c r="A4849" s="24" t="s">
        <v>15176</v>
      </c>
      <c r="B4849" s="24" t="s">
        <v>15177</v>
      </c>
      <c r="C4849" s="24" t="s">
        <v>15178</v>
      </c>
      <c r="D4849" s="25" t="s">
        <v>15179</v>
      </c>
      <c r="E4849" s="28">
        <v>0.14000</v>
      </c>
      <c r="F4849" s="29">
        <f ca="1">ROUND(13.450,3)</f>
        <v>0</v>
      </c>
      <c r="G4849" s="27">
        <f ca="1">ROUND(E4849*F4849,2)</f>
        <v>0</v>
      </c>
    </row>
    <row r="4850" spans="1:7" ht="30.60" thickBot="1" customHeight="1">
      <c r="A4850" s="24" t="s">
        <v>15180</v>
      </c>
      <c r="B4850" s="24" t="s">
        <v>15181</v>
      </c>
      <c r="C4850" s="24" t="s">
        <v>15182</v>
      </c>
      <c r="D4850" s="25" t="s">
        <v>15183</v>
      </c>
      <c r="E4850" s="28">
        <v>2.20000</v>
      </c>
      <c r="F4850" s="29">
        <f ca="1">ROUND(3.380,3)</f>
        <v>0</v>
      </c>
      <c r="G4850" s="27">
        <f ca="1">ROUND(E4850*F4850,2)</f>
        <v>0</v>
      </c>
    </row>
    <row r="4851" spans="1:7" ht="49.08" thickBot="1" customHeight="1">
      <c r="A4851" s="24" t="s">
        <v>15184</v>
      </c>
      <c r="B4851" s="24" t="s">
        <v>15185</v>
      </c>
      <c r="C4851" s="24" t="s">
        <v>15186</v>
      </c>
      <c r="D4851" s="25" t="s">
        <v>15187</v>
      </c>
      <c r="E4851" s="28">
        <v>0.03500</v>
      </c>
      <c r="F4851" s="29">
        <f ca="1">ROUND(35.690,3)</f>
        <v>0</v>
      </c>
      <c r="G4851" s="27">
        <f ca="1">ROUND(E4851*F4851,2)</f>
        <v>0</v>
      </c>
    </row>
    <row r="4852" spans="1:7" ht="30.60" thickBot="1" customHeight="1">
      <c r="A4852" s="24" t="s">
        <v>15188</v>
      </c>
      <c r="B4852" s="24" t="s">
        <v>15189</v>
      </c>
      <c r="C4852" s="24" t="s">
        <v>15190</v>
      </c>
      <c r="D4852" s="25" t="s">
        <v>15191</v>
      </c>
      <c r="E4852" s="28">
        <v>0.06000</v>
      </c>
      <c r="F4852" s="29">
        <f ca="1">ROUND(52.250,3)</f>
        <v>0</v>
      </c>
      <c r="G4852" s="27">
        <f ca="1">ROUND(E4852*F4852,2)</f>
        <v>0</v>
      </c>
    </row>
    <row r="4853" spans="1:7" ht="39.84" thickBot="1" customHeight="1">
      <c r="A4853" s="24" t="s">
        <v>15192</v>
      </c>
      <c r="B4853" s="24" t="s">
        <v>15193</v>
      </c>
      <c r="C4853" s="24" t="s">
        <v>15194</v>
      </c>
      <c r="D4853" s="25" t="s">
        <v>15195</v>
      </c>
      <c r="E4853" s="28">
        <v>0.08000</v>
      </c>
      <c r="F4853" s="29">
        <f ca="1">ROUND(15.780,3)</f>
        <v>0</v>
      </c>
      <c r="G4853" s="27">
        <f ca="1">ROUND(E4853*F4853,2)</f>
        <v>0</v>
      </c>
    </row>
    <row r="4854" spans="1:7" ht="39.84" thickBot="1" customHeight="1">
      <c r="A4854" s="24" t="s">
        <v>15196</v>
      </c>
      <c r="B4854" s="24" t="s">
        <v>15197</v>
      </c>
      <c r="C4854" s="24" t="s">
        <v>15198</v>
      </c>
      <c r="D4854" s="25" t="s">
        <v>15199</v>
      </c>
      <c r="E4854" s="28">
        <v>0.10000</v>
      </c>
      <c r="F4854" s="29">
        <f ca="1">ROUND(4.050,3)</f>
        <v>0</v>
      </c>
      <c r="G4854" s="27">
        <f ca="1">ROUND(E4854*F4854,2)</f>
        <v>0</v>
      </c>
    </row>
    <row r="4855" spans="1:7" ht="39.84" thickBot="1" customHeight="1">
      <c r="A4855" s="24" t="s">
        <v>15200</v>
      </c>
      <c r="B4855" s="24" t="s">
        <v>15201</v>
      </c>
      <c r="C4855" s="24" t="s">
        <v>15202</v>
      </c>
      <c r="D4855" s="25" t="s">
        <v>15203</v>
      </c>
      <c r="E4855" s="28">
        <v>0.20000</v>
      </c>
      <c r="F4855" s="29">
        <f ca="1">ROUND(2.630,3)</f>
        <v>0</v>
      </c>
      <c r="G4855" s="27">
        <f ca="1">ROUND(E4855*F4855,2)</f>
        <v>0</v>
      </c>
    </row>
    <row r="4856" spans="1:7" ht="30.60" thickBot="1" customHeight="1">
      <c r="A4856" s="24" t="s">
        <v>15204</v>
      </c>
      <c r="B4856" s="24" t="s">
        <v>15205</v>
      </c>
      <c r="C4856" s="24" t="s">
        <v>15206</v>
      </c>
      <c r="D4856" s="25" t="s">
        <v>15207</v>
      </c>
      <c r="E4856" s="28">
        <v>0.27500</v>
      </c>
      <c r="F4856" s="29">
        <f ca="1">ROUND(55.500,3)</f>
        <v>0</v>
      </c>
      <c r="G4856" s="27">
        <f ca="1">ROUND(E4856*F4856,2)</f>
        <v>0</v>
      </c>
    </row>
    <row r="4857" spans="1:7" ht="30.60" thickBot="1" customHeight="1">
      <c r="A4857" s="24" t="s">
        <v>15208</v>
      </c>
      <c r="B4857" s="24" t="s">
        <v>15209</v>
      </c>
      <c r="C4857" s="24" t="s">
        <v>15210</v>
      </c>
      <c r="D4857" s="25" t="s">
        <v>15211</v>
      </c>
      <c r="E4857" s="28">
        <v>0.13500</v>
      </c>
      <c r="F4857" s="29">
        <f ca="1">ROUND(60.400,3)</f>
        <v>0</v>
      </c>
      <c r="G4857" s="27">
        <f ca="1">ROUND(E4857*F4857,2)</f>
        <v>0</v>
      </c>
    </row>
    <row r="4858" spans="1:7" ht="21.36" thickBot="1" customHeight="1">
      <c r="A4858" s="24" t="s">
        <v>15212</v>
      </c>
      <c r="B4858" s="24" t="s">
        <v>15213</v>
      </c>
      <c r="C4858" s="24" t="s">
        <v>15214</v>
      </c>
      <c r="D4858" s="25" t="s">
        <v>15215</v>
      </c>
      <c r="E4858" s="28">
        <v>0.71000</v>
      </c>
      <c r="F4858" s="29">
        <f ca="1">F4862</f>
        <v>0</v>
      </c>
      <c r="G4858" s="27">
        <f ca="1">ROUND(E4858*F4858,2)</f>
        <v>0</v>
      </c>
    </row>
    <row r="4859" spans="1:7" ht="24.36" thickBot="1" customHeight="1">
      <c r="A4859" s="24" t="s">
        <v>15216</v>
      </c>
      <c r="B4859" s="24" t="s">
        <v>15217</v>
      </c>
      <c r="C4859" s="24" t="s">
        <v>15218</v>
      </c>
      <c r="D4859" s="25" t="s">
        <v>15219</v>
      </c>
      <c r="E4859" s="28">
        <v>1.00000</v>
      </c>
      <c r="F4859" s="29">
        <f ca="1">ROUND(21.000,3)</f>
        <v>0</v>
      </c>
      <c r="G4859" s="27">
        <f ca="1">ROUND(E4859*F4859,2)</f>
        <v>0</v>
      </c>
    </row>
    <row r="4860" spans="1:7" ht="24.36" thickBot="1" customHeight="1">
      <c r="A4860" s="24" t="s">
        <v>15220</v>
      </c>
      <c r="B4860" s="24" t="s">
        <v>15221</v>
      </c>
      <c r="C4860" s="24" t="s">
        <v>15222</v>
      </c>
      <c r="D4860" s="25" t="s">
        <v>15223</v>
      </c>
      <c r="E4860" s="28">
        <v>1.00000</v>
      </c>
      <c r="F4860" s="29">
        <f ca="1">ROUND(19.000,3)</f>
        <v>0</v>
      </c>
      <c r="G4860" s="27">
        <f ca="1">ROUND(E4860*F4860,2)</f>
        <v>0</v>
      </c>
    </row>
    <row r="4861" spans="1:7" ht="24.36" thickBot="1" customHeight="1">
      <c r="A4861" s="24" t="s">
        <v>15224</v>
      </c>
      <c r="B4861" s="24" t="s">
        <v>15225</v>
      </c>
      <c r="C4861" s="24" t="s">
        <v>15226</v>
      </c>
      <c r="D4861" s="25" t="s">
        <v>15227</v>
      </c>
      <c r="E4861" s="28">
        <v>0.20000</v>
      </c>
      <c r="F4861" s="29">
        <f ca="1">ROUND(19.000,3)</f>
        <v>0</v>
      </c>
      <c r="G4861" s="27">
        <f ca="1">ROUND(E4861*F4861,2)</f>
        <v>0</v>
      </c>
    </row>
    <row r="4862" spans="1:7" ht="15.12" thickBot="1" customHeight="1">
      <c r="A4862" s="26"/>
      <c r="B4862" s="26"/>
      <c r="C4862" s="26"/>
      <c r="D4862" s="24" t="s">
        <v>15228</v>
      </c>
      <c r="E4862" s="28">
        <v>0.71000</v>
      </c>
      <c r="F4862" s="29">
        <f ca="1">ROUND((G4859+G4860+G4861),3)</f>
        <v>0</v>
      </c>
      <c r="G4862" s="27">
        <f ca="1">ROUND(E4862*F4862,2)</f>
        <v>0</v>
      </c>
    </row>
    <row r="4863" spans="1:7" ht="15.48" thickBot="1" customHeight="1">
      <c r="A4863" s="30"/>
      <c r="B4863" s="30"/>
      <c r="C4863" s="30"/>
      <c r="D4863" s="31" t="s">
        <v>15229</v>
      </c>
      <c r="E4863" s="30"/>
      <c r="F4863" s="33">
        <f ca="1">ROUND((G4849+G4850+G4851+G4852+G4853+G4854+G4855+G4856+G4857+G4858)*(1+G2/100),2)</f>
        <v>0</v>
      </c>
      <c r="G4863" s="30"/>
    </row>
    <row r="4864" spans="1:7" ht="30.60" thickBot="1" customHeight="1">
      <c r="A4864" s="34" t="s">
        <v>15230</v>
      </c>
      <c r="B4864" s="35" t="s">
        <v>15231</v>
      </c>
      <c r="C4864" s="35" t="s">
        <v>15232</v>
      </c>
      <c r="D4864" s="36" t="s">
        <v>15233</v>
      </c>
      <c r="E4864" s="37"/>
      <c r="F4864" s="38">
        <f ca="1">F4881</f>
        <v>0</v>
      </c>
      <c r="G4864" s="37"/>
    </row>
    <row r="4865" spans="1:7" ht="270.84" thickBot="1" customHeight="1">
      <c r="A4865" s="26"/>
      <c r="B4865" s="26"/>
      <c r="C4865" s="26"/>
      <c r="D4865" s="25" t="s">
        <v>15234</v>
      </c>
      <c r="E4865" s="25"/>
      <c r="F4865" s="25"/>
      <c r="G4865" s="25"/>
    </row>
    <row r="4866" spans="1:7" ht="49.08" thickBot="1" customHeight="1">
      <c r="A4866" s="24" t="s">
        <v>15235</v>
      </c>
      <c r="B4866" s="24" t="s">
        <v>15236</v>
      </c>
      <c r="C4866" s="24" t="s">
        <v>15237</v>
      </c>
      <c r="D4866" s="25" t="s">
        <v>15238</v>
      </c>
      <c r="E4866" s="28">
        <v>0.20000</v>
      </c>
      <c r="F4866" s="29">
        <f ca="1">ROUND(21.750,3)</f>
        <v>0</v>
      </c>
      <c r="G4866" s="27">
        <f ca="1">ROUND(E4866*F4866,2)</f>
        <v>0</v>
      </c>
    </row>
    <row r="4867" spans="1:7" ht="67.56" thickBot="1" customHeight="1">
      <c r="A4867" s="24" t="s">
        <v>15239</v>
      </c>
      <c r="B4867" s="24" t="s">
        <v>15240</v>
      </c>
      <c r="C4867" s="24" t="s">
        <v>15241</v>
      </c>
      <c r="D4867" s="25" t="s">
        <v>15242</v>
      </c>
      <c r="E4867" s="28">
        <v>0.20833</v>
      </c>
      <c r="F4867" s="29">
        <f ca="1">ROUND(47.870,3)</f>
        <v>0</v>
      </c>
      <c r="G4867" s="27">
        <f ca="1">ROUND(E4867*F4867,2)</f>
        <v>0</v>
      </c>
    </row>
    <row r="4868" spans="1:7" ht="49.08" thickBot="1" customHeight="1">
      <c r="A4868" s="24" t="s">
        <v>15243</v>
      </c>
      <c r="B4868" s="24" t="s">
        <v>15244</v>
      </c>
      <c r="C4868" s="24" t="s">
        <v>15245</v>
      </c>
      <c r="D4868" s="25" t="s">
        <v>15246</v>
      </c>
      <c r="E4868" s="28">
        <v>6.00000</v>
      </c>
      <c r="F4868" s="29">
        <f ca="1">ROUND(0.254,3)</f>
        <v>0</v>
      </c>
      <c r="G4868" s="27">
        <f ca="1">ROUND(E4868*F4868,2)</f>
        <v>0</v>
      </c>
    </row>
    <row r="4869" spans="1:7" ht="49.08" thickBot="1" customHeight="1">
      <c r="A4869" s="24" t="s">
        <v>15247</v>
      </c>
      <c r="B4869" s="24" t="s">
        <v>15248</v>
      </c>
      <c r="C4869" s="24" t="s">
        <v>15249</v>
      </c>
      <c r="D4869" s="25" t="s">
        <v>15250</v>
      </c>
      <c r="E4869" s="28">
        <v>0.16000</v>
      </c>
      <c r="F4869" s="29">
        <f ca="1">ROUND(56.250,3)</f>
        <v>0</v>
      </c>
      <c r="G4869" s="27">
        <f ca="1">ROUND(E4869*F4869,2)</f>
        <v>0</v>
      </c>
    </row>
    <row r="4870" spans="1:7" ht="49.08" thickBot="1" customHeight="1">
      <c r="A4870" s="24" t="s">
        <v>15251</v>
      </c>
      <c r="B4870" s="24" t="s">
        <v>15252</v>
      </c>
      <c r="C4870" s="24" t="s">
        <v>15253</v>
      </c>
      <c r="D4870" s="25" t="s">
        <v>15254</v>
      </c>
      <c r="E4870" s="28">
        <v>0.02200</v>
      </c>
      <c r="F4870" s="29">
        <f ca="1">ROUND(83.540,3)</f>
        <v>0</v>
      </c>
      <c r="G4870" s="27">
        <f ca="1">ROUND(E4870*F4870,2)</f>
        <v>0</v>
      </c>
    </row>
    <row r="4871" spans="1:7" ht="39.84" thickBot="1" customHeight="1">
      <c r="A4871" s="24" t="s">
        <v>15255</v>
      </c>
      <c r="B4871" s="24" t="s">
        <v>15256</v>
      </c>
      <c r="C4871" s="24" t="s">
        <v>15257</v>
      </c>
      <c r="D4871" s="25" t="s">
        <v>15258</v>
      </c>
      <c r="E4871" s="28">
        <v>0.10000</v>
      </c>
      <c r="F4871" s="29">
        <f ca="1">ROUND(129.000,3)</f>
        <v>0</v>
      </c>
      <c r="G4871" s="27">
        <f ca="1">ROUND(E4871*F4871,2)</f>
        <v>0</v>
      </c>
    </row>
    <row r="4872" spans="1:7" ht="49.08" thickBot="1" customHeight="1">
      <c r="A4872" s="24" t="s">
        <v>15259</v>
      </c>
      <c r="B4872" s="24" t="s">
        <v>15260</v>
      </c>
      <c r="C4872" s="24" t="s">
        <v>15261</v>
      </c>
      <c r="D4872" s="25" t="s">
        <v>15262</v>
      </c>
      <c r="E4872" s="28">
        <v>0.05500</v>
      </c>
      <c r="F4872" s="29">
        <f ca="1">ROUND(15.000,3)</f>
        <v>0</v>
      </c>
      <c r="G4872" s="27">
        <f ca="1">ROUND(E4872*F4872,2)</f>
        <v>0</v>
      </c>
    </row>
    <row r="4873" spans="1:7" ht="49.08" thickBot="1" customHeight="1">
      <c r="A4873" s="24" t="s">
        <v>15263</v>
      </c>
      <c r="B4873" s="24" t="s">
        <v>15264</v>
      </c>
      <c r="C4873" s="24" t="s">
        <v>15265</v>
      </c>
      <c r="D4873" s="25" t="s">
        <v>15266</v>
      </c>
      <c r="E4873" s="28">
        <v>0.18400</v>
      </c>
      <c r="F4873" s="29">
        <f ca="1">ROUND(3.160,3)</f>
        <v>0</v>
      </c>
      <c r="G4873" s="27">
        <f ca="1">ROUND(E4873*F4873,2)</f>
        <v>0</v>
      </c>
    </row>
    <row r="4874" spans="1:7" ht="49.08" thickBot="1" customHeight="1">
      <c r="A4874" s="24" t="s">
        <v>15267</v>
      </c>
      <c r="B4874" s="24" t="s">
        <v>15268</v>
      </c>
      <c r="C4874" s="24" t="s">
        <v>15269</v>
      </c>
      <c r="D4874" s="25" t="s">
        <v>15270</v>
      </c>
      <c r="E4874" s="28">
        <v>0.08710</v>
      </c>
      <c r="F4874" s="29">
        <f ca="1">ROUND(7.540,3)</f>
        <v>0</v>
      </c>
      <c r="G4874" s="27">
        <f ca="1">ROUND(E4874*F4874,2)</f>
        <v>0</v>
      </c>
    </row>
    <row r="4875" spans="1:7" ht="49.08" thickBot="1" customHeight="1">
      <c r="A4875" s="24" t="s">
        <v>15271</v>
      </c>
      <c r="B4875" s="24" t="s">
        <v>15272</v>
      </c>
      <c r="C4875" s="24" t="s">
        <v>15273</v>
      </c>
      <c r="D4875" s="25" t="s">
        <v>15274</v>
      </c>
      <c r="E4875" s="28">
        <v>0.08700</v>
      </c>
      <c r="F4875" s="29">
        <f ca="1">ROUND(9.010,3)</f>
        <v>0</v>
      </c>
      <c r="G4875" s="27">
        <f ca="1">ROUND(E4875*F4875,2)</f>
        <v>0</v>
      </c>
    </row>
    <row r="4876" spans="1:7" ht="21.36" thickBot="1" customHeight="1">
      <c r="A4876" s="24" t="s">
        <v>15275</v>
      </c>
      <c r="B4876" s="24" t="s">
        <v>15276</v>
      </c>
      <c r="C4876" s="24" t="s">
        <v>15277</v>
      </c>
      <c r="D4876" s="25" t="s">
        <v>15278</v>
      </c>
      <c r="E4876" s="28">
        <v>0.80000</v>
      </c>
      <c r="F4876" s="29">
        <f ca="1">F4880</f>
        <v>0</v>
      </c>
      <c r="G4876" s="27">
        <f ca="1">ROUND(E4876*F4876,2)</f>
        <v>0</v>
      </c>
    </row>
    <row r="4877" spans="1:7" ht="24.36" thickBot="1" customHeight="1">
      <c r="A4877" s="24" t="s">
        <v>15279</v>
      </c>
      <c r="B4877" s="24" t="s">
        <v>15280</v>
      </c>
      <c r="C4877" s="24" t="s">
        <v>15281</v>
      </c>
      <c r="D4877" s="25" t="s">
        <v>15282</v>
      </c>
      <c r="E4877" s="28">
        <v>1.00000</v>
      </c>
      <c r="F4877" s="29">
        <f ca="1">ROUND(21.000,3)</f>
        <v>0</v>
      </c>
      <c r="G4877" s="27">
        <f ca="1">ROUND(E4877*F4877,2)</f>
        <v>0</v>
      </c>
    </row>
    <row r="4878" spans="1:7" ht="24.36" thickBot="1" customHeight="1">
      <c r="A4878" s="24" t="s">
        <v>15283</v>
      </c>
      <c r="B4878" s="24" t="s">
        <v>15284</v>
      </c>
      <c r="C4878" s="24" t="s">
        <v>15285</v>
      </c>
      <c r="D4878" s="25" t="s">
        <v>15286</v>
      </c>
      <c r="E4878" s="28">
        <v>1.00000</v>
      </c>
      <c r="F4878" s="29">
        <f ca="1">ROUND(19.000,3)</f>
        <v>0</v>
      </c>
      <c r="G4878" s="27">
        <f ca="1">ROUND(E4878*F4878,2)</f>
        <v>0</v>
      </c>
    </row>
    <row r="4879" spans="1:7" ht="24.36" thickBot="1" customHeight="1">
      <c r="A4879" s="24" t="s">
        <v>15287</v>
      </c>
      <c r="B4879" s="24" t="s">
        <v>15288</v>
      </c>
      <c r="C4879" s="24" t="s">
        <v>15289</v>
      </c>
      <c r="D4879" s="25" t="s">
        <v>15290</v>
      </c>
      <c r="E4879" s="28">
        <v>0.20000</v>
      </c>
      <c r="F4879" s="29">
        <f ca="1">ROUND(19.000,3)</f>
        <v>0</v>
      </c>
      <c r="G4879" s="27">
        <f ca="1">ROUND(E4879*F4879,2)</f>
        <v>0</v>
      </c>
    </row>
    <row r="4880" spans="1:7" ht="15.12" thickBot="1" customHeight="1">
      <c r="A4880" s="26"/>
      <c r="B4880" s="26"/>
      <c r="C4880" s="26"/>
      <c r="D4880" s="24" t="s">
        <v>15291</v>
      </c>
      <c r="E4880" s="28">
        <v>0.80000</v>
      </c>
      <c r="F4880" s="29">
        <f ca="1">ROUND((G4877+G4878+G4879),3)</f>
        <v>0</v>
      </c>
      <c r="G4880" s="27">
        <f ca="1">ROUND(E4880*F4880,2)</f>
        <v>0</v>
      </c>
    </row>
    <row r="4881" spans="1:7" ht="15.48" thickBot="1" customHeight="1">
      <c r="A4881" s="30"/>
      <c r="B4881" s="30"/>
      <c r="C4881" s="30"/>
      <c r="D4881" s="31" t="s">
        <v>15292</v>
      </c>
      <c r="E4881" s="30"/>
      <c r="F4881" s="33">
        <f ca="1">ROUND((G4866+G4867+G4868+G4869+G4870+G4871+G4872+G4873+G4874+G4875+G4876)*(1+G2/100),2)</f>
        <v>0</v>
      </c>
      <c r="G4881" s="30"/>
    </row>
    <row r="4882" spans="1:7" ht="21.36" thickBot="1" customHeight="1">
      <c r="A4882" s="34" t="s">
        <v>15293</v>
      </c>
      <c r="B4882" s="35" t="s">
        <v>15294</v>
      </c>
      <c r="C4882" s="35" t="s">
        <v>15295</v>
      </c>
      <c r="D4882" s="36" t="s">
        <v>15296</v>
      </c>
      <c r="E4882" s="37"/>
      <c r="F4882" s="38">
        <f ca="1">F4903</f>
        <v>0</v>
      </c>
      <c r="G4882" s="37"/>
    </row>
    <row r="4883" spans="1:7" ht="141.48" thickBot="1" customHeight="1">
      <c r="A4883" s="26"/>
      <c r="B4883" s="26"/>
      <c r="C4883" s="26"/>
      <c r="D4883" s="25" t="s">
        <v>15297</v>
      </c>
      <c r="E4883" s="25"/>
      <c r="F4883" s="25"/>
      <c r="G4883" s="25"/>
    </row>
    <row r="4884" spans="1:7" ht="39.84" thickBot="1" customHeight="1">
      <c r="A4884" s="24" t="s">
        <v>15298</v>
      </c>
      <c r="B4884" s="24" t="s">
        <v>15299</v>
      </c>
      <c r="C4884" s="24" t="s">
        <v>15300</v>
      </c>
      <c r="D4884" s="25" t="s">
        <v>15301</v>
      </c>
      <c r="E4884" s="28">
        <v>0.41800</v>
      </c>
      <c r="F4884" s="29">
        <f ca="1">ROUND(14.850,3)</f>
        <v>0</v>
      </c>
      <c r="G4884" s="27">
        <f ca="1">ROUND(E4884*F4884,2)</f>
        <v>0</v>
      </c>
    </row>
    <row r="4885" spans="1:7" ht="24.36" thickBot="1" customHeight="1">
      <c r="A4885" s="24" t="s">
        <v>15302</v>
      </c>
      <c r="B4885" s="24" t="s">
        <v>15303</v>
      </c>
      <c r="C4885" s="24" t="s">
        <v>15304</v>
      </c>
      <c r="D4885" s="25" t="s">
        <v>15305</v>
      </c>
      <c r="E4885" s="28">
        <v>1.05000</v>
      </c>
      <c r="F4885" s="29">
        <f ca="1">ROUND(6.550,3)</f>
        <v>0</v>
      </c>
      <c r="G4885" s="27">
        <f ca="1">ROUND(E4885*F4885,2)</f>
        <v>0</v>
      </c>
    </row>
    <row r="4886" spans="1:7" ht="21.36" thickBot="1" customHeight="1">
      <c r="A4886" s="24" t="s">
        <v>15306</v>
      </c>
      <c r="B4886" s="24" t="s">
        <v>15307</v>
      </c>
      <c r="C4886" s="24" t="s">
        <v>15308</v>
      </c>
      <c r="D4886" s="25" t="s">
        <v>15309</v>
      </c>
      <c r="E4886" s="28">
        <v>0.02200</v>
      </c>
      <c r="F4886" s="29">
        <f ca="1">ROUND(63.250,3)</f>
        <v>0</v>
      </c>
      <c r="G4886" s="27">
        <f ca="1">ROUND(E4886*F4886,2)</f>
        <v>0</v>
      </c>
    </row>
    <row r="4887" spans="1:7" ht="30.60" thickBot="1" customHeight="1">
      <c r="A4887" s="24" t="s">
        <v>15310</v>
      </c>
      <c r="B4887" s="24" t="s">
        <v>15311</v>
      </c>
      <c r="C4887" s="24" t="s">
        <v>15312</v>
      </c>
      <c r="D4887" s="25" t="s">
        <v>15313</v>
      </c>
      <c r="E4887" s="28">
        <v>0.01000</v>
      </c>
      <c r="F4887" s="29">
        <f ca="1">ROUND(4.310,3)</f>
        <v>0</v>
      </c>
      <c r="G4887" s="27">
        <f ca="1">ROUND(E4887*F4887,2)</f>
        <v>0</v>
      </c>
    </row>
    <row r="4888" spans="1:7" ht="39.84" thickBot="1" customHeight="1">
      <c r="A4888" s="24" t="s">
        <v>15314</v>
      </c>
      <c r="B4888" s="24" t="s">
        <v>15315</v>
      </c>
      <c r="C4888" s="24" t="s">
        <v>15316</v>
      </c>
      <c r="D4888" s="25" t="s">
        <v>15317</v>
      </c>
      <c r="E4888" s="28">
        <v>0.06000</v>
      </c>
      <c r="F4888" s="29">
        <f ca="1">ROUND(15.450,3)</f>
        <v>0</v>
      </c>
      <c r="G4888" s="27">
        <f ca="1">ROUND(E4888*F4888,2)</f>
        <v>0</v>
      </c>
    </row>
    <row r="4889" spans="1:7" ht="30.60" thickBot="1" customHeight="1">
      <c r="A4889" s="24" t="s">
        <v>15318</v>
      </c>
      <c r="B4889" s="24" t="s">
        <v>15319</v>
      </c>
      <c r="C4889" s="24" t="s">
        <v>15320</v>
      </c>
      <c r="D4889" s="25" t="s">
        <v>15321</v>
      </c>
      <c r="E4889" s="28">
        <v>0.09200</v>
      </c>
      <c r="F4889" s="29">
        <f ca="1">ROUND(8.530,3)</f>
        <v>0</v>
      </c>
      <c r="G4889" s="27">
        <f ca="1">ROUND(E4889*F4889,2)</f>
        <v>0</v>
      </c>
    </row>
    <row r="4890" spans="1:7" ht="30.60" thickBot="1" customHeight="1">
      <c r="A4890" s="24" t="s">
        <v>15322</v>
      </c>
      <c r="B4890" s="24" t="s">
        <v>15323</v>
      </c>
      <c r="C4890" s="24" t="s">
        <v>15324</v>
      </c>
      <c r="D4890" s="25" t="s">
        <v>15325</v>
      </c>
      <c r="E4890" s="28">
        <v>0.07600</v>
      </c>
      <c r="F4890" s="29">
        <f ca="1">ROUND(2.420,3)</f>
        <v>0</v>
      </c>
      <c r="G4890" s="27">
        <f ca="1">ROUND(E4890*F4890,2)</f>
        <v>0</v>
      </c>
    </row>
    <row r="4891" spans="1:7" ht="30.60" thickBot="1" customHeight="1">
      <c r="A4891" s="24" t="s">
        <v>15326</v>
      </c>
      <c r="B4891" s="24" t="s">
        <v>15327</v>
      </c>
      <c r="C4891" s="24" t="s">
        <v>15328</v>
      </c>
      <c r="D4891" s="25" t="s">
        <v>15329</v>
      </c>
      <c r="E4891" s="28">
        <v>0.06000</v>
      </c>
      <c r="F4891" s="29">
        <f ca="1">ROUND(11.000,3)</f>
        <v>0</v>
      </c>
      <c r="G4891" s="27">
        <f ca="1">ROUND(E4891*F4891,2)</f>
        <v>0</v>
      </c>
    </row>
    <row r="4892" spans="1:7" ht="30.60" thickBot="1" customHeight="1">
      <c r="A4892" s="24" t="s">
        <v>15330</v>
      </c>
      <c r="B4892" s="24" t="s">
        <v>15331</v>
      </c>
      <c r="C4892" s="24" t="s">
        <v>15332</v>
      </c>
      <c r="D4892" s="25" t="s">
        <v>15333</v>
      </c>
      <c r="E4892" s="28">
        <v>0.00100</v>
      </c>
      <c r="F4892" s="29">
        <f ca="1">ROUND(5.760,3)</f>
        <v>0</v>
      </c>
      <c r="G4892" s="27">
        <f ca="1">ROUND(E4892*F4892,2)</f>
        <v>0</v>
      </c>
    </row>
    <row r="4893" spans="1:7" ht="39.84" thickBot="1" customHeight="1">
      <c r="A4893" s="24" t="s">
        <v>15334</v>
      </c>
      <c r="B4893" s="24" t="s">
        <v>15335</v>
      </c>
      <c r="C4893" s="24" t="s">
        <v>15336</v>
      </c>
      <c r="D4893" s="25" t="s">
        <v>15337</v>
      </c>
      <c r="E4893" s="28">
        <v>0.00100</v>
      </c>
      <c r="F4893" s="29">
        <f ca="1">ROUND(29.110,3)</f>
        <v>0</v>
      </c>
      <c r="G4893" s="27">
        <f ca="1">ROUND(E4893*F4893,2)</f>
        <v>0</v>
      </c>
    </row>
    <row r="4894" spans="1:7" ht="39.84" thickBot="1" customHeight="1">
      <c r="A4894" s="24" t="s">
        <v>15338</v>
      </c>
      <c r="B4894" s="24" t="s">
        <v>15339</v>
      </c>
      <c r="C4894" s="24" t="s">
        <v>15340</v>
      </c>
      <c r="D4894" s="25" t="s">
        <v>15341</v>
      </c>
      <c r="E4894" s="28">
        <v>0.06000</v>
      </c>
      <c r="F4894" s="29">
        <f ca="1">ROUND(9.990,3)</f>
        <v>0</v>
      </c>
      <c r="G4894" s="27">
        <f ca="1">ROUND(E4894*F4894,2)</f>
        <v>0</v>
      </c>
    </row>
    <row r="4895" spans="1:7" ht="39.84" thickBot="1" customHeight="1">
      <c r="A4895" s="24" t="s">
        <v>15342</v>
      </c>
      <c r="B4895" s="24" t="s">
        <v>15343</v>
      </c>
      <c r="C4895" s="24" t="s">
        <v>15344</v>
      </c>
      <c r="D4895" s="25" t="s">
        <v>15345</v>
      </c>
      <c r="E4895" s="28">
        <v>0.11200</v>
      </c>
      <c r="F4895" s="29">
        <f ca="1">ROUND(9.990,3)</f>
        <v>0</v>
      </c>
      <c r="G4895" s="27">
        <f ca="1">ROUND(E4895*F4895,2)</f>
        <v>0</v>
      </c>
    </row>
    <row r="4896" spans="1:7" ht="39.84" thickBot="1" customHeight="1">
      <c r="A4896" s="24" t="s">
        <v>15346</v>
      </c>
      <c r="B4896" s="24" t="s">
        <v>15347</v>
      </c>
      <c r="C4896" s="24" t="s">
        <v>15348</v>
      </c>
      <c r="D4896" s="25" t="s">
        <v>15349</v>
      </c>
      <c r="E4896" s="28">
        <v>0.01100</v>
      </c>
      <c r="F4896" s="29">
        <f ca="1">ROUND(53.230,3)</f>
        <v>0</v>
      </c>
      <c r="G4896" s="27">
        <f ca="1">ROUND(E4896*F4896,2)</f>
        <v>0</v>
      </c>
    </row>
    <row r="4897" spans="1:7" ht="49.08" thickBot="1" customHeight="1">
      <c r="A4897" s="24" t="s">
        <v>15350</v>
      </c>
      <c r="B4897" s="24" t="s">
        <v>15351</v>
      </c>
      <c r="C4897" s="24" t="s">
        <v>15352</v>
      </c>
      <c r="D4897" s="25" t="s">
        <v>15353</v>
      </c>
      <c r="E4897" s="28">
        <v>0.08800</v>
      </c>
      <c r="F4897" s="29">
        <f ca="1">ROUND(53.350,3)</f>
        <v>0</v>
      </c>
      <c r="G4897" s="27">
        <f ca="1">ROUND(E4897*F4897,2)</f>
        <v>0</v>
      </c>
    </row>
    <row r="4898" spans="1:7" ht="21.36" thickBot="1" customHeight="1">
      <c r="A4898" s="24" t="s">
        <v>15354</v>
      </c>
      <c r="B4898" s="24" t="s">
        <v>15355</v>
      </c>
      <c r="C4898" s="24" t="s">
        <v>15356</v>
      </c>
      <c r="D4898" s="25" t="s">
        <v>15357</v>
      </c>
      <c r="E4898" s="28">
        <v>0.90000</v>
      </c>
      <c r="F4898" s="29">
        <f ca="1">F4902</f>
        <v>0</v>
      </c>
      <c r="G4898" s="27">
        <f ca="1">ROUND(E4898*F4898,2)</f>
        <v>0</v>
      </c>
    </row>
    <row r="4899" spans="1:7" ht="24.36" thickBot="1" customHeight="1">
      <c r="A4899" s="24" t="s">
        <v>15358</v>
      </c>
      <c r="B4899" s="24" t="s">
        <v>15359</v>
      </c>
      <c r="C4899" s="24" t="s">
        <v>15360</v>
      </c>
      <c r="D4899" s="25" t="s">
        <v>15361</v>
      </c>
      <c r="E4899" s="28">
        <v>1.00000</v>
      </c>
      <c r="F4899" s="29">
        <f ca="1">ROUND(21.000,3)</f>
        <v>0</v>
      </c>
      <c r="G4899" s="27">
        <f ca="1">ROUND(E4899*F4899,2)</f>
        <v>0</v>
      </c>
    </row>
    <row r="4900" spans="1:7" ht="24.36" thickBot="1" customHeight="1">
      <c r="A4900" s="24" t="s">
        <v>15362</v>
      </c>
      <c r="B4900" s="24" t="s">
        <v>15363</v>
      </c>
      <c r="C4900" s="24" t="s">
        <v>15364</v>
      </c>
      <c r="D4900" s="25" t="s">
        <v>15365</v>
      </c>
      <c r="E4900" s="28">
        <v>1.00000</v>
      </c>
      <c r="F4900" s="29">
        <f ca="1">ROUND(19.000,3)</f>
        <v>0</v>
      </c>
      <c r="G4900" s="27">
        <f ca="1">ROUND(E4900*F4900,2)</f>
        <v>0</v>
      </c>
    </row>
    <row r="4901" spans="1:7" ht="24.36" thickBot="1" customHeight="1">
      <c r="A4901" s="24" t="s">
        <v>15366</v>
      </c>
      <c r="B4901" s="24" t="s">
        <v>15367</v>
      </c>
      <c r="C4901" s="24" t="s">
        <v>15368</v>
      </c>
      <c r="D4901" s="25" t="s">
        <v>15369</v>
      </c>
      <c r="E4901" s="28">
        <v>0.20000</v>
      </c>
      <c r="F4901" s="29">
        <f ca="1">ROUND(19.000,3)</f>
        <v>0</v>
      </c>
      <c r="G4901" s="27">
        <f ca="1">ROUND(E4901*F4901,2)</f>
        <v>0</v>
      </c>
    </row>
    <row r="4902" spans="1:7" ht="15.12" thickBot="1" customHeight="1">
      <c r="A4902" s="26"/>
      <c r="B4902" s="26"/>
      <c r="C4902" s="26"/>
      <c r="D4902" s="24" t="s">
        <v>15370</v>
      </c>
      <c r="E4902" s="28">
        <v>0.90000</v>
      </c>
      <c r="F4902" s="29">
        <f ca="1">ROUND((G4899+G4900+G4901),3)</f>
        <v>0</v>
      </c>
      <c r="G4902" s="27">
        <f ca="1">ROUND(E4902*F4902,2)</f>
        <v>0</v>
      </c>
    </row>
    <row r="4903" spans="1:7" ht="15.48" thickBot="1" customHeight="1">
      <c r="A4903" s="30"/>
      <c r="B4903" s="30"/>
      <c r="C4903" s="30"/>
      <c r="D4903" s="31" t="s">
        <v>15371</v>
      </c>
      <c r="E4903" s="30"/>
      <c r="F4903" s="33">
        <f ca="1">ROUND((G4884+G4885+G4886+G4887+G4888+G4889+G4890+G4891+G4892+G4893+G4894+G4895+G4896+G4897+G4898)*(1+G2/100),2)</f>
        <v>0</v>
      </c>
      <c r="G4903" s="30"/>
    </row>
    <row r="4904" spans="1:7" ht="30.60" thickBot="1" customHeight="1">
      <c r="A4904" s="34" t="s">
        <v>15372</v>
      </c>
      <c r="B4904" s="35" t="s">
        <v>15373</v>
      </c>
      <c r="C4904" s="35" t="s">
        <v>15374</v>
      </c>
      <c r="D4904" s="36" t="s">
        <v>15375</v>
      </c>
      <c r="E4904" s="37"/>
      <c r="F4904" s="38">
        <f ca="1">F4931</f>
        <v>0</v>
      </c>
      <c r="G4904" s="37"/>
    </row>
    <row r="4905" spans="1:7" ht="12.12" thickBot="1" customHeight="1">
      <c r="A4905" s="26"/>
      <c r="B4905" s="26"/>
      <c r="C4905" s="26"/>
      <c r="D4905" s="25" t="s">
        <v>15376</v>
      </c>
      <c r="E4905" s="25"/>
      <c r="F4905" s="25"/>
      <c r="G4905" s="25"/>
    </row>
    <row r="4906" spans="1:7" ht="49.08" thickBot="1" customHeight="1">
      <c r="A4906" s="24" t="s">
        <v>15377</v>
      </c>
      <c r="B4906" s="24" t="s">
        <v>15378</v>
      </c>
      <c r="C4906" s="24" t="s">
        <v>15379</v>
      </c>
      <c r="D4906" s="25" t="s">
        <v>15380</v>
      </c>
      <c r="E4906" s="28">
        <v>0.03333</v>
      </c>
      <c r="F4906" s="29">
        <f ca="1">ROUND(138.590,3)</f>
        <v>0</v>
      </c>
      <c r="G4906" s="27">
        <f ca="1">ROUND(E4906*F4906,2)</f>
        <v>0</v>
      </c>
    </row>
    <row r="4907" spans="1:7" ht="49.08" thickBot="1" customHeight="1">
      <c r="A4907" s="24" t="s">
        <v>15381</v>
      </c>
      <c r="B4907" s="24" t="s">
        <v>15382</v>
      </c>
      <c r="C4907" s="24" t="s">
        <v>15383</v>
      </c>
      <c r="D4907" s="25" t="s">
        <v>15384</v>
      </c>
      <c r="E4907" s="28">
        <v>0.19800</v>
      </c>
      <c r="F4907" s="29">
        <f ca="1">ROUND(21.750,3)</f>
        <v>0</v>
      </c>
      <c r="G4907" s="27">
        <f ca="1">ROUND(E4907*F4907,2)</f>
        <v>0</v>
      </c>
    </row>
    <row r="4908" spans="1:7" ht="58.32" thickBot="1" customHeight="1">
      <c r="A4908" s="24" t="s">
        <v>15385</v>
      </c>
      <c r="B4908" s="24" t="s">
        <v>15386</v>
      </c>
      <c r="C4908" s="24" t="s">
        <v>15387</v>
      </c>
      <c r="D4908" s="25" t="s">
        <v>15388</v>
      </c>
      <c r="E4908" s="28">
        <v>1.45833</v>
      </c>
      <c r="F4908" s="29">
        <f ca="1">ROUND(5.120,3)</f>
        <v>0</v>
      </c>
      <c r="G4908" s="27">
        <f ca="1">ROUND(E4908*F4908,2)</f>
        <v>0</v>
      </c>
    </row>
    <row r="4909" spans="1:7" ht="58.32" thickBot="1" customHeight="1">
      <c r="A4909" s="24" t="s">
        <v>15389</v>
      </c>
      <c r="B4909" s="24" t="s">
        <v>15390</v>
      </c>
      <c r="C4909" s="24" t="s">
        <v>15391</v>
      </c>
      <c r="D4909" s="25" t="s">
        <v>15392</v>
      </c>
      <c r="E4909" s="28">
        <v>0.00556</v>
      </c>
      <c r="F4909" s="29">
        <f ca="1">ROUND(85.480,3)</f>
        <v>0</v>
      </c>
      <c r="G4909" s="27">
        <f ca="1">ROUND(E4909*F4909,2)</f>
        <v>0</v>
      </c>
    </row>
    <row r="4910" spans="1:7" ht="49.08" thickBot="1" customHeight="1">
      <c r="A4910" s="24" t="s">
        <v>15393</v>
      </c>
      <c r="B4910" s="24" t="s">
        <v>15394</v>
      </c>
      <c r="C4910" s="24" t="s">
        <v>15395</v>
      </c>
      <c r="D4910" s="25" t="s">
        <v>15396</v>
      </c>
      <c r="E4910" s="28">
        <v>6.00000</v>
      </c>
      <c r="F4910" s="29">
        <f ca="1">ROUND(0.230,3)</f>
        <v>0</v>
      </c>
      <c r="G4910" s="27">
        <f ca="1">ROUND(E4910*F4910,2)</f>
        <v>0</v>
      </c>
    </row>
    <row r="4911" spans="1:7" ht="49.08" thickBot="1" customHeight="1">
      <c r="A4911" s="24" t="s">
        <v>15397</v>
      </c>
      <c r="B4911" s="24" t="s">
        <v>15398</v>
      </c>
      <c r="C4911" s="24" t="s">
        <v>15399</v>
      </c>
      <c r="D4911" s="25" t="s">
        <v>15400</v>
      </c>
      <c r="E4911" s="28">
        <v>0.01400</v>
      </c>
      <c r="F4911" s="29">
        <f ca="1">ROUND(9.010,3)</f>
        <v>0</v>
      </c>
      <c r="G4911" s="27">
        <f ca="1">ROUND(E4911*F4911,2)</f>
        <v>0</v>
      </c>
    </row>
    <row r="4912" spans="1:7" ht="49.08" thickBot="1" customHeight="1">
      <c r="A4912" s="24" t="s">
        <v>15401</v>
      </c>
      <c r="B4912" s="24" t="s">
        <v>15402</v>
      </c>
      <c r="C4912" s="24" t="s">
        <v>15403</v>
      </c>
      <c r="D4912" s="25" t="s">
        <v>15404</v>
      </c>
      <c r="E4912" s="28">
        <v>0.00500</v>
      </c>
      <c r="F4912" s="29">
        <f ca="1">ROUND(11.830,3)</f>
        <v>0</v>
      </c>
      <c r="G4912" s="27">
        <f ca="1">ROUND(E4912*F4912,2)</f>
        <v>0</v>
      </c>
    </row>
    <row r="4913" spans="1:7" ht="49.08" thickBot="1" customHeight="1">
      <c r="A4913" s="24" t="s">
        <v>15405</v>
      </c>
      <c r="B4913" s="24" t="s">
        <v>15406</v>
      </c>
      <c r="C4913" s="24" t="s">
        <v>15407</v>
      </c>
      <c r="D4913" s="25" t="s">
        <v>15408</v>
      </c>
      <c r="E4913" s="28">
        <v>0.15750</v>
      </c>
      <c r="F4913" s="29">
        <f ca="1">ROUND(56.250,3)</f>
        <v>0</v>
      </c>
      <c r="G4913" s="27">
        <f ca="1">ROUND(E4913*F4913,2)</f>
        <v>0</v>
      </c>
    </row>
    <row r="4914" spans="1:7" ht="49.08" thickBot="1" customHeight="1">
      <c r="A4914" s="24" t="s">
        <v>15409</v>
      </c>
      <c r="B4914" s="24" t="s">
        <v>15410</v>
      </c>
      <c r="C4914" s="24" t="s">
        <v>15411</v>
      </c>
      <c r="D4914" s="25" t="s">
        <v>15412</v>
      </c>
      <c r="E4914" s="28">
        <v>0.02000</v>
      </c>
      <c r="F4914" s="29">
        <f ca="1">ROUND(83.540,3)</f>
        <v>0</v>
      </c>
      <c r="G4914" s="27">
        <f ca="1">ROUND(E4914*F4914,2)</f>
        <v>0</v>
      </c>
    </row>
    <row r="4915" spans="1:7" ht="49.08" thickBot="1" customHeight="1">
      <c r="A4915" s="24" t="s">
        <v>15413</v>
      </c>
      <c r="B4915" s="24" t="s">
        <v>15414</v>
      </c>
      <c r="C4915" s="24" t="s">
        <v>15415</v>
      </c>
      <c r="D4915" s="25" t="s">
        <v>15416</v>
      </c>
      <c r="E4915" s="28">
        <v>0.16000</v>
      </c>
      <c r="F4915" s="29">
        <f ca="1">ROUND(15.000,3)</f>
        <v>0</v>
      </c>
      <c r="G4915" s="27">
        <f ca="1">ROUND(E4915*F4915,2)</f>
        <v>0</v>
      </c>
    </row>
    <row r="4916" spans="1:7" ht="49.08" thickBot="1" customHeight="1">
      <c r="A4916" s="24" t="s">
        <v>15417</v>
      </c>
      <c r="B4916" s="24" t="s">
        <v>15418</v>
      </c>
      <c r="C4916" s="24" t="s">
        <v>15419</v>
      </c>
      <c r="D4916" s="25" t="s">
        <v>15420</v>
      </c>
      <c r="E4916" s="28">
        <v>0.00480</v>
      </c>
      <c r="F4916" s="29">
        <f ca="1">ROUND(21.380,3)</f>
        <v>0</v>
      </c>
      <c r="G4916" s="27">
        <f ca="1">ROUND(E4916*F4916,2)</f>
        <v>0</v>
      </c>
    </row>
    <row r="4917" spans="1:7" ht="21.36" thickBot="1" customHeight="1">
      <c r="A4917" s="24" t="s">
        <v>15421</v>
      </c>
      <c r="B4917" s="24" t="s">
        <v>15422</v>
      </c>
      <c r="C4917" s="24" t="s">
        <v>15423</v>
      </c>
      <c r="D4917" s="25" t="s">
        <v>15424</v>
      </c>
      <c r="E4917" s="28">
        <v>0.00444</v>
      </c>
      <c r="F4917" s="29">
        <f ca="1">ROUND(6.490,3)</f>
        <v>0</v>
      </c>
      <c r="G4917" s="27">
        <f ca="1">ROUND(E4917*F4917,2)</f>
        <v>0</v>
      </c>
    </row>
    <row r="4918" spans="1:7" ht="58.32" thickBot="1" customHeight="1">
      <c r="A4918" s="24" t="s">
        <v>15425</v>
      </c>
      <c r="B4918" s="24" t="s">
        <v>15426</v>
      </c>
      <c r="C4918" s="24" t="s">
        <v>15427</v>
      </c>
      <c r="D4918" s="25" t="s">
        <v>15428</v>
      </c>
      <c r="E4918" s="28">
        <v>0.00480</v>
      </c>
      <c r="F4918" s="29">
        <f ca="1">ROUND(14.510,3)</f>
        <v>0</v>
      </c>
      <c r="G4918" s="27">
        <f ca="1">ROUND(E4918*F4918,2)</f>
        <v>0</v>
      </c>
    </row>
    <row r="4919" spans="1:7" ht="58.32" thickBot="1" customHeight="1">
      <c r="A4919" s="24" t="s">
        <v>15429</v>
      </c>
      <c r="B4919" s="24" t="s">
        <v>15430</v>
      </c>
      <c r="C4919" s="24" t="s">
        <v>15431</v>
      </c>
      <c r="D4919" s="25" t="s">
        <v>15432</v>
      </c>
      <c r="E4919" s="28">
        <v>0.00480</v>
      </c>
      <c r="F4919" s="29">
        <f ca="1">ROUND(16.040,3)</f>
        <v>0</v>
      </c>
      <c r="G4919" s="27">
        <f ca="1">ROUND(E4919*F4919,2)</f>
        <v>0</v>
      </c>
    </row>
    <row r="4920" spans="1:7" ht="49.08" thickBot="1" customHeight="1">
      <c r="A4920" s="24" t="s">
        <v>15433</v>
      </c>
      <c r="B4920" s="24" t="s">
        <v>15434</v>
      </c>
      <c r="C4920" s="24" t="s">
        <v>15435</v>
      </c>
      <c r="D4920" s="25" t="s">
        <v>15436</v>
      </c>
      <c r="E4920" s="28">
        <v>0.12000</v>
      </c>
      <c r="F4920" s="29">
        <f ca="1">ROUND(7.540,3)</f>
        <v>0</v>
      </c>
      <c r="G4920" s="27">
        <f ca="1">ROUND(E4920*F4920,2)</f>
        <v>0</v>
      </c>
    </row>
    <row r="4921" spans="1:7" ht="49.08" thickBot="1" customHeight="1">
      <c r="A4921" s="24" t="s">
        <v>15437</v>
      </c>
      <c r="B4921" s="24" t="s">
        <v>15438</v>
      </c>
      <c r="C4921" s="24" t="s">
        <v>15439</v>
      </c>
      <c r="D4921" s="25" t="s">
        <v>15440</v>
      </c>
      <c r="E4921" s="28">
        <v>0.24000</v>
      </c>
      <c r="F4921" s="29">
        <f ca="1">ROUND(3.160,3)</f>
        <v>0</v>
      </c>
      <c r="G4921" s="27">
        <f ca="1">ROUND(E4921*F4921,2)</f>
        <v>0</v>
      </c>
    </row>
    <row r="4922" spans="1:7" ht="39.84" thickBot="1" customHeight="1">
      <c r="A4922" s="24" t="s">
        <v>15441</v>
      </c>
      <c r="B4922" s="24" t="s">
        <v>15442</v>
      </c>
      <c r="C4922" s="24" t="s">
        <v>15443</v>
      </c>
      <c r="D4922" s="25" t="s">
        <v>15444</v>
      </c>
      <c r="E4922" s="28">
        <v>0.09600</v>
      </c>
      <c r="F4922" s="29">
        <f ca="1">ROUND(100.000,3)</f>
        <v>0</v>
      </c>
      <c r="G4922" s="27">
        <f ca="1">ROUND(E4922*F4922,2)</f>
        <v>0</v>
      </c>
    </row>
    <row r="4923" spans="1:7" ht="21.36" thickBot="1" customHeight="1">
      <c r="A4923" s="24" t="s">
        <v>15445</v>
      </c>
      <c r="B4923" s="24" t="s">
        <v>15446</v>
      </c>
      <c r="C4923" s="24" t="s">
        <v>15447</v>
      </c>
      <c r="D4923" s="25" t="s">
        <v>15448</v>
      </c>
      <c r="E4923" s="28">
        <v>0.50000</v>
      </c>
      <c r="F4923" s="29">
        <f ca="1">ROUND(2.000,3)</f>
        <v>0</v>
      </c>
      <c r="G4923" s="27">
        <f ca="1">ROUND(E4923*F4923,2)</f>
        <v>0</v>
      </c>
    </row>
    <row r="4924" spans="1:7" ht="30.60" thickBot="1" customHeight="1">
      <c r="A4924" s="24" t="s">
        <v>15449</v>
      </c>
      <c r="B4924" s="24" t="s">
        <v>15450</v>
      </c>
      <c r="C4924" s="24" t="s">
        <v>15451</v>
      </c>
      <c r="D4924" s="25" t="s">
        <v>15452</v>
      </c>
      <c r="E4924" s="28">
        <v>0.33333</v>
      </c>
      <c r="F4924" s="29">
        <f ca="1">ROUND(4.920,3)</f>
        <v>0</v>
      </c>
      <c r="G4924" s="27">
        <f ca="1">ROUND(E4924*F4924,2)</f>
        <v>0</v>
      </c>
    </row>
    <row r="4925" spans="1:7" ht="21.36" thickBot="1" customHeight="1">
      <c r="A4925" s="24" t="s">
        <v>15453</v>
      </c>
      <c r="B4925" s="24" t="s">
        <v>15454</v>
      </c>
      <c r="C4925" s="24" t="s">
        <v>15455</v>
      </c>
      <c r="D4925" s="25" t="s">
        <v>15456</v>
      </c>
      <c r="E4925" s="28">
        <v>0.75000</v>
      </c>
      <c r="F4925" s="29">
        <f ca="1">F4929</f>
        <v>0</v>
      </c>
      <c r="G4925" s="27">
        <f ca="1">ROUND(E4925*F4925,2)</f>
        <v>0</v>
      </c>
    </row>
    <row r="4926" spans="1:7" ht="24.36" thickBot="1" customHeight="1">
      <c r="A4926" s="24" t="s">
        <v>15457</v>
      </c>
      <c r="B4926" s="24" t="s">
        <v>15458</v>
      </c>
      <c r="C4926" s="24" t="s">
        <v>15459</v>
      </c>
      <c r="D4926" s="25" t="s">
        <v>15460</v>
      </c>
      <c r="E4926" s="28">
        <v>1.00000</v>
      </c>
      <c r="F4926" s="29">
        <f ca="1">ROUND(21.000,3)</f>
        <v>0</v>
      </c>
      <c r="G4926" s="27">
        <f ca="1">ROUND(E4926*F4926,2)</f>
        <v>0</v>
      </c>
    </row>
    <row r="4927" spans="1:7" ht="24.36" thickBot="1" customHeight="1">
      <c r="A4927" s="24" t="s">
        <v>15461</v>
      </c>
      <c r="B4927" s="24" t="s">
        <v>15462</v>
      </c>
      <c r="C4927" s="24" t="s">
        <v>15463</v>
      </c>
      <c r="D4927" s="25" t="s">
        <v>15464</v>
      </c>
      <c r="E4927" s="28">
        <v>1.00000</v>
      </c>
      <c r="F4927" s="29">
        <f ca="1">ROUND(19.000,3)</f>
        <v>0</v>
      </c>
      <c r="G4927" s="27">
        <f ca="1">ROUND(E4927*F4927,2)</f>
        <v>0</v>
      </c>
    </row>
    <row r="4928" spans="1:7" ht="24.36" thickBot="1" customHeight="1">
      <c r="A4928" s="24" t="s">
        <v>15465</v>
      </c>
      <c r="B4928" s="24" t="s">
        <v>15466</v>
      </c>
      <c r="C4928" s="24" t="s">
        <v>15467</v>
      </c>
      <c r="D4928" s="25" t="s">
        <v>15468</v>
      </c>
      <c r="E4928" s="28">
        <v>0.20000</v>
      </c>
      <c r="F4928" s="29">
        <f ca="1">ROUND(19.000,3)</f>
        <v>0</v>
      </c>
      <c r="G4928" s="27">
        <f ca="1">ROUND(E4928*F4928,2)</f>
        <v>0</v>
      </c>
    </row>
    <row r="4929" spans="1:7" ht="15.12" thickBot="1" customHeight="1">
      <c r="A4929" s="26"/>
      <c r="B4929" s="26"/>
      <c r="C4929" s="26"/>
      <c r="D4929" s="24" t="s">
        <v>15469</v>
      </c>
      <c r="E4929" s="28">
        <v>0.75000</v>
      </c>
      <c r="F4929" s="29">
        <f ca="1">ROUND((G4926+G4927+G4928),3)</f>
        <v>0</v>
      </c>
      <c r="G4929" s="27">
        <f ca="1">ROUND(E4929*F4929,2)</f>
        <v>0</v>
      </c>
    </row>
    <row r="4930" spans="1:7" ht="15.12" thickBot="1" customHeight="1">
      <c r="A4930" s="24" t="s">
        <v>15470</v>
      </c>
      <c r="B4930" s="24"/>
      <c r="C4930" s="24" t="s">
        <v>15471</v>
      </c>
      <c r="D4930" s="25" t="s">
        <v>15472</v>
      </c>
      <c r="E4930" s="28">
        <v>3.00000</v>
      </c>
      <c r="F4930" s="29">
        <f ca="1">ROUND(32.850,3)</f>
        <v>0</v>
      </c>
      <c r="G4930" s="27">
        <f ca="1">ROUND((E4930*F4930)/100,2)</f>
        <v>0</v>
      </c>
    </row>
    <row r="4931" spans="1:7" ht="15.48" thickBot="1" customHeight="1">
      <c r="A4931" s="30"/>
      <c r="B4931" s="30"/>
      <c r="C4931" s="30"/>
      <c r="D4931" s="31" t="s">
        <v>15473</v>
      </c>
      <c r="E4931" s="30"/>
      <c r="F4931" s="33">
        <f ca="1">ROUND((G4906+G4907+G4908+G4909+G4910+G4911+G4912+G4913+G4914+G4915+G4916+G4917+G4918+G4919+G4920+G4921+G4922+G4923+G4924+G4925+G4930)*(1+G2/100),2)</f>
        <v>0</v>
      </c>
      <c r="G4931" s="30"/>
    </row>
    <row r="4932" spans="1:7" ht="30.60" thickBot="1" customHeight="1">
      <c r="A4932" s="34" t="s">
        <v>15474</v>
      </c>
      <c r="B4932" s="35" t="s">
        <v>15475</v>
      </c>
      <c r="C4932" s="35" t="s">
        <v>15476</v>
      </c>
      <c r="D4932" s="36" t="s">
        <v>15477</v>
      </c>
      <c r="E4932" s="37"/>
      <c r="F4932" s="38">
        <f ca="1">F4959</f>
        <v>0</v>
      </c>
      <c r="G4932" s="37"/>
    </row>
    <row r="4933" spans="1:7" ht="12.12" thickBot="1" customHeight="1">
      <c r="A4933" s="26"/>
      <c r="B4933" s="26"/>
      <c r="C4933" s="26"/>
      <c r="D4933" s="25" t="s">
        <v>15478</v>
      </c>
      <c r="E4933" s="25"/>
      <c r="F4933" s="25"/>
      <c r="G4933" s="25"/>
    </row>
    <row r="4934" spans="1:7" ht="49.08" thickBot="1" customHeight="1">
      <c r="A4934" s="24" t="s">
        <v>15479</v>
      </c>
      <c r="B4934" s="24" t="s">
        <v>15480</v>
      </c>
      <c r="C4934" s="24" t="s">
        <v>15481</v>
      </c>
      <c r="D4934" s="25" t="s">
        <v>15482</v>
      </c>
      <c r="E4934" s="28">
        <v>0.03333</v>
      </c>
      <c r="F4934" s="29">
        <f ca="1">ROUND(138.590,3)</f>
        <v>0</v>
      </c>
      <c r="G4934" s="27">
        <f ca="1">ROUND(E4934*F4934,2)</f>
        <v>0</v>
      </c>
    </row>
    <row r="4935" spans="1:7" ht="49.08" thickBot="1" customHeight="1">
      <c r="A4935" s="24" t="s">
        <v>15483</v>
      </c>
      <c r="B4935" s="24" t="s">
        <v>15484</v>
      </c>
      <c r="C4935" s="24" t="s">
        <v>15485</v>
      </c>
      <c r="D4935" s="25" t="s">
        <v>15486</v>
      </c>
      <c r="E4935" s="28">
        <v>0.19800</v>
      </c>
      <c r="F4935" s="29">
        <f ca="1">ROUND(21.750,3)</f>
        <v>0</v>
      </c>
      <c r="G4935" s="27">
        <f ca="1">ROUND(E4935*F4935,2)</f>
        <v>0</v>
      </c>
    </row>
    <row r="4936" spans="1:7" ht="67.56" thickBot="1" customHeight="1">
      <c r="A4936" s="24" t="s">
        <v>15487</v>
      </c>
      <c r="B4936" s="24" t="s">
        <v>15488</v>
      </c>
      <c r="C4936" s="24" t="s">
        <v>15489</v>
      </c>
      <c r="D4936" s="25" t="s">
        <v>15490</v>
      </c>
      <c r="E4936" s="28">
        <v>0.22000</v>
      </c>
      <c r="F4936" s="29">
        <f ca="1">ROUND(47.870,3)</f>
        <v>0</v>
      </c>
      <c r="G4936" s="27">
        <f ca="1">ROUND(E4936*F4936,2)</f>
        <v>0</v>
      </c>
    </row>
    <row r="4937" spans="1:7" ht="58.32" thickBot="1" customHeight="1">
      <c r="A4937" s="24" t="s">
        <v>15491</v>
      </c>
      <c r="B4937" s="24" t="s">
        <v>15492</v>
      </c>
      <c r="C4937" s="24" t="s">
        <v>15493</v>
      </c>
      <c r="D4937" s="25" t="s">
        <v>15494</v>
      </c>
      <c r="E4937" s="28">
        <v>0.00556</v>
      </c>
      <c r="F4937" s="29">
        <f ca="1">ROUND(85.480,3)</f>
        <v>0</v>
      </c>
      <c r="G4937" s="27">
        <f ca="1">ROUND(E4937*F4937,2)</f>
        <v>0</v>
      </c>
    </row>
    <row r="4938" spans="1:7" ht="49.08" thickBot="1" customHeight="1">
      <c r="A4938" s="24" t="s">
        <v>15495</v>
      </c>
      <c r="B4938" s="24" t="s">
        <v>15496</v>
      </c>
      <c r="C4938" s="24" t="s">
        <v>15497</v>
      </c>
      <c r="D4938" s="25" t="s">
        <v>15498</v>
      </c>
      <c r="E4938" s="28">
        <v>6.00000</v>
      </c>
      <c r="F4938" s="29">
        <f ca="1">ROUND(0.230,3)</f>
        <v>0</v>
      </c>
      <c r="G4938" s="27">
        <f ca="1">ROUND(E4938*F4938,2)</f>
        <v>0</v>
      </c>
    </row>
    <row r="4939" spans="1:7" ht="49.08" thickBot="1" customHeight="1">
      <c r="A4939" s="24" t="s">
        <v>15499</v>
      </c>
      <c r="B4939" s="24" t="s">
        <v>15500</v>
      </c>
      <c r="C4939" s="24" t="s">
        <v>15501</v>
      </c>
      <c r="D4939" s="25" t="s">
        <v>15502</v>
      </c>
      <c r="E4939" s="28">
        <v>0.01400</v>
      </c>
      <c r="F4939" s="29">
        <f ca="1">ROUND(9.010,3)</f>
        <v>0</v>
      </c>
      <c r="G4939" s="27">
        <f ca="1">ROUND(E4939*F4939,2)</f>
        <v>0</v>
      </c>
    </row>
    <row r="4940" spans="1:7" ht="49.08" thickBot="1" customHeight="1">
      <c r="A4940" s="24" t="s">
        <v>15503</v>
      </c>
      <c r="B4940" s="24" t="s">
        <v>15504</v>
      </c>
      <c r="C4940" s="24" t="s">
        <v>15505</v>
      </c>
      <c r="D4940" s="25" t="s">
        <v>15506</v>
      </c>
      <c r="E4940" s="28">
        <v>0.00500</v>
      </c>
      <c r="F4940" s="29">
        <f ca="1">ROUND(11.830,3)</f>
        <v>0</v>
      </c>
      <c r="G4940" s="27">
        <f ca="1">ROUND(E4940*F4940,2)</f>
        <v>0</v>
      </c>
    </row>
    <row r="4941" spans="1:7" ht="49.08" thickBot="1" customHeight="1">
      <c r="A4941" s="24" t="s">
        <v>15507</v>
      </c>
      <c r="B4941" s="24" t="s">
        <v>15508</v>
      </c>
      <c r="C4941" s="24" t="s">
        <v>15509</v>
      </c>
      <c r="D4941" s="25" t="s">
        <v>15510</v>
      </c>
      <c r="E4941" s="28">
        <v>0.15750</v>
      </c>
      <c r="F4941" s="29">
        <f ca="1">ROUND(56.250,3)</f>
        <v>0</v>
      </c>
      <c r="G4941" s="27">
        <f ca="1">ROUND(E4941*F4941,2)</f>
        <v>0</v>
      </c>
    </row>
    <row r="4942" spans="1:7" ht="49.08" thickBot="1" customHeight="1">
      <c r="A4942" s="24" t="s">
        <v>15511</v>
      </c>
      <c r="B4942" s="24" t="s">
        <v>15512</v>
      </c>
      <c r="C4942" s="24" t="s">
        <v>15513</v>
      </c>
      <c r="D4942" s="25" t="s">
        <v>15514</v>
      </c>
      <c r="E4942" s="28">
        <v>0.02000</v>
      </c>
      <c r="F4942" s="29">
        <f ca="1">ROUND(83.540,3)</f>
        <v>0</v>
      </c>
      <c r="G4942" s="27">
        <f ca="1">ROUND(E4942*F4942,2)</f>
        <v>0</v>
      </c>
    </row>
    <row r="4943" spans="1:7" ht="49.08" thickBot="1" customHeight="1">
      <c r="A4943" s="24" t="s">
        <v>15515</v>
      </c>
      <c r="B4943" s="24" t="s">
        <v>15516</v>
      </c>
      <c r="C4943" s="24" t="s">
        <v>15517</v>
      </c>
      <c r="D4943" s="25" t="s">
        <v>15518</v>
      </c>
      <c r="E4943" s="28">
        <v>0.16000</v>
      </c>
      <c r="F4943" s="29">
        <f ca="1">ROUND(15.000,3)</f>
        <v>0</v>
      </c>
      <c r="G4943" s="27">
        <f ca="1">ROUND(E4943*F4943,2)</f>
        <v>0</v>
      </c>
    </row>
    <row r="4944" spans="1:7" ht="49.08" thickBot="1" customHeight="1">
      <c r="A4944" s="24" t="s">
        <v>15519</v>
      </c>
      <c r="B4944" s="24" t="s">
        <v>15520</v>
      </c>
      <c r="C4944" s="24" t="s">
        <v>15521</v>
      </c>
      <c r="D4944" s="25" t="s">
        <v>15522</v>
      </c>
      <c r="E4944" s="28">
        <v>0.00480</v>
      </c>
      <c r="F4944" s="29">
        <f ca="1">ROUND(21.380,3)</f>
        <v>0</v>
      </c>
      <c r="G4944" s="27">
        <f ca="1">ROUND(E4944*F4944,2)</f>
        <v>0</v>
      </c>
    </row>
    <row r="4945" spans="1:7" ht="21.36" thickBot="1" customHeight="1">
      <c r="A4945" s="24" t="s">
        <v>15523</v>
      </c>
      <c r="B4945" s="24" t="s">
        <v>15524</v>
      </c>
      <c r="C4945" s="24" t="s">
        <v>15525</v>
      </c>
      <c r="D4945" s="25" t="s">
        <v>15526</v>
      </c>
      <c r="E4945" s="28">
        <v>0.00444</v>
      </c>
      <c r="F4945" s="29">
        <f ca="1">ROUND(6.490,3)</f>
        <v>0</v>
      </c>
      <c r="G4945" s="27">
        <f ca="1">ROUND(E4945*F4945,2)</f>
        <v>0</v>
      </c>
    </row>
    <row r="4946" spans="1:7" ht="58.32" thickBot="1" customHeight="1">
      <c r="A4946" s="24" t="s">
        <v>15527</v>
      </c>
      <c r="B4946" s="24" t="s">
        <v>15528</v>
      </c>
      <c r="C4946" s="24" t="s">
        <v>15529</v>
      </c>
      <c r="D4946" s="25" t="s">
        <v>15530</v>
      </c>
      <c r="E4946" s="28">
        <v>0.00480</v>
      </c>
      <c r="F4946" s="29">
        <f ca="1">ROUND(14.510,3)</f>
        <v>0</v>
      </c>
      <c r="G4946" s="27">
        <f ca="1">ROUND(E4946*F4946,2)</f>
        <v>0</v>
      </c>
    </row>
    <row r="4947" spans="1:7" ht="58.32" thickBot="1" customHeight="1">
      <c r="A4947" s="24" t="s">
        <v>15531</v>
      </c>
      <c r="B4947" s="24" t="s">
        <v>15532</v>
      </c>
      <c r="C4947" s="24" t="s">
        <v>15533</v>
      </c>
      <c r="D4947" s="25" t="s">
        <v>15534</v>
      </c>
      <c r="E4947" s="28">
        <v>0.00480</v>
      </c>
      <c r="F4947" s="29">
        <f ca="1">ROUND(16.040,3)</f>
        <v>0</v>
      </c>
      <c r="G4947" s="27">
        <f ca="1">ROUND(E4947*F4947,2)</f>
        <v>0</v>
      </c>
    </row>
    <row r="4948" spans="1:7" ht="49.08" thickBot="1" customHeight="1">
      <c r="A4948" s="24" t="s">
        <v>15535</v>
      </c>
      <c r="B4948" s="24" t="s">
        <v>15536</v>
      </c>
      <c r="C4948" s="24" t="s">
        <v>15537</v>
      </c>
      <c r="D4948" s="25" t="s">
        <v>15538</v>
      </c>
      <c r="E4948" s="28">
        <v>0.12000</v>
      </c>
      <c r="F4948" s="29">
        <f ca="1">ROUND(7.540,3)</f>
        <v>0</v>
      </c>
      <c r="G4948" s="27">
        <f ca="1">ROUND(E4948*F4948,2)</f>
        <v>0</v>
      </c>
    </row>
    <row r="4949" spans="1:7" ht="49.08" thickBot="1" customHeight="1">
      <c r="A4949" s="24" t="s">
        <v>15539</v>
      </c>
      <c r="B4949" s="24" t="s">
        <v>15540</v>
      </c>
      <c r="C4949" s="24" t="s">
        <v>15541</v>
      </c>
      <c r="D4949" s="25" t="s">
        <v>15542</v>
      </c>
      <c r="E4949" s="28">
        <v>0.24000</v>
      </c>
      <c r="F4949" s="29">
        <f ca="1">ROUND(3.160,3)</f>
        <v>0</v>
      </c>
      <c r="G4949" s="27">
        <f ca="1">ROUND(E4949*F4949,2)</f>
        <v>0</v>
      </c>
    </row>
    <row r="4950" spans="1:7" ht="39.84" thickBot="1" customHeight="1">
      <c r="A4950" s="24" t="s">
        <v>15543</v>
      </c>
      <c r="B4950" s="24" t="s">
        <v>15544</v>
      </c>
      <c r="C4950" s="24" t="s">
        <v>15545</v>
      </c>
      <c r="D4950" s="25" t="s">
        <v>15546</v>
      </c>
      <c r="E4950" s="28">
        <v>0.08000</v>
      </c>
      <c r="F4950" s="29">
        <f ca="1">ROUND(100.000,3)</f>
        <v>0</v>
      </c>
      <c r="G4950" s="27">
        <f ca="1">ROUND(E4950*F4950,2)</f>
        <v>0</v>
      </c>
    </row>
    <row r="4951" spans="1:7" ht="21.36" thickBot="1" customHeight="1">
      <c r="A4951" s="24" t="s">
        <v>15547</v>
      </c>
      <c r="B4951" s="24" t="s">
        <v>15548</v>
      </c>
      <c r="C4951" s="24" t="s">
        <v>15549</v>
      </c>
      <c r="D4951" s="25" t="s">
        <v>15550</v>
      </c>
      <c r="E4951" s="28">
        <v>0.50000</v>
      </c>
      <c r="F4951" s="29">
        <f ca="1">ROUND(2.000,3)</f>
        <v>0</v>
      </c>
      <c r="G4951" s="27">
        <f ca="1">ROUND(E4951*F4951,2)</f>
        <v>0</v>
      </c>
    </row>
    <row r="4952" spans="1:7" ht="30.60" thickBot="1" customHeight="1">
      <c r="A4952" s="24" t="s">
        <v>15551</v>
      </c>
      <c r="B4952" s="24" t="s">
        <v>15552</v>
      </c>
      <c r="C4952" s="24" t="s">
        <v>15553</v>
      </c>
      <c r="D4952" s="25" t="s">
        <v>15554</v>
      </c>
      <c r="E4952" s="28">
        <v>0.33333</v>
      </c>
      <c r="F4952" s="29">
        <f ca="1">ROUND(4.920,3)</f>
        <v>0</v>
      </c>
      <c r="G4952" s="27">
        <f ca="1">ROUND(E4952*F4952,2)</f>
        <v>0</v>
      </c>
    </row>
    <row r="4953" spans="1:7" ht="21.36" thickBot="1" customHeight="1">
      <c r="A4953" s="24" t="s">
        <v>15555</v>
      </c>
      <c r="B4953" s="24" t="s">
        <v>15556</v>
      </c>
      <c r="C4953" s="24" t="s">
        <v>15557</v>
      </c>
      <c r="D4953" s="25" t="s">
        <v>15558</v>
      </c>
      <c r="E4953" s="28">
        <v>0.75000</v>
      </c>
      <c r="F4953" s="29">
        <f ca="1">F4957</f>
        <v>0</v>
      </c>
      <c r="G4953" s="27">
        <f ca="1">ROUND(E4953*F4953,2)</f>
        <v>0</v>
      </c>
    </row>
    <row r="4954" spans="1:7" ht="24.36" thickBot="1" customHeight="1">
      <c r="A4954" s="24" t="s">
        <v>15559</v>
      </c>
      <c r="B4954" s="24" t="s">
        <v>15560</v>
      </c>
      <c r="C4954" s="24" t="s">
        <v>15561</v>
      </c>
      <c r="D4954" s="25" t="s">
        <v>15562</v>
      </c>
      <c r="E4954" s="28">
        <v>1.00000</v>
      </c>
      <c r="F4954" s="29">
        <f ca="1">ROUND(21.000,3)</f>
        <v>0</v>
      </c>
      <c r="G4954" s="27">
        <f ca="1">ROUND(E4954*F4954,2)</f>
        <v>0</v>
      </c>
    </row>
    <row r="4955" spans="1:7" ht="24.36" thickBot="1" customHeight="1">
      <c r="A4955" s="24" t="s">
        <v>15563</v>
      </c>
      <c r="B4955" s="24" t="s">
        <v>15564</v>
      </c>
      <c r="C4955" s="24" t="s">
        <v>15565</v>
      </c>
      <c r="D4955" s="25" t="s">
        <v>15566</v>
      </c>
      <c r="E4955" s="28">
        <v>1.00000</v>
      </c>
      <c r="F4955" s="29">
        <f ca="1">ROUND(19.000,3)</f>
        <v>0</v>
      </c>
      <c r="G4955" s="27">
        <f ca="1">ROUND(E4955*F4955,2)</f>
        <v>0</v>
      </c>
    </row>
    <row r="4956" spans="1:7" ht="24.36" thickBot="1" customHeight="1">
      <c r="A4956" s="24" t="s">
        <v>15567</v>
      </c>
      <c r="B4956" s="24" t="s">
        <v>15568</v>
      </c>
      <c r="C4956" s="24" t="s">
        <v>15569</v>
      </c>
      <c r="D4956" s="25" t="s">
        <v>15570</v>
      </c>
      <c r="E4956" s="28">
        <v>0.20000</v>
      </c>
      <c r="F4956" s="29">
        <f ca="1">ROUND(19.000,3)</f>
        <v>0</v>
      </c>
      <c r="G4956" s="27">
        <f ca="1">ROUND(E4956*F4956,2)</f>
        <v>0</v>
      </c>
    </row>
    <row r="4957" spans="1:7" ht="15.12" thickBot="1" customHeight="1">
      <c r="A4957" s="26"/>
      <c r="B4957" s="26"/>
      <c r="C4957" s="26"/>
      <c r="D4957" s="24" t="s">
        <v>15571</v>
      </c>
      <c r="E4957" s="28">
        <v>0.75000</v>
      </c>
      <c r="F4957" s="29">
        <f ca="1">ROUND((G4954+G4955+G4956),3)</f>
        <v>0</v>
      </c>
      <c r="G4957" s="27">
        <f ca="1">ROUND(E4957*F4957,2)</f>
        <v>0</v>
      </c>
    </row>
    <row r="4958" spans="1:7" ht="15.12" thickBot="1" customHeight="1">
      <c r="A4958" s="24" t="s">
        <v>15572</v>
      </c>
      <c r="B4958" s="24"/>
      <c r="C4958" s="24" t="s">
        <v>15573</v>
      </c>
      <c r="D4958" s="25" t="s">
        <v>15574</v>
      </c>
      <c r="E4958" s="28">
        <v>3.00000</v>
      </c>
      <c r="F4958" s="29">
        <f ca="1">ROUND(32.850,3)</f>
        <v>0</v>
      </c>
      <c r="G4958" s="27">
        <f ca="1">ROUND((E4958*F4958)/100,2)</f>
        <v>0</v>
      </c>
    </row>
    <row r="4959" spans="1:7" ht="15.48" thickBot="1" customHeight="1">
      <c r="A4959" s="30"/>
      <c r="B4959" s="30"/>
      <c r="C4959" s="30"/>
      <c r="D4959" s="31" t="s">
        <v>15575</v>
      </c>
      <c r="E4959" s="30"/>
      <c r="F4959" s="33">
        <f ca="1">ROUND((G4934+G4935+G4936+G4937+G4938+G4939+G4940+G4941+G4942+G4943+G4944+G4945+G4946+G4947+G4948+G4949+G4950+G4951+G4952+G4953+G4958)*(1+G2/100),2)</f>
        <v>0</v>
      </c>
      <c r="G4959" s="30"/>
    </row>
    <row r="4960" spans="1:7" ht="30.60" thickBot="1" customHeight="1">
      <c r="A4960" s="34" t="s">
        <v>15576</v>
      </c>
      <c r="B4960" s="35" t="s">
        <v>15577</v>
      </c>
      <c r="C4960" s="35" t="s">
        <v>15578</v>
      </c>
      <c r="D4960" s="36" t="s">
        <v>15579</v>
      </c>
      <c r="E4960" s="37"/>
      <c r="F4960" s="38">
        <f ca="1">F4985</f>
        <v>0</v>
      </c>
      <c r="G4960" s="37"/>
    </row>
    <row r="4961" spans="1:7" ht="21.36" thickBot="1" customHeight="1">
      <c r="A4961" s="26"/>
      <c r="B4961" s="26"/>
      <c r="C4961" s="26"/>
      <c r="D4961" s="25" t="s">
        <v>15580</v>
      </c>
      <c r="E4961" s="25"/>
      <c r="F4961" s="25"/>
      <c r="G4961" s="25"/>
    </row>
    <row r="4962" spans="1:7" ht="49.08" thickBot="1" customHeight="1">
      <c r="A4962" s="24" t="s">
        <v>15581</v>
      </c>
      <c r="B4962" s="24" t="s">
        <v>15582</v>
      </c>
      <c r="C4962" s="24" t="s">
        <v>15583</v>
      </c>
      <c r="D4962" s="25" t="s">
        <v>15584</v>
      </c>
      <c r="E4962" s="28">
        <v>0.03333</v>
      </c>
      <c r="F4962" s="29">
        <f ca="1">ROUND(138.590,3)</f>
        <v>0</v>
      </c>
      <c r="G4962" s="27">
        <f ca="1">ROUND(E4962*F4962,2)</f>
        <v>0</v>
      </c>
    </row>
    <row r="4963" spans="1:7" ht="49.08" thickBot="1" customHeight="1">
      <c r="A4963" s="24" t="s">
        <v>15585</v>
      </c>
      <c r="B4963" s="24" t="s">
        <v>15586</v>
      </c>
      <c r="C4963" s="24" t="s">
        <v>15587</v>
      </c>
      <c r="D4963" s="25" t="s">
        <v>15588</v>
      </c>
      <c r="E4963" s="28">
        <v>0.19800</v>
      </c>
      <c r="F4963" s="29">
        <f ca="1">ROUND(21.750,3)</f>
        <v>0</v>
      </c>
      <c r="G4963" s="27">
        <f ca="1">ROUND(E4963*F4963,2)</f>
        <v>0</v>
      </c>
    </row>
    <row r="4964" spans="1:7" ht="49.08" thickBot="1" customHeight="1">
      <c r="A4964" s="24" t="s">
        <v>15589</v>
      </c>
      <c r="B4964" s="24" t="s">
        <v>15590</v>
      </c>
      <c r="C4964" s="24" t="s">
        <v>15591</v>
      </c>
      <c r="D4964" s="25" t="s">
        <v>15592</v>
      </c>
      <c r="E4964" s="28">
        <v>0.13580</v>
      </c>
      <c r="F4964" s="29">
        <f ca="1">ROUND(65.370,3)</f>
        <v>0</v>
      </c>
      <c r="G4964" s="27">
        <f ca="1">ROUND(E4964*F4964,2)</f>
        <v>0</v>
      </c>
    </row>
    <row r="4965" spans="1:7" ht="58.32" thickBot="1" customHeight="1">
      <c r="A4965" s="24" t="s">
        <v>15593</v>
      </c>
      <c r="B4965" s="24" t="s">
        <v>15594</v>
      </c>
      <c r="C4965" s="24" t="s">
        <v>15595</v>
      </c>
      <c r="D4965" s="25" t="s">
        <v>15596</v>
      </c>
      <c r="E4965" s="28">
        <v>0.00556</v>
      </c>
      <c r="F4965" s="29">
        <f ca="1">ROUND(85.480,3)</f>
        <v>0</v>
      </c>
      <c r="G4965" s="27">
        <f ca="1">ROUND(E4965*F4965,2)</f>
        <v>0</v>
      </c>
    </row>
    <row r="4966" spans="1:7" ht="49.08" thickBot="1" customHeight="1">
      <c r="A4966" s="24" t="s">
        <v>15597</v>
      </c>
      <c r="B4966" s="24" t="s">
        <v>15598</v>
      </c>
      <c r="C4966" s="24" t="s">
        <v>15599</v>
      </c>
      <c r="D4966" s="25" t="s">
        <v>15600</v>
      </c>
      <c r="E4966" s="28">
        <v>6.00000</v>
      </c>
      <c r="F4966" s="29">
        <f ca="1">ROUND(0.230,3)</f>
        <v>0</v>
      </c>
      <c r="G4966" s="27">
        <f ca="1">ROUND(E4966*F4966,2)</f>
        <v>0</v>
      </c>
    </row>
    <row r="4967" spans="1:7" ht="49.08" thickBot="1" customHeight="1">
      <c r="A4967" s="24" t="s">
        <v>15601</v>
      </c>
      <c r="B4967" s="24" t="s">
        <v>15602</v>
      </c>
      <c r="C4967" s="24" t="s">
        <v>15603</v>
      </c>
      <c r="D4967" s="25" t="s">
        <v>15604</v>
      </c>
      <c r="E4967" s="28">
        <v>0.01400</v>
      </c>
      <c r="F4967" s="29">
        <f ca="1">ROUND(9.010,3)</f>
        <v>0</v>
      </c>
      <c r="G4967" s="27">
        <f ca="1">ROUND(E4967*F4967,2)</f>
        <v>0</v>
      </c>
    </row>
    <row r="4968" spans="1:7" ht="49.08" thickBot="1" customHeight="1">
      <c r="A4968" s="24" t="s">
        <v>15605</v>
      </c>
      <c r="B4968" s="24" t="s">
        <v>15606</v>
      </c>
      <c r="C4968" s="24" t="s">
        <v>15607</v>
      </c>
      <c r="D4968" s="25" t="s">
        <v>15608</v>
      </c>
      <c r="E4968" s="28">
        <v>0.00500</v>
      </c>
      <c r="F4968" s="29">
        <f ca="1">ROUND(11.830,3)</f>
        <v>0</v>
      </c>
      <c r="G4968" s="27">
        <f ca="1">ROUND(E4968*F4968,2)</f>
        <v>0</v>
      </c>
    </row>
    <row r="4969" spans="1:7" ht="49.08" thickBot="1" customHeight="1">
      <c r="A4969" s="24" t="s">
        <v>15609</v>
      </c>
      <c r="B4969" s="24" t="s">
        <v>15610</v>
      </c>
      <c r="C4969" s="24" t="s">
        <v>15611</v>
      </c>
      <c r="D4969" s="25" t="s">
        <v>15612</v>
      </c>
      <c r="E4969" s="28">
        <v>0.15750</v>
      </c>
      <c r="F4969" s="29">
        <f ca="1">ROUND(56.250,3)</f>
        <v>0</v>
      </c>
      <c r="G4969" s="27">
        <f ca="1">ROUND(E4969*F4969,2)</f>
        <v>0</v>
      </c>
    </row>
    <row r="4970" spans="1:7" ht="49.08" thickBot="1" customHeight="1">
      <c r="A4970" s="24" t="s">
        <v>15613</v>
      </c>
      <c r="B4970" s="24" t="s">
        <v>15614</v>
      </c>
      <c r="C4970" s="24" t="s">
        <v>15615</v>
      </c>
      <c r="D4970" s="25" t="s">
        <v>15616</v>
      </c>
      <c r="E4970" s="28">
        <v>0.16000</v>
      </c>
      <c r="F4970" s="29">
        <f ca="1">ROUND(15.000,3)</f>
        <v>0</v>
      </c>
      <c r="G4970" s="27">
        <f ca="1">ROUND(E4970*F4970,2)</f>
        <v>0</v>
      </c>
    </row>
    <row r="4971" spans="1:7" ht="49.08" thickBot="1" customHeight="1">
      <c r="A4971" s="24" t="s">
        <v>15617</v>
      </c>
      <c r="B4971" s="24" t="s">
        <v>15618</v>
      </c>
      <c r="C4971" s="24" t="s">
        <v>15619</v>
      </c>
      <c r="D4971" s="25" t="s">
        <v>15620</v>
      </c>
      <c r="E4971" s="28">
        <v>0.00480</v>
      </c>
      <c r="F4971" s="29">
        <f ca="1">ROUND(21.380,3)</f>
        <v>0</v>
      </c>
      <c r="G4971" s="27">
        <f ca="1">ROUND(E4971*F4971,2)</f>
        <v>0</v>
      </c>
    </row>
    <row r="4972" spans="1:7" ht="21.36" thickBot="1" customHeight="1">
      <c r="A4972" s="24" t="s">
        <v>15621</v>
      </c>
      <c r="B4972" s="24" t="s">
        <v>15622</v>
      </c>
      <c r="C4972" s="24" t="s">
        <v>15623</v>
      </c>
      <c r="D4972" s="25" t="s">
        <v>15624</v>
      </c>
      <c r="E4972" s="28">
        <v>0.00444</v>
      </c>
      <c r="F4972" s="29">
        <f ca="1">ROUND(6.490,3)</f>
        <v>0</v>
      </c>
      <c r="G4972" s="27">
        <f ca="1">ROUND(E4972*F4972,2)</f>
        <v>0</v>
      </c>
    </row>
    <row r="4973" spans="1:7" ht="58.32" thickBot="1" customHeight="1">
      <c r="A4973" s="24" t="s">
        <v>15625</v>
      </c>
      <c r="B4973" s="24" t="s">
        <v>15626</v>
      </c>
      <c r="C4973" s="24" t="s">
        <v>15627</v>
      </c>
      <c r="D4973" s="25" t="s">
        <v>15628</v>
      </c>
      <c r="E4973" s="28">
        <v>0.00480</v>
      </c>
      <c r="F4973" s="29">
        <f ca="1">ROUND(14.510,3)</f>
        <v>0</v>
      </c>
      <c r="G4973" s="27">
        <f ca="1">ROUND(E4973*F4973,2)</f>
        <v>0</v>
      </c>
    </row>
    <row r="4974" spans="1:7" ht="49.08" thickBot="1" customHeight="1">
      <c r="A4974" s="24" t="s">
        <v>15629</v>
      </c>
      <c r="B4974" s="24" t="s">
        <v>15630</v>
      </c>
      <c r="C4974" s="24" t="s">
        <v>15631</v>
      </c>
      <c r="D4974" s="25" t="s">
        <v>15632</v>
      </c>
      <c r="E4974" s="28">
        <v>0.12000</v>
      </c>
      <c r="F4974" s="29">
        <f ca="1">ROUND(7.540,3)</f>
        <v>0</v>
      </c>
      <c r="G4974" s="27">
        <f ca="1">ROUND(E4974*F4974,2)</f>
        <v>0</v>
      </c>
    </row>
    <row r="4975" spans="1:7" ht="49.08" thickBot="1" customHeight="1">
      <c r="A4975" s="24" t="s">
        <v>15633</v>
      </c>
      <c r="B4975" s="24" t="s">
        <v>15634</v>
      </c>
      <c r="C4975" s="24" t="s">
        <v>15635</v>
      </c>
      <c r="D4975" s="25" t="s">
        <v>15636</v>
      </c>
      <c r="E4975" s="28">
        <v>0.24000</v>
      </c>
      <c r="F4975" s="29">
        <f ca="1">ROUND(3.160,3)</f>
        <v>0</v>
      </c>
      <c r="G4975" s="27">
        <f ca="1">ROUND(E4975*F4975,2)</f>
        <v>0</v>
      </c>
    </row>
    <row r="4976" spans="1:7" ht="39.84" thickBot="1" customHeight="1">
      <c r="A4976" s="24" t="s">
        <v>15637</v>
      </c>
      <c r="B4976" s="24" t="s">
        <v>15638</v>
      </c>
      <c r="C4976" s="24" t="s">
        <v>15639</v>
      </c>
      <c r="D4976" s="25" t="s">
        <v>15640</v>
      </c>
      <c r="E4976" s="28">
        <v>0.09600</v>
      </c>
      <c r="F4976" s="29">
        <f ca="1">ROUND(100.000,3)</f>
        <v>0</v>
      </c>
      <c r="G4976" s="27">
        <f ca="1">ROUND(E4976*F4976,2)</f>
        <v>0</v>
      </c>
    </row>
    <row r="4977" spans="1:7" ht="21.36" thickBot="1" customHeight="1">
      <c r="A4977" s="24" t="s">
        <v>15641</v>
      </c>
      <c r="B4977" s="24" t="s">
        <v>15642</v>
      </c>
      <c r="C4977" s="24" t="s">
        <v>15643</v>
      </c>
      <c r="D4977" s="25" t="s">
        <v>15644</v>
      </c>
      <c r="E4977" s="28">
        <v>0.50000</v>
      </c>
      <c r="F4977" s="29">
        <f ca="1">ROUND(2.000,3)</f>
        <v>0</v>
      </c>
      <c r="G4977" s="27">
        <f ca="1">ROUND(E4977*F4977,2)</f>
        <v>0</v>
      </c>
    </row>
    <row r="4978" spans="1:7" ht="30.60" thickBot="1" customHeight="1">
      <c r="A4978" s="24" t="s">
        <v>15645</v>
      </c>
      <c r="B4978" s="24" t="s">
        <v>15646</v>
      </c>
      <c r="C4978" s="24" t="s">
        <v>15647</v>
      </c>
      <c r="D4978" s="25" t="s">
        <v>15648</v>
      </c>
      <c r="E4978" s="28">
        <v>0.33333</v>
      </c>
      <c r="F4978" s="29">
        <f ca="1">ROUND(4.920,3)</f>
        <v>0</v>
      </c>
      <c r="G4978" s="27">
        <f ca="1">ROUND(E4978*F4978,2)</f>
        <v>0</v>
      </c>
    </row>
    <row r="4979" spans="1:7" ht="21.36" thickBot="1" customHeight="1">
      <c r="A4979" s="24" t="s">
        <v>15649</v>
      </c>
      <c r="B4979" s="24" t="s">
        <v>15650</v>
      </c>
      <c r="C4979" s="24" t="s">
        <v>15651</v>
      </c>
      <c r="D4979" s="25" t="s">
        <v>15652</v>
      </c>
      <c r="E4979" s="28">
        <v>0.75000</v>
      </c>
      <c r="F4979" s="29">
        <f ca="1">F4983</f>
        <v>0</v>
      </c>
      <c r="G4979" s="27">
        <f ca="1">ROUND(E4979*F4979,2)</f>
        <v>0</v>
      </c>
    </row>
    <row r="4980" spans="1:7" ht="24.36" thickBot="1" customHeight="1">
      <c r="A4980" s="24" t="s">
        <v>15653</v>
      </c>
      <c r="B4980" s="24" t="s">
        <v>15654</v>
      </c>
      <c r="C4980" s="24" t="s">
        <v>15655</v>
      </c>
      <c r="D4980" s="25" t="s">
        <v>15656</v>
      </c>
      <c r="E4980" s="28">
        <v>1.00000</v>
      </c>
      <c r="F4980" s="29">
        <f ca="1">ROUND(21.000,3)</f>
        <v>0</v>
      </c>
      <c r="G4980" s="27">
        <f ca="1">ROUND(E4980*F4980,2)</f>
        <v>0</v>
      </c>
    </row>
    <row r="4981" spans="1:7" ht="24.36" thickBot="1" customHeight="1">
      <c r="A4981" s="24" t="s">
        <v>15657</v>
      </c>
      <c r="B4981" s="24" t="s">
        <v>15658</v>
      </c>
      <c r="C4981" s="24" t="s">
        <v>15659</v>
      </c>
      <c r="D4981" s="25" t="s">
        <v>15660</v>
      </c>
      <c r="E4981" s="28">
        <v>1.00000</v>
      </c>
      <c r="F4981" s="29">
        <f ca="1">ROUND(19.000,3)</f>
        <v>0</v>
      </c>
      <c r="G4981" s="27">
        <f ca="1">ROUND(E4981*F4981,2)</f>
        <v>0</v>
      </c>
    </row>
    <row r="4982" spans="1:7" ht="24.36" thickBot="1" customHeight="1">
      <c r="A4982" s="24" t="s">
        <v>15661</v>
      </c>
      <c r="B4982" s="24" t="s">
        <v>15662</v>
      </c>
      <c r="C4982" s="24" t="s">
        <v>15663</v>
      </c>
      <c r="D4982" s="25" t="s">
        <v>15664</v>
      </c>
      <c r="E4982" s="28">
        <v>0.20000</v>
      </c>
      <c r="F4982" s="29">
        <f ca="1">ROUND(19.000,3)</f>
        <v>0</v>
      </c>
      <c r="G4982" s="27">
        <f ca="1">ROUND(E4982*F4982,2)</f>
        <v>0</v>
      </c>
    </row>
    <row r="4983" spans="1:7" ht="15.12" thickBot="1" customHeight="1">
      <c r="A4983" s="26"/>
      <c r="B4983" s="26"/>
      <c r="C4983" s="26"/>
      <c r="D4983" s="24" t="s">
        <v>15665</v>
      </c>
      <c r="E4983" s="28">
        <v>0.75000</v>
      </c>
      <c r="F4983" s="29">
        <f ca="1">ROUND((G4980+G4981+G4982),3)</f>
        <v>0</v>
      </c>
      <c r="G4983" s="27">
        <f ca="1">ROUND(E4983*F4983,2)</f>
        <v>0</v>
      </c>
    </row>
    <row r="4984" spans="1:7" ht="15.12" thickBot="1" customHeight="1">
      <c r="A4984" s="24" t="s">
        <v>15666</v>
      </c>
      <c r="B4984" s="24"/>
      <c r="C4984" s="24" t="s">
        <v>15667</v>
      </c>
      <c r="D4984" s="25" t="s">
        <v>15668</v>
      </c>
      <c r="E4984" s="28">
        <v>5.00000</v>
      </c>
      <c r="F4984" s="29">
        <f ca="1">ROUND(32.850,3)</f>
        <v>0</v>
      </c>
      <c r="G4984" s="27">
        <f ca="1">ROUND((E4984*F4984)/100,2)</f>
        <v>0</v>
      </c>
    </row>
    <row r="4985" spans="1:7" ht="15.48" thickBot="1" customHeight="1">
      <c r="A4985" s="30"/>
      <c r="B4985" s="30"/>
      <c r="C4985" s="30"/>
      <c r="D4985" s="31" t="s">
        <v>15669</v>
      </c>
      <c r="E4985" s="30"/>
      <c r="F4985" s="33">
        <f ca="1">ROUND((G4962+G4963+G4964+G4965+G4966+G4967+G4968+G4969+G4970+G4971+G4972+G4973+G4974+G4975+G4976+G4977+G4978+G4979+G4984)*(1+G2/100),2)</f>
        <v>0</v>
      </c>
      <c r="G4985" s="30"/>
    </row>
    <row r="4986" spans="1:7" ht="39.84" thickBot="1" customHeight="1">
      <c r="A4986" s="34" t="s">
        <v>15670</v>
      </c>
      <c r="B4986" s="35" t="s">
        <v>15671</v>
      </c>
      <c r="C4986" s="35" t="s">
        <v>15672</v>
      </c>
      <c r="D4986" s="36" t="s">
        <v>15673</v>
      </c>
      <c r="E4986" s="37"/>
      <c r="F4986" s="38">
        <f ca="1">F5008</f>
        <v>0</v>
      </c>
      <c r="G4986" s="37"/>
    </row>
    <row r="4987" spans="1:7" ht="21.36" thickBot="1" customHeight="1">
      <c r="A4987" s="26"/>
      <c r="B4987" s="26"/>
      <c r="C4987" s="26"/>
      <c r="D4987" s="25" t="s">
        <v>15674</v>
      </c>
      <c r="E4987" s="25"/>
      <c r="F4987" s="25"/>
      <c r="G4987" s="25"/>
    </row>
    <row r="4988" spans="1:7" ht="39.84" thickBot="1" customHeight="1">
      <c r="A4988" s="24" t="s">
        <v>15675</v>
      </c>
      <c r="B4988" s="24" t="s">
        <v>15676</v>
      </c>
      <c r="C4988" s="24" t="s">
        <v>15677</v>
      </c>
      <c r="D4988" s="25" t="s">
        <v>15678</v>
      </c>
      <c r="E4988" s="28">
        <v>0.01000</v>
      </c>
      <c r="F4988" s="29">
        <f ca="1">ROUND(93.670,3)</f>
        <v>0</v>
      </c>
      <c r="G4988" s="27">
        <f ca="1">ROUND(E4988*F4988,2)</f>
        <v>0</v>
      </c>
    </row>
    <row r="4989" spans="1:7" ht="39.84" thickBot="1" customHeight="1">
      <c r="A4989" s="24" t="s">
        <v>15679</v>
      </c>
      <c r="B4989" s="24" t="s">
        <v>15680</v>
      </c>
      <c r="C4989" s="24" t="s">
        <v>15681</v>
      </c>
      <c r="D4989" s="25" t="s">
        <v>15682</v>
      </c>
      <c r="E4989" s="28">
        <v>0.19832</v>
      </c>
      <c r="F4989" s="29">
        <f ca="1">ROUND(10.490,3)</f>
        <v>0</v>
      </c>
      <c r="G4989" s="27">
        <f ca="1">ROUND(E4989*F4989,2)</f>
        <v>0</v>
      </c>
    </row>
    <row r="4990" spans="1:7" ht="39.84" thickBot="1" customHeight="1">
      <c r="A4990" s="24" t="s">
        <v>15683</v>
      </c>
      <c r="B4990" s="24" t="s">
        <v>15684</v>
      </c>
      <c r="C4990" s="24" t="s">
        <v>15685</v>
      </c>
      <c r="D4990" s="25" t="s">
        <v>15686</v>
      </c>
      <c r="E4990" s="28">
        <v>0.63600</v>
      </c>
      <c r="F4990" s="29">
        <f ca="1">ROUND(11.260,3)</f>
        <v>0</v>
      </c>
      <c r="G4990" s="27">
        <f ca="1">ROUND(E4990*F4990,2)</f>
        <v>0</v>
      </c>
    </row>
    <row r="4991" spans="1:7" ht="21.36" thickBot="1" customHeight="1">
      <c r="A4991" s="24" t="s">
        <v>15687</v>
      </c>
      <c r="B4991" s="24" t="s">
        <v>15688</v>
      </c>
      <c r="C4991" s="24" t="s">
        <v>15689</v>
      </c>
      <c r="D4991" s="25" t="s">
        <v>15690</v>
      </c>
      <c r="E4991" s="28">
        <v>0.03333</v>
      </c>
      <c r="F4991" s="29">
        <f ca="1">ROUND(6.490,3)</f>
        <v>0</v>
      </c>
      <c r="G4991" s="27">
        <f ca="1">ROUND(E4991*F4991,2)</f>
        <v>0</v>
      </c>
    </row>
    <row r="4992" spans="1:7" ht="49.08" thickBot="1" customHeight="1">
      <c r="A4992" s="24" t="s">
        <v>15691</v>
      </c>
      <c r="B4992" s="24" t="s">
        <v>15692</v>
      </c>
      <c r="C4992" s="24" t="s">
        <v>15693</v>
      </c>
      <c r="D4992" s="25" t="s">
        <v>15694</v>
      </c>
      <c r="E4992" s="28">
        <v>0.15278</v>
      </c>
      <c r="F4992" s="29">
        <f ca="1">ROUND(178.460,3)</f>
        <v>0</v>
      </c>
      <c r="G4992" s="27">
        <f ca="1">ROUND(E4992*F4992,2)</f>
        <v>0</v>
      </c>
    </row>
    <row r="4993" spans="1:7" ht="49.08" thickBot="1" customHeight="1">
      <c r="A4993" s="24" t="s">
        <v>15695</v>
      </c>
      <c r="B4993" s="24" t="s">
        <v>15696</v>
      </c>
      <c r="C4993" s="24" t="s">
        <v>15697</v>
      </c>
      <c r="D4993" s="25" t="s">
        <v>15698</v>
      </c>
      <c r="E4993" s="28">
        <v>0.04000</v>
      </c>
      <c r="F4993" s="29">
        <f ca="1">ROUND(52.270,3)</f>
        <v>0</v>
      </c>
      <c r="G4993" s="27">
        <f ca="1">ROUND(E4993*F4993,2)</f>
        <v>0</v>
      </c>
    </row>
    <row r="4994" spans="1:7" ht="21.36" thickBot="1" customHeight="1">
      <c r="A4994" s="24" t="s">
        <v>15699</v>
      </c>
      <c r="B4994" s="24" t="s">
        <v>15700</v>
      </c>
      <c r="C4994" s="24" t="s">
        <v>15701</v>
      </c>
      <c r="D4994" s="25" t="s">
        <v>15702</v>
      </c>
      <c r="E4994" s="28">
        <v>0.50000</v>
      </c>
      <c r="F4994" s="29">
        <f ca="1">ROUND(2.000,3)</f>
        <v>0</v>
      </c>
      <c r="G4994" s="27">
        <f ca="1">ROUND(E4994*F4994,2)</f>
        <v>0</v>
      </c>
    </row>
    <row r="4995" spans="1:7" ht="30.60" thickBot="1" customHeight="1">
      <c r="A4995" s="24" t="s">
        <v>15703</v>
      </c>
      <c r="B4995" s="24" t="s">
        <v>15704</v>
      </c>
      <c r="C4995" s="24" t="s">
        <v>15705</v>
      </c>
      <c r="D4995" s="25" t="s">
        <v>15706</v>
      </c>
      <c r="E4995" s="28">
        <v>0.33333</v>
      </c>
      <c r="F4995" s="29">
        <f ca="1">ROUND(4.920,3)</f>
        <v>0</v>
      </c>
      <c r="G4995" s="27">
        <f ca="1">ROUND(E4995*F4995,2)</f>
        <v>0</v>
      </c>
    </row>
    <row r="4996" spans="1:7" ht="30.60" thickBot="1" customHeight="1">
      <c r="A4996" s="24" t="s">
        <v>15707</v>
      </c>
      <c r="B4996" s="24" t="s">
        <v>15708</v>
      </c>
      <c r="C4996" s="24" t="s">
        <v>15709</v>
      </c>
      <c r="D4996" s="25" t="s">
        <v>15710</v>
      </c>
      <c r="E4996" s="28">
        <v>0.12000</v>
      </c>
      <c r="F4996" s="29">
        <f ca="1">ROUND(11.100,3)</f>
        <v>0</v>
      </c>
      <c r="G4996" s="27">
        <f ca="1">ROUND(E4996*F4996,2)</f>
        <v>0</v>
      </c>
    </row>
    <row r="4997" spans="1:7" ht="30.60" thickBot="1" customHeight="1">
      <c r="A4997" s="24" t="s">
        <v>15711</v>
      </c>
      <c r="B4997" s="24" t="s">
        <v>15712</v>
      </c>
      <c r="C4997" s="24" t="s">
        <v>15713</v>
      </c>
      <c r="D4997" s="25" t="s">
        <v>15714</v>
      </c>
      <c r="E4997" s="28">
        <v>0.24000</v>
      </c>
      <c r="F4997" s="29">
        <f ca="1">ROUND(2.800,3)</f>
        <v>0</v>
      </c>
      <c r="G4997" s="27">
        <f ca="1">ROUND(E4997*F4997,2)</f>
        <v>0</v>
      </c>
    </row>
    <row r="4998" spans="1:7" ht="39.84" thickBot="1" customHeight="1">
      <c r="A4998" s="24" t="s">
        <v>15715</v>
      </c>
      <c r="B4998" s="24" t="s">
        <v>15716</v>
      </c>
      <c r="C4998" s="24" t="s">
        <v>15717</v>
      </c>
      <c r="D4998" s="25" t="s">
        <v>15718</v>
      </c>
      <c r="E4998" s="28">
        <v>0.12370</v>
      </c>
      <c r="F4998" s="29">
        <f ca="1">ROUND(5.040,3)</f>
        <v>0</v>
      </c>
      <c r="G4998" s="27">
        <f ca="1">ROUND(E4998*F4998,2)</f>
        <v>0</v>
      </c>
    </row>
    <row r="4999" spans="1:7" ht="30.60" thickBot="1" customHeight="1">
      <c r="A4999" s="24" t="s">
        <v>15719</v>
      </c>
      <c r="B4999" s="24" t="s">
        <v>15720</v>
      </c>
      <c r="C4999" s="24" t="s">
        <v>15721</v>
      </c>
      <c r="D4999" s="25" t="s">
        <v>15722</v>
      </c>
      <c r="E4999" s="28">
        <v>0.01845</v>
      </c>
      <c r="F4999" s="29">
        <f ca="1">ROUND(75.520,3)</f>
        <v>0</v>
      </c>
      <c r="G4999" s="27">
        <f ca="1">ROUND(E4999*F4999,2)</f>
        <v>0</v>
      </c>
    </row>
    <row r="5000" spans="1:7" ht="39.84" thickBot="1" customHeight="1">
      <c r="A5000" s="24" t="s">
        <v>15723</v>
      </c>
      <c r="B5000" s="24" t="s">
        <v>15724</v>
      </c>
      <c r="C5000" s="24" t="s">
        <v>15725</v>
      </c>
      <c r="D5000" s="25" t="s">
        <v>15726</v>
      </c>
      <c r="E5000" s="28">
        <v>0.02135</v>
      </c>
      <c r="F5000" s="29">
        <f ca="1">ROUND(94.920,3)</f>
        <v>0</v>
      </c>
      <c r="G5000" s="27">
        <f ca="1">ROUND(E5000*F5000,2)</f>
        <v>0</v>
      </c>
    </row>
    <row r="5001" spans="1:7" ht="49.08" thickBot="1" customHeight="1">
      <c r="A5001" s="24" t="s">
        <v>15727</v>
      </c>
      <c r="B5001" s="24" t="s">
        <v>15728</v>
      </c>
      <c r="C5001" s="24" t="s">
        <v>15729</v>
      </c>
      <c r="D5001" s="25" t="s">
        <v>15730</v>
      </c>
      <c r="E5001" s="28">
        <v>0.14942</v>
      </c>
      <c r="F5001" s="29">
        <f ca="1">ROUND(123.340,3)</f>
        <v>0</v>
      </c>
      <c r="G5001" s="27">
        <f ca="1">ROUND(E5001*F5001,2)</f>
        <v>0</v>
      </c>
    </row>
    <row r="5002" spans="1:7" ht="21.36" thickBot="1" customHeight="1">
      <c r="A5002" s="24" t="s">
        <v>15731</v>
      </c>
      <c r="B5002" s="24" t="s">
        <v>15732</v>
      </c>
      <c r="C5002" s="24" t="s">
        <v>15733</v>
      </c>
      <c r="D5002" s="25" t="s">
        <v>15734</v>
      </c>
      <c r="E5002" s="28">
        <v>0.82000</v>
      </c>
      <c r="F5002" s="29">
        <f ca="1">F5006</f>
        <v>0</v>
      </c>
      <c r="G5002" s="27">
        <f ca="1">ROUND(E5002*F5002,2)</f>
        <v>0</v>
      </c>
    </row>
    <row r="5003" spans="1:7" ht="24.36" thickBot="1" customHeight="1">
      <c r="A5003" s="24" t="s">
        <v>15735</v>
      </c>
      <c r="B5003" s="24" t="s">
        <v>15736</v>
      </c>
      <c r="C5003" s="24" t="s">
        <v>15737</v>
      </c>
      <c r="D5003" s="25" t="s">
        <v>15738</v>
      </c>
      <c r="E5003" s="28">
        <v>1.00000</v>
      </c>
      <c r="F5003" s="29">
        <f ca="1">ROUND(21.000,3)</f>
        <v>0</v>
      </c>
      <c r="G5003" s="27">
        <f ca="1">ROUND(E5003*F5003,2)</f>
        <v>0</v>
      </c>
    </row>
    <row r="5004" spans="1:7" ht="24.36" thickBot="1" customHeight="1">
      <c r="A5004" s="24" t="s">
        <v>15739</v>
      </c>
      <c r="B5004" s="24" t="s">
        <v>15740</v>
      </c>
      <c r="C5004" s="24" t="s">
        <v>15741</v>
      </c>
      <c r="D5004" s="25" t="s">
        <v>15742</v>
      </c>
      <c r="E5004" s="28">
        <v>1.00000</v>
      </c>
      <c r="F5004" s="29">
        <f ca="1">ROUND(19.000,3)</f>
        <v>0</v>
      </c>
      <c r="G5004" s="27">
        <f ca="1">ROUND(E5004*F5004,2)</f>
        <v>0</v>
      </c>
    </row>
    <row r="5005" spans="1:7" ht="24.36" thickBot="1" customHeight="1">
      <c r="A5005" s="24" t="s">
        <v>15743</v>
      </c>
      <c r="B5005" s="24" t="s">
        <v>15744</v>
      </c>
      <c r="C5005" s="24" t="s">
        <v>15745</v>
      </c>
      <c r="D5005" s="25" t="s">
        <v>15746</v>
      </c>
      <c r="E5005" s="28">
        <v>0.20000</v>
      </c>
      <c r="F5005" s="29">
        <f ca="1">ROUND(19.000,3)</f>
        <v>0</v>
      </c>
      <c r="G5005" s="27">
        <f ca="1">ROUND(E5005*F5005,2)</f>
        <v>0</v>
      </c>
    </row>
    <row r="5006" spans="1:7" ht="15.12" thickBot="1" customHeight="1">
      <c r="A5006" s="26"/>
      <c r="B5006" s="26"/>
      <c r="C5006" s="26"/>
      <c r="D5006" s="24" t="s">
        <v>15747</v>
      </c>
      <c r="E5006" s="28">
        <v>0.82000</v>
      </c>
      <c r="F5006" s="29">
        <f ca="1">ROUND((G5003+G5004+G5005),3)</f>
        <v>0</v>
      </c>
      <c r="G5006" s="27">
        <f ca="1">ROUND(E5006*F5006,2)</f>
        <v>0</v>
      </c>
    </row>
    <row r="5007" spans="1:7" ht="15.12" thickBot="1" customHeight="1">
      <c r="A5007" s="24" t="s">
        <v>15748</v>
      </c>
      <c r="B5007" s="24"/>
      <c r="C5007" s="24" t="s">
        <v>15749</v>
      </c>
      <c r="D5007" s="25" t="s">
        <v>15750</v>
      </c>
      <c r="E5007" s="28">
        <v>5.00000</v>
      </c>
      <c r="F5007" s="29">
        <f ca="1">ROUND(35.920,3)</f>
        <v>0</v>
      </c>
      <c r="G5007" s="27">
        <f ca="1">ROUND((E5007*F5007)/100,2)</f>
        <v>0</v>
      </c>
    </row>
    <row r="5008" spans="1:7" ht="15.48" thickBot="1" customHeight="1">
      <c r="A5008" s="30"/>
      <c r="B5008" s="30"/>
      <c r="C5008" s="30"/>
      <c r="D5008" s="31" t="s">
        <v>15751</v>
      </c>
      <c r="E5008" s="30"/>
      <c r="F5008" s="33">
        <f ca="1">ROUND((G4988+G4989+G4990+G4991+G4992+G4993+G4994+G4995+G4996+G4997+G4998+G4999+G5000+G5001+G5002+G5007)*(1+G2/100),2)</f>
        <v>0</v>
      </c>
      <c r="G5008" s="30"/>
    </row>
    <row r="5009" spans="1:7" ht="39.84" thickBot="1" customHeight="1">
      <c r="A5009" s="34" t="s">
        <v>15752</v>
      </c>
      <c r="B5009" s="35" t="s">
        <v>15753</v>
      </c>
      <c r="C5009" s="35" t="s">
        <v>15754</v>
      </c>
      <c r="D5009" s="36" t="s">
        <v>15755</v>
      </c>
      <c r="E5009" s="37"/>
      <c r="F5009" s="38">
        <f ca="1">F5032</f>
        <v>0</v>
      </c>
      <c r="G5009" s="37"/>
    </row>
    <row r="5010" spans="1:7" ht="12.12" thickBot="1" customHeight="1">
      <c r="A5010" s="26"/>
      <c r="B5010" s="26"/>
      <c r="C5010" s="26"/>
      <c r="D5010" s="25" t="s">
        <v>15756</v>
      </c>
      <c r="E5010" s="25"/>
      <c r="F5010" s="25"/>
      <c r="G5010" s="25"/>
    </row>
    <row r="5011" spans="1:7" ht="39.84" thickBot="1" customHeight="1">
      <c r="A5011" s="24" t="s">
        <v>15757</v>
      </c>
      <c r="B5011" s="24" t="s">
        <v>15758</v>
      </c>
      <c r="C5011" s="24" t="s">
        <v>15759</v>
      </c>
      <c r="D5011" s="25" t="s">
        <v>15760</v>
      </c>
      <c r="E5011" s="28">
        <v>0.01000</v>
      </c>
      <c r="F5011" s="29">
        <f ca="1">ROUND(93.670,3)</f>
        <v>0</v>
      </c>
      <c r="G5011" s="27">
        <f ca="1">ROUND(E5011*F5011,2)</f>
        <v>0</v>
      </c>
    </row>
    <row r="5012" spans="1:7" ht="39.84" thickBot="1" customHeight="1">
      <c r="A5012" s="24" t="s">
        <v>15761</v>
      </c>
      <c r="B5012" s="24" t="s">
        <v>15762</v>
      </c>
      <c r="C5012" s="24" t="s">
        <v>15763</v>
      </c>
      <c r="D5012" s="25" t="s">
        <v>15764</v>
      </c>
      <c r="E5012" s="28">
        <v>0.19832</v>
      </c>
      <c r="F5012" s="29">
        <f ca="1">ROUND(10.490,3)</f>
        <v>0</v>
      </c>
      <c r="G5012" s="27">
        <f ca="1">ROUND(E5012*F5012,2)</f>
        <v>0</v>
      </c>
    </row>
    <row r="5013" spans="1:7" ht="39.84" thickBot="1" customHeight="1">
      <c r="A5013" s="24" t="s">
        <v>15765</v>
      </c>
      <c r="B5013" s="24" t="s">
        <v>15766</v>
      </c>
      <c r="C5013" s="24" t="s">
        <v>15767</v>
      </c>
      <c r="D5013" s="25" t="s">
        <v>15768</v>
      </c>
      <c r="E5013" s="28">
        <v>0.63600</v>
      </c>
      <c r="F5013" s="29">
        <f ca="1">ROUND(11.260,3)</f>
        <v>0</v>
      </c>
      <c r="G5013" s="27">
        <f ca="1">ROUND(E5013*F5013,2)</f>
        <v>0</v>
      </c>
    </row>
    <row r="5014" spans="1:7" ht="21.36" thickBot="1" customHeight="1">
      <c r="A5014" s="24" t="s">
        <v>15769</v>
      </c>
      <c r="B5014" s="24" t="s">
        <v>15770</v>
      </c>
      <c r="C5014" s="24" t="s">
        <v>15771</v>
      </c>
      <c r="D5014" s="25" t="s">
        <v>15772</v>
      </c>
      <c r="E5014" s="28">
        <v>0.03333</v>
      </c>
      <c r="F5014" s="29">
        <f ca="1">ROUND(6.490,3)</f>
        <v>0</v>
      </c>
      <c r="G5014" s="27">
        <f ca="1">ROUND(E5014*F5014,2)</f>
        <v>0</v>
      </c>
    </row>
    <row r="5015" spans="1:7" ht="39.84" thickBot="1" customHeight="1">
      <c r="A5015" s="24" t="s">
        <v>15773</v>
      </c>
      <c r="B5015" s="24" t="s">
        <v>15774</v>
      </c>
      <c r="C5015" s="24" t="s">
        <v>15775</v>
      </c>
      <c r="D5015" s="25" t="s">
        <v>15776</v>
      </c>
      <c r="E5015" s="28">
        <v>0.29333</v>
      </c>
      <c r="F5015" s="29">
        <f ca="1">ROUND(19.110,3)</f>
        <v>0</v>
      </c>
      <c r="G5015" s="27">
        <f ca="1">ROUND(E5015*F5015,2)</f>
        <v>0</v>
      </c>
    </row>
    <row r="5016" spans="1:7" ht="39.84" thickBot="1" customHeight="1">
      <c r="A5016" s="24" t="s">
        <v>15777</v>
      </c>
      <c r="B5016" s="24" t="s">
        <v>15778</v>
      </c>
      <c r="C5016" s="24" t="s">
        <v>15779</v>
      </c>
      <c r="D5016" s="25" t="s">
        <v>15780</v>
      </c>
      <c r="E5016" s="28">
        <v>0.01770</v>
      </c>
      <c r="F5016" s="29">
        <f ca="1">ROUND(10.060,3)</f>
        <v>0</v>
      </c>
      <c r="G5016" s="27">
        <f ca="1">ROUND(E5016*F5016,2)</f>
        <v>0</v>
      </c>
    </row>
    <row r="5017" spans="1:7" ht="49.08" thickBot="1" customHeight="1">
      <c r="A5017" s="24" t="s">
        <v>15781</v>
      </c>
      <c r="B5017" s="24" t="s">
        <v>15782</v>
      </c>
      <c r="C5017" s="24" t="s">
        <v>15783</v>
      </c>
      <c r="D5017" s="25" t="s">
        <v>15784</v>
      </c>
      <c r="E5017" s="28">
        <v>0.04000</v>
      </c>
      <c r="F5017" s="29">
        <f ca="1">ROUND(52.270,3)</f>
        <v>0</v>
      </c>
      <c r="G5017" s="27">
        <f ca="1">ROUND(E5017*F5017,2)</f>
        <v>0</v>
      </c>
    </row>
    <row r="5018" spans="1:7" ht="21.36" thickBot="1" customHeight="1">
      <c r="A5018" s="24" t="s">
        <v>15785</v>
      </c>
      <c r="B5018" s="24" t="s">
        <v>15786</v>
      </c>
      <c r="C5018" s="24" t="s">
        <v>15787</v>
      </c>
      <c r="D5018" s="25" t="s">
        <v>15788</v>
      </c>
      <c r="E5018" s="28">
        <v>0.50000</v>
      </c>
      <c r="F5018" s="29">
        <f ca="1">ROUND(2.000,3)</f>
        <v>0</v>
      </c>
      <c r="G5018" s="27">
        <f ca="1">ROUND(E5018*F5018,2)</f>
        <v>0</v>
      </c>
    </row>
    <row r="5019" spans="1:7" ht="30.60" thickBot="1" customHeight="1">
      <c r="A5019" s="24" t="s">
        <v>15789</v>
      </c>
      <c r="B5019" s="24" t="s">
        <v>15790</v>
      </c>
      <c r="C5019" s="24" t="s">
        <v>15791</v>
      </c>
      <c r="D5019" s="25" t="s">
        <v>15792</v>
      </c>
      <c r="E5019" s="28">
        <v>0.33333</v>
      </c>
      <c r="F5019" s="29">
        <f ca="1">ROUND(4.920,3)</f>
        <v>0</v>
      </c>
      <c r="G5019" s="27">
        <f ca="1">ROUND(E5019*F5019,2)</f>
        <v>0</v>
      </c>
    </row>
    <row r="5020" spans="1:7" ht="30.60" thickBot="1" customHeight="1">
      <c r="A5020" s="24" t="s">
        <v>15793</v>
      </c>
      <c r="B5020" s="24" t="s">
        <v>15794</v>
      </c>
      <c r="C5020" s="24" t="s">
        <v>15795</v>
      </c>
      <c r="D5020" s="25" t="s">
        <v>15796</v>
      </c>
      <c r="E5020" s="28">
        <v>0.12000</v>
      </c>
      <c r="F5020" s="29">
        <f ca="1">ROUND(11.100,3)</f>
        <v>0</v>
      </c>
      <c r="G5020" s="27">
        <f ca="1">ROUND(E5020*F5020,2)</f>
        <v>0</v>
      </c>
    </row>
    <row r="5021" spans="1:7" ht="30.60" thickBot="1" customHeight="1">
      <c r="A5021" s="24" t="s">
        <v>15797</v>
      </c>
      <c r="B5021" s="24" t="s">
        <v>15798</v>
      </c>
      <c r="C5021" s="24" t="s">
        <v>15799</v>
      </c>
      <c r="D5021" s="25" t="s">
        <v>15800</v>
      </c>
      <c r="E5021" s="28">
        <v>0.24000</v>
      </c>
      <c r="F5021" s="29">
        <f ca="1">ROUND(2.800,3)</f>
        <v>0</v>
      </c>
      <c r="G5021" s="27">
        <f ca="1">ROUND(E5021*F5021,2)</f>
        <v>0</v>
      </c>
    </row>
    <row r="5022" spans="1:7" ht="39.84" thickBot="1" customHeight="1">
      <c r="A5022" s="24" t="s">
        <v>15801</v>
      </c>
      <c r="B5022" s="24" t="s">
        <v>15802</v>
      </c>
      <c r="C5022" s="24" t="s">
        <v>15803</v>
      </c>
      <c r="D5022" s="25" t="s">
        <v>15804</v>
      </c>
      <c r="E5022" s="28">
        <v>0.12370</v>
      </c>
      <c r="F5022" s="29">
        <f ca="1">ROUND(5.040,3)</f>
        <v>0</v>
      </c>
      <c r="G5022" s="27">
        <f ca="1">ROUND(E5022*F5022,2)</f>
        <v>0</v>
      </c>
    </row>
    <row r="5023" spans="1:7" ht="30.60" thickBot="1" customHeight="1">
      <c r="A5023" s="24" t="s">
        <v>15805</v>
      </c>
      <c r="B5023" s="24" t="s">
        <v>15806</v>
      </c>
      <c r="C5023" s="24" t="s">
        <v>15807</v>
      </c>
      <c r="D5023" s="25" t="s">
        <v>15808</v>
      </c>
      <c r="E5023" s="28">
        <v>0.01845</v>
      </c>
      <c r="F5023" s="29">
        <f ca="1">ROUND(75.520,3)</f>
        <v>0</v>
      </c>
      <c r="G5023" s="27">
        <f ca="1">ROUND(E5023*F5023,2)</f>
        <v>0</v>
      </c>
    </row>
    <row r="5024" spans="1:7" ht="39.84" thickBot="1" customHeight="1">
      <c r="A5024" s="24" t="s">
        <v>15809</v>
      </c>
      <c r="B5024" s="24" t="s">
        <v>15810</v>
      </c>
      <c r="C5024" s="24" t="s">
        <v>15811</v>
      </c>
      <c r="D5024" s="25" t="s">
        <v>15812</v>
      </c>
      <c r="E5024" s="28">
        <v>0.02135</v>
      </c>
      <c r="F5024" s="29">
        <f ca="1">ROUND(94.920,3)</f>
        <v>0</v>
      </c>
      <c r="G5024" s="27">
        <f ca="1">ROUND(E5024*F5024,2)</f>
        <v>0</v>
      </c>
    </row>
    <row r="5025" spans="1:7" ht="49.08" thickBot="1" customHeight="1">
      <c r="A5025" s="24" t="s">
        <v>15813</v>
      </c>
      <c r="B5025" s="24" t="s">
        <v>15814</v>
      </c>
      <c r="C5025" s="24" t="s">
        <v>15815</v>
      </c>
      <c r="D5025" s="25" t="s">
        <v>15816</v>
      </c>
      <c r="E5025" s="28">
        <v>0.14942</v>
      </c>
      <c r="F5025" s="29">
        <f ca="1">ROUND(123.340,3)</f>
        <v>0</v>
      </c>
      <c r="G5025" s="27">
        <f ca="1">ROUND(E5025*F5025,2)</f>
        <v>0</v>
      </c>
    </row>
    <row r="5026" spans="1:7" ht="21.36" thickBot="1" customHeight="1">
      <c r="A5026" s="24" t="s">
        <v>15817</v>
      </c>
      <c r="B5026" s="24" t="s">
        <v>15818</v>
      </c>
      <c r="C5026" s="24" t="s">
        <v>15819</v>
      </c>
      <c r="D5026" s="25" t="s">
        <v>15820</v>
      </c>
      <c r="E5026" s="28">
        <v>0.82000</v>
      </c>
      <c r="F5026" s="29">
        <f ca="1">F5030</f>
        <v>0</v>
      </c>
      <c r="G5026" s="27">
        <f ca="1">ROUND(E5026*F5026,2)</f>
        <v>0</v>
      </c>
    </row>
    <row r="5027" spans="1:7" ht="24.36" thickBot="1" customHeight="1">
      <c r="A5027" s="24" t="s">
        <v>15821</v>
      </c>
      <c r="B5027" s="24" t="s">
        <v>15822</v>
      </c>
      <c r="C5027" s="24" t="s">
        <v>15823</v>
      </c>
      <c r="D5027" s="25" t="s">
        <v>15824</v>
      </c>
      <c r="E5027" s="28">
        <v>1.00000</v>
      </c>
      <c r="F5027" s="29">
        <f ca="1">ROUND(21.000,3)</f>
        <v>0</v>
      </c>
      <c r="G5027" s="27">
        <f ca="1">ROUND(E5027*F5027,2)</f>
        <v>0</v>
      </c>
    </row>
    <row r="5028" spans="1:7" ht="24.36" thickBot="1" customHeight="1">
      <c r="A5028" s="24" t="s">
        <v>15825</v>
      </c>
      <c r="B5028" s="24" t="s">
        <v>15826</v>
      </c>
      <c r="C5028" s="24" t="s">
        <v>15827</v>
      </c>
      <c r="D5028" s="25" t="s">
        <v>15828</v>
      </c>
      <c r="E5028" s="28">
        <v>1.00000</v>
      </c>
      <c r="F5028" s="29">
        <f ca="1">ROUND(19.000,3)</f>
        <v>0</v>
      </c>
      <c r="G5028" s="27">
        <f ca="1">ROUND(E5028*F5028,2)</f>
        <v>0</v>
      </c>
    </row>
    <row r="5029" spans="1:7" ht="24.36" thickBot="1" customHeight="1">
      <c r="A5029" s="24" t="s">
        <v>15829</v>
      </c>
      <c r="B5029" s="24" t="s">
        <v>15830</v>
      </c>
      <c r="C5029" s="24" t="s">
        <v>15831</v>
      </c>
      <c r="D5029" s="25" t="s">
        <v>15832</v>
      </c>
      <c r="E5029" s="28">
        <v>0.20000</v>
      </c>
      <c r="F5029" s="29">
        <f ca="1">ROUND(19.000,3)</f>
        <v>0</v>
      </c>
      <c r="G5029" s="27">
        <f ca="1">ROUND(E5029*F5029,2)</f>
        <v>0</v>
      </c>
    </row>
    <row r="5030" spans="1:7" ht="15.12" thickBot="1" customHeight="1">
      <c r="A5030" s="26"/>
      <c r="B5030" s="26"/>
      <c r="C5030" s="26"/>
      <c r="D5030" s="24" t="s">
        <v>15833</v>
      </c>
      <c r="E5030" s="28">
        <v>0.82000</v>
      </c>
      <c r="F5030" s="29">
        <f ca="1">ROUND((G5027+G5028+G5029),3)</f>
        <v>0</v>
      </c>
      <c r="G5030" s="27">
        <f ca="1">ROUND(E5030*F5030,2)</f>
        <v>0</v>
      </c>
    </row>
    <row r="5031" spans="1:7" ht="15.12" thickBot="1" customHeight="1">
      <c r="A5031" s="24" t="s">
        <v>15834</v>
      </c>
      <c r="B5031" s="24"/>
      <c r="C5031" s="24" t="s">
        <v>15835</v>
      </c>
      <c r="D5031" s="25" t="s">
        <v>15836</v>
      </c>
      <c r="E5031" s="28">
        <v>5.00000</v>
      </c>
      <c r="F5031" s="29">
        <f ca="1">ROUND(35.920,3)</f>
        <v>0</v>
      </c>
      <c r="G5031" s="27">
        <f ca="1">ROUND((E5031*F5031)/100,2)</f>
        <v>0</v>
      </c>
    </row>
    <row r="5032" spans="1:7" ht="15.48" thickBot="1" customHeight="1">
      <c r="A5032" s="30"/>
      <c r="B5032" s="30"/>
      <c r="C5032" s="30"/>
      <c r="D5032" s="31" t="s">
        <v>15837</v>
      </c>
      <c r="E5032" s="30"/>
      <c r="F5032" s="33">
        <f ca="1">ROUND((G5011+G5012+G5013+G5014+G5015+G5016+G5017+G5018+G5019+G5020+G5021+G5022+G5023+G5024+G5025+G5026+G5031)*(1+G2/100),2)</f>
        <v>0</v>
      </c>
      <c r="G5032" s="30"/>
    </row>
    <row r="5033" spans="1:7" ht="15.48" thickBot="1" customHeight="1">
      <c r="A5033" s="39"/>
      <c r="B5033" s="39"/>
      <c r="C5033" s="39"/>
      <c r="D5033" s="40" t="s">
        <v>15838</v>
      </c>
      <c r="E5033" s="41"/>
      <c r="F5033" s="41"/>
      <c r="G5033" s="41"/>
    </row>
    <row r="5034" spans="1:7" ht="15.48" thickBot="1" customHeight="1">
      <c r="A5034" s="39"/>
      <c r="B5034" s="39"/>
      <c r="C5034" s="39"/>
      <c r="D5034" s="50" t="s">
        <v>15839</v>
      </c>
      <c r="E5034" s="51"/>
      <c r="F5034" s="51"/>
      <c r="G5034" s="51"/>
    </row>
    <row r="5035" spans="1:7" ht="15.48" thickBot="1" customHeight="1">
      <c r="A5035" s="52" t="s">
        <v>15840</v>
      </c>
      <c r="B5035" s="52" t="s">
        <v>15841</v>
      </c>
      <c r="C5035" s="53"/>
      <c r="D5035" s="54" t="s">
        <v>15842</v>
      </c>
      <c r="E5035" s="53"/>
      <c r="F5035" s="53"/>
      <c r="G5035" s="53"/>
    </row>
    <row r="5036" spans="1:7" ht="15.48" thickBot="1" customHeight="1">
      <c r="A5036" s="10" t="s">
        <v>15843</v>
      </c>
      <c r="B5036" s="24" t="s">
        <v>15844</v>
      </c>
      <c r="C5036" s="24" t="s">
        <v>15845</v>
      </c>
      <c r="D5036" s="25" t="s">
        <v>15846</v>
      </c>
      <c r="E5036" s="26"/>
      <c r="F5036" s="27">
        <f ca="1">F5044</f>
        <v>0</v>
      </c>
      <c r="G5036" s="26"/>
    </row>
    <row r="5037" spans="1:7" ht="39.84" thickBot="1" customHeight="1">
      <c r="A5037" s="26"/>
      <c r="B5037" s="26"/>
      <c r="C5037" s="26"/>
      <c r="D5037" s="25" t="s">
        <v>15847</v>
      </c>
      <c r="E5037" s="25"/>
      <c r="F5037" s="25"/>
      <c r="G5037" s="25"/>
    </row>
    <row r="5038" spans="1:7" ht="39.84" thickBot="1" customHeight="1">
      <c r="A5038" s="24" t="s">
        <v>15848</v>
      </c>
      <c r="B5038" s="24" t="s">
        <v>15849</v>
      </c>
      <c r="C5038" s="24" t="s">
        <v>15850</v>
      </c>
      <c r="D5038" s="25" t="s">
        <v>15851</v>
      </c>
      <c r="E5038" s="28">
        <v>1.10000</v>
      </c>
      <c r="F5038" s="29">
        <f ca="1">ROUND(20.040,3)</f>
        <v>0</v>
      </c>
      <c r="G5038" s="27">
        <f ca="1">ROUND(E5038*F5038,2)</f>
        <v>0</v>
      </c>
    </row>
    <row r="5039" spans="1:7" ht="21.36" thickBot="1" customHeight="1">
      <c r="A5039" s="24" t="s">
        <v>15852</v>
      </c>
      <c r="B5039" s="24" t="s">
        <v>15853</v>
      </c>
      <c r="C5039" s="24" t="s">
        <v>15854</v>
      </c>
      <c r="D5039" s="25" t="s">
        <v>15855</v>
      </c>
      <c r="E5039" s="28">
        <v>0.62000</v>
      </c>
      <c r="F5039" s="29">
        <f ca="1">F5043</f>
        <v>0</v>
      </c>
      <c r="G5039" s="27">
        <f ca="1">ROUND(E5039*F5039,2)</f>
        <v>0</v>
      </c>
    </row>
    <row r="5040" spans="1:7" ht="24.36" thickBot="1" customHeight="1">
      <c r="A5040" s="24" t="s">
        <v>15856</v>
      </c>
      <c r="B5040" s="24" t="s">
        <v>15857</v>
      </c>
      <c r="C5040" s="24" t="s">
        <v>15858</v>
      </c>
      <c r="D5040" s="25" t="s">
        <v>15859</v>
      </c>
      <c r="E5040" s="28">
        <v>1.00000</v>
      </c>
      <c r="F5040" s="29">
        <f ca="1">ROUND(21.000,3)</f>
        <v>0</v>
      </c>
      <c r="G5040" s="27">
        <f ca="1">ROUND(E5040*F5040,2)</f>
        <v>0</v>
      </c>
    </row>
    <row r="5041" spans="1:7" ht="24.36" thickBot="1" customHeight="1">
      <c r="A5041" s="24" t="s">
        <v>15860</v>
      </c>
      <c r="B5041" s="24" t="s">
        <v>15861</v>
      </c>
      <c r="C5041" s="24" t="s">
        <v>15862</v>
      </c>
      <c r="D5041" s="25" t="s">
        <v>15863</v>
      </c>
      <c r="E5041" s="28">
        <v>1.00000</v>
      </c>
      <c r="F5041" s="29">
        <f ca="1">ROUND(19.000,3)</f>
        <v>0</v>
      </c>
      <c r="G5041" s="27">
        <f ca="1">ROUND(E5041*F5041,2)</f>
        <v>0</v>
      </c>
    </row>
    <row r="5042" spans="1:7" ht="24.36" thickBot="1" customHeight="1">
      <c r="A5042" s="24" t="s">
        <v>15864</v>
      </c>
      <c r="B5042" s="24" t="s">
        <v>15865</v>
      </c>
      <c r="C5042" s="24" t="s">
        <v>15866</v>
      </c>
      <c r="D5042" s="25" t="s">
        <v>15867</v>
      </c>
      <c r="E5042" s="28">
        <v>0.20000</v>
      </c>
      <c r="F5042" s="29">
        <f ca="1">ROUND(19.000,3)</f>
        <v>0</v>
      </c>
      <c r="G5042" s="27">
        <f ca="1">ROUND(E5042*F5042,2)</f>
        <v>0</v>
      </c>
    </row>
    <row r="5043" spans="1:7" ht="15.12" thickBot="1" customHeight="1">
      <c r="A5043" s="26"/>
      <c r="B5043" s="26"/>
      <c r="C5043" s="26"/>
      <c r="D5043" s="24" t="s">
        <v>15868</v>
      </c>
      <c r="E5043" s="28">
        <v>0.62000</v>
      </c>
      <c r="F5043" s="29">
        <f ca="1">ROUND((G5040+G5041+G5042),3)</f>
        <v>0</v>
      </c>
      <c r="G5043" s="27">
        <f ca="1">ROUND(E5043*F5043,2)</f>
        <v>0</v>
      </c>
    </row>
    <row r="5044" spans="1:7" ht="15.48" thickBot="1" customHeight="1">
      <c r="A5044" s="30"/>
      <c r="B5044" s="30"/>
      <c r="C5044" s="30"/>
      <c r="D5044" s="31" t="s">
        <v>15869</v>
      </c>
      <c r="E5044" s="30"/>
      <c r="F5044" s="33">
        <f ca="1">ROUND((G5038+G5039)*(1+G2/100),2)</f>
        <v>0</v>
      </c>
      <c r="G5044" s="30"/>
    </row>
    <row r="5045" spans="1:7" ht="21.36" thickBot="1" customHeight="1">
      <c r="A5045" s="34" t="s">
        <v>15870</v>
      </c>
      <c r="B5045" s="35" t="s">
        <v>15871</v>
      </c>
      <c r="C5045" s="35" t="s">
        <v>15872</v>
      </c>
      <c r="D5045" s="36" t="s">
        <v>15873</v>
      </c>
      <c r="E5045" s="37"/>
      <c r="F5045" s="38">
        <f ca="1">F5054</f>
        <v>0</v>
      </c>
      <c r="G5045" s="37"/>
    </row>
    <row r="5046" spans="1:7" ht="30.60" thickBot="1" customHeight="1">
      <c r="A5046" s="26"/>
      <c r="B5046" s="26"/>
      <c r="C5046" s="26"/>
      <c r="D5046" s="25" t="s">
        <v>15874</v>
      </c>
      <c r="E5046" s="25"/>
      <c r="F5046" s="25"/>
      <c r="G5046" s="25"/>
    </row>
    <row r="5047" spans="1:7" ht="21.36" thickBot="1" customHeight="1">
      <c r="A5047" s="24" t="s">
        <v>15875</v>
      </c>
      <c r="B5047" s="24" t="s">
        <v>15876</v>
      </c>
      <c r="C5047" s="24" t="s">
        <v>15877</v>
      </c>
      <c r="D5047" s="25" t="s">
        <v>15878</v>
      </c>
      <c r="E5047" s="28">
        <v>10.00000</v>
      </c>
      <c r="F5047" s="29">
        <f ca="1">ROUND(0.590,3)</f>
        <v>0</v>
      </c>
      <c r="G5047" s="27">
        <f ca="1">ROUND(E5047*F5047,2)</f>
        <v>0</v>
      </c>
    </row>
    <row r="5048" spans="1:7" ht="30.60" thickBot="1" customHeight="1">
      <c r="A5048" s="24" t="s">
        <v>15879</v>
      </c>
      <c r="B5048" s="24" t="s">
        <v>15880</v>
      </c>
      <c r="C5048" s="24" t="s">
        <v>15881</v>
      </c>
      <c r="D5048" s="25" t="s">
        <v>15882</v>
      </c>
      <c r="E5048" s="28">
        <v>0.56000</v>
      </c>
      <c r="F5048" s="29">
        <f ca="1">ROUND(1.470,3)</f>
        <v>0</v>
      </c>
      <c r="G5048" s="27">
        <f ca="1">ROUND(E5048*F5048,2)</f>
        <v>0</v>
      </c>
    </row>
    <row r="5049" spans="1:7" ht="21.36" thickBot="1" customHeight="1">
      <c r="A5049" s="24" t="s">
        <v>15883</v>
      </c>
      <c r="B5049" s="24" t="s">
        <v>15884</v>
      </c>
      <c r="C5049" s="24" t="s">
        <v>15885</v>
      </c>
      <c r="D5049" s="25" t="s">
        <v>15886</v>
      </c>
      <c r="E5049" s="28">
        <v>0.65000</v>
      </c>
      <c r="F5049" s="29">
        <f ca="1">F5053</f>
        <v>0</v>
      </c>
      <c r="G5049" s="27">
        <f ca="1">ROUND(E5049*F5049,2)</f>
        <v>0</v>
      </c>
    </row>
    <row r="5050" spans="1:7" ht="24.36" thickBot="1" customHeight="1">
      <c r="A5050" s="24" t="s">
        <v>15887</v>
      </c>
      <c r="B5050" s="24" t="s">
        <v>15888</v>
      </c>
      <c r="C5050" s="24" t="s">
        <v>15889</v>
      </c>
      <c r="D5050" s="25" t="s">
        <v>15890</v>
      </c>
      <c r="E5050" s="28">
        <v>1.00000</v>
      </c>
      <c r="F5050" s="29">
        <f ca="1">ROUND(21.000,3)</f>
        <v>0</v>
      </c>
      <c r="G5050" s="27">
        <f ca="1">ROUND(E5050*F5050,2)</f>
        <v>0</v>
      </c>
    </row>
    <row r="5051" spans="1:7" ht="24.36" thickBot="1" customHeight="1">
      <c r="A5051" s="24" t="s">
        <v>15891</v>
      </c>
      <c r="B5051" s="24" t="s">
        <v>15892</v>
      </c>
      <c r="C5051" s="24" t="s">
        <v>15893</v>
      </c>
      <c r="D5051" s="25" t="s">
        <v>15894</v>
      </c>
      <c r="E5051" s="28">
        <v>1.00000</v>
      </c>
      <c r="F5051" s="29">
        <f ca="1">ROUND(19.000,3)</f>
        <v>0</v>
      </c>
      <c r="G5051" s="27">
        <f ca="1">ROUND(E5051*F5051,2)</f>
        <v>0</v>
      </c>
    </row>
    <row r="5052" spans="1:7" ht="24.36" thickBot="1" customHeight="1">
      <c r="A5052" s="24" t="s">
        <v>15895</v>
      </c>
      <c r="B5052" s="24" t="s">
        <v>15896</v>
      </c>
      <c r="C5052" s="24" t="s">
        <v>15897</v>
      </c>
      <c r="D5052" s="25" t="s">
        <v>15898</v>
      </c>
      <c r="E5052" s="28">
        <v>0.20000</v>
      </c>
      <c r="F5052" s="29">
        <f ca="1">ROUND(19.000,3)</f>
        <v>0</v>
      </c>
      <c r="G5052" s="27">
        <f ca="1">ROUND(E5052*F5052,2)</f>
        <v>0</v>
      </c>
    </row>
    <row r="5053" spans="1:7" ht="15.12" thickBot="1" customHeight="1">
      <c r="A5053" s="26"/>
      <c r="B5053" s="26"/>
      <c r="C5053" s="26"/>
      <c r="D5053" s="24" t="s">
        <v>15899</v>
      </c>
      <c r="E5053" s="28">
        <v>0.65000</v>
      </c>
      <c r="F5053" s="29">
        <f ca="1">ROUND((G5050+G5051+G5052),3)</f>
        <v>0</v>
      </c>
      <c r="G5053" s="27">
        <f ca="1">ROUND(E5053*F5053,2)</f>
        <v>0</v>
      </c>
    </row>
    <row r="5054" spans="1:7" ht="15.48" thickBot="1" customHeight="1">
      <c r="A5054" s="30"/>
      <c r="B5054" s="30"/>
      <c r="C5054" s="30"/>
      <c r="D5054" s="31" t="s">
        <v>15900</v>
      </c>
      <c r="E5054" s="30"/>
      <c r="F5054" s="33">
        <f ca="1">ROUND((G5047+G5048+G5049)*(1+G2/100),2)</f>
        <v>0</v>
      </c>
      <c r="G5054" s="30"/>
    </row>
    <row r="5055" spans="1:7" ht="39.84" thickBot="1" customHeight="1">
      <c r="A5055" s="34" t="s">
        <v>15901</v>
      </c>
      <c r="B5055" s="35" t="s">
        <v>15902</v>
      </c>
      <c r="C5055" s="35" t="s">
        <v>15903</v>
      </c>
      <c r="D5055" s="36" t="s">
        <v>15904</v>
      </c>
      <c r="E5055" s="37"/>
      <c r="F5055" s="38">
        <f ca="1">F5071</f>
        <v>0</v>
      </c>
      <c r="G5055" s="37"/>
    </row>
    <row r="5056" spans="1:7" ht="95.28" thickBot="1" customHeight="1">
      <c r="A5056" s="26"/>
      <c r="B5056" s="26"/>
      <c r="C5056" s="26"/>
      <c r="D5056" s="25" t="s">
        <v>15905</v>
      </c>
      <c r="E5056" s="25"/>
      <c r="F5056" s="25"/>
      <c r="G5056" s="25"/>
    </row>
    <row r="5057" spans="1:7" ht="30.60" thickBot="1" customHeight="1">
      <c r="A5057" s="24" t="s">
        <v>15906</v>
      </c>
      <c r="B5057" s="24" t="s">
        <v>15907</v>
      </c>
      <c r="C5057" s="24" t="s">
        <v>15908</v>
      </c>
      <c r="D5057" s="25" t="s">
        <v>15909</v>
      </c>
      <c r="E5057" s="28">
        <v>0.01200</v>
      </c>
      <c r="F5057" s="29">
        <f ca="1">ROUND(10.400,3)</f>
        <v>0</v>
      </c>
      <c r="G5057" s="27">
        <f ca="1">ROUND(E5057*F5057,2)</f>
        <v>0</v>
      </c>
    </row>
    <row r="5058" spans="1:7" ht="30.60" thickBot="1" customHeight="1">
      <c r="A5058" s="24" t="s">
        <v>15910</v>
      </c>
      <c r="B5058" s="24" t="s">
        <v>15911</v>
      </c>
      <c r="C5058" s="24" t="s">
        <v>15912</v>
      </c>
      <c r="D5058" s="25" t="s">
        <v>15913</v>
      </c>
      <c r="E5058" s="28">
        <v>0.33000</v>
      </c>
      <c r="F5058" s="29">
        <f ca="1">ROUND(2.370,3)</f>
        <v>0</v>
      </c>
      <c r="G5058" s="27">
        <f ca="1">ROUND(E5058*F5058,2)</f>
        <v>0</v>
      </c>
    </row>
    <row r="5059" spans="1:7" ht="30.60" thickBot="1" customHeight="1">
      <c r="A5059" s="24" t="s">
        <v>15914</v>
      </c>
      <c r="B5059" s="24" t="s">
        <v>15915</v>
      </c>
      <c r="C5059" s="24" t="s">
        <v>15916</v>
      </c>
      <c r="D5059" s="25" t="s">
        <v>15917</v>
      </c>
      <c r="E5059" s="28">
        <v>1.00000</v>
      </c>
      <c r="F5059" s="29">
        <f ca="1">ROUND(2.910,3)</f>
        <v>0</v>
      </c>
      <c r="G5059" s="27">
        <f ca="1">ROUND(E5059*F5059,2)</f>
        <v>0</v>
      </c>
    </row>
    <row r="5060" spans="1:7" ht="30.60" thickBot="1" customHeight="1">
      <c r="A5060" s="24" t="s">
        <v>15918</v>
      </c>
      <c r="B5060" s="24" t="s">
        <v>15919</v>
      </c>
      <c r="C5060" s="24" t="s">
        <v>15920</v>
      </c>
      <c r="D5060" s="25" t="s">
        <v>15921</v>
      </c>
      <c r="E5060" s="28">
        <v>0.67500</v>
      </c>
      <c r="F5060" s="29">
        <f ca="1">ROUND(9.420,3)</f>
        <v>0</v>
      </c>
      <c r="G5060" s="27">
        <f ca="1">ROUND(E5060*F5060,2)</f>
        <v>0</v>
      </c>
    </row>
    <row r="5061" spans="1:7" ht="21.36" thickBot="1" customHeight="1">
      <c r="A5061" s="24" t="s">
        <v>15922</v>
      </c>
      <c r="B5061" s="24" t="s">
        <v>15923</v>
      </c>
      <c r="C5061" s="24" t="s">
        <v>15924</v>
      </c>
      <c r="D5061" s="25" t="s">
        <v>15925</v>
      </c>
      <c r="E5061" s="28">
        <v>0.05000</v>
      </c>
      <c r="F5061" s="29">
        <f ca="1">ROUND(6.870,3)</f>
        <v>0</v>
      </c>
      <c r="G5061" s="27">
        <f ca="1">ROUND(E5061*F5061,2)</f>
        <v>0</v>
      </c>
    </row>
    <row r="5062" spans="1:7" ht="21.36" thickBot="1" customHeight="1">
      <c r="A5062" s="24" t="s">
        <v>15926</v>
      </c>
      <c r="B5062" s="24" t="s">
        <v>15927</v>
      </c>
      <c r="C5062" s="24" t="s">
        <v>15928</v>
      </c>
      <c r="D5062" s="25" t="s">
        <v>15929</v>
      </c>
      <c r="E5062" s="28">
        <v>0.00333</v>
      </c>
      <c r="F5062" s="29">
        <f ca="1">ROUND(31.650,3)</f>
        <v>0</v>
      </c>
      <c r="G5062" s="27">
        <f ca="1">ROUND(E5062*F5062,2)</f>
        <v>0</v>
      </c>
    </row>
    <row r="5063" spans="1:7" ht="21.36" thickBot="1" customHeight="1">
      <c r="A5063" s="24" t="s">
        <v>15930</v>
      </c>
      <c r="B5063" s="24" t="s">
        <v>15931</v>
      </c>
      <c r="C5063" s="24" t="s">
        <v>15932</v>
      </c>
      <c r="D5063" s="25" t="s">
        <v>15933</v>
      </c>
      <c r="E5063" s="28">
        <v>0.00550</v>
      </c>
      <c r="F5063" s="29">
        <f ca="1">ROUND(8.350,3)</f>
        <v>0</v>
      </c>
      <c r="G5063" s="27">
        <f ca="1">ROUND(E5063*F5063,2)</f>
        <v>0</v>
      </c>
    </row>
    <row r="5064" spans="1:7" ht="30.60" thickBot="1" customHeight="1">
      <c r="A5064" s="24" t="s">
        <v>15934</v>
      </c>
      <c r="B5064" s="24" t="s">
        <v>15935</v>
      </c>
      <c r="C5064" s="24" t="s">
        <v>15936</v>
      </c>
      <c r="D5064" s="25" t="s">
        <v>15937</v>
      </c>
      <c r="E5064" s="28">
        <v>0.03000</v>
      </c>
      <c r="F5064" s="29">
        <f ca="1">ROUND(20.920,3)</f>
        <v>0</v>
      </c>
      <c r="G5064" s="27">
        <f ca="1">ROUND(E5064*F5064,2)</f>
        <v>0</v>
      </c>
    </row>
    <row r="5065" spans="1:7" ht="39.84" thickBot="1" customHeight="1">
      <c r="A5065" s="24" t="s">
        <v>15938</v>
      </c>
      <c r="B5065" s="24" t="s">
        <v>15939</v>
      </c>
      <c r="C5065" s="24" t="s">
        <v>15940</v>
      </c>
      <c r="D5065" s="25" t="s">
        <v>15941</v>
      </c>
      <c r="E5065" s="28">
        <v>0.04500</v>
      </c>
      <c r="F5065" s="29">
        <f ca="1">ROUND(5.550,3)</f>
        <v>0</v>
      </c>
      <c r="G5065" s="27">
        <f ca="1">ROUND(E5065*F5065,2)</f>
        <v>0</v>
      </c>
    </row>
    <row r="5066" spans="1:7" ht="21.36" thickBot="1" customHeight="1">
      <c r="A5066" s="24" t="s">
        <v>15942</v>
      </c>
      <c r="B5066" s="24" t="s">
        <v>15943</v>
      </c>
      <c r="C5066" s="24" t="s">
        <v>15944</v>
      </c>
      <c r="D5066" s="25" t="s">
        <v>15945</v>
      </c>
      <c r="E5066" s="28">
        <v>0.60000</v>
      </c>
      <c r="F5066" s="29">
        <f ca="1">F5070</f>
        <v>0</v>
      </c>
      <c r="G5066" s="27">
        <f ca="1">ROUND(E5066*F5066,2)</f>
        <v>0</v>
      </c>
    </row>
    <row r="5067" spans="1:7" ht="24.36" thickBot="1" customHeight="1">
      <c r="A5067" s="24" t="s">
        <v>15946</v>
      </c>
      <c r="B5067" s="24" t="s">
        <v>15947</v>
      </c>
      <c r="C5067" s="24" t="s">
        <v>15948</v>
      </c>
      <c r="D5067" s="25" t="s">
        <v>15949</v>
      </c>
      <c r="E5067" s="28">
        <v>1.00000</v>
      </c>
      <c r="F5067" s="29">
        <f ca="1">ROUND(21.000,3)</f>
        <v>0</v>
      </c>
      <c r="G5067" s="27">
        <f ca="1">ROUND(E5067*F5067,2)</f>
        <v>0</v>
      </c>
    </row>
    <row r="5068" spans="1:7" ht="24.36" thickBot="1" customHeight="1">
      <c r="A5068" s="24" t="s">
        <v>15950</v>
      </c>
      <c r="B5068" s="24" t="s">
        <v>15951</v>
      </c>
      <c r="C5068" s="24" t="s">
        <v>15952</v>
      </c>
      <c r="D5068" s="25" t="s">
        <v>15953</v>
      </c>
      <c r="E5068" s="28">
        <v>1.00000</v>
      </c>
      <c r="F5068" s="29">
        <f ca="1">ROUND(19.000,3)</f>
        <v>0</v>
      </c>
      <c r="G5068" s="27">
        <f ca="1">ROUND(E5068*F5068,2)</f>
        <v>0</v>
      </c>
    </row>
    <row r="5069" spans="1:7" ht="24.36" thickBot="1" customHeight="1">
      <c r="A5069" s="24" t="s">
        <v>15954</v>
      </c>
      <c r="B5069" s="24" t="s">
        <v>15955</v>
      </c>
      <c r="C5069" s="24" t="s">
        <v>15956</v>
      </c>
      <c r="D5069" s="25" t="s">
        <v>15957</v>
      </c>
      <c r="E5069" s="28">
        <v>0.20000</v>
      </c>
      <c r="F5069" s="29">
        <f ca="1">ROUND(19.000,3)</f>
        <v>0</v>
      </c>
      <c r="G5069" s="27">
        <f ca="1">ROUND(E5069*F5069,2)</f>
        <v>0</v>
      </c>
    </row>
    <row r="5070" spans="1:7" ht="15.12" thickBot="1" customHeight="1">
      <c r="A5070" s="26"/>
      <c r="B5070" s="26"/>
      <c r="C5070" s="26"/>
      <c r="D5070" s="24" t="s">
        <v>15958</v>
      </c>
      <c r="E5070" s="28">
        <v>0.60000</v>
      </c>
      <c r="F5070" s="29">
        <f ca="1">ROUND((G5067+G5068+G5069),3)</f>
        <v>0</v>
      </c>
      <c r="G5070" s="27">
        <f ca="1">ROUND(E5070*F5070,2)</f>
        <v>0</v>
      </c>
    </row>
    <row r="5071" spans="1:7" ht="15.48" thickBot="1" customHeight="1">
      <c r="A5071" s="30"/>
      <c r="B5071" s="30"/>
      <c r="C5071" s="30"/>
      <c r="D5071" s="31" t="s">
        <v>15959</v>
      </c>
      <c r="E5071" s="30"/>
      <c r="F5071" s="33">
        <f ca="1">ROUND((G5057+G5058+G5059+G5060+G5061+G5062+G5063+G5064+G5065+G5066)*(1+G2/100),2)</f>
        <v>0</v>
      </c>
      <c r="G5071" s="30"/>
    </row>
    <row r="5072" spans="1:7" ht="39.84" thickBot="1" customHeight="1">
      <c r="A5072" s="34" t="s">
        <v>15960</v>
      </c>
      <c r="B5072" s="35" t="s">
        <v>15961</v>
      </c>
      <c r="C5072" s="35" t="s">
        <v>15962</v>
      </c>
      <c r="D5072" s="36" t="s">
        <v>15963</v>
      </c>
      <c r="E5072" s="37"/>
      <c r="F5072" s="38">
        <f ca="1">F5088</f>
        <v>0</v>
      </c>
      <c r="G5072" s="37"/>
    </row>
    <row r="5073" spans="1:7" ht="21.36" thickBot="1" customHeight="1">
      <c r="A5073" s="26"/>
      <c r="B5073" s="26"/>
      <c r="C5073" s="26"/>
      <c r="D5073" s="25" t="s">
        <v>15964</v>
      </c>
      <c r="E5073" s="25"/>
      <c r="F5073" s="25"/>
      <c r="G5073" s="25"/>
    </row>
    <row r="5074" spans="1:7" ht="30.60" thickBot="1" customHeight="1">
      <c r="A5074" s="24" t="s">
        <v>15965</v>
      </c>
      <c r="B5074" s="24" t="s">
        <v>15966</v>
      </c>
      <c r="C5074" s="24" t="s">
        <v>15967</v>
      </c>
      <c r="D5074" s="25" t="s">
        <v>15968</v>
      </c>
      <c r="E5074" s="28">
        <v>0.01200</v>
      </c>
      <c r="F5074" s="29">
        <f ca="1">ROUND(10.400,3)</f>
        <v>0</v>
      </c>
      <c r="G5074" s="27">
        <f ca="1">ROUND(E5074*F5074,2)</f>
        <v>0</v>
      </c>
    </row>
    <row r="5075" spans="1:7" ht="30.60" thickBot="1" customHeight="1">
      <c r="A5075" s="24" t="s">
        <v>15969</v>
      </c>
      <c r="B5075" s="24" t="s">
        <v>15970</v>
      </c>
      <c r="C5075" s="24" t="s">
        <v>15971</v>
      </c>
      <c r="D5075" s="25" t="s">
        <v>15972</v>
      </c>
      <c r="E5075" s="28">
        <v>0.33000</v>
      </c>
      <c r="F5075" s="29">
        <f ca="1">ROUND(2.370,3)</f>
        <v>0</v>
      </c>
      <c r="G5075" s="27">
        <f ca="1">ROUND(E5075*F5075,2)</f>
        <v>0</v>
      </c>
    </row>
    <row r="5076" spans="1:7" ht="30.60" thickBot="1" customHeight="1">
      <c r="A5076" s="24" t="s">
        <v>15973</v>
      </c>
      <c r="B5076" s="24" t="s">
        <v>15974</v>
      </c>
      <c r="C5076" s="24" t="s">
        <v>15975</v>
      </c>
      <c r="D5076" s="25" t="s">
        <v>15976</v>
      </c>
      <c r="E5076" s="28">
        <v>1.00000</v>
      </c>
      <c r="F5076" s="29">
        <f ca="1">ROUND(2.910,3)</f>
        <v>0</v>
      </c>
      <c r="G5076" s="27">
        <f ca="1">ROUND(E5076*F5076,2)</f>
        <v>0</v>
      </c>
    </row>
    <row r="5077" spans="1:7" ht="30.60" thickBot="1" customHeight="1">
      <c r="A5077" s="24" t="s">
        <v>15977</v>
      </c>
      <c r="B5077" s="24" t="s">
        <v>15978</v>
      </c>
      <c r="C5077" s="24" t="s">
        <v>15979</v>
      </c>
      <c r="D5077" s="25" t="s">
        <v>15980</v>
      </c>
      <c r="E5077" s="28">
        <v>0.71500</v>
      </c>
      <c r="F5077" s="29">
        <f ca="1">ROUND(7.960,3)</f>
        <v>0</v>
      </c>
      <c r="G5077" s="27">
        <f ca="1">ROUND(E5077*F5077,2)</f>
        <v>0</v>
      </c>
    </row>
    <row r="5078" spans="1:7" ht="21.36" thickBot="1" customHeight="1">
      <c r="A5078" s="24" t="s">
        <v>15981</v>
      </c>
      <c r="B5078" s="24" t="s">
        <v>15982</v>
      </c>
      <c r="C5078" s="24" t="s">
        <v>15983</v>
      </c>
      <c r="D5078" s="25" t="s">
        <v>15984</v>
      </c>
      <c r="E5078" s="28">
        <v>0.05000</v>
      </c>
      <c r="F5078" s="29">
        <f ca="1">ROUND(6.870,3)</f>
        <v>0</v>
      </c>
      <c r="G5078" s="27">
        <f ca="1">ROUND(E5078*F5078,2)</f>
        <v>0</v>
      </c>
    </row>
    <row r="5079" spans="1:7" ht="21.36" thickBot="1" customHeight="1">
      <c r="A5079" s="24" t="s">
        <v>15985</v>
      </c>
      <c r="B5079" s="24" t="s">
        <v>15986</v>
      </c>
      <c r="C5079" s="24" t="s">
        <v>15987</v>
      </c>
      <c r="D5079" s="25" t="s">
        <v>15988</v>
      </c>
      <c r="E5079" s="28">
        <v>0.00333</v>
      </c>
      <c r="F5079" s="29">
        <f ca="1">ROUND(31.650,3)</f>
        <v>0</v>
      </c>
      <c r="G5079" s="27">
        <f ca="1">ROUND(E5079*F5079,2)</f>
        <v>0</v>
      </c>
    </row>
    <row r="5080" spans="1:7" ht="21.36" thickBot="1" customHeight="1">
      <c r="A5080" s="24" t="s">
        <v>15989</v>
      </c>
      <c r="B5080" s="24" t="s">
        <v>15990</v>
      </c>
      <c r="C5080" s="24" t="s">
        <v>15991</v>
      </c>
      <c r="D5080" s="25" t="s">
        <v>15992</v>
      </c>
      <c r="E5080" s="28">
        <v>0.00550</v>
      </c>
      <c r="F5080" s="29">
        <f ca="1">ROUND(8.350,3)</f>
        <v>0</v>
      </c>
      <c r="G5080" s="27">
        <f ca="1">ROUND(E5080*F5080,2)</f>
        <v>0</v>
      </c>
    </row>
    <row r="5081" spans="1:7" ht="30.60" thickBot="1" customHeight="1">
      <c r="A5081" s="24" t="s">
        <v>15993</v>
      </c>
      <c r="B5081" s="24" t="s">
        <v>15994</v>
      </c>
      <c r="C5081" s="24" t="s">
        <v>15995</v>
      </c>
      <c r="D5081" s="25" t="s">
        <v>15996</v>
      </c>
      <c r="E5081" s="28">
        <v>0.03000</v>
      </c>
      <c r="F5081" s="29">
        <f ca="1">ROUND(20.920,3)</f>
        <v>0</v>
      </c>
      <c r="G5081" s="27">
        <f ca="1">ROUND(E5081*F5081,2)</f>
        <v>0</v>
      </c>
    </row>
    <row r="5082" spans="1:7" ht="39.84" thickBot="1" customHeight="1">
      <c r="A5082" s="24" t="s">
        <v>15997</v>
      </c>
      <c r="B5082" s="24" t="s">
        <v>15998</v>
      </c>
      <c r="C5082" s="24" t="s">
        <v>15999</v>
      </c>
      <c r="D5082" s="25" t="s">
        <v>16000</v>
      </c>
      <c r="E5082" s="28">
        <v>0.04500</v>
      </c>
      <c r="F5082" s="29">
        <f ca="1">ROUND(5.550,3)</f>
        <v>0</v>
      </c>
      <c r="G5082" s="27">
        <f ca="1">ROUND(E5082*F5082,2)</f>
        <v>0</v>
      </c>
    </row>
    <row r="5083" spans="1:7" ht="21.36" thickBot="1" customHeight="1">
      <c r="A5083" s="24" t="s">
        <v>16001</v>
      </c>
      <c r="B5083" s="24" t="s">
        <v>16002</v>
      </c>
      <c r="C5083" s="24" t="s">
        <v>16003</v>
      </c>
      <c r="D5083" s="25" t="s">
        <v>16004</v>
      </c>
      <c r="E5083" s="28">
        <v>0.60000</v>
      </c>
      <c r="F5083" s="29">
        <f ca="1">F5087</f>
        <v>0</v>
      </c>
      <c r="G5083" s="27">
        <f ca="1">ROUND(E5083*F5083,2)</f>
        <v>0</v>
      </c>
    </row>
    <row r="5084" spans="1:7" ht="24.36" thickBot="1" customHeight="1">
      <c r="A5084" s="24" t="s">
        <v>16005</v>
      </c>
      <c r="B5084" s="24" t="s">
        <v>16006</v>
      </c>
      <c r="C5084" s="24" t="s">
        <v>16007</v>
      </c>
      <c r="D5084" s="25" t="s">
        <v>16008</v>
      </c>
      <c r="E5084" s="28">
        <v>1.00000</v>
      </c>
      <c r="F5084" s="29">
        <f ca="1">ROUND(21.000,3)</f>
        <v>0</v>
      </c>
      <c r="G5084" s="27">
        <f ca="1">ROUND(E5084*F5084,2)</f>
        <v>0</v>
      </c>
    </row>
    <row r="5085" spans="1:7" ht="24.36" thickBot="1" customHeight="1">
      <c r="A5085" s="24" t="s">
        <v>16009</v>
      </c>
      <c r="B5085" s="24" t="s">
        <v>16010</v>
      </c>
      <c r="C5085" s="24" t="s">
        <v>16011</v>
      </c>
      <c r="D5085" s="25" t="s">
        <v>16012</v>
      </c>
      <c r="E5085" s="28">
        <v>1.00000</v>
      </c>
      <c r="F5085" s="29">
        <f ca="1">ROUND(19.000,3)</f>
        <v>0</v>
      </c>
      <c r="G5085" s="27">
        <f ca="1">ROUND(E5085*F5085,2)</f>
        <v>0</v>
      </c>
    </row>
    <row r="5086" spans="1:7" ht="24.36" thickBot="1" customHeight="1">
      <c r="A5086" s="24" t="s">
        <v>16013</v>
      </c>
      <c r="B5086" s="24" t="s">
        <v>16014</v>
      </c>
      <c r="C5086" s="24" t="s">
        <v>16015</v>
      </c>
      <c r="D5086" s="25" t="s">
        <v>16016</v>
      </c>
      <c r="E5086" s="28">
        <v>0.20000</v>
      </c>
      <c r="F5086" s="29">
        <f ca="1">ROUND(19.000,3)</f>
        <v>0</v>
      </c>
      <c r="G5086" s="27">
        <f ca="1">ROUND(E5086*F5086,2)</f>
        <v>0</v>
      </c>
    </row>
    <row r="5087" spans="1:7" ht="15.12" thickBot="1" customHeight="1">
      <c r="A5087" s="26"/>
      <c r="B5087" s="26"/>
      <c r="C5087" s="26"/>
      <c r="D5087" s="24" t="s">
        <v>16017</v>
      </c>
      <c r="E5087" s="28">
        <v>0.60000</v>
      </c>
      <c r="F5087" s="29">
        <f ca="1">ROUND((G5084+G5085+G5086),3)</f>
        <v>0</v>
      </c>
      <c r="G5087" s="27">
        <f ca="1">ROUND(E5087*F5087,2)</f>
        <v>0</v>
      </c>
    </row>
    <row r="5088" spans="1:7" ht="15.48" thickBot="1" customHeight="1">
      <c r="A5088" s="30"/>
      <c r="B5088" s="30"/>
      <c r="C5088" s="30"/>
      <c r="D5088" s="31" t="s">
        <v>16018</v>
      </c>
      <c r="E5088" s="30"/>
      <c r="F5088" s="33">
        <f ca="1">ROUND((G5074+G5075+G5076+G5077+G5078+G5079+G5080+G5081+G5082+G5083)*(1+G2/100),2)</f>
        <v>0</v>
      </c>
      <c r="G5088" s="30"/>
    </row>
    <row r="5089" spans="1:7" ht="21.36" thickBot="1" customHeight="1">
      <c r="A5089" s="34" t="s">
        <v>16019</v>
      </c>
      <c r="B5089" s="35" t="s">
        <v>16020</v>
      </c>
      <c r="C5089" s="35" t="s">
        <v>16021</v>
      </c>
      <c r="D5089" s="36" t="s">
        <v>16022</v>
      </c>
      <c r="E5089" s="37"/>
      <c r="F5089" s="38">
        <f ca="1">F5098</f>
        <v>0</v>
      </c>
      <c r="G5089" s="37"/>
    </row>
    <row r="5090" spans="1:7" ht="49.08" thickBot="1" customHeight="1">
      <c r="A5090" s="26"/>
      <c r="B5090" s="26"/>
      <c r="C5090" s="26"/>
      <c r="D5090" s="25" t="s">
        <v>16023</v>
      </c>
      <c r="E5090" s="25"/>
      <c r="F5090" s="25"/>
      <c r="G5090" s="25"/>
    </row>
    <row r="5091" spans="1:7" ht="39.84" thickBot="1" customHeight="1">
      <c r="A5091" s="24" t="s">
        <v>16024</v>
      </c>
      <c r="B5091" s="24" t="s">
        <v>16025</v>
      </c>
      <c r="C5091" s="24" t="s">
        <v>16026</v>
      </c>
      <c r="D5091" s="25" t="s">
        <v>16027</v>
      </c>
      <c r="E5091" s="28">
        <v>45.00000</v>
      </c>
      <c r="F5091" s="29">
        <f ca="1">ROUND(0.450,3)</f>
        <v>0</v>
      </c>
      <c r="G5091" s="27">
        <f ca="1">ROUND(E5091*F5091,2)</f>
        <v>0</v>
      </c>
    </row>
    <row r="5092" spans="1:7" ht="30.60" thickBot="1" customHeight="1">
      <c r="A5092" s="24" t="s">
        <v>16028</v>
      </c>
      <c r="B5092" s="24" t="s">
        <v>16029</v>
      </c>
      <c r="C5092" s="24" t="s">
        <v>16030</v>
      </c>
      <c r="D5092" s="25" t="s">
        <v>16031</v>
      </c>
      <c r="E5092" s="28">
        <v>1.72000</v>
      </c>
      <c r="F5092" s="29">
        <f ca="1">ROUND(1.470,3)</f>
        <v>0</v>
      </c>
      <c r="G5092" s="27">
        <f ca="1">ROUND(E5092*F5092,2)</f>
        <v>0</v>
      </c>
    </row>
    <row r="5093" spans="1:7" ht="21.36" thickBot="1" customHeight="1">
      <c r="A5093" s="24" t="s">
        <v>16032</v>
      </c>
      <c r="B5093" s="24" t="s">
        <v>16033</v>
      </c>
      <c r="C5093" s="24" t="s">
        <v>16034</v>
      </c>
      <c r="D5093" s="25" t="s">
        <v>16035</v>
      </c>
      <c r="E5093" s="28">
        <v>0.80000</v>
      </c>
      <c r="F5093" s="29">
        <f ca="1">F5097</f>
        <v>0</v>
      </c>
      <c r="G5093" s="27">
        <f ca="1">ROUND(E5093*F5093,2)</f>
        <v>0</v>
      </c>
    </row>
    <row r="5094" spans="1:7" ht="24.36" thickBot="1" customHeight="1">
      <c r="A5094" s="24" t="s">
        <v>16036</v>
      </c>
      <c r="B5094" s="24" t="s">
        <v>16037</v>
      </c>
      <c r="C5094" s="24" t="s">
        <v>16038</v>
      </c>
      <c r="D5094" s="25" t="s">
        <v>16039</v>
      </c>
      <c r="E5094" s="28">
        <v>1.00000</v>
      </c>
      <c r="F5094" s="29">
        <f ca="1">ROUND(21.000,3)</f>
        <v>0</v>
      </c>
      <c r="G5094" s="27">
        <f ca="1">ROUND(E5094*F5094,2)</f>
        <v>0</v>
      </c>
    </row>
    <row r="5095" spans="1:7" ht="24.36" thickBot="1" customHeight="1">
      <c r="A5095" s="24" t="s">
        <v>16040</v>
      </c>
      <c r="B5095" s="24" t="s">
        <v>16041</v>
      </c>
      <c r="C5095" s="24" t="s">
        <v>16042</v>
      </c>
      <c r="D5095" s="25" t="s">
        <v>16043</v>
      </c>
      <c r="E5095" s="28">
        <v>1.00000</v>
      </c>
      <c r="F5095" s="29">
        <f ca="1">ROUND(19.000,3)</f>
        <v>0</v>
      </c>
      <c r="G5095" s="27">
        <f ca="1">ROUND(E5095*F5095,2)</f>
        <v>0</v>
      </c>
    </row>
    <row r="5096" spans="1:7" ht="24.36" thickBot="1" customHeight="1">
      <c r="A5096" s="24" t="s">
        <v>16044</v>
      </c>
      <c r="B5096" s="24" t="s">
        <v>16045</v>
      </c>
      <c r="C5096" s="24" t="s">
        <v>16046</v>
      </c>
      <c r="D5096" s="25" t="s">
        <v>16047</v>
      </c>
      <c r="E5096" s="28">
        <v>0.20000</v>
      </c>
      <c r="F5096" s="29">
        <f ca="1">ROUND(19.000,3)</f>
        <v>0</v>
      </c>
      <c r="G5096" s="27">
        <f ca="1">ROUND(E5096*F5096,2)</f>
        <v>0</v>
      </c>
    </row>
    <row r="5097" spans="1:7" ht="15.12" thickBot="1" customHeight="1">
      <c r="A5097" s="26"/>
      <c r="B5097" s="26"/>
      <c r="C5097" s="26"/>
      <c r="D5097" s="24" t="s">
        <v>16048</v>
      </c>
      <c r="E5097" s="28">
        <v>0.80000</v>
      </c>
      <c r="F5097" s="29">
        <f ca="1">ROUND((G5094+G5095+G5096),3)</f>
        <v>0</v>
      </c>
      <c r="G5097" s="27">
        <f ca="1">ROUND(E5097*F5097,2)</f>
        <v>0</v>
      </c>
    </row>
    <row r="5098" spans="1:7" ht="15.48" thickBot="1" customHeight="1">
      <c r="A5098" s="30"/>
      <c r="B5098" s="30"/>
      <c r="C5098" s="30"/>
      <c r="D5098" s="31" t="s">
        <v>16049</v>
      </c>
      <c r="E5098" s="30"/>
      <c r="F5098" s="33">
        <f ca="1">ROUND((G5091+G5092+G5093)*(1+G2/100),2)</f>
        <v>0</v>
      </c>
      <c r="G5098" s="30"/>
    </row>
    <row r="5099" spans="1:7" ht="15.48" thickBot="1" customHeight="1">
      <c r="A5099" s="39"/>
      <c r="B5099" s="39"/>
      <c r="C5099" s="39"/>
      <c r="D5099" s="50" t="s">
        <v>16050</v>
      </c>
      <c r="E5099" s="51"/>
      <c r="F5099" s="51"/>
      <c r="G5099" s="51"/>
    </row>
    <row r="5100" spans="1:7" ht="15.48" thickBot="1" customHeight="1">
      <c r="A5100" s="52" t="s">
        <v>16051</v>
      </c>
      <c r="B5100" s="52" t="s">
        <v>16052</v>
      </c>
      <c r="C5100" s="53"/>
      <c r="D5100" s="54" t="s">
        <v>16053</v>
      </c>
      <c r="E5100" s="53"/>
      <c r="F5100" s="53"/>
      <c r="G5100" s="53"/>
    </row>
    <row r="5101" spans="1:7" ht="25.08" thickBot="1" customHeight="1">
      <c r="A5101" s="10" t="s">
        <v>16054</v>
      </c>
      <c r="B5101" s="24" t="s">
        <v>16055</v>
      </c>
      <c r="C5101" s="24" t="s">
        <v>16056</v>
      </c>
      <c r="D5101" s="25" t="s">
        <v>16057</v>
      </c>
      <c r="E5101" s="26"/>
      <c r="F5101" s="27">
        <f ca="1">F5109</f>
        <v>0</v>
      </c>
      <c r="G5101" s="26"/>
    </row>
    <row r="5102" spans="1:7" ht="12.12" thickBot="1" customHeight="1">
      <c r="A5102" s="26"/>
      <c r="B5102" s="26"/>
      <c r="C5102" s="26"/>
      <c r="D5102" s="25" t="s">
        <v>16058</v>
      </c>
      <c r="E5102" s="25"/>
      <c r="F5102" s="25"/>
      <c r="G5102" s="25"/>
    </row>
    <row r="5103" spans="1:7" ht="30.60" thickBot="1" customHeight="1">
      <c r="A5103" s="24" t="s">
        <v>16059</v>
      </c>
      <c r="B5103" s="24" t="s">
        <v>16060</v>
      </c>
      <c r="C5103" s="24" t="s">
        <v>16061</v>
      </c>
      <c r="D5103" s="25" t="s">
        <v>16062</v>
      </c>
      <c r="E5103" s="28">
        <v>1.00000</v>
      </c>
      <c r="F5103" s="29">
        <f ca="1">ROUND(70.300,3)</f>
        <v>0</v>
      </c>
      <c r="G5103" s="27">
        <f ca="1">ROUND(E5103*F5103,2)</f>
        <v>0</v>
      </c>
    </row>
    <row r="5104" spans="1:7" ht="21.36" thickBot="1" customHeight="1">
      <c r="A5104" s="24" t="s">
        <v>16063</v>
      </c>
      <c r="B5104" s="24" t="s">
        <v>16064</v>
      </c>
      <c r="C5104" s="24" t="s">
        <v>16065</v>
      </c>
      <c r="D5104" s="25" t="s">
        <v>16066</v>
      </c>
      <c r="E5104" s="28">
        <v>0.60000</v>
      </c>
      <c r="F5104" s="29">
        <f ca="1">F5108</f>
        <v>0</v>
      </c>
      <c r="G5104" s="27">
        <f ca="1">ROUND(E5104*F5104,2)</f>
        <v>0</v>
      </c>
    </row>
    <row r="5105" spans="1:7" ht="24.36" thickBot="1" customHeight="1">
      <c r="A5105" s="24" t="s">
        <v>16067</v>
      </c>
      <c r="B5105" s="24" t="s">
        <v>16068</v>
      </c>
      <c r="C5105" s="24" t="s">
        <v>16069</v>
      </c>
      <c r="D5105" s="25" t="s">
        <v>16070</v>
      </c>
      <c r="E5105" s="28">
        <v>1.00000</v>
      </c>
      <c r="F5105" s="29">
        <f ca="1">ROUND(21.000,3)</f>
        <v>0</v>
      </c>
      <c r="G5105" s="27">
        <f ca="1">ROUND(E5105*F5105,2)</f>
        <v>0</v>
      </c>
    </row>
    <row r="5106" spans="1:7" ht="24.36" thickBot="1" customHeight="1">
      <c r="A5106" s="24" t="s">
        <v>16071</v>
      </c>
      <c r="B5106" s="24" t="s">
        <v>16072</v>
      </c>
      <c r="C5106" s="24" t="s">
        <v>16073</v>
      </c>
      <c r="D5106" s="25" t="s">
        <v>16074</v>
      </c>
      <c r="E5106" s="28">
        <v>1.00000</v>
      </c>
      <c r="F5106" s="29">
        <f ca="1">ROUND(19.000,3)</f>
        <v>0</v>
      </c>
      <c r="G5106" s="27">
        <f ca="1">ROUND(E5106*F5106,2)</f>
        <v>0</v>
      </c>
    </row>
    <row r="5107" spans="1:7" ht="24.36" thickBot="1" customHeight="1">
      <c r="A5107" s="24" t="s">
        <v>16075</v>
      </c>
      <c r="B5107" s="24" t="s">
        <v>16076</v>
      </c>
      <c r="C5107" s="24" t="s">
        <v>16077</v>
      </c>
      <c r="D5107" s="25" t="s">
        <v>16078</v>
      </c>
      <c r="E5107" s="28">
        <v>0.20000</v>
      </c>
      <c r="F5107" s="29">
        <f ca="1">ROUND(19.000,3)</f>
        <v>0</v>
      </c>
      <c r="G5107" s="27">
        <f ca="1">ROUND(E5107*F5107,2)</f>
        <v>0</v>
      </c>
    </row>
    <row r="5108" spans="1:7" ht="15.12" thickBot="1" customHeight="1">
      <c r="A5108" s="26"/>
      <c r="B5108" s="26"/>
      <c r="C5108" s="26"/>
      <c r="D5108" s="24" t="s">
        <v>16079</v>
      </c>
      <c r="E5108" s="28">
        <v>0.60000</v>
      </c>
      <c r="F5108" s="29">
        <f ca="1">ROUND((G5105+G5106+G5107),3)</f>
        <v>0</v>
      </c>
      <c r="G5108" s="27">
        <f ca="1">ROUND(E5108*F5108,2)</f>
        <v>0</v>
      </c>
    </row>
    <row r="5109" spans="1:7" ht="15.48" thickBot="1" customHeight="1">
      <c r="A5109" s="30"/>
      <c r="B5109" s="30"/>
      <c r="C5109" s="30"/>
      <c r="D5109" s="31" t="s">
        <v>16080</v>
      </c>
      <c r="E5109" s="30"/>
      <c r="F5109" s="33">
        <f ca="1">ROUND((G5103+G5104)*(1+G2/100),2)</f>
        <v>0</v>
      </c>
      <c r="G5109" s="30"/>
    </row>
    <row r="5110" spans="1:7" ht="25.08" thickBot="1" customHeight="1">
      <c r="A5110" s="34" t="s">
        <v>16081</v>
      </c>
      <c r="B5110" s="35" t="s">
        <v>16082</v>
      </c>
      <c r="C5110" s="35" t="s">
        <v>16083</v>
      </c>
      <c r="D5110" s="36" t="s">
        <v>16084</v>
      </c>
      <c r="E5110" s="37"/>
      <c r="F5110" s="38">
        <f ca="1">F5118</f>
        <v>0</v>
      </c>
      <c r="G5110" s="37"/>
    </row>
    <row r="5111" spans="1:7" ht="30.60" thickBot="1" customHeight="1">
      <c r="A5111" s="26"/>
      <c r="B5111" s="26"/>
      <c r="C5111" s="26"/>
      <c r="D5111" s="25" t="s">
        <v>16085</v>
      </c>
      <c r="E5111" s="25"/>
      <c r="F5111" s="25"/>
      <c r="G5111" s="25"/>
    </row>
    <row r="5112" spans="1:7" ht="30.60" thickBot="1" customHeight="1">
      <c r="A5112" s="24" t="s">
        <v>16086</v>
      </c>
      <c r="B5112" s="24" t="s">
        <v>16087</v>
      </c>
      <c r="C5112" s="24" t="s">
        <v>16088</v>
      </c>
      <c r="D5112" s="25" t="s">
        <v>16089</v>
      </c>
      <c r="E5112" s="28">
        <v>1.00000</v>
      </c>
      <c r="F5112" s="29">
        <f ca="1">ROUND(28.600,3)</f>
        <v>0</v>
      </c>
      <c r="G5112" s="27">
        <f ca="1">ROUND(E5112*F5112,2)</f>
        <v>0</v>
      </c>
    </row>
    <row r="5113" spans="1:7" ht="21.36" thickBot="1" customHeight="1">
      <c r="A5113" s="24" t="s">
        <v>16090</v>
      </c>
      <c r="B5113" s="24" t="s">
        <v>16091</v>
      </c>
      <c r="C5113" s="24" t="s">
        <v>16092</v>
      </c>
      <c r="D5113" s="25" t="s">
        <v>16093</v>
      </c>
      <c r="E5113" s="28">
        <v>0.50000</v>
      </c>
      <c r="F5113" s="29">
        <f ca="1">F5117</f>
        <v>0</v>
      </c>
      <c r="G5113" s="27">
        <f ca="1">ROUND(E5113*F5113,2)</f>
        <v>0</v>
      </c>
    </row>
    <row r="5114" spans="1:7" ht="24.36" thickBot="1" customHeight="1">
      <c r="A5114" s="24" t="s">
        <v>16094</v>
      </c>
      <c r="B5114" s="24" t="s">
        <v>16095</v>
      </c>
      <c r="C5114" s="24" t="s">
        <v>16096</v>
      </c>
      <c r="D5114" s="25" t="s">
        <v>16097</v>
      </c>
      <c r="E5114" s="28">
        <v>1.00000</v>
      </c>
      <c r="F5114" s="29">
        <f ca="1">ROUND(21.000,3)</f>
        <v>0</v>
      </c>
      <c r="G5114" s="27">
        <f ca="1">ROUND(E5114*F5114,2)</f>
        <v>0</v>
      </c>
    </row>
    <row r="5115" spans="1:7" ht="24.36" thickBot="1" customHeight="1">
      <c r="A5115" s="24" t="s">
        <v>16098</v>
      </c>
      <c r="B5115" s="24" t="s">
        <v>16099</v>
      </c>
      <c r="C5115" s="24" t="s">
        <v>16100</v>
      </c>
      <c r="D5115" s="25" t="s">
        <v>16101</v>
      </c>
      <c r="E5115" s="28">
        <v>1.00000</v>
      </c>
      <c r="F5115" s="29">
        <f ca="1">ROUND(19.000,3)</f>
        <v>0</v>
      </c>
      <c r="G5115" s="27">
        <f ca="1">ROUND(E5115*F5115,2)</f>
        <v>0</v>
      </c>
    </row>
    <row r="5116" spans="1:7" ht="24.36" thickBot="1" customHeight="1">
      <c r="A5116" s="24" t="s">
        <v>16102</v>
      </c>
      <c r="B5116" s="24" t="s">
        <v>16103</v>
      </c>
      <c r="C5116" s="24" t="s">
        <v>16104</v>
      </c>
      <c r="D5116" s="25" t="s">
        <v>16105</v>
      </c>
      <c r="E5116" s="28">
        <v>0.20000</v>
      </c>
      <c r="F5116" s="29">
        <f ca="1">ROUND(19.000,3)</f>
        <v>0</v>
      </c>
      <c r="G5116" s="27">
        <f ca="1">ROUND(E5116*F5116,2)</f>
        <v>0</v>
      </c>
    </row>
    <row r="5117" spans="1:7" ht="15.12" thickBot="1" customHeight="1">
      <c r="A5117" s="26"/>
      <c r="B5117" s="26"/>
      <c r="C5117" s="26"/>
      <c r="D5117" s="24" t="s">
        <v>16106</v>
      </c>
      <c r="E5117" s="28">
        <v>0.50000</v>
      </c>
      <c r="F5117" s="29">
        <f ca="1">ROUND((G5114+G5115+G5116),3)</f>
        <v>0</v>
      </c>
      <c r="G5117" s="27">
        <f ca="1">ROUND(E5117*F5117,2)</f>
        <v>0</v>
      </c>
    </row>
    <row r="5118" spans="1:7" ht="15.48" thickBot="1" customHeight="1">
      <c r="A5118" s="30"/>
      <c r="B5118" s="30"/>
      <c r="C5118" s="30"/>
      <c r="D5118" s="31" t="s">
        <v>16107</v>
      </c>
      <c r="E5118" s="30"/>
      <c r="F5118" s="33">
        <f ca="1">ROUND((G5112+G5113)*(1+G2/100),2)</f>
        <v>0</v>
      </c>
      <c r="G5118" s="30"/>
    </row>
    <row r="5119" spans="1:7" ht="25.08" thickBot="1" customHeight="1">
      <c r="A5119" s="34" t="s">
        <v>16108</v>
      </c>
      <c r="B5119" s="35" t="s">
        <v>16109</v>
      </c>
      <c r="C5119" s="35" t="s">
        <v>16110</v>
      </c>
      <c r="D5119" s="36" t="s">
        <v>16111</v>
      </c>
      <c r="E5119" s="37"/>
      <c r="F5119" s="38">
        <f ca="1">F5127</f>
        <v>0</v>
      </c>
      <c r="G5119" s="37"/>
    </row>
    <row r="5120" spans="1:7" ht="12.12" thickBot="1" customHeight="1">
      <c r="A5120" s="26"/>
      <c r="B5120" s="26"/>
      <c r="C5120" s="26"/>
      <c r="D5120" s="25" t="s">
        <v>16112</v>
      </c>
      <c r="E5120" s="25"/>
      <c r="F5120" s="25"/>
      <c r="G5120" s="25"/>
    </row>
    <row r="5121" spans="1:7" ht="30.60" thickBot="1" customHeight="1">
      <c r="A5121" s="24" t="s">
        <v>16113</v>
      </c>
      <c r="B5121" s="24" t="s">
        <v>16114</v>
      </c>
      <c r="C5121" s="24" t="s">
        <v>16115</v>
      </c>
      <c r="D5121" s="25" t="s">
        <v>16116</v>
      </c>
      <c r="E5121" s="28">
        <v>1.00000</v>
      </c>
      <c r="F5121" s="29">
        <f ca="1">ROUND(110.580,3)</f>
        <v>0</v>
      </c>
      <c r="G5121" s="27">
        <f ca="1">ROUND(E5121*F5121,2)</f>
        <v>0</v>
      </c>
    </row>
    <row r="5122" spans="1:7" ht="21.36" thickBot="1" customHeight="1">
      <c r="A5122" s="24" t="s">
        <v>16117</v>
      </c>
      <c r="B5122" s="24" t="s">
        <v>16118</v>
      </c>
      <c r="C5122" s="24" t="s">
        <v>16119</v>
      </c>
      <c r="D5122" s="25" t="s">
        <v>16120</v>
      </c>
      <c r="E5122" s="28">
        <v>0.60000</v>
      </c>
      <c r="F5122" s="29">
        <f ca="1">F5126</f>
        <v>0</v>
      </c>
      <c r="G5122" s="27">
        <f ca="1">ROUND(E5122*F5122,2)</f>
        <v>0</v>
      </c>
    </row>
    <row r="5123" spans="1:7" ht="24.36" thickBot="1" customHeight="1">
      <c r="A5123" s="24" t="s">
        <v>16121</v>
      </c>
      <c r="B5123" s="24" t="s">
        <v>16122</v>
      </c>
      <c r="C5123" s="24" t="s">
        <v>16123</v>
      </c>
      <c r="D5123" s="25" t="s">
        <v>16124</v>
      </c>
      <c r="E5123" s="28">
        <v>1.00000</v>
      </c>
      <c r="F5123" s="29">
        <f ca="1">ROUND(21.000,3)</f>
        <v>0</v>
      </c>
      <c r="G5123" s="27">
        <f ca="1">ROUND(E5123*F5123,2)</f>
        <v>0</v>
      </c>
    </row>
    <row r="5124" spans="1:7" ht="24.36" thickBot="1" customHeight="1">
      <c r="A5124" s="24" t="s">
        <v>16125</v>
      </c>
      <c r="B5124" s="24" t="s">
        <v>16126</v>
      </c>
      <c r="C5124" s="24" t="s">
        <v>16127</v>
      </c>
      <c r="D5124" s="25" t="s">
        <v>16128</v>
      </c>
      <c r="E5124" s="28">
        <v>1.00000</v>
      </c>
      <c r="F5124" s="29">
        <f ca="1">ROUND(19.000,3)</f>
        <v>0</v>
      </c>
      <c r="G5124" s="27">
        <f ca="1">ROUND(E5124*F5124,2)</f>
        <v>0</v>
      </c>
    </row>
    <row r="5125" spans="1:7" ht="24.36" thickBot="1" customHeight="1">
      <c r="A5125" s="24" t="s">
        <v>16129</v>
      </c>
      <c r="B5125" s="24" t="s">
        <v>16130</v>
      </c>
      <c r="C5125" s="24" t="s">
        <v>16131</v>
      </c>
      <c r="D5125" s="25" t="s">
        <v>16132</v>
      </c>
      <c r="E5125" s="28">
        <v>0.20000</v>
      </c>
      <c r="F5125" s="29">
        <f ca="1">ROUND(19.000,3)</f>
        <v>0</v>
      </c>
      <c r="G5125" s="27">
        <f ca="1">ROUND(E5125*F5125,2)</f>
        <v>0</v>
      </c>
    </row>
    <row r="5126" spans="1:7" ht="15.12" thickBot="1" customHeight="1">
      <c r="A5126" s="26"/>
      <c r="B5126" s="26"/>
      <c r="C5126" s="26"/>
      <c r="D5126" s="24" t="s">
        <v>16133</v>
      </c>
      <c r="E5126" s="28">
        <v>0.60000</v>
      </c>
      <c r="F5126" s="29">
        <f ca="1">ROUND((G5123+G5124+G5125),3)</f>
        <v>0</v>
      </c>
      <c r="G5126" s="27">
        <f ca="1">ROUND(E5126*F5126,2)</f>
        <v>0</v>
      </c>
    </row>
    <row r="5127" spans="1:7" ht="15.48" thickBot="1" customHeight="1">
      <c r="A5127" s="30"/>
      <c r="B5127" s="30"/>
      <c r="C5127" s="30"/>
      <c r="D5127" s="31" t="s">
        <v>16134</v>
      </c>
      <c r="E5127" s="30"/>
      <c r="F5127" s="33">
        <f ca="1">ROUND((G5121+G5122)*(1+G2/100),2)</f>
        <v>0</v>
      </c>
      <c r="G5127" s="30"/>
    </row>
    <row r="5128" spans="1:7" ht="15.48" thickBot="1" customHeight="1">
      <c r="A5128" s="34" t="s">
        <v>16135</v>
      </c>
      <c r="B5128" s="35" t="s">
        <v>16136</v>
      </c>
      <c r="C5128" s="35" t="s">
        <v>16137</v>
      </c>
      <c r="D5128" s="36" t="s">
        <v>16138</v>
      </c>
      <c r="E5128" s="37"/>
      <c r="F5128" s="38">
        <f ca="1">F5132</f>
        <v>0</v>
      </c>
      <c r="G5128" s="37"/>
    </row>
    <row r="5129" spans="1:7" ht="58.32" thickBot="1" customHeight="1">
      <c r="A5129" s="26"/>
      <c r="B5129" s="26"/>
      <c r="C5129" s="26"/>
      <c r="D5129" s="25" t="s">
        <v>16139</v>
      </c>
      <c r="E5129" s="25"/>
      <c r="F5129" s="25"/>
      <c r="G5129" s="25"/>
    </row>
    <row r="5130" spans="1:7" ht="24.36" thickBot="1" customHeight="1">
      <c r="A5130" s="24" t="s">
        <v>16140</v>
      </c>
      <c r="B5130" s="24" t="s">
        <v>16141</v>
      </c>
      <c r="C5130" s="24" t="s">
        <v>16142</v>
      </c>
      <c r="D5130" s="25" t="s">
        <v>16143</v>
      </c>
      <c r="E5130" s="28">
        <v>0.55000</v>
      </c>
      <c r="F5130" s="29">
        <f ca="1">ROUND(49.500,3)</f>
        <v>0</v>
      </c>
      <c r="G5130" s="27">
        <f ca="1">ROUND(E5130*F5130,2)</f>
        <v>0</v>
      </c>
    </row>
    <row r="5131" spans="1:7" ht="21.36" thickBot="1" customHeight="1">
      <c r="A5131" s="24" t="s">
        <v>16144</v>
      </c>
      <c r="B5131" s="24" t="s">
        <v>16145</v>
      </c>
      <c r="C5131" s="24" t="s">
        <v>16146</v>
      </c>
      <c r="D5131" s="25" t="s">
        <v>16147</v>
      </c>
      <c r="E5131" s="28">
        <v>1.00000</v>
      </c>
      <c r="F5131" s="29">
        <f ca="1">ROUND(12.000,3)</f>
        <v>0</v>
      </c>
      <c r="G5131" s="27">
        <f ca="1">ROUND(E5131*F5131,2)</f>
        <v>0</v>
      </c>
    </row>
    <row r="5132" spans="1:7" ht="15.48" thickBot="1" customHeight="1">
      <c r="A5132" s="30"/>
      <c r="B5132" s="30"/>
      <c r="C5132" s="30"/>
      <c r="D5132" s="31" t="s">
        <v>16148</v>
      </c>
      <c r="E5132" s="30"/>
      <c r="F5132" s="33">
        <f ca="1">ROUND((G5130+G5131)*(1+G2/100),2)</f>
        <v>0</v>
      </c>
      <c r="G5132" s="30"/>
    </row>
    <row r="5133" spans="1:7" ht="15.48" thickBot="1" customHeight="1">
      <c r="A5133" s="34" t="s">
        <v>16149</v>
      </c>
      <c r="B5133" s="35" t="s">
        <v>16150</v>
      </c>
      <c r="C5133" s="35" t="s">
        <v>16151</v>
      </c>
      <c r="D5133" s="36" t="s">
        <v>16152</v>
      </c>
      <c r="E5133" s="37"/>
      <c r="F5133" s="38">
        <f ca="1">F5137</f>
        <v>0</v>
      </c>
      <c r="G5133" s="37"/>
    </row>
    <row r="5134" spans="1:7" ht="67.56" thickBot="1" customHeight="1">
      <c r="A5134" s="26"/>
      <c r="B5134" s="26"/>
      <c r="C5134" s="26"/>
      <c r="D5134" s="25" t="s">
        <v>16153</v>
      </c>
      <c r="E5134" s="25"/>
      <c r="F5134" s="25"/>
      <c r="G5134" s="25"/>
    </row>
    <row r="5135" spans="1:7" ht="24.36" thickBot="1" customHeight="1">
      <c r="A5135" s="24" t="s">
        <v>16154</v>
      </c>
      <c r="B5135" s="24" t="s">
        <v>16155</v>
      </c>
      <c r="C5135" s="24" t="s">
        <v>16156</v>
      </c>
      <c r="D5135" s="25" t="s">
        <v>16157</v>
      </c>
      <c r="E5135" s="28">
        <v>0.55000</v>
      </c>
      <c r="F5135" s="29">
        <f ca="1">ROUND(49.500,3)</f>
        <v>0</v>
      </c>
      <c r="G5135" s="27">
        <f ca="1">ROUND(E5135*F5135,2)</f>
        <v>0</v>
      </c>
    </row>
    <row r="5136" spans="1:7" ht="30.60" thickBot="1" customHeight="1">
      <c r="A5136" s="24" t="s">
        <v>16158</v>
      </c>
      <c r="B5136" s="24" t="s">
        <v>16159</v>
      </c>
      <c r="C5136" s="24" t="s">
        <v>16160</v>
      </c>
      <c r="D5136" s="25" t="s">
        <v>16161</v>
      </c>
      <c r="E5136" s="28">
        <v>1.00000</v>
      </c>
      <c r="F5136" s="29">
        <f ca="1">ROUND(15.000,3)</f>
        <v>0</v>
      </c>
      <c r="G5136" s="27">
        <f ca="1">ROUND(E5136*F5136,2)</f>
        <v>0</v>
      </c>
    </row>
    <row r="5137" spans="1:7" ht="15.48" thickBot="1" customHeight="1">
      <c r="A5137" s="30"/>
      <c r="B5137" s="30"/>
      <c r="C5137" s="30"/>
      <c r="D5137" s="31" t="s">
        <v>16162</v>
      </c>
      <c r="E5137" s="30"/>
      <c r="F5137" s="33">
        <f ca="1">ROUND((G5135+G5136)*(1+G2/100),2)</f>
        <v>0</v>
      </c>
      <c r="G5137" s="30"/>
    </row>
    <row r="5138" spans="1:7" ht="15.48" thickBot="1" customHeight="1">
      <c r="A5138" s="34" t="s">
        <v>16163</v>
      </c>
      <c r="B5138" s="35" t="s">
        <v>16164</v>
      </c>
      <c r="C5138" s="35" t="s">
        <v>16165</v>
      </c>
      <c r="D5138" s="36" t="s">
        <v>16166</v>
      </c>
      <c r="E5138" s="37"/>
      <c r="F5138" s="38">
        <f ca="1">F5142</f>
        <v>0</v>
      </c>
      <c r="G5138" s="37"/>
    </row>
    <row r="5139" spans="1:7" ht="49.08" thickBot="1" customHeight="1">
      <c r="A5139" s="26"/>
      <c r="B5139" s="26"/>
      <c r="C5139" s="26"/>
      <c r="D5139" s="25" t="s">
        <v>16167</v>
      </c>
      <c r="E5139" s="25"/>
      <c r="F5139" s="25"/>
      <c r="G5139" s="25"/>
    </row>
    <row r="5140" spans="1:7" ht="21.36" thickBot="1" customHeight="1">
      <c r="A5140" s="24" t="s">
        <v>16168</v>
      </c>
      <c r="B5140" s="24" t="s">
        <v>16169</v>
      </c>
      <c r="C5140" s="24" t="s">
        <v>16170</v>
      </c>
      <c r="D5140" s="25" t="s">
        <v>16171</v>
      </c>
      <c r="E5140" s="28">
        <v>1.00000</v>
      </c>
      <c r="F5140" s="29">
        <f ca="1">ROUND(20.000,3)</f>
        <v>0</v>
      </c>
      <c r="G5140" s="27">
        <f ca="1">ROUND(E5140*F5140,2)</f>
        <v>0</v>
      </c>
    </row>
    <row r="5141" spans="1:7" ht="24.36" thickBot="1" customHeight="1">
      <c r="A5141" s="24" t="s">
        <v>16172</v>
      </c>
      <c r="B5141" s="24" t="s">
        <v>16173</v>
      </c>
      <c r="C5141" s="24" t="s">
        <v>16174</v>
      </c>
      <c r="D5141" s="25" t="s">
        <v>16175</v>
      </c>
      <c r="E5141" s="28">
        <v>0.35000</v>
      </c>
      <c r="F5141" s="29">
        <f ca="1">ROUND(49.500,3)</f>
        <v>0</v>
      </c>
      <c r="G5141" s="27">
        <f ca="1">ROUND(E5141*F5141,2)</f>
        <v>0</v>
      </c>
    </row>
    <row r="5142" spans="1:7" ht="15.48" thickBot="1" customHeight="1">
      <c r="A5142" s="30"/>
      <c r="B5142" s="30"/>
      <c r="C5142" s="30"/>
      <c r="D5142" s="31" t="s">
        <v>16176</v>
      </c>
      <c r="E5142" s="30"/>
      <c r="F5142" s="33">
        <f ca="1">ROUND((G5140+G5141)*(1+G2/100),2)</f>
        <v>0</v>
      </c>
      <c r="G5142" s="30"/>
    </row>
    <row r="5143" spans="1:7" ht="15.48" thickBot="1" customHeight="1">
      <c r="A5143" s="34" t="s">
        <v>16177</v>
      </c>
      <c r="B5143" s="35" t="s">
        <v>16178</v>
      </c>
      <c r="C5143" s="35" t="s">
        <v>16179</v>
      </c>
      <c r="D5143" s="36" t="s">
        <v>16180</v>
      </c>
      <c r="E5143" s="37"/>
      <c r="F5143" s="38">
        <f ca="1">F5148</f>
        <v>0</v>
      </c>
      <c r="G5143" s="37"/>
    </row>
    <row r="5144" spans="1:7" ht="12.12" thickBot="1" customHeight="1">
      <c r="A5144" s="26"/>
      <c r="B5144" s="26"/>
      <c r="C5144" s="26"/>
      <c r="D5144" s="25" t="s">
        <v>16181</v>
      </c>
      <c r="E5144" s="25"/>
      <c r="F5144" s="25"/>
      <c r="G5144" s="25"/>
    </row>
    <row r="5145" spans="1:7" ht="39.84" thickBot="1" customHeight="1">
      <c r="A5145" s="24" t="s">
        <v>16182</v>
      </c>
      <c r="B5145" s="24" t="s">
        <v>16183</v>
      </c>
      <c r="C5145" s="24" t="s">
        <v>16184</v>
      </c>
      <c r="D5145" s="25" t="s">
        <v>16185</v>
      </c>
      <c r="E5145" s="28">
        <v>1.00000</v>
      </c>
      <c r="F5145" s="29">
        <f ca="1">ROUND(29.210,3)</f>
        <v>0</v>
      </c>
      <c r="G5145" s="27">
        <f ca="1">ROUND(E5145*F5145,2)</f>
        <v>0</v>
      </c>
    </row>
    <row r="5146" spans="1:7" ht="15.12" thickBot="1" customHeight="1">
      <c r="A5146" s="24" t="s">
        <v>16186</v>
      </c>
      <c r="B5146" s="24" t="s">
        <v>16187</v>
      </c>
      <c r="C5146" s="24" t="s">
        <v>16188</v>
      </c>
      <c r="D5146" s="25" t="s">
        <v>16189</v>
      </c>
      <c r="E5146" s="28">
        <v>1.00000</v>
      </c>
      <c r="F5146" s="29">
        <f ca="1">ROUND(15.000,3)</f>
        <v>0</v>
      </c>
      <c r="G5146" s="27">
        <f ca="1">ROUND(E5146*F5146,2)</f>
        <v>0</v>
      </c>
    </row>
    <row r="5147" spans="1:7" ht="24.36" thickBot="1" customHeight="1">
      <c r="A5147" s="24" t="s">
        <v>16190</v>
      </c>
      <c r="B5147" s="24" t="s">
        <v>16191</v>
      </c>
      <c r="C5147" s="24" t="s">
        <v>16192</v>
      </c>
      <c r="D5147" s="25" t="s">
        <v>16193</v>
      </c>
      <c r="E5147" s="28">
        <v>0.50000</v>
      </c>
      <c r="F5147" s="29">
        <f ca="1">ROUND(49.500,3)</f>
        <v>0</v>
      </c>
      <c r="G5147" s="27">
        <f ca="1">ROUND(E5147*F5147,2)</f>
        <v>0</v>
      </c>
    </row>
    <row r="5148" spans="1:7" ht="15.48" thickBot="1" customHeight="1">
      <c r="A5148" s="30"/>
      <c r="B5148" s="30"/>
      <c r="C5148" s="30"/>
      <c r="D5148" s="31" t="s">
        <v>16194</v>
      </c>
      <c r="E5148" s="30"/>
      <c r="F5148" s="33">
        <f ca="1">ROUND((G5145+G5146+G5147)*(1+G2/100),2)</f>
        <v>0</v>
      </c>
      <c r="G5148" s="30"/>
    </row>
    <row r="5149" spans="1:7" ht="30.60" thickBot="1" customHeight="1">
      <c r="A5149" s="34" t="s">
        <v>16195</v>
      </c>
      <c r="B5149" s="35" t="s">
        <v>16196</v>
      </c>
      <c r="C5149" s="35" t="s">
        <v>16197</v>
      </c>
      <c r="D5149" s="36" t="s">
        <v>16198</v>
      </c>
      <c r="E5149" s="37"/>
      <c r="F5149" s="38">
        <f ca="1">F5153</f>
        <v>0</v>
      </c>
      <c r="G5149" s="37"/>
    </row>
    <row r="5150" spans="1:7" ht="12.12" thickBot="1" customHeight="1">
      <c r="A5150" s="26"/>
      <c r="B5150" s="26"/>
      <c r="C5150" s="26"/>
      <c r="D5150" s="25" t="s">
        <v>16199</v>
      </c>
      <c r="E5150" s="25"/>
      <c r="F5150" s="25"/>
      <c r="G5150" s="25"/>
    </row>
    <row r="5151" spans="1:7" ht="15.12" thickBot="1" customHeight="1">
      <c r="A5151" s="24" t="s">
        <v>16200</v>
      </c>
      <c r="B5151" s="24" t="s">
        <v>16201</v>
      </c>
      <c r="C5151" s="24" t="s">
        <v>16202</v>
      </c>
      <c r="D5151" s="25" t="s">
        <v>16203</v>
      </c>
      <c r="E5151" s="28">
        <v>1.00000</v>
      </c>
      <c r="F5151" s="29">
        <f ca="1">ROUND(3.000,3)</f>
        <v>0</v>
      </c>
      <c r="G5151" s="27">
        <f ca="1">ROUND(E5151*F5151,2)</f>
        <v>0</v>
      </c>
    </row>
    <row r="5152" spans="1:7" ht="24.36" thickBot="1" customHeight="1">
      <c r="A5152" s="24" t="s">
        <v>16204</v>
      </c>
      <c r="B5152" s="24" t="s">
        <v>16205</v>
      </c>
      <c r="C5152" s="24" t="s">
        <v>16206</v>
      </c>
      <c r="D5152" s="25" t="s">
        <v>16207</v>
      </c>
      <c r="E5152" s="28">
        <v>0.80000</v>
      </c>
      <c r="F5152" s="29">
        <f ca="1">ROUND(49.500,3)</f>
        <v>0</v>
      </c>
      <c r="G5152" s="27">
        <f ca="1">ROUND(E5152*F5152,2)</f>
        <v>0</v>
      </c>
    </row>
    <row r="5153" spans="1:7" ht="15.48" thickBot="1" customHeight="1">
      <c r="A5153" s="30"/>
      <c r="B5153" s="30"/>
      <c r="C5153" s="30"/>
      <c r="D5153" s="31" t="s">
        <v>16208</v>
      </c>
      <c r="E5153" s="30"/>
      <c r="F5153" s="33">
        <f ca="1">ROUND((G5151+G5152)*(1+G2/100),2)</f>
        <v>0</v>
      </c>
      <c r="G5153" s="30"/>
    </row>
    <row r="5154" spans="1:7" ht="15.48" thickBot="1" customHeight="1">
      <c r="A5154" s="42" t="s">
        <v>16209</v>
      </c>
      <c r="B5154" s="42" t="s">
        <v>16210</v>
      </c>
      <c r="C5154" s="43"/>
      <c r="D5154" s="44" t="s">
        <v>16211</v>
      </c>
      <c r="E5154" s="43"/>
      <c r="F5154" s="43"/>
      <c r="G5154" s="43"/>
    </row>
    <row r="5155" spans="1:7" ht="25.08" thickBot="1" customHeight="1">
      <c r="A5155" s="45" t="s">
        <v>16212</v>
      </c>
      <c r="B5155" s="45" t="s">
        <v>16213</v>
      </c>
      <c r="C5155" s="46"/>
      <c r="D5155" s="47" t="s">
        <v>16214</v>
      </c>
      <c r="E5155" s="46"/>
      <c r="F5155" s="46"/>
      <c r="G5155" s="46"/>
    </row>
    <row r="5156" spans="1:7" ht="30.60" thickBot="1" customHeight="1">
      <c r="A5156" s="10" t="s">
        <v>16215</v>
      </c>
      <c r="B5156" s="24" t="s">
        <v>16216</v>
      </c>
      <c r="C5156" s="24" t="s">
        <v>16217</v>
      </c>
      <c r="D5156" s="25" t="s">
        <v>16218</v>
      </c>
      <c r="E5156" s="26"/>
      <c r="F5156" s="27">
        <f ca="1">F5177</f>
        <v>0</v>
      </c>
      <c r="G5156" s="26"/>
    </row>
    <row r="5157" spans="1:7" ht="58.32" thickBot="1" customHeight="1">
      <c r="A5157" s="26"/>
      <c r="B5157" s="26"/>
      <c r="C5157" s="26"/>
      <c r="D5157" s="25" t="s">
        <v>16219</v>
      </c>
      <c r="E5157" s="25"/>
      <c r="F5157" s="25"/>
      <c r="G5157" s="25"/>
    </row>
    <row r="5158" spans="1:7" ht="30.60" thickBot="1" customHeight="1">
      <c r="A5158" s="24" t="s">
        <v>16220</v>
      </c>
      <c r="B5158" s="24" t="s">
        <v>16221</v>
      </c>
      <c r="C5158" s="24" t="s">
        <v>16222</v>
      </c>
      <c r="D5158" s="25" t="s">
        <v>16223</v>
      </c>
      <c r="E5158" s="28">
        <v>0.33333</v>
      </c>
      <c r="F5158" s="29">
        <f ca="1">ROUND(2.370,3)</f>
        <v>0</v>
      </c>
      <c r="G5158" s="27">
        <f ca="1">ROUND(E5158*F5158,2)</f>
        <v>0</v>
      </c>
    </row>
    <row r="5159" spans="1:7" ht="21.36" thickBot="1" customHeight="1">
      <c r="A5159" s="24" t="s">
        <v>16224</v>
      </c>
      <c r="B5159" s="24" t="s">
        <v>16225</v>
      </c>
      <c r="C5159" s="24" t="s">
        <v>16226</v>
      </c>
      <c r="D5159" s="25" t="s">
        <v>16227</v>
      </c>
      <c r="E5159" s="28">
        <v>0.06667</v>
      </c>
      <c r="F5159" s="29">
        <f ca="1">ROUND(31.650,3)</f>
        <v>0</v>
      </c>
      <c r="G5159" s="27">
        <f ca="1">ROUND(E5159*F5159,2)</f>
        <v>0</v>
      </c>
    </row>
    <row r="5160" spans="1:7" ht="21.36" thickBot="1" customHeight="1">
      <c r="A5160" s="24" t="s">
        <v>16228</v>
      </c>
      <c r="B5160" s="24" t="s">
        <v>16229</v>
      </c>
      <c r="C5160" s="24" t="s">
        <v>16230</v>
      </c>
      <c r="D5160" s="25" t="s">
        <v>16231</v>
      </c>
      <c r="E5160" s="28">
        <v>0.20000</v>
      </c>
      <c r="F5160" s="29">
        <f ca="1">ROUND(2.950,3)</f>
        <v>0</v>
      </c>
      <c r="G5160" s="27">
        <f ca="1">ROUND(E5160*F5160,2)</f>
        <v>0</v>
      </c>
    </row>
    <row r="5161" spans="1:7" ht="30.60" thickBot="1" customHeight="1">
      <c r="A5161" s="24" t="s">
        <v>16232</v>
      </c>
      <c r="B5161" s="24" t="s">
        <v>16233</v>
      </c>
      <c r="C5161" s="24" t="s">
        <v>16234</v>
      </c>
      <c r="D5161" s="25" t="s">
        <v>16235</v>
      </c>
      <c r="E5161" s="28">
        <v>0.60000</v>
      </c>
      <c r="F5161" s="29">
        <f ca="1">ROUND(0.740,3)</f>
        <v>0</v>
      </c>
      <c r="G5161" s="27">
        <f ca="1">ROUND(E5161*F5161,2)</f>
        <v>0</v>
      </c>
    </row>
    <row r="5162" spans="1:7" ht="30.60" thickBot="1" customHeight="1">
      <c r="A5162" s="24" t="s">
        <v>16236</v>
      </c>
      <c r="B5162" s="24" t="s">
        <v>16237</v>
      </c>
      <c r="C5162" s="24" t="s">
        <v>16238</v>
      </c>
      <c r="D5162" s="25" t="s">
        <v>16239</v>
      </c>
      <c r="E5162" s="28">
        <v>0.02000</v>
      </c>
      <c r="F5162" s="29">
        <f ca="1">ROUND(13.620,3)</f>
        <v>0</v>
      </c>
      <c r="G5162" s="27">
        <f ca="1">ROUND(E5162*F5162,2)</f>
        <v>0</v>
      </c>
    </row>
    <row r="5163" spans="1:7" ht="30.60" thickBot="1" customHeight="1">
      <c r="A5163" s="24" t="s">
        <v>16240</v>
      </c>
      <c r="B5163" s="24" t="s">
        <v>16241</v>
      </c>
      <c r="C5163" s="24" t="s">
        <v>16242</v>
      </c>
      <c r="D5163" s="25" t="s">
        <v>16243</v>
      </c>
      <c r="E5163" s="28">
        <v>0.02000</v>
      </c>
      <c r="F5163" s="29">
        <f ca="1">ROUND(17.490,3)</f>
        <v>0</v>
      </c>
      <c r="G5163" s="27">
        <f ca="1">ROUND(E5163*F5163,2)</f>
        <v>0</v>
      </c>
    </row>
    <row r="5164" spans="1:7" ht="30.60" thickBot="1" customHeight="1">
      <c r="A5164" s="24" t="s">
        <v>16244</v>
      </c>
      <c r="B5164" s="24" t="s">
        <v>16245</v>
      </c>
      <c r="C5164" s="24" t="s">
        <v>16246</v>
      </c>
      <c r="D5164" s="25" t="s">
        <v>16247</v>
      </c>
      <c r="E5164" s="28">
        <v>1.06667</v>
      </c>
      <c r="F5164" s="29">
        <f ca="1">ROUND(2.100,3)</f>
        <v>0</v>
      </c>
      <c r="G5164" s="27">
        <f ca="1">ROUND(E5164*F5164,2)</f>
        <v>0</v>
      </c>
    </row>
    <row r="5165" spans="1:7" ht="30.60" thickBot="1" customHeight="1">
      <c r="A5165" s="24" t="s">
        <v>16248</v>
      </c>
      <c r="B5165" s="24" t="s">
        <v>16249</v>
      </c>
      <c r="C5165" s="24" t="s">
        <v>16250</v>
      </c>
      <c r="D5165" s="25" t="s">
        <v>16251</v>
      </c>
      <c r="E5165" s="28">
        <v>0.00500</v>
      </c>
      <c r="F5165" s="29">
        <f ca="1">ROUND(23.500,3)</f>
        <v>0</v>
      </c>
      <c r="G5165" s="27">
        <f ca="1">ROUND(E5165*F5165,2)</f>
        <v>0</v>
      </c>
    </row>
    <row r="5166" spans="1:7" ht="30.60" thickBot="1" customHeight="1">
      <c r="A5166" s="24" t="s">
        <v>16252</v>
      </c>
      <c r="B5166" s="24" t="s">
        <v>16253</v>
      </c>
      <c r="C5166" s="24" t="s">
        <v>16254</v>
      </c>
      <c r="D5166" s="25" t="s">
        <v>16255</v>
      </c>
      <c r="E5166" s="28">
        <v>0.38190</v>
      </c>
      <c r="F5166" s="29">
        <f ca="1">ROUND(19.150,3)</f>
        <v>0</v>
      </c>
      <c r="G5166" s="27">
        <f ca="1">ROUND(E5166*F5166,2)</f>
        <v>0</v>
      </c>
    </row>
    <row r="5167" spans="1:7" ht="21.36" thickBot="1" customHeight="1">
      <c r="A5167" s="24" t="s">
        <v>16256</v>
      </c>
      <c r="B5167" s="24" t="s">
        <v>16257</v>
      </c>
      <c r="C5167" s="24" t="s">
        <v>16258</v>
      </c>
      <c r="D5167" s="25" t="s">
        <v>16259</v>
      </c>
      <c r="E5167" s="28">
        <v>0.02000</v>
      </c>
      <c r="F5167" s="29">
        <f ca="1">ROUND(6.870,3)</f>
        <v>0</v>
      </c>
      <c r="G5167" s="27">
        <f ca="1">ROUND(E5167*F5167,2)</f>
        <v>0</v>
      </c>
    </row>
    <row r="5168" spans="1:7" ht="39.84" thickBot="1" customHeight="1">
      <c r="A5168" s="24" t="s">
        <v>16260</v>
      </c>
      <c r="B5168" s="24" t="s">
        <v>16261</v>
      </c>
      <c r="C5168" s="24" t="s">
        <v>16262</v>
      </c>
      <c r="D5168" s="25" t="s">
        <v>16263</v>
      </c>
      <c r="E5168" s="28">
        <v>0.01000</v>
      </c>
      <c r="F5168" s="29">
        <f ca="1">ROUND(5.550,3)</f>
        <v>0</v>
      </c>
      <c r="G5168" s="27">
        <f ca="1">ROUND(E5168*F5168,2)</f>
        <v>0</v>
      </c>
    </row>
    <row r="5169" spans="1:7" ht="30.60" thickBot="1" customHeight="1">
      <c r="A5169" s="24" t="s">
        <v>16264</v>
      </c>
      <c r="B5169" s="24" t="s">
        <v>16265</v>
      </c>
      <c r="C5169" s="24" t="s">
        <v>16266</v>
      </c>
      <c r="D5169" s="25" t="s">
        <v>16267</v>
      </c>
      <c r="E5169" s="28">
        <v>0.02000</v>
      </c>
      <c r="F5169" s="29">
        <f ca="1">ROUND(20.920,3)</f>
        <v>0</v>
      </c>
      <c r="G5169" s="27">
        <f ca="1">ROUND(E5169*F5169,2)</f>
        <v>0</v>
      </c>
    </row>
    <row r="5170" spans="1:7" ht="21.36" thickBot="1" customHeight="1">
      <c r="A5170" s="24" t="s">
        <v>16268</v>
      </c>
      <c r="B5170" s="24" t="s">
        <v>16269</v>
      </c>
      <c r="C5170" s="24" t="s">
        <v>16270</v>
      </c>
      <c r="D5170" s="25" t="s">
        <v>16271</v>
      </c>
      <c r="E5170" s="28">
        <v>0.10000</v>
      </c>
      <c r="F5170" s="29">
        <f ca="1">ROUND(2.000,3)</f>
        <v>0</v>
      </c>
      <c r="G5170" s="27">
        <f ca="1">ROUND(E5170*F5170,2)</f>
        <v>0</v>
      </c>
    </row>
    <row r="5171" spans="1:7" ht="21.36" thickBot="1" customHeight="1">
      <c r="A5171" s="24" t="s">
        <v>16272</v>
      </c>
      <c r="B5171" s="24" t="s">
        <v>16273</v>
      </c>
      <c r="C5171" s="24" t="s">
        <v>16274</v>
      </c>
      <c r="D5171" s="25" t="s">
        <v>16275</v>
      </c>
      <c r="E5171" s="28">
        <v>0.60000</v>
      </c>
      <c r="F5171" s="29">
        <f ca="1">F5175</f>
        <v>0</v>
      </c>
      <c r="G5171" s="27">
        <f ca="1">ROUND(E5171*F5171,2)</f>
        <v>0</v>
      </c>
    </row>
    <row r="5172" spans="1:7" ht="24.36" thickBot="1" customHeight="1">
      <c r="A5172" s="24" t="s">
        <v>16276</v>
      </c>
      <c r="B5172" s="24" t="s">
        <v>16277</v>
      </c>
      <c r="C5172" s="24" t="s">
        <v>16278</v>
      </c>
      <c r="D5172" s="25" t="s">
        <v>16279</v>
      </c>
      <c r="E5172" s="28">
        <v>1.00000</v>
      </c>
      <c r="F5172" s="29">
        <f ca="1">ROUND(21.000,3)</f>
        <v>0</v>
      </c>
      <c r="G5172" s="27">
        <f ca="1">ROUND(E5172*F5172,2)</f>
        <v>0</v>
      </c>
    </row>
    <row r="5173" spans="1:7" ht="24.36" thickBot="1" customHeight="1">
      <c r="A5173" s="24" t="s">
        <v>16280</v>
      </c>
      <c r="B5173" s="24" t="s">
        <v>16281</v>
      </c>
      <c r="C5173" s="24" t="s">
        <v>16282</v>
      </c>
      <c r="D5173" s="25" t="s">
        <v>16283</v>
      </c>
      <c r="E5173" s="28">
        <v>1.00000</v>
      </c>
      <c r="F5173" s="29">
        <f ca="1">ROUND(19.000,3)</f>
        <v>0</v>
      </c>
      <c r="G5173" s="27">
        <f ca="1">ROUND(E5173*F5173,2)</f>
        <v>0</v>
      </c>
    </row>
    <row r="5174" spans="1:7" ht="24.36" thickBot="1" customHeight="1">
      <c r="A5174" s="24" t="s">
        <v>16284</v>
      </c>
      <c r="B5174" s="24" t="s">
        <v>16285</v>
      </c>
      <c r="C5174" s="24" t="s">
        <v>16286</v>
      </c>
      <c r="D5174" s="25" t="s">
        <v>16287</v>
      </c>
      <c r="E5174" s="28">
        <v>0.20000</v>
      </c>
      <c r="F5174" s="29">
        <f ca="1">ROUND(19.000,3)</f>
        <v>0</v>
      </c>
      <c r="G5174" s="27">
        <f ca="1">ROUND(E5174*F5174,2)</f>
        <v>0</v>
      </c>
    </row>
    <row r="5175" spans="1:7" ht="15.12" thickBot="1" customHeight="1">
      <c r="A5175" s="26"/>
      <c r="B5175" s="26"/>
      <c r="C5175" s="26"/>
      <c r="D5175" s="24" t="s">
        <v>16288</v>
      </c>
      <c r="E5175" s="28">
        <v>0.60000</v>
      </c>
      <c r="F5175" s="29">
        <f ca="1">ROUND((G5172+G5173+G5174),3)</f>
        <v>0</v>
      </c>
      <c r="G5175" s="27">
        <f ca="1">ROUND(E5175*F5175,2)</f>
        <v>0</v>
      </c>
    </row>
    <row r="5176" spans="1:7" ht="15.12" thickBot="1" customHeight="1">
      <c r="A5176" s="24" t="s">
        <v>16289</v>
      </c>
      <c r="B5176" s="24"/>
      <c r="C5176" s="24" t="s">
        <v>16290</v>
      </c>
      <c r="D5176" s="25" t="s">
        <v>16291</v>
      </c>
      <c r="E5176" s="28">
        <v>3.00000</v>
      </c>
      <c r="F5176" s="29">
        <f ca="1">ROUND(26.280,3)</f>
        <v>0</v>
      </c>
      <c r="G5176" s="27">
        <f ca="1">ROUND((E5176*F5176)/100,2)</f>
        <v>0</v>
      </c>
    </row>
    <row r="5177" spans="1:7" ht="15.48" thickBot="1" customHeight="1">
      <c r="A5177" s="30"/>
      <c r="B5177" s="30"/>
      <c r="C5177" s="30"/>
      <c r="D5177" s="31" t="s">
        <v>16292</v>
      </c>
      <c r="E5177" s="30"/>
      <c r="F5177" s="33">
        <f ca="1">ROUND((G5158+G5159+G5160+G5161+G5162+G5163+G5164+G5165+G5166+G5167+G5168+G5169+G5170+G5171+G5176)*(1+G2/100),2)</f>
        <v>0</v>
      </c>
      <c r="G5177" s="30"/>
    </row>
    <row r="5178" spans="1:7" ht="58.32" thickBot="1" customHeight="1">
      <c r="A5178" s="34" t="s">
        <v>16293</v>
      </c>
      <c r="B5178" s="35" t="s">
        <v>16294</v>
      </c>
      <c r="C5178" s="35" t="s">
        <v>16295</v>
      </c>
      <c r="D5178" s="36" t="s">
        <v>16296</v>
      </c>
      <c r="E5178" s="37"/>
      <c r="F5178" s="38">
        <f ca="1">F5192</f>
        <v>0</v>
      </c>
      <c r="G5178" s="37"/>
    </row>
    <row r="5179" spans="1:7" ht="30.60" thickBot="1" customHeight="1">
      <c r="A5179" s="26"/>
      <c r="B5179" s="26"/>
      <c r="C5179" s="26"/>
      <c r="D5179" s="25" t="s">
        <v>16297</v>
      </c>
      <c r="E5179" s="25"/>
      <c r="F5179" s="25"/>
      <c r="G5179" s="25"/>
    </row>
    <row r="5180" spans="1:7" ht="30.60" thickBot="1" customHeight="1">
      <c r="A5180" s="24" t="s">
        <v>16298</v>
      </c>
      <c r="B5180" s="24" t="s">
        <v>16299</v>
      </c>
      <c r="C5180" s="24" t="s">
        <v>16300</v>
      </c>
      <c r="D5180" s="25" t="s">
        <v>16301</v>
      </c>
      <c r="E5180" s="28">
        <v>0.33333</v>
      </c>
      <c r="F5180" s="29">
        <f ca="1">ROUND(1.320,3)</f>
        <v>0</v>
      </c>
      <c r="G5180" s="27">
        <f ca="1">ROUND(E5180*F5180,2)</f>
        <v>0</v>
      </c>
    </row>
    <row r="5181" spans="1:7" ht="30.60" thickBot="1" customHeight="1">
      <c r="A5181" s="24" t="s">
        <v>16302</v>
      </c>
      <c r="B5181" s="24" t="s">
        <v>16303</v>
      </c>
      <c r="C5181" s="24" t="s">
        <v>16304</v>
      </c>
      <c r="D5181" s="25" t="s">
        <v>16305</v>
      </c>
      <c r="E5181" s="28">
        <v>0.33333</v>
      </c>
      <c r="F5181" s="29">
        <f ca="1">ROUND(2.100,3)</f>
        <v>0</v>
      </c>
      <c r="G5181" s="27">
        <f ca="1">ROUND(E5181*F5181,2)</f>
        <v>0</v>
      </c>
    </row>
    <row r="5182" spans="1:7" ht="30.60" thickBot="1" customHeight="1">
      <c r="A5182" s="24" t="s">
        <v>16306</v>
      </c>
      <c r="B5182" s="24" t="s">
        <v>16307</v>
      </c>
      <c r="C5182" s="24" t="s">
        <v>16308</v>
      </c>
      <c r="D5182" s="25" t="s">
        <v>16309</v>
      </c>
      <c r="E5182" s="28">
        <v>0.15000</v>
      </c>
      <c r="F5182" s="29">
        <f ca="1">ROUND(19.150,3)</f>
        <v>0</v>
      </c>
      <c r="G5182" s="27">
        <f ca="1">ROUND(E5182*F5182,2)</f>
        <v>0</v>
      </c>
    </row>
    <row r="5183" spans="1:7" ht="21.36" thickBot="1" customHeight="1">
      <c r="A5183" s="24" t="s">
        <v>16310</v>
      </c>
      <c r="B5183" s="24" t="s">
        <v>16311</v>
      </c>
      <c r="C5183" s="24" t="s">
        <v>16312</v>
      </c>
      <c r="D5183" s="25" t="s">
        <v>16313</v>
      </c>
      <c r="E5183" s="28">
        <v>0.01000</v>
      </c>
      <c r="F5183" s="29">
        <f ca="1">ROUND(6.870,3)</f>
        <v>0</v>
      </c>
      <c r="G5183" s="27">
        <f ca="1">ROUND(E5183*F5183,2)</f>
        <v>0</v>
      </c>
    </row>
    <row r="5184" spans="1:7" ht="39.84" thickBot="1" customHeight="1">
      <c r="A5184" s="24" t="s">
        <v>16314</v>
      </c>
      <c r="B5184" s="24" t="s">
        <v>16315</v>
      </c>
      <c r="C5184" s="24" t="s">
        <v>16316</v>
      </c>
      <c r="D5184" s="25" t="s">
        <v>16317</v>
      </c>
      <c r="E5184" s="28">
        <v>0.01666</v>
      </c>
      <c r="F5184" s="29">
        <f ca="1">ROUND(5.550,3)</f>
        <v>0</v>
      </c>
      <c r="G5184" s="27">
        <f ca="1">ROUND(E5184*F5184,2)</f>
        <v>0</v>
      </c>
    </row>
    <row r="5185" spans="1:7" ht="30.60" thickBot="1" customHeight="1">
      <c r="A5185" s="24" t="s">
        <v>16318</v>
      </c>
      <c r="B5185" s="24" t="s">
        <v>16319</v>
      </c>
      <c r="C5185" s="24" t="s">
        <v>16320</v>
      </c>
      <c r="D5185" s="25" t="s">
        <v>16321</v>
      </c>
      <c r="E5185" s="28">
        <v>0.02800</v>
      </c>
      <c r="F5185" s="29">
        <f ca="1">ROUND(20.920,3)</f>
        <v>0</v>
      </c>
      <c r="G5185" s="27">
        <f ca="1">ROUND(E5185*F5185,2)</f>
        <v>0</v>
      </c>
    </row>
    <row r="5186" spans="1:7" ht="21.36" thickBot="1" customHeight="1">
      <c r="A5186" s="24" t="s">
        <v>16322</v>
      </c>
      <c r="B5186" s="24" t="s">
        <v>16323</v>
      </c>
      <c r="C5186" s="24" t="s">
        <v>16324</v>
      </c>
      <c r="D5186" s="25" t="s">
        <v>16325</v>
      </c>
      <c r="E5186" s="28">
        <v>1.00000</v>
      </c>
      <c r="F5186" s="29">
        <f ca="1">F5190</f>
        <v>0</v>
      </c>
      <c r="G5186" s="27">
        <f ca="1">ROUND(E5186*F5186,2)</f>
        <v>0</v>
      </c>
    </row>
    <row r="5187" spans="1:7" ht="24.36" thickBot="1" customHeight="1">
      <c r="A5187" s="24" t="s">
        <v>16326</v>
      </c>
      <c r="B5187" s="24" t="s">
        <v>16327</v>
      </c>
      <c r="C5187" s="24" t="s">
        <v>16328</v>
      </c>
      <c r="D5187" s="25" t="s">
        <v>16329</v>
      </c>
      <c r="E5187" s="28">
        <v>1.00000</v>
      </c>
      <c r="F5187" s="29">
        <f ca="1">ROUND(21.000,3)</f>
        <v>0</v>
      </c>
      <c r="G5187" s="27">
        <f ca="1">ROUND(E5187*F5187,2)</f>
        <v>0</v>
      </c>
    </row>
    <row r="5188" spans="1:7" ht="24.36" thickBot="1" customHeight="1">
      <c r="A5188" s="24" t="s">
        <v>16330</v>
      </c>
      <c r="B5188" s="24" t="s">
        <v>16331</v>
      </c>
      <c r="C5188" s="24" t="s">
        <v>16332</v>
      </c>
      <c r="D5188" s="25" t="s">
        <v>16333</v>
      </c>
      <c r="E5188" s="28">
        <v>1.00000</v>
      </c>
      <c r="F5188" s="29">
        <f ca="1">ROUND(19.000,3)</f>
        <v>0</v>
      </c>
      <c r="G5188" s="27">
        <f ca="1">ROUND(E5188*F5188,2)</f>
        <v>0</v>
      </c>
    </row>
    <row r="5189" spans="1:7" ht="24.36" thickBot="1" customHeight="1">
      <c r="A5189" s="24" t="s">
        <v>16334</v>
      </c>
      <c r="B5189" s="24" t="s">
        <v>16335</v>
      </c>
      <c r="C5189" s="24" t="s">
        <v>16336</v>
      </c>
      <c r="D5189" s="25" t="s">
        <v>16337</v>
      </c>
      <c r="E5189" s="28">
        <v>0.20000</v>
      </c>
      <c r="F5189" s="29">
        <f ca="1">ROUND(19.000,3)</f>
        <v>0</v>
      </c>
      <c r="G5189" s="27">
        <f ca="1">ROUND(E5189*F5189,2)</f>
        <v>0</v>
      </c>
    </row>
    <row r="5190" spans="1:7" ht="15.12" thickBot="1" customHeight="1">
      <c r="A5190" s="26"/>
      <c r="B5190" s="26"/>
      <c r="C5190" s="26"/>
      <c r="D5190" s="24" t="s">
        <v>16338</v>
      </c>
      <c r="E5190" s="28">
        <v>1.00000</v>
      </c>
      <c r="F5190" s="29">
        <f ca="1">ROUND((G5187+G5188+G5189),3)</f>
        <v>0</v>
      </c>
      <c r="G5190" s="27">
        <f ca="1">ROUND(E5190*F5190,2)</f>
        <v>0</v>
      </c>
    </row>
    <row r="5191" spans="1:7" ht="15.12" thickBot="1" customHeight="1">
      <c r="A5191" s="24" t="s">
        <v>16339</v>
      </c>
      <c r="B5191" s="24"/>
      <c r="C5191" s="24" t="s">
        <v>16340</v>
      </c>
      <c r="D5191" s="25" t="s">
        <v>16341</v>
      </c>
      <c r="E5191" s="28">
        <v>5.00000</v>
      </c>
      <c r="F5191" s="29">
        <f ca="1">ROUND(43.800,3)</f>
        <v>0</v>
      </c>
      <c r="G5191" s="27">
        <f ca="1">ROUND((E5191*F5191)/100,2)</f>
        <v>0</v>
      </c>
    </row>
    <row r="5192" spans="1:7" ht="15.48" thickBot="1" customHeight="1">
      <c r="A5192" s="30"/>
      <c r="B5192" s="30"/>
      <c r="C5192" s="30"/>
      <c r="D5192" s="31" t="s">
        <v>16342</v>
      </c>
      <c r="E5192" s="30"/>
      <c r="F5192" s="33">
        <f ca="1">ROUND((G5180+G5181+G5182+G5183+G5184+G5185+G5186+G5191)*(1+G2/100),2)</f>
        <v>0</v>
      </c>
      <c r="G5192" s="30"/>
    </row>
    <row r="5193" spans="1:7" ht="58.32" thickBot="1" customHeight="1">
      <c r="A5193" s="34" t="s">
        <v>16343</v>
      </c>
      <c r="B5193" s="35" t="s">
        <v>16344</v>
      </c>
      <c r="C5193" s="35" t="s">
        <v>16345</v>
      </c>
      <c r="D5193" s="36" t="s">
        <v>16346</v>
      </c>
      <c r="E5193" s="37"/>
      <c r="F5193" s="38">
        <f ca="1">F5214</f>
        <v>0</v>
      </c>
      <c r="G5193" s="37"/>
    </row>
    <row r="5194" spans="1:7" ht="12.12" thickBot="1" customHeight="1">
      <c r="A5194" s="26"/>
      <c r="B5194" s="26"/>
      <c r="C5194" s="26"/>
      <c r="D5194" s="25" t="s">
        <v>16347</v>
      </c>
      <c r="E5194" s="25"/>
      <c r="F5194" s="25"/>
      <c r="G5194" s="25"/>
    </row>
    <row r="5195" spans="1:7" ht="30.60" thickBot="1" customHeight="1">
      <c r="A5195" s="24" t="s">
        <v>16348</v>
      </c>
      <c r="B5195" s="24" t="s">
        <v>16349</v>
      </c>
      <c r="C5195" s="24" t="s">
        <v>16350</v>
      </c>
      <c r="D5195" s="25" t="s">
        <v>16351</v>
      </c>
      <c r="E5195" s="28">
        <v>0.33333</v>
      </c>
      <c r="F5195" s="29">
        <f ca="1">ROUND(2.370,3)</f>
        <v>0</v>
      </c>
      <c r="G5195" s="27">
        <f ca="1">ROUND(E5195*F5195,2)</f>
        <v>0</v>
      </c>
    </row>
    <row r="5196" spans="1:7" ht="21.36" thickBot="1" customHeight="1">
      <c r="A5196" s="24" t="s">
        <v>16352</v>
      </c>
      <c r="B5196" s="24" t="s">
        <v>16353</v>
      </c>
      <c r="C5196" s="24" t="s">
        <v>16354</v>
      </c>
      <c r="D5196" s="25" t="s">
        <v>16355</v>
      </c>
      <c r="E5196" s="28">
        <v>0.06667</v>
      </c>
      <c r="F5196" s="29">
        <f ca="1">ROUND(31.650,3)</f>
        <v>0</v>
      </c>
      <c r="G5196" s="27">
        <f ca="1">ROUND(E5196*F5196,2)</f>
        <v>0</v>
      </c>
    </row>
    <row r="5197" spans="1:7" ht="21.36" thickBot="1" customHeight="1">
      <c r="A5197" s="24" t="s">
        <v>16356</v>
      </c>
      <c r="B5197" s="24" t="s">
        <v>16357</v>
      </c>
      <c r="C5197" s="24" t="s">
        <v>16358</v>
      </c>
      <c r="D5197" s="25" t="s">
        <v>16359</v>
      </c>
      <c r="E5197" s="28">
        <v>0.20000</v>
      </c>
      <c r="F5197" s="29">
        <f ca="1">ROUND(2.950,3)</f>
        <v>0</v>
      </c>
      <c r="G5197" s="27">
        <f ca="1">ROUND(E5197*F5197,2)</f>
        <v>0</v>
      </c>
    </row>
    <row r="5198" spans="1:7" ht="30.60" thickBot="1" customHeight="1">
      <c r="A5198" s="24" t="s">
        <v>16360</v>
      </c>
      <c r="B5198" s="24" t="s">
        <v>16361</v>
      </c>
      <c r="C5198" s="24" t="s">
        <v>16362</v>
      </c>
      <c r="D5198" s="25" t="s">
        <v>16363</v>
      </c>
      <c r="E5198" s="28">
        <v>0.60000</v>
      </c>
      <c r="F5198" s="29">
        <f ca="1">ROUND(0.740,3)</f>
        <v>0</v>
      </c>
      <c r="G5198" s="27">
        <f ca="1">ROUND(E5198*F5198,2)</f>
        <v>0</v>
      </c>
    </row>
    <row r="5199" spans="1:7" ht="30.60" thickBot="1" customHeight="1">
      <c r="A5199" s="24" t="s">
        <v>16364</v>
      </c>
      <c r="B5199" s="24" t="s">
        <v>16365</v>
      </c>
      <c r="C5199" s="24" t="s">
        <v>16366</v>
      </c>
      <c r="D5199" s="25" t="s">
        <v>16367</v>
      </c>
      <c r="E5199" s="28">
        <v>0.02000</v>
      </c>
      <c r="F5199" s="29">
        <f ca="1">ROUND(13.620,3)</f>
        <v>0</v>
      </c>
      <c r="G5199" s="27">
        <f ca="1">ROUND(E5199*F5199,2)</f>
        <v>0</v>
      </c>
    </row>
    <row r="5200" spans="1:7" ht="30.60" thickBot="1" customHeight="1">
      <c r="A5200" s="24" t="s">
        <v>16368</v>
      </c>
      <c r="B5200" s="24" t="s">
        <v>16369</v>
      </c>
      <c r="C5200" s="24" t="s">
        <v>16370</v>
      </c>
      <c r="D5200" s="25" t="s">
        <v>16371</v>
      </c>
      <c r="E5200" s="28">
        <v>0.02000</v>
      </c>
      <c r="F5200" s="29">
        <f ca="1">ROUND(17.490,3)</f>
        <v>0</v>
      </c>
      <c r="G5200" s="27">
        <f ca="1">ROUND(E5200*F5200,2)</f>
        <v>0</v>
      </c>
    </row>
    <row r="5201" spans="1:7" ht="30.60" thickBot="1" customHeight="1">
      <c r="A5201" s="24" t="s">
        <v>16372</v>
      </c>
      <c r="B5201" s="24" t="s">
        <v>16373</v>
      </c>
      <c r="C5201" s="24" t="s">
        <v>16374</v>
      </c>
      <c r="D5201" s="25" t="s">
        <v>16375</v>
      </c>
      <c r="E5201" s="28">
        <v>1.06667</v>
      </c>
      <c r="F5201" s="29">
        <f ca="1">ROUND(2.100,3)</f>
        <v>0</v>
      </c>
      <c r="G5201" s="27">
        <f ca="1">ROUND(E5201*F5201,2)</f>
        <v>0</v>
      </c>
    </row>
    <row r="5202" spans="1:7" ht="30.60" thickBot="1" customHeight="1">
      <c r="A5202" s="24" t="s">
        <v>16376</v>
      </c>
      <c r="B5202" s="24" t="s">
        <v>16377</v>
      </c>
      <c r="C5202" s="24" t="s">
        <v>16378</v>
      </c>
      <c r="D5202" s="25" t="s">
        <v>16379</v>
      </c>
      <c r="E5202" s="28">
        <v>0.00500</v>
      </c>
      <c r="F5202" s="29">
        <f ca="1">ROUND(23.500,3)</f>
        <v>0</v>
      </c>
      <c r="G5202" s="27">
        <f ca="1">ROUND(E5202*F5202,2)</f>
        <v>0</v>
      </c>
    </row>
    <row r="5203" spans="1:7" ht="30.60" thickBot="1" customHeight="1">
      <c r="A5203" s="24" t="s">
        <v>16380</v>
      </c>
      <c r="B5203" s="24" t="s">
        <v>16381</v>
      </c>
      <c r="C5203" s="24" t="s">
        <v>16382</v>
      </c>
      <c r="D5203" s="25" t="s">
        <v>16383</v>
      </c>
      <c r="E5203" s="28">
        <v>0.40000</v>
      </c>
      <c r="F5203" s="29">
        <f ca="1">ROUND(20.970,3)</f>
        <v>0</v>
      </c>
      <c r="G5203" s="27">
        <f ca="1">ROUND(E5203*F5203,2)</f>
        <v>0</v>
      </c>
    </row>
    <row r="5204" spans="1:7" ht="21.36" thickBot="1" customHeight="1">
      <c r="A5204" s="24" t="s">
        <v>16384</v>
      </c>
      <c r="B5204" s="24" t="s">
        <v>16385</v>
      </c>
      <c r="C5204" s="24" t="s">
        <v>16386</v>
      </c>
      <c r="D5204" s="25" t="s">
        <v>16387</v>
      </c>
      <c r="E5204" s="28">
        <v>0.02000</v>
      </c>
      <c r="F5204" s="29">
        <f ca="1">ROUND(6.870,3)</f>
        <v>0</v>
      </c>
      <c r="G5204" s="27">
        <f ca="1">ROUND(E5204*F5204,2)</f>
        <v>0</v>
      </c>
    </row>
    <row r="5205" spans="1:7" ht="39.84" thickBot="1" customHeight="1">
      <c r="A5205" s="24" t="s">
        <v>16388</v>
      </c>
      <c r="B5205" s="24" t="s">
        <v>16389</v>
      </c>
      <c r="C5205" s="24" t="s">
        <v>16390</v>
      </c>
      <c r="D5205" s="25" t="s">
        <v>16391</v>
      </c>
      <c r="E5205" s="28">
        <v>0.01000</v>
      </c>
      <c r="F5205" s="29">
        <f ca="1">ROUND(5.550,3)</f>
        <v>0</v>
      </c>
      <c r="G5205" s="27">
        <f ca="1">ROUND(E5205*F5205,2)</f>
        <v>0</v>
      </c>
    </row>
    <row r="5206" spans="1:7" ht="30.60" thickBot="1" customHeight="1">
      <c r="A5206" s="24" t="s">
        <v>16392</v>
      </c>
      <c r="B5206" s="24" t="s">
        <v>16393</v>
      </c>
      <c r="C5206" s="24" t="s">
        <v>16394</v>
      </c>
      <c r="D5206" s="25" t="s">
        <v>16395</v>
      </c>
      <c r="E5206" s="28">
        <v>0.02000</v>
      </c>
      <c r="F5206" s="29">
        <f ca="1">ROUND(20.920,3)</f>
        <v>0</v>
      </c>
      <c r="G5206" s="27">
        <f ca="1">ROUND(E5206*F5206,2)</f>
        <v>0</v>
      </c>
    </row>
    <row r="5207" spans="1:7" ht="21.36" thickBot="1" customHeight="1">
      <c r="A5207" s="24" t="s">
        <v>16396</v>
      </c>
      <c r="B5207" s="24" t="s">
        <v>16397</v>
      </c>
      <c r="C5207" s="24" t="s">
        <v>16398</v>
      </c>
      <c r="D5207" s="25" t="s">
        <v>16399</v>
      </c>
      <c r="E5207" s="28">
        <v>0.10000</v>
      </c>
      <c r="F5207" s="29">
        <f ca="1">ROUND(2.000,3)</f>
        <v>0</v>
      </c>
      <c r="G5207" s="27">
        <f ca="1">ROUND(E5207*F5207,2)</f>
        <v>0</v>
      </c>
    </row>
    <row r="5208" spans="1:7" ht="21.36" thickBot="1" customHeight="1">
      <c r="A5208" s="24" t="s">
        <v>16400</v>
      </c>
      <c r="B5208" s="24" t="s">
        <v>16401</v>
      </c>
      <c r="C5208" s="24" t="s">
        <v>16402</v>
      </c>
      <c r="D5208" s="25" t="s">
        <v>16403</v>
      </c>
      <c r="E5208" s="28">
        <v>0.60000</v>
      </c>
      <c r="F5208" s="29">
        <f ca="1">F5212</f>
        <v>0</v>
      </c>
      <c r="G5208" s="27">
        <f ca="1">ROUND(E5208*F5208,2)</f>
        <v>0</v>
      </c>
    </row>
    <row r="5209" spans="1:7" ht="24.36" thickBot="1" customHeight="1">
      <c r="A5209" s="24" t="s">
        <v>16404</v>
      </c>
      <c r="B5209" s="24" t="s">
        <v>16405</v>
      </c>
      <c r="C5209" s="24" t="s">
        <v>16406</v>
      </c>
      <c r="D5209" s="25" t="s">
        <v>16407</v>
      </c>
      <c r="E5209" s="28">
        <v>1.00000</v>
      </c>
      <c r="F5209" s="29">
        <f ca="1">ROUND(21.000,3)</f>
        <v>0</v>
      </c>
      <c r="G5209" s="27">
        <f ca="1">ROUND(E5209*F5209,2)</f>
        <v>0</v>
      </c>
    </row>
    <row r="5210" spans="1:7" ht="24.36" thickBot="1" customHeight="1">
      <c r="A5210" s="24" t="s">
        <v>16408</v>
      </c>
      <c r="B5210" s="24" t="s">
        <v>16409</v>
      </c>
      <c r="C5210" s="24" t="s">
        <v>16410</v>
      </c>
      <c r="D5210" s="25" t="s">
        <v>16411</v>
      </c>
      <c r="E5210" s="28">
        <v>1.00000</v>
      </c>
      <c r="F5210" s="29">
        <f ca="1">ROUND(19.000,3)</f>
        <v>0</v>
      </c>
      <c r="G5210" s="27">
        <f ca="1">ROUND(E5210*F5210,2)</f>
        <v>0</v>
      </c>
    </row>
    <row r="5211" spans="1:7" ht="24.36" thickBot="1" customHeight="1">
      <c r="A5211" s="24" t="s">
        <v>16412</v>
      </c>
      <c r="B5211" s="24" t="s">
        <v>16413</v>
      </c>
      <c r="C5211" s="24" t="s">
        <v>16414</v>
      </c>
      <c r="D5211" s="25" t="s">
        <v>16415</v>
      </c>
      <c r="E5211" s="28">
        <v>0.20000</v>
      </c>
      <c r="F5211" s="29">
        <f ca="1">ROUND(19.000,3)</f>
        <v>0</v>
      </c>
      <c r="G5211" s="27">
        <f ca="1">ROUND(E5211*F5211,2)</f>
        <v>0</v>
      </c>
    </row>
    <row r="5212" spans="1:7" ht="15.12" thickBot="1" customHeight="1">
      <c r="A5212" s="26"/>
      <c r="B5212" s="26"/>
      <c r="C5212" s="26"/>
      <c r="D5212" s="24" t="s">
        <v>16416</v>
      </c>
      <c r="E5212" s="28">
        <v>0.60000</v>
      </c>
      <c r="F5212" s="29">
        <f ca="1">ROUND((G5209+G5210+G5211),3)</f>
        <v>0</v>
      </c>
      <c r="G5212" s="27">
        <f ca="1">ROUND(E5212*F5212,2)</f>
        <v>0</v>
      </c>
    </row>
    <row r="5213" spans="1:7" ht="15.12" thickBot="1" customHeight="1">
      <c r="A5213" s="24" t="s">
        <v>16417</v>
      </c>
      <c r="B5213" s="24"/>
      <c r="C5213" s="24" t="s">
        <v>16418</v>
      </c>
      <c r="D5213" s="25" t="s">
        <v>16419</v>
      </c>
      <c r="E5213" s="28">
        <v>5.00000</v>
      </c>
      <c r="F5213" s="29">
        <f ca="1">ROUND(26.280,3)</f>
        <v>0</v>
      </c>
      <c r="G5213" s="27">
        <f ca="1">ROUND((E5213*F5213)/100,2)</f>
        <v>0</v>
      </c>
    </row>
    <row r="5214" spans="1:7" ht="15.48" thickBot="1" customHeight="1">
      <c r="A5214" s="30"/>
      <c r="B5214" s="30"/>
      <c r="C5214" s="30"/>
      <c r="D5214" s="31" t="s">
        <v>16420</v>
      </c>
      <c r="E5214" s="30"/>
      <c r="F5214" s="33">
        <f ca="1">ROUND((G5195+G5196+G5197+G5198+G5199+G5200+G5201+G5202+G5203+G5204+G5205+G5206+G5207+G5208+G5213)*(1+G2/100),2)</f>
        <v>0</v>
      </c>
      <c r="G5214" s="30"/>
    </row>
    <row r="5215" spans="1:7" ht="76.80" thickBot="1" customHeight="1">
      <c r="A5215" s="34" t="s">
        <v>16421</v>
      </c>
      <c r="B5215" s="35" t="s">
        <v>16422</v>
      </c>
      <c r="C5215" s="35" t="s">
        <v>16423</v>
      </c>
      <c r="D5215" s="36" t="s">
        <v>16424</v>
      </c>
      <c r="E5215" s="37"/>
      <c r="F5215" s="38">
        <f ca="1">F5229</f>
        <v>0</v>
      </c>
      <c r="G5215" s="37"/>
    </row>
    <row r="5216" spans="1:7" ht="30.60" thickBot="1" customHeight="1">
      <c r="A5216" s="26"/>
      <c r="B5216" s="26"/>
      <c r="C5216" s="26"/>
      <c r="D5216" s="25" t="s">
        <v>16425</v>
      </c>
      <c r="E5216" s="25"/>
      <c r="F5216" s="25"/>
      <c r="G5216" s="25"/>
    </row>
    <row r="5217" spans="1:7" ht="30.60" thickBot="1" customHeight="1">
      <c r="A5217" s="24" t="s">
        <v>16426</v>
      </c>
      <c r="B5217" s="24" t="s">
        <v>16427</v>
      </c>
      <c r="C5217" s="24" t="s">
        <v>16428</v>
      </c>
      <c r="D5217" s="25" t="s">
        <v>16429</v>
      </c>
      <c r="E5217" s="28">
        <v>0.33333</v>
      </c>
      <c r="F5217" s="29">
        <f ca="1">ROUND(1.320,3)</f>
        <v>0</v>
      </c>
      <c r="G5217" s="27">
        <f ca="1">ROUND(E5217*F5217,2)</f>
        <v>0</v>
      </c>
    </row>
    <row r="5218" spans="1:7" ht="30.60" thickBot="1" customHeight="1">
      <c r="A5218" s="24" t="s">
        <v>16430</v>
      </c>
      <c r="B5218" s="24" t="s">
        <v>16431</v>
      </c>
      <c r="C5218" s="24" t="s">
        <v>16432</v>
      </c>
      <c r="D5218" s="25" t="s">
        <v>16433</v>
      </c>
      <c r="E5218" s="28">
        <v>0.33333</v>
      </c>
      <c r="F5218" s="29">
        <f ca="1">ROUND(2.100,3)</f>
        <v>0</v>
      </c>
      <c r="G5218" s="27">
        <f ca="1">ROUND(E5218*F5218,2)</f>
        <v>0</v>
      </c>
    </row>
    <row r="5219" spans="1:7" ht="30.60" thickBot="1" customHeight="1">
      <c r="A5219" s="24" t="s">
        <v>16434</v>
      </c>
      <c r="B5219" s="24" t="s">
        <v>16435</v>
      </c>
      <c r="C5219" s="24" t="s">
        <v>16436</v>
      </c>
      <c r="D5219" s="25" t="s">
        <v>16437</v>
      </c>
      <c r="E5219" s="28">
        <v>0.15000</v>
      </c>
      <c r="F5219" s="29">
        <f ca="1">ROUND(20.970,3)</f>
        <v>0</v>
      </c>
      <c r="G5219" s="27">
        <f ca="1">ROUND(E5219*F5219,2)</f>
        <v>0</v>
      </c>
    </row>
    <row r="5220" spans="1:7" ht="21.36" thickBot="1" customHeight="1">
      <c r="A5220" s="24" t="s">
        <v>16438</v>
      </c>
      <c r="B5220" s="24" t="s">
        <v>16439</v>
      </c>
      <c r="C5220" s="24" t="s">
        <v>16440</v>
      </c>
      <c r="D5220" s="25" t="s">
        <v>16441</v>
      </c>
      <c r="E5220" s="28">
        <v>0.01000</v>
      </c>
      <c r="F5220" s="29">
        <f ca="1">ROUND(6.870,3)</f>
        <v>0</v>
      </c>
      <c r="G5220" s="27">
        <f ca="1">ROUND(E5220*F5220,2)</f>
        <v>0</v>
      </c>
    </row>
    <row r="5221" spans="1:7" ht="39.84" thickBot="1" customHeight="1">
      <c r="A5221" s="24" t="s">
        <v>16442</v>
      </c>
      <c r="B5221" s="24" t="s">
        <v>16443</v>
      </c>
      <c r="C5221" s="24" t="s">
        <v>16444</v>
      </c>
      <c r="D5221" s="25" t="s">
        <v>16445</v>
      </c>
      <c r="E5221" s="28">
        <v>0.01666</v>
      </c>
      <c r="F5221" s="29">
        <f ca="1">ROUND(5.550,3)</f>
        <v>0</v>
      </c>
      <c r="G5221" s="27">
        <f ca="1">ROUND(E5221*F5221,2)</f>
        <v>0</v>
      </c>
    </row>
    <row r="5222" spans="1:7" ht="30.60" thickBot="1" customHeight="1">
      <c r="A5222" s="24" t="s">
        <v>16446</v>
      </c>
      <c r="B5222" s="24" t="s">
        <v>16447</v>
      </c>
      <c r="C5222" s="24" t="s">
        <v>16448</v>
      </c>
      <c r="D5222" s="25" t="s">
        <v>16449</v>
      </c>
      <c r="E5222" s="28">
        <v>0.02800</v>
      </c>
      <c r="F5222" s="29">
        <f ca="1">ROUND(20.920,3)</f>
        <v>0</v>
      </c>
      <c r="G5222" s="27">
        <f ca="1">ROUND(E5222*F5222,2)</f>
        <v>0</v>
      </c>
    </row>
    <row r="5223" spans="1:7" ht="21.36" thickBot="1" customHeight="1">
      <c r="A5223" s="24" t="s">
        <v>16450</v>
      </c>
      <c r="B5223" s="24" t="s">
        <v>16451</v>
      </c>
      <c r="C5223" s="24" t="s">
        <v>16452</v>
      </c>
      <c r="D5223" s="25" t="s">
        <v>16453</v>
      </c>
      <c r="E5223" s="28">
        <v>1.00000</v>
      </c>
      <c r="F5223" s="29">
        <f ca="1">F5227</f>
        <v>0</v>
      </c>
      <c r="G5223" s="27">
        <f ca="1">ROUND(E5223*F5223,2)</f>
        <v>0</v>
      </c>
    </row>
    <row r="5224" spans="1:7" ht="24.36" thickBot="1" customHeight="1">
      <c r="A5224" s="24" t="s">
        <v>16454</v>
      </c>
      <c r="B5224" s="24" t="s">
        <v>16455</v>
      </c>
      <c r="C5224" s="24" t="s">
        <v>16456</v>
      </c>
      <c r="D5224" s="25" t="s">
        <v>16457</v>
      </c>
      <c r="E5224" s="28">
        <v>1.00000</v>
      </c>
      <c r="F5224" s="29">
        <f ca="1">ROUND(21.000,3)</f>
        <v>0</v>
      </c>
      <c r="G5224" s="27">
        <f ca="1">ROUND(E5224*F5224,2)</f>
        <v>0</v>
      </c>
    </row>
    <row r="5225" spans="1:7" ht="24.36" thickBot="1" customHeight="1">
      <c r="A5225" s="24" t="s">
        <v>16458</v>
      </c>
      <c r="B5225" s="24" t="s">
        <v>16459</v>
      </c>
      <c r="C5225" s="24" t="s">
        <v>16460</v>
      </c>
      <c r="D5225" s="25" t="s">
        <v>16461</v>
      </c>
      <c r="E5225" s="28">
        <v>1.00000</v>
      </c>
      <c r="F5225" s="29">
        <f ca="1">ROUND(19.000,3)</f>
        <v>0</v>
      </c>
      <c r="G5225" s="27">
        <f ca="1">ROUND(E5225*F5225,2)</f>
        <v>0</v>
      </c>
    </row>
    <row r="5226" spans="1:7" ht="24.36" thickBot="1" customHeight="1">
      <c r="A5226" s="24" t="s">
        <v>16462</v>
      </c>
      <c r="B5226" s="24" t="s">
        <v>16463</v>
      </c>
      <c r="C5226" s="24" t="s">
        <v>16464</v>
      </c>
      <c r="D5226" s="25" t="s">
        <v>16465</v>
      </c>
      <c r="E5226" s="28">
        <v>0.20000</v>
      </c>
      <c r="F5226" s="29">
        <f ca="1">ROUND(19.000,3)</f>
        <v>0</v>
      </c>
      <c r="G5226" s="27">
        <f ca="1">ROUND(E5226*F5226,2)</f>
        <v>0</v>
      </c>
    </row>
    <row r="5227" spans="1:7" ht="15.12" thickBot="1" customHeight="1">
      <c r="A5227" s="26"/>
      <c r="B5227" s="26"/>
      <c r="C5227" s="26"/>
      <c r="D5227" s="24" t="s">
        <v>16466</v>
      </c>
      <c r="E5227" s="28">
        <v>1.00000</v>
      </c>
      <c r="F5227" s="29">
        <f ca="1">ROUND((G5224+G5225+G5226),3)</f>
        <v>0</v>
      </c>
      <c r="G5227" s="27">
        <f ca="1">ROUND(E5227*F5227,2)</f>
        <v>0</v>
      </c>
    </row>
    <row r="5228" spans="1:7" ht="15.12" thickBot="1" customHeight="1">
      <c r="A5228" s="24" t="s">
        <v>16467</v>
      </c>
      <c r="B5228" s="24"/>
      <c r="C5228" s="24" t="s">
        <v>16468</v>
      </c>
      <c r="D5228" s="25" t="s">
        <v>16469</v>
      </c>
      <c r="E5228" s="28">
        <v>5.00000</v>
      </c>
      <c r="F5228" s="29">
        <f ca="1">ROUND(43.800,3)</f>
        <v>0</v>
      </c>
      <c r="G5228" s="27">
        <f ca="1">ROUND((E5228*F5228)/100,2)</f>
        <v>0</v>
      </c>
    </row>
    <row r="5229" spans="1:7" ht="15.48" thickBot="1" customHeight="1">
      <c r="A5229" s="30"/>
      <c r="B5229" s="30"/>
      <c r="C5229" s="30"/>
      <c r="D5229" s="31" t="s">
        <v>16470</v>
      </c>
      <c r="E5229" s="30"/>
      <c r="F5229" s="33">
        <f ca="1">ROUND((G5217+G5218+G5219+G5220+G5221+G5222+G5223+G5228)*(1+G2/100),2)</f>
        <v>0</v>
      </c>
      <c r="G5229" s="30"/>
    </row>
    <row r="5230" spans="1:7" ht="30.60" thickBot="1" customHeight="1">
      <c r="A5230" s="34" t="s">
        <v>16471</v>
      </c>
      <c r="B5230" s="35" t="s">
        <v>16472</v>
      </c>
      <c r="C5230" s="35" t="s">
        <v>16473</v>
      </c>
      <c r="D5230" s="36" t="s">
        <v>16474</v>
      </c>
      <c r="E5230" s="37"/>
      <c r="F5230" s="38">
        <f ca="1">F5251</f>
        <v>0</v>
      </c>
      <c r="G5230" s="37"/>
    </row>
    <row r="5231" spans="1:7" ht="12.12" thickBot="1" customHeight="1">
      <c r="A5231" s="26"/>
      <c r="B5231" s="26"/>
      <c r="C5231" s="26"/>
      <c r="D5231" s="25" t="s">
        <v>16475</v>
      </c>
      <c r="E5231" s="25"/>
      <c r="F5231" s="25"/>
      <c r="G5231" s="25"/>
    </row>
    <row r="5232" spans="1:7" ht="30.60" thickBot="1" customHeight="1">
      <c r="A5232" s="24" t="s">
        <v>16476</v>
      </c>
      <c r="B5232" s="24" t="s">
        <v>16477</v>
      </c>
      <c r="C5232" s="24" t="s">
        <v>16478</v>
      </c>
      <c r="D5232" s="25" t="s">
        <v>16479</v>
      </c>
      <c r="E5232" s="28">
        <v>0.33333</v>
      </c>
      <c r="F5232" s="29">
        <f ca="1">ROUND(2.370,3)</f>
        <v>0</v>
      </c>
      <c r="G5232" s="27">
        <f ca="1">ROUND(E5232*F5232,2)</f>
        <v>0</v>
      </c>
    </row>
    <row r="5233" spans="1:7" ht="21.36" thickBot="1" customHeight="1">
      <c r="A5233" s="24" t="s">
        <v>16480</v>
      </c>
      <c r="B5233" s="24" t="s">
        <v>16481</v>
      </c>
      <c r="C5233" s="24" t="s">
        <v>16482</v>
      </c>
      <c r="D5233" s="25" t="s">
        <v>16483</v>
      </c>
      <c r="E5233" s="28">
        <v>0.06667</v>
      </c>
      <c r="F5233" s="29">
        <f ca="1">ROUND(31.650,3)</f>
        <v>0</v>
      </c>
      <c r="G5233" s="27">
        <f ca="1">ROUND(E5233*F5233,2)</f>
        <v>0</v>
      </c>
    </row>
    <row r="5234" spans="1:7" ht="21.36" thickBot="1" customHeight="1">
      <c r="A5234" s="24" t="s">
        <v>16484</v>
      </c>
      <c r="B5234" s="24" t="s">
        <v>16485</v>
      </c>
      <c r="C5234" s="24" t="s">
        <v>16486</v>
      </c>
      <c r="D5234" s="25" t="s">
        <v>16487</v>
      </c>
      <c r="E5234" s="28">
        <v>0.20000</v>
      </c>
      <c r="F5234" s="29">
        <f ca="1">ROUND(2.950,3)</f>
        <v>0</v>
      </c>
      <c r="G5234" s="27">
        <f ca="1">ROUND(E5234*F5234,2)</f>
        <v>0</v>
      </c>
    </row>
    <row r="5235" spans="1:7" ht="30.60" thickBot="1" customHeight="1">
      <c r="A5235" s="24" t="s">
        <v>16488</v>
      </c>
      <c r="B5235" s="24" t="s">
        <v>16489</v>
      </c>
      <c r="C5235" s="24" t="s">
        <v>16490</v>
      </c>
      <c r="D5235" s="25" t="s">
        <v>16491</v>
      </c>
      <c r="E5235" s="28">
        <v>0.60000</v>
      </c>
      <c r="F5235" s="29">
        <f ca="1">ROUND(0.740,3)</f>
        <v>0</v>
      </c>
      <c r="G5235" s="27">
        <f ca="1">ROUND(E5235*F5235,2)</f>
        <v>0</v>
      </c>
    </row>
    <row r="5236" spans="1:7" ht="30.60" thickBot="1" customHeight="1">
      <c r="A5236" s="24" t="s">
        <v>16492</v>
      </c>
      <c r="B5236" s="24" t="s">
        <v>16493</v>
      </c>
      <c r="C5236" s="24" t="s">
        <v>16494</v>
      </c>
      <c r="D5236" s="25" t="s">
        <v>16495</v>
      </c>
      <c r="E5236" s="28">
        <v>0.02000</v>
      </c>
      <c r="F5236" s="29">
        <f ca="1">ROUND(13.620,3)</f>
        <v>0</v>
      </c>
      <c r="G5236" s="27">
        <f ca="1">ROUND(E5236*F5236,2)</f>
        <v>0</v>
      </c>
    </row>
    <row r="5237" spans="1:7" ht="30.60" thickBot="1" customHeight="1">
      <c r="A5237" s="24" t="s">
        <v>16496</v>
      </c>
      <c r="B5237" s="24" t="s">
        <v>16497</v>
      </c>
      <c r="C5237" s="24" t="s">
        <v>16498</v>
      </c>
      <c r="D5237" s="25" t="s">
        <v>16499</v>
      </c>
      <c r="E5237" s="28">
        <v>0.02000</v>
      </c>
      <c r="F5237" s="29">
        <f ca="1">ROUND(17.490,3)</f>
        <v>0</v>
      </c>
      <c r="G5237" s="27">
        <f ca="1">ROUND(E5237*F5237,2)</f>
        <v>0</v>
      </c>
    </row>
    <row r="5238" spans="1:7" ht="30.60" thickBot="1" customHeight="1">
      <c r="A5238" s="24" t="s">
        <v>16500</v>
      </c>
      <c r="B5238" s="24" t="s">
        <v>16501</v>
      </c>
      <c r="C5238" s="24" t="s">
        <v>16502</v>
      </c>
      <c r="D5238" s="25" t="s">
        <v>16503</v>
      </c>
      <c r="E5238" s="28">
        <v>1.06667</v>
      </c>
      <c r="F5238" s="29">
        <f ca="1">ROUND(2.100,3)</f>
        <v>0</v>
      </c>
      <c r="G5238" s="27">
        <f ca="1">ROUND(E5238*F5238,2)</f>
        <v>0</v>
      </c>
    </row>
    <row r="5239" spans="1:7" ht="30.60" thickBot="1" customHeight="1">
      <c r="A5239" s="24" t="s">
        <v>16504</v>
      </c>
      <c r="B5239" s="24" t="s">
        <v>16505</v>
      </c>
      <c r="C5239" s="24" t="s">
        <v>16506</v>
      </c>
      <c r="D5239" s="25" t="s">
        <v>16507</v>
      </c>
      <c r="E5239" s="28">
        <v>0.00500</v>
      </c>
      <c r="F5239" s="29">
        <f ca="1">ROUND(23.500,3)</f>
        <v>0</v>
      </c>
      <c r="G5239" s="27">
        <f ca="1">ROUND(E5239*F5239,2)</f>
        <v>0</v>
      </c>
    </row>
    <row r="5240" spans="1:7" ht="30.60" thickBot="1" customHeight="1">
      <c r="A5240" s="24" t="s">
        <v>16508</v>
      </c>
      <c r="B5240" s="24" t="s">
        <v>16509</v>
      </c>
      <c r="C5240" s="24" t="s">
        <v>16510</v>
      </c>
      <c r="D5240" s="25" t="s">
        <v>16511</v>
      </c>
      <c r="E5240" s="28">
        <v>0.38190</v>
      </c>
      <c r="F5240" s="29">
        <f ca="1">ROUND(10.620,3)</f>
        <v>0</v>
      </c>
      <c r="G5240" s="27">
        <f ca="1">ROUND(E5240*F5240,2)</f>
        <v>0</v>
      </c>
    </row>
    <row r="5241" spans="1:7" ht="21.36" thickBot="1" customHeight="1">
      <c r="A5241" s="24" t="s">
        <v>16512</v>
      </c>
      <c r="B5241" s="24" t="s">
        <v>16513</v>
      </c>
      <c r="C5241" s="24" t="s">
        <v>16514</v>
      </c>
      <c r="D5241" s="25" t="s">
        <v>16515</v>
      </c>
      <c r="E5241" s="28">
        <v>0.02000</v>
      </c>
      <c r="F5241" s="29">
        <f ca="1">ROUND(6.870,3)</f>
        <v>0</v>
      </c>
      <c r="G5241" s="27">
        <f ca="1">ROUND(E5241*F5241,2)</f>
        <v>0</v>
      </c>
    </row>
    <row r="5242" spans="1:7" ht="39.84" thickBot="1" customHeight="1">
      <c r="A5242" s="24" t="s">
        <v>16516</v>
      </c>
      <c r="B5242" s="24" t="s">
        <v>16517</v>
      </c>
      <c r="C5242" s="24" t="s">
        <v>16518</v>
      </c>
      <c r="D5242" s="25" t="s">
        <v>16519</v>
      </c>
      <c r="E5242" s="28">
        <v>0.01000</v>
      </c>
      <c r="F5242" s="29">
        <f ca="1">ROUND(5.550,3)</f>
        <v>0</v>
      </c>
      <c r="G5242" s="27">
        <f ca="1">ROUND(E5242*F5242,2)</f>
        <v>0</v>
      </c>
    </row>
    <row r="5243" spans="1:7" ht="30.60" thickBot="1" customHeight="1">
      <c r="A5243" s="24" t="s">
        <v>16520</v>
      </c>
      <c r="B5243" s="24" t="s">
        <v>16521</v>
      </c>
      <c r="C5243" s="24" t="s">
        <v>16522</v>
      </c>
      <c r="D5243" s="25" t="s">
        <v>16523</v>
      </c>
      <c r="E5243" s="28">
        <v>0.02000</v>
      </c>
      <c r="F5243" s="29">
        <f ca="1">ROUND(20.920,3)</f>
        <v>0</v>
      </c>
      <c r="G5243" s="27">
        <f ca="1">ROUND(E5243*F5243,2)</f>
        <v>0</v>
      </c>
    </row>
    <row r="5244" spans="1:7" ht="21.36" thickBot="1" customHeight="1">
      <c r="A5244" s="24" t="s">
        <v>16524</v>
      </c>
      <c r="B5244" s="24" t="s">
        <v>16525</v>
      </c>
      <c r="C5244" s="24" t="s">
        <v>16526</v>
      </c>
      <c r="D5244" s="25" t="s">
        <v>16527</v>
      </c>
      <c r="E5244" s="28">
        <v>0.10000</v>
      </c>
      <c r="F5244" s="29">
        <f ca="1">ROUND(2.000,3)</f>
        <v>0</v>
      </c>
      <c r="G5244" s="27">
        <f ca="1">ROUND(E5244*F5244,2)</f>
        <v>0</v>
      </c>
    </row>
    <row r="5245" spans="1:7" ht="21.36" thickBot="1" customHeight="1">
      <c r="A5245" s="24" t="s">
        <v>16528</v>
      </c>
      <c r="B5245" s="24" t="s">
        <v>16529</v>
      </c>
      <c r="C5245" s="24" t="s">
        <v>16530</v>
      </c>
      <c r="D5245" s="25" t="s">
        <v>16531</v>
      </c>
      <c r="E5245" s="28">
        <v>0.60000</v>
      </c>
      <c r="F5245" s="29">
        <f ca="1">F5249</f>
        <v>0</v>
      </c>
      <c r="G5245" s="27">
        <f ca="1">ROUND(E5245*F5245,2)</f>
        <v>0</v>
      </c>
    </row>
    <row r="5246" spans="1:7" ht="24.36" thickBot="1" customHeight="1">
      <c r="A5246" s="24" t="s">
        <v>16532</v>
      </c>
      <c r="B5246" s="24" t="s">
        <v>16533</v>
      </c>
      <c r="C5246" s="24" t="s">
        <v>16534</v>
      </c>
      <c r="D5246" s="25" t="s">
        <v>16535</v>
      </c>
      <c r="E5246" s="28">
        <v>1.00000</v>
      </c>
      <c r="F5246" s="29">
        <f ca="1">ROUND(21.000,3)</f>
        <v>0</v>
      </c>
      <c r="G5246" s="27">
        <f ca="1">ROUND(E5246*F5246,2)</f>
        <v>0</v>
      </c>
    </row>
    <row r="5247" spans="1:7" ht="24.36" thickBot="1" customHeight="1">
      <c r="A5247" s="24" t="s">
        <v>16536</v>
      </c>
      <c r="B5247" s="24" t="s">
        <v>16537</v>
      </c>
      <c r="C5247" s="24" t="s">
        <v>16538</v>
      </c>
      <c r="D5247" s="25" t="s">
        <v>16539</v>
      </c>
      <c r="E5247" s="28">
        <v>1.00000</v>
      </c>
      <c r="F5247" s="29">
        <f ca="1">ROUND(19.000,3)</f>
        <v>0</v>
      </c>
      <c r="G5247" s="27">
        <f ca="1">ROUND(E5247*F5247,2)</f>
        <v>0</v>
      </c>
    </row>
    <row r="5248" spans="1:7" ht="24.36" thickBot="1" customHeight="1">
      <c r="A5248" s="24" t="s">
        <v>16540</v>
      </c>
      <c r="B5248" s="24" t="s">
        <v>16541</v>
      </c>
      <c r="C5248" s="24" t="s">
        <v>16542</v>
      </c>
      <c r="D5248" s="25" t="s">
        <v>16543</v>
      </c>
      <c r="E5248" s="28">
        <v>0.20000</v>
      </c>
      <c r="F5248" s="29">
        <f ca="1">ROUND(19.000,3)</f>
        <v>0</v>
      </c>
      <c r="G5248" s="27">
        <f ca="1">ROUND(E5248*F5248,2)</f>
        <v>0</v>
      </c>
    </row>
    <row r="5249" spans="1:7" ht="15.12" thickBot="1" customHeight="1">
      <c r="A5249" s="26"/>
      <c r="B5249" s="26"/>
      <c r="C5249" s="26"/>
      <c r="D5249" s="24" t="s">
        <v>16544</v>
      </c>
      <c r="E5249" s="28">
        <v>0.60000</v>
      </c>
      <c r="F5249" s="29">
        <f ca="1">ROUND((G5246+G5247+G5248),3)</f>
        <v>0</v>
      </c>
      <c r="G5249" s="27">
        <f ca="1">ROUND(E5249*F5249,2)</f>
        <v>0</v>
      </c>
    </row>
    <row r="5250" spans="1:7" ht="15.12" thickBot="1" customHeight="1">
      <c r="A5250" s="24" t="s">
        <v>16545</v>
      </c>
      <c r="B5250" s="24"/>
      <c r="C5250" s="24" t="s">
        <v>16546</v>
      </c>
      <c r="D5250" s="25" t="s">
        <v>16547</v>
      </c>
      <c r="E5250" s="28">
        <v>5.00000</v>
      </c>
      <c r="F5250" s="29">
        <f ca="1">ROUND(26.280,3)</f>
        <v>0</v>
      </c>
      <c r="G5250" s="27">
        <f ca="1">ROUND((E5250*F5250)/100,2)</f>
        <v>0</v>
      </c>
    </row>
    <row r="5251" spans="1:7" ht="15.48" thickBot="1" customHeight="1">
      <c r="A5251" s="30"/>
      <c r="B5251" s="30"/>
      <c r="C5251" s="30"/>
      <c r="D5251" s="31" t="s">
        <v>16548</v>
      </c>
      <c r="E5251" s="30"/>
      <c r="F5251" s="33">
        <f ca="1">ROUND((G5232+G5233+G5234+G5235+G5236+G5237+G5238+G5239+G5240+G5241+G5242+G5243+G5244+G5245+G5250)*(1+G2/100),2)</f>
        <v>0</v>
      </c>
      <c r="G5251" s="30"/>
    </row>
    <row r="5252" spans="1:7" ht="58.32" thickBot="1" customHeight="1">
      <c r="A5252" s="34" t="s">
        <v>16549</v>
      </c>
      <c r="B5252" s="35" t="s">
        <v>16550</v>
      </c>
      <c r="C5252" s="35" t="s">
        <v>16551</v>
      </c>
      <c r="D5252" s="36" t="s">
        <v>16552</v>
      </c>
      <c r="E5252" s="37"/>
      <c r="F5252" s="38">
        <f ca="1">F5266</f>
        <v>0</v>
      </c>
      <c r="G5252" s="37"/>
    </row>
    <row r="5253" spans="1:7" ht="21.36" thickBot="1" customHeight="1">
      <c r="A5253" s="26"/>
      <c r="B5253" s="26"/>
      <c r="C5253" s="26"/>
      <c r="D5253" s="25" t="s">
        <v>16553</v>
      </c>
      <c r="E5253" s="25"/>
      <c r="F5253" s="25"/>
      <c r="G5253" s="25"/>
    </row>
    <row r="5254" spans="1:7" ht="30.60" thickBot="1" customHeight="1">
      <c r="A5254" s="24" t="s">
        <v>16554</v>
      </c>
      <c r="B5254" s="24" t="s">
        <v>16555</v>
      </c>
      <c r="C5254" s="24" t="s">
        <v>16556</v>
      </c>
      <c r="D5254" s="25" t="s">
        <v>16557</v>
      </c>
      <c r="E5254" s="28">
        <v>0.33333</v>
      </c>
      <c r="F5254" s="29">
        <f ca="1">ROUND(1.320,3)</f>
        <v>0</v>
      </c>
      <c r="G5254" s="27">
        <f ca="1">ROUND(E5254*F5254,2)</f>
        <v>0</v>
      </c>
    </row>
    <row r="5255" spans="1:7" ht="30.60" thickBot="1" customHeight="1">
      <c r="A5255" s="24" t="s">
        <v>16558</v>
      </c>
      <c r="B5255" s="24" t="s">
        <v>16559</v>
      </c>
      <c r="C5255" s="24" t="s">
        <v>16560</v>
      </c>
      <c r="D5255" s="25" t="s">
        <v>16561</v>
      </c>
      <c r="E5255" s="28">
        <v>0.33333</v>
      </c>
      <c r="F5255" s="29">
        <f ca="1">ROUND(2.100,3)</f>
        <v>0</v>
      </c>
      <c r="G5255" s="27">
        <f ca="1">ROUND(E5255*F5255,2)</f>
        <v>0</v>
      </c>
    </row>
    <row r="5256" spans="1:7" ht="30.60" thickBot="1" customHeight="1">
      <c r="A5256" s="24" t="s">
        <v>16562</v>
      </c>
      <c r="B5256" s="24" t="s">
        <v>16563</v>
      </c>
      <c r="C5256" s="24" t="s">
        <v>16564</v>
      </c>
      <c r="D5256" s="25" t="s">
        <v>16565</v>
      </c>
      <c r="E5256" s="28">
        <v>0.15000</v>
      </c>
      <c r="F5256" s="29">
        <f ca="1">ROUND(10.620,3)</f>
        <v>0</v>
      </c>
      <c r="G5256" s="27">
        <f ca="1">ROUND(E5256*F5256,2)</f>
        <v>0</v>
      </c>
    </row>
    <row r="5257" spans="1:7" ht="21.36" thickBot="1" customHeight="1">
      <c r="A5257" s="24" t="s">
        <v>16566</v>
      </c>
      <c r="B5257" s="24" t="s">
        <v>16567</v>
      </c>
      <c r="C5257" s="24" t="s">
        <v>16568</v>
      </c>
      <c r="D5257" s="25" t="s">
        <v>16569</v>
      </c>
      <c r="E5257" s="28">
        <v>0.01000</v>
      </c>
      <c r="F5257" s="29">
        <f ca="1">ROUND(6.870,3)</f>
        <v>0</v>
      </c>
      <c r="G5257" s="27">
        <f ca="1">ROUND(E5257*F5257,2)</f>
        <v>0</v>
      </c>
    </row>
    <row r="5258" spans="1:7" ht="39.84" thickBot="1" customHeight="1">
      <c r="A5258" s="24" t="s">
        <v>16570</v>
      </c>
      <c r="B5258" s="24" t="s">
        <v>16571</v>
      </c>
      <c r="C5258" s="24" t="s">
        <v>16572</v>
      </c>
      <c r="D5258" s="25" t="s">
        <v>16573</v>
      </c>
      <c r="E5258" s="28">
        <v>0.01666</v>
      </c>
      <c r="F5258" s="29">
        <f ca="1">ROUND(5.550,3)</f>
        <v>0</v>
      </c>
      <c r="G5258" s="27">
        <f ca="1">ROUND(E5258*F5258,2)</f>
        <v>0</v>
      </c>
    </row>
    <row r="5259" spans="1:7" ht="30.60" thickBot="1" customHeight="1">
      <c r="A5259" s="24" t="s">
        <v>16574</v>
      </c>
      <c r="B5259" s="24" t="s">
        <v>16575</v>
      </c>
      <c r="C5259" s="24" t="s">
        <v>16576</v>
      </c>
      <c r="D5259" s="25" t="s">
        <v>16577</v>
      </c>
      <c r="E5259" s="28">
        <v>0.02800</v>
      </c>
      <c r="F5259" s="29">
        <f ca="1">ROUND(20.920,3)</f>
        <v>0</v>
      </c>
      <c r="G5259" s="27">
        <f ca="1">ROUND(E5259*F5259,2)</f>
        <v>0</v>
      </c>
    </row>
    <row r="5260" spans="1:7" ht="21.36" thickBot="1" customHeight="1">
      <c r="A5260" s="24" t="s">
        <v>16578</v>
      </c>
      <c r="B5260" s="24" t="s">
        <v>16579</v>
      </c>
      <c r="C5260" s="24" t="s">
        <v>16580</v>
      </c>
      <c r="D5260" s="25" t="s">
        <v>16581</v>
      </c>
      <c r="E5260" s="28">
        <v>1.00000</v>
      </c>
      <c r="F5260" s="29">
        <f ca="1">F5264</f>
        <v>0</v>
      </c>
      <c r="G5260" s="27">
        <f ca="1">ROUND(E5260*F5260,2)</f>
        <v>0</v>
      </c>
    </row>
    <row r="5261" spans="1:7" ht="24.36" thickBot="1" customHeight="1">
      <c r="A5261" s="24" t="s">
        <v>16582</v>
      </c>
      <c r="B5261" s="24" t="s">
        <v>16583</v>
      </c>
      <c r="C5261" s="24" t="s">
        <v>16584</v>
      </c>
      <c r="D5261" s="25" t="s">
        <v>16585</v>
      </c>
      <c r="E5261" s="28">
        <v>1.00000</v>
      </c>
      <c r="F5261" s="29">
        <f ca="1">ROUND(21.000,3)</f>
        <v>0</v>
      </c>
      <c r="G5261" s="27">
        <f ca="1">ROUND(E5261*F5261,2)</f>
        <v>0</v>
      </c>
    </row>
    <row r="5262" spans="1:7" ht="24.36" thickBot="1" customHeight="1">
      <c r="A5262" s="24" t="s">
        <v>16586</v>
      </c>
      <c r="B5262" s="24" t="s">
        <v>16587</v>
      </c>
      <c r="C5262" s="24" t="s">
        <v>16588</v>
      </c>
      <c r="D5262" s="25" t="s">
        <v>16589</v>
      </c>
      <c r="E5262" s="28">
        <v>1.00000</v>
      </c>
      <c r="F5262" s="29">
        <f ca="1">ROUND(19.000,3)</f>
        <v>0</v>
      </c>
      <c r="G5262" s="27">
        <f ca="1">ROUND(E5262*F5262,2)</f>
        <v>0</v>
      </c>
    </row>
    <row r="5263" spans="1:7" ht="24.36" thickBot="1" customHeight="1">
      <c r="A5263" s="24" t="s">
        <v>16590</v>
      </c>
      <c r="B5263" s="24" t="s">
        <v>16591</v>
      </c>
      <c r="C5263" s="24" t="s">
        <v>16592</v>
      </c>
      <c r="D5263" s="25" t="s">
        <v>16593</v>
      </c>
      <c r="E5263" s="28">
        <v>0.20000</v>
      </c>
      <c r="F5263" s="29">
        <f ca="1">ROUND(19.000,3)</f>
        <v>0</v>
      </c>
      <c r="G5263" s="27">
        <f ca="1">ROUND(E5263*F5263,2)</f>
        <v>0</v>
      </c>
    </row>
    <row r="5264" spans="1:7" ht="15.12" thickBot="1" customHeight="1">
      <c r="A5264" s="26"/>
      <c r="B5264" s="26"/>
      <c r="C5264" s="26"/>
      <c r="D5264" s="24" t="s">
        <v>16594</v>
      </c>
      <c r="E5264" s="28">
        <v>1.00000</v>
      </c>
      <c r="F5264" s="29">
        <f ca="1">ROUND((G5261+G5262+G5263),3)</f>
        <v>0</v>
      </c>
      <c r="G5264" s="27">
        <f ca="1">ROUND(E5264*F5264,2)</f>
        <v>0</v>
      </c>
    </row>
    <row r="5265" spans="1:7" ht="15.12" thickBot="1" customHeight="1">
      <c r="A5265" s="24" t="s">
        <v>16595</v>
      </c>
      <c r="B5265" s="24"/>
      <c r="C5265" s="24" t="s">
        <v>16596</v>
      </c>
      <c r="D5265" s="25" t="s">
        <v>16597</v>
      </c>
      <c r="E5265" s="28">
        <v>5.00000</v>
      </c>
      <c r="F5265" s="29">
        <f ca="1">ROUND(43.800,3)</f>
        <v>0</v>
      </c>
      <c r="G5265" s="27">
        <f ca="1">ROUND((E5265*F5265)/100,2)</f>
        <v>0</v>
      </c>
    </row>
    <row r="5266" spans="1:7" ht="15.48" thickBot="1" customHeight="1">
      <c r="A5266" s="30"/>
      <c r="B5266" s="30"/>
      <c r="C5266" s="30"/>
      <c r="D5266" s="31" t="s">
        <v>16598</v>
      </c>
      <c r="E5266" s="30"/>
      <c r="F5266" s="33">
        <f ca="1">ROUND((G5254+G5255+G5256+G5257+G5258+G5259+G5260+G5265)*(1+G2/100),2)</f>
        <v>0</v>
      </c>
      <c r="G5266" s="30"/>
    </row>
    <row r="5267" spans="1:7" ht="15.48" thickBot="1" customHeight="1">
      <c r="A5267" s="39"/>
      <c r="B5267" s="39"/>
      <c r="C5267" s="39"/>
      <c r="D5267" s="48" t="s">
        <v>16599</v>
      </c>
      <c r="E5267" s="49"/>
      <c r="F5267" s="49"/>
      <c r="G5267" s="49"/>
    </row>
    <row r="5268" spans="1:7" ht="25.08" thickBot="1" customHeight="1">
      <c r="A5268" s="66" t="s">
        <v>16600</v>
      </c>
      <c r="B5268" s="66" t="s">
        <v>16601</v>
      </c>
      <c r="C5268" s="67"/>
      <c r="D5268" s="68" t="s">
        <v>16602</v>
      </c>
      <c r="E5268" s="67"/>
      <c r="F5268" s="67"/>
      <c r="G5268" s="67"/>
    </row>
    <row r="5269" spans="1:7" ht="49.08" thickBot="1" customHeight="1">
      <c r="A5269" s="10" t="s">
        <v>16603</v>
      </c>
      <c r="B5269" s="24" t="s">
        <v>16604</v>
      </c>
      <c r="C5269" s="24" t="s">
        <v>16605</v>
      </c>
      <c r="D5269" s="25" t="s">
        <v>16606</v>
      </c>
      <c r="E5269" s="26"/>
      <c r="F5269" s="27">
        <f ca="1">F5288</f>
        <v>0</v>
      </c>
      <c r="G5269" s="26"/>
    </row>
    <row r="5270" spans="1:7" ht="12.12" thickBot="1" customHeight="1">
      <c r="A5270" s="26"/>
      <c r="B5270" s="26"/>
      <c r="C5270" s="26"/>
      <c r="D5270" s="25" t="s">
        <v>16607</v>
      </c>
      <c r="E5270" s="25"/>
      <c r="F5270" s="25"/>
      <c r="G5270" s="25"/>
    </row>
    <row r="5271" spans="1:7" ht="39.84" thickBot="1" customHeight="1">
      <c r="A5271" s="24" t="s">
        <v>16608</v>
      </c>
      <c r="B5271" s="24" t="s">
        <v>16609</v>
      </c>
      <c r="C5271" s="24" t="s">
        <v>16610</v>
      </c>
      <c r="D5271" s="25" t="s">
        <v>16611</v>
      </c>
      <c r="E5271" s="28">
        <v>0.35000</v>
      </c>
      <c r="F5271" s="29">
        <f ca="1">ROUND(2.940,3)</f>
        <v>0</v>
      </c>
      <c r="G5271" s="27">
        <f ca="1">ROUND(E5271*F5271,2)</f>
        <v>0</v>
      </c>
    </row>
    <row r="5272" spans="1:7" ht="21.36" thickBot="1" customHeight="1">
      <c r="A5272" s="24" t="s">
        <v>16612</v>
      </c>
      <c r="B5272" s="24" t="s">
        <v>16613</v>
      </c>
      <c r="C5272" s="24" t="s">
        <v>16614</v>
      </c>
      <c r="D5272" s="25" t="s">
        <v>16615</v>
      </c>
      <c r="E5272" s="28">
        <v>0.03400</v>
      </c>
      <c r="F5272" s="29">
        <f ca="1">ROUND(6.490,3)</f>
        <v>0</v>
      </c>
      <c r="G5272" s="27">
        <f ca="1">ROUND(E5272*F5272,2)</f>
        <v>0</v>
      </c>
    </row>
    <row r="5273" spans="1:7" ht="21.36" thickBot="1" customHeight="1">
      <c r="A5273" s="24" t="s">
        <v>16616</v>
      </c>
      <c r="B5273" s="24" t="s">
        <v>16617</v>
      </c>
      <c r="C5273" s="24" t="s">
        <v>16618</v>
      </c>
      <c r="D5273" s="25" t="s">
        <v>16619</v>
      </c>
      <c r="E5273" s="28">
        <v>0.11900</v>
      </c>
      <c r="F5273" s="29">
        <f ca="1">ROUND(2.950,3)</f>
        <v>0</v>
      </c>
      <c r="G5273" s="27">
        <f ca="1">ROUND(E5273*F5273,2)</f>
        <v>0</v>
      </c>
    </row>
    <row r="5274" spans="1:7" ht="30.60" thickBot="1" customHeight="1">
      <c r="A5274" s="24" t="s">
        <v>16620</v>
      </c>
      <c r="B5274" s="24" t="s">
        <v>16621</v>
      </c>
      <c r="C5274" s="24" t="s">
        <v>16622</v>
      </c>
      <c r="D5274" s="25" t="s">
        <v>16623</v>
      </c>
      <c r="E5274" s="28">
        <v>0.44000</v>
      </c>
      <c r="F5274" s="29">
        <f ca="1">ROUND(0.740,3)</f>
        <v>0</v>
      </c>
      <c r="G5274" s="27">
        <f ca="1">ROUND(E5274*F5274,2)</f>
        <v>0</v>
      </c>
    </row>
    <row r="5275" spans="1:7" ht="49.08" thickBot="1" customHeight="1">
      <c r="A5275" s="24" t="s">
        <v>16624</v>
      </c>
      <c r="B5275" s="24" t="s">
        <v>16625</v>
      </c>
      <c r="C5275" s="24" t="s">
        <v>16626</v>
      </c>
      <c r="D5275" s="25" t="s">
        <v>16627</v>
      </c>
      <c r="E5275" s="28">
        <v>0.05950</v>
      </c>
      <c r="F5275" s="29">
        <f ca="1">ROUND(12.560,3)</f>
        <v>0</v>
      </c>
      <c r="G5275" s="27">
        <f ca="1">ROUND(E5275*F5275,2)</f>
        <v>0</v>
      </c>
    </row>
    <row r="5276" spans="1:7" ht="30.60" thickBot="1" customHeight="1">
      <c r="A5276" s="24" t="s">
        <v>16628</v>
      </c>
      <c r="B5276" s="24" t="s">
        <v>16629</v>
      </c>
      <c r="C5276" s="24" t="s">
        <v>16630</v>
      </c>
      <c r="D5276" s="25" t="s">
        <v>16631</v>
      </c>
      <c r="E5276" s="28">
        <v>0.02000</v>
      </c>
      <c r="F5276" s="29">
        <f ca="1">ROUND(2.720,3)</f>
        <v>0</v>
      </c>
      <c r="G5276" s="27">
        <f ca="1">ROUND(E5276*F5276,2)</f>
        <v>0</v>
      </c>
    </row>
    <row r="5277" spans="1:7" ht="39.84" thickBot="1" customHeight="1">
      <c r="A5277" s="24" t="s">
        <v>16632</v>
      </c>
      <c r="B5277" s="24" t="s">
        <v>16633</v>
      </c>
      <c r="C5277" s="24" t="s">
        <v>16634</v>
      </c>
      <c r="D5277" s="25" t="s">
        <v>16635</v>
      </c>
      <c r="E5277" s="28">
        <v>0.23870</v>
      </c>
      <c r="F5277" s="29">
        <f ca="1">ROUND(5.760,3)</f>
        <v>0</v>
      </c>
      <c r="G5277" s="27">
        <f ca="1">ROUND(E5277*F5277,2)</f>
        <v>0</v>
      </c>
    </row>
    <row r="5278" spans="1:7" ht="39.84" thickBot="1" customHeight="1">
      <c r="A5278" s="24" t="s">
        <v>16636</v>
      </c>
      <c r="B5278" s="24" t="s">
        <v>16637</v>
      </c>
      <c r="C5278" s="24" t="s">
        <v>16638</v>
      </c>
      <c r="D5278" s="25" t="s">
        <v>16639</v>
      </c>
      <c r="E5278" s="28">
        <v>1.24830</v>
      </c>
      <c r="F5278" s="29">
        <f ca="1">ROUND(1.920,3)</f>
        <v>0</v>
      </c>
      <c r="G5278" s="27">
        <f ca="1">ROUND(E5278*F5278,2)</f>
        <v>0</v>
      </c>
    </row>
    <row r="5279" spans="1:7" ht="39.84" thickBot="1" customHeight="1">
      <c r="A5279" s="24" t="s">
        <v>16640</v>
      </c>
      <c r="B5279" s="24" t="s">
        <v>16641</v>
      </c>
      <c r="C5279" s="24" t="s">
        <v>16642</v>
      </c>
      <c r="D5279" s="25" t="s">
        <v>16643</v>
      </c>
      <c r="E5279" s="28">
        <v>1.59647</v>
      </c>
      <c r="F5279" s="29">
        <f ca="1">ROUND(0.960,3)</f>
        <v>0</v>
      </c>
      <c r="G5279" s="27">
        <f ca="1">ROUND(E5279*F5279,2)</f>
        <v>0</v>
      </c>
    </row>
    <row r="5280" spans="1:7" ht="49.08" thickBot="1" customHeight="1">
      <c r="A5280" s="24" t="s">
        <v>16644</v>
      </c>
      <c r="B5280" s="24" t="s">
        <v>16645</v>
      </c>
      <c r="C5280" s="24" t="s">
        <v>16646</v>
      </c>
      <c r="D5280" s="25" t="s">
        <v>16647</v>
      </c>
      <c r="E5280" s="28">
        <v>0.18580</v>
      </c>
      <c r="F5280" s="29">
        <f ca="1">ROUND(67.850,3)</f>
        <v>0</v>
      </c>
      <c r="G5280" s="27">
        <f ca="1">ROUND(E5280*F5280,2)</f>
        <v>0</v>
      </c>
    </row>
    <row r="5281" spans="1:7" ht="21.36" thickBot="1" customHeight="1">
      <c r="A5281" s="24" t="s">
        <v>16648</v>
      </c>
      <c r="B5281" s="24" t="s">
        <v>16649</v>
      </c>
      <c r="C5281" s="24" t="s">
        <v>16650</v>
      </c>
      <c r="D5281" s="25" t="s">
        <v>16651</v>
      </c>
      <c r="E5281" s="28">
        <v>0.10000</v>
      </c>
      <c r="F5281" s="29">
        <f ca="1">ROUND(2.000,3)</f>
        <v>0</v>
      </c>
      <c r="G5281" s="27">
        <f ca="1">ROUND(E5281*F5281,2)</f>
        <v>0</v>
      </c>
    </row>
    <row r="5282" spans="1:7" ht="21.36" thickBot="1" customHeight="1">
      <c r="A5282" s="24" t="s">
        <v>16652</v>
      </c>
      <c r="B5282" s="24" t="s">
        <v>16653</v>
      </c>
      <c r="C5282" s="24" t="s">
        <v>16654</v>
      </c>
      <c r="D5282" s="25" t="s">
        <v>16655</v>
      </c>
      <c r="E5282" s="28">
        <v>0.50000</v>
      </c>
      <c r="F5282" s="29">
        <f ca="1">F5286</f>
        <v>0</v>
      </c>
      <c r="G5282" s="27">
        <f ca="1">ROUND(E5282*F5282,2)</f>
        <v>0</v>
      </c>
    </row>
    <row r="5283" spans="1:7" ht="24.36" thickBot="1" customHeight="1">
      <c r="A5283" s="24" t="s">
        <v>16656</v>
      </c>
      <c r="B5283" s="24" t="s">
        <v>16657</v>
      </c>
      <c r="C5283" s="24" t="s">
        <v>16658</v>
      </c>
      <c r="D5283" s="25" t="s">
        <v>16659</v>
      </c>
      <c r="E5283" s="28">
        <v>1.00000</v>
      </c>
      <c r="F5283" s="29">
        <f ca="1">ROUND(21.000,3)</f>
        <v>0</v>
      </c>
      <c r="G5283" s="27">
        <f ca="1">ROUND(E5283*F5283,2)</f>
        <v>0</v>
      </c>
    </row>
    <row r="5284" spans="1:7" ht="24.36" thickBot="1" customHeight="1">
      <c r="A5284" s="24" t="s">
        <v>16660</v>
      </c>
      <c r="B5284" s="24" t="s">
        <v>16661</v>
      </c>
      <c r="C5284" s="24" t="s">
        <v>16662</v>
      </c>
      <c r="D5284" s="25" t="s">
        <v>16663</v>
      </c>
      <c r="E5284" s="28">
        <v>1.00000</v>
      </c>
      <c r="F5284" s="29">
        <f ca="1">ROUND(19.000,3)</f>
        <v>0</v>
      </c>
      <c r="G5284" s="27">
        <f ca="1">ROUND(E5284*F5284,2)</f>
        <v>0</v>
      </c>
    </row>
    <row r="5285" spans="1:7" ht="24.36" thickBot="1" customHeight="1">
      <c r="A5285" s="24" t="s">
        <v>16664</v>
      </c>
      <c r="B5285" s="24" t="s">
        <v>16665</v>
      </c>
      <c r="C5285" s="24" t="s">
        <v>16666</v>
      </c>
      <c r="D5285" s="25" t="s">
        <v>16667</v>
      </c>
      <c r="E5285" s="28">
        <v>0.20000</v>
      </c>
      <c r="F5285" s="29">
        <f ca="1">ROUND(19.000,3)</f>
        <v>0</v>
      </c>
      <c r="G5285" s="27">
        <f ca="1">ROUND(E5285*F5285,2)</f>
        <v>0</v>
      </c>
    </row>
    <row r="5286" spans="1:7" ht="15.12" thickBot="1" customHeight="1">
      <c r="A5286" s="26"/>
      <c r="B5286" s="26"/>
      <c r="C5286" s="26"/>
      <c r="D5286" s="24" t="s">
        <v>16668</v>
      </c>
      <c r="E5286" s="28">
        <v>0.50000</v>
      </c>
      <c r="F5286" s="29">
        <f ca="1">ROUND((G5283+G5284+G5285),3)</f>
        <v>0</v>
      </c>
      <c r="G5286" s="27">
        <f ca="1">ROUND(E5286*F5286,2)</f>
        <v>0</v>
      </c>
    </row>
    <row r="5287" spans="1:7" ht="15.12" thickBot="1" customHeight="1">
      <c r="A5287" s="24" t="s">
        <v>16669</v>
      </c>
      <c r="B5287" s="24"/>
      <c r="C5287" s="24" t="s">
        <v>16670</v>
      </c>
      <c r="D5287" s="25" t="s">
        <v>16671</v>
      </c>
      <c r="E5287" s="28">
        <v>5.00000</v>
      </c>
      <c r="F5287" s="29">
        <f ca="1">ROUND(21.900,3)</f>
        <v>0</v>
      </c>
      <c r="G5287" s="27">
        <f ca="1">ROUND((E5287*F5287)/100,2)</f>
        <v>0</v>
      </c>
    </row>
    <row r="5288" spans="1:7" ht="15.48" thickBot="1" customHeight="1">
      <c r="A5288" s="30"/>
      <c r="B5288" s="30"/>
      <c r="C5288" s="30"/>
      <c r="D5288" s="31" t="s">
        <v>16672</v>
      </c>
      <c r="E5288" s="30"/>
      <c r="F5288" s="33">
        <f ca="1">ROUND((G5271+G5272+G5273+G5274+G5275+G5276+G5277+G5278+G5279+G5280+G5281+G5282+G5287)*(1+G2/100),2)</f>
        <v>0</v>
      </c>
      <c r="G5288" s="30"/>
    </row>
    <row r="5289" spans="1:7" ht="25.08" thickBot="1" customHeight="1">
      <c r="A5289" s="34" t="s">
        <v>16673</v>
      </c>
      <c r="B5289" s="35" t="s">
        <v>16674</v>
      </c>
      <c r="C5289" s="35" t="s">
        <v>16675</v>
      </c>
      <c r="D5289" s="36" t="s">
        <v>16676</v>
      </c>
      <c r="E5289" s="37"/>
      <c r="F5289" s="38">
        <f ca="1">F5304</f>
        <v>0</v>
      </c>
      <c r="G5289" s="37"/>
    </row>
    <row r="5290" spans="1:7" ht="12.12" thickBot="1" customHeight="1">
      <c r="A5290" s="26"/>
      <c r="B5290" s="26"/>
      <c r="C5290" s="26"/>
      <c r="D5290" s="25" t="s">
        <v>16677</v>
      </c>
      <c r="E5290" s="25"/>
      <c r="F5290" s="25"/>
      <c r="G5290" s="25"/>
    </row>
    <row r="5291" spans="1:7" ht="21.36" thickBot="1" customHeight="1">
      <c r="A5291" s="24" t="s">
        <v>16678</v>
      </c>
      <c r="B5291" s="24" t="s">
        <v>16679</v>
      </c>
      <c r="C5291" s="24" t="s">
        <v>16680</v>
      </c>
      <c r="D5291" s="25" t="s">
        <v>16681</v>
      </c>
      <c r="E5291" s="28">
        <v>0.10000</v>
      </c>
      <c r="F5291" s="29">
        <f ca="1">ROUND(2.950,3)</f>
        <v>0</v>
      </c>
      <c r="G5291" s="27">
        <f ca="1">ROUND(E5291*F5291,2)</f>
        <v>0</v>
      </c>
    </row>
    <row r="5292" spans="1:7" ht="30.60" thickBot="1" customHeight="1">
      <c r="A5292" s="24" t="s">
        <v>16682</v>
      </c>
      <c r="B5292" s="24" t="s">
        <v>16683</v>
      </c>
      <c r="C5292" s="24" t="s">
        <v>16684</v>
      </c>
      <c r="D5292" s="25" t="s">
        <v>16685</v>
      </c>
      <c r="E5292" s="28">
        <v>0.40000</v>
      </c>
      <c r="F5292" s="29">
        <f ca="1">ROUND(0.740,3)</f>
        <v>0</v>
      </c>
      <c r="G5292" s="27">
        <f ca="1">ROUND(E5292*F5292,2)</f>
        <v>0</v>
      </c>
    </row>
    <row r="5293" spans="1:7" ht="49.08" thickBot="1" customHeight="1">
      <c r="A5293" s="24" t="s">
        <v>16686</v>
      </c>
      <c r="B5293" s="24" t="s">
        <v>16687</v>
      </c>
      <c r="C5293" s="24" t="s">
        <v>16688</v>
      </c>
      <c r="D5293" s="25" t="s">
        <v>16689</v>
      </c>
      <c r="E5293" s="28">
        <v>0.05000</v>
      </c>
      <c r="F5293" s="29">
        <f ca="1">ROUND(12.560,3)</f>
        <v>0</v>
      </c>
      <c r="G5293" s="27">
        <f ca="1">ROUND(E5293*F5293,2)</f>
        <v>0</v>
      </c>
    </row>
    <row r="5294" spans="1:7" ht="39.84" thickBot="1" customHeight="1">
      <c r="A5294" s="24" t="s">
        <v>16690</v>
      </c>
      <c r="B5294" s="24" t="s">
        <v>16691</v>
      </c>
      <c r="C5294" s="24" t="s">
        <v>16692</v>
      </c>
      <c r="D5294" s="25" t="s">
        <v>16693</v>
      </c>
      <c r="E5294" s="28">
        <v>1.24830</v>
      </c>
      <c r="F5294" s="29">
        <f ca="1">ROUND(1.920,3)</f>
        <v>0</v>
      </c>
      <c r="G5294" s="27">
        <f ca="1">ROUND(E5294*F5294,2)</f>
        <v>0</v>
      </c>
    </row>
    <row r="5295" spans="1:7" ht="39.84" thickBot="1" customHeight="1">
      <c r="A5295" s="24" t="s">
        <v>16694</v>
      </c>
      <c r="B5295" s="24" t="s">
        <v>16695</v>
      </c>
      <c r="C5295" s="24" t="s">
        <v>16696</v>
      </c>
      <c r="D5295" s="25" t="s">
        <v>16697</v>
      </c>
      <c r="E5295" s="28">
        <v>1.59647</v>
      </c>
      <c r="F5295" s="29">
        <f ca="1">ROUND(0.960,3)</f>
        <v>0</v>
      </c>
      <c r="G5295" s="27">
        <f ca="1">ROUND(E5295*F5295,2)</f>
        <v>0</v>
      </c>
    </row>
    <row r="5296" spans="1:7" ht="30.60" thickBot="1" customHeight="1">
      <c r="A5296" s="24" t="s">
        <v>16698</v>
      </c>
      <c r="B5296" s="24" t="s">
        <v>16699</v>
      </c>
      <c r="C5296" s="24" t="s">
        <v>16700</v>
      </c>
      <c r="D5296" s="25" t="s">
        <v>16701</v>
      </c>
      <c r="E5296" s="28">
        <v>0.20000</v>
      </c>
      <c r="F5296" s="29">
        <f ca="1">ROUND(2.720,3)</f>
        <v>0</v>
      </c>
      <c r="G5296" s="27">
        <f ca="1">ROUND(E5296*F5296,2)</f>
        <v>0</v>
      </c>
    </row>
    <row r="5297" spans="1:7" ht="49.08" thickBot="1" customHeight="1">
      <c r="A5297" s="24" t="s">
        <v>16702</v>
      </c>
      <c r="B5297" s="24" t="s">
        <v>16703</v>
      </c>
      <c r="C5297" s="24" t="s">
        <v>16704</v>
      </c>
      <c r="D5297" s="25" t="s">
        <v>16705</v>
      </c>
      <c r="E5297" s="28">
        <v>0.10400</v>
      </c>
      <c r="F5297" s="29">
        <f ca="1">ROUND(67.850,3)</f>
        <v>0</v>
      </c>
      <c r="G5297" s="27">
        <f ca="1">ROUND(E5297*F5297,2)</f>
        <v>0</v>
      </c>
    </row>
    <row r="5298" spans="1:7" ht="21.36" thickBot="1" customHeight="1">
      <c r="A5298" s="24" t="s">
        <v>16706</v>
      </c>
      <c r="B5298" s="24" t="s">
        <v>16707</v>
      </c>
      <c r="C5298" s="24" t="s">
        <v>16708</v>
      </c>
      <c r="D5298" s="25" t="s">
        <v>16709</v>
      </c>
      <c r="E5298" s="28">
        <v>0.80000</v>
      </c>
      <c r="F5298" s="29">
        <f ca="1">F5302</f>
        <v>0</v>
      </c>
      <c r="G5298" s="27">
        <f ca="1">ROUND(E5298*F5298,2)</f>
        <v>0</v>
      </c>
    </row>
    <row r="5299" spans="1:7" ht="24.36" thickBot="1" customHeight="1">
      <c r="A5299" s="24" t="s">
        <v>16710</v>
      </c>
      <c r="B5299" s="24" t="s">
        <v>16711</v>
      </c>
      <c r="C5299" s="24" t="s">
        <v>16712</v>
      </c>
      <c r="D5299" s="25" t="s">
        <v>16713</v>
      </c>
      <c r="E5299" s="28">
        <v>1.00000</v>
      </c>
      <c r="F5299" s="29">
        <f ca="1">ROUND(21.000,3)</f>
        <v>0</v>
      </c>
      <c r="G5299" s="27">
        <f ca="1">ROUND(E5299*F5299,2)</f>
        <v>0</v>
      </c>
    </row>
    <row r="5300" spans="1:7" ht="24.36" thickBot="1" customHeight="1">
      <c r="A5300" s="24" t="s">
        <v>16714</v>
      </c>
      <c r="B5300" s="24" t="s">
        <v>16715</v>
      </c>
      <c r="C5300" s="24" t="s">
        <v>16716</v>
      </c>
      <c r="D5300" s="25" t="s">
        <v>16717</v>
      </c>
      <c r="E5300" s="28">
        <v>1.00000</v>
      </c>
      <c r="F5300" s="29">
        <f ca="1">ROUND(19.000,3)</f>
        <v>0</v>
      </c>
      <c r="G5300" s="27">
        <f ca="1">ROUND(E5300*F5300,2)</f>
        <v>0</v>
      </c>
    </row>
    <row r="5301" spans="1:7" ht="24.36" thickBot="1" customHeight="1">
      <c r="A5301" s="24" t="s">
        <v>16718</v>
      </c>
      <c r="B5301" s="24" t="s">
        <v>16719</v>
      </c>
      <c r="C5301" s="24" t="s">
        <v>16720</v>
      </c>
      <c r="D5301" s="25" t="s">
        <v>16721</v>
      </c>
      <c r="E5301" s="28">
        <v>0.20000</v>
      </c>
      <c r="F5301" s="29">
        <f ca="1">ROUND(19.000,3)</f>
        <v>0</v>
      </c>
      <c r="G5301" s="27">
        <f ca="1">ROUND(E5301*F5301,2)</f>
        <v>0</v>
      </c>
    </row>
    <row r="5302" spans="1:7" ht="15.12" thickBot="1" customHeight="1">
      <c r="A5302" s="26"/>
      <c r="B5302" s="26"/>
      <c r="C5302" s="26"/>
      <c r="D5302" s="24" t="s">
        <v>16722</v>
      </c>
      <c r="E5302" s="28">
        <v>0.80000</v>
      </c>
      <c r="F5302" s="29">
        <f ca="1">ROUND((G5299+G5300+G5301),3)</f>
        <v>0</v>
      </c>
      <c r="G5302" s="27">
        <f ca="1">ROUND(E5302*F5302,2)</f>
        <v>0</v>
      </c>
    </row>
    <row r="5303" spans="1:7" ht="15.12" thickBot="1" customHeight="1">
      <c r="A5303" s="24" t="s">
        <v>16723</v>
      </c>
      <c r="B5303" s="24"/>
      <c r="C5303" s="24" t="s">
        <v>16724</v>
      </c>
      <c r="D5303" s="25" t="s">
        <v>16725</v>
      </c>
      <c r="E5303" s="28">
        <v>5.00000</v>
      </c>
      <c r="F5303" s="29">
        <f ca="1">ROUND(35.040,3)</f>
        <v>0</v>
      </c>
      <c r="G5303" s="27">
        <f ca="1">ROUND((E5303*F5303)/100,2)</f>
        <v>0</v>
      </c>
    </row>
    <row r="5304" spans="1:7" ht="15.48" thickBot="1" customHeight="1">
      <c r="A5304" s="30"/>
      <c r="B5304" s="30"/>
      <c r="C5304" s="30"/>
      <c r="D5304" s="31" t="s">
        <v>16726</v>
      </c>
      <c r="E5304" s="30"/>
      <c r="F5304" s="33">
        <f ca="1">ROUND((G5291+G5292+G5293+G5294+G5295+G5296+G5297+G5298+G5303)*(1+G2/100),2)</f>
        <v>0</v>
      </c>
      <c r="G5304" s="30"/>
    </row>
    <row r="5305" spans="1:7" ht="49.08" thickBot="1" customHeight="1">
      <c r="A5305" s="34" t="s">
        <v>16727</v>
      </c>
      <c r="B5305" s="35" t="s">
        <v>16728</v>
      </c>
      <c r="C5305" s="35" t="s">
        <v>16729</v>
      </c>
      <c r="D5305" s="36" t="s">
        <v>16730</v>
      </c>
      <c r="E5305" s="37"/>
      <c r="F5305" s="38">
        <f ca="1">F5324</f>
        <v>0</v>
      </c>
      <c r="G5305" s="37"/>
    </row>
    <row r="5306" spans="1:7" ht="12.12" thickBot="1" customHeight="1">
      <c r="A5306" s="26"/>
      <c r="B5306" s="26"/>
      <c r="C5306" s="26"/>
      <c r="D5306" s="25" t="s">
        <v>16731</v>
      </c>
      <c r="E5306" s="25"/>
      <c r="F5306" s="25"/>
      <c r="G5306" s="25"/>
    </row>
    <row r="5307" spans="1:7" ht="39.84" thickBot="1" customHeight="1">
      <c r="A5307" s="24" t="s">
        <v>16732</v>
      </c>
      <c r="B5307" s="24" t="s">
        <v>16733</v>
      </c>
      <c r="C5307" s="24" t="s">
        <v>16734</v>
      </c>
      <c r="D5307" s="25" t="s">
        <v>16735</v>
      </c>
      <c r="E5307" s="28">
        <v>0.35000</v>
      </c>
      <c r="F5307" s="29">
        <f ca="1">ROUND(2.940,3)</f>
        <v>0</v>
      </c>
      <c r="G5307" s="27">
        <f ca="1">ROUND(E5307*F5307,2)</f>
        <v>0</v>
      </c>
    </row>
    <row r="5308" spans="1:7" ht="21.36" thickBot="1" customHeight="1">
      <c r="A5308" s="24" t="s">
        <v>16736</v>
      </c>
      <c r="B5308" s="24" t="s">
        <v>16737</v>
      </c>
      <c r="C5308" s="24" t="s">
        <v>16738</v>
      </c>
      <c r="D5308" s="25" t="s">
        <v>16739</v>
      </c>
      <c r="E5308" s="28">
        <v>0.03400</v>
      </c>
      <c r="F5308" s="29">
        <f ca="1">ROUND(6.490,3)</f>
        <v>0</v>
      </c>
      <c r="G5308" s="27">
        <f ca="1">ROUND(E5308*F5308,2)</f>
        <v>0</v>
      </c>
    </row>
    <row r="5309" spans="1:7" ht="21.36" thickBot="1" customHeight="1">
      <c r="A5309" s="24" t="s">
        <v>16740</v>
      </c>
      <c r="B5309" s="24" t="s">
        <v>16741</v>
      </c>
      <c r="C5309" s="24" t="s">
        <v>16742</v>
      </c>
      <c r="D5309" s="25" t="s">
        <v>16743</v>
      </c>
      <c r="E5309" s="28">
        <v>0.11900</v>
      </c>
      <c r="F5309" s="29">
        <f ca="1">ROUND(2.950,3)</f>
        <v>0</v>
      </c>
      <c r="G5309" s="27">
        <f ca="1">ROUND(E5309*F5309,2)</f>
        <v>0</v>
      </c>
    </row>
    <row r="5310" spans="1:7" ht="30.60" thickBot="1" customHeight="1">
      <c r="A5310" s="24" t="s">
        <v>16744</v>
      </c>
      <c r="B5310" s="24" t="s">
        <v>16745</v>
      </c>
      <c r="C5310" s="24" t="s">
        <v>16746</v>
      </c>
      <c r="D5310" s="25" t="s">
        <v>16747</v>
      </c>
      <c r="E5310" s="28">
        <v>0.44000</v>
      </c>
      <c r="F5310" s="29">
        <f ca="1">ROUND(0.740,3)</f>
        <v>0</v>
      </c>
      <c r="G5310" s="27">
        <f ca="1">ROUND(E5310*F5310,2)</f>
        <v>0</v>
      </c>
    </row>
    <row r="5311" spans="1:7" ht="49.08" thickBot="1" customHeight="1">
      <c r="A5311" s="24" t="s">
        <v>16748</v>
      </c>
      <c r="B5311" s="24" t="s">
        <v>16749</v>
      </c>
      <c r="C5311" s="24" t="s">
        <v>16750</v>
      </c>
      <c r="D5311" s="25" t="s">
        <v>16751</v>
      </c>
      <c r="E5311" s="28">
        <v>0.05950</v>
      </c>
      <c r="F5311" s="29">
        <f ca="1">ROUND(12.560,3)</f>
        <v>0</v>
      </c>
      <c r="G5311" s="27">
        <f ca="1">ROUND(E5311*F5311,2)</f>
        <v>0</v>
      </c>
    </row>
    <row r="5312" spans="1:7" ht="30.60" thickBot="1" customHeight="1">
      <c r="A5312" s="24" t="s">
        <v>16752</v>
      </c>
      <c r="B5312" s="24" t="s">
        <v>16753</v>
      </c>
      <c r="C5312" s="24" t="s">
        <v>16754</v>
      </c>
      <c r="D5312" s="25" t="s">
        <v>16755</v>
      </c>
      <c r="E5312" s="28">
        <v>0.02000</v>
      </c>
      <c r="F5312" s="29">
        <f ca="1">ROUND(2.720,3)</f>
        <v>0</v>
      </c>
      <c r="G5312" s="27">
        <f ca="1">ROUND(E5312*F5312,2)</f>
        <v>0</v>
      </c>
    </row>
    <row r="5313" spans="1:7" ht="39.84" thickBot="1" customHeight="1">
      <c r="A5313" s="24" t="s">
        <v>16756</v>
      </c>
      <c r="B5313" s="24" t="s">
        <v>16757</v>
      </c>
      <c r="C5313" s="24" t="s">
        <v>16758</v>
      </c>
      <c r="D5313" s="25" t="s">
        <v>16759</v>
      </c>
      <c r="E5313" s="28">
        <v>0.23870</v>
      </c>
      <c r="F5313" s="29">
        <f ca="1">ROUND(5.760,3)</f>
        <v>0</v>
      </c>
      <c r="G5313" s="27">
        <f ca="1">ROUND(E5313*F5313,2)</f>
        <v>0</v>
      </c>
    </row>
    <row r="5314" spans="1:7" ht="39.84" thickBot="1" customHeight="1">
      <c r="A5314" s="24" t="s">
        <v>16760</v>
      </c>
      <c r="B5314" s="24" t="s">
        <v>16761</v>
      </c>
      <c r="C5314" s="24" t="s">
        <v>16762</v>
      </c>
      <c r="D5314" s="25" t="s">
        <v>16763</v>
      </c>
      <c r="E5314" s="28">
        <v>1.24830</v>
      </c>
      <c r="F5314" s="29">
        <f ca="1">ROUND(1.920,3)</f>
        <v>0</v>
      </c>
      <c r="G5314" s="27">
        <f ca="1">ROUND(E5314*F5314,2)</f>
        <v>0</v>
      </c>
    </row>
    <row r="5315" spans="1:7" ht="39.84" thickBot="1" customHeight="1">
      <c r="A5315" s="24" t="s">
        <v>16764</v>
      </c>
      <c r="B5315" s="24" t="s">
        <v>16765</v>
      </c>
      <c r="C5315" s="24" t="s">
        <v>16766</v>
      </c>
      <c r="D5315" s="25" t="s">
        <v>16767</v>
      </c>
      <c r="E5315" s="28">
        <v>1.59647</v>
      </c>
      <c r="F5315" s="29">
        <f ca="1">ROUND(0.960,3)</f>
        <v>0</v>
      </c>
      <c r="G5315" s="27">
        <f ca="1">ROUND(E5315*F5315,2)</f>
        <v>0</v>
      </c>
    </row>
    <row r="5316" spans="1:7" ht="39.84" thickBot="1" customHeight="1">
      <c r="A5316" s="24" t="s">
        <v>16768</v>
      </c>
      <c r="B5316" s="24" t="s">
        <v>16769</v>
      </c>
      <c r="C5316" s="24" t="s">
        <v>16770</v>
      </c>
      <c r="D5316" s="25" t="s">
        <v>16771</v>
      </c>
      <c r="E5316" s="28">
        <v>1.48600</v>
      </c>
      <c r="F5316" s="29">
        <f ca="1">ROUND(3.960,3)</f>
        <v>0</v>
      </c>
      <c r="G5316" s="27">
        <f ca="1">ROUND(E5316*F5316,2)</f>
        <v>0</v>
      </c>
    </row>
    <row r="5317" spans="1:7" ht="21.36" thickBot="1" customHeight="1">
      <c r="A5317" s="24" t="s">
        <v>16772</v>
      </c>
      <c r="B5317" s="24" t="s">
        <v>16773</v>
      </c>
      <c r="C5317" s="24" t="s">
        <v>16774</v>
      </c>
      <c r="D5317" s="25" t="s">
        <v>16775</v>
      </c>
      <c r="E5317" s="28">
        <v>0.10000</v>
      </c>
      <c r="F5317" s="29">
        <f ca="1">ROUND(2.000,3)</f>
        <v>0</v>
      </c>
      <c r="G5317" s="27">
        <f ca="1">ROUND(E5317*F5317,2)</f>
        <v>0</v>
      </c>
    </row>
    <row r="5318" spans="1:7" ht="21.36" thickBot="1" customHeight="1">
      <c r="A5318" s="24" t="s">
        <v>16776</v>
      </c>
      <c r="B5318" s="24" t="s">
        <v>16777</v>
      </c>
      <c r="C5318" s="24" t="s">
        <v>16778</v>
      </c>
      <c r="D5318" s="25" t="s">
        <v>16779</v>
      </c>
      <c r="E5318" s="28">
        <v>0.50000</v>
      </c>
      <c r="F5318" s="29">
        <f ca="1">F5322</f>
        <v>0</v>
      </c>
      <c r="G5318" s="27">
        <f ca="1">ROUND(E5318*F5318,2)</f>
        <v>0</v>
      </c>
    </row>
    <row r="5319" spans="1:7" ht="24.36" thickBot="1" customHeight="1">
      <c r="A5319" s="24" t="s">
        <v>16780</v>
      </c>
      <c r="B5319" s="24" t="s">
        <v>16781</v>
      </c>
      <c r="C5319" s="24" t="s">
        <v>16782</v>
      </c>
      <c r="D5319" s="25" t="s">
        <v>16783</v>
      </c>
      <c r="E5319" s="28">
        <v>1.00000</v>
      </c>
      <c r="F5319" s="29">
        <f ca="1">ROUND(21.000,3)</f>
        <v>0</v>
      </c>
      <c r="G5319" s="27">
        <f ca="1">ROUND(E5319*F5319,2)</f>
        <v>0</v>
      </c>
    </row>
    <row r="5320" spans="1:7" ht="24.36" thickBot="1" customHeight="1">
      <c r="A5320" s="24" t="s">
        <v>16784</v>
      </c>
      <c r="B5320" s="24" t="s">
        <v>16785</v>
      </c>
      <c r="C5320" s="24" t="s">
        <v>16786</v>
      </c>
      <c r="D5320" s="25" t="s">
        <v>16787</v>
      </c>
      <c r="E5320" s="28">
        <v>1.00000</v>
      </c>
      <c r="F5320" s="29">
        <f ca="1">ROUND(19.000,3)</f>
        <v>0</v>
      </c>
      <c r="G5320" s="27">
        <f ca="1">ROUND(E5320*F5320,2)</f>
        <v>0</v>
      </c>
    </row>
    <row r="5321" spans="1:7" ht="24.36" thickBot="1" customHeight="1">
      <c r="A5321" s="24" t="s">
        <v>16788</v>
      </c>
      <c r="B5321" s="24" t="s">
        <v>16789</v>
      </c>
      <c r="C5321" s="24" t="s">
        <v>16790</v>
      </c>
      <c r="D5321" s="25" t="s">
        <v>16791</v>
      </c>
      <c r="E5321" s="28">
        <v>0.20000</v>
      </c>
      <c r="F5321" s="29">
        <f ca="1">ROUND(19.000,3)</f>
        <v>0</v>
      </c>
      <c r="G5321" s="27">
        <f ca="1">ROUND(E5321*F5321,2)</f>
        <v>0</v>
      </c>
    </row>
    <row r="5322" spans="1:7" ht="15.12" thickBot="1" customHeight="1">
      <c r="A5322" s="26"/>
      <c r="B5322" s="26"/>
      <c r="C5322" s="26"/>
      <c r="D5322" s="24" t="s">
        <v>16792</v>
      </c>
      <c r="E5322" s="28">
        <v>0.50000</v>
      </c>
      <c r="F5322" s="29">
        <f ca="1">ROUND((G5319+G5320+G5321),3)</f>
        <v>0</v>
      </c>
      <c r="G5322" s="27">
        <f ca="1">ROUND(E5322*F5322,2)</f>
        <v>0</v>
      </c>
    </row>
    <row r="5323" spans="1:7" ht="15.12" thickBot="1" customHeight="1">
      <c r="A5323" s="24" t="s">
        <v>16793</v>
      </c>
      <c r="B5323" s="24"/>
      <c r="C5323" s="24" t="s">
        <v>16794</v>
      </c>
      <c r="D5323" s="25" t="s">
        <v>16795</v>
      </c>
      <c r="E5323" s="28">
        <v>5.00000</v>
      </c>
      <c r="F5323" s="29">
        <f ca="1">ROUND(21.900,3)</f>
        <v>0</v>
      </c>
      <c r="G5323" s="27">
        <f ca="1">ROUND((E5323*F5323)/100,2)</f>
        <v>0</v>
      </c>
    </row>
    <row r="5324" spans="1:7" ht="15.48" thickBot="1" customHeight="1">
      <c r="A5324" s="30"/>
      <c r="B5324" s="30"/>
      <c r="C5324" s="30"/>
      <c r="D5324" s="31" t="s">
        <v>16796</v>
      </c>
      <c r="E5324" s="30"/>
      <c r="F5324" s="33">
        <f ca="1">ROUND((G5307+G5308+G5309+G5310+G5311+G5312+G5313+G5314+G5315+G5316+G5317+G5318+G5323)*(1+G2/100),2)</f>
        <v>0</v>
      </c>
      <c r="G5324" s="30"/>
    </row>
    <row r="5325" spans="1:7" ht="58.32" thickBot="1" customHeight="1">
      <c r="A5325" s="34" t="s">
        <v>16797</v>
      </c>
      <c r="B5325" s="35" t="s">
        <v>16798</v>
      </c>
      <c r="C5325" s="35" t="s">
        <v>16799</v>
      </c>
      <c r="D5325" s="36" t="s">
        <v>16800</v>
      </c>
      <c r="E5325" s="37"/>
      <c r="F5325" s="38">
        <f ca="1">F5340</f>
        <v>0</v>
      </c>
      <c r="G5325" s="37"/>
    </row>
    <row r="5326" spans="1:7" ht="30.60" thickBot="1" customHeight="1">
      <c r="A5326" s="26"/>
      <c r="B5326" s="26"/>
      <c r="C5326" s="26"/>
      <c r="D5326" s="25" t="s">
        <v>16801</v>
      </c>
      <c r="E5326" s="25"/>
      <c r="F5326" s="25"/>
      <c r="G5326" s="25"/>
    </row>
    <row r="5327" spans="1:7" ht="21.36" thickBot="1" customHeight="1">
      <c r="A5327" s="24" t="s">
        <v>16802</v>
      </c>
      <c r="B5327" s="24" t="s">
        <v>16803</v>
      </c>
      <c r="C5327" s="24" t="s">
        <v>16804</v>
      </c>
      <c r="D5327" s="25" t="s">
        <v>16805</v>
      </c>
      <c r="E5327" s="28">
        <v>0.10000</v>
      </c>
      <c r="F5327" s="29">
        <f ca="1">ROUND(2.950,3)</f>
        <v>0</v>
      </c>
      <c r="G5327" s="27">
        <f ca="1">ROUND(E5327*F5327,2)</f>
        <v>0</v>
      </c>
    </row>
    <row r="5328" spans="1:7" ht="30.60" thickBot="1" customHeight="1">
      <c r="A5328" s="24" t="s">
        <v>16806</v>
      </c>
      <c r="B5328" s="24" t="s">
        <v>16807</v>
      </c>
      <c r="C5328" s="24" t="s">
        <v>16808</v>
      </c>
      <c r="D5328" s="25" t="s">
        <v>16809</v>
      </c>
      <c r="E5328" s="28">
        <v>0.40000</v>
      </c>
      <c r="F5328" s="29">
        <f ca="1">ROUND(0.740,3)</f>
        <v>0</v>
      </c>
      <c r="G5328" s="27">
        <f ca="1">ROUND(E5328*F5328,2)</f>
        <v>0</v>
      </c>
    </row>
    <row r="5329" spans="1:7" ht="49.08" thickBot="1" customHeight="1">
      <c r="A5329" s="24" t="s">
        <v>16810</v>
      </c>
      <c r="B5329" s="24" t="s">
        <v>16811</v>
      </c>
      <c r="C5329" s="24" t="s">
        <v>16812</v>
      </c>
      <c r="D5329" s="25" t="s">
        <v>16813</v>
      </c>
      <c r="E5329" s="28">
        <v>0.05000</v>
      </c>
      <c r="F5329" s="29">
        <f ca="1">ROUND(12.560,3)</f>
        <v>0</v>
      </c>
      <c r="G5329" s="27">
        <f ca="1">ROUND(E5329*F5329,2)</f>
        <v>0</v>
      </c>
    </row>
    <row r="5330" spans="1:7" ht="39.84" thickBot="1" customHeight="1">
      <c r="A5330" s="24" t="s">
        <v>16814</v>
      </c>
      <c r="B5330" s="24" t="s">
        <v>16815</v>
      </c>
      <c r="C5330" s="24" t="s">
        <v>16816</v>
      </c>
      <c r="D5330" s="25" t="s">
        <v>16817</v>
      </c>
      <c r="E5330" s="28">
        <v>1.00000</v>
      </c>
      <c r="F5330" s="29">
        <f ca="1">ROUND(1.920,3)</f>
        <v>0</v>
      </c>
      <c r="G5330" s="27">
        <f ca="1">ROUND(E5330*F5330,2)</f>
        <v>0</v>
      </c>
    </row>
    <row r="5331" spans="1:7" ht="39.84" thickBot="1" customHeight="1">
      <c r="A5331" s="24" t="s">
        <v>16818</v>
      </c>
      <c r="B5331" s="24" t="s">
        <v>16819</v>
      </c>
      <c r="C5331" s="24" t="s">
        <v>16820</v>
      </c>
      <c r="D5331" s="25" t="s">
        <v>16821</v>
      </c>
      <c r="E5331" s="28">
        <v>2.00000</v>
      </c>
      <c r="F5331" s="29">
        <f ca="1">ROUND(0.960,3)</f>
        <v>0</v>
      </c>
      <c r="G5331" s="27">
        <f ca="1">ROUND(E5331*F5331,2)</f>
        <v>0</v>
      </c>
    </row>
    <row r="5332" spans="1:7" ht="30.60" thickBot="1" customHeight="1">
      <c r="A5332" s="24" t="s">
        <v>16822</v>
      </c>
      <c r="B5332" s="24" t="s">
        <v>16823</v>
      </c>
      <c r="C5332" s="24" t="s">
        <v>16824</v>
      </c>
      <c r="D5332" s="25" t="s">
        <v>16825</v>
      </c>
      <c r="E5332" s="28">
        <v>0.20000</v>
      </c>
      <c r="F5332" s="29">
        <f ca="1">ROUND(2.720,3)</f>
        <v>0</v>
      </c>
      <c r="G5332" s="27">
        <f ca="1">ROUND(E5332*F5332,2)</f>
        <v>0</v>
      </c>
    </row>
    <row r="5333" spans="1:7" ht="39.84" thickBot="1" customHeight="1">
      <c r="A5333" s="24" t="s">
        <v>16826</v>
      </c>
      <c r="B5333" s="24" t="s">
        <v>16827</v>
      </c>
      <c r="C5333" s="24" t="s">
        <v>16828</v>
      </c>
      <c r="D5333" s="25" t="s">
        <v>16829</v>
      </c>
      <c r="E5333" s="28">
        <v>0.60000</v>
      </c>
      <c r="F5333" s="29">
        <f ca="1">ROUND(3.960,3)</f>
        <v>0</v>
      </c>
      <c r="G5333" s="27">
        <f ca="1">ROUND(E5333*F5333,2)</f>
        <v>0</v>
      </c>
    </row>
    <row r="5334" spans="1:7" ht="21.36" thickBot="1" customHeight="1">
      <c r="A5334" s="24" t="s">
        <v>16830</v>
      </c>
      <c r="B5334" s="24" t="s">
        <v>16831</v>
      </c>
      <c r="C5334" s="24" t="s">
        <v>16832</v>
      </c>
      <c r="D5334" s="25" t="s">
        <v>16833</v>
      </c>
      <c r="E5334" s="28">
        <v>0.80000</v>
      </c>
      <c r="F5334" s="29">
        <f ca="1">F5338</f>
        <v>0</v>
      </c>
      <c r="G5334" s="27">
        <f ca="1">ROUND(E5334*F5334,2)</f>
        <v>0</v>
      </c>
    </row>
    <row r="5335" spans="1:7" ht="24.36" thickBot="1" customHeight="1">
      <c r="A5335" s="24" t="s">
        <v>16834</v>
      </c>
      <c r="B5335" s="24" t="s">
        <v>16835</v>
      </c>
      <c r="C5335" s="24" t="s">
        <v>16836</v>
      </c>
      <c r="D5335" s="25" t="s">
        <v>16837</v>
      </c>
      <c r="E5335" s="28">
        <v>1.00000</v>
      </c>
      <c r="F5335" s="29">
        <f ca="1">ROUND(21.000,3)</f>
        <v>0</v>
      </c>
      <c r="G5335" s="27">
        <f ca="1">ROUND(E5335*F5335,2)</f>
        <v>0</v>
      </c>
    </row>
    <row r="5336" spans="1:7" ht="24.36" thickBot="1" customHeight="1">
      <c r="A5336" s="24" t="s">
        <v>16838</v>
      </c>
      <c r="B5336" s="24" t="s">
        <v>16839</v>
      </c>
      <c r="C5336" s="24" t="s">
        <v>16840</v>
      </c>
      <c r="D5336" s="25" t="s">
        <v>16841</v>
      </c>
      <c r="E5336" s="28">
        <v>1.00000</v>
      </c>
      <c r="F5336" s="29">
        <f ca="1">ROUND(19.000,3)</f>
        <v>0</v>
      </c>
      <c r="G5336" s="27">
        <f ca="1">ROUND(E5336*F5336,2)</f>
        <v>0</v>
      </c>
    </row>
    <row r="5337" spans="1:7" ht="24.36" thickBot="1" customHeight="1">
      <c r="A5337" s="24" t="s">
        <v>16842</v>
      </c>
      <c r="B5337" s="24" t="s">
        <v>16843</v>
      </c>
      <c r="C5337" s="24" t="s">
        <v>16844</v>
      </c>
      <c r="D5337" s="25" t="s">
        <v>16845</v>
      </c>
      <c r="E5337" s="28">
        <v>0.20000</v>
      </c>
      <c r="F5337" s="29">
        <f ca="1">ROUND(19.000,3)</f>
        <v>0</v>
      </c>
      <c r="G5337" s="27">
        <f ca="1">ROUND(E5337*F5337,2)</f>
        <v>0</v>
      </c>
    </row>
    <row r="5338" spans="1:7" ht="15.12" thickBot="1" customHeight="1">
      <c r="A5338" s="26"/>
      <c r="B5338" s="26"/>
      <c r="C5338" s="26"/>
      <c r="D5338" s="24" t="s">
        <v>16846</v>
      </c>
      <c r="E5338" s="28">
        <v>0.80000</v>
      </c>
      <c r="F5338" s="29">
        <f ca="1">ROUND((G5335+G5336+G5337),3)</f>
        <v>0</v>
      </c>
      <c r="G5338" s="27">
        <f ca="1">ROUND(E5338*F5338,2)</f>
        <v>0</v>
      </c>
    </row>
    <row r="5339" spans="1:7" ht="15.12" thickBot="1" customHeight="1">
      <c r="A5339" s="24" t="s">
        <v>16847</v>
      </c>
      <c r="B5339" s="24"/>
      <c r="C5339" s="24" t="s">
        <v>16848</v>
      </c>
      <c r="D5339" s="25" t="s">
        <v>16849</v>
      </c>
      <c r="E5339" s="28">
        <v>5.00000</v>
      </c>
      <c r="F5339" s="29">
        <f ca="1">ROUND(35.040,3)</f>
        <v>0</v>
      </c>
      <c r="G5339" s="27">
        <f ca="1">ROUND((E5339*F5339)/100,2)</f>
        <v>0</v>
      </c>
    </row>
    <row r="5340" spans="1:7" ht="15.48" thickBot="1" customHeight="1">
      <c r="A5340" s="30"/>
      <c r="B5340" s="30"/>
      <c r="C5340" s="30"/>
      <c r="D5340" s="31" t="s">
        <v>16850</v>
      </c>
      <c r="E5340" s="30"/>
      <c r="F5340" s="33">
        <f ca="1">ROUND((G5327+G5328+G5329+G5330+G5331+G5332+G5333+G5334+G5339)*(1+G2/100),2)</f>
        <v>0</v>
      </c>
      <c r="G5340" s="30"/>
    </row>
    <row r="5341" spans="1:7" ht="49.08" thickBot="1" customHeight="1">
      <c r="A5341" s="34" t="s">
        <v>16851</v>
      </c>
      <c r="B5341" s="35" t="s">
        <v>16852</v>
      </c>
      <c r="C5341" s="35" t="s">
        <v>16853</v>
      </c>
      <c r="D5341" s="36" t="s">
        <v>16854</v>
      </c>
      <c r="E5341" s="37"/>
      <c r="F5341" s="38">
        <f ca="1">F5360</f>
        <v>0</v>
      </c>
      <c r="G5341" s="37"/>
    </row>
    <row r="5342" spans="1:7" ht="21.36" thickBot="1" customHeight="1">
      <c r="A5342" s="26"/>
      <c r="B5342" s="26"/>
      <c r="C5342" s="26"/>
      <c r="D5342" s="25" t="s">
        <v>16855</v>
      </c>
      <c r="E5342" s="25"/>
      <c r="F5342" s="25"/>
      <c r="G5342" s="25"/>
    </row>
    <row r="5343" spans="1:7" ht="39.84" thickBot="1" customHeight="1">
      <c r="A5343" s="24" t="s">
        <v>16856</v>
      </c>
      <c r="B5343" s="24" t="s">
        <v>16857</v>
      </c>
      <c r="C5343" s="24" t="s">
        <v>16858</v>
      </c>
      <c r="D5343" s="25" t="s">
        <v>16859</v>
      </c>
      <c r="E5343" s="28">
        <v>0.35000</v>
      </c>
      <c r="F5343" s="29">
        <f ca="1">ROUND(2.940,3)</f>
        <v>0</v>
      </c>
      <c r="G5343" s="27">
        <f ca="1">ROUND(E5343*F5343,2)</f>
        <v>0</v>
      </c>
    </row>
    <row r="5344" spans="1:7" ht="21.36" thickBot="1" customHeight="1">
      <c r="A5344" s="24" t="s">
        <v>16860</v>
      </c>
      <c r="B5344" s="24" t="s">
        <v>16861</v>
      </c>
      <c r="C5344" s="24" t="s">
        <v>16862</v>
      </c>
      <c r="D5344" s="25" t="s">
        <v>16863</v>
      </c>
      <c r="E5344" s="28">
        <v>0.03400</v>
      </c>
      <c r="F5344" s="29">
        <f ca="1">ROUND(6.490,3)</f>
        <v>0</v>
      </c>
      <c r="G5344" s="27">
        <f ca="1">ROUND(E5344*F5344,2)</f>
        <v>0</v>
      </c>
    </row>
    <row r="5345" spans="1:7" ht="21.36" thickBot="1" customHeight="1">
      <c r="A5345" s="24" t="s">
        <v>16864</v>
      </c>
      <c r="B5345" s="24" t="s">
        <v>16865</v>
      </c>
      <c r="C5345" s="24" t="s">
        <v>16866</v>
      </c>
      <c r="D5345" s="25" t="s">
        <v>16867</v>
      </c>
      <c r="E5345" s="28">
        <v>0.11900</v>
      </c>
      <c r="F5345" s="29">
        <f ca="1">ROUND(2.950,3)</f>
        <v>0</v>
      </c>
      <c r="G5345" s="27">
        <f ca="1">ROUND(E5345*F5345,2)</f>
        <v>0</v>
      </c>
    </row>
    <row r="5346" spans="1:7" ht="30.60" thickBot="1" customHeight="1">
      <c r="A5346" s="24" t="s">
        <v>16868</v>
      </c>
      <c r="B5346" s="24" t="s">
        <v>16869</v>
      </c>
      <c r="C5346" s="24" t="s">
        <v>16870</v>
      </c>
      <c r="D5346" s="25" t="s">
        <v>16871</v>
      </c>
      <c r="E5346" s="28">
        <v>0.44000</v>
      </c>
      <c r="F5346" s="29">
        <f ca="1">ROUND(0.740,3)</f>
        <v>0</v>
      </c>
      <c r="G5346" s="27">
        <f ca="1">ROUND(E5346*F5346,2)</f>
        <v>0</v>
      </c>
    </row>
    <row r="5347" spans="1:7" ht="49.08" thickBot="1" customHeight="1">
      <c r="A5347" s="24" t="s">
        <v>16872</v>
      </c>
      <c r="B5347" s="24" t="s">
        <v>16873</v>
      </c>
      <c r="C5347" s="24" t="s">
        <v>16874</v>
      </c>
      <c r="D5347" s="25" t="s">
        <v>16875</v>
      </c>
      <c r="E5347" s="28">
        <v>0.05950</v>
      </c>
      <c r="F5347" s="29">
        <f ca="1">ROUND(12.560,3)</f>
        <v>0</v>
      </c>
      <c r="G5347" s="27">
        <f ca="1">ROUND(E5347*F5347,2)</f>
        <v>0</v>
      </c>
    </row>
    <row r="5348" spans="1:7" ht="30.60" thickBot="1" customHeight="1">
      <c r="A5348" s="24" t="s">
        <v>16876</v>
      </c>
      <c r="B5348" s="24" t="s">
        <v>16877</v>
      </c>
      <c r="C5348" s="24" t="s">
        <v>16878</v>
      </c>
      <c r="D5348" s="25" t="s">
        <v>16879</v>
      </c>
      <c r="E5348" s="28">
        <v>0.02000</v>
      </c>
      <c r="F5348" s="29">
        <f ca="1">ROUND(2.720,3)</f>
        <v>0</v>
      </c>
      <c r="G5348" s="27">
        <f ca="1">ROUND(E5348*F5348,2)</f>
        <v>0</v>
      </c>
    </row>
    <row r="5349" spans="1:7" ht="39.84" thickBot="1" customHeight="1">
      <c r="A5349" s="24" t="s">
        <v>16880</v>
      </c>
      <c r="B5349" s="24" t="s">
        <v>16881</v>
      </c>
      <c r="C5349" s="24" t="s">
        <v>16882</v>
      </c>
      <c r="D5349" s="25" t="s">
        <v>16883</v>
      </c>
      <c r="E5349" s="28">
        <v>0.23870</v>
      </c>
      <c r="F5349" s="29">
        <f ca="1">ROUND(5.760,3)</f>
        <v>0</v>
      </c>
      <c r="G5349" s="27">
        <f ca="1">ROUND(E5349*F5349,2)</f>
        <v>0</v>
      </c>
    </row>
    <row r="5350" spans="1:7" ht="39.84" thickBot="1" customHeight="1">
      <c r="A5350" s="24" t="s">
        <v>16884</v>
      </c>
      <c r="B5350" s="24" t="s">
        <v>16885</v>
      </c>
      <c r="C5350" s="24" t="s">
        <v>16886</v>
      </c>
      <c r="D5350" s="25" t="s">
        <v>16887</v>
      </c>
      <c r="E5350" s="28">
        <v>1.24830</v>
      </c>
      <c r="F5350" s="29">
        <f ca="1">ROUND(1.920,3)</f>
        <v>0</v>
      </c>
      <c r="G5350" s="27">
        <f ca="1">ROUND(E5350*F5350,2)</f>
        <v>0</v>
      </c>
    </row>
    <row r="5351" spans="1:7" ht="39.84" thickBot="1" customHeight="1">
      <c r="A5351" s="24" t="s">
        <v>16888</v>
      </c>
      <c r="B5351" s="24" t="s">
        <v>16889</v>
      </c>
      <c r="C5351" s="24" t="s">
        <v>16890</v>
      </c>
      <c r="D5351" s="25" t="s">
        <v>16891</v>
      </c>
      <c r="E5351" s="28">
        <v>0.23777</v>
      </c>
      <c r="F5351" s="29">
        <f ca="1">ROUND(0.960,3)</f>
        <v>0</v>
      </c>
      <c r="G5351" s="27">
        <f ca="1">ROUND(E5351*F5351,2)</f>
        <v>0</v>
      </c>
    </row>
    <row r="5352" spans="1:7" ht="39.84" thickBot="1" customHeight="1">
      <c r="A5352" s="24" t="s">
        <v>16892</v>
      </c>
      <c r="B5352" s="24" t="s">
        <v>16893</v>
      </c>
      <c r="C5352" s="24" t="s">
        <v>16894</v>
      </c>
      <c r="D5352" s="25" t="s">
        <v>16895</v>
      </c>
      <c r="E5352" s="28">
        <v>1.48600</v>
      </c>
      <c r="F5352" s="29">
        <f ca="1">ROUND(3.960,3)</f>
        <v>0</v>
      </c>
      <c r="G5352" s="27">
        <f ca="1">ROUND(E5352*F5352,2)</f>
        <v>0</v>
      </c>
    </row>
    <row r="5353" spans="1:7" ht="21.36" thickBot="1" customHeight="1">
      <c r="A5353" s="24" t="s">
        <v>16896</v>
      </c>
      <c r="B5353" s="24" t="s">
        <v>16897</v>
      </c>
      <c r="C5353" s="24" t="s">
        <v>16898</v>
      </c>
      <c r="D5353" s="25" t="s">
        <v>16899</v>
      </c>
      <c r="E5353" s="28">
        <v>0.10000</v>
      </c>
      <c r="F5353" s="29">
        <f ca="1">ROUND(2.000,3)</f>
        <v>0</v>
      </c>
      <c r="G5353" s="27">
        <f ca="1">ROUND(E5353*F5353,2)</f>
        <v>0</v>
      </c>
    </row>
    <row r="5354" spans="1:7" ht="21.36" thickBot="1" customHeight="1">
      <c r="A5354" s="24" t="s">
        <v>16900</v>
      </c>
      <c r="B5354" s="24" t="s">
        <v>16901</v>
      </c>
      <c r="C5354" s="24" t="s">
        <v>16902</v>
      </c>
      <c r="D5354" s="25" t="s">
        <v>16903</v>
      </c>
      <c r="E5354" s="28">
        <v>0.44444</v>
      </c>
      <c r="F5354" s="29">
        <f ca="1">F5358</f>
        <v>0</v>
      </c>
      <c r="G5354" s="27">
        <f ca="1">ROUND(E5354*F5354,2)</f>
        <v>0</v>
      </c>
    </row>
    <row r="5355" spans="1:7" ht="24.36" thickBot="1" customHeight="1">
      <c r="A5355" s="24" t="s">
        <v>16904</v>
      </c>
      <c r="B5355" s="24" t="s">
        <v>16905</v>
      </c>
      <c r="C5355" s="24" t="s">
        <v>16906</v>
      </c>
      <c r="D5355" s="25" t="s">
        <v>16907</v>
      </c>
      <c r="E5355" s="28">
        <v>1.00000</v>
      </c>
      <c r="F5355" s="29">
        <f ca="1">ROUND(21.000,3)</f>
        <v>0</v>
      </c>
      <c r="G5355" s="27">
        <f ca="1">ROUND(E5355*F5355,2)</f>
        <v>0</v>
      </c>
    </row>
    <row r="5356" spans="1:7" ht="24.36" thickBot="1" customHeight="1">
      <c r="A5356" s="24" t="s">
        <v>16908</v>
      </c>
      <c r="B5356" s="24" t="s">
        <v>16909</v>
      </c>
      <c r="C5356" s="24" t="s">
        <v>16910</v>
      </c>
      <c r="D5356" s="25" t="s">
        <v>16911</v>
      </c>
      <c r="E5356" s="28">
        <v>1.00000</v>
      </c>
      <c r="F5356" s="29">
        <f ca="1">ROUND(19.000,3)</f>
        <v>0</v>
      </c>
      <c r="G5356" s="27">
        <f ca="1">ROUND(E5356*F5356,2)</f>
        <v>0</v>
      </c>
    </row>
    <row r="5357" spans="1:7" ht="24.36" thickBot="1" customHeight="1">
      <c r="A5357" s="24" t="s">
        <v>16912</v>
      </c>
      <c r="B5357" s="24" t="s">
        <v>16913</v>
      </c>
      <c r="C5357" s="24" t="s">
        <v>16914</v>
      </c>
      <c r="D5357" s="25" t="s">
        <v>16915</v>
      </c>
      <c r="E5357" s="28">
        <v>0.20000</v>
      </c>
      <c r="F5357" s="29">
        <f ca="1">ROUND(19.000,3)</f>
        <v>0</v>
      </c>
      <c r="G5357" s="27">
        <f ca="1">ROUND(E5357*F5357,2)</f>
        <v>0</v>
      </c>
    </row>
    <row r="5358" spans="1:7" ht="15.12" thickBot="1" customHeight="1">
      <c r="A5358" s="26"/>
      <c r="B5358" s="26"/>
      <c r="C5358" s="26"/>
      <c r="D5358" s="24" t="s">
        <v>16916</v>
      </c>
      <c r="E5358" s="28">
        <v>0.44444</v>
      </c>
      <c r="F5358" s="29">
        <f ca="1">ROUND((G5355+G5356+G5357),3)</f>
        <v>0</v>
      </c>
      <c r="G5358" s="27">
        <f ca="1">ROUND(E5358*F5358,2)</f>
        <v>0</v>
      </c>
    </row>
    <row r="5359" spans="1:7" ht="15.12" thickBot="1" customHeight="1">
      <c r="A5359" s="24" t="s">
        <v>16917</v>
      </c>
      <c r="B5359" s="24"/>
      <c r="C5359" s="24" t="s">
        <v>16918</v>
      </c>
      <c r="D5359" s="25" t="s">
        <v>16919</v>
      </c>
      <c r="E5359" s="28">
        <v>5.00000</v>
      </c>
      <c r="F5359" s="29">
        <f ca="1">ROUND(19.470,3)</f>
        <v>0</v>
      </c>
      <c r="G5359" s="27">
        <f ca="1">ROUND((E5359*F5359)/100,2)</f>
        <v>0</v>
      </c>
    </row>
    <row r="5360" spans="1:7" ht="15.48" thickBot="1" customHeight="1">
      <c r="A5360" s="30"/>
      <c r="B5360" s="30"/>
      <c r="C5360" s="30"/>
      <c r="D5360" s="31" t="s">
        <v>16920</v>
      </c>
      <c r="E5360" s="30"/>
      <c r="F5360" s="33">
        <f ca="1">ROUND((G5343+G5344+G5345+G5346+G5347+G5348+G5349+G5350+G5351+G5352+G5353+G5354+G5359)*(1+G2/100),2)</f>
        <v>0</v>
      </c>
      <c r="G5360" s="30"/>
    </row>
    <row r="5361" spans="1:7" ht="15.48" thickBot="1" customHeight="1">
      <c r="A5361" s="39"/>
      <c r="B5361" s="39"/>
      <c r="C5361" s="39"/>
      <c r="D5361" s="48" t="s">
        <v>16921</v>
      </c>
      <c r="E5361" s="49"/>
      <c r="F5361" s="49"/>
      <c r="G5361" s="49"/>
    </row>
    <row r="5362" spans="1:7" ht="25.08" thickBot="1" customHeight="1">
      <c r="A5362" s="66" t="s">
        <v>16922</v>
      </c>
      <c r="B5362" s="66" t="s">
        <v>16923</v>
      </c>
      <c r="C5362" s="67"/>
      <c r="D5362" s="68" t="s">
        <v>16924</v>
      </c>
      <c r="E5362" s="67"/>
      <c r="F5362" s="67"/>
      <c r="G5362" s="67"/>
    </row>
    <row r="5363" spans="1:7" ht="25.08" thickBot="1" customHeight="1">
      <c r="A5363" s="10" t="s">
        <v>16925</v>
      </c>
      <c r="B5363" s="24" t="s">
        <v>16926</v>
      </c>
      <c r="C5363" s="24" t="s">
        <v>16927</v>
      </c>
      <c r="D5363" s="25" t="s">
        <v>16928</v>
      </c>
      <c r="E5363" s="26"/>
      <c r="F5363" s="27">
        <f ca="1">F5377</f>
        <v>0</v>
      </c>
      <c r="G5363" s="26"/>
    </row>
    <row r="5364" spans="1:7" ht="12.12" thickBot="1" customHeight="1">
      <c r="A5364" s="26"/>
      <c r="B5364" s="26"/>
      <c r="C5364" s="26"/>
      <c r="D5364" s="25" t="s">
        <v>16929</v>
      </c>
      <c r="E5364" s="25"/>
      <c r="F5364" s="25"/>
      <c r="G5364" s="25"/>
    </row>
    <row r="5365" spans="1:7" ht="30.60" thickBot="1" customHeight="1">
      <c r="A5365" s="24" t="s">
        <v>16930</v>
      </c>
      <c r="B5365" s="24" t="s">
        <v>16931</v>
      </c>
      <c r="C5365" s="24" t="s">
        <v>16932</v>
      </c>
      <c r="D5365" s="25" t="s">
        <v>16933</v>
      </c>
      <c r="E5365" s="28">
        <v>1.05000</v>
      </c>
      <c r="F5365" s="29">
        <f ca="1">ROUND(10.510,3)</f>
        <v>0</v>
      </c>
      <c r="G5365" s="27">
        <f ca="1">ROUND(E5365*F5365,2)</f>
        <v>0</v>
      </c>
    </row>
    <row r="5366" spans="1:7" ht="30.60" thickBot="1" customHeight="1">
      <c r="A5366" s="24" t="s">
        <v>16934</v>
      </c>
      <c r="B5366" s="24" t="s">
        <v>16935</v>
      </c>
      <c r="C5366" s="24" t="s">
        <v>16936</v>
      </c>
      <c r="D5366" s="25" t="s">
        <v>16937</v>
      </c>
      <c r="E5366" s="28">
        <v>0.13333</v>
      </c>
      <c r="F5366" s="29">
        <f ca="1">ROUND(2.490,3)</f>
        <v>0</v>
      </c>
      <c r="G5366" s="27">
        <f ca="1">ROUND(E5366*F5366,2)</f>
        <v>0</v>
      </c>
    </row>
    <row r="5367" spans="1:7" ht="30.60" thickBot="1" customHeight="1">
      <c r="A5367" s="24" t="s">
        <v>16938</v>
      </c>
      <c r="B5367" s="24" t="s">
        <v>16939</v>
      </c>
      <c r="C5367" s="24" t="s">
        <v>16940</v>
      </c>
      <c r="D5367" s="25" t="s">
        <v>16941</v>
      </c>
      <c r="E5367" s="28">
        <v>0.13333</v>
      </c>
      <c r="F5367" s="29">
        <f ca="1">ROUND(2.370,3)</f>
        <v>0</v>
      </c>
      <c r="G5367" s="27">
        <f ca="1">ROUND(E5367*F5367,2)</f>
        <v>0</v>
      </c>
    </row>
    <row r="5368" spans="1:7" ht="21.36" thickBot="1" customHeight="1">
      <c r="A5368" s="24" t="s">
        <v>16942</v>
      </c>
      <c r="B5368" s="24" t="s">
        <v>16943</v>
      </c>
      <c r="C5368" s="24" t="s">
        <v>16944</v>
      </c>
      <c r="D5368" s="25" t="s">
        <v>16945</v>
      </c>
      <c r="E5368" s="28">
        <v>0.06800</v>
      </c>
      <c r="F5368" s="29">
        <f ca="1">ROUND(7.990,3)</f>
        <v>0</v>
      </c>
      <c r="G5368" s="27">
        <f ca="1">ROUND(E5368*F5368,2)</f>
        <v>0</v>
      </c>
    </row>
    <row r="5369" spans="1:7" ht="21.36" thickBot="1" customHeight="1">
      <c r="A5369" s="24" t="s">
        <v>16946</v>
      </c>
      <c r="B5369" s="24" t="s">
        <v>16947</v>
      </c>
      <c r="C5369" s="24" t="s">
        <v>16948</v>
      </c>
      <c r="D5369" s="25" t="s">
        <v>16949</v>
      </c>
      <c r="E5369" s="28">
        <v>0.04167</v>
      </c>
      <c r="F5369" s="29">
        <f ca="1">ROUND(7.390,3)</f>
        <v>0</v>
      </c>
      <c r="G5369" s="27">
        <f ca="1">ROUND(E5369*F5369,2)</f>
        <v>0</v>
      </c>
    </row>
    <row r="5370" spans="1:7" ht="21.36" thickBot="1" customHeight="1">
      <c r="A5370" s="24" t="s">
        <v>16950</v>
      </c>
      <c r="B5370" s="24" t="s">
        <v>16951</v>
      </c>
      <c r="C5370" s="24" t="s">
        <v>16952</v>
      </c>
      <c r="D5370" s="25" t="s">
        <v>16953</v>
      </c>
      <c r="E5370" s="28">
        <v>0.01833</v>
      </c>
      <c r="F5370" s="29">
        <f ca="1">ROUND(14.870,3)</f>
        <v>0</v>
      </c>
      <c r="G5370" s="27">
        <f ca="1">ROUND(E5370*F5370,2)</f>
        <v>0</v>
      </c>
    </row>
    <row r="5371" spans="1:7" ht="21.36" thickBot="1" customHeight="1">
      <c r="A5371" s="24" t="s">
        <v>16954</v>
      </c>
      <c r="B5371" s="24" t="s">
        <v>16955</v>
      </c>
      <c r="C5371" s="24" t="s">
        <v>16956</v>
      </c>
      <c r="D5371" s="25" t="s">
        <v>16957</v>
      </c>
      <c r="E5371" s="28">
        <v>3.00000</v>
      </c>
      <c r="F5371" s="29">
        <f ca="1">F5375</f>
        <v>0</v>
      </c>
      <c r="G5371" s="27">
        <f ca="1">ROUND(E5371*F5371,2)</f>
        <v>0</v>
      </c>
    </row>
    <row r="5372" spans="1:7" ht="24.36" thickBot="1" customHeight="1">
      <c r="A5372" s="24" t="s">
        <v>16958</v>
      </c>
      <c r="B5372" s="24" t="s">
        <v>16959</v>
      </c>
      <c r="C5372" s="24" t="s">
        <v>16960</v>
      </c>
      <c r="D5372" s="25" t="s">
        <v>16961</v>
      </c>
      <c r="E5372" s="28">
        <v>1.00000</v>
      </c>
      <c r="F5372" s="29">
        <f ca="1">ROUND(21.000,3)</f>
        <v>0</v>
      </c>
      <c r="G5372" s="27">
        <f ca="1">ROUND(E5372*F5372,2)</f>
        <v>0</v>
      </c>
    </row>
    <row r="5373" spans="1:7" ht="24.36" thickBot="1" customHeight="1">
      <c r="A5373" s="24" t="s">
        <v>16962</v>
      </c>
      <c r="B5373" s="24" t="s">
        <v>16963</v>
      </c>
      <c r="C5373" s="24" t="s">
        <v>16964</v>
      </c>
      <c r="D5373" s="25" t="s">
        <v>16965</v>
      </c>
      <c r="E5373" s="28">
        <v>1.00000</v>
      </c>
      <c r="F5373" s="29">
        <f ca="1">ROUND(19.000,3)</f>
        <v>0</v>
      </c>
      <c r="G5373" s="27">
        <f ca="1">ROUND(E5373*F5373,2)</f>
        <v>0</v>
      </c>
    </row>
    <row r="5374" spans="1:7" ht="24.36" thickBot="1" customHeight="1">
      <c r="A5374" s="24" t="s">
        <v>16966</v>
      </c>
      <c r="B5374" s="24" t="s">
        <v>16967</v>
      </c>
      <c r="C5374" s="24" t="s">
        <v>16968</v>
      </c>
      <c r="D5374" s="25" t="s">
        <v>16969</v>
      </c>
      <c r="E5374" s="28">
        <v>0.20000</v>
      </c>
      <c r="F5374" s="29">
        <f ca="1">ROUND(19.000,3)</f>
        <v>0</v>
      </c>
      <c r="G5374" s="27">
        <f ca="1">ROUND(E5374*F5374,2)</f>
        <v>0</v>
      </c>
    </row>
    <row r="5375" spans="1:7" ht="15.12" thickBot="1" customHeight="1">
      <c r="A5375" s="26"/>
      <c r="B5375" s="26"/>
      <c r="C5375" s="26"/>
      <c r="D5375" s="24" t="s">
        <v>16970</v>
      </c>
      <c r="E5375" s="28">
        <v>3.00000</v>
      </c>
      <c r="F5375" s="29">
        <f ca="1">ROUND((G5372+G5373+G5374),3)</f>
        <v>0</v>
      </c>
      <c r="G5375" s="27">
        <f ca="1">ROUND(E5375*F5375,2)</f>
        <v>0</v>
      </c>
    </row>
    <row r="5376" spans="1:7" ht="15.12" thickBot="1" customHeight="1">
      <c r="A5376" s="24" t="s">
        <v>16971</v>
      </c>
      <c r="B5376" s="24"/>
      <c r="C5376" s="24" t="s">
        <v>16972</v>
      </c>
      <c r="D5376" s="25" t="s">
        <v>16973</v>
      </c>
      <c r="E5376" s="28">
        <v>5.00000</v>
      </c>
      <c r="F5376" s="29">
        <f ca="1">ROUND(131.400,3)</f>
        <v>0</v>
      </c>
      <c r="G5376" s="27">
        <f ca="1">ROUND((E5376*F5376)/100,2)</f>
        <v>0</v>
      </c>
    </row>
    <row r="5377" spans="1:7" ht="25.08" thickBot="1" customHeight="1">
      <c r="A5377" s="30"/>
      <c r="B5377" s="30"/>
      <c r="C5377" s="30"/>
      <c r="D5377" s="31" t="s">
        <v>16974</v>
      </c>
      <c r="E5377" s="30"/>
      <c r="F5377" s="33">
        <f ca="1">ROUND((G5365+G5366+G5367+G5368+G5369+G5370+G5371+G5376)*(1+G2/100),2)</f>
        <v>0</v>
      </c>
      <c r="G5377" s="30"/>
    </row>
    <row r="5378" spans="1:7" ht="34.68" thickBot="1" customHeight="1">
      <c r="A5378" s="34" t="s">
        <v>16975</v>
      </c>
      <c r="B5378" s="35" t="s">
        <v>16976</v>
      </c>
      <c r="C5378" s="35" t="s">
        <v>16977</v>
      </c>
      <c r="D5378" s="36" t="s">
        <v>16978</v>
      </c>
      <c r="E5378" s="37"/>
      <c r="F5378" s="38">
        <f ca="1">F5392</f>
        <v>0</v>
      </c>
      <c r="G5378" s="37"/>
    </row>
    <row r="5379" spans="1:7" ht="12.12" thickBot="1" customHeight="1">
      <c r="A5379" s="26"/>
      <c r="B5379" s="26"/>
      <c r="C5379" s="26"/>
      <c r="D5379" s="25" t="s">
        <v>16979</v>
      </c>
      <c r="E5379" s="25"/>
      <c r="F5379" s="25"/>
      <c r="G5379" s="25"/>
    </row>
    <row r="5380" spans="1:7" ht="30.60" thickBot="1" customHeight="1">
      <c r="A5380" s="24" t="s">
        <v>16980</v>
      </c>
      <c r="B5380" s="24" t="s">
        <v>16981</v>
      </c>
      <c r="C5380" s="24" t="s">
        <v>16982</v>
      </c>
      <c r="D5380" s="25" t="s">
        <v>16983</v>
      </c>
      <c r="E5380" s="28">
        <v>1.05000</v>
      </c>
      <c r="F5380" s="29">
        <f ca="1">ROUND(19.150,3)</f>
        <v>0</v>
      </c>
      <c r="G5380" s="27">
        <f ca="1">ROUND(E5380*F5380,2)</f>
        <v>0</v>
      </c>
    </row>
    <row r="5381" spans="1:7" ht="30.60" thickBot="1" customHeight="1">
      <c r="A5381" s="24" t="s">
        <v>16984</v>
      </c>
      <c r="B5381" s="24" t="s">
        <v>16985</v>
      </c>
      <c r="C5381" s="24" t="s">
        <v>16986</v>
      </c>
      <c r="D5381" s="25" t="s">
        <v>16987</v>
      </c>
      <c r="E5381" s="28">
        <v>0.13333</v>
      </c>
      <c r="F5381" s="29">
        <f ca="1">ROUND(2.490,3)</f>
        <v>0</v>
      </c>
      <c r="G5381" s="27">
        <f ca="1">ROUND(E5381*F5381,2)</f>
        <v>0</v>
      </c>
    </row>
    <row r="5382" spans="1:7" ht="30.60" thickBot="1" customHeight="1">
      <c r="A5382" s="24" t="s">
        <v>16988</v>
      </c>
      <c r="B5382" s="24" t="s">
        <v>16989</v>
      </c>
      <c r="C5382" s="24" t="s">
        <v>16990</v>
      </c>
      <c r="D5382" s="25" t="s">
        <v>16991</v>
      </c>
      <c r="E5382" s="28">
        <v>0.13333</v>
      </c>
      <c r="F5382" s="29">
        <f ca="1">ROUND(2.370,3)</f>
        <v>0</v>
      </c>
      <c r="G5382" s="27">
        <f ca="1">ROUND(E5382*F5382,2)</f>
        <v>0</v>
      </c>
    </row>
    <row r="5383" spans="1:7" ht="21.36" thickBot="1" customHeight="1">
      <c r="A5383" s="24" t="s">
        <v>16992</v>
      </c>
      <c r="B5383" s="24" t="s">
        <v>16993</v>
      </c>
      <c r="C5383" s="24" t="s">
        <v>16994</v>
      </c>
      <c r="D5383" s="25" t="s">
        <v>16995</v>
      </c>
      <c r="E5383" s="28">
        <v>0.06800</v>
      </c>
      <c r="F5383" s="29">
        <f ca="1">ROUND(7.990,3)</f>
        <v>0</v>
      </c>
      <c r="G5383" s="27">
        <f ca="1">ROUND(E5383*F5383,2)</f>
        <v>0</v>
      </c>
    </row>
    <row r="5384" spans="1:7" ht="21.36" thickBot="1" customHeight="1">
      <c r="A5384" s="24" t="s">
        <v>16996</v>
      </c>
      <c r="B5384" s="24" t="s">
        <v>16997</v>
      </c>
      <c r="C5384" s="24" t="s">
        <v>16998</v>
      </c>
      <c r="D5384" s="25" t="s">
        <v>16999</v>
      </c>
      <c r="E5384" s="28">
        <v>0.04167</v>
      </c>
      <c r="F5384" s="29">
        <f ca="1">ROUND(7.390,3)</f>
        <v>0</v>
      </c>
      <c r="G5384" s="27">
        <f ca="1">ROUND(E5384*F5384,2)</f>
        <v>0</v>
      </c>
    </row>
    <row r="5385" spans="1:7" ht="21.36" thickBot="1" customHeight="1">
      <c r="A5385" s="24" t="s">
        <v>17000</v>
      </c>
      <c r="B5385" s="24" t="s">
        <v>17001</v>
      </c>
      <c r="C5385" s="24" t="s">
        <v>17002</v>
      </c>
      <c r="D5385" s="25" t="s">
        <v>17003</v>
      </c>
      <c r="E5385" s="28">
        <v>0.01833</v>
      </c>
      <c r="F5385" s="29">
        <f ca="1">ROUND(14.870,3)</f>
        <v>0</v>
      </c>
      <c r="G5385" s="27">
        <f ca="1">ROUND(E5385*F5385,2)</f>
        <v>0</v>
      </c>
    </row>
    <row r="5386" spans="1:7" ht="21.36" thickBot="1" customHeight="1">
      <c r="A5386" s="24" t="s">
        <v>17004</v>
      </c>
      <c r="B5386" s="24" t="s">
        <v>17005</v>
      </c>
      <c r="C5386" s="24" t="s">
        <v>17006</v>
      </c>
      <c r="D5386" s="25" t="s">
        <v>17007</v>
      </c>
      <c r="E5386" s="28">
        <v>3.00000</v>
      </c>
      <c r="F5386" s="29">
        <f ca="1">F5390</f>
        <v>0</v>
      </c>
      <c r="G5386" s="27">
        <f ca="1">ROUND(E5386*F5386,2)</f>
        <v>0</v>
      </c>
    </row>
    <row r="5387" spans="1:7" ht="24.36" thickBot="1" customHeight="1">
      <c r="A5387" s="24" t="s">
        <v>17008</v>
      </c>
      <c r="B5387" s="24" t="s">
        <v>17009</v>
      </c>
      <c r="C5387" s="24" t="s">
        <v>17010</v>
      </c>
      <c r="D5387" s="25" t="s">
        <v>17011</v>
      </c>
      <c r="E5387" s="28">
        <v>1.00000</v>
      </c>
      <c r="F5387" s="29">
        <f ca="1">ROUND(21.000,3)</f>
        <v>0</v>
      </c>
      <c r="G5387" s="27">
        <f ca="1">ROUND(E5387*F5387,2)</f>
        <v>0</v>
      </c>
    </row>
    <row r="5388" spans="1:7" ht="24.36" thickBot="1" customHeight="1">
      <c r="A5388" s="24" t="s">
        <v>17012</v>
      </c>
      <c r="B5388" s="24" t="s">
        <v>17013</v>
      </c>
      <c r="C5388" s="24" t="s">
        <v>17014</v>
      </c>
      <c r="D5388" s="25" t="s">
        <v>17015</v>
      </c>
      <c r="E5388" s="28">
        <v>1.00000</v>
      </c>
      <c r="F5388" s="29">
        <f ca="1">ROUND(19.000,3)</f>
        <v>0</v>
      </c>
      <c r="G5388" s="27">
        <f ca="1">ROUND(E5388*F5388,2)</f>
        <v>0</v>
      </c>
    </row>
    <row r="5389" spans="1:7" ht="24.36" thickBot="1" customHeight="1">
      <c r="A5389" s="24" t="s">
        <v>17016</v>
      </c>
      <c r="B5389" s="24" t="s">
        <v>17017</v>
      </c>
      <c r="C5389" s="24" t="s">
        <v>17018</v>
      </c>
      <c r="D5389" s="25" t="s">
        <v>17019</v>
      </c>
      <c r="E5389" s="28">
        <v>0.20000</v>
      </c>
      <c r="F5389" s="29">
        <f ca="1">ROUND(19.000,3)</f>
        <v>0</v>
      </c>
      <c r="G5389" s="27">
        <f ca="1">ROUND(E5389*F5389,2)</f>
        <v>0</v>
      </c>
    </row>
    <row r="5390" spans="1:7" ht="15.12" thickBot="1" customHeight="1">
      <c r="A5390" s="26"/>
      <c r="B5390" s="26"/>
      <c r="C5390" s="26"/>
      <c r="D5390" s="24" t="s">
        <v>17020</v>
      </c>
      <c r="E5390" s="28">
        <v>3.00000</v>
      </c>
      <c r="F5390" s="29">
        <f ca="1">ROUND((G5387+G5388+G5389),3)</f>
        <v>0</v>
      </c>
      <c r="G5390" s="27">
        <f ca="1">ROUND(E5390*F5390,2)</f>
        <v>0</v>
      </c>
    </row>
    <row r="5391" spans="1:7" ht="15.12" thickBot="1" customHeight="1">
      <c r="A5391" s="24" t="s">
        <v>17021</v>
      </c>
      <c r="B5391" s="24"/>
      <c r="C5391" s="24" t="s">
        <v>17022</v>
      </c>
      <c r="D5391" s="25" t="s">
        <v>17023</v>
      </c>
      <c r="E5391" s="28">
        <v>5.00000</v>
      </c>
      <c r="F5391" s="29">
        <f ca="1">ROUND(131.400,3)</f>
        <v>0</v>
      </c>
      <c r="G5391" s="27">
        <f ca="1">ROUND((E5391*F5391)/100,2)</f>
        <v>0</v>
      </c>
    </row>
    <row r="5392" spans="1:7" ht="25.08" thickBot="1" customHeight="1">
      <c r="A5392" s="30"/>
      <c r="B5392" s="30"/>
      <c r="C5392" s="30"/>
      <c r="D5392" s="31" t="s">
        <v>17024</v>
      </c>
      <c r="E5392" s="30"/>
      <c r="F5392" s="33">
        <f ca="1">ROUND((G5380+G5381+G5382+G5383+G5384+G5385+G5386+G5391)*(1+G2/100),2)</f>
        <v>0</v>
      </c>
      <c r="G5392" s="30"/>
    </row>
    <row r="5393" spans="1:7" ht="15.48" thickBot="1" customHeight="1">
      <c r="A5393" s="39"/>
      <c r="B5393" s="39"/>
      <c r="C5393" s="39"/>
      <c r="D5393" s="48" t="s">
        <v>17025</v>
      </c>
      <c r="E5393" s="49"/>
      <c r="F5393" s="49"/>
      <c r="G5393" s="49"/>
    </row>
    <row r="5394" spans="1:7" ht="15.48" thickBot="1" customHeight="1">
      <c r="A5394" s="39"/>
      <c r="B5394" s="39"/>
      <c r="C5394" s="39"/>
      <c r="D5394" s="40" t="s">
        <v>17026</v>
      </c>
      <c r="E5394" s="41"/>
      <c r="F5394" s="41"/>
      <c r="G5394" s="41"/>
    </row>
    <row r="5395" spans="1:7" ht="15.48" thickBot="1" customHeight="1">
      <c r="A5395" s="39"/>
      <c r="B5395" s="39"/>
      <c r="C5395" s="39"/>
      <c r="D5395" s="50" t="s">
        <v>17027</v>
      </c>
      <c r="E5395" s="51"/>
      <c r="F5395" s="51"/>
      <c r="G5395" s="51"/>
    </row>
    <row r="5396" spans="1:7" ht="21.36" thickBot="1" customHeight="1">
      <c r="A5396" s="34" t="s">
        <v>17028</v>
      </c>
      <c r="B5396" s="35" t="s">
        <v>17029</v>
      </c>
      <c r="C5396" s="35" t="s">
        <v>17030</v>
      </c>
      <c r="D5396" s="36" t="s">
        <v>17031</v>
      </c>
      <c r="E5396" s="37"/>
      <c r="F5396" s="38">
        <f ca="1">F5403</f>
        <v>0</v>
      </c>
      <c r="G5396" s="37"/>
    </row>
    <row r="5397" spans="1:7" ht="39.84" thickBot="1" customHeight="1">
      <c r="A5397" s="26"/>
      <c r="B5397" s="26"/>
      <c r="C5397" s="26"/>
      <c r="D5397" s="25" t="s">
        <v>17032</v>
      </c>
      <c r="E5397" s="25"/>
      <c r="F5397" s="25"/>
      <c r="G5397" s="25"/>
    </row>
    <row r="5398" spans="1:7" ht="21.36" thickBot="1" customHeight="1">
      <c r="A5398" s="24" t="s">
        <v>17033</v>
      </c>
      <c r="B5398" s="24" t="s">
        <v>17034</v>
      </c>
      <c r="C5398" s="24" t="s">
        <v>17035</v>
      </c>
      <c r="D5398" s="25" t="s">
        <v>17036</v>
      </c>
      <c r="E5398" s="28">
        <v>1.00000</v>
      </c>
      <c r="F5398" s="29">
        <f ca="1">ROUND(94.000,3)</f>
        <v>0</v>
      </c>
      <c r="G5398" s="27">
        <f ca="1">ROUND(E5398*F5398,2)</f>
        <v>0</v>
      </c>
    </row>
    <row r="5399" spans="1:7" ht="30.60" thickBot="1" customHeight="1">
      <c r="A5399" s="24" t="s">
        <v>17037</v>
      </c>
      <c r="B5399" s="24" t="s">
        <v>17038</v>
      </c>
      <c r="C5399" s="24" t="s">
        <v>17039</v>
      </c>
      <c r="D5399" s="25" t="s">
        <v>17040</v>
      </c>
      <c r="E5399" s="28">
        <v>1.00000</v>
      </c>
      <c r="F5399" s="29">
        <f ca="1">ROUND(2.000,3)</f>
        <v>0</v>
      </c>
      <c r="G5399" s="27">
        <f ca="1">ROUND(E5399*F5399,2)</f>
        <v>0</v>
      </c>
    </row>
    <row r="5400" spans="1:7" ht="30.60" thickBot="1" customHeight="1">
      <c r="A5400" s="24" t="s">
        <v>17041</v>
      </c>
      <c r="B5400" s="24" t="s">
        <v>17042</v>
      </c>
      <c r="C5400" s="24" t="s">
        <v>17043</v>
      </c>
      <c r="D5400" s="25" t="s">
        <v>17044</v>
      </c>
      <c r="E5400" s="28">
        <v>0.08000</v>
      </c>
      <c r="F5400" s="29">
        <f ca="1">ROUND(127.000,3)</f>
        <v>0</v>
      </c>
      <c r="G5400" s="27">
        <f ca="1">ROUND(E5400*F5400,2)</f>
        <v>0</v>
      </c>
    </row>
    <row r="5401" spans="1:7" ht="24.36" thickBot="1" customHeight="1">
      <c r="A5401" s="24" t="s">
        <v>17045</v>
      </c>
      <c r="B5401" s="24" t="s">
        <v>17046</v>
      </c>
      <c r="C5401" s="24" t="s">
        <v>17047</v>
      </c>
      <c r="D5401" s="25" t="s">
        <v>17048</v>
      </c>
      <c r="E5401" s="28">
        <v>0.40000</v>
      </c>
      <c r="F5401" s="29">
        <f ca="1">ROUND(49.500,3)</f>
        <v>0</v>
      </c>
      <c r="G5401" s="27">
        <f ca="1">ROUND(E5401*F5401,2)</f>
        <v>0</v>
      </c>
    </row>
    <row r="5402" spans="1:7" ht="21.36" thickBot="1" customHeight="1">
      <c r="A5402" s="24" t="s">
        <v>17049</v>
      </c>
      <c r="B5402" s="24" t="s">
        <v>17050</v>
      </c>
      <c r="C5402" s="24" t="s">
        <v>17051</v>
      </c>
      <c r="D5402" s="25" t="s">
        <v>17052</v>
      </c>
      <c r="E5402" s="28">
        <v>1.00000</v>
      </c>
      <c r="F5402" s="29">
        <f ca="1">ROUND(4.000,3)</f>
        <v>0</v>
      </c>
      <c r="G5402" s="27">
        <f ca="1">ROUND(E5402*F5402,2)</f>
        <v>0</v>
      </c>
    </row>
    <row r="5403" spans="1:7" ht="15.48" thickBot="1" customHeight="1">
      <c r="A5403" s="30"/>
      <c r="B5403" s="30"/>
      <c r="C5403" s="30"/>
      <c r="D5403" s="31" t="s">
        <v>17053</v>
      </c>
      <c r="E5403" s="30"/>
      <c r="F5403" s="33">
        <f ca="1">ROUND((G5398+G5399+G5400+G5401+G5402)*(1+G2/100),2)</f>
        <v>0</v>
      </c>
      <c r="G5403" s="30"/>
    </row>
    <row r="5404" spans="1:7" ht="15.48" thickBot="1" customHeight="1">
      <c r="A5404" s="52" t="s">
        <v>17054</v>
      </c>
      <c r="B5404" s="52" t="s">
        <v>17055</v>
      </c>
      <c r="C5404" s="53"/>
      <c r="D5404" s="54" t="s">
        <v>17056</v>
      </c>
      <c r="E5404" s="53"/>
      <c r="F5404" s="53"/>
      <c r="G5404" s="53"/>
    </row>
    <row r="5405" spans="1:7" ht="21.36" thickBot="1" customHeight="1">
      <c r="A5405" s="10" t="s">
        <v>17057</v>
      </c>
      <c r="B5405" s="24" t="s">
        <v>17058</v>
      </c>
      <c r="C5405" s="24" t="s">
        <v>17059</v>
      </c>
      <c r="D5405" s="25" t="s">
        <v>17060</v>
      </c>
      <c r="E5405" s="26"/>
      <c r="F5405" s="27">
        <f ca="1">F5426</f>
        <v>0</v>
      </c>
      <c r="G5405" s="26"/>
    </row>
    <row r="5406" spans="1:7" ht="49.08" thickBot="1" customHeight="1">
      <c r="A5406" s="26"/>
      <c r="B5406" s="26"/>
      <c r="C5406" s="26"/>
      <c r="D5406" s="25" t="s">
        <v>17061</v>
      </c>
      <c r="E5406" s="25"/>
      <c r="F5406" s="25"/>
      <c r="G5406" s="25"/>
    </row>
    <row r="5407" spans="1:7" ht="49.08" thickBot="1" customHeight="1">
      <c r="A5407" s="24" t="s">
        <v>17062</v>
      </c>
      <c r="B5407" s="24" t="s">
        <v>17063</v>
      </c>
      <c r="C5407" s="24" t="s">
        <v>17064</v>
      </c>
      <c r="D5407" s="25" t="s">
        <v>17065</v>
      </c>
      <c r="E5407" s="28">
        <v>0.10000</v>
      </c>
      <c r="F5407" s="29">
        <f ca="1">ROUND(52.890,3)</f>
        <v>0</v>
      </c>
      <c r="G5407" s="27">
        <f ca="1">ROUND(E5407*F5407,2)</f>
        <v>0</v>
      </c>
    </row>
    <row r="5408" spans="1:7" ht="39.84" thickBot="1" customHeight="1">
      <c r="A5408" s="24" t="s">
        <v>17066</v>
      </c>
      <c r="B5408" s="24" t="s">
        <v>17067</v>
      </c>
      <c r="C5408" s="24" t="s">
        <v>17068</v>
      </c>
      <c r="D5408" s="25" t="s">
        <v>17069</v>
      </c>
      <c r="E5408" s="28">
        <v>0.10000</v>
      </c>
      <c r="F5408" s="29">
        <f ca="1">ROUND(26.000,3)</f>
        <v>0</v>
      </c>
      <c r="G5408" s="27">
        <f ca="1">ROUND(E5408*F5408,2)</f>
        <v>0</v>
      </c>
    </row>
    <row r="5409" spans="1:7" ht="30.60" thickBot="1" customHeight="1">
      <c r="A5409" s="24" t="s">
        <v>17070</v>
      </c>
      <c r="B5409" s="24" t="s">
        <v>17071</v>
      </c>
      <c r="C5409" s="24" t="s">
        <v>17072</v>
      </c>
      <c r="D5409" s="25" t="s">
        <v>17073</v>
      </c>
      <c r="E5409" s="28">
        <v>0.10000</v>
      </c>
      <c r="F5409" s="29">
        <f ca="1">ROUND(6.140,3)</f>
        <v>0</v>
      </c>
      <c r="G5409" s="27">
        <f ca="1">ROUND(E5409*F5409,2)</f>
        <v>0</v>
      </c>
    </row>
    <row r="5410" spans="1:7" ht="39.84" thickBot="1" customHeight="1">
      <c r="A5410" s="24" t="s">
        <v>17074</v>
      </c>
      <c r="B5410" s="24" t="s">
        <v>17075</v>
      </c>
      <c r="C5410" s="24" t="s">
        <v>17076</v>
      </c>
      <c r="D5410" s="25" t="s">
        <v>17077</v>
      </c>
      <c r="E5410" s="28">
        <v>0.08450</v>
      </c>
      <c r="F5410" s="29">
        <f ca="1">ROUND(7.370,3)</f>
        <v>0</v>
      </c>
      <c r="G5410" s="27">
        <f ca="1">ROUND(E5410*F5410,2)</f>
        <v>0</v>
      </c>
    </row>
    <row r="5411" spans="1:7" ht="30.60" thickBot="1" customHeight="1">
      <c r="A5411" s="24" t="s">
        <v>17078</v>
      </c>
      <c r="B5411" s="24" t="s">
        <v>17079</v>
      </c>
      <c r="C5411" s="24" t="s">
        <v>17080</v>
      </c>
      <c r="D5411" s="25" t="s">
        <v>17081</v>
      </c>
      <c r="E5411" s="28">
        <v>0.25000</v>
      </c>
      <c r="F5411" s="29">
        <f ca="1">ROUND(7.930,3)</f>
        <v>0</v>
      </c>
      <c r="G5411" s="27">
        <f ca="1">ROUND(E5411*F5411,2)</f>
        <v>0</v>
      </c>
    </row>
    <row r="5412" spans="1:7" ht="39.84" thickBot="1" customHeight="1">
      <c r="A5412" s="24" t="s">
        <v>17082</v>
      </c>
      <c r="B5412" s="24" t="s">
        <v>17083</v>
      </c>
      <c r="C5412" s="24" t="s">
        <v>17084</v>
      </c>
      <c r="D5412" s="25" t="s">
        <v>17085</v>
      </c>
      <c r="E5412" s="28">
        <v>0.25000</v>
      </c>
      <c r="F5412" s="29">
        <f ca="1">ROUND(13.530,3)</f>
        <v>0</v>
      </c>
      <c r="G5412" s="27">
        <f ca="1">ROUND(E5412*F5412,2)</f>
        <v>0</v>
      </c>
    </row>
    <row r="5413" spans="1:7" ht="39.84" thickBot="1" customHeight="1">
      <c r="A5413" s="24" t="s">
        <v>17086</v>
      </c>
      <c r="B5413" s="24" t="s">
        <v>17087</v>
      </c>
      <c r="C5413" s="24" t="s">
        <v>17088</v>
      </c>
      <c r="D5413" s="25" t="s">
        <v>17089</v>
      </c>
      <c r="E5413" s="28">
        <v>0.01000</v>
      </c>
      <c r="F5413" s="29">
        <f ca="1">ROUND(7.650,3)</f>
        <v>0</v>
      </c>
      <c r="G5413" s="27">
        <f ca="1">ROUND(E5413*F5413,2)</f>
        <v>0</v>
      </c>
    </row>
    <row r="5414" spans="1:7" ht="24.36" thickBot="1" customHeight="1">
      <c r="A5414" s="24" t="s">
        <v>17090</v>
      </c>
      <c r="B5414" s="24" t="s">
        <v>17091</v>
      </c>
      <c r="C5414" s="24" t="s">
        <v>17092</v>
      </c>
      <c r="D5414" s="25" t="s">
        <v>17093</v>
      </c>
      <c r="E5414" s="28">
        <v>0.00200</v>
      </c>
      <c r="F5414" s="29">
        <f ca="1">ROUND(35.300,3)</f>
        <v>0</v>
      </c>
      <c r="G5414" s="27">
        <f ca="1">ROUND(E5414*F5414,2)</f>
        <v>0</v>
      </c>
    </row>
    <row r="5415" spans="1:7" ht="39.84" thickBot="1" customHeight="1">
      <c r="A5415" s="24" t="s">
        <v>17094</v>
      </c>
      <c r="B5415" s="24" t="s">
        <v>17095</v>
      </c>
      <c r="C5415" s="24" t="s">
        <v>17096</v>
      </c>
      <c r="D5415" s="25" t="s">
        <v>17097</v>
      </c>
      <c r="E5415" s="28">
        <v>0.20000</v>
      </c>
      <c r="F5415" s="29">
        <f ca="1">ROUND(2.860,3)</f>
        <v>0</v>
      </c>
      <c r="G5415" s="27">
        <f ca="1">ROUND(E5415*F5415,2)</f>
        <v>0</v>
      </c>
    </row>
    <row r="5416" spans="1:7" ht="39.84" thickBot="1" customHeight="1">
      <c r="A5416" s="24" t="s">
        <v>17098</v>
      </c>
      <c r="B5416" s="24" t="s">
        <v>17099</v>
      </c>
      <c r="C5416" s="24" t="s">
        <v>17100</v>
      </c>
      <c r="D5416" s="25" t="s">
        <v>17101</v>
      </c>
      <c r="E5416" s="28">
        <v>0.10000</v>
      </c>
      <c r="F5416" s="29">
        <f ca="1">ROUND(1.750,3)</f>
        <v>0</v>
      </c>
      <c r="G5416" s="27">
        <f ca="1">ROUND(E5416*F5416,2)</f>
        <v>0</v>
      </c>
    </row>
    <row r="5417" spans="1:7" ht="21.36" thickBot="1" customHeight="1">
      <c r="A5417" s="24" t="s">
        <v>17102</v>
      </c>
      <c r="B5417" s="24" t="s">
        <v>17103</v>
      </c>
      <c r="C5417" s="24" t="s">
        <v>17104</v>
      </c>
      <c r="D5417" s="25" t="s">
        <v>17105</v>
      </c>
      <c r="E5417" s="28">
        <v>0.20000</v>
      </c>
      <c r="F5417" s="29">
        <f ca="1">ROUND(2.000,3)</f>
        <v>0</v>
      </c>
      <c r="G5417" s="27">
        <f ca="1">ROUND(E5417*F5417,2)</f>
        <v>0</v>
      </c>
    </row>
    <row r="5418" spans="1:7" ht="30.60" thickBot="1" customHeight="1">
      <c r="A5418" s="24" t="s">
        <v>17106</v>
      </c>
      <c r="B5418" s="24" t="s">
        <v>17107</v>
      </c>
      <c r="C5418" s="24" t="s">
        <v>17108</v>
      </c>
      <c r="D5418" s="25" t="s">
        <v>17109</v>
      </c>
      <c r="E5418" s="28">
        <v>0.10000</v>
      </c>
      <c r="F5418" s="29">
        <f ca="1">ROUND(4.920,3)</f>
        <v>0</v>
      </c>
      <c r="G5418" s="27">
        <f ca="1">ROUND(E5418*F5418,2)</f>
        <v>0</v>
      </c>
    </row>
    <row r="5419" spans="1:7" ht="21.36" thickBot="1" customHeight="1">
      <c r="A5419" s="24" t="s">
        <v>17110</v>
      </c>
      <c r="B5419" s="24" t="s">
        <v>17111</v>
      </c>
      <c r="C5419" s="24" t="s">
        <v>17112</v>
      </c>
      <c r="D5419" s="25" t="s">
        <v>17113</v>
      </c>
      <c r="E5419" s="28">
        <v>0.10000</v>
      </c>
      <c r="F5419" s="29">
        <f ca="1">ROUND(5.520,3)</f>
        <v>0</v>
      </c>
      <c r="G5419" s="27">
        <f ca="1">ROUND(E5419*F5419,2)</f>
        <v>0</v>
      </c>
    </row>
    <row r="5420" spans="1:7" ht="21.36" thickBot="1" customHeight="1">
      <c r="A5420" s="24" t="s">
        <v>17114</v>
      </c>
      <c r="B5420" s="24" t="s">
        <v>17115</v>
      </c>
      <c r="C5420" s="24" t="s">
        <v>17116</v>
      </c>
      <c r="D5420" s="25" t="s">
        <v>17117</v>
      </c>
      <c r="E5420" s="28">
        <v>0.70000</v>
      </c>
      <c r="F5420" s="29">
        <f ca="1">F5424</f>
        <v>0</v>
      </c>
      <c r="G5420" s="27">
        <f ca="1">ROUND(E5420*F5420,2)</f>
        <v>0</v>
      </c>
    </row>
    <row r="5421" spans="1:7" ht="24.36" thickBot="1" customHeight="1">
      <c r="A5421" s="24" t="s">
        <v>17118</v>
      </c>
      <c r="B5421" s="24" t="s">
        <v>17119</v>
      </c>
      <c r="C5421" s="24" t="s">
        <v>17120</v>
      </c>
      <c r="D5421" s="25" t="s">
        <v>17121</v>
      </c>
      <c r="E5421" s="28">
        <v>1.00000</v>
      </c>
      <c r="F5421" s="29">
        <f ca="1">ROUND(21.000,3)</f>
        <v>0</v>
      </c>
      <c r="G5421" s="27">
        <f ca="1">ROUND(E5421*F5421,2)</f>
        <v>0</v>
      </c>
    </row>
    <row r="5422" spans="1:7" ht="24.36" thickBot="1" customHeight="1">
      <c r="A5422" s="24" t="s">
        <v>17122</v>
      </c>
      <c r="B5422" s="24" t="s">
        <v>17123</v>
      </c>
      <c r="C5422" s="24" t="s">
        <v>17124</v>
      </c>
      <c r="D5422" s="25" t="s">
        <v>17125</v>
      </c>
      <c r="E5422" s="28">
        <v>1.00000</v>
      </c>
      <c r="F5422" s="29">
        <f ca="1">ROUND(19.000,3)</f>
        <v>0</v>
      </c>
      <c r="G5422" s="27">
        <f ca="1">ROUND(E5422*F5422,2)</f>
        <v>0</v>
      </c>
    </row>
    <row r="5423" spans="1:7" ht="24.36" thickBot="1" customHeight="1">
      <c r="A5423" s="24" t="s">
        <v>17126</v>
      </c>
      <c r="B5423" s="24" t="s">
        <v>17127</v>
      </c>
      <c r="C5423" s="24" t="s">
        <v>17128</v>
      </c>
      <c r="D5423" s="25" t="s">
        <v>17129</v>
      </c>
      <c r="E5423" s="28">
        <v>0.20000</v>
      </c>
      <c r="F5423" s="29">
        <f ca="1">ROUND(19.000,3)</f>
        <v>0</v>
      </c>
      <c r="G5423" s="27">
        <f ca="1">ROUND(E5423*F5423,2)</f>
        <v>0</v>
      </c>
    </row>
    <row r="5424" spans="1:7" ht="15.12" thickBot="1" customHeight="1">
      <c r="A5424" s="26"/>
      <c r="B5424" s="26"/>
      <c r="C5424" s="26"/>
      <c r="D5424" s="24" t="s">
        <v>17130</v>
      </c>
      <c r="E5424" s="28">
        <v>0.70000</v>
      </c>
      <c r="F5424" s="29">
        <f ca="1">ROUND((G5421+G5422+G5423),3)</f>
        <v>0</v>
      </c>
      <c r="G5424" s="27">
        <f ca="1">ROUND(E5424*F5424,2)</f>
        <v>0</v>
      </c>
    </row>
    <row r="5425" spans="1:7" ht="15.12" thickBot="1" customHeight="1">
      <c r="A5425" s="24" t="s">
        <v>17131</v>
      </c>
      <c r="B5425" s="24"/>
      <c r="C5425" s="24" t="s">
        <v>17132</v>
      </c>
      <c r="D5425" s="25" t="s">
        <v>17133</v>
      </c>
      <c r="E5425" s="28">
        <v>3.00000</v>
      </c>
      <c r="F5425" s="29">
        <f ca="1">ROUND(30.660,3)</f>
        <v>0</v>
      </c>
      <c r="G5425" s="27">
        <f ca="1">ROUND((E5425*F5425)/100,2)</f>
        <v>0</v>
      </c>
    </row>
    <row r="5426" spans="1:7" ht="15.48" thickBot="1" customHeight="1">
      <c r="A5426" s="30"/>
      <c r="B5426" s="30"/>
      <c r="C5426" s="30"/>
      <c r="D5426" s="31" t="s">
        <v>17134</v>
      </c>
      <c r="E5426" s="30"/>
      <c r="F5426" s="33">
        <f ca="1">ROUND((G5407+G5408+G5409+G5410+G5411+G5412+G5413+G5414+G5415+G5416+G5417+G5418+G5419+G5420+G5425)*(1+G2/100),2)</f>
        <v>0</v>
      </c>
      <c r="G5426" s="30"/>
    </row>
    <row r="5427" spans="1:7" ht="30.60" thickBot="1" customHeight="1">
      <c r="A5427" s="34" t="s">
        <v>17135</v>
      </c>
      <c r="B5427" s="35" t="s">
        <v>17136</v>
      </c>
      <c r="C5427" s="35" t="s">
        <v>17137</v>
      </c>
      <c r="D5427" s="36" t="s">
        <v>17138</v>
      </c>
      <c r="E5427" s="37"/>
      <c r="F5427" s="38">
        <f ca="1">F5448</f>
        <v>0</v>
      </c>
      <c r="G5427" s="37"/>
    </row>
    <row r="5428" spans="1:7" ht="12.12" thickBot="1" customHeight="1">
      <c r="A5428" s="26"/>
      <c r="B5428" s="26"/>
      <c r="C5428" s="26"/>
      <c r="D5428" s="25" t="s">
        <v>17139</v>
      </c>
      <c r="E5428" s="25"/>
      <c r="F5428" s="25"/>
      <c r="G5428" s="25"/>
    </row>
    <row r="5429" spans="1:7" ht="49.08" thickBot="1" customHeight="1">
      <c r="A5429" s="24" t="s">
        <v>17140</v>
      </c>
      <c r="B5429" s="24" t="s">
        <v>17141</v>
      </c>
      <c r="C5429" s="24" t="s">
        <v>17142</v>
      </c>
      <c r="D5429" s="25" t="s">
        <v>17143</v>
      </c>
      <c r="E5429" s="28">
        <v>0.10000</v>
      </c>
      <c r="F5429" s="29">
        <f ca="1">ROUND(52.890,3)</f>
        <v>0</v>
      </c>
      <c r="G5429" s="27">
        <f ca="1">ROUND(E5429*F5429,2)</f>
        <v>0</v>
      </c>
    </row>
    <row r="5430" spans="1:7" ht="39.84" thickBot="1" customHeight="1">
      <c r="A5430" s="24" t="s">
        <v>17144</v>
      </c>
      <c r="B5430" s="24" t="s">
        <v>17145</v>
      </c>
      <c r="C5430" s="24" t="s">
        <v>17146</v>
      </c>
      <c r="D5430" s="25" t="s">
        <v>17147</v>
      </c>
      <c r="E5430" s="28">
        <v>0.10000</v>
      </c>
      <c r="F5430" s="29">
        <f ca="1">ROUND(26.000,3)</f>
        <v>0</v>
      </c>
      <c r="G5430" s="27">
        <f ca="1">ROUND(E5430*F5430,2)</f>
        <v>0</v>
      </c>
    </row>
    <row r="5431" spans="1:7" ht="30.60" thickBot="1" customHeight="1">
      <c r="A5431" s="24" t="s">
        <v>17148</v>
      </c>
      <c r="B5431" s="24" t="s">
        <v>17149</v>
      </c>
      <c r="C5431" s="24" t="s">
        <v>17150</v>
      </c>
      <c r="D5431" s="25" t="s">
        <v>17151</v>
      </c>
      <c r="E5431" s="28">
        <v>0.10000</v>
      </c>
      <c r="F5431" s="29">
        <f ca="1">ROUND(6.140,3)</f>
        <v>0</v>
      </c>
      <c r="G5431" s="27">
        <f ca="1">ROUND(E5431*F5431,2)</f>
        <v>0</v>
      </c>
    </row>
    <row r="5432" spans="1:7" ht="39.84" thickBot="1" customHeight="1">
      <c r="A5432" s="24" t="s">
        <v>17152</v>
      </c>
      <c r="B5432" s="24" t="s">
        <v>17153</v>
      </c>
      <c r="C5432" s="24" t="s">
        <v>17154</v>
      </c>
      <c r="D5432" s="25" t="s">
        <v>17155</v>
      </c>
      <c r="E5432" s="28">
        <v>0.08450</v>
      </c>
      <c r="F5432" s="29">
        <f ca="1">ROUND(7.370,3)</f>
        <v>0</v>
      </c>
      <c r="G5432" s="27">
        <f ca="1">ROUND(E5432*F5432,2)</f>
        <v>0</v>
      </c>
    </row>
    <row r="5433" spans="1:7" ht="30.60" thickBot="1" customHeight="1">
      <c r="A5433" s="24" t="s">
        <v>17156</v>
      </c>
      <c r="B5433" s="24" t="s">
        <v>17157</v>
      </c>
      <c r="C5433" s="24" t="s">
        <v>17158</v>
      </c>
      <c r="D5433" s="25" t="s">
        <v>17159</v>
      </c>
      <c r="E5433" s="28">
        <v>0.25000</v>
      </c>
      <c r="F5433" s="29">
        <f ca="1">ROUND(7.930,3)</f>
        <v>0</v>
      </c>
      <c r="G5433" s="27">
        <f ca="1">ROUND(E5433*F5433,2)</f>
        <v>0</v>
      </c>
    </row>
    <row r="5434" spans="1:7" ht="39.84" thickBot="1" customHeight="1">
      <c r="A5434" s="24" t="s">
        <v>17160</v>
      </c>
      <c r="B5434" s="24" t="s">
        <v>17161</v>
      </c>
      <c r="C5434" s="24" t="s">
        <v>17162</v>
      </c>
      <c r="D5434" s="25" t="s">
        <v>17163</v>
      </c>
      <c r="E5434" s="28">
        <v>0.25000</v>
      </c>
      <c r="F5434" s="29">
        <f ca="1">ROUND(13.530,3)</f>
        <v>0</v>
      </c>
      <c r="G5434" s="27">
        <f ca="1">ROUND(E5434*F5434,2)</f>
        <v>0</v>
      </c>
    </row>
    <row r="5435" spans="1:7" ht="39.84" thickBot="1" customHeight="1">
      <c r="A5435" s="24" t="s">
        <v>17164</v>
      </c>
      <c r="B5435" s="24" t="s">
        <v>17165</v>
      </c>
      <c r="C5435" s="24" t="s">
        <v>17166</v>
      </c>
      <c r="D5435" s="25" t="s">
        <v>17167</v>
      </c>
      <c r="E5435" s="28">
        <v>0.01000</v>
      </c>
      <c r="F5435" s="29">
        <f ca="1">ROUND(7.650,3)</f>
        <v>0</v>
      </c>
      <c r="G5435" s="27">
        <f ca="1">ROUND(E5435*F5435,2)</f>
        <v>0</v>
      </c>
    </row>
    <row r="5436" spans="1:7" ht="24.36" thickBot="1" customHeight="1">
      <c r="A5436" s="24" t="s">
        <v>17168</v>
      </c>
      <c r="B5436" s="24" t="s">
        <v>17169</v>
      </c>
      <c r="C5436" s="24" t="s">
        <v>17170</v>
      </c>
      <c r="D5436" s="25" t="s">
        <v>17171</v>
      </c>
      <c r="E5436" s="28">
        <v>0.00200</v>
      </c>
      <c r="F5436" s="29">
        <f ca="1">ROUND(35.300,3)</f>
        <v>0</v>
      </c>
      <c r="G5436" s="27">
        <f ca="1">ROUND(E5436*F5436,2)</f>
        <v>0</v>
      </c>
    </row>
    <row r="5437" spans="1:7" ht="39.84" thickBot="1" customHeight="1">
      <c r="A5437" s="24" t="s">
        <v>17172</v>
      </c>
      <c r="B5437" s="24" t="s">
        <v>17173</v>
      </c>
      <c r="C5437" s="24" t="s">
        <v>17174</v>
      </c>
      <c r="D5437" s="25" t="s">
        <v>17175</v>
      </c>
      <c r="E5437" s="28">
        <v>0.20000</v>
      </c>
      <c r="F5437" s="29">
        <f ca="1">ROUND(2.860,3)</f>
        <v>0</v>
      </c>
      <c r="G5437" s="27">
        <f ca="1">ROUND(E5437*F5437,2)</f>
        <v>0</v>
      </c>
    </row>
    <row r="5438" spans="1:7" ht="39.84" thickBot="1" customHeight="1">
      <c r="A5438" s="24" t="s">
        <v>17176</v>
      </c>
      <c r="B5438" s="24" t="s">
        <v>17177</v>
      </c>
      <c r="C5438" s="24" t="s">
        <v>17178</v>
      </c>
      <c r="D5438" s="25" t="s">
        <v>17179</v>
      </c>
      <c r="E5438" s="28">
        <v>0.10000</v>
      </c>
      <c r="F5438" s="29">
        <f ca="1">ROUND(1.750,3)</f>
        <v>0</v>
      </c>
      <c r="G5438" s="27">
        <f ca="1">ROUND(E5438*F5438,2)</f>
        <v>0</v>
      </c>
    </row>
    <row r="5439" spans="1:7" ht="21.36" thickBot="1" customHeight="1">
      <c r="A5439" s="24" t="s">
        <v>17180</v>
      </c>
      <c r="B5439" s="24" t="s">
        <v>17181</v>
      </c>
      <c r="C5439" s="24" t="s">
        <v>17182</v>
      </c>
      <c r="D5439" s="25" t="s">
        <v>17183</v>
      </c>
      <c r="E5439" s="28">
        <v>0.20000</v>
      </c>
      <c r="F5439" s="29">
        <f ca="1">ROUND(2.000,3)</f>
        <v>0</v>
      </c>
      <c r="G5439" s="27">
        <f ca="1">ROUND(E5439*F5439,2)</f>
        <v>0</v>
      </c>
    </row>
    <row r="5440" spans="1:7" ht="30.60" thickBot="1" customHeight="1">
      <c r="A5440" s="24" t="s">
        <v>17184</v>
      </c>
      <c r="B5440" s="24" t="s">
        <v>17185</v>
      </c>
      <c r="C5440" s="24" t="s">
        <v>17186</v>
      </c>
      <c r="D5440" s="25" t="s">
        <v>17187</v>
      </c>
      <c r="E5440" s="28">
        <v>0.10000</v>
      </c>
      <c r="F5440" s="29">
        <f ca="1">ROUND(4.920,3)</f>
        <v>0</v>
      </c>
      <c r="G5440" s="27">
        <f ca="1">ROUND(E5440*F5440,2)</f>
        <v>0</v>
      </c>
    </row>
    <row r="5441" spans="1:7" ht="21.36" thickBot="1" customHeight="1">
      <c r="A5441" s="24" t="s">
        <v>17188</v>
      </c>
      <c r="B5441" s="24" t="s">
        <v>17189</v>
      </c>
      <c r="C5441" s="24" t="s">
        <v>17190</v>
      </c>
      <c r="D5441" s="25" t="s">
        <v>17191</v>
      </c>
      <c r="E5441" s="28">
        <v>0.10000</v>
      </c>
      <c r="F5441" s="29">
        <f ca="1">ROUND(5.520,3)</f>
        <v>0</v>
      </c>
      <c r="G5441" s="27">
        <f ca="1">ROUND(E5441*F5441,2)</f>
        <v>0</v>
      </c>
    </row>
    <row r="5442" spans="1:7" ht="24.36" thickBot="1" customHeight="1">
      <c r="A5442" s="24" t="s">
        <v>17192</v>
      </c>
      <c r="B5442" s="24" t="s">
        <v>17193</v>
      </c>
      <c r="C5442" s="24" t="s">
        <v>17194</v>
      </c>
      <c r="D5442" s="25" t="s">
        <v>17195</v>
      </c>
      <c r="E5442" s="28">
        <v>1.05000</v>
      </c>
      <c r="F5442" s="29">
        <f ca="1">F5446</f>
        <v>0</v>
      </c>
      <c r="G5442" s="27">
        <f ca="1">ROUND(E5442*F5442,2)</f>
        <v>0</v>
      </c>
    </row>
    <row r="5443" spans="1:7" ht="24.36" thickBot="1" customHeight="1">
      <c r="A5443" s="24" t="s">
        <v>17196</v>
      </c>
      <c r="B5443" s="24" t="s">
        <v>17197</v>
      </c>
      <c r="C5443" s="24" t="s">
        <v>17198</v>
      </c>
      <c r="D5443" s="25" t="s">
        <v>17199</v>
      </c>
      <c r="E5443" s="28">
        <v>1.00000</v>
      </c>
      <c r="F5443" s="29">
        <f ca="1">ROUND(21.000,3)</f>
        <v>0</v>
      </c>
      <c r="G5443" s="27">
        <f ca="1">ROUND(E5443*F5443,2)</f>
        <v>0</v>
      </c>
    </row>
    <row r="5444" spans="1:7" ht="24.36" thickBot="1" customHeight="1">
      <c r="A5444" s="24" t="s">
        <v>17200</v>
      </c>
      <c r="B5444" s="24" t="s">
        <v>17201</v>
      </c>
      <c r="C5444" s="24" t="s">
        <v>17202</v>
      </c>
      <c r="D5444" s="25" t="s">
        <v>17203</v>
      </c>
      <c r="E5444" s="28">
        <v>1.00000</v>
      </c>
      <c r="F5444" s="29">
        <f ca="1">ROUND(19.000,3)</f>
        <v>0</v>
      </c>
      <c r="G5444" s="27">
        <f ca="1">ROUND(E5444*F5444,2)</f>
        <v>0</v>
      </c>
    </row>
    <row r="5445" spans="1:7" ht="24.36" thickBot="1" customHeight="1">
      <c r="A5445" s="24" t="s">
        <v>17204</v>
      </c>
      <c r="B5445" s="24" t="s">
        <v>17205</v>
      </c>
      <c r="C5445" s="24" t="s">
        <v>17206</v>
      </c>
      <c r="D5445" s="25" t="s">
        <v>17207</v>
      </c>
      <c r="E5445" s="28">
        <v>0.50000</v>
      </c>
      <c r="F5445" s="29">
        <f ca="1">ROUND(19.000,3)</f>
        <v>0</v>
      </c>
      <c r="G5445" s="27">
        <f ca="1">ROUND(E5445*F5445,2)</f>
        <v>0</v>
      </c>
    </row>
    <row r="5446" spans="1:7" ht="15.12" thickBot="1" customHeight="1">
      <c r="A5446" s="26"/>
      <c r="B5446" s="26"/>
      <c r="C5446" s="26"/>
      <c r="D5446" s="24" t="s">
        <v>17208</v>
      </c>
      <c r="E5446" s="28">
        <v>1.05000</v>
      </c>
      <c r="F5446" s="29">
        <f ca="1">ROUND((G5443+G5444+G5445),3)</f>
        <v>0</v>
      </c>
      <c r="G5446" s="27">
        <f ca="1">ROUND(E5446*F5446,2)</f>
        <v>0</v>
      </c>
    </row>
    <row r="5447" spans="1:7" ht="15.12" thickBot="1" customHeight="1">
      <c r="A5447" s="24" t="s">
        <v>17209</v>
      </c>
      <c r="B5447" s="24"/>
      <c r="C5447" s="24" t="s">
        <v>17210</v>
      </c>
      <c r="D5447" s="25" t="s">
        <v>17211</v>
      </c>
      <c r="E5447" s="28">
        <v>3.00000</v>
      </c>
      <c r="F5447" s="29">
        <f ca="1">ROUND(51.980,3)</f>
        <v>0</v>
      </c>
      <c r="G5447" s="27">
        <f ca="1">ROUND((E5447*F5447)/100,2)</f>
        <v>0</v>
      </c>
    </row>
    <row r="5448" spans="1:7" ht="15.48" thickBot="1" customHeight="1">
      <c r="A5448" s="30"/>
      <c r="B5448" s="30"/>
      <c r="C5448" s="30"/>
      <c r="D5448" s="31" t="s">
        <v>17212</v>
      </c>
      <c r="E5448" s="30"/>
      <c r="F5448" s="33">
        <f ca="1">ROUND((G5429+G5430+G5431+G5432+G5433+G5434+G5435+G5436+G5437+G5438+G5439+G5440+G5441+G5442+G5447)*(1+G2/100),2)</f>
        <v>0</v>
      </c>
      <c r="G5448" s="30"/>
    </row>
    <row r="5449" spans="1:7" ht="39.84" thickBot="1" customHeight="1">
      <c r="A5449" s="34" t="s">
        <v>17213</v>
      </c>
      <c r="B5449" s="35" t="s">
        <v>17214</v>
      </c>
      <c r="C5449" s="35" t="s">
        <v>17215</v>
      </c>
      <c r="D5449" s="36" t="s">
        <v>17216</v>
      </c>
      <c r="E5449" s="37"/>
      <c r="F5449" s="38">
        <f ca="1">F5460</f>
        <v>0</v>
      </c>
      <c r="G5449" s="37"/>
    </row>
    <row r="5450" spans="1:7" ht="67.56" thickBot="1" customHeight="1">
      <c r="A5450" s="26"/>
      <c r="B5450" s="26"/>
      <c r="C5450" s="26"/>
      <c r="D5450" s="25" t="s">
        <v>17217</v>
      </c>
      <c r="E5450" s="25"/>
      <c r="F5450" s="25"/>
      <c r="G5450" s="25"/>
    </row>
    <row r="5451" spans="1:7" ht="24.36" thickBot="1" customHeight="1">
      <c r="A5451" s="24" t="s">
        <v>17218</v>
      </c>
      <c r="B5451" s="24" t="s">
        <v>17219</v>
      </c>
      <c r="C5451" s="24" t="s">
        <v>17220</v>
      </c>
      <c r="D5451" s="25" t="s">
        <v>17221</v>
      </c>
      <c r="E5451" s="28">
        <v>0.06300</v>
      </c>
      <c r="F5451" s="29">
        <f ca="1">ROUND(29.060,3)</f>
        <v>0</v>
      </c>
      <c r="G5451" s="27">
        <f ca="1">ROUND(E5451*F5451,2)</f>
        <v>0</v>
      </c>
    </row>
    <row r="5452" spans="1:7" ht="30.60" thickBot="1" customHeight="1">
      <c r="A5452" s="24" t="s">
        <v>17222</v>
      </c>
      <c r="B5452" s="24" t="s">
        <v>17223</v>
      </c>
      <c r="C5452" s="24" t="s">
        <v>17224</v>
      </c>
      <c r="D5452" s="25" t="s">
        <v>17225</v>
      </c>
      <c r="E5452" s="28">
        <v>0.20000</v>
      </c>
      <c r="F5452" s="29">
        <f ca="1">ROUND(29.840,3)</f>
        <v>0</v>
      </c>
      <c r="G5452" s="27">
        <f ca="1">ROUND(E5452*F5452,2)</f>
        <v>0</v>
      </c>
    </row>
    <row r="5453" spans="1:7" ht="30.60" thickBot="1" customHeight="1">
      <c r="A5453" s="24" t="s">
        <v>17226</v>
      </c>
      <c r="B5453" s="24" t="s">
        <v>17227</v>
      </c>
      <c r="C5453" s="24" t="s">
        <v>17228</v>
      </c>
      <c r="D5453" s="25" t="s">
        <v>17229</v>
      </c>
      <c r="E5453" s="28">
        <v>0.01100</v>
      </c>
      <c r="F5453" s="29">
        <f ca="1">ROUND(27.500,3)</f>
        <v>0</v>
      </c>
      <c r="G5453" s="27">
        <f ca="1">ROUND(E5453*F5453,2)</f>
        <v>0</v>
      </c>
    </row>
    <row r="5454" spans="1:7" ht="21.36" thickBot="1" customHeight="1">
      <c r="A5454" s="24" t="s">
        <v>17230</v>
      </c>
      <c r="B5454" s="24" t="s">
        <v>17231</v>
      </c>
      <c r="C5454" s="24" t="s">
        <v>17232</v>
      </c>
      <c r="D5454" s="25" t="s">
        <v>17233</v>
      </c>
      <c r="E5454" s="28">
        <v>0.50000</v>
      </c>
      <c r="F5454" s="29">
        <f ca="1">F5458</f>
        <v>0</v>
      </c>
      <c r="G5454" s="27">
        <f ca="1">ROUND(E5454*F5454,2)</f>
        <v>0</v>
      </c>
    </row>
    <row r="5455" spans="1:7" ht="24.36" thickBot="1" customHeight="1">
      <c r="A5455" s="24" t="s">
        <v>17234</v>
      </c>
      <c r="B5455" s="24" t="s">
        <v>17235</v>
      </c>
      <c r="C5455" s="24" t="s">
        <v>17236</v>
      </c>
      <c r="D5455" s="25" t="s">
        <v>17237</v>
      </c>
      <c r="E5455" s="28">
        <v>1.00000</v>
      </c>
      <c r="F5455" s="29">
        <f ca="1">ROUND(21.000,3)</f>
        <v>0</v>
      </c>
      <c r="G5455" s="27">
        <f ca="1">ROUND(E5455*F5455,2)</f>
        <v>0</v>
      </c>
    </row>
    <row r="5456" spans="1:7" ht="24.36" thickBot="1" customHeight="1">
      <c r="A5456" s="24" t="s">
        <v>17238</v>
      </c>
      <c r="B5456" s="24" t="s">
        <v>17239</v>
      </c>
      <c r="C5456" s="24" t="s">
        <v>17240</v>
      </c>
      <c r="D5456" s="25" t="s">
        <v>17241</v>
      </c>
      <c r="E5456" s="28">
        <v>1.00000</v>
      </c>
      <c r="F5456" s="29">
        <f ca="1">ROUND(19.000,3)</f>
        <v>0</v>
      </c>
      <c r="G5456" s="27">
        <f ca="1">ROUND(E5456*F5456,2)</f>
        <v>0</v>
      </c>
    </row>
    <row r="5457" spans="1:7" ht="24.36" thickBot="1" customHeight="1">
      <c r="A5457" s="24" t="s">
        <v>17242</v>
      </c>
      <c r="B5457" s="24" t="s">
        <v>17243</v>
      </c>
      <c r="C5457" s="24" t="s">
        <v>17244</v>
      </c>
      <c r="D5457" s="25" t="s">
        <v>17245</v>
      </c>
      <c r="E5457" s="28">
        <v>0.20000</v>
      </c>
      <c r="F5457" s="29">
        <f ca="1">ROUND(19.000,3)</f>
        <v>0</v>
      </c>
      <c r="G5457" s="27">
        <f ca="1">ROUND(E5457*F5457,2)</f>
        <v>0</v>
      </c>
    </row>
    <row r="5458" spans="1:7" ht="15.12" thickBot="1" customHeight="1">
      <c r="A5458" s="26"/>
      <c r="B5458" s="26"/>
      <c r="C5458" s="26"/>
      <c r="D5458" s="24" t="s">
        <v>17246</v>
      </c>
      <c r="E5458" s="28">
        <v>0.50000</v>
      </c>
      <c r="F5458" s="29">
        <f ca="1">ROUND((G5455+G5456+G5457),3)</f>
        <v>0</v>
      </c>
      <c r="G5458" s="27">
        <f ca="1">ROUND(E5458*F5458,2)</f>
        <v>0</v>
      </c>
    </row>
    <row r="5459" spans="1:7" ht="15.12" thickBot="1" customHeight="1">
      <c r="A5459" s="24" t="s">
        <v>17247</v>
      </c>
      <c r="B5459" s="24"/>
      <c r="C5459" s="24" t="s">
        <v>17248</v>
      </c>
      <c r="D5459" s="25" t="s">
        <v>17249</v>
      </c>
      <c r="E5459" s="28">
        <v>3.00000</v>
      </c>
      <c r="F5459" s="29">
        <f ca="1">ROUND(21.900,3)</f>
        <v>0</v>
      </c>
      <c r="G5459" s="27">
        <f ca="1">ROUND((E5459*F5459)/100,2)</f>
        <v>0</v>
      </c>
    </row>
    <row r="5460" spans="1:7" ht="15.48" thickBot="1" customHeight="1">
      <c r="A5460" s="30"/>
      <c r="B5460" s="30"/>
      <c r="C5460" s="30"/>
      <c r="D5460" s="31" t="s">
        <v>17250</v>
      </c>
      <c r="E5460" s="30"/>
      <c r="F5460" s="33">
        <f ca="1">ROUND((G5451+G5452+G5453+G5454+G5459)*(1+G2/100),2)</f>
        <v>0</v>
      </c>
      <c r="G5460" s="30"/>
    </row>
    <row r="5461" spans="1:7" ht="39.84" thickBot="1" customHeight="1">
      <c r="A5461" s="34" t="s">
        <v>17251</v>
      </c>
      <c r="B5461" s="35" t="s">
        <v>17252</v>
      </c>
      <c r="C5461" s="35" t="s">
        <v>17253</v>
      </c>
      <c r="D5461" s="36" t="s">
        <v>17254</v>
      </c>
      <c r="E5461" s="37"/>
      <c r="F5461" s="38">
        <f ca="1">F5472</f>
        <v>0</v>
      </c>
      <c r="G5461" s="37"/>
    </row>
    <row r="5462" spans="1:7" ht="12.12" thickBot="1" customHeight="1">
      <c r="A5462" s="26"/>
      <c r="B5462" s="26"/>
      <c r="C5462" s="26"/>
      <c r="D5462" s="25" t="s">
        <v>17255</v>
      </c>
      <c r="E5462" s="25"/>
      <c r="F5462" s="25"/>
      <c r="G5462" s="25"/>
    </row>
    <row r="5463" spans="1:7" ht="24.36" thickBot="1" customHeight="1">
      <c r="A5463" s="24" t="s">
        <v>17256</v>
      </c>
      <c r="B5463" s="24" t="s">
        <v>17257</v>
      </c>
      <c r="C5463" s="24" t="s">
        <v>17258</v>
      </c>
      <c r="D5463" s="25" t="s">
        <v>17259</v>
      </c>
      <c r="E5463" s="28">
        <v>0.06300</v>
      </c>
      <c r="F5463" s="29">
        <f ca="1">ROUND(29.060,3)</f>
        <v>0</v>
      </c>
      <c r="G5463" s="27">
        <f ca="1">ROUND(E5463*F5463,2)</f>
        <v>0</v>
      </c>
    </row>
    <row r="5464" spans="1:7" ht="30.60" thickBot="1" customHeight="1">
      <c r="A5464" s="24" t="s">
        <v>17260</v>
      </c>
      <c r="B5464" s="24" t="s">
        <v>17261</v>
      </c>
      <c r="C5464" s="24" t="s">
        <v>17262</v>
      </c>
      <c r="D5464" s="25" t="s">
        <v>17263</v>
      </c>
      <c r="E5464" s="28">
        <v>0.20000</v>
      </c>
      <c r="F5464" s="29">
        <f ca="1">ROUND(29.840,3)</f>
        <v>0</v>
      </c>
      <c r="G5464" s="27">
        <f ca="1">ROUND(E5464*F5464,2)</f>
        <v>0</v>
      </c>
    </row>
    <row r="5465" spans="1:7" ht="30.60" thickBot="1" customHeight="1">
      <c r="A5465" s="24" t="s">
        <v>17264</v>
      </c>
      <c r="B5465" s="24" t="s">
        <v>17265</v>
      </c>
      <c r="C5465" s="24" t="s">
        <v>17266</v>
      </c>
      <c r="D5465" s="25" t="s">
        <v>17267</v>
      </c>
      <c r="E5465" s="28">
        <v>0.01100</v>
      </c>
      <c r="F5465" s="29">
        <f ca="1">ROUND(27.500,3)</f>
        <v>0</v>
      </c>
      <c r="G5465" s="27">
        <f ca="1">ROUND(E5465*F5465,2)</f>
        <v>0</v>
      </c>
    </row>
    <row r="5466" spans="1:7" ht="24.36" thickBot="1" customHeight="1">
      <c r="A5466" s="24" t="s">
        <v>17268</v>
      </c>
      <c r="B5466" s="24" t="s">
        <v>17269</v>
      </c>
      <c r="C5466" s="24" t="s">
        <v>17270</v>
      </c>
      <c r="D5466" s="25" t="s">
        <v>17271</v>
      </c>
      <c r="E5466" s="28">
        <v>0.75000</v>
      </c>
      <c r="F5466" s="29">
        <f ca="1">F5470</f>
        <v>0</v>
      </c>
      <c r="G5466" s="27">
        <f ca="1">ROUND(E5466*F5466,2)</f>
        <v>0</v>
      </c>
    </row>
    <row r="5467" spans="1:7" ht="24.36" thickBot="1" customHeight="1">
      <c r="A5467" s="24" t="s">
        <v>17272</v>
      </c>
      <c r="B5467" s="24" t="s">
        <v>17273</v>
      </c>
      <c r="C5467" s="24" t="s">
        <v>17274</v>
      </c>
      <c r="D5467" s="25" t="s">
        <v>17275</v>
      </c>
      <c r="E5467" s="28">
        <v>1.00000</v>
      </c>
      <c r="F5467" s="29">
        <f ca="1">ROUND(21.000,3)</f>
        <v>0</v>
      </c>
      <c r="G5467" s="27">
        <f ca="1">ROUND(E5467*F5467,2)</f>
        <v>0</v>
      </c>
    </row>
    <row r="5468" spans="1:7" ht="24.36" thickBot="1" customHeight="1">
      <c r="A5468" s="24" t="s">
        <v>17276</v>
      </c>
      <c r="B5468" s="24" t="s">
        <v>17277</v>
      </c>
      <c r="C5468" s="24" t="s">
        <v>17278</v>
      </c>
      <c r="D5468" s="25" t="s">
        <v>17279</v>
      </c>
      <c r="E5468" s="28">
        <v>1.00000</v>
      </c>
      <c r="F5468" s="29">
        <f ca="1">ROUND(19.000,3)</f>
        <v>0</v>
      </c>
      <c r="G5468" s="27">
        <f ca="1">ROUND(E5468*F5468,2)</f>
        <v>0</v>
      </c>
    </row>
    <row r="5469" spans="1:7" ht="24.36" thickBot="1" customHeight="1">
      <c r="A5469" s="24" t="s">
        <v>17280</v>
      </c>
      <c r="B5469" s="24" t="s">
        <v>17281</v>
      </c>
      <c r="C5469" s="24" t="s">
        <v>17282</v>
      </c>
      <c r="D5469" s="25" t="s">
        <v>17283</v>
      </c>
      <c r="E5469" s="28">
        <v>0.50000</v>
      </c>
      <c r="F5469" s="29">
        <f ca="1">ROUND(19.000,3)</f>
        <v>0</v>
      </c>
      <c r="G5469" s="27">
        <f ca="1">ROUND(E5469*F5469,2)</f>
        <v>0</v>
      </c>
    </row>
    <row r="5470" spans="1:7" ht="15.12" thickBot="1" customHeight="1">
      <c r="A5470" s="26"/>
      <c r="B5470" s="26"/>
      <c r="C5470" s="26"/>
      <c r="D5470" s="24" t="s">
        <v>17284</v>
      </c>
      <c r="E5470" s="28">
        <v>0.75000</v>
      </c>
      <c r="F5470" s="29">
        <f ca="1">ROUND((G5467+G5468+G5469),3)</f>
        <v>0</v>
      </c>
      <c r="G5470" s="27">
        <f ca="1">ROUND(E5470*F5470,2)</f>
        <v>0</v>
      </c>
    </row>
    <row r="5471" spans="1:7" ht="15.12" thickBot="1" customHeight="1">
      <c r="A5471" s="24" t="s">
        <v>17285</v>
      </c>
      <c r="B5471" s="24"/>
      <c r="C5471" s="24" t="s">
        <v>17286</v>
      </c>
      <c r="D5471" s="25" t="s">
        <v>17287</v>
      </c>
      <c r="E5471" s="28">
        <v>3.00000</v>
      </c>
      <c r="F5471" s="29">
        <f ca="1">ROUND(37.130,3)</f>
        <v>0</v>
      </c>
      <c r="G5471" s="27">
        <f ca="1">ROUND((E5471*F5471)/100,2)</f>
        <v>0</v>
      </c>
    </row>
    <row r="5472" spans="1:7" ht="15.48" thickBot="1" customHeight="1">
      <c r="A5472" s="30"/>
      <c r="B5472" s="30"/>
      <c r="C5472" s="30"/>
      <c r="D5472" s="31" t="s">
        <v>17288</v>
      </c>
      <c r="E5472" s="30"/>
      <c r="F5472" s="33">
        <f ca="1">ROUND((G5463+G5464+G5465+G5466+G5471)*(1+G2/100),2)</f>
        <v>0</v>
      </c>
      <c r="G5472" s="30"/>
    </row>
    <row r="5473" spans="1:7" ht="30.60" thickBot="1" customHeight="1">
      <c r="A5473" s="34" t="s">
        <v>17289</v>
      </c>
      <c r="B5473" s="35" t="s">
        <v>17290</v>
      </c>
      <c r="C5473" s="35" t="s">
        <v>17291</v>
      </c>
      <c r="D5473" s="36" t="s">
        <v>17292</v>
      </c>
      <c r="E5473" s="37"/>
      <c r="F5473" s="38">
        <f ca="1">F5485</f>
        <v>0</v>
      </c>
      <c r="G5473" s="37"/>
    </row>
    <row r="5474" spans="1:7" ht="76.80" thickBot="1" customHeight="1">
      <c r="A5474" s="26"/>
      <c r="B5474" s="26"/>
      <c r="C5474" s="26"/>
      <c r="D5474" s="25" t="s">
        <v>17293</v>
      </c>
      <c r="E5474" s="25"/>
      <c r="F5474" s="25"/>
      <c r="G5474" s="25"/>
    </row>
    <row r="5475" spans="1:7" ht="30.60" thickBot="1" customHeight="1">
      <c r="A5475" s="24" t="s">
        <v>17294</v>
      </c>
      <c r="B5475" s="24" t="s">
        <v>17295</v>
      </c>
      <c r="C5475" s="24" t="s">
        <v>17296</v>
      </c>
      <c r="D5475" s="25" t="s">
        <v>17297</v>
      </c>
      <c r="E5475" s="28">
        <v>4.00000</v>
      </c>
      <c r="F5475" s="29">
        <f ca="1">ROUND(10.750,3)</f>
        <v>0</v>
      </c>
      <c r="G5475" s="27">
        <f ca="1">ROUND(E5475*F5475,2)</f>
        <v>0</v>
      </c>
    </row>
    <row r="5476" spans="1:7" ht="30.60" thickBot="1" customHeight="1">
      <c r="A5476" s="24" t="s">
        <v>17298</v>
      </c>
      <c r="B5476" s="24" t="s">
        <v>17299</v>
      </c>
      <c r="C5476" s="24" t="s">
        <v>17300</v>
      </c>
      <c r="D5476" s="25" t="s">
        <v>17301</v>
      </c>
      <c r="E5476" s="28">
        <v>0.30000</v>
      </c>
      <c r="F5476" s="29">
        <f ca="1">ROUND(12.310,3)</f>
        <v>0</v>
      </c>
      <c r="G5476" s="27">
        <f ca="1">ROUND(E5476*F5476,2)</f>
        <v>0</v>
      </c>
    </row>
    <row r="5477" spans="1:7" ht="39.84" thickBot="1" customHeight="1">
      <c r="A5477" s="24" t="s">
        <v>17302</v>
      </c>
      <c r="B5477" s="24" t="s">
        <v>17303</v>
      </c>
      <c r="C5477" s="24" t="s">
        <v>17304</v>
      </c>
      <c r="D5477" s="25" t="s">
        <v>17305</v>
      </c>
      <c r="E5477" s="28">
        <v>0.25000</v>
      </c>
      <c r="F5477" s="29">
        <f ca="1">ROUND(16.670,3)</f>
        <v>0</v>
      </c>
      <c r="G5477" s="27">
        <f ca="1">ROUND(E5477*F5477,2)</f>
        <v>0</v>
      </c>
    </row>
    <row r="5478" spans="1:7" ht="39.84" thickBot="1" customHeight="1">
      <c r="A5478" s="24" t="s">
        <v>17306</v>
      </c>
      <c r="B5478" s="24" t="s">
        <v>17307</v>
      </c>
      <c r="C5478" s="24" t="s">
        <v>17308</v>
      </c>
      <c r="D5478" s="25" t="s">
        <v>17309</v>
      </c>
      <c r="E5478" s="28">
        <v>0.30000</v>
      </c>
      <c r="F5478" s="29">
        <f ca="1">ROUND(2.860,3)</f>
        <v>0</v>
      </c>
      <c r="G5478" s="27">
        <f ca="1">ROUND(E5478*F5478,2)</f>
        <v>0</v>
      </c>
    </row>
    <row r="5479" spans="1:7" ht="21.36" thickBot="1" customHeight="1">
      <c r="A5479" s="24" t="s">
        <v>17310</v>
      </c>
      <c r="B5479" s="24" t="s">
        <v>17311</v>
      </c>
      <c r="C5479" s="24" t="s">
        <v>17312</v>
      </c>
      <c r="D5479" s="25" t="s">
        <v>17313</v>
      </c>
      <c r="E5479" s="28">
        <v>0.87500</v>
      </c>
      <c r="F5479" s="29">
        <f ca="1">F5483</f>
        <v>0</v>
      </c>
      <c r="G5479" s="27">
        <f ca="1">ROUND(E5479*F5479,2)</f>
        <v>0</v>
      </c>
    </row>
    <row r="5480" spans="1:7" ht="24.36" thickBot="1" customHeight="1">
      <c r="A5480" s="24" t="s">
        <v>17314</v>
      </c>
      <c r="B5480" s="24" t="s">
        <v>17315</v>
      </c>
      <c r="C5480" s="24" t="s">
        <v>17316</v>
      </c>
      <c r="D5480" s="25" t="s">
        <v>17317</v>
      </c>
      <c r="E5480" s="28">
        <v>1.00000</v>
      </c>
      <c r="F5480" s="29">
        <f ca="1">ROUND(21.000,3)</f>
        <v>0</v>
      </c>
      <c r="G5480" s="27">
        <f ca="1">ROUND(E5480*F5480,2)</f>
        <v>0</v>
      </c>
    </row>
    <row r="5481" spans="1:7" ht="24.36" thickBot="1" customHeight="1">
      <c r="A5481" s="24" t="s">
        <v>17318</v>
      </c>
      <c r="B5481" s="24" t="s">
        <v>17319</v>
      </c>
      <c r="C5481" s="24" t="s">
        <v>17320</v>
      </c>
      <c r="D5481" s="25" t="s">
        <v>17321</v>
      </c>
      <c r="E5481" s="28">
        <v>1.00000</v>
      </c>
      <c r="F5481" s="29">
        <f ca="1">ROUND(19.000,3)</f>
        <v>0</v>
      </c>
      <c r="G5481" s="27">
        <f ca="1">ROUND(E5481*F5481,2)</f>
        <v>0</v>
      </c>
    </row>
    <row r="5482" spans="1:7" ht="24.36" thickBot="1" customHeight="1">
      <c r="A5482" s="24" t="s">
        <v>17322</v>
      </c>
      <c r="B5482" s="24" t="s">
        <v>17323</v>
      </c>
      <c r="C5482" s="24" t="s">
        <v>17324</v>
      </c>
      <c r="D5482" s="25" t="s">
        <v>17325</v>
      </c>
      <c r="E5482" s="28">
        <v>0.20000</v>
      </c>
      <c r="F5482" s="29">
        <f ca="1">ROUND(19.000,3)</f>
        <v>0</v>
      </c>
      <c r="G5482" s="27">
        <f ca="1">ROUND(E5482*F5482,2)</f>
        <v>0</v>
      </c>
    </row>
    <row r="5483" spans="1:7" ht="15.12" thickBot="1" customHeight="1">
      <c r="A5483" s="26"/>
      <c r="B5483" s="26"/>
      <c r="C5483" s="26"/>
      <c r="D5483" s="24" t="s">
        <v>17326</v>
      </c>
      <c r="E5483" s="28">
        <v>0.87500</v>
      </c>
      <c r="F5483" s="29">
        <f ca="1">ROUND((G5480+G5481+G5482),3)</f>
        <v>0</v>
      </c>
      <c r="G5483" s="27">
        <f ca="1">ROUND(E5483*F5483,2)</f>
        <v>0</v>
      </c>
    </row>
    <row r="5484" spans="1:7" ht="15.12" thickBot="1" customHeight="1">
      <c r="A5484" s="24" t="s">
        <v>17327</v>
      </c>
      <c r="B5484" s="24"/>
      <c r="C5484" s="24" t="s">
        <v>17328</v>
      </c>
      <c r="D5484" s="25" t="s">
        <v>17329</v>
      </c>
      <c r="E5484" s="28">
        <v>3.00000</v>
      </c>
      <c r="F5484" s="29">
        <f ca="1">ROUND(38.330,3)</f>
        <v>0</v>
      </c>
      <c r="G5484" s="27">
        <f ca="1">ROUND((E5484*F5484)/100,2)</f>
        <v>0</v>
      </c>
    </row>
    <row r="5485" spans="1:7" ht="15.48" thickBot="1" customHeight="1">
      <c r="A5485" s="30"/>
      <c r="B5485" s="30"/>
      <c r="C5485" s="30"/>
      <c r="D5485" s="31" t="s">
        <v>17330</v>
      </c>
      <c r="E5485" s="30"/>
      <c r="F5485" s="33">
        <f ca="1">ROUND((G5475+G5476+G5477+G5478+G5479+G5484)*(1+G2/100),2)</f>
        <v>0</v>
      </c>
      <c r="G5485" s="30"/>
    </row>
    <row r="5486" spans="1:7" ht="49.08" thickBot="1" customHeight="1">
      <c r="A5486" s="34" t="s">
        <v>17331</v>
      </c>
      <c r="B5486" s="35" t="s">
        <v>17332</v>
      </c>
      <c r="C5486" s="35" t="s">
        <v>17333</v>
      </c>
      <c r="D5486" s="36" t="s">
        <v>17334</v>
      </c>
      <c r="E5486" s="37"/>
      <c r="F5486" s="38">
        <f ca="1">F5504</f>
        <v>0</v>
      </c>
      <c r="G5486" s="37"/>
    </row>
    <row r="5487" spans="1:7" ht="49.08" thickBot="1" customHeight="1">
      <c r="A5487" s="26"/>
      <c r="B5487" s="26"/>
      <c r="C5487" s="26"/>
      <c r="D5487" s="25" t="s">
        <v>17335</v>
      </c>
      <c r="E5487" s="25"/>
      <c r="F5487" s="25"/>
      <c r="G5487" s="25"/>
    </row>
    <row r="5488" spans="1:7" ht="49.08" thickBot="1" customHeight="1">
      <c r="A5488" s="24" t="s">
        <v>17336</v>
      </c>
      <c r="B5488" s="24" t="s">
        <v>17337</v>
      </c>
      <c r="C5488" s="24" t="s">
        <v>17338</v>
      </c>
      <c r="D5488" s="25" t="s">
        <v>17339</v>
      </c>
      <c r="E5488" s="28">
        <v>0.10000</v>
      </c>
      <c r="F5488" s="29">
        <f ca="1">ROUND(52.890,3)</f>
        <v>0</v>
      </c>
      <c r="G5488" s="27">
        <f ca="1">ROUND(E5488*F5488,2)</f>
        <v>0</v>
      </c>
    </row>
    <row r="5489" spans="1:7" ht="39.84" thickBot="1" customHeight="1">
      <c r="A5489" s="24" t="s">
        <v>17340</v>
      </c>
      <c r="B5489" s="24" t="s">
        <v>17341</v>
      </c>
      <c r="C5489" s="24" t="s">
        <v>17342</v>
      </c>
      <c r="D5489" s="25" t="s">
        <v>17343</v>
      </c>
      <c r="E5489" s="28">
        <v>0.10000</v>
      </c>
      <c r="F5489" s="29">
        <f ca="1">ROUND(26.000,3)</f>
        <v>0</v>
      </c>
      <c r="G5489" s="27">
        <f ca="1">ROUND(E5489*F5489,2)</f>
        <v>0</v>
      </c>
    </row>
    <row r="5490" spans="1:7" ht="30.60" thickBot="1" customHeight="1">
      <c r="A5490" s="24" t="s">
        <v>17344</v>
      </c>
      <c r="B5490" s="24" t="s">
        <v>17345</v>
      </c>
      <c r="C5490" s="24" t="s">
        <v>17346</v>
      </c>
      <c r="D5490" s="25" t="s">
        <v>17347</v>
      </c>
      <c r="E5490" s="28">
        <v>0.20000</v>
      </c>
      <c r="F5490" s="29">
        <f ca="1">ROUND(6.140,3)</f>
        <v>0</v>
      </c>
      <c r="G5490" s="27">
        <f ca="1">ROUND(E5490*F5490,2)</f>
        <v>0</v>
      </c>
    </row>
    <row r="5491" spans="1:7" ht="39.84" thickBot="1" customHeight="1">
      <c r="A5491" s="24" t="s">
        <v>17348</v>
      </c>
      <c r="B5491" s="24" t="s">
        <v>17349</v>
      </c>
      <c r="C5491" s="24" t="s">
        <v>17350</v>
      </c>
      <c r="D5491" s="25" t="s">
        <v>17351</v>
      </c>
      <c r="E5491" s="28">
        <v>0.16900</v>
      </c>
      <c r="F5491" s="29">
        <f ca="1">ROUND(7.370,3)</f>
        <v>0</v>
      </c>
      <c r="G5491" s="27">
        <f ca="1">ROUND(E5491*F5491,2)</f>
        <v>0</v>
      </c>
    </row>
    <row r="5492" spans="1:7" ht="30.60" thickBot="1" customHeight="1">
      <c r="A5492" s="24" t="s">
        <v>17352</v>
      </c>
      <c r="B5492" s="24" t="s">
        <v>17353</v>
      </c>
      <c r="C5492" s="24" t="s">
        <v>17354</v>
      </c>
      <c r="D5492" s="25" t="s">
        <v>17355</v>
      </c>
      <c r="E5492" s="28">
        <v>0.50000</v>
      </c>
      <c r="F5492" s="29">
        <f ca="1">ROUND(7.930,3)</f>
        <v>0</v>
      </c>
      <c r="G5492" s="27">
        <f ca="1">ROUND(E5492*F5492,2)</f>
        <v>0</v>
      </c>
    </row>
    <row r="5493" spans="1:7" ht="39.84" thickBot="1" customHeight="1">
      <c r="A5493" s="24" t="s">
        <v>17356</v>
      </c>
      <c r="B5493" s="24" t="s">
        <v>17357</v>
      </c>
      <c r="C5493" s="24" t="s">
        <v>17358</v>
      </c>
      <c r="D5493" s="25" t="s">
        <v>17359</v>
      </c>
      <c r="E5493" s="28">
        <v>0.25000</v>
      </c>
      <c r="F5493" s="29">
        <f ca="1">ROUND(13.530,3)</f>
        <v>0</v>
      </c>
      <c r="G5493" s="27">
        <f ca="1">ROUND(E5493*F5493,2)</f>
        <v>0</v>
      </c>
    </row>
    <row r="5494" spans="1:7" ht="39.84" thickBot="1" customHeight="1">
      <c r="A5494" s="24" t="s">
        <v>17360</v>
      </c>
      <c r="B5494" s="24" t="s">
        <v>17361</v>
      </c>
      <c r="C5494" s="24" t="s">
        <v>17362</v>
      </c>
      <c r="D5494" s="25" t="s">
        <v>17363</v>
      </c>
      <c r="E5494" s="28">
        <v>0.01000</v>
      </c>
      <c r="F5494" s="29">
        <f ca="1">ROUND(7.650,3)</f>
        <v>0</v>
      </c>
      <c r="G5494" s="27">
        <f ca="1">ROUND(E5494*F5494,2)</f>
        <v>0</v>
      </c>
    </row>
    <row r="5495" spans="1:7" ht="24.36" thickBot="1" customHeight="1">
      <c r="A5495" s="24" t="s">
        <v>17364</v>
      </c>
      <c r="B5495" s="24" t="s">
        <v>17365</v>
      </c>
      <c r="C5495" s="24" t="s">
        <v>17366</v>
      </c>
      <c r="D5495" s="25" t="s">
        <v>17367</v>
      </c>
      <c r="E5495" s="28">
        <v>0.00200</v>
      </c>
      <c r="F5495" s="29">
        <f ca="1">ROUND(35.300,3)</f>
        <v>0</v>
      </c>
      <c r="G5495" s="27">
        <f ca="1">ROUND(E5495*F5495,2)</f>
        <v>0</v>
      </c>
    </row>
    <row r="5496" spans="1:7" ht="39.84" thickBot="1" customHeight="1">
      <c r="A5496" s="24" t="s">
        <v>17368</v>
      </c>
      <c r="B5496" s="24" t="s">
        <v>17369</v>
      </c>
      <c r="C5496" s="24" t="s">
        <v>17370</v>
      </c>
      <c r="D5496" s="25" t="s">
        <v>17371</v>
      </c>
      <c r="E5496" s="28">
        <v>0.20000</v>
      </c>
      <c r="F5496" s="29">
        <f ca="1">ROUND(2.860,3)</f>
        <v>0</v>
      </c>
      <c r="G5496" s="27">
        <f ca="1">ROUND(E5496*F5496,2)</f>
        <v>0</v>
      </c>
    </row>
    <row r="5497" spans="1:7" ht="39.84" thickBot="1" customHeight="1">
      <c r="A5497" s="24" t="s">
        <v>17372</v>
      </c>
      <c r="B5497" s="24" t="s">
        <v>17373</v>
      </c>
      <c r="C5497" s="24" t="s">
        <v>17374</v>
      </c>
      <c r="D5497" s="25" t="s">
        <v>17375</v>
      </c>
      <c r="E5497" s="28">
        <v>0.10000</v>
      </c>
      <c r="F5497" s="29">
        <f ca="1">ROUND(1.750,3)</f>
        <v>0</v>
      </c>
      <c r="G5497" s="27">
        <f ca="1">ROUND(E5497*F5497,2)</f>
        <v>0</v>
      </c>
    </row>
    <row r="5498" spans="1:7" ht="21.36" thickBot="1" customHeight="1">
      <c r="A5498" s="24" t="s">
        <v>17376</v>
      </c>
      <c r="B5498" s="24" t="s">
        <v>17377</v>
      </c>
      <c r="C5498" s="24" t="s">
        <v>17378</v>
      </c>
      <c r="D5498" s="25" t="s">
        <v>17379</v>
      </c>
      <c r="E5498" s="28">
        <v>0.20000</v>
      </c>
      <c r="F5498" s="29">
        <f ca="1">ROUND(2.000,3)</f>
        <v>0</v>
      </c>
      <c r="G5498" s="27">
        <f ca="1">ROUND(E5498*F5498,2)</f>
        <v>0</v>
      </c>
    </row>
    <row r="5499" spans="1:7" ht="30.60" thickBot="1" customHeight="1">
      <c r="A5499" s="24" t="s">
        <v>17380</v>
      </c>
      <c r="B5499" s="24" t="s">
        <v>17381</v>
      </c>
      <c r="C5499" s="24" t="s">
        <v>17382</v>
      </c>
      <c r="D5499" s="25" t="s">
        <v>17383</v>
      </c>
      <c r="E5499" s="28">
        <v>0.10000</v>
      </c>
      <c r="F5499" s="29">
        <f ca="1">ROUND(4.920,3)</f>
        <v>0</v>
      </c>
      <c r="G5499" s="27">
        <f ca="1">ROUND(E5499*F5499,2)</f>
        <v>0</v>
      </c>
    </row>
    <row r="5500" spans="1:7" ht="21.36" thickBot="1" customHeight="1">
      <c r="A5500" s="24" t="s">
        <v>17384</v>
      </c>
      <c r="B5500" s="24" t="s">
        <v>17385</v>
      </c>
      <c r="C5500" s="24" t="s">
        <v>17386</v>
      </c>
      <c r="D5500" s="25" t="s">
        <v>17387</v>
      </c>
      <c r="E5500" s="28">
        <v>0.10000</v>
      </c>
      <c r="F5500" s="29">
        <f ca="1">ROUND(5.520,3)</f>
        <v>0</v>
      </c>
      <c r="G5500" s="27">
        <f ca="1">ROUND(E5500*F5500,2)</f>
        <v>0</v>
      </c>
    </row>
    <row r="5501" spans="1:7" ht="30.60" thickBot="1" customHeight="1">
      <c r="A5501" s="24" t="s">
        <v>17388</v>
      </c>
      <c r="B5501" s="24" t="s">
        <v>17389</v>
      </c>
      <c r="C5501" s="24" t="s">
        <v>17390</v>
      </c>
      <c r="D5501" s="25" t="s">
        <v>17391</v>
      </c>
      <c r="E5501" s="28">
        <v>1.25000</v>
      </c>
      <c r="F5501" s="29">
        <f ca="1">F5502</f>
        <v>0</v>
      </c>
      <c r="G5501" s="27">
        <f ca="1">ROUND(E5501*F5501,2)</f>
        <v>0</v>
      </c>
    </row>
    <row r="5502" spans="1:7" ht="15.12" thickBot="1" customHeight="1">
      <c r="A5502" s="26"/>
      <c r="B5502" s="26"/>
      <c r="C5502" s="26"/>
      <c r="D5502" s="24" t="s">
        <v>17392</v>
      </c>
      <c r="E5502" s="28">
        <v>1.25000</v>
      </c>
      <c r="F5502" s="29">
        <f ca="1">ROUND((),3)</f>
        <v>0</v>
      </c>
      <c r="G5502" s="27">
        <f ca="1">ROUND(E5502*F5502,2)</f>
        <v>0</v>
      </c>
    </row>
    <row r="5503" spans="1:7" ht="15.12" thickBot="1" customHeight="1">
      <c r="A5503" s="24" t="s">
        <v>17393</v>
      </c>
      <c r="B5503" s="24"/>
      <c r="C5503" s="24" t="s">
        <v>17394</v>
      </c>
      <c r="D5503" s="25" t="s">
        <v>17395</v>
      </c>
      <c r="E5503" s="28">
        <v>3.00000</v>
      </c>
      <c r="F5503" s="29">
        <f ca="1">ROUND(61.880,3)</f>
        <v>0</v>
      </c>
      <c r="G5503" s="27">
        <f ca="1">ROUND((E5503*F5503)/100,2)</f>
        <v>0</v>
      </c>
    </row>
    <row r="5504" spans="1:7" ht="25.08" thickBot="1" customHeight="1">
      <c r="A5504" s="30"/>
      <c r="B5504" s="30"/>
      <c r="C5504" s="30"/>
      <c r="D5504" s="31" t="s">
        <v>17396</v>
      </c>
      <c r="E5504" s="30"/>
      <c r="F5504" s="33">
        <f ca="1">ROUND((G5488+G5489+G5490+G5491+G5492+G5493+G5494+G5495+G5496+G5497+G5498+G5499+G5500+G5501+G5503)*(1+G2/100),2)</f>
        <v>0</v>
      </c>
      <c r="G5504" s="30"/>
    </row>
    <row r="5505" spans="1:7" ht="21.36" thickBot="1" customHeight="1">
      <c r="A5505" s="34" t="s">
        <v>17397</v>
      </c>
      <c r="B5505" s="35" t="s">
        <v>17398</v>
      </c>
      <c r="C5505" s="35" t="s">
        <v>17399</v>
      </c>
      <c r="D5505" s="36" t="s">
        <v>17400</v>
      </c>
      <c r="E5505" s="37"/>
      <c r="F5505" s="38">
        <f ca="1">F5514</f>
        <v>0</v>
      </c>
      <c r="G5505" s="37"/>
    </row>
    <row r="5506" spans="1:7" ht="30.60" thickBot="1" customHeight="1">
      <c r="A5506" s="26"/>
      <c r="B5506" s="26"/>
      <c r="C5506" s="26"/>
      <c r="D5506" s="25" t="s">
        <v>17401</v>
      </c>
      <c r="E5506" s="25"/>
      <c r="F5506" s="25"/>
      <c r="G5506" s="25"/>
    </row>
    <row r="5507" spans="1:7" ht="30.60" thickBot="1" customHeight="1">
      <c r="A5507" s="24" t="s">
        <v>17402</v>
      </c>
      <c r="B5507" s="24" t="s">
        <v>17403</v>
      </c>
      <c r="C5507" s="24" t="s">
        <v>17404</v>
      </c>
      <c r="D5507" s="25" t="s">
        <v>17405</v>
      </c>
      <c r="E5507" s="28">
        <v>2.00000</v>
      </c>
      <c r="F5507" s="29">
        <f ca="1">ROUND(2.000,3)</f>
        <v>0</v>
      </c>
      <c r="G5507" s="27">
        <f ca="1">ROUND(E5507*F5507,2)</f>
        <v>0</v>
      </c>
    </row>
    <row r="5508" spans="1:7" ht="49.08" thickBot="1" customHeight="1">
      <c r="A5508" s="24" t="s">
        <v>17406</v>
      </c>
      <c r="B5508" s="24" t="s">
        <v>17407</v>
      </c>
      <c r="C5508" s="24" t="s">
        <v>17408</v>
      </c>
      <c r="D5508" s="25" t="s">
        <v>17409</v>
      </c>
      <c r="E5508" s="28">
        <v>0.30000</v>
      </c>
      <c r="F5508" s="29">
        <f ca="1">ROUND(52.360,3)</f>
        <v>0</v>
      </c>
      <c r="G5508" s="27">
        <f ca="1">ROUND(E5508*F5508,2)</f>
        <v>0</v>
      </c>
    </row>
    <row r="5509" spans="1:7" ht="21.36" thickBot="1" customHeight="1">
      <c r="A5509" s="24" t="s">
        <v>17410</v>
      </c>
      <c r="B5509" s="24" t="s">
        <v>17411</v>
      </c>
      <c r="C5509" s="24" t="s">
        <v>17412</v>
      </c>
      <c r="D5509" s="25" t="s">
        <v>17413</v>
      </c>
      <c r="E5509" s="28">
        <v>0.50000</v>
      </c>
      <c r="F5509" s="29">
        <f ca="1">F5513</f>
        <v>0</v>
      </c>
      <c r="G5509" s="27">
        <f ca="1">ROUND(E5509*F5509,2)</f>
        <v>0</v>
      </c>
    </row>
    <row r="5510" spans="1:7" ht="24.36" thickBot="1" customHeight="1">
      <c r="A5510" s="24" t="s">
        <v>17414</v>
      </c>
      <c r="B5510" s="24" t="s">
        <v>17415</v>
      </c>
      <c r="C5510" s="24" t="s">
        <v>17416</v>
      </c>
      <c r="D5510" s="25" t="s">
        <v>17417</v>
      </c>
      <c r="E5510" s="28">
        <v>1.00000</v>
      </c>
      <c r="F5510" s="29">
        <f ca="1">ROUND(21.000,3)</f>
        <v>0</v>
      </c>
      <c r="G5510" s="27">
        <f ca="1">ROUND(E5510*F5510,2)</f>
        <v>0</v>
      </c>
    </row>
    <row r="5511" spans="1:7" ht="24.36" thickBot="1" customHeight="1">
      <c r="A5511" s="24" t="s">
        <v>17418</v>
      </c>
      <c r="B5511" s="24" t="s">
        <v>17419</v>
      </c>
      <c r="C5511" s="24" t="s">
        <v>17420</v>
      </c>
      <c r="D5511" s="25" t="s">
        <v>17421</v>
      </c>
      <c r="E5511" s="28">
        <v>1.00000</v>
      </c>
      <c r="F5511" s="29">
        <f ca="1">ROUND(19.000,3)</f>
        <v>0</v>
      </c>
      <c r="G5511" s="27">
        <f ca="1">ROUND(E5511*F5511,2)</f>
        <v>0</v>
      </c>
    </row>
    <row r="5512" spans="1:7" ht="24.36" thickBot="1" customHeight="1">
      <c r="A5512" s="24" t="s">
        <v>17422</v>
      </c>
      <c r="B5512" s="24" t="s">
        <v>17423</v>
      </c>
      <c r="C5512" s="24" t="s">
        <v>17424</v>
      </c>
      <c r="D5512" s="25" t="s">
        <v>17425</v>
      </c>
      <c r="E5512" s="28">
        <v>0.20000</v>
      </c>
      <c r="F5512" s="29">
        <f ca="1">ROUND(19.000,3)</f>
        <v>0</v>
      </c>
      <c r="G5512" s="27">
        <f ca="1">ROUND(E5512*F5512,2)</f>
        <v>0</v>
      </c>
    </row>
    <row r="5513" spans="1:7" ht="15.12" thickBot="1" customHeight="1">
      <c r="A5513" s="26"/>
      <c r="B5513" s="26"/>
      <c r="C5513" s="26"/>
      <c r="D5513" s="24" t="s">
        <v>17426</v>
      </c>
      <c r="E5513" s="28">
        <v>0.50000</v>
      </c>
      <c r="F5513" s="29">
        <f ca="1">ROUND((G5510+G5511+G5512),3)</f>
        <v>0</v>
      </c>
      <c r="G5513" s="27">
        <f ca="1">ROUND(E5513*F5513,2)</f>
        <v>0</v>
      </c>
    </row>
    <row r="5514" spans="1:7" ht="15.48" thickBot="1" customHeight="1">
      <c r="A5514" s="30"/>
      <c r="B5514" s="30"/>
      <c r="C5514" s="30"/>
      <c r="D5514" s="31" t="s">
        <v>17427</v>
      </c>
      <c r="E5514" s="30"/>
      <c r="F5514" s="33">
        <f ca="1">ROUND((G5507+G5508+G5509)*(1+G2/100),2)</f>
        <v>0</v>
      </c>
      <c r="G5514" s="30"/>
    </row>
    <row r="5515" spans="1:7" ht="21.36" thickBot="1" customHeight="1">
      <c r="A5515" s="34" t="s">
        <v>17428</v>
      </c>
      <c r="B5515" s="35" t="s">
        <v>17429</v>
      </c>
      <c r="C5515" s="35" t="s">
        <v>17430</v>
      </c>
      <c r="D5515" s="36" t="s">
        <v>17431</v>
      </c>
      <c r="E5515" s="37"/>
      <c r="F5515" s="38">
        <f ca="1">F5525</f>
        <v>0</v>
      </c>
      <c r="G5515" s="37"/>
    </row>
    <row r="5516" spans="1:7" ht="39.84" thickBot="1" customHeight="1">
      <c r="A5516" s="26"/>
      <c r="B5516" s="26"/>
      <c r="C5516" s="26"/>
      <c r="D5516" s="25" t="s">
        <v>17432</v>
      </c>
      <c r="E5516" s="25"/>
      <c r="F5516" s="25"/>
      <c r="G5516" s="25"/>
    </row>
    <row r="5517" spans="1:7" ht="30.60" thickBot="1" customHeight="1">
      <c r="A5517" s="24" t="s">
        <v>17433</v>
      </c>
      <c r="B5517" s="24" t="s">
        <v>17434</v>
      </c>
      <c r="C5517" s="24" t="s">
        <v>17435</v>
      </c>
      <c r="D5517" s="25" t="s">
        <v>17436</v>
      </c>
      <c r="E5517" s="28">
        <v>0.06660</v>
      </c>
      <c r="F5517" s="29">
        <f ca="1">ROUND(110.660,3)</f>
        <v>0</v>
      </c>
      <c r="G5517" s="27">
        <f ca="1">ROUND(E5517*F5517,2)</f>
        <v>0</v>
      </c>
    </row>
    <row r="5518" spans="1:7" ht="24.36" thickBot="1" customHeight="1">
      <c r="A5518" s="24" t="s">
        <v>17437</v>
      </c>
      <c r="B5518" s="24" t="s">
        <v>17438</v>
      </c>
      <c r="C5518" s="24" t="s">
        <v>17439</v>
      </c>
      <c r="D5518" s="25" t="s">
        <v>17440</v>
      </c>
      <c r="E5518" s="28">
        <v>0.11000</v>
      </c>
      <c r="F5518" s="29">
        <f ca="1">ROUND(4.630,3)</f>
        <v>0</v>
      </c>
      <c r="G5518" s="27">
        <f ca="1">ROUND(E5518*F5518,2)</f>
        <v>0</v>
      </c>
    </row>
    <row r="5519" spans="1:7" ht="21.36" thickBot="1" customHeight="1">
      <c r="A5519" s="24" t="s">
        <v>17441</v>
      </c>
      <c r="B5519" s="24" t="s">
        <v>17442</v>
      </c>
      <c r="C5519" s="24" t="s">
        <v>17443</v>
      </c>
      <c r="D5519" s="25" t="s">
        <v>17444</v>
      </c>
      <c r="E5519" s="28">
        <v>0.50000</v>
      </c>
      <c r="F5519" s="29">
        <f ca="1">F5523</f>
        <v>0</v>
      </c>
      <c r="G5519" s="27">
        <f ca="1">ROUND(E5519*F5519,2)</f>
        <v>0</v>
      </c>
    </row>
    <row r="5520" spans="1:7" ht="24.36" thickBot="1" customHeight="1">
      <c r="A5520" s="24" t="s">
        <v>17445</v>
      </c>
      <c r="B5520" s="24" t="s">
        <v>17446</v>
      </c>
      <c r="C5520" s="24" t="s">
        <v>17447</v>
      </c>
      <c r="D5520" s="25" t="s">
        <v>17448</v>
      </c>
      <c r="E5520" s="28">
        <v>1.00000</v>
      </c>
      <c r="F5520" s="29">
        <f ca="1">ROUND(21.000,3)</f>
        <v>0</v>
      </c>
      <c r="G5520" s="27">
        <f ca="1">ROUND(E5520*F5520,2)</f>
        <v>0</v>
      </c>
    </row>
    <row r="5521" spans="1:7" ht="24.36" thickBot="1" customHeight="1">
      <c r="A5521" s="24" t="s">
        <v>17449</v>
      </c>
      <c r="B5521" s="24" t="s">
        <v>17450</v>
      </c>
      <c r="C5521" s="24" t="s">
        <v>17451</v>
      </c>
      <c r="D5521" s="25" t="s">
        <v>17452</v>
      </c>
      <c r="E5521" s="28">
        <v>1.00000</v>
      </c>
      <c r="F5521" s="29">
        <f ca="1">ROUND(19.000,3)</f>
        <v>0</v>
      </c>
      <c r="G5521" s="27">
        <f ca="1">ROUND(E5521*F5521,2)</f>
        <v>0</v>
      </c>
    </row>
    <row r="5522" spans="1:7" ht="24.36" thickBot="1" customHeight="1">
      <c r="A5522" s="24" t="s">
        <v>17453</v>
      </c>
      <c r="B5522" s="24" t="s">
        <v>17454</v>
      </c>
      <c r="C5522" s="24" t="s">
        <v>17455</v>
      </c>
      <c r="D5522" s="25" t="s">
        <v>17456</v>
      </c>
      <c r="E5522" s="28">
        <v>0.20000</v>
      </c>
      <c r="F5522" s="29">
        <f ca="1">ROUND(19.000,3)</f>
        <v>0</v>
      </c>
      <c r="G5522" s="27">
        <f ca="1">ROUND(E5522*F5522,2)</f>
        <v>0</v>
      </c>
    </row>
    <row r="5523" spans="1:7" ht="15.12" thickBot="1" customHeight="1">
      <c r="A5523" s="26"/>
      <c r="B5523" s="26"/>
      <c r="C5523" s="26"/>
      <c r="D5523" s="24" t="s">
        <v>17457</v>
      </c>
      <c r="E5523" s="28">
        <v>0.50000</v>
      </c>
      <c r="F5523" s="29">
        <f ca="1">ROUND((G5520+G5521+G5522),3)</f>
        <v>0</v>
      </c>
      <c r="G5523" s="27">
        <f ca="1">ROUND(E5523*F5523,2)</f>
        <v>0</v>
      </c>
    </row>
    <row r="5524" spans="1:7" ht="15.12" thickBot="1" customHeight="1">
      <c r="A5524" s="24" t="s">
        <v>17458</v>
      </c>
      <c r="B5524" s="24"/>
      <c r="C5524" s="24" t="s">
        <v>17459</v>
      </c>
      <c r="D5524" s="25" t="s">
        <v>17460</v>
      </c>
      <c r="E5524" s="28">
        <v>3.00000</v>
      </c>
      <c r="F5524" s="29">
        <f ca="1">ROUND(21.900,3)</f>
        <v>0</v>
      </c>
      <c r="G5524" s="27">
        <f ca="1">ROUND((E5524*F5524)/100,2)</f>
        <v>0</v>
      </c>
    </row>
    <row r="5525" spans="1:7" ht="15.48" thickBot="1" customHeight="1">
      <c r="A5525" s="30"/>
      <c r="B5525" s="30"/>
      <c r="C5525" s="30"/>
      <c r="D5525" s="31" t="s">
        <v>17461</v>
      </c>
      <c r="E5525" s="30"/>
      <c r="F5525" s="33">
        <f ca="1">ROUND((G5517+G5518+G5519+G5524)*(1+G2/100),2)</f>
        <v>0</v>
      </c>
      <c r="G5525" s="30"/>
    </row>
    <row r="5526" spans="1:7" ht="49.08" thickBot="1" customHeight="1">
      <c r="A5526" s="34" t="s">
        <v>17462</v>
      </c>
      <c r="B5526" s="35" t="s">
        <v>17463</v>
      </c>
      <c r="C5526" s="35" t="s">
        <v>17464</v>
      </c>
      <c r="D5526" s="36" t="s">
        <v>17465</v>
      </c>
      <c r="E5526" s="37"/>
      <c r="F5526" s="38">
        <f ca="1">F5544</f>
        <v>0</v>
      </c>
      <c r="G5526" s="37"/>
    </row>
    <row r="5527" spans="1:7" ht="21.36" thickBot="1" customHeight="1">
      <c r="A5527" s="26"/>
      <c r="B5527" s="26"/>
      <c r="C5527" s="26"/>
      <c r="D5527" s="25" t="s">
        <v>17466</v>
      </c>
      <c r="E5527" s="25"/>
      <c r="F5527" s="25"/>
      <c r="G5527" s="25"/>
    </row>
    <row r="5528" spans="1:7" ht="30.60" thickBot="1" customHeight="1">
      <c r="A5528" s="24" t="s">
        <v>17467</v>
      </c>
      <c r="B5528" s="24" t="s">
        <v>17468</v>
      </c>
      <c r="C5528" s="24" t="s">
        <v>17469</v>
      </c>
      <c r="D5528" s="25" t="s">
        <v>17470</v>
      </c>
      <c r="E5528" s="28">
        <v>0.03333</v>
      </c>
      <c r="F5528" s="29">
        <f ca="1">ROUND(11.040,3)</f>
        <v>0</v>
      </c>
      <c r="G5528" s="27">
        <f ca="1">ROUND(E5528*F5528,2)</f>
        <v>0</v>
      </c>
    </row>
    <row r="5529" spans="1:7" ht="30.60" thickBot="1" customHeight="1">
      <c r="A5529" s="24" t="s">
        <v>17471</v>
      </c>
      <c r="B5529" s="24" t="s">
        <v>17472</v>
      </c>
      <c r="C5529" s="24" t="s">
        <v>17473</v>
      </c>
      <c r="D5529" s="25" t="s">
        <v>17474</v>
      </c>
      <c r="E5529" s="28">
        <v>0.05000</v>
      </c>
      <c r="F5529" s="29">
        <f ca="1">ROUND(13.140,3)</f>
        <v>0</v>
      </c>
      <c r="G5529" s="27">
        <f ca="1">ROUND(E5529*F5529,2)</f>
        <v>0</v>
      </c>
    </row>
    <row r="5530" spans="1:7" ht="30.60" thickBot="1" customHeight="1">
      <c r="A5530" s="24" t="s">
        <v>17475</v>
      </c>
      <c r="B5530" s="24" t="s">
        <v>17476</v>
      </c>
      <c r="C5530" s="24" t="s">
        <v>17477</v>
      </c>
      <c r="D5530" s="25" t="s">
        <v>17478</v>
      </c>
      <c r="E5530" s="28">
        <v>0.05000</v>
      </c>
      <c r="F5530" s="29">
        <f ca="1">ROUND(6.140,3)</f>
        <v>0</v>
      </c>
      <c r="G5530" s="27">
        <f ca="1">ROUND(E5530*F5530,2)</f>
        <v>0</v>
      </c>
    </row>
    <row r="5531" spans="1:7" ht="39.84" thickBot="1" customHeight="1">
      <c r="A5531" s="24" t="s">
        <v>17479</v>
      </c>
      <c r="B5531" s="24" t="s">
        <v>17480</v>
      </c>
      <c r="C5531" s="24" t="s">
        <v>17481</v>
      </c>
      <c r="D5531" s="25" t="s">
        <v>17482</v>
      </c>
      <c r="E5531" s="28">
        <v>0.04225</v>
      </c>
      <c r="F5531" s="29">
        <f ca="1">ROUND(7.370,3)</f>
        <v>0</v>
      </c>
      <c r="G5531" s="27">
        <f ca="1">ROUND(E5531*F5531,2)</f>
        <v>0</v>
      </c>
    </row>
    <row r="5532" spans="1:7" ht="30.60" thickBot="1" customHeight="1">
      <c r="A5532" s="24" t="s">
        <v>17483</v>
      </c>
      <c r="B5532" s="24" t="s">
        <v>17484</v>
      </c>
      <c r="C5532" s="24" t="s">
        <v>17485</v>
      </c>
      <c r="D5532" s="25" t="s">
        <v>17486</v>
      </c>
      <c r="E5532" s="28">
        <v>0.12500</v>
      </c>
      <c r="F5532" s="29">
        <f ca="1">ROUND(7.930,3)</f>
        <v>0</v>
      </c>
      <c r="G5532" s="27">
        <f ca="1">ROUND(E5532*F5532,2)</f>
        <v>0</v>
      </c>
    </row>
    <row r="5533" spans="1:7" ht="30.60" thickBot="1" customHeight="1">
      <c r="A5533" s="24" t="s">
        <v>17487</v>
      </c>
      <c r="B5533" s="24" t="s">
        <v>17488</v>
      </c>
      <c r="C5533" s="24" t="s">
        <v>17489</v>
      </c>
      <c r="D5533" s="25" t="s">
        <v>17490</v>
      </c>
      <c r="E5533" s="28">
        <v>0.09000</v>
      </c>
      <c r="F5533" s="29">
        <f ca="1">ROUND(30.450,3)</f>
        <v>0</v>
      </c>
      <c r="G5533" s="27">
        <f ca="1">ROUND(E5533*F5533,2)</f>
        <v>0</v>
      </c>
    </row>
    <row r="5534" spans="1:7" ht="21.36" thickBot="1" customHeight="1">
      <c r="A5534" s="24" t="s">
        <v>17491</v>
      </c>
      <c r="B5534" s="24" t="s">
        <v>17492</v>
      </c>
      <c r="C5534" s="24" t="s">
        <v>17493</v>
      </c>
      <c r="D5534" s="25" t="s">
        <v>17494</v>
      </c>
      <c r="E5534" s="28">
        <v>0.10000</v>
      </c>
      <c r="F5534" s="29">
        <f ca="1">ROUND(0.970,3)</f>
        <v>0</v>
      </c>
      <c r="G5534" s="27">
        <f ca="1">ROUND(E5534*F5534,2)</f>
        <v>0</v>
      </c>
    </row>
    <row r="5535" spans="1:7" ht="24.36" thickBot="1" customHeight="1">
      <c r="A5535" s="24" t="s">
        <v>17495</v>
      </c>
      <c r="B5535" s="24" t="s">
        <v>17496</v>
      </c>
      <c r="C5535" s="24" t="s">
        <v>17497</v>
      </c>
      <c r="D5535" s="25" t="s">
        <v>17498</v>
      </c>
      <c r="E5535" s="28">
        <v>0.00100</v>
      </c>
      <c r="F5535" s="29">
        <f ca="1">ROUND(35.300,3)</f>
        <v>0</v>
      </c>
      <c r="G5535" s="27">
        <f ca="1">ROUND(E5535*F5535,2)</f>
        <v>0</v>
      </c>
    </row>
    <row r="5536" spans="1:7" ht="39.84" thickBot="1" customHeight="1">
      <c r="A5536" s="24" t="s">
        <v>17499</v>
      </c>
      <c r="B5536" s="24" t="s">
        <v>17500</v>
      </c>
      <c r="C5536" s="24" t="s">
        <v>17501</v>
      </c>
      <c r="D5536" s="25" t="s">
        <v>17502</v>
      </c>
      <c r="E5536" s="28">
        <v>0.20000</v>
      </c>
      <c r="F5536" s="29">
        <f ca="1">ROUND(2.860,3)</f>
        <v>0</v>
      </c>
      <c r="G5536" s="27">
        <f ca="1">ROUND(E5536*F5536,2)</f>
        <v>0</v>
      </c>
    </row>
    <row r="5537" spans="1:7" ht="39.84" thickBot="1" customHeight="1">
      <c r="A5537" s="24" t="s">
        <v>17503</v>
      </c>
      <c r="B5537" s="24" t="s">
        <v>17504</v>
      </c>
      <c r="C5537" s="24" t="s">
        <v>17505</v>
      </c>
      <c r="D5537" s="25" t="s">
        <v>17506</v>
      </c>
      <c r="E5537" s="28">
        <v>0.10000</v>
      </c>
      <c r="F5537" s="29">
        <f ca="1">ROUND(1.750,3)</f>
        <v>0</v>
      </c>
      <c r="G5537" s="27">
        <f ca="1">ROUND(E5537*F5537,2)</f>
        <v>0</v>
      </c>
    </row>
    <row r="5538" spans="1:7" ht="21.36" thickBot="1" customHeight="1">
      <c r="A5538" s="24" t="s">
        <v>17507</v>
      </c>
      <c r="B5538" s="24" t="s">
        <v>17508</v>
      </c>
      <c r="C5538" s="24" t="s">
        <v>17509</v>
      </c>
      <c r="D5538" s="25" t="s">
        <v>17510</v>
      </c>
      <c r="E5538" s="28">
        <v>0.10000</v>
      </c>
      <c r="F5538" s="29">
        <f ca="1">ROUND(2.000,3)</f>
        <v>0</v>
      </c>
      <c r="G5538" s="27">
        <f ca="1">ROUND(E5538*F5538,2)</f>
        <v>0</v>
      </c>
    </row>
    <row r="5539" spans="1:7" ht="30.60" thickBot="1" customHeight="1">
      <c r="A5539" s="24" t="s">
        <v>17511</v>
      </c>
      <c r="B5539" s="24" t="s">
        <v>17512</v>
      </c>
      <c r="C5539" s="24" t="s">
        <v>17513</v>
      </c>
      <c r="D5539" s="25" t="s">
        <v>17514</v>
      </c>
      <c r="E5539" s="28">
        <v>0.10000</v>
      </c>
      <c r="F5539" s="29">
        <f ca="1">ROUND(4.920,3)</f>
        <v>0</v>
      </c>
      <c r="G5539" s="27">
        <f ca="1">ROUND(E5539*F5539,2)</f>
        <v>0</v>
      </c>
    </row>
    <row r="5540" spans="1:7" ht="21.36" thickBot="1" customHeight="1">
      <c r="A5540" s="24" t="s">
        <v>17515</v>
      </c>
      <c r="B5540" s="24" t="s">
        <v>17516</v>
      </c>
      <c r="C5540" s="24" t="s">
        <v>17517</v>
      </c>
      <c r="D5540" s="25" t="s">
        <v>17518</v>
      </c>
      <c r="E5540" s="28">
        <v>0.05000</v>
      </c>
      <c r="F5540" s="29">
        <f ca="1">ROUND(5.520,3)</f>
        <v>0</v>
      </c>
      <c r="G5540" s="27">
        <f ca="1">ROUND(E5540*F5540,2)</f>
        <v>0</v>
      </c>
    </row>
    <row r="5541" spans="1:7" ht="30.60" thickBot="1" customHeight="1">
      <c r="A5541" s="24" t="s">
        <v>17519</v>
      </c>
      <c r="B5541" s="24" t="s">
        <v>17520</v>
      </c>
      <c r="C5541" s="24" t="s">
        <v>17521</v>
      </c>
      <c r="D5541" s="25" t="s">
        <v>17522</v>
      </c>
      <c r="E5541" s="28">
        <v>0.80000</v>
      </c>
      <c r="F5541" s="29">
        <f ca="1">F5542</f>
        <v>0</v>
      </c>
      <c r="G5541" s="27">
        <f ca="1">ROUND(E5541*F5541,2)</f>
        <v>0</v>
      </c>
    </row>
    <row r="5542" spans="1:7" ht="15.12" thickBot="1" customHeight="1">
      <c r="A5542" s="26"/>
      <c r="B5542" s="26"/>
      <c r="C5542" s="26"/>
      <c r="D5542" s="24" t="s">
        <v>17523</v>
      </c>
      <c r="E5542" s="28">
        <v>0.80000</v>
      </c>
      <c r="F5542" s="29">
        <f ca="1">ROUND((),3)</f>
        <v>0</v>
      </c>
      <c r="G5542" s="27">
        <f ca="1">ROUND(E5542*F5542,2)</f>
        <v>0</v>
      </c>
    </row>
    <row r="5543" spans="1:7" ht="15.12" thickBot="1" customHeight="1">
      <c r="A5543" s="24" t="s">
        <v>17524</v>
      </c>
      <c r="B5543" s="24"/>
      <c r="C5543" s="24" t="s">
        <v>17525</v>
      </c>
      <c r="D5543" s="25" t="s">
        <v>17526</v>
      </c>
      <c r="E5543" s="28">
        <v>3.00000</v>
      </c>
      <c r="F5543" s="29">
        <f ca="1">ROUND(39.600,3)</f>
        <v>0</v>
      </c>
      <c r="G5543" s="27">
        <f ca="1">ROUND((E5543*F5543)/100,2)</f>
        <v>0</v>
      </c>
    </row>
    <row r="5544" spans="1:7" ht="25.08" thickBot="1" customHeight="1">
      <c r="A5544" s="30"/>
      <c r="B5544" s="30"/>
      <c r="C5544" s="30"/>
      <c r="D5544" s="31" t="s">
        <v>17527</v>
      </c>
      <c r="E5544" s="30"/>
      <c r="F5544" s="33">
        <f ca="1">ROUND((G5528+G5529+G5530+G5531+G5532+G5533+G5534+G5535+G5536+G5537+G5538+G5539+G5540+G5541+G5543)*(1+G2/100),2)</f>
        <v>0</v>
      </c>
      <c r="G5544" s="30"/>
    </row>
    <row r="5545" spans="1:7" ht="21.36" thickBot="1" customHeight="1">
      <c r="A5545" s="34" t="s">
        <v>17528</v>
      </c>
      <c r="B5545" s="35" t="s">
        <v>17529</v>
      </c>
      <c r="C5545" s="35" t="s">
        <v>17530</v>
      </c>
      <c r="D5545" s="36" t="s">
        <v>17531</v>
      </c>
      <c r="E5545" s="37"/>
      <c r="F5545" s="38">
        <f ca="1">F5564</f>
        <v>0</v>
      </c>
      <c r="G5545" s="37"/>
    </row>
    <row r="5546" spans="1:7" ht="49.08" thickBot="1" customHeight="1">
      <c r="A5546" s="26"/>
      <c r="B5546" s="26"/>
      <c r="C5546" s="26"/>
      <c r="D5546" s="25" t="s">
        <v>17532</v>
      </c>
      <c r="E5546" s="25"/>
      <c r="F5546" s="25"/>
      <c r="G5546" s="25"/>
    </row>
    <row r="5547" spans="1:7" ht="21.36" thickBot="1" customHeight="1">
      <c r="A5547" s="24" t="s">
        <v>17533</v>
      </c>
      <c r="B5547" s="24" t="s">
        <v>17534</v>
      </c>
      <c r="C5547" s="24" t="s">
        <v>17535</v>
      </c>
      <c r="D5547" s="25" t="s">
        <v>17536</v>
      </c>
      <c r="E5547" s="28">
        <v>1.00000</v>
      </c>
      <c r="F5547" s="29">
        <f ca="1">F5558</f>
        <v>0</v>
      </c>
      <c r="G5547" s="27">
        <f ca="1">ROUND(E5547*F5547,2)</f>
        <v>0</v>
      </c>
    </row>
    <row r="5548" spans="1:7" ht="30.60" thickBot="1" customHeight="1">
      <c r="A5548" s="24" t="s">
        <v>17537</v>
      </c>
      <c r="B5548" s="24" t="s">
        <v>17538</v>
      </c>
      <c r="C5548" s="24" t="s">
        <v>17539</v>
      </c>
      <c r="D5548" s="25" t="s">
        <v>17540</v>
      </c>
      <c r="E5548" s="28">
        <v>1.00000</v>
      </c>
      <c r="F5548" s="29">
        <f ca="1">ROUND(198.000,3)</f>
        <v>0</v>
      </c>
      <c r="G5548" s="27">
        <f ca="1">ROUND(E5548*F5548,2)</f>
        <v>0</v>
      </c>
    </row>
    <row r="5549" spans="1:7" ht="49.08" thickBot="1" customHeight="1">
      <c r="A5549" s="24" t="s">
        <v>17541</v>
      </c>
      <c r="B5549" s="24" t="s">
        <v>17542</v>
      </c>
      <c r="C5549" s="24" t="s">
        <v>17543</v>
      </c>
      <c r="D5549" s="25" t="s">
        <v>17544</v>
      </c>
      <c r="E5549" s="28">
        <v>0.10000</v>
      </c>
      <c r="F5549" s="29">
        <f ca="1">ROUND(52.890,3)</f>
        <v>0</v>
      </c>
      <c r="G5549" s="27">
        <f ca="1">ROUND(E5549*F5549,2)</f>
        <v>0</v>
      </c>
    </row>
    <row r="5550" spans="1:7" ht="30.60" thickBot="1" customHeight="1">
      <c r="A5550" s="24" t="s">
        <v>17545</v>
      </c>
      <c r="B5550" s="24" t="s">
        <v>17546</v>
      </c>
      <c r="C5550" s="24" t="s">
        <v>17547</v>
      </c>
      <c r="D5550" s="25" t="s">
        <v>17548</v>
      </c>
      <c r="E5550" s="28">
        <v>0.20000</v>
      </c>
      <c r="F5550" s="29">
        <f ca="1">ROUND(6.140,3)</f>
        <v>0</v>
      </c>
      <c r="G5550" s="27">
        <f ca="1">ROUND(E5550*F5550,2)</f>
        <v>0</v>
      </c>
    </row>
    <row r="5551" spans="1:7" ht="39.84" thickBot="1" customHeight="1">
      <c r="A5551" s="24" t="s">
        <v>17549</v>
      </c>
      <c r="B5551" s="24" t="s">
        <v>17550</v>
      </c>
      <c r="C5551" s="24" t="s">
        <v>17551</v>
      </c>
      <c r="D5551" s="25" t="s">
        <v>17552</v>
      </c>
      <c r="E5551" s="28">
        <v>0.16900</v>
      </c>
      <c r="F5551" s="29">
        <f ca="1">ROUND(7.370,3)</f>
        <v>0</v>
      </c>
      <c r="G5551" s="27">
        <f ca="1">ROUND(E5551*F5551,2)</f>
        <v>0</v>
      </c>
    </row>
    <row r="5552" spans="1:7" ht="30.60" thickBot="1" customHeight="1">
      <c r="A5552" s="24" t="s">
        <v>17553</v>
      </c>
      <c r="B5552" s="24" t="s">
        <v>17554</v>
      </c>
      <c r="C5552" s="24" t="s">
        <v>17555</v>
      </c>
      <c r="D5552" s="25" t="s">
        <v>17556</v>
      </c>
      <c r="E5552" s="28">
        <v>2.00000</v>
      </c>
      <c r="F5552" s="29">
        <f ca="1">ROUND(4.910,3)</f>
        <v>0</v>
      </c>
      <c r="G5552" s="27">
        <f ca="1">ROUND(E5552*F5552,2)</f>
        <v>0</v>
      </c>
    </row>
    <row r="5553" spans="1:7" ht="30.60" thickBot="1" customHeight="1">
      <c r="A5553" s="24" t="s">
        <v>17557</v>
      </c>
      <c r="B5553" s="24" t="s">
        <v>17558</v>
      </c>
      <c r="C5553" s="24" t="s">
        <v>17559</v>
      </c>
      <c r="D5553" s="25" t="s">
        <v>17560</v>
      </c>
      <c r="E5553" s="28">
        <v>0.50000</v>
      </c>
      <c r="F5553" s="29">
        <f ca="1">ROUND(7.930,3)</f>
        <v>0</v>
      </c>
      <c r="G5553" s="27">
        <f ca="1">ROUND(E5553*F5553,2)</f>
        <v>0</v>
      </c>
    </row>
    <row r="5554" spans="1:7" ht="39.84" thickBot="1" customHeight="1">
      <c r="A5554" s="24" t="s">
        <v>17561</v>
      </c>
      <c r="B5554" s="24" t="s">
        <v>17562</v>
      </c>
      <c r="C5554" s="24" t="s">
        <v>17563</v>
      </c>
      <c r="D5554" s="25" t="s">
        <v>17564</v>
      </c>
      <c r="E5554" s="28">
        <v>0.25000</v>
      </c>
      <c r="F5554" s="29">
        <f ca="1">ROUND(13.530,3)</f>
        <v>0</v>
      </c>
      <c r="G5554" s="27">
        <f ca="1">ROUND(E5554*F5554,2)</f>
        <v>0</v>
      </c>
    </row>
    <row r="5555" spans="1:7" ht="39.84" thickBot="1" customHeight="1">
      <c r="A5555" s="24" t="s">
        <v>17565</v>
      </c>
      <c r="B5555" s="24" t="s">
        <v>17566</v>
      </c>
      <c r="C5555" s="24" t="s">
        <v>17567</v>
      </c>
      <c r="D5555" s="25" t="s">
        <v>17568</v>
      </c>
      <c r="E5555" s="28">
        <v>0.15000</v>
      </c>
      <c r="F5555" s="29">
        <f ca="1">ROUND(2.860,3)</f>
        <v>0</v>
      </c>
      <c r="G5555" s="27">
        <f ca="1">ROUND(E5555*F5555,2)</f>
        <v>0</v>
      </c>
    </row>
    <row r="5556" spans="1:7" ht="21.36" thickBot="1" customHeight="1">
      <c r="A5556" s="24" t="s">
        <v>17569</v>
      </c>
      <c r="B5556" s="24" t="s">
        <v>17570</v>
      </c>
      <c r="C5556" s="24" t="s">
        <v>17571</v>
      </c>
      <c r="D5556" s="25" t="s">
        <v>17572</v>
      </c>
      <c r="E5556" s="28">
        <v>0.80000</v>
      </c>
      <c r="F5556" s="29">
        <f ca="1">ROUND(43.800,3)</f>
        <v>0</v>
      </c>
      <c r="G5556" s="27">
        <f ca="1">ROUND(E5556*F5556,2)</f>
        <v>0</v>
      </c>
    </row>
    <row r="5557" spans="1:7" ht="15.12" thickBot="1" customHeight="1">
      <c r="A5557" s="24" t="s">
        <v>17573</v>
      </c>
      <c r="B5557" s="24"/>
      <c r="C5557" s="24" t="s">
        <v>17574</v>
      </c>
      <c r="D5557" s="25" t="s">
        <v>17575</v>
      </c>
      <c r="E5557" s="28">
        <v>2.00000</v>
      </c>
      <c r="F5557" s="29">
        <f ca="1">ROUND(258.410,3)</f>
        <v>0</v>
      </c>
      <c r="G5557" s="27">
        <f ca="1">ROUND((E5557*F5557)/100,2)</f>
        <v>0</v>
      </c>
    </row>
    <row r="5558" spans="1:7" ht="15.12" thickBot="1" customHeight="1">
      <c r="A5558" s="26"/>
      <c r="B5558" s="26"/>
      <c r="C5558" s="26"/>
      <c r="D5558" s="24" t="s">
        <v>17576</v>
      </c>
      <c r="E5558" s="28">
        <v>1.00000</v>
      </c>
      <c r="F5558" s="29">
        <f ca="1">ROUND((G5548+G5549+G5550+G5551+G5552+G5553+G5554+G5555+G5556+G5557),3)</f>
        <v>0</v>
      </c>
      <c r="G5558" s="27">
        <f ca="1">ROUND(E5558*F5558,2)</f>
        <v>0</v>
      </c>
    </row>
    <row r="5559" spans="1:7" ht="21.36" thickBot="1" customHeight="1">
      <c r="A5559" s="24" t="s">
        <v>17577</v>
      </c>
      <c r="B5559" s="24" t="s">
        <v>17578</v>
      </c>
      <c r="C5559" s="24" t="s">
        <v>17579</v>
      </c>
      <c r="D5559" s="25" t="s">
        <v>17580</v>
      </c>
      <c r="E5559" s="28">
        <v>0.70000</v>
      </c>
      <c r="F5559" s="29">
        <f ca="1">F5563</f>
        <v>0</v>
      </c>
      <c r="G5559" s="27">
        <f ca="1">ROUND(E5559*F5559,2)</f>
        <v>0</v>
      </c>
    </row>
    <row r="5560" spans="1:7" ht="24.36" thickBot="1" customHeight="1">
      <c r="A5560" s="24" t="s">
        <v>17581</v>
      </c>
      <c r="B5560" s="24" t="s">
        <v>17582</v>
      </c>
      <c r="C5560" s="24" t="s">
        <v>17583</v>
      </c>
      <c r="D5560" s="25" t="s">
        <v>17584</v>
      </c>
      <c r="E5560" s="28">
        <v>1.00000</v>
      </c>
      <c r="F5560" s="29">
        <f ca="1">ROUND(21.000,3)</f>
        <v>0</v>
      </c>
      <c r="G5560" s="27">
        <f ca="1">ROUND(E5560*F5560,2)</f>
        <v>0</v>
      </c>
    </row>
    <row r="5561" spans="1:7" ht="24.36" thickBot="1" customHeight="1">
      <c r="A5561" s="24" t="s">
        <v>17585</v>
      </c>
      <c r="B5561" s="24" t="s">
        <v>17586</v>
      </c>
      <c r="C5561" s="24" t="s">
        <v>17587</v>
      </c>
      <c r="D5561" s="25" t="s">
        <v>17588</v>
      </c>
      <c r="E5561" s="28">
        <v>1.00000</v>
      </c>
      <c r="F5561" s="29">
        <f ca="1">ROUND(19.000,3)</f>
        <v>0</v>
      </c>
      <c r="G5561" s="27">
        <f ca="1">ROUND(E5561*F5561,2)</f>
        <v>0</v>
      </c>
    </row>
    <row r="5562" spans="1:7" ht="24.36" thickBot="1" customHeight="1">
      <c r="A5562" s="24" t="s">
        <v>17589</v>
      </c>
      <c r="B5562" s="24" t="s">
        <v>17590</v>
      </c>
      <c r="C5562" s="24" t="s">
        <v>17591</v>
      </c>
      <c r="D5562" s="25" t="s">
        <v>17592</v>
      </c>
      <c r="E5562" s="28">
        <v>0.20000</v>
      </c>
      <c r="F5562" s="29">
        <f ca="1">ROUND(19.000,3)</f>
        <v>0</v>
      </c>
      <c r="G5562" s="27">
        <f ca="1">ROUND(E5562*F5562,2)</f>
        <v>0</v>
      </c>
    </row>
    <row r="5563" spans="1:7" ht="15.12" thickBot="1" customHeight="1">
      <c r="A5563" s="26"/>
      <c r="B5563" s="26"/>
      <c r="C5563" s="26"/>
      <c r="D5563" s="24" t="s">
        <v>17593</v>
      </c>
      <c r="E5563" s="28">
        <v>0.70000</v>
      </c>
      <c r="F5563" s="29">
        <f ca="1">ROUND((G5560+G5561+G5562),3)</f>
        <v>0</v>
      </c>
      <c r="G5563" s="27">
        <f ca="1">ROUND(E5563*F5563,2)</f>
        <v>0</v>
      </c>
    </row>
    <row r="5564" spans="1:7" ht="15.48" thickBot="1" customHeight="1">
      <c r="A5564" s="30"/>
      <c r="B5564" s="30"/>
      <c r="C5564" s="30"/>
      <c r="D5564" s="31" t="s">
        <v>17594</v>
      </c>
      <c r="E5564" s="30"/>
      <c r="F5564" s="33">
        <f ca="1">ROUND((G5547+G5559)*(1+G2/100),2)</f>
        <v>0</v>
      </c>
      <c r="G5564" s="30"/>
    </row>
    <row r="5565" spans="1:7" ht="86.04" thickBot="1" customHeight="1">
      <c r="A5565" s="34" t="s">
        <v>17595</v>
      </c>
      <c r="B5565" s="35" t="s">
        <v>17596</v>
      </c>
      <c r="C5565" s="35" t="s">
        <v>17597</v>
      </c>
      <c r="D5565" s="36" t="s">
        <v>17598</v>
      </c>
      <c r="E5565" s="37"/>
      <c r="F5565" s="38">
        <f ca="1">F5575</f>
        <v>0</v>
      </c>
      <c r="G5565" s="37"/>
    </row>
    <row r="5566" spans="1:7" ht="30.60" thickBot="1" customHeight="1">
      <c r="A5566" s="26"/>
      <c r="B5566" s="26"/>
      <c r="C5566" s="26"/>
      <c r="D5566" s="25" t="s">
        <v>17599</v>
      </c>
      <c r="E5566" s="25"/>
      <c r="F5566" s="25"/>
      <c r="G5566" s="25"/>
    </row>
    <row r="5567" spans="1:7" ht="30.60" thickBot="1" customHeight="1">
      <c r="A5567" s="24" t="s">
        <v>17600</v>
      </c>
      <c r="B5567" s="24" t="s">
        <v>17601</v>
      </c>
      <c r="C5567" s="24" t="s">
        <v>17602</v>
      </c>
      <c r="D5567" s="25" t="s">
        <v>17603</v>
      </c>
      <c r="E5567" s="28">
        <v>1.10000</v>
      </c>
      <c r="F5567" s="29">
        <f ca="1">ROUND(11.670,3)</f>
        <v>0</v>
      </c>
      <c r="G5567" s="27">
        <f ca="1">ROUND(E5567*F5567,2)</f>
        <v>0</v>
      </c>
    </row>
    <row r="5568" spans="1:7" ht="30.60" thickBot="1" customHeight="1">
      <c r="A5568" s="24" t="s">
        <v>17604</v>
      </c>
      <c r="B5568" s="24" t="s">
        <v>17605</v>
      </c>
      <c r="C5568" s="24" t="s">
        <v>17606</v>
      </c>
      <c r="D5568" s="25" t="s">
        <v>17607</v>
      </c>
      <c r="E5568" s="28">
        <v>0.11000</v>
      </c>
      <c r="F5568" s="29">
        <f ca="1">ROUND(13.140,3)</f>
        <v>0</v>
      </c>
      <c r="G5568" s="27">
        <f ca="1">ROUND(E5568*F5568,2)</f>
        <v>0</v>
      </c>
    </row>
    <row r="5569" spans="1:7" ht="30.60" thickBot="1" customHeight="1">
      <c r="A5569" s="24" t="s">
        <v>17608</v>
      </c>
      <c r="B5569" s="24" t="s">
        <v>17609</v>
      </c>
      <c r="C5569" s="24" t="s">
        <v>17610</v>
      </c>
      <c r="D5569" s="25" t="s">
        <v>17611</v>
      </c>
      <c r="E5569" s="28">
        <v>0.22000</v>
      </c>
      <c r="F5569" s="29">
        <f ca="1">ROUND(6.920,3)</f>
        <v>0</v>
      </c>
      <c r="G5569" s="27">
        <f ca="1">ROUND(E5569*F5569,2)</f>
        <v>0</v>
      </c>
    </row>
    <row r="5570" spans="1:7" ht="30.60" thickBot="1" customHeight="1">
      <c r="A5570" s="24" t="s">
        <v>17612</v>
      </c>
      <c r="B5570" s="24" t="s">
        <v>17613</v>
      </c>
      <c r="C5570" s="24" t="s">
        <v>17614</v>
      </c>
      <c r="D5570" s="25" t="s">
        <v>17615</v>
      </c>
      <c r="E5570" s="28">
        <v>0.03333</v>
      </c>
      <c r="F5570" s="29">
        <f ca="1">ROUND(30.450,3)</f>
        <v>0</v>
      </c>
      <c r="G5570" s="27">
        <f ca="1">ROUND(E5570*F5570,2)</f>
        <v>0</v>
      </c>
    </row>
    <row r="5571" spans="1:7" ht="30.60" thickBot="1" customHeight="1">
      <c r="A5571" s="24" t="s">
        <v>17616</v>
      </c>
      <c r="B5571" s="24" t="s">
        <v>17617</v>
      </c>
      <c r="C5571" s="24" t="s">
        <v>17618</v>
      </c>
      <c r="D5571" s="25" t="s">
        <v>17619</v>
      </c>
      <c r="E5571" s="28">
        <v>0.80000</v>
      </c>
      <c r="F5571" s="29">
        <f ca="1">ROUND(4.180,3)</f>
        <v>0</v>
      </c>
      <c r="G5571" s="27">
        <f ca="1">ROUND(E5571*F5571,2)</f>
        <v>0</v>
      </c>
    </row>
    <row r="5572" spans="1:7" ht="30.60" thickBot="1" customHeight="1">
      <c r="A5572" s="24" t="s">
        <v>17620</v>
      </c>
      <c r="B5572" s="24" t="s">
        <v>17621</v>
      </c>
      <c r="C5572" s="24" t="s">
        <v>17622</v>
      </c>
      <c r="D5572" s="25" t="s">
        <v>17623</v>
      </c>
      <c r="E5572" s="28">
        <v>0.80000</v>
      </c>
      <c r="F5572" s="29">
        <f ca="1">F5573</f>
        <v>0</v>
      </c>
      <c r="G5572" s="27">
        <f ca="1">ROUND(E5572*F5572,2)</f>
        <v>0</v>
      </c>
    </row>
    <row r="5573" spans="1:7" ht="15.12" thickBot="1" customHeight="1">
      <c r="A5573" s="26"/>
      <c r="B5573" s="26"/>
      <c r="C5573" s="26"/>
      <c r="D5573" s="24" t="s">
        <v>17624</v>
      </c>
      <c r="E5573" s="28">
        <v>0.80000</v>
      </c>
      <c r="F5573" s="29">
        <f ca="1">ROUND((),3)</f>
        <v>0</v>
      </c>
      <c r="G5573" s="27">
        <f ca="1">ROUND(E5573*F5573,2)</f>
        <v>0</v>
      </c>
    </row>
    <row r="5574" spans="1:7" ht="15.12" thickBot="1" customHeight="1">
      <c r="A5574" s="24" t="s">
        <v>17625</v>
      </c>
      <c r="B5574" s="24"/>
      <c r="C5574" s="24" t="s">
        <v>17626</v>
      </c>
      <c r="D5574" s="25" t="s">
        <v>17627</v>
      </c>
      <c r="E5574" s="28">
        <v>5.00000</v>
      </c>
      <c r="F5574" s="29">
        <f ca="1">ROUND(39.600,3)</f>
        <v>0</v>
      </c>
      <c r="G5574" s="27">
        <f ca="1">ROUND((E5574*F5574)/100,2)</f>
        <v>0</v>
      </c>
    </row>
    <row r="5575" spans="1:7" ht="25.08" thickBot="1" customHeight="1">
      <c r="A5575" s="30"/>
      <c r="B5575" s="30"/>
      <c r="C5575" s="30"/>
      <c r="D5575" s="31" t="s">
        <v>17628</v>
      </c>
      <c r="E5575" s="30"/>
      <c r="F5575" s="33">
        <f ca="1">ROUND((G5567+G5568+G5569+G5570+G5571+G5572+G5574)*(1+G2/100),2)</f>
        <v>0</v>
      </c>
      <c r="G5575" s="30"/>
    </row>
    <row r="5576" spans="1:7" ht="86.04" thickBot="1" customHeight="1">
      <c r="A5576" s="34" t="s">
        <v>17629</v>
      </c>
      <c r="B5576" s="35" t="s">
        <v>17630</v>
      </c>
      <c r="C5576" s="35" t="s">
        <v>17631</v>
      </c>
      <c r="D5576" s="36" t="s">
        <v>17632</v>
      </c>
      <c r="E5576" s="37"/>
      <c r="F5576" s="38">
        <f ca="1">F5586</f>
        <v>0</v>
      </c>
      <c r="G5576" s="37"/>
    </row>
    <row r="5577" spans="1:7" ht="30.60" thickBot="1" customHeight="1">
      <c r="A5577" s="26"/>
      <c r="B5577" s="26"/>
      <c r="C5577" s="26"/>
      <c r="D5577" s="25" t="s">
        <v>17633</v>
      </c>
      <c r="E5577" s="25"/>
      <c r="F5577" s="25"/>
      <c r="G5577" s="25"/>
    </row>
    <row r="5578" spans="1:7" ht="39.84" thickBot="1" customHeight="1">
      <c r="A5578" s="24" t="s">
        <v>17634</v>
      </c>
      <c r="B5578" s="24" t="s">
        <v>17635</v>
      </c>
      <c r="C5578" s="24" t="s">
        <v>17636</v>
      </c>
      <c r="D5578" s="25" t="s">
        <v>17637</v>
      </c>
      <c r="E5578" s="28">
        <v>1.10000</v>
      </c>
      <c r="F5578" s="29">
        <f ca="1">ROUND(25.610,3)</f>
        <v>0</v>
      </c>
      <c r="G5578" s="27">
        <f ca="1">ROUND(E5578*F5578,2)</f>
        <v>0</v>
      </c>
    </row>
    <row r="5579" spans="1:7" ht="39.84" thickBot="1" customHeight="1">
      <c r="A5579" s="24" t="s">
        <v>17638</v>
      </c>
      <c r="B5579" s="24" t="s">
        <v>17639</v>
      </c>
      <c r="C5579" s="24" t="s">
        <v>17640</v>
      </c>
      <c r="D5579" s="25" t="s">
        <v>17641</v>
      </c>
      <c r="E5579" s="28">
        <v>0.11000</v>
      </c>
      <c r="F5579" s="29">
        <f ca="1">ROUND(49.000,3)</f>
        <v>0</v>
      </c>
      <c r="G5579" s="27">
        <f ca="1">ROUND(E5579*F5579,2)</f>
        <v>0</v>
      </c>
    </row>
    <row r="5580" spans="1:7" ht="49.08" thickBot="1" customHeight="1">
      <c r="A5580" s="24" t="s">
        <v>17642</v>
      </c>
      <c r="B5580" s="24" t="s">
        <v>17643</v>
      </c>
      <c r="C5580" s="24" t="s">
        <v>17644</v>
      </c>
      <c r="D5580" s="25" t="s">
        <v>17645</v>
      </c>
      <c r="E5580" s="28">
        <v>0.22000</v>
      </c>
      <c r="F5580" s="29">
        <f ca="1">ROUND(52.890,3)</f>
        <v>0</v>
      </c>
      <c r="G5580" s="27">
        <f ca="1">ROUND(E5580*F5580,2)</f>
        <v>0</v>
      </c>
    </row>
    <row r="5581" spans="1:7" ht="39.84" thickBot="1" customHeight="1">
      <c r="A5581" s="24" t="s">
        <v>17646</v>
      </c>
      <c r="B5581" s="24" t="s">
        <v>17647</v>
      </c>
      <c r="C5581" s="24" t="s">
        <v>17648</v>
      </c>
      <c r="D5581" s="25" t="s">
        <v>17649</v>
      </c>
      <c r="E5581" s="28">
        <v>0.30000</v>
      </c>
      <c r="F5581" s="29">
        <f ca="1">ROUND(13.530,3)</f>
        <v>0</v>
      </c>
      <c r="G5581" s="27">
        <f ca="1">ROUND(E5581*F5581,2)</f>
        <v>0</v>
      </c>
    </row>
    <row r="5582" spans="1:7" ht="30.60" thickBot="1" customHeight="1">
      <c r="A5582" s="24" t="s">
        <v>17650</v>
      </c>
      <c r="B5582" s="24" t="s">
        <v>17651</v>
      </c>
      <c r="C5582" s="24" t="s">
        <v>17652</v>
      </c>
      <c r="D5582" s="25" t="s">
        <v>17653</v>
      </c>
      <c r="E5582" s="28">
        <v>0.80000</v>
      </c>
      <c r="F5582" s="29">
        <f ca="1">ROUND(4.180,3)</f>
        <v>0</v>
      </c>
      <c r="G5582" s="27">
        <f ca="1">ROUND(E5582*F5582,2)</f>
        <v>0</v>
      </c>
    </row>
    <row r="5583" spans="1:7" ht="30.60" thickBot="1" customHeight="1">
      <c r="A5583" s="24" t="s">
        <v>17654</v>
      </c>
      <c r="B5583" s="24" t="s">
        <v>17655</v>
      </c>
      <c r="C5583" s="24" t="s">
        <v>17656</v>
      </c>
      <c r="D5583" s="25" t="s">
        <v>17657</v>
      </c>
      <c r="E5583" s="28">
        <v>0.80000</v>
      </c>
      <c r="F5583" s="29">
        <f ca="1">F5584</f>
        <v>0</v>
      </c>
      <c r="G5583" s="27">
        <f ca="1">ROUND(E5583*F5583,2)</f>
        <v>0</v>
      </c>
    </row>
    <row r="5584" spans="1:7" ht="15.12" thickBot="1" customHeight="1">
      <c r="A5584" s="26"/>
      <c r="B5584" s="26"/>
      <c r="C5584" s="26"/>
      <c r="D5584" s="24" t="s">
        <v>17658</v>
      </c>
      <c r="E5584" s="28">
        <v>0.80000</v>
      </c>
      <c r="F5584" s="29">
        <f ca="1">ROUND((),3)</f>
        <v>0</v>
      </c>
      <c r="G5584" s="27">
        <f ca="1">ROUND(E5584*F5584,2)</f>
        <v>0</v>
      </c>
    </row>
    <row r="5585" spans="1:7" ht="15.12" thickBot="1" customHeight="1">
      <c r="A5585" s="24" t="s">
        <v>17659</v>
      </c>
      <c r="B5585" s="24"/>
      <c r="C5585" s="24" t="s">
        <v>17660</v>
      </c>
      <c r="D5585" s="25" t="s">
        <v>17661</v>
      </c>
      <c r="E5585" s="28">
        <v>5.00000</v>
      </c>
      <c r="F5585" s="29">
        <f ca="1">ROUND(39.600,3)</f>
        <v>0</v>
      </c>
      <c r="G5585" s="27">
        <f ca="1">ROUND((E5585*F5585)/100,2)</f>
        <v>0</v>
      </c>
    </row>
    <row r="5586" spans="1:7" ht="25.08" thickBot="1" customHeight="1">
      <c r="A5586" s="30"/>
      <c r="B5586" s="30"/>
      <c r="C5586" s="30"/>
      <c r="D5586" s="31" t="s">
        <v>17662</v>
      </c>
      <c r="E5586" s="30"/>
      <c r="F5586" s="33">
        <f ca="1">ROUND((G5578+G5579+G5580+G5581+G5582+G5583+G5585)*(1+G2/100),2)</f>
        <v>0</v>
      </c>
      <c r="G5586" s="30"/>
    </row>
    <row r="5587" spans="1:7" ht="86.04" thickBot="1" customHeight="1">
      <c r="A5587" s="34" t="s">
        <v>17663</v>
      </c>
      <c r="B5587" s="35" t="s">
        <v>17664</v>
      </c>
      <c r="C5587" s="35" t="s">
        <v>17665</v>
      </c>
      <c r="D5587" s="36" t="s">
        <v>17666</v>
      </c>
      <c r="E5587" s="37"/>
      <c r="F5587" s="38">
        <f ca="1">F5597</f>
        <v>0</v>
      </c>
      <c r="G5587" s="37"/>
    </row>
    <row r="5588" spans="1:7" ht="30.60" thickBot="1" customHeight="1">
      <c r="A5588" s="26"/>
      <c r="B5588" s="26"/>
      <c r="C5588" s="26"/>
      <c r="D5588" s="25" t="s">
        <v>17667</v>
      </c>
      <c r="E5588" s="25"/>
      <c r="F5588" s="25"/>
      <c r="G5588" s="25"/>
    </row>
    <row r="5589" spans="1:7" ht="30.60" thickBot="1" customHeight="1">
      <c r="A5589" s="24" t="s">
        <v>17668</v>
      </c>
      <c r="B5589" s="24" t="s">
        <v>17669</v>
      </c>
      <c r="C5589" s="24" t="s">
        <v>17670</v>
      </c>
      <c r="D5589" s="25" t="s">
        <v>17671</v>
      </c>
      <c r="E5589" s="28">
        <v>2.50000</v>
      </c>
      <c r="F5589" s="29">
        <f ca="1">ROUND(11.670,3)</f>
        <v>0</v>
      </c>
      <c r="G5589" s="27">
        <f ca="1">ROUND(E5589*F5589,2)</f>
        <v>0</v>
      </c>
    </row>
    <row r="5590" spans="1:7" ht="30.60" thickBot="1" customHeight="1">
      <c r="A5590" s="24" t="s">
        <v>17672</v>
      </c>
      <c r="B5590" s="24" t="s">
        <v>17673</v>
      </c>
      <c r="C5590" s="24" t="s">
        <v>17674</v>
      </c>
      <c r="D5590" s="25" t="s">
        <v>17675</v>
      </c>
      <c r="E5590" s="28">
        <v>0.25000</v>
      </c>
      <c r="F5590" s="29">
        <f ca="1">ROUND(13.140,3)</f>
        <v>0</v>
      </c>
      <c r="G5590" s="27">
        <f ca="1">ROUND(E5590*F5590,2)</f>
        <v>0</v>
      </c>
    </row>
    <row r="5591" spans="1:7" ht="30.60" thickBot="1" customHeight="1">
      <c r="A5591" s="24" t="s">
        <v>17676</v>
      </c>
      <c r="B5591" s="24" t="s">
        <v>17677</v>
      </c>
      <c r="C5591" s="24" t="s">
        <v>17678</v>
      </c>
      <c r="D5591" s="25" t="s">
        <v>17679</v>
      </c>
      <c r="E5591" s="28">
        <v>0.50000</v>
      </c>
      <c r="F5591" s="29">
        <f ca="1">ROUND(6.920,3)</f>
        <v>0</v>
      </c>
      <c r="G5591" s="27">
        <f ca="1">ROUND(E5591*F5591,2)</f>
        <v>0</v>
      </c>
    </row>
    <row r="5592" spans="1:7" ht="30.60" thickBot="1" customHeight="1">
      <c r="A5592" s="24" t="s">
        <v>17680</v>
      </c>
      <c r="B5592" s="24" t="s">
        <v>17681</v>
      </c>
      <c r="C5592" s="24" t="s">
        <v>17682</v>
      </c>
      <c r="D5592" s="25" t="s">
        <v>17683</v>
      </c>
      <c r="E5592" s="28">
        <v>0.06667</v>
      </c>
      <c r="F5592" s="29">
        <f ca="1">ROUND(30.450,3)</f>
        <v>0</v>
      </c>
      <c r="G5592" s="27">
        <f ca="1">ROUND(E5592*F5592,2)</f>
        <v>0</v>
      </c>
    </row>
    <row r="5593" spans="1:7" ht="30.60" thickBot="1" customHeight="1">
      <c r="A5593" s="24" t="s">
        <v>17684</v>
      </c>
      <c r="B5593" s="24" t="s">
        <v>17685</v>
      </c>
      <c r="C5593" s="24" t="s">
        <v>17686</v>
      </c>
      <c r="D5593" s="25" t="s">
        <v>17687</v>
      </c>
      <c r="E5593" s="28">
        <v>1.20000</v>
      </c>
      <c r="F5593" s="29">
        <f ca="1">ROUND(4.180,3)</f>
        <v>0</v>
      </c>
      <c r="G5593" s="27">
        <f ca="1">ROUND(E5593*F5593,2)</f>
        <v>0</v>
      </c>
    </row>
    <row r="5594" spans="1:7" ht="30.60" thickBot="1" customHeight="1">
      <c r="A5594" s="24" t="s">
        <v>17688</v>
      </c>
      <c r="B5594" s="24" t="s">
        <v>17689</v>
      </c>
      <c r="C5594" s="24" t="s">
        <v>17690</v>
      </c>
      <c r="D5594" s="25" t="s">
        <v>17691</v>
      </c>
      <c r="E5594" s="28">
        <v>1.20000</v>
      </c>
      <c r="F5594" s="29">
        <f ca="1">F5595</f>
        <v>0</v>
      </c>
      <c r="G5594" s="27">
        <f ca="1">ROUND(E5594*F5594,2)</f>
        <v>0</v>
      </c>
    </row>
    <row r="5595" spans="1:7" ht="15.12" thickBot="1" customHeight="1">
      <c r="A5595" s="26"/>
      <c r="B5595" s="26"/>
      <c r="C5595" s="26"/>
      <c r="D5595" s="24" t="s">
        <v>17692</v>
      </c>
      <c r="E5595" s="28">
        <v>1.20000</v>
      </c>
      <c r="F5595" s="29">
        <f ca="1">ROUND((),3)</f>
        <v>0</v>
      </c>
      <c r="G5595" s="27">
        <f ca="1">ROUND(E5595*F5595,2)</f>
        <v>0</v>
      </c>
    </row>
    <row r="5596" spans="1:7" ht="15.12" thickBot="1" customHeight="1">
      <c r="A5596" s="24" t="s">
        <v>17693</v>
      </c>
      <c r="B5596" s="24"/>
      <c r="C5596" s="24" t="s">
        <v>17694</v>
      </c>
      <c r="D5596" s="25" t="s">
        <v>17695</v>
      </c>
      <c r="E5596" s="28">
        <v>5.00000</v>
      </c>
      <c r="F5596" s="29">
        <f ca="1">ROUND(59.400,3)</f>
        <v>0</v>
      </c>
      <c r="G5596" s="27">
        <f ca="1">ROUND((E5596*F5596)/100,2)</f>
        <v>0</v>
      </c>
    </row>
    <row r="5597" spans="1:7" ht="25.08" thickBot="1" customHeight="1">
      <c r="A5597" s="30"/>
      <c r="B5597" s="30"/>
      <c r="C5597" s="30"/>
      <c r="D5597" s="31" t="s">
        <v>17696</v>
      </c>
      <c r="E5597" s="30"/>
      <c r="F5597" s="33">
        <f ca="1">ROUND((G5589+G5590+G5591+G5592+G5593+G5594+G5596)*(1+G2/100),2)</f>
        <v>0</v>
      </c>
      <c r="G5597" s="30"/>
    </row>
    <row r="5598" spans="1:7" ht="15.48" thickBot="1" customHeight="1">
      <c r="A5598" s="39"/>
      <c r="B5598" s="39"/>
      <c r="C5598" s="39"/>
      <c r="D5598" s="50" t="s">
        <v>17697</v>
      </c>
      <c r="E5598" s="51"/>
      <c r="F5598" s="51"/>
      <c r="G5598" s="51"/>
    </row>
    <row r="5599" spans="1:7" ht="15.48" thickBot="1" customHeight="1">
      <c r="A5599" s="39"/>
      <c r="B5599" s="39"/>
      <c r="C5599" s="39"/>
      <c r="D5599" s="55" t="s">
        <v>17698</v>
      </c>
      <c r="E5599" s="56"/>
      <c r="F5599" s="56"/>
      <c r="G5599" s="56"/>
    </row>
    <row r="5600" spans="1:7" ht="22.08" thickBot="1" customHeight="1">
      <c r="A5600" s="57" t="s">
        <v>17699</v>
      </c>
      <c r="B5600" s="57" t="s">
        <v>17700</v>
      </c>
      <c r="C5600" s="58"/>
      <c r="D5600" s="59" t="s">
        <v>17701</v>
      </c>
      <c r="E5600" s="58"/>
      <c r="F5600" s="58"/>
      <c r="G5600" s="58"/>
    </row>
    <row r="5601" spans="1:7" ht="21.36" thickBot="1" customHeight="1">
      <c r="A5601" s="10" t="s">
        <v>17702</v>
      </c>
      <c r="B5601" s="24" t="s">
        <v>17703</v>
      </c>
      <c r="C5601" s="24" t="s">
        <v>17704</v>
      </c>
      <c r="D5601" s="25" t="s">
        <v>17705</v>
      </c>
      <c r="E5601" s="26"/>
      <c r="F5601" s="27">
        <f ca="1">F5604</f>
        <v>0</v>
      </c>
      <c r="G5601" s="26"/>
    </row>
    <row r="5602" spans="1:7" ht="86.04" thickBot="1" customHeight="1">
      <c r="A5602" s="26"/>
      <c r="B5602" s="26"/>
      <c r="C5602" s="26"/>
      <c r="D5602" s="25" t="s">
        <v>17706</v>
      </c>
      <c r="E5602" s="25"/>
      <c r="F5602" s="25"/>
      <c r="G5602" s="25"/>
    </row>
    <row r="5603" spans="1:7" ht="30.60" thickBot="1" customHeight="1">
      <c r="A5603" s="24" t="s">
        <v>17707</v>
      </c>
      <c r="B5603" s="24" t="s">
        <v>17708</v>
      </c>
      <c r="C5603" s="24" t="s">
        <v>17709</v>
      </c>
      <c r="D5603" s="25" t="s">
        <v>17710</v>
      </c>
      <c r="E5603" s="28">
        <v>0.85500</v>
      </c>
      <c r="F5603" s="29">
        <f ca="1">ROUND(3850.000,3)</f>
        <v>0</v>
      </c>
      <c r="G5603" s="27">
        <f ca="1">ROUND(E5603*F5603,2)</f>
        <v>0</v>
      </c>
    </row>
    <row r="5604" spans="1:7" ht="15.48" thickBot="1" customHeight="1">
      <c r="A5604" s="30"/>
      <c r="B5604" s="30"/>
      <c r="C5604" s="30"/>
      <c r="D5604" s="31" t="s">
        <v>17711</v>
      </c>
      <c r="E5604" s="30"/>
      <c r="F5604" s="33">
        <f ca="1">ROUND((G5603)*(1+G2/100),2)</f>
        <v>0</v>
      </c>
      <c r="G5604" s="30"/>
    </row>
    <row r="5605" spans="1:7" ht="39.84" thickBot="1" customHeight="1">
      <c r="A5605" s="34" t="s">
        <v>17712</v>
      </c>
      <c r="B5605" s="35" t="s">
        <v>17713</v>
      </c>
      <c r="C5605" s="35" t="s">
        <v>17714</v>
      </c>
      <c r="D5605" s="36" t="s">
        <v>17715</v>
      </c>
      <c r="E5605" s="37"/>
      <c r="F5605" s="38">
        <f ca="1">F5608</f>
        <v>0</v>
      </c>
      <c r="G5605" s="37"/>
    </row>
    <row r="5606" spans="1:7" ht="30.60" thickBot="1" customHeight="1">
      <c r="A5606" s="26"/>
      <c r="B5606" s="26"/>
      <c r="C5606" s="26"/>
      <c r="D5606" s="25" t="s">
        <v>17716</v>
      </c>
      <c r="E5606" s="25"/>
      <c r="F5606" s="25"/>
      <c r="G5606" s="25"/>
    </row>
    <row r="5607" spans="1:7" ht="24.36" thickBot="1" customHeight="1">
      <c r="A5607" s="24" t="s">
        <v>17717</v>
      </c>
      <c r="B5607" s="24" t="s">
        <v>17718</v>
      </c>
      <c r="C5607" s="24" t="s">
        <v>17719</v>
      </c>
      <c r="D5607" s="25" t="s">
        <v>17720</v>
      </c>
      <c r="E5607" s="28">
        <v>1.00000</v>
      </c>
      <c r="F5607" s="29">
        <f ca="1">ROUND(240.000,3)</f>
        <v>0</v>
      </c>
      <c r="G5607" s="27">
        <f ca="1">ROUND(E5607*F5607,2)</f>
        <v>0</v>
      </c>
    </row>
    <row r="5608" spans="1:7" ht="15.48" thickBot="1" customHeight="1">
      <c r="A5608" s="30"/>
      <c r="B5608" s="30"/>
      <c r="C5608" s="30"/>
      <c r="D5608" s="31" t="s">
        <v>17721</v>
      </c>
      <c r="E5608" s="30"/>
      <c r="F5608" s="33">
        <f ca="1">ROUND((G5607)*(1+G2/100),2)</f>
        <v>0</v>
      </c>
      <c r="G5608" s="30"/>
    </row>
    <row r="5609" spans="1:7" ht="30.60" thickBot="1" customHeight="1">
      <c r="A5609" s="34" t="s">
        <v>17722</v>
      </c>
      <c r="B5609" s="35" t="s">
        <v>17723</v>
      </c>
      <c r="C5609" s="35" t="s">
        <v>17724</v>
      </c>
      <c r="D5609" s="36" t="s">
        <v>17725</v>
      </c>
      <c r="E5609" s="37"/>
      <c r="F5609" s="38">
        <f ca="1">F5612</f>
        <v>0</v>
      </c>
      <c r="G5609" s="37"/>
    </row>
    <row r="5610" spans="1:7" ht="12.12" thickBot="1" customHeight="1">
      <c r="A5610" s="26"/>
      <c r="B5610" s="26"/>
      <c r="C5610" s="26"/>
      <c r="D5610" s="25" t="s">
        <v>17726</v>
      </c>
      <c r="E5610" s="25"/>
      <c r="F5610" s="25"/>
      <c r="G5610" s="25"/>
    </row>
    <row r="5611" spans="1:7" ht="24.36" thickBot="1" customHeight="1">
      <c r="A5611" s="24" t="s">
        <v>17727</v>
      </c>
      <c r="B5611" s="24" t="s">
        <v>17728</v>
      </c>
      <c r="C5611" s="24" t="s">
        <v>17729</v>
      </c>
      <c r="D5611" s="25" t="s">
        <v>17730</v>
      </c>
      <c r="E5611" s="28">
        <v>1.00000</v>
      </c>
      <c r="F5611" s="29">
        <f ca="1">ROUND(90.000,3)</f>
        <v>0</v>
      </c>
      <c r="G5611" s="27">
        <f ca="1">ROUND(E5611*F5611,2)</f>
        <v>0</v>
      </c>
    </row>
    <row r="5612" spans="1:7" ht="15.48" thickBot="1" customHeight="1">
      <c r="A5612" s="30"/>
      <c r="B5612" s="30"/>
      <c r="C5612" s="30"/>
      <c r="D5612" s="31" t="s">
        <v>17731</v>
      </c>
      <c r="E5612" s="30"/>
      <c r="F5612" s="33">
        <f ca="1">ROUND((G5611)*(1+G2/100),2)</f>
        <v>0</v>
      </c>
      <c r="G5612" s="30"/>
    </row>
    <row r="5613" spans="1:7" ht="15.48" thickBot="1" customHeight="1">
      <c r="A5613" s="34" t="s">
        <v>17732</v>
      </c>
      <c r="B5613" s="35" t="s">
        <v>17733</v>
      </c>
      <c r="C5613" s="35" t="s">
        <v>17734</v>
      </c>
      <c r="D5613" s="36" t="s">
        <v>17735</v>
      </c>
      <c r="E5613" s="37"/>
      <c r="F5613" s="38">
        <f ca="1">F5621</f>
        <v>0</v>
      </c>
      <c r="G5613" s="37"/>
    </row>
    <row r="5614" spans="1:7" ht="39.84" thickBot="1" customHeight="1">
      <c r="A5614" s="26"/>
      <c r="B5614" s="26"/>
      <c r="C5614" s="26"/>
      <c r="D5614" s="25" t="s">
        <v>17736</v>
      </c>
      <c r="E5614" s="25"/>
      <c r="F5614" s="25"/>
      <c r="G5614" s="25"/>
    </row>
    <row r="5615" spans="1:7" ht="21.36" thickBot="1" customHeight="1">
      <c r="A5615" s="24" t="s">
        <v>17737</v>
      </c>
      <c r="B5615" s="24" t="s">
        <v>17738</v>
      </c>
      <c r="C5615" s="24" t="s">
        <v>17739</v>
      </c>
      <c r="D5615" s="25" t="s">
        <v>17740</v>
      </c>
      <c r="E5615" s="28">
        <v>1.00000</v>
      </c>
      <c r="F5615" s="29">
        <f ca="1">ROUND(66.000,3)</f>
        <v>0</v>
      </c>
      <c r="G5615" s="27">
        <f ca="1">ROUND(E5615*F5615,2)</f>
        <v>0</v>
      </c>
    </row>
    <row r="5616" spans="1:7" ht="21.36" thickBot="1" customHeight="1">
      <c r="A5616" s="24" t="s">
        <v>17741</v>
      </c>
      <c r="B5616" s="24" t="s">
        <v>17742</v>
      </c>
      <c r="C5616" s="24" t="s">
        <v>17743</v>
      </c>
      <c r="D5616" s="25" t="s">
        <v>17744</v>
      </c>
      <c r="E5616" s="28">
        <v>0.18000</v>
      </c>
      <c r="F5616" s="29">
        <f ca="1">F5620</f>
        <v>0</v>
      </c>
      <c r="G5616" s="27">
        <f ca="1">ROUND(E5616*F5616,2)</f>
        <v>0</v>
      </c>
    </row>
    <row r="5617" spans="1:7" ht="24.36" thickBot="1" customHeight="1">
      <c r="A5617" s="24" t="s">
        <v>17745</v>
      </c>
      <c r="B5617" s="24" t="s">
        <v>17746</v>
      </c>
      <c r="C5617" s="24" t="s">
        <v>17747</v>
      </c>
      <c r="D5617" s="25" t="s">
        <v>17748</v>
      </c>
      <c r="E5617" s="28">
        <v>1.00000</v>
      </c>
      <c r="F5617" s="29">
        <f ca="1">ROUND(21.000,3)</f>
        <v>0</v>
      </c>
      <c r="G5617" s="27">
        <f ca="1">ROUND(E5617*F5617,2)</f>
        <v>0</v>
      </c>
    </row>
    <row r="5618" spans="1:7" ht="24.36" thickBot="1" customHeight="1">
      <c r="A5618" s="24" t="s">
        <v>17749</v>
      </c>
      <c r="B5618" s="24" t="s">
        <v>17750</v>
      </c>
      <c r="C5618" s="24" t="s">
        <v>17751</v>
      </c>
      <c r="D5618" s="25" t="s">
        <v>17752</v>
      </c>
      <c r="E5618" s="28">
        <v>1.00000</v>
      </c>
      <c r="F5618" s="29">
        <f ca="1">ROUND(19.000,3)</f>
        <v>0</v>
      </c>
      <c r="G5618" s="27">
        <f ca="1">ROUND(E5618*F5618,2)</f>
        <v>0</v>
      </c>
    </row>
    <row r="5619" spans="1:7" ht="24.36" thickBot="1" customHeight="1">
      <c r="A5619" s="24" t="s">
        <v>17753</v>
      </c>
      <c r="B5619" s="24" t="s">
        <v>17754</v>
      </c>
      <c r="C5619" s="24" t="s">
        <v>17755</v>
      </c>
      <c r="D5619" s="25" t="s">
        <v>17756</v>
      </c>
      <c r="E5619" s="28">
        <v>0.20000</v>
      </c>
      <c r="F5619" s="29">
        <f ca="1">ROUND(19.000,3)</f>
        <v>0</v>
      </c>
      <c r="G5619" s="27">
        <f ca="1">ROUND(E5619*F5619,2)</f>
        <v>0</v>
      </c>
    </row>
    <row r="5620" spans="1:7" ht="15.12" thickBot="1" customHeight="1">
      <c r="A5620" s="26"/>
      <c r="B5620" s="26"/>
      <c r="C5620" s="26"/>
      <c r="D5620" s="24" t="s">
        <v>17757</v>
      </c>
      <c r="E5620" s="28">
        <v>0.18000</v>
      </c>
      <c r="F5620" s="29">
        <f ca="1">ROUND((G5617+G5618+G5619),3)</f>
        <v>0</v>
      </c>
      <c r="G5620" s="27">
        <f ca="1">ROUND(E5620*F5620,2)</f>
        <v>0</v>
      </c>
    </row>
    <row r="5621" spans="1:7" ht="15.48" thickBot="1" customHeight="1">
      <c r="A5621" s="30"/>
      <c r="B5621" s="30"/>
      <c r="C5621" s="30"/>
      <c r="D5621" s="31" t="s">
        <v>17758</v>
      </c>
      <c r="E5621" s="30"/>
      <c r="F5621" s="33">
        <f ca="1">ROUND((G5615+G5616)*(1+G2/100),2)</f>
        <v>0</v>
      </c>
      <c r="G5621" s="30"/>
    </row>
    <row r="5622" spans="1:7" ht="30.60" thickBot="1" customHeight="1">
      <c r="A5622" s="34" t="s">
        <v>17759</v>
      </c>
      <c r="B5622" s="35" t="s">
        <v>17760</v>
      </c>
      <c r="C5622" s="35" t="s">
        <v>17761</v>
      </c>
      <c r="D5622" s="36" t="s">
        <v>17762</v>
      </c>
      <c r="E5622" s="37"/>
      <c r="F5622" s="38">
        <f ca="1">F5630</f>
        <v>0</v>
      </c>
      <c r="G5622" s="37"/>
    </row>
    <row r="5623" spans="1:7" ht="30.60" thickBot="1" customHeight="1">
      <c r="A5623" s="26"/>
      <c r="B5623" s="26"/>
      <c r="C5623" s="26"/>
      <c r="D5623" s="25" t="s">
        <v>17763</v>
      </c>
      <c r="E5623" s="25"/>
      <c r="F5623" s="25"/>
      <c r="G5623" s="25"/>
    </row>
    <row r="5624" spans="1:7" ht="21.36" thickBot="1" customHeight="1">
      <c r="A5624" s="24" t="s">
        <v>17764</v>
      </c>
      <c r="B5624" s="24" t="s">
        <v>17765</v>
      </c>
      <c r="C5624" s="24" t="s">
        <v>17766</v>
      </c>
      <c r="D5624" s="25" t="s">
        <v>17767</v>
      </c>
      <c r="E5624" s="28">
        <v>0.06660</v>
      </c>
      <c r="F5624" s="29">
        <f ca="1">F5628</f>
        <v>0</v>
      </c>
      <c r="G5624" s="27">
        <f ca="1">ROUND(E5624*F5624,2)</f>
        <v>0</v>
      </c>
    </row>
    <row r="5625" spans="1:7" ht="24.36" thickBot="1" customHeight="1">
      <c r="A5625" s="24" t="s">
        <v>17768</v>
      </c>
      <c r="B5625" s="24" t="s">
        <v>17769</v>
      </c>
      <c r="C5625" s="24" t="s">
        <v>17770</v>
      </c>
      <c r="D5625" s="25" t="s">
        <v>17771</v>
      </c>
      <c r="E5625" s="28">
        <v>1.00000</v>
      </c>
      <c r="F5625" s="29">
        <f ca="1">ROUND(21.000,3)</f>
        <v>0</v>
      </c>
      <c r="G5625" s="27">
        <f ca="1">ROUND(E5625*F5625,2)</f>
        <v>0</v>
      </c>
    </row>
    <row r="5626" spans="1:7" ht="24.36" thickBot="1" customHeight="1">
      <c r="A5626" s="24" t="s">
        <v>17772</v>
      </c>
      <c r="B5626" s="24" t="s">
        <v>17773</v>
      </c>
      <c r="C5626" s="24" t="s">
        <v>17774</v>
      </c>
      <c r="D5626" s="25" t="s">
        <v>17775</v>
      </c>
      <c r="E5626" s="28">
        <v>1.00000</v>
      </c>
      <c r="F5626" s="29">
        <f ca="1">ROUND(19.000,3)</f>
        <v>0</v>
      </c>
      <c r="G5626" s="27">
        <f ca="1">ROUND(E5626*F5626,2)</f>
        <v>0</v>
      </c>
    </row>
    <row r="5627" spans="1:7" ht="24.36" thickBot="1" customHeight="1">
      <c r="A5627" s="24" t="s">
        <v>17776</v>
      </c>
      <c r="B5627" s="24" t="s">
        <v>17777</v>
      </c>
      <c r="C5627" s="24" t="s">
        <v>17778</v>
      </c>
      <c r="D5627" s="25" t="s">
        <v>17779</v>
      </c>
      <c r="E5627" s="28">
        <v>0.20000</v>
      </c>
      <c r="F5627" s="29">
        <f ca="1">ROUND(19.000,3)</f>
        <v>0</v>
      </c>
      <c r="G5627" s="27">
        <f ca="1">ROUND(E5627*F5627,2)</f>
        <v>0</v>
      </c>
    </row>
    <row r="5628" spans="1:7" ht="15.12" thickBot="1" customHeight="1">
      <c r="A5628" s="26"/>
      <c r="B5628" s="26"/>
      <c r="C5628" s="26"/>
      <c r="D5628" s="24" t="s">
        <v>17780</v>
      </c>
      <c r="E5628" s="28">
        <v>0.06660</v>
      </c>
      <c r="F5628" s="29">
        <f ca="1">ROUND((G5625+G5626+G5627),3)</f>
        <v>0</v>
      </c>
      <c r="G5628" s="27">
        <f ca="1">ROUND(E5628*F5628,2)</f>
        <v>0</v>
      </c>
    </row>
    <row r="5629" spans="1:7" ht="15.12" thickBot="1" customHeight="1">
      <c r="A5629" s="24" t="s">
        <v>17781</v>
      </c>
      <c r="B5629" s="24"/>
      <c r="C5629" s="24" t="s">
        <v>17782</v>
      </c>
      <c r="D5629" s="25" t="s">
        <v>17783</v>
      </c>
      <c r="E5629" s="28">
        <v>3.00000</v>
      </c>
      <c r="F5629" s="29">
        <f ca="1">ROUND(2.920,3)</f>
        <v>0</v>
      </c>
      <c r="G5629" s="27">
        <f ca="1">ROUND((E5629*F5629)/100,2)</f>
        <v>0</v>
      </c>
    </row>
    <row r="5630" spans="1:7" ht="15.48" thickBot="1" customHeight="1">
      <c r="A5630" s="30"/>
      <c r="B5630" s="30"/>
      <c r="C5630" s="30"/>
      <c r="D5630" s="31" t="s">
        <v>17784</v>
      </c>
      <c r="E5630" s="30"/>
      <c r="F5630" s="33">
        <f ca="1">ROUND((G5624+G5629)*(1+G2/100),2)</f>
        <v>0</v>
      </c>
      <c r="G5630" s="30"/>
    </row>
    <row r="5631" spans="1:7" ht="21.36" thickBot="1" customHeight="1">
      <c r="A5631" s="34" t="s">
        <v>17785</v>
      </c>
      <c r="B5631" s="35" t="s">
        <v>17786</v>
      </c>
      <c r="C5631" s="35" t="s">
        <v>17787</v>
      </c>
      <c r="D5631" s="36" t="s">
        <v>17788</v>
      </c>
      <c r="E5631" s="37"/>
      <c r="F5631" s="38">
        <f ca="1">F5640</f>
        <v>0</v>
      </c>
      <c r="G5631" s="37"/>
    </row>
    <row r="5632" spans="1:7" ht="30.60" thickBot="1" customHeight="1">
      <c r="A5632" s="26"/>
      <c r="B5632" s="26"/>
      <c r="C5632" s="26"/>
      <c r="D5632" s="25" t="s">
        <v>17789</v>
      </c>
      <c r="E5632" s="25"/>
      <c r="F5632" s="25"/>
      <c r="G5632" s="25"/>
    </row>
    <row r="5633" spans="1:7" ht="30.60" thickBot="1" customHeight="1">
      <c r="A5633" s="24" t="s">
        <v>17790</v>
      </c>
      <c r="B5633" s="24" t="s">
        <v>17791</v>
      </c>
      <c r="C5633" s="24" t="s">
        <v>17792</v>
      </c>
      <c r="D5633" s="25" t="s">
        <v>17793</v>
      </c>
      <c r="E5633" s="28">
        <v>0.10000</v>
      </c>
      <c r="F5633" s="29">
        <f ca="1">ROUND(6.190,3)</f>
        <v>0</v>
      </c>
      <c r="G5633" s="27">
        <f ca="1">ROUND(E5633*F5633,2)</f>
        <v>0</v>
      </c>
    </row>
    <row r="5634" spans="1:7" ht="21.36" thickBot="1" customHeight="1">
      <c r="A5634" s="24" t="s">
        <v>17794</v>
      </c>
      <c r="B5634" s="24" t="s">
        <v>17795</v>
      </c>
      <c r="C5634" s="24" t="s">
        <v>17796</v>
      </c>
      <c r="D5634" s="25" t="s">
        <v>17797</v>
      </c>
      <c r="E5634" s="28">
        <v>0.15000</v>
      </c>
      <c r="F5634" s="29">
        <f ca="1">F5638</f>
        <v>0</v>
      </c>
      <c r="G5634" s="27">
        <f ca="1">ROUND(E5634*F5634,2)</f>
        <v>0</v>
      </c>
    </row>
    <row r="5635" spans="1:7" ht="24.36" thickBot="1" customHeight="1">
      <c r="A5635" s="24" t="s">
        <v>17798</v>
      </c>
      <c r="B5635" s="24" t="s">
        <v>17799</v>
      </c>
      <c r="C5635" s="24" t="s">
        <v>17800</v>
      </c>
      <c r="D5635" s="25" t="s">
        <v>17801</v>
      </c>
      <c r="E5635" s="28">
        <v>1.00000</v>
      </c>
      <c r="F5635" s="29">
        <f ca="1">ROUND(21.000,3)</f>
        <v>0</v>
      </c>
      <c r="G5635" s="27">
        <f ca="1">ROUND(E5635*F5635,2)</f>
        <v>0</v>
      </c>
    </row>
    <row r="5636" spans="1:7" ht="24.36" thickBot="1" customHeight="1">
      <c r="A5636" s="24" t="s">
        <v>17802</v>
      </c>
      <c r="B5636" s="24" t="s">
        <v>17803</v>
      </c>
      <c r="C5636" s="24" t="s">
        <v>17804</v>
      </c>
      <c r="D5636" s="25" t="s">
        <v>17805</v>
      </c>
      <c r="E5636" s="28">
        <v>1.00000</v>
      </c>
      <c r="F5636" s="29">
        <f ca="1">ROUND(19.000,3)</f>
        <v>0</v>
      </c>
      <c r="G5636" s="27">
        <f ca="1">ROUND(E5636*F5636,2)</f>
        <v>0</v>
      </c>
    </row>
    <row r="5637" spans="1:7" ht="24.36" thickBot="1" customHeight="1">
      <c r="A5637" s="24" t="s">
        <v>17806</v>
      </c>
      <c r="B5637" s="24" t="s">
        <v>17807</v>
      </c>
      <c r="C5637" s="24" t="s">
        <v>17808</v>
      </c>
      <c r="D5637" s="25" t="s">
        <v>17809</v>
      </c>
      <c r="E5637" s="28">
        <v>0.20000</v>
      </c>
      <c r="F5637" s="29">
        <f ca="1">ROUND(19.000,3)</f>
        <v>0</v>
      </c>
      <c r="G5637" s="27">
        <f ca="1">ROUND(E5637*F5637,2)</f>
        <v>0</v>
      </c>
    </row>
    <row r="5638" spans="1:7" ht="15.12" thickBot="1" customHeight="1">
      <c r="A5638" s="26"/>
      <c r="B5638" s="26"/>
      <c r="C5638" s="26"/>
      <c r="D5638" s="24" t="s">
        <v>17810</v>
      </c>
      <c r="E5638" s="28">
        <v>0.15000</v>
      </c>
      <c r="F5638" s="29">
        <f ca="1">ROUND((G5635+G5636+G5637),3)</f>
        <v>0</v>
      </c>
      <c r="G5638" s="27">
        <f ca="1">ROUND(E5638*F5638,2)</f>
        <v>0</v>
      </c>
    </row>
    <row r="5639" spans="1:7" ht="15.12" thickBot="1" customHeight="1">
      <c r="A5639" s="24" t="s">
        <v>17811</v>
      </c>
      <c r="B5639" s="24"/>
      <c r="C5639" s="24" t="s">
        <v>17812</v>
      </c>
      <c r="D5639" s="25" t="s">
        <v>17813</v>
      </c>
      <c r="E5639" s="28">
        <v>3.00000</v>
      </c>
      <c r="F5639" s="29">
        <f ca="1">ROUND(6.570,3)</f>
        <v>0</v>
      </c>
      <c r="G5639" s="27">
        <f ca="1">ROUND((E5639*F5639)/100,2)</f>
        <v>0</v>
      </c>
    </row>
    <row r="5640" spans="1:7" ht="15.48" thickBot="1" customHeight="1">
      <c r="A5640" s="30"/>
      <c r="B5640" s="30"/>
      <c r="C5640" s="30"/>
      <c r="D5640" s="31" t="s">
        <v>17814</v>
      </c>
      <c r="E5640" s="30"/>
      <c r="F5640" s="33">
        <f ca="1">ROUND((G5633+G5634+G5639)*(1+G2/100),2)</f>
        <v>0</v>
      </c>
      <c r="G5640" s="30"/>
    </row>
    <row r="5641" spans="1:7" ht="21.36" thickBot="1" customHeight="1">
      <c r="A5641" s="34" t="s">
        <v>17815</v>
      </c>
      <c r="B5641" s="35" t="s">
        <v>17816</v>
      </c>
      <c r="C5641" s="35" t="s">
        <v>17817</v>
      </c>
      <c r="D5641" s="36" t="s">
        <v>17818</v>
      </c>
      <c r="E5641" s="37"/>
      <c r="F5641" s="38">
        <f ca="1">F5650</f>
        <v>0</v>
      </c>
      <c r="G5641" s="37"/>
    </row>
    <row r="5642" spans="1:7" ht="30.60" thickBot="1" customHeight="1">
      <c r="A5642" s="26"/>
      <c r="B5642" s="26"/>
      <c r="C5642" s="26"/>
      <c r="D5642" s="25" t="s">
        <v>17819</v>
      </c>
      <c r="E5642" s="25"/>
      <c r="F5642" s="25"/>
      <c r="G5642" s="25"/>
    </row>
    <row r="5643" spans="1:7" ht="21.36" thickBot="1" customHeight="1">
      <c r="A5643" s="24" t="s">
        <v>17820</v>
      </c>
      <c r="B5643" s="24" t="s">
        <v>17821</v>
      </c>
      <c r="C5643" s="24" t="s">
        <v>17822</v>
      </c>
      <c r="D5643" s="25" t="s">
        <v>17823</v>
      </c>
      <c r="E5643" s="28">
        <v>1.00000</v>
      </c>
      <c r="F5643" s="29">
        <f ca="1">ROUND(6.750,3)</f>
        <v>0</v>
      </c>
      <c r="G5643" s="27">
        <f ca="1">ROUND(E5643*F5643,2)</f>
        <v>0</v>
      </c>
    </row>
    <row r="5644" spans="1:7" ht="21.36" thickBot="1" customHeight="1">
      <c r="A5644" s="24" t="s">
        <v>17824</v>
      </c>
      <c r="B5644" s="24" t="s">
        <v>17825</v>
      </c>
      <c r="C5644" s="24" t="s">
        <v>17826</v>
      </c>
      <c r="D5644" s="25" t="s">
        <v>17827</v>
      </c>
      <c r="E5644" s="28">
        <v>1.50000</v>
      </c>
      <c r="F5644" s="29">
        <f ca="1">F5648</f>
        <v>0</v>
      </c>
      <c r="G5644" s="27">
        <f ca="1">ROUND(E5644*F5644,2)</f>
        <v>0</v>
      </c>
    </row>
    <row r="5645" spans="1:7" ht="24.36" thickBot="1" customHeight="1">
      <c r="A5645" s="24" t="s">
        <v>17828</v>
      </c>
      <c r="B5645" s="24" t="s">
        <v>17829</v>
      </c>
      <c r="C5645" s="24" t="s">
        <v>17830</v>
      </c>
      <c r="D5645" s="25" t="s">
        <v>17831</v>
      </c>
      <c r="E5645" s="28">
        <v>1.00000</v>
      </c>
      <c r="F5645" s="29">
        <f ca="1">ROUND(21.000,3)</f>
        <v>0</v>
      </c>
      <c r="G5645" s="27">
        <f ca="1">ROUND(E5645*F5645,2)</f>
        <v>0</v>
      </c>
    </row>
    <row r="5646" spans="1:7" ht="24.36" thickBot="1" customHeight="1">
      <c r="A5646" s="24" t="s">
        <v>17832</v>
      </c>
      <c r="B5646" s="24" t="s">
        <v>17833</v>
      </c>
      <c r="C5646" s="24" t="s">
        <v>17834</v>
      </c>
      <c r="D5646" s="25" t="s">
        <v>17835</v>
      </c>
      <c r="E5646" s="28">
        <v>1.00000</v>
      </c>
      <c r="F5646" s="29">
        <f ca="1">ROUND(19.000,3)</f>
        <v>0</v>
      </c>
      <c r="G5646" s="27">
        <f ca="1">ROUND(E5646*F5646,2)</f>
        <v>0</v>
      </c>
    </row>
    <row r="5647" spans="1:7" ht="24.36" thickBot="1" customHeight="1">
      <c r="A5647" s="24" t="s">
        <v>17836</v>
      </c>
      <c r="B5647" s="24" t="s">
        <v>17837</v>
      </c>
      <c r="C5647" s="24" t="s">
        <v>17838</v>
      </c>
      <c r="D5647" s="25" t="s">
        <v>17839</v>
      </c>
      <c r="E5647" s="28">
        <v>0.20000</v>
      </c>
      <c r="F5647" s="29">
        <f ca="1">ROUND(19.000,3)</f>
        <v>0</v>
      </c>
      <c r="G5647" s="27">
        <f ca="1">ROUND(E5647*F5647,2)</f>
        <v>0</v>
      </c>
    </row>
    <row r="5648" spans="1:7" ht="15.12" thickBot="1" customHeight="1">
      <c r="A5648" s="26"/>
      <c r="B5648" s="26"/>
      <c r="C5648" s="26"/>
      <c r="D5648" s="24" t="s">
        <v>17840</v>
      </c>
      <c r="E5648" s="28">
        <v>1.50000</v>
      </c>
      <c r="F5648" s="29">
        <f ca="1">ROUND((G5645+G5646+G5647),3)</f>
        <v>0</v>
      </c>
      <c r="G5648" s="27">
        <f ca="1">ROUND(E5648*F5648,2)</f>
        <v>0</v>
      </c>
    </row>
    <row r="5649" spans="1:7" ht="15.12" thickBot="1" customHeight="1">
      <c r="A5649" s="24" t="s">
        <v>17841</v>
      </c>
      <c r="B5649" s="24"/>
      <c r="C5649" s="24" t="s">
        <v>17842</v>
      </c>
      <c r="D5649" s="25" t="s">
        <v>17843</v>
      </c>
      <c r="E5649" s="28">
        <v>3.00000</v>
      </c>
      <c r="F5649" s="29">
        <f ca="1">ROUND(65.700,3)</f>
        <v>0</v>
      </c>
      <c r="G5649" s="27">
        <f ca="1">ROUND((E5649*F5649)/100,2)</f>
        <v>0</v>
      </c>
    </row>
    <row r="5650" spans="1:7" ht="15.48" thickBot="1" customHeight="1">
      <c r="A5650" s="30"/>
      <c r="B5650" s="30"/>
      <c r="C5650" s="30"/>
      <c r="D5650" s="31" t="s">
        <v>17844</v>
      </c>
      <c r="E5650" s="30"/>
      <c r="F5650" s="33">
        <f ca="1">ROUND((G5643+G5644+G5649)*(1+G2/100),2)</f>
        <v>0</v>
      </c>
      <c r="G5650" s="30"/>
    </row>
    <row r="5651" spans="1:7" ht="34.68" thickBot="1" customHeight="1">
      <c r="A5651" s="34" t="s">
        <v>17845</v>
      </c>
      <c r="B5651" s="35" t="s">
        <v>17846</v>
      </c>
      <c r="C5651" s="35" t="s">
        <v>17847</v>
      </c>
      <c r="D5651" s="36" t="s">
        <v>17848</v>
      </c>
      <c r="E5651" s="37"/>
      <c r="F5651" s="38">
        <f ca="1">F5662</f>
        <v>0</v>
      </c>
      <c r="G5651" s="37"/>
    </row>
    <row r="5652" spans="1:7" ht="12.12" thickBot="1" customHeight="1">
      <c r="A5652" s="26"/>
      <c r="B5652" s="26"/>
      <c r="C5652" s="26"/>
      <c r="D5652" s="25" t="s">
        <v>17849</v>
      </c>
      <c r="E5652" s="25"/>
      <c r="F5652" s="25"/>
      <c r="G5652" s="25"/>
    </row>
    <row r="5653" spans="1:7" ht="39.84" thickBot="1" customHeight="1">
      <c r="A5653" s="24" t="s">
        <v>17850</v>
      </c>
      <c r="B5653" s="24" t="s">
        <v>17851</v>
      </c>
      <c r="C5653" s="24" t="s">
        <v>17852</v>
      </c>
      <c r="D5653" s="25" t="s">
        <v>17853</v>
      </c>
      <c r="E5653" s="28">
        <v>1.00000</v>
      </c>
      <c r="F5653" s="29">
        <f ca="1">ROUND(88.430,3)</f>
        <v>0</v>
      </c>
      <c r="G5653" s="27">
        <f ca="1">ROUND(E5653*F5653,2)</f>
        <v>0</v>
      </c>
    </row>
    <row r="5654" spans="1:7" ht="21.36" thickBot="1" customHeight="1">
      <c r="A5654" s="24" t="s">
        <v>17854</v>
      </c>
      <c r="B5654" s="24" t="s">
        <v>17855</v>
      </c>
      <c r="C5654" s="24" t="s">
        <v>17856</v>
      </c>
      <c r="D5654" s="25" t="s">
        <v>17857</v>
      </c>
      <c r="E5654" s="28">
        <v>0.20000</v>
      </c>
      <c r="F5654" s="29">
        <f ca="1">ROUND(6.490,3)</f>
        <v>0</v>
      </c>
      <c r="G5654" s="27">
        <f ca="1">ROUND(E5654*F5654,2)</f>
        <v>0</v>
      </c>
    </row>
    <row r="5655" spans="1:7" ht="21.36" thickBot="1" customHeight="1">
      <c r="A5655" s="24" t="s">
        <v>17858</v>
      </c>
      <c r="B5655" s="24" t="s">
        <v>17859</v>
      </c>
      <c r="C5655" s="24" t="s">
        <v>17860</v>
      </c>
      <c r="D5655" s="25" t="s">
        <v>17861</v>
      </c>
      <c r="E5655" s="28">
        <v>0.50000</v>
      </c>
      <c r="F5655" s="29">
        <f ca="1">ROUND(2.000,3)</f>
        <v>0</v>
      </c>
      <c r="G5655" s="27">
        <f ca="1">ROUND(E5655*F5655,2)</f>
        <v>0</v>
      </c>
    </row>
    <row r="5656" spans="1:7" ht="21.36" thickBot="1" customHeight="1">
      <c r="A5656" s="24" t="s">
        <v>17862</v>
      </c>
      <c r="B5656" s="24" t="s">
        <v>17863</v>
      </c>
      <c r="C5656" s="24" t="s">
        <v>17864</v>
      </c>
      <c r="D5656" s="25" t="s">
        <v>17865</v>
      </c>
      <c r="E5656" s="28">
        <v>0.80000</v>
      </c>
      <c r="F5656" s="29">
        <f ca="1">F5660</f>
        <v>0</v>
      </c>
      <c r="G5656" s="27">
        <f ca="1">ROUND(E5656*F5656,2)</f>
        <v>0</v>
      </c>
    </row>
    <row r="5657" spans="1:7" ht="24.36" thickBot="1" customHeight="1">
      <c r="A5657" s="24" t="s">
        <v>17866</v>
      </c>
      <c r="B5657" s="24" t="s">
        <v>17867</v>
      </c>
      <c r="C5657" s="24" t="s">
        <v>17868</v>
      </c>
      <c r="D5657" s="25" t="s">
        <v>17869</v>
      </c>
      <c r="E5657" s="28">
        <v>1.00000</v>
      </c>
      <c r="F5657" s="29">
        <f ca="1">ROUND(21.000,3)</f>
        <v>0</v>
      </c>
      <c r="G5657" s="27">
        <f ca="1">ROUND(E5657*F5657,2)</f>
        <v>0</v>
      </c>
    </row>
    <row r="5658" spans="1:7" ht="24.36" thickBot="1" customHeight="1">
      <c r="A5658" s="24" t="s">
        <v>17870</v>
      </c>
      <c r="B5658" s="24" t="s">
        <v>17871</v>
      </c>
      <c r="C5658" s="24" t="s">
        <v>17872</v>
      </c>
      <c r="D5658" s="25" t="s">
        <v>17873</v>
      </c>
      <c r="E5658" s="28">
        <v>1.00000</v>
      </c>
      <c r="F5658" s="29">
        <f ca="1">ROUND(19.000,3)</f>
        <v>0</v>
      </c>
      <c r="G5658" s="27">
        <f ca="1">ROUND(E5658*F5658,2)</f>
        <v>0</v>
      </c>
    </row>
    <row r="5659" spans="1:7" ht="24.36" thickBot="1" customHeight="1">
      <c r="A5659" s="24" t="s">
        <v>17874</v>
      </c>
      <c r="B5659" s="24" t="s">
        <v>17875</v>
      </c>
      <c r="C5659" s="24" t="s">
        <v>17876</v>
      </c>
      <c r="D5659" s="25" t="s">
        <v>17877</v>
      </c>
      <c r="E5659" s="28">
        <v>0.20000</v>
      </c>
      <c r="F5659" s="29">
        <f ca="1">ROUND(19.000,3)</f>
        <v>0</v>
      </c>
      <c r="G5659" s="27">
        <f ca="1">ROUND(E5659*F5659,2)</f>
        <v>0</v>
      </c>
    </row>
    <row r="5660" spans="1:7" ht="15.12" thickBot="1" customHeight="1">
      <c r="A5660" s="26"/>
      <c r="B5660" s="26"/>
      <c r="C5660" s="26"/>
      <c r="D5660" s="24" t="s">
        <v>17878</v>
      </c>
      <c r="E5660" s="28">
        <v>0.80000</v>
      </c>
      <c r="F5660" s="29">
        <f ca="1">ROUND((G5657+G5658+G5659),3)</f>
        <v>0</v>
      </c>
      <c r="G5660" s="27">
        <f ca="1">ROUND(E5660*F5660,2)</f>
        <v>0</v>
      </c>
    </row>
    <row r="5661" spans="1:7" ht="15.12" thickBot="1" customHeight="1">
      <c r="A5661" s="24" t="s">
        <v>17879</v>
      </c>
      <c r="B5661" s="24"/>
      <c r="C5661" s="24" t="s">
        <v>17880</v>
      </c>
      <c r="D5661" s="25" t="s">
        <v>17881</v>
      </c>
      <c r="E5661" s="28">
        <v>5.00000</v>
      </c>
      <c r="F5661" s="29">
        <f ca="1">ROUND(35.040,3)</f>
        <v>0</v>
      </c>
      <c r="G5661" s="27">
        <f ca="1">ROUND((E5661*F5661)/100,2)</f>
        <v>0</v>
      </c>
    </row>
    <row r="5662" spans="1:7" ht="25.08" thickBot="1" customHeight="1">
      <c r="A5662" s="30"/>
      <c r="B5662" s="30"/>
      <c r="C5662" s="30"/>
      <c r="D5662" s="31" t="s">
        <v>17882</v>
      </c>
      <c r="E5662" s="30"/>
      <c r="F5662" s="33">
        <f ca="1">ROUND((G5653+G5654+G5655+G5656+G5661)*(1+G2/100),2)</f>
        <v>0</v>
      </c>
      <c r="G5662" s="30"/>
    </row>
    <row r="5663" spans="1:7" ht="39.84" thickBot="1" customHeight="1">
      <c r="A5663" s="34" t="s">
        <v>17883</v>
      </c>
      <c r="B5663" s="35" t="s">
        <v>17884</v>
      </c>
      <c r="C5663" s="35" t="s">
        <v>17885</v>
      </c>
      <c r="D5663" s="36" t="s">
        <v>17886</v>
      </c>
      <c r="E5663" s="37"/>
      <c r="F5663" s="38">
        <f ca="1">F5677</f>
        <v>0</v>
      </c>
      <c r="G5663" s="37"/>
    </row>
    <row r="5664" spans="1:7" ht="21.36" thickBot="1" customHeight="1">
      <c r="A5664" s="26"/>
      <c r="B5664" s="26"/>
      <c r="C5664" s="26"/>
      <c r="D5664" s="25" t="s">
        <v>17887</v>
      </c>
      <c r="E5664" s="25"/>
      <c r="F5664" s="25"/>
      <c r="G5664" s="25"/>
    </row>
    <row r="5665" spans="1:7" ht="30.60" thickBot="1" customHeight="1">
      <c r="A5665" s="24" t="s">
        <v>17888</v>
      </c>
      <c r="B5665" s="24" t="s">
        <v>17889</v>
      </c>
      <c r="C5665" s="24" t="s">
        <v>17890</v>
      </c>
      <c r="D5665" s="25" t="s">
        <v>17891</v>
      </c>
      <c r="E5665" s="28">
        <v>1.00000</v>
      </c>
      <c r="F5665" s="29">
        <f ca="1">ROUND(280.990,3)</f>
        <v>0</v>
      </c>
      <c r="G5665" s="27">
        <f ca="1">ROUND(E5665*F5665,2)</f>
        <v>0</v>
      </c>
    </row>
    <row r="5666" spans="1:7" ht="39.84" thickBot="1" customHeight="1">
      <c r="A5666" s="24" t="s">
        <v>17892</v>
      </c>
      <c r="B5666" s="24" t="s">
        <v>17893</v>
      </c>
      <c r="C5666" s="24" t="s">
        <v>17894</v>
      </c>
      <c r="D5666" s="25" t="s">
        <v>17895</v>
      </c>
      <c r="E5666" s="28">
        <v>0.30000</v>
      </c>
      <c r="F5666" s="29">
        <f ca="1">ROUND(19.530,3)</f>
        <v>0</v>
      </c>
      <c r="G5666" s="27">
        <f ca="1">ROUND(E5666*F5666,2)</f>
        <v>0</v>
      </c>
    </row>
    <row r="5667" spans="1:7" ht="30.60" thickBot="1" customHeight="1">
      <c r="A5667" s="24" t="s">
        <v>17896</v>
      </c>
      <c r="B5667" s="24" t="s">
        <v>17897</v>
      </c>
      <c r="C5667" s="24" t="s">
        <v>17898</v>
      </c>
      <c r="D5667" s="25" t="s">
        <v>17899</v>
      </c>
      <c r="E5667" s="28">
        <v>0.30000</v>
      </c>
      <c r="F5667" s="29">
        <f ca="1">ROUND(6.320,3)</f>
        <v>0</v>
      </c>
      <c r="G5667" s="27">
        <f ca="1">ROUND(E5667*F5667,2)</f>
        <v>0</v>
      </c>
    </row>
    <row r="5668" spans="1:7" ht="30.60" thickBot="1" customHeight="1">
      <c r="A5668" s="24" t="s">
        <v>17900</v>
      </c>
      <c r="B5668" s="24" t="s">
        <v>17901</v>
      </c>
      <c r="C5668" s="24" t="s">
        <v>17902</v>
      </c>
      <c r="D5668" s="25" t="s">
        <v>17903</v>
      </c>
      <c r="E5668" s="28">
        <v>2.00000</v>
      </c>
      <c r="F5668" s="29">
        <f ca="1">ROUND(3.700,3)</f>
        <v>0</v>
      </c>
      <c r="G5668" s="27">
        <f ca="1">ROUND(E5668*F5668,2)</f>
        <v>0</v>
      </c>
    </row>
    <row r="5669" spans="1:7" ht="21.36" thickBot="1" customHeight="1">
      <c r="A5669" s="24" t="s">
        <v>17904</v>
      </c>
      <c r="B5669" s="24" t="s">
        <v>17905</v>
      </c>
      <c r="C5669" s="24" t="s">
        <v>17906</v>
      </c>
      <c r="D5669" s="25" t="s">
        <v>17907</v>
      </c>
      <c r="E5669" s="28">
        <v>1.00000</v>
      </c>
      <c r="F5669" s="29">
        <f ca="1">ROUND(2.000,3)</f>
        <v>0</v>
      </c>
      <c r="G5669" s="27">
        <f ca="1">ROUND(E5669*F5669,2)</f>
        <v>0</v>
      </c>
    </row>
    <row r="5670" spans="1:7" ht="30.60" thickBot="1" customHeight="1">
      <c r="A5670" s="24" t="s">
        <v>17908</v>
      </c>
      <c r="B5670" s="24" t="s">
        <v>17909</v>
      </c>
      <c r="C5670" s="24" t="s">
        <v>17910</v>
      </c>
      <c r="D5670" s="25" t="s">
        <v>17911</v>
      </c>
      <c r="E5670" s="28">
        <v>0.00210</v>
      </c>
      <c r="F5670" s="29">
        <f ca="1">ROUND(64.190,3)</f>
        <v>0</v>
      </c>
      <c r="G5670" s="27">
        <f ca="1">ROUND(E5670*F5670,2)</f>
        <v>0</v>
      </c>
    </row>
    <row r="5671" spans="1:7" ht="21.36" thickBot="1" customHeight="1">
      <c r="A5671" s="24" t="s">
        <v>17912</v>
      </c>
      <c r="B5671" s="24" t="s">
        <v>17913</v>
      </c>
      <c r="C5671" s="24" t="s">
        <v>17914</v>
      </c>
      <c r="D5671" s="25" t="s">
        <v>17915</v>
      </c>
      <c r="E5671" s="28">
        <v>2.00000</v>
      </c>
      <c r="F5671" s="29">
        <f ca="1">F5675</f>
        <v>0</v>
      </c>
      <c r="G5671" s="27">
        <f ca="1">ROUND(E5671*F5671,2)</f>
        <v>0</v>
      </c>
    </row>
    <row r="5672" spans="1:7" ht="24.36" thickBot="1" customHeight="1">
      <c r="A5672" s="24" t="s">
        <v>17916</v>
      </c>
      <c r="B5672" s="24" t="s">
        <v>17917</v>
      </c>
      <c r="C5672" s="24" t="s">
        <v>17918</v>
      </c>
      <c r="D5672" s="25" t="s">
        <v>17919</v>
      </c>
      <c r="E5672" s="28">
        <v>1.00000</v>
      </c>
      <c r="F5672" s="29">
        <f ca="1">ROUND(21.000,3)</f>
        <v>0</v>
      </c>
      <c r="G5672" s="27">
        <f ca="1">ROUND(E5672*F5672,2)</f>
        <v>0</v>
      </c>
    </row>
    <row r="5673" spans="1:7" ht="24.36" thickBot="1" customHeight="1">
      <c r="A5673" s="24" t="s">
        <v>17920</v>
      </c>
      <c r="B5673" s="24" t="s">
        <v>17921</v>
      </c>
      <c r="C5673" s="24" t="s">
        <v>17922</v>
      </c>
      <c r="D5673" s="25" t="s">
        <v>17923</v>
      </c>
      <c r="E5673" s="28">
        <v>1.00000</v>
      </c>
      <c r="F5673" s="29">
        <f ca="1">ROUND(19.000,3)</f>
        <v>0</v>
      </c>
      <c r="G5673" s="27">
        <f ca="1">ROUND(E5673*F5673,2)</f>
        <v>0</v>
      </c>
    </row>
    <row r="5674" spans="1:7" ht="24.36" thickBot="1" customHeight="1">
      <c r="A5674" s="24" t="s">
        <v>17924</v>
      </c>
      <c r="B5674" s="24" t="s">
        <v>17925</v>
      </c>
      <c r="C5674" s="24" t="s">
        <v>17926</v>
      </c>
      <c r="D5674" s="25" t="s">
        <v>17927</v>
      </c>
      <c r="E5674" s="28">
        <v>0.20000</v>
      </c>
      <c r="F5674" s="29">
        <f ca="1">ROUND(19.000,3)</f>
        <v>0</v>
      </c>
      <c r="G5674" s="27">
        <f ca="1">ROUND(E5674*F5674,2)</f>
        <v>0</v>
      </c>
    </row>
    <row r="5675" spans="1:7" ht="15.12" thickBot="1" customHeight="1">
      <c r="A5675" s="26"/>
      <c r="B5675" s="26"/>
      <c r="C5675" s="26"/>
      <c r="D5675" s="24" t="s">
        <v>17928</v>
      </c>
      <c r="E5675" s="28">
        <v>2.00000</v>
      </c>
      <c r="F5675" s="29">
        <f ca="1">ROUND((G5672+G5673+G5674),3)</f>
        <v>0</v>
      </c>
      <c r="G5675" s="27">
        <f ca="1">ROUND(E5675*F5675,2)</f>
        <v>0</v>
      </c>
    </row>
    <row r="5676" spans="1:7" ht="15.12" thickBot="1" customHeight="1">
      <c r="A5676" s="24" t="s">
        <v>17929</v>
      </c>
      <c r="B5676" s="24"/>
      <c r="C5676" s="24" t="s">
        <v>17930</v>
      </c>
      <c r="D5676" s="25" t="s">
        <v>17931</v>
      </c>
      <c r="E5676" s="28">
        <v>5.00000</v>
      </c>
      <c r="F5676" s="29">
        <f ca="1">ROUND(87.600,3)</f>
        <v>0</v>
      </c>
      <c r="G5676" s="27">
        <f ca="1">ROUND((E5676*F5676)/100,2)</f>
        <v>0</v>
      </c>
    </row>
    <row r="5677" spans="1:7" ht="25.08" thickBot="1" customHeight="1">
      <c r="A5677" s="30"/>
      <c r="B5677" s="30"/>
      <c r="C5677" s="30"/>
      <c r="D5677" s="31" t="s">
        <v>17932</v>
      </c>
      <c r="E5677" s="30"/>
      <c r="F5677" s="33">
        <f ca="1">ROUND((G5665+G5666+G5667+G5668+G5669+G5670+G5671+G5676)*(1+G2/100),2)</f>
        <v>0</v>
      </c>
      <c r="G5677" s="30"/>
    </row>
    <row r="5678" spans="1:7" ht="49.08" thickBot="1" customHeight="1">
      <c r="A5678" s="34" t="s">
        <v>17933</v>
      </c>
      <c r="B5678" s="35" t="s">
        <v>17934</v>
      </c>
      <c r="C5678" s="35" t="s">
        <v>17935</v>
      </c>
      <c r="D5678" s="36" t="s">
        <v>17936</v>
      </c>
      <c r="E5678" s="37"/>
      <c r="F5678" s="38">
        <f ca="1">F5690</f>
        <v>0</v>
      </c>
      <c r="G5678" s="37"/>
    </row>
    <row r="5679" spans="1:7" ht="21.36" thickBot="1" customHeight="1">
      <c r="A5679" s="26"/>
      <c r="B5679" s="26"/>
      <c r="C5679" s="26"/>
      <c r="D5679" s="25" t="s">
        <v>17937</v>
      </c>
      <c r="E5679" s="25"/>
      <c r="F5679" s="25"/>
      <c r="G5679" s="25"/>
    </row>
    <row r="5680" spans="1:7" ht="39.84" thickBot="1" customHeight="1">
      <c r="A5680" s="24" t="s">
        <v>17938</v>
      </c>
      <c r="B5680" s="24" t="s">
        <v>17939</v>
      </c>
      <c r="C5680" s="24" t="s">
        <v>17940</v>
      </c>
      <c r="D5680" s="25" t="s">
        <v>17941</v>
      </c>
      <c r="E5680" s="28">
        <v>1.00000</v>
      </c>
      <c r="F5680" s="29">
        <f ca="1">ROUND(109.510,3)</f>
        <v>0</v>
      </c>
      <c r="G5680" s="27">
        <f ca="1">ROUND(E5680*F5680,2)</f>
        <v>0</v>
      </c>
    </row>
    <row r="5681" spans="1:7" ht="21.36" thickBot="1" customHeight="1">
      <c r="A5681" s="24" t="s">
        <v>17942</v>
      </c>
      <c r="B5681" s="24" t="s">
        <v>17943</v>
      </c>
      <c r="C5681" s="24" t="s">
        <v>17944</v>
      </c>
      <c r="D5681" s="25" t="s">
        <v>17945</v>
      </c>
      <c r="E5681" s="28">
        <v>0.08000</v>
      </c>
      <c r="F5681" s="29">
        <f ca="1">ROUND(6.490,3)</f>
        <v>0</v>
      </c>
      <c r="G5681" s="27">
        <f ca="1">ROUND(E5681*F5681,2)</f>
        <v>0</v>
      </c>
    </row>
    <row r="5682" spans="1:7" ht="21.36" thickBot="1" customHeight="1">
      <c r="A5682" s="24" t="s">
        <v>17946</v>
      </c>
      <c r="B5682" s="24" t="s">
        <v>17947</v>
      </c>
      <c r="C5682" s="24" t="s">
        <v>17948</v>
      </c>
      <c r="D5682" s="25" t="s">
        <v>17949</v>
      </c>
      <c r="E5682" s="28">
        <v>0.10000</v>
      </c>
      <c r="F5682" s="29">
        <f ca="1">ROUND(2.000,3)</f>
        <v>0</v>
      </c>
      <c r="G5682" s="27">
        <f ca="1">ROUND(E5682*F5682,2)</f>
        <v>0</v>
      </c>
    </row>
    <row r="5683" spans="1:7" ht="30.60" thickBot="1" customHeight="1">
      <c r="A5683" s="24" t="s">
        <v>17950</v>
      </c>
      <c r="B5683" s="24" t="s">
        <v>17951</v>
      </c>
      <c r="C5683" s="24" t="s">
        <v>17952</v>
      </c>
      <c r="D5683" s="25" t="s">
        <v>17953</v>
      </c>
      <c r="E5683" s="28">
        <v>0.20000</v>
      </c>
      <c r="F5683" s="29">
        <f ca="1">ROUND(4.920,3)</f>
        <v>0</v>
      </c>
      <c r="G5683" s="27">
        <f ca="1">ROUND(E5683*F5683,2)</f>
        <v>0</v>
      </c>
    </row>
    <row r="5684" spans="1:7" ht="21.36" thickBot="1" customHeight="1">
      <c r="A5684" s="24" t="s">
        <v>17954</v>
      </c>
      <c r="B5684" s="24" t="s">
        <v>17955</v>
      </c>
      <c r="C5684" s="24" t="s">
        <v>17956</v>
      </c>
      <c r="D5684" s="25" t="s">
        <v>17957</v>
      </c>
      <c r="E5684" s="28">
        <v>0.26667</v>
      </c>
      <c r="F5684" s="29">
        <f ca="1">F5688</f>
        <v>0</v>
      </c>
      <c r="G5684" s="27">
        <f ca="1">ROUND(E5684*F5684,2)</f>
        <v>0</v>
      </c>
    </row>
    <row r="5685" spans="1:7" ht="24.36" thickBot="1" customHeight="1">
      <c r="A5685" s="24" t="s">
        <v>17958</v>
      </c>
      <c r="B5685" s="24" t="s">
        <v>17959</v>
      </c>
      <c r="C5685" s="24" t="s">
        <v>17960</v>
      </c>
      <c r="D5685" s="25" t="s">
        <v>17961</v>
      </c>
      <c r="E5685" s="28">
        <v>1.00000</v>
      </c>
      <c r="F5685" s="29">
        <f ca="1">ROUND(21.000,3)</f>
        <v>0</v>
      </c>
      <c r="G5685" s="27">
        <f ca="1">ROUND(E5685*F5685,2)</f>
        <v>0</v>
      </c>
    </row>
    <row r="5686" spans="1:7" ht="24.36" thickBot="1" customHeight="1">
      <c r="A5686" s="24" t="s">
        <v>17962</v>
      </c>
      <c r="B5686" s="24" t="s">
        <v>17963</v>
      </c>
      <c r="C5686" s="24" t="s">
        <v>17964</v>
      </c>
      <c r="D5686" s="25" t="s">
        <v>17965</v>
      </c>
      <c r="E5686" s="28">
        <v>1.00000</v>
      </c>
      <c r="F5686" s="29">
        <f ca="1">ROUND(19.000,3)</f>
        <v>0</v>
      </c>
      <c r="G5686" s="27">
        <f ca="1">ROUND(E5686*F5686,2)</f>
        <v>0</v>
      </c>
    </row>
    <row r="5687" spans="1:7" ht="24.36" thickBot="1" customHeight="1">
      <c r="A5687" s="24" t="s">
        <v>17966</v>
      </c>
      <c r="B5687" s="24" t="s">
        <v>17967</v>
      </c>
      <c r="C5687" s="24" t="s">
        <v>17968</v>
      </c>
      <c r="D5687" s="25" t="s">
        <v>17969</v>
      </c>
      <c r="E5687" s="28">
        <v>0.20000</v>
      </c>
      <c r="F5687" s="29">
        <f ca="1">ROUND(19.000,3)</f>
        <v>0</v>
      </c>
      <c r="G5687" s="27">
        <f ca="1">ROUND(E5687*F5687,2)</f>
        <v>0</v>
      </c>
    </row>
    <row r="5688" spans="1:7" ht="15.12" thickBot="1" customHeight="1">
      <c r="A5688" s="26"/>
      <c r="B5688" s="26"/>
      <c r="C5688" s="26"/>
      <c r="D5688" s="24" t="s">
        <v>17970</v>
      </c>
      <c r="E5688" s="28">
        <v>0.26667</v>
      </c>
      <c r="F5688" s="29">
        <f ca="1">ROUND((G5685+G5686+G5687),3)</f>
        <v>0</v>
      </c>
      <c r="G5688" s="27">
        <f ca="1">ROUND(E5688*F5688,2)</f>
        <v>0</v>
      </c>
    </row>
    <row r="5689" spans="1:7" ht="15.12" thickBot="1" customHeight="1">
      <c r="A5689" s="24" t="s">
        <v>17971</v>
      </c>
      <c r="B5689" s="24"/>
      <c r="C5689" s="24" t="s">
        <v>17972</v>
      </c>
      <c r="D5689" s="25" t="s">
        <v>17973</v>
      </c>
      <c r="E5689" s="28">
        <v>3.00000</v>
      </c>
      <c r="F5689" s="29">
        <f ca="1">ROUND(11.680,3)</f>
        <v>0</v>
      </c>
      <c r="G5689" s="27">
        <f ca="1">ROUND((E5689*F5689)/100,2)</f>
        <v>0</v>
      </c>
    </row>
    <row r="5690" spans="1:7" ht="15.48" thickBot="1" customHeight="1">
      <c r="A5690" s="30"/>
      <c r="B5690" s="30"/>
      <c r="C5690" s="30"/>
      <c r="D5690" s="31" t="s">
        <v>17974</v>
      </c>
      <c r="E5690" s="30"/>
      <c r="F5690" s="33">
        <f ca="1">ROUND((G5680+G5681+G5682+G5683+G5684+G5689)*(1+G2/100),2)</f>
        <v>0</v>
      </c>
      <c r="G5690" s="30"/>
    </row>
    <row r="5691" spans="1:7" ht="49.08" thickBot="1" customHeight="1">
      <c r="A5691" s="34" t="s">
        <v>17975</v>
      </c>
      <c r="B5691" s="35" t="s">
        <v>17976</v>
      </c>
      <c r="C5691" s="35" t="s">
        <v>17977</v>
      </c>
      <c r="D5691" s="36" t="s">
        <v>17978</v>
      </c>
      <c r="E5691" s="37"/>
      <c r="F5691" s="38">
        <f ca="1">F5700</f>
        <v>0</v>
      </c>
      <c r="G5691" s="37"/>
    </row>
    <row r="5692" spans="1:7" ht="21.36" thickBot="1" customHeight="1">
      <c r="A5692" s="26"/>
      <c r="B5692" s="26"/>
      <c r="C5692" s="26"/>
      <c r="D5692" s="25" t="s">
        <v>17979</v>
      </c>
      <c r="E5692" s="25"/>
      <c r="F5692" s="25"/>
      <c r="G5692" s="25"/>
    </row>
    <row r="5693" spans="1:7" ht="30.60" thickBot="1" customHeight="1">
      <c r="A5693" s="24" t="s">
        <v>17980</v>
      </c>
      <c r="B5693" s="24" t="s">
        <v>17981</v>
      </c>
      <c r="C5693" s="24" t="s">
        <v>17982</v>
      </c>
      <c r="D5693" s="25" t="s">
        <v>17983</v>
      </c>
      <c r="E5693" s="28">
        <v>1.00000</v>
      </c>
      <c r="F5693" s="29">
        <f ca="1">ROUND(706.990,3)</f>
        <v>0</v>
      </c>
      <c r="G5693" s="27">
        <f ca="1">ROUND(E5693*F5693,2)</f>
        <v>0</v>
      </c>
    </row>
    <row r="5694" spans="1:7" ht="21.36" thickBot="1" customHeight="1">
      <c r="A5694" s="24" t="s">
        <v>17984</v>
      </c>
      <c r="B5694" s="24" t="s">
        <v>17985</v>
      </c>
      <c r="C5694" s="24" t="s">
        <v>17986</v>
      </c>
      <c r="D5694" s="25" t="s">
        <v>17987</v>
      </c>
      <c r="E5694" s="28">
        <v>3.00000</v>
      </c>
      <c r="F5694" s="29">
        <f ca="1">F5698</f>
        <v>0</v>
      </c>
      <c r="G5694" s="27">
        <f ca="1">ROUND(E5694*F5694,2)</f>
        <v>0</v>
      </c>
    </row>
    <row r="5695" spans="1:7" ht="24.36" thickBot="1" customHeight="1">
      <c r="A5695" s="24" t="s">
        <v>17988</v>
      </c>
      <c r="B5695" s="24" t="s">
        <v>17989</v>
      </c>
      <c r="C5695" s="24" t="s">
        <v>17990</v>
      </c>
      <c r="D5695" s="25" t="s">
        <v>17991</v>
      </c>
      <c r="E5695" s="28">
        <v>1.00000</v>
      </c>
      <c r="F5695" s="29">
        <f ca="1">ROUND(21.000,3)</f>
        <v>0</v>
      </c>
      <c r="G5695" s="27">
        <f ca="1">ROUND(E5695*F5695,2)</f>
        <v>0</v>
      </c>
    </row>
    <row r="5696" spans="1:7" ht="24.36" thickBot="1" customHeight="1">
      <c r="A5696" s="24" t="s">
        <v>17992</v>
      </c>
      <c r="B5696" s="24" t="s">
        <v>17993</v>
      </c>
      <c r="C5696" s="24" t="s">
        <v>17994</v>
      </c>
      <c r="D5696" s="25" t="s">
        <v>17995</v>
      </c>
      <c r="E5696" s="28">
        <v>1.00000</v>
      </c>
      <c r="F5696" s="29">
        <f ca="1">ROUND(19.000,3)</f>
        <v>0</v>
      </c>
      <c r="G5696" s="27">
        <f ca="1">ROUND(E5696*F5696,2)</f>
        <v>0</v>
      </c>
    </row>
    <row r="5697" spans="1:7" ht="24.36" thickBot="1" customHeight="1">
      <c r="A5697" s="24" t="s">
        <v>17996</v>
      </c>
      <c r="B5697" s="24" t="s">
        <v>17997</v>
      </c>
      <c r="C5697" s="24" t="s">
        <v>17998</v>
      </c>
      <c r="D5697" s="25" t="s">
        <v>17999</v>
      </c>
      <c r="E5697" s="28">
        <v>0.20000</v>
      </c>
      <c r="F5697" s="29">
        <f ca="1">ROUND(19.000,3)</f>
        <v>0</v>
      </c>
      <c r="G5697" s="27">
        <f ca="1">ROUND(E5697*F5697,2)</f>
        <v>0</v>
      </c>
    </row>
    <row r="5698" spans="1:7" ht="15.12" thickBot="1" customHeight="1">
      <c r="A5698" s="26"/>
      <c r="B5698" s="26"/>
      <c r="C5698" s="26"/>
      <c r="D5698" s="24" t="s">
        <v>18000</v>
      </c>
      <c r="E5698" s="28">
        <v>3.00000</v>
      </c>
      <c r="F5698" s="29">
        <f ca="1">ROUND((G5695+G5696+G5697),3)</f>
        <v>0</v>
      </c>
      <c r="G5698" s="27">
        <f ca="1">ROUND(E5698*F5698,2)</f>
        <v>0</v>
      </c>
    </row>
    <row r="5699" spans="1:7" ht="15.12" thickBot="1" customHeight="1">
      <c r="A5699" s="24" t="s">
        <v>18001</v>
      </c>
      <c r="B5699" s="24"/>
      <c r="C5699" s="24" t="s">
        <v>18002</v>
      </c>
      <c r="D5699" s="25" t="s">
        <v>18003</v>
      </c>
      <c r="E5699" s="28">
        <v>7.00000</v>
      </c>
      <c r="F5699" s="29">
        <f ca="1">ROUND(131.400,3)</f>
        <v>0</v>
      </c>
      <c r="G5699" s="27">
        <f ca="1">ROUND((E5699*F5699)/100,2)</f>
        <v>0</v>
      </c>
    </row>
    <row r="5700" spans="1:7" ht="25.08" thickBot="1" customHeight="1">
      <c r="A5700" s="30"/>
      <c r="B5700" s="30"/>
      <c r="C5700" s="30"/>
      <c r="D5700" s="31" t="s">
        <v>18004</v>
      </c>
      <c r="E5700" s="30"/>
      <c r="F5700" s="33">
        <f ca="1">ROUND((G5693+G5694+G5699)*(1+G2/100),2)</f>
        <v>0</v>
      </c>
      <c r="G5700" s="30"/>
    </row>
    <row r="5701" spans="1:7" ht="39.84" thickBot="1" customHeight="1">
      <c r="A5701" s="34" t="s">
        <v>18005</v>
      </c>
      <c r="B5701" s="35" t="s">
        <v>18006</v>
      </c>
      <c r="C5701" s="35" t="s">
        <v>18007</v>
      </c>
      <c r="D5701" s="36" t="s">
        <v>18008</v>
      </c>
      <c r="E5701" s="37"/>
      <c r="F5701" s="38">
        <f ca="1">F5713</f>
        <v>0</v>
      </c>
      <c r="G5701" s="37"/>
    </row>
    <row r="5702" spans="1:7" ht="21.36" thickBot="1" customHeight="1">
      <c r="A5702" s="26"/>
      <c r="B5702" s="26"/>
      <c r="C5702" s="26"/>
      <c r="D5702" s="25" t="s">
        <v>18009</v>
      </c>
      <c r="E5702" s="25"/>
      <c r="F5702" s="25"/>
      <c r="G5702" s="25"/>
    </row>
    <row r="5703" spans="1:7" ht="39.84" thickBot="1" customHeight="1">
      <c r="A5703" s="24" t="s">
        <v>18010</v>
      </c>
      <c r="B5703" s="24" t="s">
        <v>18011</v>
      </c>
      <c r="C5703" s="24" t="s">
        <v>18012</v>
      </c>
      <c r="D5703" s="25" t="s">
        <v>18013</v>
      </c>
      <c r="E5703" s="28">
        <v>1.00000</v>
      </c>
      <c r="F5703" s="29">
        <f ca="1">ROUND(19.460,3)</f>
        <v>0</v>
      </c>
      <c r="G5703" s="27">
        <f ca="1">ROUND(E5703*F5703,2)</f>
        <v>0</v>
      </c>
    </row>
    <row r="5704" spans="1:7" ht="30.60" thickBot="1" customHeight="1">
      <c r="A5704" s="24" t="s">
        <v>18014</v>
      </c>
      <c r="B5704" s="24" t="s">
        <v>18015</v>
      </c>
      <c r="C5704" s="24" t="s">
        <v>18016</v>
      </c>
      <c r="D5704" s="25" t="s">
        <v>18017</v>
      </c>
      <c r="E5704" s="28">
        <v>0.26000</v>
      </c>
      <c r="F5704" s="29">
        <f ca="1">ROUND(3.700,3)</f>
        <v>0</v>
      </c>
      <c r="G5704" s="27">
        <f ca="1">ROUND(E5704*F5704,2)</f>
        <v>0</v>
      </c>
    </row>
    <row r="5705" spans="1:7" ht="21.36" thickBot="1" customHeight="1">
      <c r="A5705" s="24" t="s">
        <v>18018</v>
      </c>
      <c r="B5705" s="24" t="s">
        <v>18019</v>
      </c>
      <c r="C5705" s="24" t="s">
        <v>18020</v>
      </c>
      <c r="D5705" s="25" t="s">
        <v>18021</v>
      </c>
      <c r="E5705" s="28">
        <v>0.15000</v>
      </c>
      <c r="F5705" s="29">
        <f ca="1">ROUND(2.000,3)</f>
        <v>0</v>
      </c>
      <c r="G5705" s="27">
        <f ca="1">ROUND(E5705*F5705,2)</f>
        <v>0</v>
      </c>
    </row>
    <row r="5706" spans="1:7" ht="30.60" thickBot="1" customHeight="1">
      <c r="A5706" s="24" t="s">
        <v>18022</v>
      </c>
      <c r="B5706" s="24" t="s">
        <v>18023</v>
      </c>
      <c r="C5706" s="24" t="s">
        <v>18024</v>
      </c>
      <c r="D5706" s="25" t="s">
        <v>18025</v>
      </c>
      <c r="E5706" s="28">
        <v>0.00210</v>
      </c>
      <c r="F5706" s="29">
        <f ca="1">ROUND(64.190,3)</f>
        <v>0</v>
      </c>
      <c r="G5706" s="27">
        <f ca="1">ROUND(E5706*F5706,2)</f>
        <v>0</v>
      </c>
    </row>
    <row r="5707" spans="1:7" ht="21.36" thickBot="1" customHeight="1">
      <c r="A5707" s="24" t="s">
        <v>18026</v>
      </c>
      <c r="B5707" s="24" t="s">
        <v>18027</v>
      </c>
      <c r="C5707" s="24" t="s">
        <v>18028</v>
      </c>
      <c r="D5707" s="25" t="s">
        <v>18029</v>
      </c>
      <c r="E5707" s="28">
        <v>0.55000</v>
      </c>
      <c r="F5707" s="29">
        <f ca="1">F5711</f>
        <v>0</v>
      </c>
      <c r="G5707" s="27">
        <f ca="1">ROUND(E5707*F5707,2)</f>
        <v>0</v>
      </c>
    </row>
    <row r="5708" spans="1:7" ht="24.36" thickBot="1" customHeight="1">
      <c r="A5708" s="24" t="s">
        <v>18030</v>
      </c>
      <c r="B5708" s="24" t="s">
        <v>18031</v>
      </c>
      <c r="C5708" s="24" t="s">
        <v>18032</v>
      </c>
      <c r="D5708" s="25" t="s">
        <v>18033</v>
      </c>
      <c r="E5708" s="28">
        <v>1.00000</v>
      </c>
      <c r="F5708" s="29">
        <f ca="1">ROUND(21.000,3)</f>
        <v>0</v>
      </c>
      <c r="G5708" s="27">
        <f ca="1">ROUND(E5708*F5708,2)</f>
        <v>0</v>
      </c>
    </row>
    <row r="5709" spans="1:7" ht="24.36" thickBot="1" customHeight="1">
      <c r="A5709" s="24" t="s">
        <v>18034</v>
      </c>
      <c r="B5709" s="24" t="s">
        <v>18035</v>
      </c>
      <c r="C5709" s="24" t="s">
        <v>18036</v>
      </c>
      <c r="D5709" s="25" t="s">
        <v>18037</v>
      </c>
      <c r="E5709" s="28">
        <v>1.00000</v>
      </c>
      <c r="F5709" s="29">
        <f ca="1">ROUND(19.000,3)</f>
        <v>0</v>
      </c>
      <c r="G5709" s="27">
        <f ca="1">ROUND(E5709*F5709,2)</f>
        <v>0</v>
      </c>
    </row>
    <row r="5710" spans="1:7" ht="24.36" thickBot="1" customHeight="1">
      <c r="A5710" s="24" t="s">
        <v>18038</v>
      </c>
      <c r="B5710" s="24" t="s">
        <v>18039</v>
      </c>
      <c r="C5710" s="24" t="s">
        <v>18040</v>
      </c>
      <c r="D5710" s="25" t="s">
        <v>18041</v>
      </c>
      <c r="E5710" s="28">
        <v>0.20000</v>
      </c>
      <c r="F5710" s="29">
        <f ca="1">ROUND(19.000,3)</f>
        <v>0</v>
      </c>
      <c r="G5710" s="27">
        <f ca="1">ROUND(E5710*F5710,2)</f>
        <v>0</v>
      </c>
    </row>
    <row r="5711" spans="1:7" ht="15.12" thickBot="1" customHeight="1">
      <c r="A5711" s="26"/>
      <c r="B5711" s="26"/>
      <c r="C5711" s="26"/>
      <c r="D5711" s="24" t="s">
        <v>18042</v>
      </c>
      <c r="E5711" s="28">
        <v>0.55000</v>
      </c>
      <c r="F5711" s="29">
        <f ca="1">ROUND((G5708+G5709+G5710),3)</f>
        <v>0</v>
      </c>
      <c r="G5711" s="27">
        <f ca="1">ROUND(E5711*F5711,2)</f>
        <v>0</v>
      </c>
    </row>
    <row r="5712" spans="1:7" ht="15.12" thickBot="1" customHeight="1">
      <c r="A5712" s="24" t="s">
        <v>18043</v>
      </c>
      <c r="B5712" s="24"/>
      <c r="C5712" s="24" t="s">
        <v>18044</v>
      </c>
      <c r="D5712" s="25" t="s">
        <v>18045</v>
      </c>
      <c r="E5712" s="28">
        <v>5.00000</v>
      </c>
      <c r="F5712" s="29">
        <f ca="1">ROUND(24.090,3)</f>
        <v>0</v>
      </c>
      <c r="G5712" s="27">
        <f ca="1">ROUND((E5712*F5712)/100,2)</f>
        <v>0</v>
      </c>
    </row>
    <row r="5713" spans="1:7" ht="15.48" thickBot="1" customHeight="1">
      <c r="A5713" s="30"/>
      <c r="B5713" s="30"/>
      <c r="C5713" s="30"/>
      <c r="D5713" s="31" t="s">
        <v>18046</v>
      </c>
      <c r="E5713" s="30"/>
      <c r="F5713" s="33">
        <f ca="1">ROUND((G5703+G5704+G5705+G5706+G5707+G5712)*(1+G2/100),2)</f>
        <v>0</v>
      </c>
      <c r="G5713" s="30"/>
    </row>
    <row r="5714" spans="1:7" ht="49.08" thickBot="1" customHeight="1">
      <c r="A5714" s="34" t="s">
        <v>18047</v>
      </c>
      <c r="B5714" s="35" t="s">
        <v>18048</v>
      </c>
      <c r="C5714" s="35" t="s">
        <v>18049</v>
      </c>
      <c r="D5714" s="36" t="s">
        <v>18050</v>
      </c>
      <c r="E5714" s="37"/>
      <c r="F5714" s="38">
        <f ca="1">F5726</f>
        <v>0</v>
      </c>
      <c r="G5714" s="37"/>
    </row>
    <row r="5715" spans="1:7" ht="21.36" thickBot="1" customHeight="1">
      <c r="A5715" s="26"/>
      <c r="B5715" s="26"/>
      <c r="C5715" s="26"/>
      <c r="D5715" s="25" t="s">
        <v>18051</v>
      </c>
      <c r="E5715" s="25"/>
      <c r="F5715" s="25"/>
      <c r="G5715" s="25"/>
    </row>
    <row r="5716" spans="1:7" ht="39.84" thickBot="1" customHeight="1">
      <c r="A5716" s="24" t="s">
        <v>18052</v>
      </c>
      <c r="B5716" s="24" t="s">
        <v>18053</v>
      </c>
      <c r="C5716" s="24" t="s">
        <v>18054</v>
      </c>
      <c r="D5716" s="25" t="s">
        <v>18055</v>
      </c>
      <c r="E5716" s="28">
        <v>1.00000</v>
      </c>
      <c r="F5716" s="29">
        <f ca="1">ROUND(19.460,3)</f>
        <v>0</v>
      </c>
      <c r="G5716" s="27">
        <f ca="1">ROUND(E5716*F5716,2)</f>
        <v>0</v>
      </c>
    </row>
    <row r="5717" spans="1:7" ht="30.60" thickBot="1" customHeight="1">
      <c r="A5717" s="24" t="s">
        <v>18056</v>
      </c>
      <c r="B5717" s="24" t="s">
        <v>18057</v>
      </c>
      <c r="C5717" s="24" t="s">
        <v>18058</v>
      </c>
      <c r="D5717" s="25" t="s">
        <v>18059</v>
      </c>
      <c r="E5717" s="28">
        <v>0.26000</v>
      </c>
      <c r="F5717" s="29">
        <f ca="1">ROUND(3.700,3)</f>
        <v>0</v>
      </c>
      <c r="G5717" s="27">
        <f ca="1">ROUND(E5717*F5717,2)</f>
        <v>0</v>
      </c>
    </row>
    <row r="5718" spans="1:7" ht="21.36" thickBot="1" customHeight="1">
      <c r="A5718" s="24" t="s">
        <v>18060</v>
      </c>
      <c r="B5718" s="24" t="s">
        <v>18061</v>
      </c>
      <c r="C5718" s="24" t="s">
        <v>18062</v>
      </c>
      <c r="D5718" s="25" t="s">
        <v>18063</v>
      </c>
      <c r="E5718" s="28">
        <v>0.15000</v>
      </c>
      <c r="F5718" s="29">
        <f ca="1">ROUND(2.000,3)</f>
        <v>0</v>
      </c>
      <c r="G5718" s="27">
        <f ca="1">ROUND(E5718*F5718,2)</f>
        <v>0</v>
      </c>
    </row>
    <row r="5719" spans="1:7" ht="30.60" thickBot="1" customHeight="1">
      <c r="A5719" s="24" t="s">
        <v>18064</v>
      </c>
      <c r="B5719" s="24" t="s">
        <v>18065</v>
      </c>
      <c r="C5719" s="24" t="s">
        <v>18066</v>
      </c>
      <c r="D5719" s="25" t="s">
        <v>18067</v>
      </c>
      <c r="E5719" s="28">
        <v>0.00210</v>
      </c>
      <c r="F5719" s="29">
        <f ca="1">ROUND(64.190,3)</f>
        <v>0</v>
      </c>
      <c r="G5719" s="27">
        <f ca="1">ROUND(E5719*F5719,2)</f>
        <v>0</v>
      </c>
    </row>
    <row r="5720" spans="1:7" ht="21.36" thickBot="1" customHeight="1">
      <c r="A5720" s="24" t="s">
        <v>18068</v>
      </c>
      <c r="B5720" s="24" t="s">
        <v>18069</v>
      </c>
      <c r="C5720" s="24" t="s">
        <v>18070</v>
      </c>
      <c r="D5720" s="25" t="s">
        <v>18071</v>
      </c>
      <c r="E5720" s="28">
        <v>0.80000</v>
      </c>
      <c r="F5720" s="29">
        <f ca="1">F5724</f>
        <v>0</v>
      </c>
      <c r="G5720" s="27">
        <f ca="1">ROUND(E5720*F5720,2)</f>
        <v>0</v>
      </c>
    </row>
    <row r="5721" spans="1:7" ht="24.36" thickBot="1" customHeight="1">
      <c r="A5721" s="24" t="s">
        <v>18072</v>
      </c>
      <c r="B5721" s="24" t="s">
        <v>18073</v>
      </c>
      <c r="C5721" s="24" t="s">
        <v>18074</v>
      </c>
      <c r="D5721" s="25" t="s">
        <v>18075</v>
      </c>
      <c r="E5721" s="28">
        <v>1.00000</v>
      </c>
      <c r="F5721" s="29">
        <f ca="1">ROUND(21.000,3)</f>
        <v>0</v>
      </c>
      <c r="G5721" s="27">
        <f ca="1">ROUND(E5721*F5721,2)</f>
        <v>0</v>
      </c>
    </row>
    <row r="5722" spans="1:7" ht="24.36" thickBot="1" customHeight="1">
      <c r="A5722" s="24" t="s">
        <v>18076</v>
      </c>
      <c r="B5722" s="24" t="s">
        <v>18077</v>
      </c>
      <c r="C5722" s="24" t="s">
        <v>18078</v>
      </c>
      <c r="D5722" s="25" t="s">
        <v>18079</v>
      </c>
      <c r="E5722" s="28">
        <v>1.00000</v>
      </c>
      <c r="F5722" s="29">
        <f ca="1">ROUND(19.000,3)</f>
        <v>0</v>
      </c>
      <c r="G5722" s="27">
        <f ca="1">ROUND(E5722*F5722,2)</f>
        <v>0</v>
      </c>
    </row>
    <row r="5723" spans="1:7" ht="24.36" thickBot="1" customHeight="1">
      <c r="A5723" s="24" t="s">
        <v>18080</v>
      </c>
      <c r="B5723" s="24" t="s">
        <v>18081</v>
      </c>
      <c r="C5723" s="24" t="s">
        <v>18082</v>
      </c>
      <c r="D5723" s="25" t="s">
        <v>18083</v>
      </c>
      <c r="E5723" s="28">
        <v>0.20000</v>
      </c>
      <c r="F5723" s="29">
        <f ca="1">ROUND(19.000,3)</f>
        <v>0</v>
      </c>
      <c r="G5723" s="27">
        <f ca="1">ROUND(E5723*F5723,2)</f>
        <v>0</v>
      </c>
    </row>
    <row r="5724" spans="1:7" ht="15.12" thickBot="1" customHeight="1">
      <c r="A5724" s="26"/>
      <c r="B5724" s="26"/>
      <c r="C5724" s="26"/>
      <c r="D5724" s="24" t="s">
        <v>18084</v>
      </c>
      <c r="E5724" s="28">
        <v>0.80000</v>
      </c>
      <c r="F5724" s="29">
        <f ca="1">ROUND((G5721+G5722+G5723),3)</f>
        <v>0</v>
      </c>
      <c r="G5724" s="27">
        <f ca="1">ROUND(E5724*F5724,2)</f>
        <v>0</v>
      </c>
    </row>
    <row r="5725" spans="1:7" ht="15.12" thickBot="1" customHeight="1">
      <c r="A5725" s="24" t="s">
        <v>18085</v>
      </c>
      <c r="B5725" s="24"/>
      <c r="C5725" s="24" t="s">
        <v>18086</v>
      </c>
      <c r="D5725" s="25" t="s">
        <v>18087</v>
      </c>
      <c r="E5725" s="28">
        <v>5.00000</v>
      </c>
      <c r="F5725" s="29">
        <f ca="1">ROUND(35.040,3)</f>
        <v>0</v>
      </c>
      <c r="G5725" s="27">
        <f ca="1">ROUND((E5725*F5725)/100,2)</f>
        <v>0</v>
      </c>
    </row>
    <row r="5726" spans="1:7" ht="15.48" thickBot="1" customHeight="1">
      <c r="A5726" s="30"/>
      <c r="B5726" s="30"/>
      <c r="C5726" s="30"/>
      <c r="D5726" s="31" t="s">
        <v>18088</v>
      </c>
      <c r="E5726" s="30"/>
      <c r="F5726" s="33">
        <f ca="1">ROUND((G5716+G5717+G5718+G5719+G5720+G5725)*(1+G2/100),2)</f>
        <v>0</v>
      </c>
      <c r="G5726" s="30"/>
    </row>
    <row r="5727" spans="1:7" ht="67.56" thickBot="1" customHeight="1">
      <c r="A5727" s="34" t="s">
        <v>18089</v>
      </c>
      <c r="B5727" s="35" t="s">
        <v>18090</v>
      </c>
      <c r="C5727" s="35" t="s">
        <v>18091</v>
      </c>
      <c r="D5727" s="36" t="s">
        <v>18092</v>
      </c>
      <c r="E5727" s="37"/>
      <c r="F5727" s="38">
        <f ca="1">F5736</f>
        <v>0</v>
      </c>
      <c r="G5727" s="37"/>
    </row>
    <row r="5728" spans="1:7" ht="30.60" thickBot="1" customHeight="1">
      <c r="A5728" s="26"/>
      <c r="B5728" s="26"/>
      <c r="C5728" s="26"/>
      <c r="D5728" s="25" t="s">
        <v>18093</v>
      </c>
      <c r="E5728" s="25"/>
      <c r="F5728" s="25"/>
      <c r="G5728" s="25"/>
    </row>
    <row r="5729" spans="1:7" ht="30.60" thickBot="1" customHeight="1">
      <c r="A5729" s="24" t="s">
        <v>18094</v>
      </c>
      <c r="B5729" s="24" t="s">
        <v>18095</v>
      </c>
      <c r="C5729" s="24" t="s">
        <v>18096</v>
      </c>
      <c r="D5729" s="25" t="s">
        <v>18097</v>
      </c>
      <c r="E5729" s="28">
        <v>0.10000</v>
      </c>
      <c r="F5729" s="29">
        <f ca="1">ROUND(6.190,3)</f>
        <v>0</v>
      </c>
      <c r="G5729" s="27">
        <f ca="1">ROUND(E5729*F5729,2)</f>
        <v>0</v>
      </c>
    </row>
    <row r="5730" spans="1:7" ht="21.36" thickBot="1" customHeight="1">
      <c r="A5730" s="24" t="s">
        <v>18098</v>
      </c>
      <c r="B5730" s="24" t="s">
        <v>18099</v>
      </c>
      <c r="C5730" s="24" t="s">
        <v>18100</v>
      </c>
      <c r="D5730" s="25" t="s">
        <v>18101</v>
      </c>
      <c r="E5730" s="28">
        <v>0.28000</v>
      </c>
      <c r="F5730" s="29">
        <f ca="1">F5734</f>
        <v>0</v>
      </c>
      <c r="G5730" s="27">
        <f ca="1">ROUND(E5730*F5730,2)</f>
        <v>0</v>
      </c>
    </row>
    <row r="5731" spans="1:7" ht="24.36" thickBot="1" customHeight="1">
      <c r="A5731" s="24" t="s">
        <v>18102</v>
      </c>
      <c r="B5731" s="24" t="s">
        <v>18103</v>
      </c>
      <c r="C5731" s="24" t="s">
        <v>18104</v>
      </c>
      <c r="D5731" s="25" t="s">
        <v>18105</v>
      </c>
      <c r="E5731" s="28">
        <v>1.00000</v>
      </c>
      <c r="F5731" s="29">
        <f ca="1">ROUND(21.000,3)</f>
        <v>0</v>
      </c>
      <c r="G5731" s="27">
        <f ca="1">ROUND(E5731*F5731,2)</f>
        <v>0</v>
      </c>
    </row>
    <row r="5732" spans="1:7" ht="24.36" thickBot="1" customHeight="1">
      <c r="A5732" s="24" t="s">
        <v>18106</v>
      </c>
      <c r="B5732" s="24" t="s">
        <v>18107</v>
      </c>
      <c r="C5732" s="24" t="s">
        <v>18108</v>
      </c>
      <c r="D5732" s="25" t="s">
        <v>18109</v>
      </c>
      <c r="E5732" s="28">
        <v>1.00000</v>
      </c>
      <c r="F5732" s="29">
        <f ca="1">ROUND(19.000,3)</f>
        <v>0</v>
      </c>
      <c r="G5732" s="27">
        <f ca="1">ROUND(E5732*F5732,2)</f>
        <v>0</v>
      </c>
    </row>
    <row r="5733" spans="1:7" ht="24.36" thickBot="1" customHeight="1">
      <c r="A5733" s="24" t="s">
        <v>18110</v>
      </c>
      <c r="B5733" s="24" t="s">
        <v>18111</v>
      </c>
      <c r="C5733" s="24" t="s">
        <v>18112</v>
      </c>
      <c r="D5733" s="25" t="s">
        <v>18113</v>
      </c>
      <c r="E5733" s="28">
        <v>0.20000</v>
      </c>
      <c r="F5733" s="29">
        <f ca="1">ROUND(19.000,3)</f>
        <v>0</v>
      </c>
      <c r="G5733" s="27">
        <f ca="1">ROUND(E5733*F5733,2)</f>
        <v>0</v>
      </c>
    </row>
    <row r="5734" spans="1:7" ht="15.12" thickBot="1" customHeight="1">
      <c r="A5734" s="26"/>
      <c r="B5734" s="26"/>
      <c r="C5734" s="26"/>
      <c r="D5734" s="24" t="s">
        <v>18114</v>
      </c>
      <c r="E5734" s="28">
        <v>0.28000</v>
      </c>
      <c r="F5734" s="29">
        <f ca="1">ROUND((G5731+G5732+G5733),3)</f>
        <v>0</v>
      </c>
      <c r="G5734" s="27">
        <f ca="1">ROUND(E5734*F5734,2)</f>
        <v>0</v>
      </c>
    </row>
    <row r="5735" spans="1:7" ht="15.12" thickBot="1" customHeight="1">
      <c r="A5735" s="24" t="s">
        <v>18115</v>
      </c>
      <c r="B5735" s="24"/>
      <c r="C5735" s="24" t="s">
        <v>18116</v>
      </c>
      <c r="D5735" s="25" t="s">
        <v>18117</v>
      </c>
      <c r="E5735" s="28">
        <v>3.00000</v>
      </c>
      <c r="F5735" s="29">
        <f ca="1">ROUND(12.260,3)</f>
        <v>0</v>
      </c>
      <c r="G5735" s="27">
        <f ca="1">ROUND((E5735*F5735)/100,2)</f>
        <v>0</v>
      </c>
    </row>
    <row r="5736" spans="1:7" ht="25.08" thickBot="1" customHeight="1">
      <c r="A5736" s="30"/>
      <c r="B5736" s="30"/>
      <c r="C5736" s="30"/>
      <c r="D5736" s="31" t="s">
        <v>18118</v>
      </c>
      <c r="E5736" s="30"/>
      <c r="F5736" s="33">
        <f ca="1">ROUND((G5729+G5730+G5735)*(1+G2/100),2)</f>
        <v>0</v>
      </c>
      <c r="G5736" s="30"/>
    </row>
    <row r="5737" spans="1:7" ht="58.32" thickBot="1" customHeight="1">
      <c r="A5737" s="34" t="s">
        <v>18119</v>
      </c>
      <c r="B5737" s="35" t="s">
        <v>18120</v>
      </c>
      <c r="C5737" s="35" t="s">
        <v>18121</v>
      </c>
      <c r="D5737" s="36" t="s">
        <v>18122</v>
      </c>
      <c r="E5737" s="37"/>
      <c r="F5737" s="38">
        <f ca="1">F5747</f>
        <v>0</v>
      </c>
      <c r="G5737" s="37"/>
    </row>
    <row r="5738" spans="1:7" ht="30.60" thickBot="1" customHeight="1">
      <c r="A5738" s="26"/>
      <c r="B5738" s="26"/>
      <c r="C5738" s="26"/>
      <c r="D5738" s="25" t="s">
        <v>18123</v>
      </c>
      <c r="E5738" s="25"/>
      <c r="F5738" s="25"/>
      <c r="G5738" s="25"/>
    </row>
    <row r="5739" spans="1:7" ht="30.60" thickBot="1" customHeight="1">
      <c r="A5739" s="24" t="s">
        <v>18124</v>
      </c>
      <c r="B5739" s="24" t="s">
        <v>18125</v>
      </c>
      <c r="C5739" s="24" t="s">
        <v>18126</v>
      </c>
      <c r="D5739" s="25" t="s">
        <v>18127</v>
      </c>
      <c r="E5739" s="28">
        <v>0.00333</v>
      </c>
      <c r="F5739" s="29">
        <f ca="1">ROUND(86.310,3)</f>
        <v>0</v>
      </c>
      <c r="G5739" s="27">
        <f ca="1">ROUND(E5739*F5739,2)</f>
        <v>0</v>
      </c>
    </row>
    <row r="5740" spans="1:7" ht="30.60" thickBot="1" customHeight="1">
      <c r="A5740" s="24" t="s">
        <v>18128</v>
      </c>
      <c r="B5740" s="24" t="s">
        <v>18129</v>
      </c>
      <c r="C5740" s="24" t="s">
        <v>18130</v>
      </c>
      <c r="D5740" s="25" t="s">
        <v>18131</v>
      </c>
      <c r="E5740" s="28">
        <v>0.18333</v>
      </c>
      <c r="F5740" s="29">
        <f ca="1">ROUND(6.320,3)</f>
        <v>0</v>
      </c>
      <c r="G5740" s="27">
        <f ca="1">ROUND(E5740*F5740,2)</f>
        <v>0</v>
      </c>
    </row>
    <row r="5741" spans="1:7" ht="21.36" thickBot="1" customHeight="1">
      <c r="A5741" s="24" t="s">
        <v>18132</v>
      </c>
      <c r="B5741" s="24" t="s">
        <v>18133</v>
      </c>
      <c r="C5741" s="24" t="s">
        <v>18134</v>
      </c>
      <c r="D5741" s="25" t="s">
        <v>18135</v>
      </c>
      <c r="E5741" s="28">
        <v>0.20000</v>
      </c>
      <c r="F5741" s="29">
        <f ca="1">F5745</f>
        <v>0</v>
      </c>
      <c r="G5741" s="27">
        <f ca="1">ROUND(E5741*F5741,2)</f>
        <v>0</v>
      </c>
    </row>
    <row r="5742" spans="1:7" ht="24.36" thickBot="1" customHeight="1">
      <c r="A5742" s="24" t="s">
        <v>18136</v>
      </c>
      <c r="B5742" s="24" t="s">
        <v>18137</v>
      </c>
      <c r="C5742" s="24" t="s">
        <v>18138</v>
      </c>
      <c r="D5742" s="25" t="s">
        <v>18139</v>
      </c>
      <c r="E5742" s="28">
        <v>1.00000</v>
      </c>
      <c r="F5742" s="29">
        <f ca="1">ROUND(21.000,3)</f>
        <v>0</v>
      </c>
      <c r="G5742" s="27">
        <f ca="1">ROUND(E5742*F5742,2)</f>
        <v>0</v>
      </c>
    </row>
    <row r="5743" spans="1:7" ht="24.36" thickBot="1" customHeight="1">
      <c r="A5743" s="24" t="s">
        <v>18140</v>
      </c>
      <c r="B5743" s="24" t="s">
        <v>18141</v>
      </c>
      <c r="C5743" s="24" t="s">
        <v>18142</v>
      </c>
      <c r="D5743" s="25" t="s">
        <v>18143</v>
      </c>
      <c r="E5743" s="28">
        <v>1.00000</v>
      </c>
      <c r="F5743" s="29">
        <f ca="1">ROUND(19.000,3)</f>
        <v>0</v>
      </c>
      <c r="G5743" s="27">
        <f ca="1">ROUND(E5743*F5743,2)</f>
        <v>0</v>
      </c>
    </row>
    <row r="5744" spans="1:7" ht="24.36" thickBot="1" customHeight="1">
      <c r="A5744" s="24" t="s">
        <v>18144</v>
      </c>
      <c r="B5744" s="24" t="s">
        <v>18145</v>
      </c>
      <c r="C5744" s="24" t="s">
        <v>18146</v>
      </c>
      <c r="D5744" s="25" t="s">
        <v>18147</v>
      </c>
      <c r="E5744" s="28">
        <v>0.20000</v>
      </c>
      <c r="F5744" s="29">
        <f ca="1">ROUND(19.000,3)</f>
        <v>0</v>
      </c>
      <c r="G5744" s="27">
        <f ca="1">ROUND(E5744*F5744,2)</f>
        <v>0</v>
      </c>
    </row>
    <row r="5745" spans="1:7" ht="15.12" thickBot="1" customHeight="1">
      <c r="A5745" s="26"/>
      <c r="B5745" s="26"/>
      <c r="C5745" s="26"/>
      <c r="D5745" s="24" t="s">
        <v>18148</v>
      </c>
      <c r="E5745" s="28">
        <v>0.20000</v>
      </c>
      <c r="F5745" s="29">
        <f ca="1">ROUND((G5742+G5743+G5744),3)</f>
        <v>0</v>
      </c>
      <c r="G5745" s="27">
        <f ca="1">ROUND(E5745*F5745,2)</f>
        <v>0</v>
      </c>
    </row>
    <row r="5746" spans="1:7" ht="15.12" thickBot="1" customHeight="1">
      <c r="A5746" s="24" t="s">
        <v>18149</v>
      </c>
      <c r="B5746" s="24"/>
      <c r="C5746" s="24" t="s">
        <v>18150</v>
      </c>
      <c r="D5746" s="25" t="s">
        <v>18151</v>
      </c>
      <c r="E5746" s="28">
        <v>3.00000</v>
      </c>
      <c r="F5746" s="29">
        <f ca="1">ROUND(8.760,3)</f>
        <v>0</v>
      </c>
      <c r="G5746" s="27">
        <f ca="1">ROUND((E5746*F5746)/100,2)</f>
        <v>0</v>
      </c>
    </row>
    <row r="5747" spans="1:7" ht="25.08" thickBot="1" customHeight="1">
      <c r="A5747" s="30"/>
      <c r="B5747" s="30"/>
      <c r="C5747" s="30"/>
      <c r="D5747" s="31" t="s">
        <v>18152</v>
      </c>
      <c r="E5747" s="30"/>
      <c r="F5747" s="33">
        <f ca="1">ROUND((G5739+G5740+G5741+G5746)*(1+G2/100),2)</f>
        <v>0</v>
      </c>
      <c r="G5747" s="30"/>
    </row>
    <row r="5748" spans="1:7" ht="58.32" thickBot="1" customHeight="1">
      <c r="A5748" s="34" t="s">
        <v>18153</v>
      </c>
      <c r="B5748" s="35" t="s">
        <v>18154</v>
      </c>
      <c r="C5748" s="35" t="s">
        <v>18155</v>
      </c>
      <c r="D5748" s="36" t="s">
        <v>18156</v>
      </c>
      <c r="E5748" s="37"/>
      <c r="F5748" s="38">
        <f ca="1">F5758</f>
        <v>0</v>
      </c>
      <c r="G5748" s="37"/>
    </row>
    <row r="5749" spans="1:7" ht="30.60" thickBot="1" customHeight="1">
      <c r="A5749" s="26"/>
      <c r="B5749" s="26"/>
      <c r="C5749" s="26"/>
      <c r="D5749" s="25" t="s">
        <v>18157</v>
      </c>
      <c r="E5749" s="25"/>
      <c r="F5749" s="25"/>
      <c r="G5749" s="25"/>
    </row>
    <row r="5750" spans="1:7" ht="30.60" thickBot="1" customHeight="1">
      <c r="A5750" s="24" t="s">
        <v>18158</v>
      </c>
      <c r="B5750" s="24" t="s">
        <v>18159</v>
      </c>
      <c r="C5750" s="24" t="s">
        <v>18160</v>
      </c>
      <c r="D5750" s="25" t="s">
        <v>18161</v>
      </c>
      <c r="E5750" s="28">
        <v>0.00333</v>
      </c>
      <c r="F5750" s="29">
        <f ca="1">ROUND(86.310,3)</f>
        <v>0</v>
      </c>
      <c r="G5750" s="27">
        <f ca="1">ROUND(E5750*F5750,2)</f>
        <v>0</v>
      </c>
    </row>
    <row r="5751" spans="1:7" ht="30.60" thickBot="1" customHeight="1">
      <c r="A5751" s="24" t="s">
        <v>18162</v>
      </c>
      <c r="B5751" s="24" t="s">
        <v>18163</v>
      </c>
      <c r="C5751" s="24" t="s">
        <v>18164</v>
      </c>
      <c r="D5751" s="25" t="s">
        <v>18165</v>
      </c>
      <c r="E5751" s="28">
        <v>0.18333</v>
      </c>
      <c r="F5751" s="29">
        <f ca="1">ROUND(6.320,3)</f>
        <v>0</v>
      </c>
      <c r="G5751" s="27">
        <f ca="1">ROUND(E5751*F5751,2)</f>
        <v>0</v>
      </c>
    </row>
    <row r="5752" spans="1:7" ht="21.36" thickBot="1" customHeight="1">
      <c r="A5752" s="24" t="s">
        <v>18166</v>
      </c>
      <c r="B5752" s="24" t="s">
        <v>18167</v>
      </c>
      <c r="C5752" s="24" t="s">
        <v>18168</v>
      </c>
      <c r="D5752" s="25" t="s">
        <v>18169</v>
      </c>
      <c r="E5752" s="28">
        <v>0.28000</v>
      </c>
      <c r="F5752" s="29">
        <f ca="1">F5756</f>
        <v>0</v>
      </c>
      <c r="G5752" s="27">
        <f ca="1">ROUND(E5752*F5752,2)</f>
        <v>0</v>
      </c>
    </row>
    <row r="5753" spans="1:7" ht="24.36" thickBot="1" customHeight="1">
      <c r="A5753" s="24" t="s">
        <v>18170</v>
      </c>
      <c r="B5753" s="24" t="s">
        <v>18171</v>
      </c>
      <c r="C5753" s="24" t="s">
        <v>18172</v>
      </c>
      <c r="D5753" s="25" t="s">
        <v>18173</v>
      </c>
      <c r="E5753" s="28">
        <v>1.00000</v>
      </c>
      <c r="F5753" s="29">
        <f ca="1">ROUND(21.000,3)</f>
        <v>0</v>
      </c>
      <c r="G5753" s="27">
        <f ca="1">ROUND(E5753*F5753,2)</f>
        <v>0</v>
      </c>
    </row>
    <row r="5754" spans="1:7" ht="24.36" thickBot="1" customHeight="1">
      <c r="A5754" s="24" t="s">
        <v>18174</v>
      </c>
      <c r="B5754" s="24" t="s">
        <v>18175</v>
      </c>
      <c r="C5754" s="24" t="s">
        <v>18176</v>
      </c>
      <c r="D5754" s="25" t="s">
        <v>18177</v>
      </c>
      <c r="E5754" s="28">
        <v>1.00000</v>
      </c>
      <c r="F5754" s="29">
        <f ca="1">ROUND(19.000,3)</f>
        <v>0</v>
      </c>
      <c r="G5754" s="27">
        <f ca="1">ROUND(E5754*F5754,2)</f>
        <v>0</v>
      </c>
    </row>
    <row r="5755" spans="1:7" ht="24.36" thickBot="1" customHeight="1">
      <c r="A5755" s="24" t="s">
        <v>18178</v>
      </c>
      <c r="B5755" s="24" t="s">
        <v>18179</v>
      </c>
      <c r="C5755" s="24" t="s">
        <v>18180</v>
      </c>
      <c r="D5755" s="25" t="s">
        <v>18181</v>
      </c>
      <c r="E5755" s="28">
        <v>0.20000</v>
      </c>
      <c r="F5755" s="29">
        <f ca="1">ROUND(19.000,3)</f>
        <v>0</v>
      </c>
      <c r="G5755" s="27">
        <f ca="1">ROUND(E5755*F5755,2)</f>
        <v>0</v>
      </c>
    </row>
    <row r="5756" spans="1:7" ht="15.12" thickBot="1" customHeight="1">
      <c r="A5756" s="26"/>
      <c r="B5756" s="26"/>
      <c r="C5756" s="26"/>
      <c r="D5756" s="24" t="s">
        <v>18182</v>
      </c>
      <c r="E5756" s="28">
        <v>0.28000</v>
      </c>
      <c r="F5756" s="29">
        <f ca="1">ROUND((G5753+G5754+G5755),3)</f>
        <v>0</v>
      </c>
      <c r="G5756" s="27">
        <f ca="1">ROUND(E5756*F5756,2)</f>
        <v>0</v>
      </c>
    </row>
    <row r="5757" spans="1:7" ht="15.12" thickBot="1" customHeight="1">
      <c r="A5757" s="24" t="s">
        <v>18183</v>
      </c>
      <c r="B5757" s="24"/>
      <c r="C5757" s="24" t="s">
        <v>18184</v>
      </c>
      <c r="D5757" s="25" t="s">
        <v>18185</v>
      </c>
      <c r="E5757" s="28">
        <v>3.00000</v>
      </c>
      <c r="F5757" s="29">
        <f ca="1">ROUND(12.260,3)</f>
        <v>0</v>
      </c>
      <c r="G5757" s="27">
        <f ca="1">ROUND((E5757*F5757)/100,2)</f>
        <v>0</v>
      </c>
    </row>
    <row r="5758" spans="1:7" ht="25.08" thickBot="1" customHeight="1">
      <c r="A5758" s="30"/>
      <c r="B5758" s="30"/>
      <c r="C5758" s="30"/>
      <c r="D5758" s="31" t="s">
        <v>18186</v>
      </c>
      <c r="E5758" s="30"/>
      <c r="F5758" s="33">
        <f ca="1">ROUND((G5750+G5751+G5752+G5757)*(1+G2/100),2)</f>
        <v>0</v>
      </c>
      <c r="G5758" s="30"/>
    </row>
    <row r="5759" spans="1:7" ht="21.36" thickBot="1" customHeight="1">
      <c r="A5759" s="34" t="s">
        <v>18187</v>
      </c>
      <c r="B5759" s="35" t="s">
        <v>18188</v>
      </c>
      <c r="C5759" s="35" t="s">
        <v>18189</v>
      </c>
      <c r="D5759" s="36" t="s">
        <v>18190</v>
      </c>
      <c r="E5759" s="37"/>
      <c r="F5759" s="38">
        <f ca="1">F5763</f>
        <v>0</v>
      </c>
      <c r="G5759" s="37"/>
    </row>
    <row r="5760" spans="1:7" ht="39.84" thickBot="1" customHeight="1">
      <c r="A5760" s="26"/>
      <c r="B5760" s="26"/>
      <c r="C5760" s="26"/>
      <c r="D5760" s="25" t="s">
        <v>18191</v>
      </c>
      <c r="E5760" s="25"/>
      <c r="F5760" s="25"/>
      <c r="G5760" s="25"/>
    </row>
    <row r="5761" spans="1:7" ht="30.60" thickBot="1" customHeight="1">
      <c r="A5761" s="24" t="s">
        <v>18192</v>
      </c>
      <c r="B5761" s="24" t="s">
        <v>18193</v>
      </c>
      <c r="C5761" s="24" t="s">
        <v>18194</v>
      </c>
      <c r="D5761" s="25" t="s">
        <v>18195</v>
      </c>
      <c r="E5761" s="28">
        <v>1.00000</v>
      </c>
      <c r="F5761" s="29">
        <f ca="1">ROUND(250.000,3)</f>
        <v>0</v>
      </c>
      <c r="G5761" s="27">
        <f ca="1">ROUND(E5761*F5761,2)</f>
        <v>0</v>
      </c>
    </row>
    <row r="5762" spans="1:7" ht="24.36" thickBot="1" customHeight="1">
      <c r="A5762" s="24" t="s">
        <v>18196</v>
      </c>
      <c r="B5762" s="24" t="s">
        <v>18197</v>
      </c>
      <c r="C5762" s="24" t="s">
        <v>18198</v>
      </c>
      <c r="D5762" s="25" t="s">
        <v>18199</v>
      </c>
      <c r="E5762" s="28">
        <v>4.00000</v>
      </c>
      <c r="F5762" s="29">
        <f ca="1">ROUND(49.500,3)</f>
        <v>0</v>
      </c>
      <c r="G5762" s="27">
        <f ca="1">ROUND(E5762*F5762,2)</f>
        <v>0</v>
      </c>
    </row>
    <row r="5763" spans="1:7" ht="15.48" thickBot="1" customHeight="1">
      <c r="A5763" s="30"/>
      <c r="B5763" s="30"/>
      <c r="C5763" s="30"/>
      <c r="D5763" s="31" t="s">
        <v>18200</v>
      </c>
      <c r="E5763" s="30"/>
      <c r="F5763" s="33">
        <f ca="1">ROUND((G5761+G5762)*(1+G2/100),2)</f>
        <v>0</v>
      </c>
      <c r="G5763" s="30"/>
    </row>
    <row r="5764" spans="1:7" ht="21.36" thickBot="1" customHeight="1">
      <c r="A5764" s="34" t="s">
        <v>18201</v>
      </c>
      <c r="B5764" s="35" t="s">
        <v>18202</v>
      </c>
      <c r="C5764" s="35" t="s">
        <v>18203</v>
      </c>
      <c r="D5764" s="36" t="s">
        <v>18204</v>
      </c>
      <c r="E5764" s="37"/>
      <c r="F5764" s="38">
        <f ca="1">F5768</f>
        <v>0</v>
      </c>
      <c r="G5764" s="37"/>
    </row>
    <row r="5765" spans="1:7" ht="169.20" thickBot="1" customHeight="1">
      <c r="A5765" s="26"/>
      <c r="B5765" s="26"/>
      <c r="C5765" s="26"/>
      <c r="D5765" s="25" t="s">
        <v>18205</v>
      </c>
      <c r="E5765" s="25"/>
      <c r="F5765" s="25"/>
      <c r="G5765" s="25"/>
    </row>
    <row r="5766" spans="1:7" ht="21.36" thickBot="1" customHeight="1">
      <c r="A5766" s="24" t="s">
        <v>18206</v>
      </c>
      <c r="B5766" s="24" t="s">
        <v>18207</v>
      </c>
      <c r="C5766" s="24" t="s">
        <v>18208</v>
      </c>
      <c r="D5766" s="25" t="s">
        <v>18209</v>
      </c>
      <c r="E5766" s="28">
        <v>1.00000</v>
      </c>
      <c r="F5766" s="29">
        <f ca="1">ROUND(758.000,3)</f>
        <v>0</v>
      </c>
      <c r="G5766" s="27">
        <f ca="1">ROUND(E5766*F5766,2)</f>
        <v>0</v>
      </c>
    </row>
    <row r="5767" spans="1:7" ht="24.36" thickBot="1" customHeight="1">
      <c r="A5767" s="24" t="s">
        <v>18210</v>
      </c>
      <c r="B5767" s="24" t="s">
        <v>18211</v>
      </c>
      <c r="C5767" s="24" t="s">
        <v>18212</v>
      </c>
      <c r="D5767" s="25" t="s">
        <v>18213</v>
      </c>
      <c r="E5767" s="28">
        <v>3.00000</v>
      </c>
      <c r="F5767" s="29">
        <f ca="1">ROUND(49.500,3)</f>
        <v>0</v>
      </c>
      <c r="G5767" s="27">
        <f ca="1">ROUND(E5767*F5767,2)</f>
        <v>0</v>
      </c>
    </row>
    <row r="5768" spans="1:7" ht="15.48" thickBot="1" customHeight="1">
      <c r="A5768" s="30"/>
      <c r="B5768" s="30"/>
      <c r="C5768" s="30"/>
      <c r="D5768" s="31" t="s">
        <v>18214</v>
      </c>
      <c r="E5768" s="30"/>
      <c r="F5768" s="33">
        <f ca="1">ROUND((G5766+G5767)*(1+G2/100),2)</f>
        <v>0</v>
      </c>
      <c r="G5768" s="30"/>
    </row>
    <row r="5769" spans="1:7" ht="15.48" thickBot="1" customHeight="1">
      <c r="A5769" s="34" t="s">
        <v>18215</v>
      </c>
      <c r="B5769" s="35" t="s">
        <v>18216</v>
      </c>
      <c r="C5769" s="35" t="s">
        <v>18217</v>
      </c>
      <c r="D5769" s="36" t="s">
        <v>18218</v>
      </c>
      <c r="E5769" s="37"/>
      <c r="F5769" s="38">
        <f ca="1">F5774</f>
        <v>0</v>
      </c>
      <c r="G5769" s="37"/>
    </row>
    <row r="5770" spans="1:7" ht="30.60" thickBot="1" customHeight="1">
      <c r="A5770" s="26"/>
      <c r="B5770" s="26"/>
      <c r="C5770" s="26"/>
      <c r="D5770" s="25" t="s">
        <v>18219</v>
      </c>
      <c r="E5770" s="25"/>
      <c r="F5770" s="25"/>
      <c r="G5770" s="25"/>
    </row>
    <row r="5771" spans="1:7" ht="21.36" thickBot="1" customHeight="1">
      <c r="A5771" s="24" t="s">
        <v>18220</v>
      </c>
      <c r="B5771" s="24" t="s">
        <v>18221</v>
      </c>
      <c r="C5771" s="24" t="s">
        <v>18222</v>
      </c>
      <c r="D5771" s="25" t="s">
        <v>18223</v>
      </c>
      <c r="E5771" s="28">
        <v>0.10000</v>
      </c>
      <c r="F5771" s="29">
        <f ca="1">ROUND(8.500,3)</f>
        <v>0</v>
      </c>
      <c r="G5771" s="27">
        <f ca="1">ROUND(E5771*F5771,2)</f>
        <v>0</v>
      </c>
    </row>
    <row r="5772" spans="1:7" ht="30.60" thickBot="1" customHeight="1">
      <c r="A5772" s="24" t="s">
        <v>18224</v>
      </c>
      <c r="B5772" s="24" t="s">
        <v>18225</v>
      </c>
      <c r="C5772" s="24" t="s">
        <v>18226</v>
      </c>
      <c r="D5772" s="25" t="s">
        <v>18227</v>
      </c>
      <c r="E5772" s="28">
        <v>1.00000</v>
      </c>
      <c r="F5772" s="29">
        <f ca="1">ROUND(37.210,3)</f>
        <v>0</v>
      </c>
      <c r="G5772" s="27">
        <f ca="1">ROUND(E5772*F5772,2)</f>
        <v>0</v>
      </c>
    </row>
    <row r="5773" spans="1:7" ht="24.36" thickBot="1" customHeight="1">
      <c r="A5773" s="24" t="s">
        <v>18228</v>
      </c>
      <c r="B5773" s="24" t="s">
        <v>18229</v>
      </c>
      <c r="C5773" s="24" t="s">
        <v>18230</v>
      </c>
      <c r="D5773" s="25" t="s">
        <v>18231</v>
      </c>
      <c r="E5773" s="28">
        <v>0.37000</v>
      </c>
      <c r="F5773" s="29">
        <f ca="1">ROUND(49.500,3)</f>
        <v>0</v>
      </c>
      <c r="G5773" s="27">
        <f ca="1">ROUND(E5773*F5773,2)</f>
        <v>0</v>
      </c>
    </row>
    <row r="5774" spans="1:7" ht="15.48" thickBot="1" customHeight="1">
      <c r="A5774" s="30"/>
      <c r="B5774" s="30"/>
      <c r="C5774" s="30"/>
      <c r="D5774" s="31" t="s">
        <v>18232</v>
      </c>
      <c r="E5774" s="30"/>
      <c r="F5774" s="33">
        <f ca="1">ROUND((G5771+G5772+G5773)*(1+G2/100),2)</f>
        <v>0</v>
      </c>
      <c r="G5774" s="30"/>
    </row>
    <row r="5775" spans="1:7" ht="15.48" thickBot="1" customHeight="1">
      <c r="A5775" s="34" t="s">
        <v>18233</v>
      </c>
      <c r="B5775" s="35" t="s">
        <v>18234</v>
      </c>
      <c r="C5775" s="35" t="s">
        <v>18235</v>
      </c>
      <c r="D5775" s="36" t="s">
        <v>18236</v>
      </c>
      <c r="E5775" s="37"/>
      <c r="F5775" s="38">
        <f ca="1">F5784</f>
        <v>0</v>
      </c>
      <c r="G5775" s="37"/>
    </row>
    <row r="5776" spans="1:7" ht="12.12" thickBot="1" customHeight="1">
      <c r="A5776" s="26"/>
      <c r="B5776" s="26"/>
      <c r="C5776" s="26"/>
      <c r="D5776" s="25" t="s">
        <v>18237</v>
      </c>
      <c r="E5776" s="25"/>
      <c r="F5776" s="25"/>
      <c r="G5776" s="25"/>
    </row>
    <row r="5777" spans="1:7" ht="15.12" thickBot="1" customHeight="1">
      <c r="A5777" s="24" t="s">
        <v>18238</v>
      </c>
      <c r="B5777" s="24" t="s">
        <v>18239</v>
      </c>
      <c r="C5777" s="24" t="s">
        <v>18240</v>
      </c>
      <c r="D5777" s="25" t="s">
        <v>18241</v>
      </c>
      <c r="E5777" s="28">
        <v>1.00000</v>
      </c>
      <c r="F5777" s="29">
        <f ca="1">ROUND(5.340,3)</f>
        <v>0</v>
      </c>
      <c r="G5777" s="27">
        <f ca="1">ROUND(E5777*F5777,2)</f>
        <v>0</v>
      </c>
    </row>
    <row r="5778" spans="1:7" ht="21.36" thickBot="1" customHeight="1">
      <c r="A5778" s="24" t="s">
        <v>18242</v>
      </c>
      <c r="B5778" s="24" t="s">
        <v>18243</v>
      </c>
      <c r="C5778" s="24" t="s">
        <v>18244</v>
      </c>
      <c r="D5778" s="25" t="s">
        <v>18245</v>
      </c>
      <c r="E5778" s="28">
        <v>0.09000</v>
      </c>
      <c r="F5778" s="29">
        <f ca="1">F5782</f>
        <v>0</v>
      </c>
      <c r="G5778" s="27">
        <f ca="1">ROUND(E5778*F5778,2)</f>
        <v>0</v>
      </c>
    </row>
    <row r="5779" spans="1:7" ht="24.36" thickBot="1" customHeight="1">
      <c r="A5779" s="24" t="s">
        <v>18246</v>
      </c>
      <c r="B5779" s="24" t="s">
        <v>18247</v>
      </c>
      <c r="C5779" s="24" t="s">
        <v>18248</v>
      </c>
      <c r="D5779" s="25" t="s">
        <v>18249</v>
      </c>
      <c r="E5779" s="28">
        <v>1.00000</v>
      </c>
      <c r="F5779" s="29">
        <f ca="1">ROUND(21.000,3)</f>
        <v>0</v>
      </c>
      <c r="G5779" s="27">
        <f ca="1">ROUND(E5779*F5779,2)</f>
        <v>0</v>
      </c>
    </row>
    <row r="5780" spans="1:7" ht="24.36" thickBot="1" customHeight="1">
      <c r="A5780" s="24" t="s">
        <v>18250</v>
      </c>
      <c r="B5780" s="24" t="s">
        <v>18251</v>
      </c>
      <c r="C5780" s="24" t="s">
        <v>18252</v>
      </c>
      <c r="D5780" s="25" t="s">
        <v>18253</v>
      </c>
      <c r="E5780" s="28">
        <v>1.00000</v>
      </c>
      <c r="F5780" s="29">
        <f ca="1">ROUND(19.000,3)</f>
        <v>0</v>
      </c>
      <c r="G5780" s="27">
        <f ca="1">ROUND(E5780*F5780,2)</f>
        <v>0</v>
      </c>
    </row>
    <row r="5781" spans="1:7" ht="24.36" thickBot="1" customHeight="1">
      <c r="A5781" s="24" t="s">
        <v>18254</v>
      </c>
      <c r="B5781" s="24" t="s">
        <v>18255</v>
      </c>
      <c r="C5781" s="24" t="s">
        <v>18256</v>
      </c>
      <c r="D5781" s="25" t="s">
        <v>18257</v>
      </c>
      <c r="E5781" s="28">
        <v>0.20000</v>
      </c>
      <c r="F5781" s="29">
        <f ca="1">ROUND(19.000,3)</f>
        <v>0</v>
      </c>
      <c r="G5781" s="27">
        <f ca="1">ROUND(E5781*F5781,2)</f>
        <v>0</v>
      </c>
    </row>
    <row r="5782" spans="1:7" ht="15.12" thickBot="1" customHeight="1">
      <c r="A5782" s="26"/>
      <c r="B5782" s="26"/>
      <c r="C5782" s="26"/>
      <c r="D5782" s="24" t="s">
        <v>18258</v>
      </c>
      <c r="E5782" s="28">
        <v>0.09000</v>
      </c>
      <c r="F5782" s="29">
        <f ca="1">ROUND((G5779+G5780+G5781),3)</f>
        <v>0</v>
      </c>
      <c r="G5782" s="27">
        <f ca="1">ROUND(E5782*F5782,2)</f>
        <v>0</v>
      </c>
    </row>
    <row r="5783" spans="1:7" ht="15.12" thickBot="1" customHeight="1">
      <c r="A5783" s="24" t="s">
        <v>18259</v>
      </c>
      <c r="B5783" s="24"/>
      <c r="C5783" s="24" t="s">
        <v>18260</v>
      </c>
      <c r="D5783" s="25" t="s">
        <v>18261</v>
      </c>
      <c r="E5783" s="28">
        <v>3.00000</v>
      </c>
      <c r="F5783" s="29">
        <f ca="1">ROUND(3.940,3)</f>
        <v>0</v>
      </c>
      <c r="G5783" s="27">
        <f ca="1">ROUND((E5783*F5783)/100,2)</f>
        <v>0</v>
      </c>
    </row>
    <row r="5784" spans="1:7" ht="15.48" thickBot="1" customHeight="1">
      <c r="A5784" s="30"/>
      <c r="B5784" s="30"/>
      <c r="C5784" s="30"/>
      <c r="D5784" s="31" t="s">
        <v>18262</v>
      </c>
      <c r="E5784" s="30"/>
      <c r="F5784" s="33">
        <f ca="1">ROUND((G5777+G5778+G5783)*(1+G2/100),2)</f>
        <v>0</v>
      </c>
      <c r="G5784" s="30"/>
    </row>
    <row r="5785" spans="1:7" ht="15.48" thickBot="1" customHeight="1">
      <c r="A5785" s="34" t="s">
        <v>18263</v>
      </c>
      <c r="B5785" s="35" t="s">
        <v>18264</v>
      </c>
      <c r="C5785" s="35" t="s">
        <v>18265</v>
      </c>
      <c r="D5785" s="36" t="s">
        <v>18266</v>
      </c>
      <c r="E5785" s="37"/>
      <c r="F5785" s="38">
        <f ca="1">F5794</f>
        <v>0</v>
      </c>
      <c r="G5785" s="37"/>
    </row>
    <row r="5786" spans="1:7" ht="49.08" thickBot="1" customHeight="1">
      <c r="A5786" s="26"/>
      <c r="B5786" s="26"/>
      <c r="C5786" s="26"/>
      <c r="D5786" s="25" t="s">
        <v>18267</v>
      </c>
      <c r="E5786" s="25"/>
      <c r="F5786" s="25"/>
      <c r="G5786" s="25"/>
    </row>
    <row r="5787" spans="1:7" ht="30.60" thickBot="1" customHeight="1">
      <c r="A5787" s="24" t="s">
        <v>18268</v>
      </c>
      <c r="B5787" s="24" t="s">
        <v>18269</v>
      </c>
      <c r="C5787" s="24" t="s">
        <v>18270</v>
      </c>
      <c r="D5787" s="25" t="s">
        <v>18271</v>
      </c>
      <c r="E5787" s="28">
        <v>1.00000</v>
      </c>
      <c r="F5787" s="29">
        <f ca="1">ROUND(26.900,3)</f>
        <v>0</v>
      </c>
      <c r="G5787" s="27">
        <f ca="1">ROUND(E5787*F5787,2)</f>
        <v>0</v>
      </c>
    </row>
    <row r="5788" spans="1:7" ht="21.36" thickBot="1" customHeight="1">
      <c r="A5788" s="24" t="s">
        <v>18272</v>
      </c>
      <c r="B5788" s="24" t="s">
        <v>18273</v>
      </c>
      <c r="C5788" s="24" t="s">
        <v>18274</v>
      </c>
      <c r="D5788" s="25" t="s">
        <v>18275</v>
      </c>
      <c r="E5788" s="28">
        <v>1.00000</v>
      </c>
      <c r="F5788" s="29">
        <f ca="1">ROUND(78.950,3)</f>
        <v>0</v>
      </c>
      <c r="G5788" s="27">
        <f ca="1">ROUND(E5788*F5788,2)</f>
        <v>0</v>
      </c>
    </row>
    <row r="5789" spans="1:7" ht="21.36" thickBot="1" customHeight="1">
      <c r="A5789" s="24" t="s">
        <v>18276</v>
      </c>
      <c r="B5789" s="24" t="s">
        <v>18277</v>
      </c>
      <c r="C5789" s="24" t="s">
        <v>18278</v>
      </c>
      <c r="D5789" s="25" t="s">
        <v>18279</v>
      </c>
      <c r="E5789" s="28">
        <v>1.00000</v>
      </c>
      <c r="F5789" s="29">
        <f ca="1">ROUND(21.950,3)</f>
        <v>0</v>
      </c>
      <c r="G5789" s="27">
        <f ca="1">ROUND(E5789*F5789,2)</f>
        <v>0</v>
      </c>
    </row>
    <row r="5790" spans="1:7" ht="21.36" thickBot="1" customHeight="1">
      <c r="A5790" s="24" t="s">
        <v>18280</v>
      </c>
      <c r="B5790" s="24" t="s">
        <v>18281</v>
      </c>
      <c r="C5790" s="24" t="s">
        <v>18282</v>
      </c>
      <c r="D5790" s="25" t="s">
        <v>18283</v>
      </c>
      <c r="E5790" s="28">
        <v>1.00000</v>
      </c>
      <c r="F5790" s="29">
        <f ca="1">ROUND(76.750,3)</f>
        <v>0</v>
      </c>
      <c r="G5790" s="27">
        <f ca="1">ROUND(E5790*F5790,2)</f>
        <v>0</v>
      </c>
    </row>
    <row r="5791" spans="1:7" ht="21.36" thickBot="1" customHeight="1">
      <c r="A5791" s="24" t="s">
        <v>18284</v>
      </c>
      <c r="B5791" s="24" t="s">
        <v>18285</v>
      </c>
      <c r="C5791" s="24" t="s">
        <v>18286</v>
      </c>
      <c r="D5791" s="25" t="s">
        <v>18287</v>
      </c>
      <c r="E5791" s="28">
        <v>1.00000</v>
      </c>
      <c r="F5791" s="29">
        <f ca="1">ROUND(31.850,3)</f>
        <v>0</v>
      </c>
      <c r="G5791" s="27">
        <f ca="1">ROUND(E5791*F5791,2)</f>
        <v>0</v>
      </c>
    </row>
    <row r="5792" spans="1:7" ht="30.60" thickBot="1" customHeight="1">
      <c r="A5792" s="24" t="s">
        <v>18288</v>
      </c>
      <c r="B5792" s="24" t="s">
        <v>18289</v>
      </c>
      <c r="C5792" s="24" t="s">
        <v>18290</v>
      </c>
      <c r="D5792" s="25" t="s">
        <v>18291</v>
      </c>
      <c r="E5792" s="28">
        <v>1.00000</v>
      </c>
      <c r="F5792" s="29">
        <f ca="1">ROUND(107.000,3)</f>
        <v>0</v>
      </c>
      <c r="G5792" s="27">
        <f ca="1">ROUND(E5792*F5792,2)</f>
        <v>0</v>
      </c>
    </row>
    <row r="5793" spans="1:7" ht="24.36" thickBot="1" customHeight="1">
      <c r="A5793" s="24" t="s">
        <v>18292</v>
      </c>
      <c r="B5793" s="24" t="s">
        <v>18293</v>
      </c>
      <c r="C5793" s="24" t="s">
        <v>18294</v>
      </c>
      <c r="D5793" s="25" t="s">
        <v>18295</v>
      </c>
      <c r="E5793" s="28">
        <v>9.00000</v>
      </c>
      <c r="F5793" s="29">
        <f ca="1">ROUND(49.500,3)</f>
        <v>0</v>
      </c>
      <c r="G5793" s="27">
        <f ca="1">ROUND(E5793*F5793,2)</f>
        <v>0</v>
      </c>
    </row>
    <row r="5794" spans="1:7" ht="15.48" thickBot="1" customHeight="1">
      <c r="A5794" s="30"/>
      <c r="B5794" s="30"/>
      <c r="C5794" s="30"/>
      <c r="D5794" s="31" t="s">
        <v>18296</v>
      </c>
      <c r="E5794" s="30"/>
      <c r="F5794" s="33">
        <f ca="1">ROUND((G5787+G5788+G5789+G5790+G5791+G5792+G5793)*(1+G2/100),2)</f>
        <v>0</v>
      </c>
      <c r="G5794" s="30"/>
    </row>
    <row r="5795" spans="1:7" ht="15.48" thickBot="1" customHeight="1">
      <c r="A5795" s="34" t="s">
        <v>18297</v>
      </c>
      <c r="B5795" s="35" t="s">
        <v>18298</v>
      </c>
      <c r="C5795" s="35" t="s">
        <v>18299</v>
      </c>
      <c r="D5795" s="36" t="s">
        <v>18300</v>
      </c>
      <c r="E5795" s="37"/>
      <c r="F5795" s="38">
        <f ca="1">F5798</f>
        <v>0</v>
      </c>
      <c r="G5795" s="37"/>
    </row>
    <row r="5796" spans="1:7" ht="39.84" thickBot="1" customHeight="1">
      <c r="A5796" s="26"/>
      <c r="B5796" s="26"/>
      <c r="C5796" s="26"/>
      <c r="D5796" s="25" t="s">
        <v>18301</v>
      </c>
      <c r="E5796" s="25"/>
      <c r="F5796" s="25"/>
      <c r="G5796" s="25"/>
    </row>
    <row r="5797" spans="1:7" ht="24.36" thickBot="1" customHeight="1">
      <c r="A5797" s="24" t="s">
        <v>18302</v>
      </c>
      <c r="B5797" s="24" t="s">
        <v>18303</v>
      </c>
      <c r="C5797" s="24" t="s">
        <v>18304</v>
      </c>
      <c r="D5797" s="25" t="s">
        <v>18305</v>
      </c>
      <c r="E5797" s="28">
        <v>4.00000</v>
      </c>
      <c r="F5797" s="29">
        <f ca="1">ROUND(49.500,3)</f>
        <v>0</v>
      </c>
      <c r="G5797" s="27">
        <f ca="1">ROUND(E5797*F5797,2)</f>
        <v>0</v>
      </c>
    </row>
    <row r="5798" spans="1:7" ht="15.48" thickBot="1" customHeight="1">
      <c r="A5798" s="30"/>
      <c r="B5798" s="30"/>
      <c r="C5798" s="30"/>
      <c r="D5798" s="31" t="s">
        <v>18306</v>
      </c>
      <c r="E5798" s="30"/>
      <c r="F5798" s="33">
        <f ca="1">ROUND((G5797)*(1+G2/100),2)</f>
        <v>0</v>
      </c>
      <c r="G5798" s="30"/>
    </row>
    <row r="5799" spans="1:7" ht="15.48" thickBot="1" customHeight="1">
      <c r="A5799" s="34" t="s">
        <v>18307</v>
      </c>
      <c r="B5799" s="35" t="s">
        <v>18308</v>
      </c>
      <c r="C5799" s="35" t="s">
        <v>18309</v>
      </c>
      <c r="D5799" s="36" t="s">
        <v>18310</v>
      </c>
      <c r="E5799" s="37"/>
      <c r="F5799" s="38">
        <f ca="1">F5805</f>
        <v>0</v>
      </c>
      <c r="G5799" s="37"/>
    </row>
    <row r="5800" spans="1:7" ht="21.36" thickBot="1" customHeight="1">
      <c r="A5800" s="26"/>
      <c r="B5800" s="26"/>
      <c r="C5800" s="26"/>
      <c r="D5800" s="25" t="s">
        <v>18311</v>
      </c>
      <c r="E5800" s="25"/>
      <c r="F5800" s="25"/>
      <c r="G5800" s="25"/>
    </row>
    <row r="5801" spans="1:7" ht="21.36" thickBot="1" customHeight="1">
      <c r="A5801" s="24" t="s">
        <v>18312</v>
      </c>
      <c r="B5801" s="24" t="s">
        <v>18313</v>
      </c>
      <c r="C5801" s="24" t="s">
        <v>18314</v>
      </c>
      <c r="D5801" s="25" t="s">
        <v>18315</v>
      </c>
      <c r="E5801" s="28">
        <v>5.50000</v>
      </c>
      <c r="F5801" s="29">
        <f ca="1">ROUND(189.000,3)</f>
        <v>0</v>
      </c>
      <c r="G5801" s="27">
        <f ca="1">ROUND(E5801*F5801,2)</f>
        <v>0</v>
      </c>
    </row>
    <row r="5802" spans="1:7" ht="21.36" thickBot="1" customHeight="1">
      <c r="A5802" s="24" t="s">
        <v>18316</v>
      </c>
      <c r="B5802" s="24" t="s">
        <v>18317</v>
      </c>
      <c r="C5802" s="24" t="s">
        <v>18318</v>
      </c>
      <c r="D5802" s="25" t="s">
        <v>18319</v>
      </c>
      <c r="E5802" s="28">
        <v>1.00000</v>
      </c>
      <c r="F5802" s="29">
        <f ca="1">ROUND(1.000,3)</f>
        <v>0</v>
      </c>
      <c r="G5802" s="27">
        <f ca="1">ROUND(E5802*F5802,2)</f>
        <v>0</v>
      </c>
    </row>
    <row r="5803" spans="1:7" ht="21.36" thickBot="1" customHeight="1">
      <c r="A5803" s="24" t="s">
        <v>18320</v>
      </c>
      <c r="B5803" s="24" t="s">
        <v>18321</v>
      </c>
      <c r="C5803" s="24" t="s">
        <v>18322</v>
      </c>
      <c r="D5803" s="25" t="s">
        <v>18323</v>
      </c>
      <c r="E5803" s="28">
        <v>5.00000</v>
      </c>
      <c r="F5803" s="29">
        <f ca="1">ROUND(8.500,3)</f>
        <v>0</v>
      </c>
      <c r="G5803" s="27">
        <f ca="1">ROUND(E5803*F5803,2)</f>
        <v>0</v>
      </c>
    </row>
    <row r="5804" spans="1:7" ht="24.36" thickBot="1" customHeight="1">
      <c r="A5804" s="24" t="s">
        <v>18324</v>
      </c>
      <c r="B5804" s="24" t="s">
        <v>18325</v>
      </c>
      <c r="C5804" s="24" t="s">
        <v>18326</v>
      </c>
      <c r="D5804" s="25" t="s">
        <v>18327</v>
      </c>
      <c r="E5804" s="28">
        <v>25.00000</v>
      </c>
      <c r="F5804" s="29">
        <f ca="1">ROUND(49.500,3)</f>
        <v>0</v>
      </c>
      <c r="G5804" s="27">
        <f ca="1">ROUND(E5804*F5804,2)</f>
        <v>0</v>
      </c>
    </row>
    <row r="5805" spans="1:7" ht="15.48" thickBot="1" customHeight="1">
      <c r="A5805" s="30"/>
      <c r="B5805" s="30"/>
      <c r="C5805" s="30"/>
      <c r="D5805" s="31" t="s">
        <v>18328</v>
      </c>
      <c r="E5805" s="30"/>
      <c r="F5805" s="33">
        <f ca="1">ROUND((G5801+G5802+G5803+G5804)*(1+G2/100),2)</f>
        <v>0</v>
      </c>
      <c r="G5805" s="30"/>
    </row>
    <row r="5806" spans="1:7" ht="30.60" thickBot="1" customHeight="1">
      <c r="A5806" s="34" t="s">
        <v>18329</v>
      </c>
      <c r="B5806" s="35" t="s">
        <v>18330</v>
      </c>
      <c r="C5806" s="35" t="s">
        <v>18331</v>
      </c>
      <c r="D5806" s="36" t="s">
        <v>18332</v>
      </c>
      <c r="E5806" s="37"/>
      <c r="F5806" s="38">
        <f ca="1">F5826</f>
        <v>0</v>
      </c>
      <c r="G5806" s="37"/>
    </row>
    <row r="5807" spans="1:7" ht="132.24" thickBot="1" customHeight="1">
      <c r="A5807" s="26"/>
      <c r="B5807" s="26"/>
      <c r="C5807" s="26"/>
      <c r="D5807" s="25" t="s">
        <v>18333</v>
      </c>
      <c r="E5807" s="25"/>
      <c r="F5807" s="25"/>
      <c r="G5807" s="25"/>
    </row>
    <row r="5808" spans="1:7" ht="30.60" thickBot="1" customHeight="1">
      <c r="A5808" s="24" t="s">
        <v>18334</v>
      </c>
      <c r="B5808" s="24" t="s">
        <v>18335</v>
      </c>
      <c r="C5808" s="24" t="s">
        <v>18336</v>
      </c>
      <c r="D5808" s="25" t="s">
        <v>18337</v>
      </c>
      <c r="E5808" s="28">
        <v>6.00000</v>
      </c>
      <c r="F5808" s="29">
        <f ca="1">F5813</f>
        <v>0</v>
      </c>
      <c r="G5808" s="27">
        <f ca="1">ROUND(E5808*F5808,2)</f>
        <v>0</v>
      </c>
    </row>
    <row r="5809" spans="1:7" ht="30.60" thickBot="1" customHeight="1">
      <c r="A5809" s="24" t="s">
        <v>18338</v>
      </c>
      <c r="B5809" s="24" t="s">
        <v>18339</v>
      </c>
      <c r="C5809" s="24" t="s">
        <v>18340</v>
      </c>
      <c r="D5809" s="25" t="s">
        <v>18341</v>
      </c>
      <c r="E5809" s="28">
        <v>0.07000</v>
      </c>
      <c r="F5809" s="29">
        <f ca="1">ROUND(110.660,3)</f>
        <v>0</v>
      </c>
      <c r="G5809" s="27">
        <f ca="1">ROUND(E5809*F5809,2)</f>
        <v>0</v>
      </c>
    </row>
    <row r="5810" spans="1:7" ht="24.36" thickBot="1" customHeight="1">
      <c r="A5810" s="24" t="s">
        <v>18342</v>
      </c>
      <c r="B5810" s="24" t="s">
        <v>18343</v>
      </c>
      <c r="C5810" s="24" t="s">
        <v>18344</v>
      </c>
      <c r="D5810" s="25" t="s">
        <v>18345</v>
      </c>
      <c r="E5810" s="28">
        <v>0.10000</v>
      </c>
      <c r="F5810" s="29">
        <f ca="1">ROUND(4.630,3)</f>
        <v>0</v>
      </c>
      <c r="G5810" s="27">
        <f ca="1">ROUND(E5810*F5810,2)</f>
        <v>0</v>
      </c>
    </row>
    <row r="5811" spans="1:7" ht="21.36" thickBot="1" customHeight="1">
      <c r="A5811" s="24" t="s">
        <v>18346</v>
      </c>
      <c r="B5811" s="24" t="s">
        <v>18347</v>
      </c>
      <c r="C5811" s="24" t="s">
        <v>18348</v>
      </c>
      <c r="D5811" s="25" t="s">
        <v>18349</v>
      </c>
      <c r="E5811" s="28">
        <v>0.40000</v>
      </c>
      <c r="F5811" s="29">
        <f ca="1">ROUND(43.800,3)</f>
        <v>0</v>
      </c>
      <c r="G5811" s="27">
        <f ca="1">ROUND(E5811*F5811,2)</f>
        <v>0</v>
      </c>
    </row>
    <row r="5812" spans="1:7" ht="15.12" thickBot="1" customHeight="1">
      <c r="A5812" s="24" t="s">
        <v>18350</v>
      </c>
      <c r="B5812" s="24"/>
      <c r="C5812" s="24" t="s">
        <v>18351</v>
      </c>
      <c r="D5812" s="25" t="s">
        <v>18352</v>
      </c>
      <c r="E5812" s="28">
        <v>3.00000</v>
      </c>
      <c r="F5812" s="29">
        <f ca="1">ROUND(17.520,3)</f>
        <v>0</v>
      </c>
      <c r="G5812" s="27">
        <f ca="1">ROUND((E5812*F5812)/100,2)</f>
        <v>0</v>
      </c>
    </row>
    <row r="5813" spans="1:7" ht="15.12" thickBot="1" customHeight="1">
      <c r="A5813" s="26"/>
      <c r="B5813" s="26"/>
      <c r="C5813" s="26"/>
      <c r="D5813" s="24" t="s">
        <v>18353</v>
      </c>
      <c r="E5813" s="28">
        <v>6.00000</v>
      </c>
      <c r="F5813" s="29">
        <f ca="1">ROUND((G5809+G5810+G5811+G5812),3)</f>
        <v>0</v>
      </c>
      <c r="G5813" s="27">
        <f ca="1">ROUND(E5813*F5813,2)</f>
        <v>0</v>
      </c>
    </row>
    <row r="5814" spans="1:7" ht="30.60" thickBot="1" customHeight="1">
      <c r="A5814" s="24" t="s">
        <v>18354</v>
      </c>
      <c r="B5814" s="24" t="s">
        <v>18355</v>
      </c>
      <c r="C5814" s="24" t="s">
        <v>18356</v>
      </c>
      <c r="D5814" s="25" t="s">
        <v>18357</v>
      </c>
      <c r="E5814" s="28">
        <v>6.00000</v>
      </c>
      <c r="F5814" s="29">
        <f ca="1">F5818</f>
        <v>0</v>
      </c>
      <c r="G5814" s="27">
        <f ca="1">ROUND(E5814*F5814,2)</f>
        <v>0</v>
      </c>
    </row>
    <row r="5815" spans="1:7" ht="21.36" thickBot="1" customHeight="1">
      <c r="A5815" s="24" t="s">
        <v>18358</v>
      </c>
      <c r="B5815" s="24" t="s">
        <v>18359</v>
      </c>
      <c r="C5815" s="24" t="s">
        <v>18360</v>
      </c>
      <c r="D5815" s="25" t="s">
        <v>18361</v>
      </c>
      <c r="E5815" s="28">
        <v>0.50000</v>
      </c>
      <c r="F5815" s="29">
        <f ca="1">ROUND(2.840,3)</f>
        <v>0</v>
      </c>
      <c r="G5815" s="27">
        <f ca="1">ROUND(E5815*F5815,2)</f>
        <v>0</v>
      </c>
    </row>
    <row r="5816" spans="1:7" ht="21.36" thickBot="1" customHeight="1">
      <c r="A5816" s="24" t="s">
        <v>18362</v>
      </c>
      <c r="B5816" s="24" t="s">
        <v>18363</v>
      </c>
      <c r="C5816" s="24" t="s">
        <v>18364</v>
      </c>
      <c r="D5816" s="25" t="s">
        <v>18365</v>
      </c>
      <c r="E5816" s="28">
        <v>0.10000</v>
      </c>
      <c r="F5816" s="29">
        <f ca="1">ROUND(43.800,3)</f>
        <v>0</v>
      </c>
      <c r="G5816" s="27">
        <f ca="1">ROUND(E5816*F5816,2)</f>
        <v>0</v>
      </c>
    </row>
    <row r="5817" spans="1:7" ht="15.12" thickBot="1" customHeight="1">
      <c r="A5817" s="24" t="s">
        <v>18366</v>
      </c>
      <c r="B5817" s="24"/>
      <c r="C5817" s="24" t="s">
        <v>18367</v>
      </c>
      <c r="D5817" s="25" t="s">
        <v>18368</v>
      </c>
      <c r="E5817" s="28">
        <v>3.00000</v>
      </c>
      <c r="F5817" s="29">
        <f ca="1">ROUND(4.380,3)</f>
        <v>0</v>
      </c>
      <c r="G5817" s="27">
        <f ca="1">ROUND((E5817*F5817)/100,2)</f>
        <v>0</v>
      </c>
    </row>
    <row r="5818" spans="1:7" ht="15.12" thickBot="1" customHeight="1">
      <c r="A5818" s="26"/>
      <c r="B5818" s="26"/>
      <c r="C5818" s="26"/>
      <c r="D5818" s="24" t="s">
        <v>18369</v>
      </c>
      <c r="E5818" s="28">
        <v>6.00000</v>
      </c>
      <c r="F5818" s="29">
        <f ca="1">ROUND((G5815+G5816+G5817),3)</f>
        <v>0</v>
      </c>
      <c r="G5818" s="27">
        <f ca="1">ROUND(E5818*F5818,2)</f>
        <v>0</v>
      </c>
    </row>
    <row r="5819" spans="1:7" ht="15.12" thickBot="1" customHeight="1">
      <c r="A5819" s="24" t="s">
        <v>18370</v>
      </c>
      <c r="B5819" s="24" t="s">
        <v>18371</v>
      </c>
      <c r="C5819" s="24" t="s">
        <v>18372</v>
      </c>
      <c r="D5819" s="25" t="s">
        <v>18373</v>
      </c>
      <c r="E5819" s="28">
        <v>6.00000</v>
      </c>
      <c r="F5819" s="29">
        <f ca="1">F5825</f>
        <v>0</v>
      </c>
      <c r="G5819" s="27">
        <f ca="1">ROUND(E5819*F5819,2)</f>
        <v>0</v>
      </c>
    </row>
    <row r="5820" spans="1:7" ht="30.60" thickBot="1" customHeight="1">
      <c r="A5820" s="24" t="s">
        <v>18374</v>
      </c>
      <c r="B5820" s="24" t="s">
        <v>18375</v>
      </c>
      <c r="C5820" s="24" t="s">
        <v>18376</v>
      </c>
      <c r="D5820" s="25" t="s">
        <v>18377</v>
      </c>
      <c r="E5820" s="28">
        <v>0.60000</v>
      </c>
      <c r="F5820" s="29">
        <f ca="1">ROUND(8.630,3)</f>
        <v>0</v>
      </c>
      <c r="G5820" s="27">
        <f ca="1">ROUND(E5820*F5820,2)</f>
        <v>0</v>
      </c>
    </row>
    <row r="5821" spans="1:7" ht="15.12" thickBot="1" customHeight="1">
      <c r="A5821" s="24" t="s">
        <v>18378</v>
      </c>
      <c r="B5821" s="24" t="s">
        <v>18379</v>
      </c>
      <c r="C5821" s="24" t="s">
        <v>18380</v>
      </c>
      <c r="D5821" s="25" t="s">
        <v>18381</v>
      </c>
      <c r="E5821" s="28">
        <v>0.30000</v>
      </c>
      <c r="F5821" s="29">
        <f ca="1">ROUND(5.000,3)</f>
        <v>0</v>
      </c>
      <c r="G5821" s="27">
        <f ca="1">ROUND(E5821*F5821,2)</f>
        <v>0</v>
      </c>
    </row>
    <row r="5822" spans="1:7" ht="15.12" thickBot="1" customHeight="1">
      <c r="A5822" s="24" t="s">
        <v>18382</v>
      </c>
      <c r="B5822" s="24" t="s">
        <v>18383</v>
      </c>
      <c r="C5822" s="24" t="s">
        <v>18384</v>
      </c>
      <c r="D5822" s="25" t="s">
        <v>18385</v>
      </c>
      <c r="E5822" s="28">
        <v>0.20000</v>
      </c>
      <c r="F5822" s="29">
        <f ca="1">ROUND(9.200,3)</f>
        <v>0</v>
      </c>
      <c r="G5822" s="27">
        <f ca="1">ROUND(E5822*F5822,2)</f>
        <v>0</v>
      </c>
    </row>
    <row r="5823" spans="1:7" ht="21.36" thickBot="1" customHeight="1">
      <c r="A5823" s="24" t="s">
        <v>18386</v>
      </c>
      <c r="B5823" s="24" t="s">
        <v>18387</v>
      </c>
      <c r="C5823" s="24" t="s">
        <v>18388</v>
      </c>
      <c r="D5823" s="25" t="s">
        <v>18389</v>
      </c>
      <c r="E5823" s="28">
        <v>0.35000</v>
      </c>
      <c r="F5823" s="29">
        <f ca="1">ROUND(43.800,3)</f>
        <v>0</v>
      </c>
      <c r="G5823" s="27">
        <f ca="1">ROUND(E5823*F5823,2)</f>
        <v>0</v>
      </c>
    </row>
    <row r="5824" spans="1:7" ht="15.12" thickBot="1" customHeight="1">
      <c r="A5824" s="24" t="s">
        <v>18390</v>
      </c>
      <c r="B5824" s="24"/>
      <c r="C5824" s="24" t="s">
        <v>18391</v>
      </c>
      <c r="D5824" s="25" t="s">
        <v>18392</v>
      </c>
      <c r="E5824" s="28">
        <v>3.00000</v>
      </c>
      <c r="F5824" s="29">
        <f ca="1">ROUND(15.330,3)</f>
        <v>0</v>
      </c>
      <c r="G5824" s="27">
        <f ca="1">ROUND((E5824*F5824)/100,2)</f>
        <v>0</v>
      </c>
    </row>
    <row r="5825" spans="1:7" ht="15.12" thickBot="1" customHeight="1">
      <c r="A5825" s="26"/>
      <c r="B5825" s="26"/>
      <c r="C5825" s="26"/>
      <c r="D5825" s="24" t="s">
        <v>18393</v>
      </c>
      <c r="E5825" s="28">
        <v>6.00000</v>
      </c>
      <c r="F5825" s="29">
        <f ca="1">ROUND((G5820+G5821+G5822+G5823+G5824),3)</f>
        <v>0</v>
      </c>
      <c r="G5825" s="27">
        <f ca="1">ROUND(E5825*F5825,2)</f>
        <v>0</v>
      </c>
    </row>
    <row r="5826" spans="1:7" ht="15.48" thickBot="1" customHeight="1">
      <c r="A5826" s="30"/>
      <c r="B5826" s="30"/>
      <c r="C5826" s="30"/>
      <c r="D5826" s="31" t="s">
        <v>18394</v>
      </c>
      <c r="E5826" s="30"/>
      <c r="F5826" s="33">
        <f ca="1">ROUND((G5808+G5814+G5819)*(1+G2/100),2)</f>
        <v>0</v>
      </c>
      <c r="G5826" s="30"/>
    </row>
    <row r="5827" spans="1:7" ht="58.32" thickBot="1" customHeight="1">
      <c r="A5827" s="34" t="s">
        <v>18395</v>
      </c>
      <c r="B5827" s="35" t="s">
        <v>18396</v>
      </c>
      <c r="C5827" s="35" t="s">
        <v>18397</v>
      </c>
      <c r="D5827" s="36" t="s">
        <v>18398</v>
      </c>
      <c r="E5827" s="37"/>
      <c r="F5827" s="38">
        <f ca="1">F5837</f>
        <v>0</v>
      </c>
      <c r="G5827" s="37"/>
    </row>
    <row r="5828" spans="1:7" ht="21.36" thickBot="1" customHeight="1">
      <c r="A5828" s="26"/>
      <c r="B5828" s="26"/>
      <c r="C5828" s="26"/>
      <c r="D5828" s="25" t="s">
        <v>18399</v>
      </c>
      <c r="E5828" s="25"/>
      <c r="F5828" s="25"/>
      <c r="G5828" s="25"/>
    </row>
    <row r="5829" spans="1:7" ht="30.60" thickBot="1" customHeight="1">
      <c r="A5829" s="24" t="s">
        <v>18400</v>
      </c>
      <c r="B5829" s="24" t="s">
        <v>18401</v>
      </c>
      <c r="C5829" s="24" t="s">
        <v>18402</v>
      </c>
      <c r="D5829" s="25" t="s">
        <v>18403</v>
      </c>
      <c r="E5829" s="28">
        <v>1.00000</v>
      </c>
      <c r="F5829" s="29">
        <f ca="1">ROUND(216.230,3)</f>
        <v>0</v>
      </c>
      <c r="G5829" s="27">
        <f ca="1">ROUND(E5829*F5829,2)</f>
        <v>0</v>
      </c>
    </row>
    <row r="5830" spans="1:7" ht="39.84" thickBot="1" customHeight="1">
      <c r="A5830" s="24" t="s">
        <v>18404</v>
      </c>
      <c r="B5830" s="24" t="s">
        <v>18405</v>
      </c>
      <c r="C5830" s="24" t="s">
        <v>18406</v>
      </c>
      <c r="D5830" s="25" t="s">
        <v>18407</v>
      </c>
      <c r="E5830" s="28">
        <v>1.44000</v>
      </c>
      <c r="F5830" s="29">
        <f ca="1">ROUND(2.600,3)</f>
        <v>0</v>
      </c>
      <c r="G5830" s="27">
        <f ca="1">ROUND(E5830*F5830,2)</f>
        <v>0</v>
      </c>
    </row>
    <row r="5831" spans="1:7" ht="21.36" thickBot="1" customHeight="1">
      <c r="A5831" s="24" t="s">
        <v>18408</v>
      </c>
      <c r="B5831" s="24" t="s">
        <v>18409</v>
      </c>
      <c r="C5831" s="24" t="s">
        <v>18410</v>
      </c>
      <c r="D5831" s="25" t="s">
        <v>18411</v>
      </c>
      <c r="E5831" s="28">
        <v>6.00000</v>
      </c>
      <c r="F5831" s="29">
        <f ca="1">F5835</f>
        <v>0</v>
      </c>
      <c r="G5831" s="27">
        <f ca="1">ROUND(E5831*F5831,2)</f>
        <v>0</v>
      </c>
    </row>
    <row r="5832" spans="1:7" ht="24.36" thickBot="1" customHeight="1">
      <c r="A5832" s="24" t="s">
        <v>18412</v>
      </c>
      <c r="B5832" s="24" t="s">
        <v>18413</v>
      </c>
      <c r="C5832" s="24" t="s">
        <v>18414</v>
      </c>
      <c r="D5832" s="25" t="s">
        <v>18415</v>
      </c>
      <c r="E5832" s="28">
        <v>1.00000</v>
      </c>
      <c r="F5832" s="29">
        <f ca="1">ROUND(21.000,3)</f>
        <v>0</v>
      </c>
      <c r="G5832" s="27">
        <f ca="1">ROUND(E5832*F5832,2)</f>
        <v>0</v>
      </c>
    </row>
    <row r="5833" spans="1:7" ht="24.36" thickBot="1" customHeight="1">
      <c r="A5833" s="24" t="s">
        <v>18416</v>
      </c>
      <c r="B5833" s="24" t="s">
        <v>18417</v>
      </c>
      <c r="C5833" s="24" t="s">
        <v>18418</v>
      </c>
      <c r="D5833" s="25" t="s">
        <v>18419</v>
      </c>
      <c r="E5833" s="28">
        <v>1.00000</v>
      </c>
      <c r="F5833" s="29">
        <f ca="1">ROUND(19.000,3)</f>
        <v>0</v>
      </c>
      <c r="G5833" s="27">
        <f ca="1">ROUND(E5833*F5833,2)</f>
        <v>0</v>
      </c>
    </row>
    <row r="5834" spans="1:7" ht="24.36" thickBot="1" customHeight="1">
      <c r="A5834" s="24" t="s">
        <v>18420</v>
      </c>
      <c r="B5834" s="24" t="s">
        <v>18421</v>
      </c>
      <c r="C5834" s="24" t="s">
        <v>18422</v>
      </c>
      <c r="D5834" s="25" t="s">
        <v>18423</v>
      </c>
      <c r="E5834" s="28">
        <v>0.20000</v>
      </c>
      <c r="F5834" s="29">
        <f ca="1">ROUND(19.000,3)</f>
        <v>0</v>
      </c>
      <c r="G5834" s="27">
        <f ca="1">ROUND(E5834*F5834,2)</f>
        <v>0</v>
      </c>
    </row>
    <row r="5835" spans="1:7" ht="15.12" thickBot="1" customHeight="1">
      <c r="A5835" s="26"/>
      <c r="B5835" s="26"/>
      <c r="C5835" s="26"/>
      <c r="D5835" s="24" t="s">
        <v>18424</v>
      </c>
      <c r="E5835" s="28">
        <v>6.00000</v>
      </c>
      <c r="F5835" s="29">
        <f ca="1">ROUND((G5832+G5833+G5834),3)</f>
        <v>0</v>
      </c>
      <c r="G5835" s="27">
        <f ca="1">ROUND(E5835*F5835,2)</f>
        <v>0</v>
      </c>
    </row>
    <row r="5836" spans="1:7" ht="15.12" thickBot="1" customHeight="1">
      <c r="A5836" s="24" t="s">
        <v>18425</v>
      </c>
      <c r="B5836" s="24"/>
      <c r="C5836" s="24" t="s">
        <v>18426</v>
      </c>
      <c r="D5836" s="25" t="s">
        <v>18427</v>
      </c>
      <c r="E5836" s="28">
        <v>5.00000</v>
      </c>
      <c r="F5836" s="29">
        <f ca="1">ROUND(262.800,3)</f>
        <v>0</v>
      </c>
      <c r="G5836" s="27">
        <f ca="1">ROUND((E5836*F5836)/100,2)</f>
        <v>0</v>
      </c>
    </row>
    <row r="5837" spans="1:7" ht="15.48" thickBot="1" customHeight="1">
      <c r="A5837" s="30"/>
      <c r="B5837" s="30"/>
      <c r="C5837" s="30"/>
      <c r="D5837" s="31" t="s">
        <v>18428</v>
      </c>
      <c r="E5837" s="30"/>
      <c r="F5837" s="33">
        <f ca="1">ROUND((G5829+G5830+G5831+G5836)*(1+G2/100),2)</f>
        <v>0</v>
      </c>
      <c r="G5837" s="30"/>
    </row>
    <row r="5838" spans="1:7" ht="58.32" thickBot="1" customHeight="1">
      <c r="A5838" s="34" t="s">
        <v>18429</v>
      </c>
      <c r="B5838" s="35" t="s">
        <v>18430</v>
      </c>
      <c r="C5838" s="35" t="s">
        <v>18431</v>
      </c>
      <c r="D5838" s="36" t="s">
        <v>18432</v>
      </c>
      <c r="E5838" s="37"/>
      <c r="F5838" s="38">
        <f ca="1">F5848</f>
        <v>0</v>
      </c>
      <c r="G5838" s="37"/>
    </row>
    <row r="5839" spans="1:7" ht="21.36" thickBot="1" customHeight="1">
      <c r="A5839" s="26"/>
      <c r="B5839" s="26"/>
      <c r="C5839" s="26"/>
      <c r="D5839" s="25" t="s">
        <v>18433</v>
      </c>
      <c r="E5839" s="25"/>
      <c r="F5839" s="25"/>
      <c r="G5839" s="25"/>
    </row>
    <row r="5840" spans="1:7" ht="30.60" thickBot="1" customHeight="1">
      <c r="A5840" s="24" t="s">
        <v>18434</v>
      </c>
      <c r="B5840" s="24" t="s">
        <v>18435</v>
      </c>
      <c r="C5840" s="24" t="s">
        <v>18436</v>
      </c>
      <c r="D5840" s="25" t="s">
        <v>18437</v>
      </c>
      <c r="E5840" s="28">
        <v>1.00000</v>
      </c>
      <c r="F5840" s="29">
        <f ca="1">ROUND(229.000,3)</f>
        <v>0</v>
      </c>
      <c r="G5840" s="27">
        <f ca="1">ROUND(E5840*F5840,2)</f>
        <v>0</v>
      </c>
    </row>
    <row r="5841" spans="1:7" ht="39.84" thickBot="1" customHeight="1">
      <c r="A5841" s="24" t="s">
        <v>18438</v>
      </c>
      <c r="B5841" s="24" t="s">
        <v>18439</v>
      </c>
      <c r="C5841" s="24" t="s">
        <v>18440</v>
      </c>
      <c r="D5841" s="25" t="s">
        <v>18441</v>
      </c>
      <c r="E5841" s="28">
        <v>1.44000</v>
      </c>
      <c r="F5841" s="29">
        <f ca="1">ROUND(2.600,3)</f>
        <v>0</v>
      </c>
      <c r="G5841" s="27">
        <f ca="1">ROUND(E5841*F5841,2)</f>
        <v>0</v>
      </c>
    </row>
    <row r="5842" spans="1:7" ht="21.36" thickBot="1" customHeight="1">
      <c r="A5842" s="24" t="s">
        <v>18442</v>
      </c>
      <c r="B5842" s="24" t="s">
        <v>18443</v>
      </c>
      <c r="C5842" s="24" t="s">
        <v>18444</v>
      </c>
      <c r="D5842" s="25" t="s">
        <v>18445</v>
      </c>
      <c r="E5842" s="28">
        <v>8.00000</v>
      </c>
      <c r="F5842" s="29">
        <f ca="1">F5846</f>
        <v>0</v>
      </c>
      <c r="G5842" s="27">
        <f ca="1">ROUND(E5842*F5842,2)</f>
        <v>0</v>
      </c>
    </row>
    <row r="5843" spans="1:7" ht="24.36" thickBot="1" customHeight="1">
      <c r="A5843" s="24" t="s">
        <v>18446</v>
      </c>
      <c r="B5843" s="24" t="s">
        <v>18447</v>
      </c>
      <c r="C5843" s="24" t="s">
        <v>18448</v>
      </c>
      <c r="D5843" s="25" t="s">
        <v>18449</v>
      </c>
      <c r="E5843" s="28">
        <v>1.00000</v>
      </c>
      <c r="F5843" s="29">
        <f ca="1">ROUND(21.000,3)</f>
        <v>0</v>
      </c>
      <c r="G5843" s="27">
        <f ca="1">ROUND(E5843*F5843,2)</f>
        <v>0</v>
      </c>
    </row>
    <row r="5844" spans="1:7" ht="24.36" thickBot="1" customHeight="1">
      <c r="A5844" s="24" t="s">
        <v>18450</v>
      </c>
      <c r="B5844" s="24" t="s">
        <v>18451</v>
      </c>
      <c r="C5844" s="24" t="s">
        <v>18452</v>
      </c>
      <c r="D5844" s="25" t="s">
        <v>18453</v>
      </c>
      <c r="E5844" s="28">
        <v>1.00000</v>
      </c>
      <c r="F5844" s="29">
        <f ca="1">ROUND(19.000,3)</f>
        <v>0</v>
      </c>
      <c r="G5844" s="27">
        <f ca="1">ROUND(E5844*F5844,2)</f>
        <v>0</v>
      </c>
    </row>
    <row r="5845" spans="1:7" ht="24.36" thickBot="1" customHeight="1">
      <c r="A5845" s="24" t="s">
        <v>18454</v>
      </c>
      <c r="B5845" s="24" t="s">
        <v>18455</v>
      </c>
      <c r="C5845" s="24" t="s">
        <v>18456</v>
      </c>
      <c r="D5845" s="25" t="s">
        <v>18457</v>
      </c>
      <c r="E5845" s="28">
        <v>0.20000</v>
      </c>
      <c r="F5845" s="29">
        <f ca="1">ROUND(19.000,3)</f>
        <v>0</v>
      </c>
      <c r="G5845" s="27">
        <f ca="1">ROUND(E5845*F5845,2)</f>
        <v>0</v>
      </c>
    </row>
    <row r="5846" spans="1:7" ht="15.12" thickBot="1" customHeight="1">
      <c r="A5846" s="26"/>
      <c r="B5846" s="26"/>
      <c r="C5846" s="26"/>
      <c r="D5846" s="24" t="s">
        <v>18458</v>
      </c>
      <c r="E5846" s="28">
        <v>8.00000</v>
      </c>
      <c r="F5846" s="29">
        <f ca="1">ROUND((G5843+G5844+G5845),3)</f>
        <v>0</v>
      </c>
      <c r="G5846" s="27">
        <f ca="1">ROUND(E5846*F5846,2)</f>
        <v>0</v>
      </c>
    </row>
    <row r="5847" spans="1:7" ht="15.12" thickBot="1" customHeight="1">
      <c r="A5847" s="24" t="s">
        <v>18459</v>
      </c>
      <c r="B5847" s="24"/>
      <c r="C5847" s="24" t="s">
        <v>18460</v>
      </c>
      <c r="D5847" s="25" t="s">
        <v>18461</v>
      </c>
      <c r="E5847" s="28">
        <v>5.00000</v>
      </c>
      <c r="F5847" s="29">
        <f ca="1">ROUND(350.400,3)</f>
        <v>0</v>
      </c>
      <c r="G5847" s="27">
        <f ca="1">ROUND((E5847*F5847)/100,2)</f>
        <v>0</v>
      </c>
    </row>
    <row r="5848" spans="1:7" ht="25.08" thickBot="1" customHeight="1">
      <c r="A5848" s="30"/>
      <c r="B5848" s="30"/>
      <c r="C5848" s="30"/>
      <c r="D5848" s="31" t="s">
        <v>18462</v>
      </c>
      <c r="E5848" s="30"/>
      <c r="F5848" s="33">
        <f ca="1">ROUND((G5840+G5841+G5842+G5847)*(1+G2/100),2)</f>
        <v>0</v>
      </c>
      <c r="G5848" s="30"/>
    </row>
    <row r="5849" spans="1:7" ht="39.84" thickBot="1" customHeight="1">
      <c r="A5849" s="34" t="s">
        <v>18463</v>
      </c>
      <c r="B5849" s="35" t="s">
        <v>18464</v>
      </c>
      <c r="C5849" s="35" t="s">
        <v>18465</v>
      </c>
      <c r="D5849" s="36" t="s">
        <v>18466</v>
      </c>
      <c r="E5849" s="37"/>
      <c r="F5849" s="38">
        <f ca="1">F5860</f>
        <v>0</v>
      </c>
      <c r="G5849" s="37"/>
    </row>
    <row r="5850" spans="1:7" ht="21.36" thickBot="1" customHeight="1">
      <c r="A5850" s="26"/>
      <c r="B5850" s="26"/>
      <c r="C5850" s="26"/>
      <c r="D5850" s="25" t="s">
        <v>18467</v>
      </c>
      <c r="E5850" s="25"/>
      <c r="F5850" s="25"/>
      <c r="G5850" s="25"/>
    </row>
    <row r="5851" spans="1:7" ht="30.60" thickBot="1" customHeight="1">
      <c r="A5851" s="24" t="s">
        <v>18468</v>
      </c>
      <c r="B5851" s="24" t="s">
        <v>18469</v>
      </c>
      <c r="C5851" s="24" t="s">
        <v>18470</v>
      </c>
      <c r="D5851" s="25" t="s">
        <v>18471</v>
      </c>
      <c r="E5851" s="28">
        <v>1.00000</v>
      </c>
      <c r="F5851" s="29">
        <f ca="1">ROUND(2.990,3)</f>
        <v>0</v>
      </c>
      <c r="G5851" s="27">
        <f ca="1">ROUND(E5851*F5851,2)</f>
        <v>0</v>
      </c>
    </row>
    <row r="5852" spans="1:7" ht="30.60" thickBot="1" customHeight="1">
      <c r="A5852" s="24" t="s">
        <v>18472</v>
      </c>
      <c r="B5852" s="24" t="s">
        <v>18473</v>
      </c>
      <c r="C5852" s="24" t="s">
        <v>18474</v>
      </c>
      <c r="D5852" s="25" t="s">
        <v>18475</v>
      </c>
      <c r="E5852" s="28">
        <v>1.00000</v>
      </c>
      <c r="F5852" s="29">
        <f ca="1">ROUND(4.920,3)</f>
        <v>0</v>
      </c>
      <c r="G5852" s="27">
        <f ca="1">ROUND(E5852*F5852,2)</f>
        <v>0</v>
      </c>
    </row>
    <row r="5853" spans="1:7" ht="30.60" thickBot="1" customHeight="1">
      <c r="A5853" s="24" t="s">
        <v>18476</v>
      </c>
      <c r="B5853" s="24" t="s">
        <v>18477</v>
      </c>
      <c r="C5853" s="24" t="s">
        <v>18478</v>
      </c>
      <c r="D5853" s="25" t="s">
        <v>18479</v>
      </c>
      <c r="E5853" s="28">
        <v>1.00000</v>
      </c>
      <c r="F5853" s="29">
        <f ca="1">ROUND(15.740,3)</f>
        <v>0</v>
      </c>
      <c r="G5853" s="27">
        <f ca="1">ROUND(E5853*F5853,2)</f>
        <v>0</v>
      </c>
    </row>
    <row r="5854" spans="1:7" ht="21.36" thickBot="1" customHeight="1">
      <c r="A5854" s="24" t="s">
        <v>18480</v>
      </c>
      <c r="B5854" s="24" t="s">
        <v>18481</v>
      </c>
      <c r="C5854" s="24" t="s">
        <v>18482</v>
      </c>
      <c r="D5854" s="25" t="s">
        <v>18483</v>
      </c>
      <c r="E5854" s="28">
        <v>0.53333</v>
      </c>
      <c r="F5854" s="29">
        <f ca="1">F5858</f>
        <v>0</v>
      </c>
      <c r="G5854" s="27">
        <f ca="1">ROUND(E5854*F5854,2)</f>
        <v>0</v>
      </c>
    </row>
    <row r="5855" spans="1:7" ht="24.36" thickBot="1" customHeight="1">
      <c r="A5855" s="24" t="s">
        <v>18484</v>
      </c>
      <c r="B5855" s="24" t="s">
        <v>18485</v>
      </c>
      <c r="C5855" s="24" t="s">
        <v>18486</v>
      </c>
      <c r="D5855" s="25" t="s">
        <v>18487</v>
      </c>
      <c r="E5855" s="28">
        <v>1.00000</v>
      </c>
      <c r="F5855" s="29">
        <f ca="1">ROUND(21.000,3)</f>
        <v>0</v>
      </c>
      <c r="G5855" s="27">
        <f ca="1">ROUND(E5855*F5855,2)</f>
        <v>0</v>
      </c>
    </row>
    <row r="5856" spans="1:7" ht="24.36" thickBot="1" customHeight="1">
      <c r="A5856" s="24" t="s">
        <v>18488</v>
      </c>
      <c r="B5856" s="24" t="s">
        <v>18489</v>
      </c>
      <c r="C5856" s="24" t="s">
        <v>18490</v>
      </c>
      <c r="D5856" s="25" t="s">
        <v>18491</v>
      </c>
      <c r="E5856" s="28">
        <v>1.00000</v>
      </c>
      <c r="F5856" s="29">
        <f ca="1">ROUND(19.000,3)</f>
        <v>0</v>
      </c>
      <c r="G5856" s="27">
        <f ca="1">ROUND(E5856*F5856,2)</f>
        <v>0</v>
      </c>
    </row>
    <row r="5857" spans="1:7" ht="24.36" thickBot="1" customHeight="1">
      <c r="A5857" s="24" t="s">
        <v>18492</v>
      </c>
      <c r="B5857" s="24" t="s">
        <v>18493</v>
      </c>
      <c r="C5857" s="24" t="s">
        <v>18494</v>
      </c>
      <c r="D5857" s="25" t="s">
        <v>18495</v>
      </c>
      <c r="E5857" s="28">
        <v>0.20000</v>
      </c>
      <c r="F5857" s="29">
        <f ca="1">ROUND(19.000,3)</f>
        <v>0</v>
      </c>
      <c r="G5857" s="27">
        <f ca="1">ROUND(E5857*F5857,2)</f>
        <v>0</v>
      </c>
    </row>
    <row r="5858" spans="1:7" ht="15.12" thickBot="1" customHeight="1">
      <c r="A5858" s="26"/>
      <c r="B5858" s="26"/>
      <c r="C5858" s="26"/>
      <c r="D5858" s="24" t="s">
        <v>18496</v>
      </c>
      <c r="E5858" s="28">
        <v>0.53333</v>
      </c>
      <c r="F5858" s="29">
        <f ca="1">ROUND((G5855+G5856+G5857),3)</f>
        <v>0</v>
      </c>
      <c r="G5858" s="27">
        <f ca="1">ROUND(E5858*F5858,2)</f>
        <v>0</v>
      </c>
    </row>
    <row r="5859" spans="1:7" ht="15.12" thickBot="1" customHeight="1">
      <c r="A5859" s="24" t="s">
        <v>18497</v>
      </c>
      <c r="B5859" s="24"/>
      <c r="C5859" s="24" t="s">
        <v>18498</v>
      </c>
      <c r="D5859" s="25" t="s">
        <v>18499</v>
      </c>
      <c r="E5859" s="28">
        <v>5.00000</v>
      </c>
      <c r="F5859" s="29">
        <f ca="1">ROUND(23.360,3)</f>
        <v>0</v>
      </c>
      <c r="G5859" s="27">
        <f ca="1">ROUND((E5859*F5859)/100,2)</f>
        <v>0</v>
      </c>
    </row>
    <row r="5860" spans="1:7" ht="15.48" thickBot="1" customHeight="1">
      <c r="A5860" s="30"/>
      <c r="B5860" s="30"/>
      <c r="C5860" s="30"/>
      <c r="D5860" s="31" t="s">
        <v>18500</v>
      </c>
      <c r="E5860" s="30"/>
      <c r="F5860" s="33">
        <f ca="1">ROUND((G5851+G5852+G5853+G5854+G5859)*(1+G2/100),2)</f>
        <v>0</v>
      </c>
      <c r="G5860" s="30"/>
    </row>
    <row r="5861" spans="1:7" ht="39.84" thickBot="1" customHeight="1">
      <c r="A5861" s="34" t="s">
        <v>18501</v>
      </c>
      <c r="B5861" s="35" t="s">
        <v>18502</v>
      </c>
      <c r="C5861" s="35" t="s">
        <v>18503</v>
      </c>
      <c r="D5861" s="36" t="s">
        <v>18504</v>
      </c>
      <c r="E5861" s="37"/>
      <c r="F5861" s="38">
        <f ca="1">F5873</f>
        <v>0</v>
      </c>
      <c r="G5861" s="37"/>
    </row>
    <row r="5862" spans="1:7" ht="21.36" thickBot="1" customHeight="1">
      <c r="A5862" s="26"/>
      <c r="B5862" s="26"/>
      <c r="C5862" s="26"/>
      <c r="D5862" s="25" t="s">
        <v>18505</v>
      </c>
      <c r="E5862" s="25"/>
      <c r="F5862" s="25"/>
      <c r="G5862" s="25"/>
    </row>
    <row r="5863" spans="1:7" ht="39.84" thickBot="1" customHeight="1">
      <c r="A5863" s="24" t="s">
        <v>18506</v>
      </c>
      <c r="B5863" s="24" t="s">
        <v>18507</v>
      </c>
      <c r="C5863" s="24" t="s">
        <v>18508</v>
      </c>
      <c r="D5863" s="25" t="s">
        <v>18509</v>
      </c>
      <c r="E5863" s="28">
        <v>1.00000</v>
      </c>
      <c r="F5863" s="29">
        <f ca="1">ROUND(3.840,3)</f>
        <v>0</v>
      </c>
      <c r="G5863" s="27">
        <f ca="1">ROUND(E5863*F5863,2)</f>
        <v>0</v>
      </c>
    </row>
    <row r="5864" spans="1:7" ht="30.60" thickBot="1" customHeight="1">
      <c r="A5864" s="24" t="s">
        <v>18510</v>
      </c>
      <c r="B5864" s="24" t="s">
        <v>18511</v>
      </c>
      <c r="C5864" s="24" t="s">
        <v>18512</v>
      </c>
      <c r="D5864" s="25" t="s">
        <v>18513</v>
      </c>
      <c r="E5864" s="28">
        <v>0.26000</v>
      </c>
      <c r="F5864" s="29">
        <f ca="1">ROUND(3.700,3)</f>
        <v>0</v>
      </c>
      <c r="G5864" s="27">
        <f ca="1">ROUND(E5864*F5864,2)</f>
        <v>0</v>
      </c>
    </row>
    <row r="5865" spans="1:7" ht="21.36" thickBot="1" customHeight="1">
      <c r="A5865" s="24" t="s">
        <v>18514</v>
      </c>
      <c r="B5865" s="24" t="s">
        <v>18515</v>
      </c>
      <c r="C5865" s="24" t="s">
        <v>18516</v>
      </c>
      <c r="D5865" s="25" t="s">
        <v>18517</v>
      </c>
      <c r="E5865" s="28">
        <v>0.15000</v>
      </c>
      <c r="F5865" s="29">
        <f ca="1">ROUND(2.000,3)</f>
        <v>0</v>
      </c>
      <c r="G5865" s="27">
        <f ca="1">ROUND(E5865*F5865,2)</f>
        <v>0</v>
      </c>
    </row>
    <row r="5866" spans="1:7" ht="30.60" thickBot="1" customHeight="1">
      <c r="A5866" s="24" t="s">
        <v>18518</v>
      </c>
      <c r="B5866" s="24" t="s">
        <v>18519</v>
      </c>
      <c r="C5866" s="24" t="s">
        <v>18520</v>
      </c>
      <c r="D5866" s="25" t="s">
        <v>18521</v>
      </c>
      <c r="E5866" s="28">
        <v>0.00210</v>
      </c>
      <c r="F5866" s="29">
        <f ca="1">ROUND(64.190,3)</f>
        <v>0</v>
      </c>
      <c r="G5866" s="27">
        <f ca="1">ROUND(E5866*F5866,2)</f>
        <v>0</v>
      </c>
    </row>
    <row r="5867" spans="1:7" ht="21.36" thickBot="1" customHeight="1">
      <c r="A5867" s="24" t="s">
        <v>18522</v>
      </c>
      <c r="B5867" s="24" t="s">
        <v>18523</v>
      </c>
      <c r="C5867" s="24" t="s">
        <v>18524</v>
      </c>
      <c r="D5867" s="25" t="s">
        <v>18525</v>
      </c>
      <c r="E5867" s="28">
        <v>0.30000</v>
      </c>
      <c r="F5867" s="29">
        <f ca="1">F5871</f>
        <v>0</v>
      </c>
      <c r="G5867" s="27">
        <f ca="1">ROUND(E5867*F5867,2)</f>
        <v>0</v>
      </c>
    </row>
    <row r="5868" spans="1:7" ht="24.36" thickBot="1" customHeight="1">
      <c r="A5868" s="24" t="s">
        <v>18526</v>
      </c>
      <c r="B5868" s="24" t="s">
        <v>18527</v>
      </c>
      <c r="C5868" s="24" t="s">
        <v>18528</v>
      </c>
      <c r="D5868" s="25" t="s">
        <v>18529</v>
      </c>
      <c r="E5868" s="28">
        <v>1.00000</v>
      </c>
      <c r="F5868" s="29">
        <f ca="1">ROUND(21.000,3)</f>
        <v>0</v>
      </c>
      <c r="G5868" s="27">
        <f ca="1">ROUND(E5868*F5868,2)</f>
        <v>0</v>
      </c>
    </row>
    <row r="5869" spans="1:7" ht="24.36" thickBot="1" customHeight="1">
      <c r="A5869" s="24" t="s">
        <v>18530</v>
      </c>
      <c r="B5869" s="24" t="s">
        <v>18531</v>
      </c>
      <c r="C5869" s="24" t="s">
        <v>18532</v>
      </c>
      <c r="D5869" s="25" t="s">
        <v>18533</v>
      </c>
      <c r="E5869" s="28">
        <v>1.00000</v>
      </c>
      <c r="F5869" s="29">
        <f ca="1">ROUND(19.000,3)</f>
        <v>0</v>
      </c>
      <c r="G5869" s="27">
        <f ca="1">ROUND(E5869*F5869,2)</f>
        <v>0</v>
      </c>
    </row>
    <row r="5870" spans="1:7" ht="24.36" thickBot="1" customHeight="1">
      <c r="A5870" s="24" t="s">
        <v>18534</v>
      </c>
      <c r="B5870" s="24" t="s">
        <v>18535</v>
      </c>
      <c r="C5870" s="24" t="s">
        <v>18536</v>
      </c>
      <c r="D5870" s="25" t="s">
        <v>18537</v>
      </c>
      <c r="E5870" s="28">
        <v>0.20000</v>
      </c>
      <c r="F5870" s="29">
        <f ca="1">ROUND(19.000,3)</f>
        <v>0</v>
      </c>
      <c r="G5870" s="27">
        <f ca="1">ROUND(E5870*F5870,2)</f>
        <v>0</v>
      </c>
    </row>
    <row r="5871" spans="1:7" ht="15.12" thickBot="1" customHeight="1">
      <c r="A5871" s="26"/>
      <c r="B5871" s="26"/>
      <c r="C5871" s="26"/>
      <c r="D5871" s="24" t="s">
        <v>18538</v>
      </c>
      <c r="E5871" s="28">
        <v>0.30000</v>
      </c>
      <c r="F5871" s="29">
        <f ca="1">ROUND((G5868+G5869+G5870),3)</f>
        <v>0</v>
      </c>
      <c r="G5871" s="27">
        <f ca="1">ROUND(E5871*F5871,2)</f>
        <v>0</v>
      </c>
    </row>
    <row r="5872" spans="1:7" ht="15.12" thickBot="1" customHeight="1">
      <c r="A5872" s="24" t="s">
        <v>18539</v>
      </c>
      <c r="B5872" s="24"/>
      <c r="C5872" s="24" t="s">
        <v>18540</v>
      </c>
      <c r="D5872" s="25" t="s">
        <v>18541</v>
      </c>
      <c r="E5872" s="28">
        <v>3.00000</v>
      </c>
      <c r="F5872" s="29">
        <f ca="1">ROUND(13.140,3)</f>
        <v>0</v>
      </c>
      <c r="G5872" s="27">
        <f ca="1">ROUND((E5872*F5872)/100,2)</f>
        <v>0</v>
      </c>
    </row>
    <row r="5873" spans="1:7" ht="15.48" thickBot="1" customHeight="1">
      <c r="A5873" s="30"/>
      <c r="B5873" s="30"/>
      <c r="C5873" s="30"/>
      <c r="D5873" s="31" t="s">
        <v>18542</v>
      </c>
      <c r="E5873" s="30"/>
      <c r="F5873" s="33">
        <f ca="1">ROUND((G5863+G5864+G5865+G5866+G5867+G5872)*(1+G2/100),2)</f>
        <v>0</v>
      </c>
      <c r="G5873" s="30"/>
    </row>
    <row r="5874" spans="1:7" ht="49.08" thickBot="1" customHeight="1">
      <c r="A5874" s="34" t="s">
        <v>18543</v>
      </c>
      <c r="B5874" s="35" t="s">
        <v>18544</v>
      </c>
      <c r="C5874" s="35" t="s">
        <v>18545</v>
      </c>
      <c r="D5874" s="36" t="s">
        <v>18546</v>
      </c>
      <c r="E5874" s="37"/>
      <c r="F5874" s="38">
        <f ca="1">F5886</f>
        <v>0</v>
      </c>
      <c r="G5874" s="37"/>
    </row>
    <row r="5875" spans="1:7" ht="21.36" thickBot="1" customHeight="1">
      <c r="A5875" s="26"/>
      <c r="B5875" s="26"/>
      <c r="C5875" s="26"/>
      <c r="D5875" s="25" t="s">
        <v>18547</v>
      </c>
      <c r="E5875" s="25"/>
      <c r="F5875" s="25"/>
      <c r="G5875" s="25"/>
    </row>
    <row r="5876" spans="1:7" ht="39.84" thickBot="1" customHeight="1">
      <c r="A5876" s="24" t="s">
        <v>18548</v>
      </c>
      <c r="B5876" s="24" t="s">
        <v>18549</v>
      </c>
      <c r="C5876" s="24" t="s">
        <v>18550</v>
      </c>
      <c r="D5876" s="25" t="s">
        <v>18551</v>
      </c>
      <c r="E5876" s="28">
        <v>1.00000</v>
      </c>
      <c r="F5876" s="29">
        <f ca="1">ROUND(3.840,3)</f>
        <v>0</v>
      </c>
      <c r="G5876" s="27">
        <f ca="1">ROUND(E5876*F5876,2)</f>
        <v>0</v>
      </c>
    </row>
    <row r="5877" spans="1:7" ht="30.60" thickBot="1" customHeight="1">
      <c r="A5877" s="24" t="s">
        <v>18552</v>
      </c>
      <c r="B5877" s="24" t="s">
        <v>18553</v>
      </c>
      <c r="C5877" s="24" t="s">
        <v>18554</v>
      </c>
      <c r="D5877" s="25" t="s">
        <v>18555</v>
      </c>
      <c r="E5877" s="28">
        <v>0.26000</v>
      </c>
      <c r="F5877" s="29">
        <f ca="1">ROUND(3.700,3)</f>
        <v>0</v>
      </c>
      <c r="G5877" s="27">
        <f ca="1">ROUND(E5877*F5877,2)</f>
        <v>0</v>
      </c>
    </row>
    <row r="5878" spans="1:7" ht="21.36" thickBot="1" customHeight="1">
      <c r="A5878" s="24" t="s">
        <v>18556</v>
      </c>
      <c r="B5878" s="24" t="s">
        <v>18557</v>
      </c>
      <c r="C5878" s="24" t="s">
        <v>18558</v>
      </c>
      <c r="D5878" s="25" t="s">
        <v>18559</v>
      </c>
      <c r="E5878" s="28">
        <v>0.15000</v>
      </c>
      <c r="F5878" s="29">
        <f ca="1">ROUND(2.000,3)</f>
        <v>0</v>
      </c>
      <c r="G5878" s="27">
        <f ca="1">ROUND(E5878*F5878,2)</f>
        <v>0</v>
      </c>
    </row>
    <row r="5879" spans="1:7" ht="30.60" thickBot="1" customHeight="1">
      <c r="A5879" s="24" t="s">
        <v>18560</v>
      </c>
      <c r="B5879" s="24" t="s">
        <v>18561</v>
      </c>
      <c r="C5879" s="24" t="s">
        <v>18562</v>
      </c>
      <c r="D5879" s="25" t="s">
        <v>18563</v>
      </c>
      <c r="E5879" s="28">
        <v>0.00210</v>
      </c>
      <c r="F5879" s="29">
        <f ca="1">ROUND(64.190,3)</f>
        <v>0</v>
      </c>
      <c r="G5879" s="27">
        <f ca="1">ROUND(E5879*F5879,2)</f>
        <v>0</v>
      </c>
    </row>
    <row r="5880" spans="1:7" ht="21.36" thickBot="1" customHeight="1">
      <c r="A5880" s="24" t="s">
        <v>18564</v>
      </c>
      <c r="B5880" s="24" t="s">
        <v>18565</v>
      </c>
      <c r="C5880" s="24" t="s">
        <v>18566</v>
      </c>
      <c r="D5880" s="25" t="s">
        <v>18567</v>
      </c>
      <c r="E5880" s="28">
        <v>0.45000</v>
      </c>
      <c r="F5880" s="29">
        <f ca="1">F5884</f>
        <v>0</v>
      </c>
      <c r="G5880" s="27">
        <f ca="1">ROUND(E5880*F5880,2)</f>
        <v>0</v>
      </c>
    </row>
    <row r="5881" spans="1:7" ht="24.36" thickBot="1" customHeight="1">
      <c r="A5881" s="24" t="s">
        <v>18568</v>
      </c>
      <c r="B5881" s="24" t="s">
        <v>18569</v>
      </c>
      <c r="C5881" s="24" t="s">
        <v>18570</v>
      </c>
      <c r="D5881" s="25" t="s">
        <v>18571</v>
      </c>
      <c r="E5881" s="28">
        <v>1.00000</v>
      </c>
      <c r="F5881" s="29">
        <f ca="1">ROUND(21.000,3)</f>
        <v>0</v>
      </c>
      <c r="G5881" s="27">
        <f ca="1">ROUND(E5881*F5881,2)</f>
        <v>0</v>
      </c>
    </row>
    <row r="5882" spans="1:7" ht="24.36" thickBot="1" customHeight="1">
      <c r="A5882" s="24" t="s">
        <v>18572</v>
      </c>
      <c r="B5882" s="24" t="s">
        <v>18573</v>
      </c>
      <c r="C5882" s="24" t="s">
        <v>18574</v>
      </c>
      <c r="D5882" s="25" t="s">
        <v>18575</v>
      </c>
      <c r="E5882" s="28">
        <v>1.00000</v>
      </c>
      <c r="F5882" s="29">
        <f ca="1">ROUND(19.000,3)</f>
        <v>0</v>
      </c>
      <c r="G5882" s="27">
        <f ca="1">ROUND(E5882*F5882,2)</f>
        <v>0</v>
      </c>
    </row>
    <row r="5883" spans="1:7" ht="24.36" thickBot="1" customHeight="1">
      <c r="A5883" s="24" t="s">
        <v>18576</v>
      </c>
      <c r="B5883" s="24" t="s">
        <v>18577</v>
      </c>
      <c r="C5883" s="24" t="s">
        <v>18578</v>
      </c>
      <c r="D5883" s="25" t="s">
        <v>18579</v>
      </c>
      <c r="E5883" s="28">
        <v>0.20000</v>
      </c>
      <c r="F5883" s="29">
        <f ca="1">ROUND(19.000,3)</f>
        <v>0</v>
      </c>
      <c r="G5883" s="27">
        <f ca="1">ROUND(E5883*F5883,2)</f>
        <v>0</v>
      </c>
    </row>
    <row r="5884" spans="1:7" ht="15.12" thickBot="1" customHeight="1">
      <c r="A5884" s="26"/>
      <c r="B5884" s="26"/>
      <c r="C5884" s="26"/>
      <c r="D5884" s="24" t="s">
        <v>18580</v>
      </c>
      <c r="E5884" s="28">
        <v>0.45000</v>
      </c>
      <c r="F5884" s="29">
        <f ca="1">ROUND((G5881+G5882+G5883),3)</f>
        <v>0</v>
      </c>
      <c r="G5884" s="27">
        <f ca="1">ROUND(E5884*F5884,2)</f>
        <v>0</v>
      </c>
    </row>
    <row r="5885" spans="1:7" ht="15.12" thickBot="1" customHeight="1">
      <c r="A5885" s="24" t="s">
        <v>18581</v>
      </c>
      <c r="B5885" s="24"/>
      <c r="C5885" s="24" t="s">
        <v>18582</v>
      </c>
      <c r="D5885" s="25" t="s">
        <v>18583</v>
      </c>
      <c r="E5885" s="28">
        <v>5.00000</v>
      </c>
      <c r="F5885" s="29">
        <f ca="1">ROUND(19.710,3)</f>
        <v>0</v>
      </c>
      <c r="G5885" s="27">
        <f ca="1">ROUND((E5885*F5885)/100,2)</f>
        <v>0</v>
      </c>
    </row>
    <row r="5886" spans="1:7" ht="15.48" thickBot="1" customHeight="1">
      <c r="A5886" s="30"/>
      <c r="B5886" s="30"/>
      <c r="C5886" s="30"/>
      <c r="D5886" s="31" t="s">
        <v>18584</v>
      </c>
      <c r="E5886" s="30"/>
      <c r="F5886" s="33">
        <f ca="1">ROUND((G5876+G5877+G5878+G5879+G5880+G5885)*(1+G2/100),2)</f>
        <v>0</v>
      </c>
      <c r="G5886" s="30"/>
    </row>
    <row r="5887" spans="1:7" ht="39.84" thickBot="1" customHeight="1">
      <c r="A5887" s="34" t="s">
        <v>18585</v>
      </c>
      <c r="B5887" s="35" t="s">
        <v>18586</v>
      </c>
      <c r="C5887" s="35" t="s">
        <v>18587</v>
      </c>
      <c r="D5887" s="36" t="s">
        <v>18588</v>
      </c>
      <c r="E5887" s="37"/>
      <c r="F5887" s="38">
        <f ca="1">F5899</f>
        <v>0</v>
      </c>
      <c r="G5887" s="37"/>
    </row>
    <row r="5888" spans="1:7" ht="21.36" thickBot="1" customHeight="1">
      <c r="A5888" s="26"/>
      <c r="B5888" s="26"/>
      <c r="C5888" s="26"/>
      <c r="D5888" s="25" t="s">
        <v>18589</v>
      </c>
      <c r="E5888" s="25"/>
      <c r="F5888" s="25"/>
      <c r="G5888" s="25"/>
    </row>
    <row r="5889" spans="1:7" ht="39.84" thickBot="1" customHeight="1">
      <c r="A5889" s="24" t="s">
        <v>18590</v>
      </c>
      <c r="B5889" s="24" t="s">
        <v>18591</v>
      </c>
      <c r="C5889" s="24" t="s">
        <v>18592</v>
      </c>
      <c r="D5889" s="25" t="s">
        <v>18593</v>
      </c>
      <c r="E5889" s="28">
        <v>1.00000</v>
      </c>
      <c r="F5889" s="29">
        <f ca="1">ROUND(5.000,3)</f>
        <v>0</v>
      </c>
      <c r="G5889" s="27">
        <f ca="1">ROUND(E5889*F5889,2)</f>
        <v>0</v>
      </c>
    </row>
    <row r="5890" spans="1:7" ht="30.60" thickBot="1" customHeight="1">
      <c r="A5890" s="24" t="s">
        <v>18594</v>
      </c>
      <c r="B5890" s="24" t="s">
        <v>18595</v>
      </c>
      <c r="C5890" s="24" t="s">
        <v>18596</v>
      </c>
      <c r="D5890" s="25" t="s">
        <v>18597</v>
      </c>
      <c r="E5890" s="28">
        <v>0.26000</v>
      </c>
      <c r="F5890" s="29">
        <f ca="1">ROUND(3.700,3)</f>
        <v>0</v>
      </c>
      <c r="G5890" s="27">
        <f ca="1">ROUND(E5890*F5890,2)</f>
        <v>0</v>
      </c>
    </row>
    <row r="5891" spans="1:7" ht="21.36" thickBot="1" customHeight="1">
      <c r="A5891" s="24" t="s">
        <v>18598</v>
      </c>
      <c r="B5891" s="24" t="s">
        <v>18599</v>
      </c>
      <c r="C5891" s="24" t="s">
        <v>18600</v>
      </c>
      <c r="D5891" s="25" t="s">
        <v>18601</v>
      </c>
      <c r="E5891" s="28">
        <v>0.15000</v>
      </c>
      <c r="F5891" s="29">
        <f ca="1">ROUND(2.000,3)</f>
        <v>0</v>
      </c>
      <c r="G5891" s="27">
        <f ca="1">ROUND(E5891*F5891,2)</f>
        <v>0</v>
      </c>
    </row>
    <row r="5892" spans="1:7" ht="30.60" thickBot="1" customHeight="1">
      <c r="A5892" s="24" t="s">
        <v>18602</v>
      </c>
      <c r="B5892" s="24" t="s">
        <v>18603</v>
      </c>
      <c r="C5892" s="24" t="s">
        <v>18604</v>
      </c>
      <c r="D5892" s="25" t="s">
        <v>18605</v>
      </c>
      <c r="E5892" s="28">
        <v>0.00210</v>
      </c>
      <c r="F5892" s="29">
        <f ca="1">ROUND(64.190,3)</f>
        <v>0</v>
      </c>
      <c r="G5892" s="27">
        <f ca="1">ROUND(E5892*F5892,2)</f>
        <v>0</v>
      </c>
    </row>
    <row r="5893" spans="1:7" ht="21.36" thickBot="1" customHeight="1">
      <c r="A5893" s="24" t="s">
        <v>18606</v>
      </c>
      <c r="B5893" s="24" t="s">
        <v>18607</v>
      </c>
      <c r="C5893" s="24" t="s">
        <v>18608</v>
      </c>
      <c r="D5893" s="25" t="s">
        <v>18609</v>
      </c>
      <c r="E5893" s="28">
        <v>0.30000</v>
      </c>
      <c r="F5893" s="29">
        <f ca="1">F5897</f>
        <v>0</v>
      </c>
      <c r="G5893" s="27">
        <f ca="1">ROUND(E5893*F5893,2)</f>
        <v>0</v>
      </c>
    </row>
    <row r="5894" spans="1:7" ht="24.36" thickBot="1" customHeight="1">
      <c r="A5894" s="24" t="s">
        <v>18610</v>
      </c>
      <c r="B5894" s="24" t="s">
        <v>18611</v>
      </c>
      <c r="C5894" s="24" t="s">
        <v>18612</v>
      </c>
      <c r="D5894" s="25" t="s">
        <v>18613</v>
      </c>
      <c r="E5894" s="28">
        <v>1.00000</v>
      </c>
      <c r="F5894" s="29">
        <f ca="1">ROUND(21.000,3)</f>
        <v>0</v>
      </c>
      <c r="G5894" s="27">
        <f ca="1">ROUND(E5894*F5894,2)</f>
        <v>0</v>
      </c>
    </row>
    <row r="5895" spans="1:7" ht="24.36" thickBot="1" customHeight="1">
      <c r="A5895" s="24" t="s">
        <v>18614</v>
      </c>
      <c r="B5895" s="24" t="s">
        <v>18615</v>
      </c>
      <c r="C5895" s="24" t="s">
        <v>18616</v>
      </c>
      <c r="D5895" s="25" t="s">
        <v>18617</v>
      </c>
      <c r="E5895" s="28">
        <v>1.00000</v>
      </c>
      <c r="F5895" s="29">
        <f ca="1">ROUND(19.000,3)</f>
        <v>0</v>
      </c>
      <c r="G5895" s="27">
        <f ca="1">ROUND(E5895*F5895,2)</f>
        <v>0</v>
      </c>
    </row>
    <row r="5896" spans="1:7" ht="24.36" thickBot="1" customHeight="1">
      <c r="A5896" s="24" t="s">
        <v>18618</v>
      </c>
      <c r="B5896" s="24" t="s">
        <v>18619</v>
      </c>
      <c r="C5896" s="24" t="s">
        <v>18620</v>
      </c>
      <c r="D5896" s="25" t="s">
        <v>18621</v>
      </c>
      <c r="E5896" s="28">
        <v>0.20000</v>
      </c>
      <c r="F5896" s="29">
        <f ca="1">ROUND(19.000,3)</f>
        <v>0</v>
      </c>
      <c r="G5896" s="27">
        <f ca="1">ROUND(E5896*F5896,2)</f>
        <v>0</v>
      </c>
    </row>
    <row r="5897" spans="1:7" ht="15.12" thickBot="1" customHeight="1">
      <c r="A5897" s="26"/>
      <c r="B5897" s="26"/>
      <c r="C5897" s="26"/>
      <c r="D5897" s="24" t="s">
        <v>18622</v>
      </c>
      <c r="E5897" s="28">
        <v>0.30000</v>
      </c>
      <c r="F5897" s="29">
        <f ca="1">ROUND((G5894+G5895+G5896),3)</f>
        <v>0</v>
      </c>
      <c r="G5897" s="27">
        <f ca="1">ROUND(E5897*F5897,2)</f>
        <v>0</v>
      </c>
    </row>
    <row r="5898" spans="1:7" ht="15.12" thickBot="1" customHeight="1">
      <c r="A5898" s="24" t="s">
        <v>18623</v>
      </c>
      <c r="B5898" s="24"/>
      <c r="C5898" s="24" t="s">
        <v>18624</v>
      </c>
      <c r="D5898" s="25" t="s">
        <v>18625</v>
      </c>
      <c r="E5898" s="28">
        <v>5.00000</v>
      </c>
      <c r="F5898" s="29">
        <f ca="1">ROUND(13.140,3)</f>
        <v>0</v>
      </c>
      <c r="G5898" s="27">
        <f ca="1">ROUND((E5898*F5898)/100,2)</f>
        <v>0</v>
      </c>
    </row>
    <row r="5899" spans="1:7" ht="15.48" thickBot="1" customHeight="1">
      <c r="A5899" s="30"/>
      <c r="B5899" s="30"/>
      <c r="C5899" s="30"/>
      <c r="D5899" s="31" t="s">
        <v>18626</v>
      </c>
      <c r="E5899" s="30"/>
      <c r="F5899" s="33">
        <f ca="1">ROUND((G5889+G5890+G5891+G5892+G5893+G5898)*(1+G2/100),2)</f>
        <v>0</v>
      </c>
      <c r="G5899" s="30"/>
    </row>
    <row r="5900" spans="1:7" ht="49.08" thickBot="1" customHeight="1">
      <c r="A5900" s="34" t="s">
        <v>18627</v>
      </c>
      <c r="B5900" s="35" t="s">
        <v>18628</v>
      </c>
      <c r="C5900" s="35" t="s">
        <v>18629</v>
      </c>
      <c r="D5900" s="36" t="s">
        <v>18630</v>
      </c>
      <c r="E5900" s="37"/>
      <c r="F5900" s="38">
        <f ca="1">F5912</f>
        <v>0</v>
      </c>
      <c r="G5900" s="37"/>
    </row>
    <row r="5901" spans="1:7" ht="21.36" thickBot="1" customHeight="1">
      <c r="A5901" s="26"/>
      <c r="B5901" s="26"/>
      <c r="C5901" s="26"/>
      <c r="D5901" s="25" t="s">
        <v>18631</v>
      </c>
      <c r="E5901" s="25"/>
      <c r="F5901" s="25"/>
      <c r="G5901" s="25"/>
    </row>
    <row r="5902" spans="1:7" ht="39.84" thickBot="1" customHeight="1">
      <c r="A5902" s="24" t="s">
        <v>18632</v>
      </c>
      <c r="B5902" s="24" t="s">
        <v>18633</v>
      </c>
      <c r="C5902" s="24" t="s">
        <v>18634</v>
      </c>
      <c r="D5902" s="25" t="s">
        <v>18635</v>
      </c>
      <c r="E5902" s="28">
        <v>1.00000</v>
      </c>
      <c r="F5902" s="29">
        <f ca="1">ROUND(5.000,3)</f>
        <v>0</v>
      </c>
      <c r="G5902" s="27">
        <f ca="1">ROUND(E5902*F5902,2)</f>
        <v>0</v>
      </c>
    </row>
    <row r="5903" spans="1:7" ht="30.60" thickBot="1" customHeight="1">
      <c r="A5903" s="24" t="s">
        <v>18636</v>
      </c>
      <c r="B5903" s="24" t="s">
        <v>18637</v>
      </c>
      <c r="C5903" s="24" t="s">
        <v>18638</v>
      </c>
      <c r="D5903" s="25" t="s">
        <v>18639</v>
      </c>
      <c r="E5903" s="28">
        <v>0.26000</v>
      </c>
      <c r="F5903" s="29">
        <f ca="1">ROUND(3.700,3)</f>
        <v>0</v>
      </c>
      <c r="G5903" s="27">
        <f ca="1">ROUND(E5903*F5903,2)</f>
        <v>0</v>
      </c>
    </row>
    <row r="5904" spans="1:7" ht="21.36" thickBot="1" customHeight="1">
      <c r="A5904" s="24" t="s">
        <v>18640</v>
      </c>
      <c r="B5904" s="24" t="s">
        <v>18641</v>
      </c>
      <c r="C5904" s="24" t="s">
        <v>18642</v>
      </c>
      <c r="D5904" s="25" t="s">
        <v>18643</v>
      </c>
      <c r="E5904" s="28">
        <v>0.15000</v>
      </c>
      <c r="F5904" s="29">
        <f ca="1">ROUND(2.000,3)</f>
        <v>0</v>
      </c>
      <c r="G5904" s="27">
        <f ca="1">ROUND(E5904*F5904,2)</f>
        <v>0</v>
      </c>
    </row>
    <row r="5905" spans="1:7" ht="30.60" thickBot="1" customHeight="1">
      <c r="A5905" s="24" t="s">
        <v>18644</v>
      </c>
      <c r="B5905" s="24" t="s">
        <v>18645</v>
      </c>
      <c r="C5905" s="24" t="s">
        <v>18646</v>
      </c>
      <c r="D5905" s="25" t="s">
        <v>18647</v>
      </c>
      <c r="E5905" s="28">
        <v>0.00210</v>
      </c>
      <c r="F5905" s="29">
        <f ca="1">ROUND(64.190,3)</f>
        <v>0</v>
      </c>
      <c r="G5905" s="27">
        <f ca="1">ROUND(E5905*F5905,2)</f>
        <v>0</v>
      </c>
    </row>
    <row r="5906" spans="1:7" ht="21.36" thickBot="1" customHeight="1">
      <c r="A5906" s="24" t="s">
        <v>18648</v>
      </c>
      <c r="B5906" s="24" t="s">
        <v>18649</v>
      </c>
      <c r="C5906" s="24" t="s">
        <v>18650</v>
      </c>
      <c r="D5906" s="25" t="s">
        <v>18651</v>
      </c>
      <c r="E5906" s="28">
        <v>0.45000</v>
      </c>
      <c r="F5906" s="29">
        <f ca="1">F5910</f>
        <v>0</v>
      </c>
      <c r="G5906" s="27">
        <f ca="1">ROUND(E5906*F5906,2)</f>
        <v>0</v>
      </c>
    </row>
    <row r="5907" spans="1:7" ht="24.36" thickBot="1" customHeight="1">
      <c r="A5907" s="24" t="s">
        <v>18652</v>
      </c>
      <c r="B5907" s="24" t="s">
        <v>18653</v>
      </c>
      <c r="C5907" s="24" t="s">
        <v>18654</v>
      </c>
      <c r="D5907" s="25" t="s">
        <v>18655</v>
      </c>
      <c r="E5907" s="28">
        <v>1.00000</v>
      </c>
      <c r="F5907" s="29">
        <f ca="1">ROUND(21.000,3)</f>
        <v>0</v>
      </c>
      <c r="G5907" s="27">
        <f ca="1">ROUND(E5907*F5907,2)</f>
        <v>0</v>
      </c>
    </row>
    <row r="5908" spans="1:7" ht="24.36" thickBot="1" customHeight="1">
      <c r="A5908" s="24" t="s">
        <v>18656</v>
      </c>
      <c r="B5908" s="24" t="s">
        <v>18657</v>
      </c>
      <c r="C5908" s="24" t="s">
        <v>18658</v>
      </c>
      <c r="D5908" s="25" t="s">
        <v>18659</v>
      </c>
      <c r="E5908" s="28">
        <v>1.00000</v>
      </c>
      <c r="F5908" s="29">
        <f ca="1">ROUND(19.000,3)</f>
        <v>0</v>
      </c>
      <c r="G5908" s="27">
        <f ca="1">ROUND(E5908*F5908,2)</f>
        <v>0</v>
      </c>
    </row>
    <row r="5909" spans="1:7" ht="24.36" thickBot="1" customHeight="1">
      <c r="A5909" s="24" t="s">
        <v>18660</v>
      </c>
      <c r="B5909" s="24" t="s">
        <v>18661</v>
      </c>
      <c r="C5909" s="24" t="s">
        <v>18662</v>
      </c>
      <c r="D5909" s="25" t="s">
        <v>18663</v>
      </c>
      <c r="E5909" s="28">
        <v>0.20000</v>
      </c>
      <c r="F5909" s="29">
        <f ca="1">ROUND(19.000,3)</f>
        <v>0</v>
      </c>
      <c r="G5909" s="27">
        <f ca="1">ROUND(E5909*F5909,2)</f>
        <v>0</v>
      </c>
    </row>
    <row r="5910" spans="1:7" ht="15.12" thickBot="1" customHeight="1">
      <c r="A5910" s="26"/>
      <c r="B5910" s="26"/>
      <c r="C5910" s="26"/>
      <c r="D5910" s="24" t="s">
        <v>18664</v>
      </c>
      <c r="E5910" s="28">
        <v>0.45000</v>
      </c>
      <c r="F5910" s="29">
        <f ca="1">ROUND((G5907+G5908+G5909),3)</f>
        <v>0</v>
      </c>
      <c r="G5910" s="27">
        <f ca="1">ROUND(E5910*F5910,2)</f>
        <v>0</v>
      </c>
    </row>
    <row r="5911" spans="1:7" ht="15.12" thickBot="1" customHeight="1">
      <c r="A5911" s="24" t="s">
        <v>18665</v>
      </c>
      <c r="B5911" s="24"/>
      <c r="C5911" s="24" t="s">
        <v>18666</v>
      </c>
      <c r="D5911" s="25" t="s">
        <v>18667</v>
      </c>
      <c r="E5911" s="28">
        <v>5.00000</v>
      </c>
      <c r="F5911" s="29">
        <f ca="1">ROUND(19.710,3)</f>
        <v>0</v>
      </c>
      <c r="G5911" s="27">
        <f ca="1">ROUND((E5911*F5911)/100,2)</f>
        <v>0</v>
      </c>
    </row>
    <row r="5912" spans="1:7" ht="15.48" thickBot="1" customHeight="1">
      <c r="A5912" s="30"/>
      <c r="B5912" s="30"/>
      <c r="C5912" s="30"/>
      <c r="D5912" s="31" t="s">
        <v>18668</v>
      </c>
      <c r="E5912" s="30"/>
      <c r="F5912" s="33">
        <f ca="1">ROUND((G5902+G5903+G5904+G5905+G5906+G5911)*(1+G2/100),2)</f>
        <v>0</v>
      </c>
      <c r="G5912" s="30"/>
    </row>
    <row r="5913" spans="1:7" ht="15.48" thickBot="1" customHeight="1">
      <c r="A5913" s="39"/>
      <c r="B5913" s="39"/>
      <c r="C5913" s="39"/>
      <c r="D5913" s="55" t="s">
        <v>18669</v>
      </c>
      <c r="E5913" s="56"/>
      <c r="F5913" s="56"/>
      <c r="G5913" s="56"/>
    </row>
    <row r="5914" spans="1:7" ht="15.48" thickBot="1" customHeight="1">
      <c r="A5914" s="57" t="s">
        <v>18670</v>
      </c>
      <c r="B5914" s="57" t="s">
        <v>18671</v>
      </c>
      <c r="C5914" s="58"/>
      <c r="D5914" s="59" t="s">
        <v>18672</v>
      </c>
      <c r="E5914" s="58"/>
      <c r="F5914" s="58"/>
      <c r="G5914" s="58"/>
    </row>
    <row r="5915" spans="1:7" ht="15.48" thickBot="1" customHeight="1">
      <c r="A5915" s="18" t="s">
        <v>18673</v>
      </c>
      <c r="B5915" s="18" t="s">
        <v>18674</v>
      </c>
      <c r="C5915" s="19"/>
      <c r="D5915" s="20" t="s">
        <v>18675</v>
      </c>
      <c r="E5915" s="19"/>
      <c r="F5915" s="19"/>
      <c r="G5915" s="19"/>
    </row>
    <row r="5916" spans="1:7" ht="30.60" thickBot="1" customHeight="1">
      <c r="A5916" s="10" t="s">
        <v>18676</v>
      </c>
      <c r="B5916" s="24" t="s">
        <v>18677</v>
      </c>
      <c r="C5916" s="24" t="s">
        <v>18678</v>
      </c>
      <c r="D5916" s="25" t="s">
        <v>18679</v>
      </c>
      <c r="E5916" s="26"/>
      <c r="F5916" s="27">
        <f ca="1">F5925</f>
        <v>0</v>
      </c>
      <c r="G5916" s="26"/>
    </row>
    <row r="5917" spans="1:7" ht="21.36" thickBot="1" customHeight="1">
      <c r="A5917" s="26"/>
      <c r="B5917" s="26"/>
      <c r="C5917" s="26"/>
      <c r="D5917" s="25" t="s">
        <v>18680</v>
      </c>
      <c r="E5917" s="25"/>
      <c r="F5917" s="25"/>
      <c r="G5917" s="25"/>
    </row>
    <row r="5918" spans="1:7" ht="30.60" thickBot="1" customHeight="1">
      <c r="A5918" s="24" t="s">
        <v>18681</v>
      </c>
      <c r="B5918" s="24" t="s">
        <v>18682</v>
      </c>
      <c r="C5918" s="24" t="s">
        <v>18683</v>
      </c>
      <c r="D5918" s="25" t="s">
        <v>18684</v>
      </c>
      <c r="E5918" s="28">
        <v>1.00000</v>
      </c>
      <c r="F5918" s="29">
        <f ca="1">ROUND(6.030,3)</f>
        <v>0</v>
      </c>
      <c r="G5918" s="27">
        <f ca="1">ROUND(E5918*F5918,2)</f>
        <v>0</v>
      </c>
    </row>
    <row r="5919" spans="1:7" ht="21.36" thickBot="1" customHeight="1">
      <c r="A5919" s="24" t="s">
        <v>18685</v>
      </c>
      <c r="B5919" s="24" t="s">
        <v>18686</v>
      </c>
      <c r="C5919" s="24" t="s">
        <v>18687</v>
      </c>
      <c r="D5919" s="25" t="s">
        <v>18688</v>
      </c>
      <c r="E5919" s="28">
        <v>0.10000</v>
      </c>
      <c r="F5919" s="29">
        <f ca="1">F5923</f>
        <v>0</v>
      </c>
      <c r="G5919" s="27">
        <f ca="1">ROUND(E5919*F5919,2)</f>
        <v>0</v>
      </c>
    </row>
    <row r="5920" spans="1:7" ht="24.36" thickBot="1" customHeight="1">
      <c r="A5920" s="24" t="s">
        <v>18689</v>
      </c>
      <c r="B5920" s="24" t="s">
        <v>18690</v>
      </c>
      <c r="C5920" s="24" t="s">
        <v>18691</v>
      </c>
      <c r="D5920" s="25" t="s">
        <v>18692</v>
      </c>
      <c r="E5920" s="28">
        <v>1.00000</v>
      </c>
      <c r="F5920" s="29">
        <f ca="1">ROUND(21.000,3)</f>
        <v>0</v>
      </c>
      <c r="G5920" s="27">
        <f ca="1">ROUND(E5920*F5920,2)</f>
        <v>0</v>
      </c>
    </row>
    <row r="5921" spans="1:7" ht="24.36" thickBot="1" customHeight="1">
      <c r="A5921" s="24" t="s">
        <v>18693</v>
      </c>
      <c r="B5921" s="24" t="s">
        <v>18694</v>
      </c>
      <c r="C5921" s="24" t="s">
        <v>18695</v>
      </c>
      <c r="D5921" s="25" t="s">
        <v>18696</v>
      </c>
      <c r="E5921" s="28">
        <v>1.00000</v>
      </c>
      <c r="F5921" s="29">
        <f ca="1">ROUND(19.000,3)</f>
        <v>0</v>
      </c>
      <c r="G5921" s="27">
        <f ca="1">ROUND(E5921*F5921,2)</f>
        <v>0</v>
      </c>
    </row>
    <row r="5922" spans="1:7" ht="24.36" thickBot="1" customHeight="1">
      <c r="A5922" s="24" t="s">
        <v>18697</v>
      </c>
      <c r="B5922" s="24" t="s">
        <v>18698</v>
      </c>
      <c r="C5922" s="24" t="s">
        <v>18699</v>
      </c>
      <c r="D5922" s="25" t="s">
        <v>18700</v>
      </c>
      <c r="E5922" s="28">
        <v>0.20000</v>
      </c>
      <c r="F5922" s="29">
        <f ca="1">ROUND(19.000,3)</f>
        <v>0</v>
      </c>
      <c r="G5922" s="27">
        <f ca="1">ROUND(E5922*F5922,2)</f>
        <v>0</v>
      </c>
    </row>
    <row r="5923" spans="1:7" ht="15.12" thickBot="1" customHeight="1">
      <c r="A5923" s="26"/>
      <c r="B5923" s="26"/>
      <c r="C5923" s="26"/>
      <c r="D5923" s="24" t="s">
        <v>18701</v>
      </c>
      <c r="E5923" s="28">
        <v>0.10000</v>
      </c>
      <c r="F5923" s="29">
        <f ca="1">ROUND((G5920+G5921+G5922),3)</f>
        <v>0</v>
      </c>
      <c r="G5923" s="27">
        <f ca="1">ROUND(E5923*F5923,2)</f>
        <v>0</v>
      </c>
    </row>
    <row r="5924" spans="1:7" ht="15.12" thickBot="1" customHeight="1">
      <c r="A5924" s="24" t="s">
        <v>18702</v>
      </c>
      <c r="B5924" s="24"/>
      <c r="C5924" s="24" t="s">
        <v>18703</v>
      </c>
      <c r="D5924" s="25" t="s">
        <v>18704</v>
      </c>
      <c r="E5924" s="28">
        <v>3.00000</v>
      </c>
      <c r="F5924" s="29">
        <f ca="1">ROUND(4.380,3)</f>
        <v>0</v>
      </c>
      <c r="G5924" s="27">
        <f ca="1">ROUND((E5924*F5924)/100,2)</f>
        <v>0</v>
      </c>
    </row>
    <row r="5925" spans="1:7" ht="15.48" thickBot="1" customHeight="1">
      <c r="A5925" s="30"/>
      <c r="B5925" s="30"/>
      <c r="C5925" s="30"/>
      <c r="D5925" s="31" t="s">
        <v>18705</v>
      </c>
      <c r="E5925" s="30"/>
      <c r="F5925" s="33">
        <f ca="1">ROUND((G5918+G5919+G5924)*(1+G2/100),2)</f>
        <v>0</v>
      </c>
      <c r="G5925" s="30"/>
    </row>
    <row r="5926" spans="1:7" ht="39.84" thickBot="1" customHeight="1">
      <c r="A5926" s="34" t="s">
        <v>18706</v>
      </c>
      <c r="B5926" s="35" t="s">
        <v>18707</v>
      </c>
      <c r="C5926" s="35" t="s">
        <v>18708</v>
      </c>
      <c r="D5926" s="36" t="s">
        <v>18709</v>
      </c>
      <c r="E5926" s="37"/>
      <c r="F5926" s="38">
        <f ca="1">F5935</f>
        <v>0</v>
      </c>
      <c r="G5926" s="37"/>
    </row>
    <row r="5927" spans="1:7" ht="21.36" thickBot="1" customHeight="1">
      <c r="A5927" s="26"/>
      <c r="B5927" s="26"/>
      <c r="C5927" s="26"/>
      <c r="D5927" s="25" t="s">
        <v>18710</v>
      </c>
      <c r="E5927" s="25"/>
      <c r="F5927" s="25"/>
      <c r="G5927" s="25"/>
    </row>
    <row r="5928" spans="1:7" ht="30.60" thickBot="1" customHeight="1">
      <c r="A5928" s="24" t="s">
        <v>18711</v>
      </c>
      <c r="B5928" s="24" t="s">
        <v>18712</v>
      </c>
      <c r="C5928" s="24" t="s">
        <v>18713</v>
      </c>
      <c r="D5928" s="25" t="s">
        <v>18714</v>
      </c>
      <c r="E5928" s="28">
        <v>1.00000</v>
      </c>
      <c r="F5928" s="29">
        <f ca="1">ROUND(6.600,3)</f>
        <v>0</v>
      </c>
      <c r="G5928" s="27">
        <f ca="1">ROUND(E5928*F5928,2)</f>
        <v>0</v>
      </c>
    </row>
    <row r="5929" spans="1:7" ht="21.36" thickBot="1" customHeight="1">
      <c r="A5929" s="24" t="s">
        <v>18715</v>
      </c>
      <c r="B5929" s="24" t="s">
        <v>18716</v>
      </c>
      <c r="C5929" s="24" t="s">
        <v>18717</v>
      </c>
      <c r="D5929" s="25" t="s">
        <v>18718</v>
      </c>
      <c r="E5929" s="28">
        <v>0.10000</v>
      </c>
      <c r="F5929" s="29">
        <f ca="1">F5933</f>
        <v>0</v>
      </c>
      <c r="G5929" s="27">
        <f ca="1">ROUND(E5929*F5929,2)</f>
        <v>0</v>
      </c>
    </row>
    <row r="5930" spans="1:7" ht="24.36" thickBot="1" customHeight="1">
      <c r="A5930" s="24" t="s">
        <v>18719</v>
      </c>
      <c r="B5930" s="24" t="s">
        <v>18720</v>
      </c>
      <c r="C5930" s="24" t="s">
        <v>18721</v>
      </c>
      <c r="D5930" s="25" t="s">
        <v>18722</v>
      </c>
      <c r="E5930" s="28">
        <v>1.00000</v>
      </c>
      <c r="F5930" s="29">
        <f ca="1">ROUND(21.000,3)</f>
        <v>0</v>
      </c>
      <c r="G5930" s="27">
        <f ca="1">ROUND(E5930*F5930,2)</f>
        <v>0</v>
      </c>
    </row>
    <row r="5931" spans="1:7" ht="24.36" thickBot="1" customHeight="1">
      <c r="A5931" s="24" t="s">
        <v>18723</v>
      </c>
      <c r="B5931" s="24" t="s">
        <v>18724</v>
      </c>
      <c r="C5931" s="24" t="s">
        <v>18725</v>
      </c>
      <c r="D5931" s="25" t="s">
        <v>18726</v>
      </c>
      <c r="E5931" s="28">
        <v>1.00000</v>
      </c>
      <c r="F5931" s="29">
        <f ca="1">ROUND(19.000,3)</f>
        <v>0</v>
      </c>
      <c r="G5931" s="27">
        <f ca="1">ROUND(E5931*F5931,2)</f>
        <v>0</v>
      </c>
    </row>
    <row r="5932" spans="1:7" ht="24.36" thickBot="1" customHeight="1">
      <c r="A5932" s="24" t="s">
        <v>18727</v>
      </c>
      <c r="B5932" s="24" t="s">
        <v>18728</v>
      </c>
      <c r="C5932" s="24" t="s">
        <v>18729</v>
      </c>
      <c r="D5932" s="25" t="s">
        <v>18730</v>
      </c>
      <c r="E5932" s="28">
        <v>0.20000</v>
      </c>
      <c r="F5932" s="29">
        <f ca="1">ROUND(19.000,3)</f>
        <v>0</v>
      </c>
      <c r="G5932" s="27">
        <f ca="1">ROUND(E5932*F5932,2)</f>
        <v>0</v>
      </c>
    </row>
    <row r="5933" spans="1:7" ht="15.12" thickBot="1" customHeight="1">
      <c r="A5933" s="26"/>
      <c r="B5933" s="26"/>
      <c r="C5933" s="26"/>
      <c r="D5933" s="24" t="s">
        <v>18731</v>
      </c>
      <c r="E5933" s="28">
        <v>0.10000</v>
      </c>
      <c r="F5933" s="29">
        <f ca="1">ROUND((G5930+G5931+G5932),3)</f>
        <v>0</v>
      </c>
      <c r="G5933" s="27">
        <f ca="1">ROUND(E5933*F5933,2)</f>
        <v>0</v>
      </c>
    </row>
    <row r="5934" spans="1:7" ht="15.12" thickBot="1" customHeight="1">
      <c r="A5934" s="24" t="s">
        <v>18732</v>
      </c>
      <c r="B5934" s="24"/>
      <c r="C5934" s="24" t="s">
        <v>18733</v>
      </c>
      <c r="D5934" s="25" t="s">
        <v>18734</v>
      </c>
      <c r="E5934" s="28">
        <v>3.00000</v>
      </c>
      <c r="F5934" s="29">
        <f ca="1">ROUND(4.380,3)</f>
        <v>0</v>
      </c>
      <c r="G5934" s="27">
        <f ca="1">ROUND((E5934*F5934)/100,2)</f>
        <v>0</v>
      </c>
    </row>
    <row r="5935" spans="1:7" ht="15.48" thickBot="1" customHeight="1">
      <c r="A5935" s="30"/>
      <c r="B5935" s="30"/>
      <c r="C5935" s="30"/>
      <c r="D5935" s="31" t="s">
        <v>18735</v>
      </c>
      <c r="E5935" s="30"/>
      <c r="F5935" s="33">
        <f ca="1">ROUND((G5928+G5929+G5934)*(1+G2/100),2)</f>
        <v>0</v>
      </c>
      <c r="G5935" s="30"/>
    </row>
    <row r="5936" spans="1:7" ht="30.60" thickBot="1" customHeight="1">
      <c r="A5936" s="34" t="s">
        <v>18736</v>
      </c>
      <c r="B5936" s="35" t="s">
        <v>18737</v>
      </c>
      <c r="C5936" s="35" t="s">
        <v>18738</v>
      </c>
      <c r="D5936" s="36" t="s">
        <v>18739</v>
      </c>
      <c r="E5936" s="37"/>
      <c r="F5936" s="38">
        <f ca="1">F5945</f>
        <v>0</v>
      </c>
      <c r="G5936" s="37"/>
    </row>
    <row r="5937" spans="1:7" ht="12.12" thickBot="1" customHeight="1">
      <c r="A5937" s="26"/>
      <c r="B5937" s="26"/>
      <c r="C5937" s="26"/>
      <c r="D5937" s="25" t="s">
        <v>18740</v>
      </c>
      <c r="E5937" s="25"/>
      <c r="F5937" s="25"/>
      <c r="G5937" s="25"/>
    </row>
    <row r="5938" spans="1:7" ht="30.60" thickBot="1" customHeight="1">
      <c r="A5938" s="24" t="s">
        <v>18741</v>
      </c>
      <c r="B5938" s="24" t="s">
        <v>18742</v>
      </c>
      <c r="C5938" s="24" t="s">
        <v>18743</v>
      </c>
      <c r="D5938" s="25" t="s">
        <v>18744</v>
      </c>
      <c r="E5938" s="28">
        <v>1.00000</v>
      </c>
      <c r="F5938" s="29">
        <f ca="1">ROUND(4.040,3)</f>
        <v>0</v>
      </c>
      <c r="G5938" s="27">
        <f ca="1">ROUND(E5938*F5938,2)</f>
        <v>0</v>
      </c>
    </row>
    <row r="5939" spans="1:7" ht="21.36" thickBot="1" customHeight="1">
      <c r="A5939" s="24" t="s">
        <v>18745</v>
      </c>
      <c r="B5939" s="24" t="s">
        <v>18746</v>
      </c>
      <c r="C5939" s="24" t="s">
        <v>18747</v>
      </c>
      <c r="D5939" s="25" t="s">
        <v>18748</v>
      </c>
      <c r="E5939" s="28">
        <v>0.10000</v>
      </c>
      <c r="F5939" s="29">
        <f ca="1">F5943</f>
        <v>0</v>
      </c>
      <c r="G5939" s="27">
        <f ca="1">ROUND(E5939*F5939,2)</f>
        <v>0</v>
      </c>
    </row>
    <row r="5940" spans="1:7" ht="24.36" thickBot="1" customHeight="1">
      <c r="A5940" s="24" t="s">
        <v>18749</v>
      </c>
      <c r="B5940" s="24" t="s">
        <v>18750</v>
      </c>
      <c r="C5940" s="24" t="s">
        <v>18751</v>
      </c>
      <c r="D5940" s="25" t="s">
        <v>18752</v>
      </c>
      <c r="E5940" s="28">
        <v>1.00000</v>
      </c>
      <c r="F5940" s="29">
        <f ca="1">ROUND(21.000,3)</f>
        <v>0</v>
      </c>
      <c r="G5940" s="27">
        <f ca="1">ROUND(E5940*F5940,2)</f>
        <v>0</v>
      </c>
    </row>
    <row r="5941" spans="1:7" ht="24.36" thickBot="1" customHeight="1">
      <c r="A5941" s="24" t="s">
        <v>18753</v>
      </c>
      <c r="B5941" s="24" t="s">
        <v>18754</v>
      </c>
      <c r="C5941" s="24" t="s">
        <v>18755</v>
      </c>
      <c r="D5941" s="25" t="s">
        <v>18756</v>
      </c>
      <c r="E5941" s="28">
        <v>1.00000</v>
      </c>
      <c r="F5941" s="29">
        <f ca="1">ROUND(19.000,3)</f>
        <v>0</v>
      </c>
      <c r="G5941" s="27">
        <f ca="1">ROUND(E5941*F5941,2)</f>
        <v>0</v>
      </c>
    </row>
    <row r="5942" spans="1:7" ht="24.36" thickBot="1" customHeight="1">
      <c r="A5942" s="24" t="s">
        <v>18757</v>
      </c>
      <c r="B5942" s="24" t="s">
        <v>18758</v>
      </c>
      <c r="C5942" s="24" t="s">
        <v>18759</v>
      </c>
      <c r="D5942" s="25" t="s">
        <v>18760</v>
      </c>
      <c r="E5942" s="28">
        <v>0.20000</v>
      </c>
      <c r="F5942" s="29">
        <f ca="1">ROUND(19.000,3)</f>
        <v>0</v>
      </c>
      <c r="G5942" s="27">
        <f ca="1">ROUND(E5942*F5942,2)</f>
        <v>0</v>
      </c>
    </row>
    <row r="5943" spans="1:7" ht="15.12" thickBot="1" customHeight="1">
      <c r="A5943" s="26"/>
      <c r="B5943" s="26"/>
      <c r="C5943" s="26"/>
      <c r="D5943" s="24" t="s">
        <v>18761</v>
      </c>
      <c r="E5943" s="28">
        <v>0.10000</v>
      </c>
      <c r="F5943" s="29">
        <f ca="1">ROUND((G5940+G5941+G5942),3)</f>
        <v>0</v>
      </c>
      <c r="G5943" s="27">
        <f ca="1">ROUND(E5943*F5943,2)</f>
        <v>0</v>
      </c>
    </row>
    <row r="5944" spans="1:7" ht="15.12" thickBot="1" customHeight="1">
      <c r="A5944" s="24" t="s">
        <v>18762</v>
      </c>
      <c r="B5944" s="24"/>
      <c r="C5944" s="24" t="s">
        <v>18763</v>
      </c>
      <c r="D5944" s="25" t="s">
        <v>18764</v>
      </c>
      <c r="E5944" s="28">
        <v>3.00000</v>
      </c>
      <c r="F5944" s="29">
        <f ca="1">ROUND(4.380,3)</f>
        <v>0</v>
      </c>
      <c r="G5944" s="27">
        <f ca="1">ROUND((E5944*F5944)/100,2)</f>
        <v>0</v>
      </c>
    </row>
    <row r="5945" spans="1:7" ht="15.48" thickBot="1" customHeight="1">
      <c r="A5945" s="30"/>
      <c r="B5945" s="30"/>
      <c r="C5945" s="30"/>
      <c r="D5945" s="31" t="s">
        <v>18765</v>
      </c>
      <c r="E5945" s="30"/>
      <c r="F5945" s="33">
        <f ca="1">ROUND((G5938+G5939+G5944)*(1+G2/100),2)</f>
        <v>0</v>
      </c>
      <c r="G5945" s="30"/>
    </row>
    <row r="5946" spans="1:7" ht="15.48" thickBot="1" customHeight="1">
      <c r="A5946" s="39"/>
      <c r="B5946" s="39"/>
      <c r="C5946" s="39"/>
      <c r="D5946" s="50" t="s">
        <v>18766</v>
      </c>
      <c r="E5946" s="51"/>
      <c r="F5946" s="51"/>
      <c r="G5946" s="51"/>
    </row>
    <row r="5947" spans="1:7" ht="25.08" thickBot="1" customHeight="1">
      <c r="A5947" s="52" t="s">
        <v>18767</v>
      </c>
      <c r="B5947" s="52" t="s">
        <v>18768</v>
      </c>
      <c r="C5947" s="53"/>
      <c r="D5947" s="54" t="s">
        <v>18769</v>
      </c>
      <c r="E5947" s="53"/>
      <c r="F5947" s="53"/>
      <c r="G5947" s="53"/>
    </row>
    <row r="5948" spans="1:7" ht="58.32" thickBot="1" customHeight="1">
      <c r="A5948" s="10" t="s">
        <v>18770</v>
      </c>
      <c r="B5948" s="24" t="s">
        <v>18771</v>
      </c>
      <c r="C5948" s="24" t="s">
        <v>18772</v>
      </c>
      <c r="D5948" s="25" t="s">
        <v>18773</v>
      </c>
      <c r="E5948" s="26"/>
      <c r="F5948" s="27">
        <f ca="1">F5959</f>
        <v>0</v>
      </c>
      <c r="G5948" s="26"/>
    </row>
    <row r="5949" spans="1:7" ht="39.84" thickBot="1" customHeight="1">
      <c r="A5949" s="26"/>
      <c r="B5949" s="26"/>
      <c r="C5949" s="26"/>
      <c r="D5949" s="25" t="s">
        <v>18774</v>
      </c>
      <c r="E5949" s="25"/>
      <c r="F5949" s="25"/>
      <c r="G5949" s="25"/>
    </row>
    <row r="5950" spans="1:7" ht="30.60" thickBot="1" customHeight="1">
      <c r="A5950" s="24" t="s">
        <v>18775</v>
      </c>
      <c r="B5950" s="24" t="s">
        <v>18776</v>
      </c>
      <c r="C5950" s="24" t="s">
        <v>18777</v>
      </c>
      <c r="D5950" s="25" t="s">
        <v>18778</v>
      </c>
      <c r="E5950" s="28">
        <v>5.50000</v>
      </c>
      <c r="F5950" s="29">
        <f ca="1">ROUND(2.130,3)</f>
        <v>0</v>
      </c>
      <c r="G5950" s="27">
        <f ca="1">ROUND(E5950*F5950,2)</f>
        <v>0</v>
      </c>
    </row>
    <row r="5951" spans="1:7" ht="30.60" thickBot="1" customHeight="1">
      <c r="A5951" s="24" t="s">
        <v>18779</v>
      </c>
      <c r="B5951" s="24" t="s">
        <v>18780</v>
      </c>
      <c r="C5951" s="24" t="s">
        <v>18781</v>
      </c>
      <c r="D5951" s="25" t="s">
        <v>18782</v>
      </c>
      <c r="E5951" s="28">
        <v>0.08800</v>
      </c>
      <c r="F5951" s="29">
        <f ca="1">ROUND(15.430,3)</f>
        <v>0</v>
      </c>
      <c r="G5951" s="27">
        <f ca="1">ROUND(E5951*F5951,2)</f>
        <v>0</v>
      </c>
    </row>
    <row r="5952" spans="1:7" ht="30.60" thickBot="1" customHeight="1">
      <c r="A5952" s="24" t="s">
        <v>18783</v>
      </c>
      <c r="B5952" s="24" t="s">
        <v>18784</v>
      </c>
      <c r="C5952" s="24" t="s">
        <v>18785</v>
      </c>
      <c r="D5952" s="25" t="s">
        <v>18786</v>
      </c>
      <c r="E5952" s="28">
        <v>0.10667</v>
      </c>
      <c r="F5952" s="29">
        <f ca="1">ROUND(11.740,3)</f>
        <v>0</v>
      </c>
      <c r="G5952" s="27">
        <f ca="1">ROUND(E5952*F5952,2)</f>
        <v>0</v>
      </c>
    </row>
    <row r="5953" spans="1:7" ht="21.36" thickBot="1" customHeight="1">
      <c r="A5953" s="24" t="s">
        <v>18787</v>
      </c>
      <c r="B5953" s="24" t="s">
        <v>18788</v>
      </c>
      <c r="C5953" s="24" t="s">
        <v>18789</v>
      </c>
      <c r="D5953" s="25" t="s">
        <v>18790</v>
      </c>
      <c r="E5953" s="28">
        <v>0.50000</v>
      </c>
      <c r="F5953" s="29">
        <f ca="1">F5957</f>
        <v>0</v>
      </c>
      <c r="G5953" s="27">
        <f ca="1">ROUND(E5953*F5953,2)</f>
        <v>0</v>
      </c>
    </row>
    <row r="5954" spans="1:7" ht="24.36" thickBot="1" customHeight="1">
      <c r="A5954" s="24" t="s">
        <v>18791</v>
      </c>
      <c r="B5954" s="24" t="s">
        <v>18792</v>
      </c>
      <c r="C5954" s="24" t="s">
        <v>18793</v>
      </c>
      <c r="D5954" s="25" t="s">
        <v>18794</v>
      </c>
      <c r="E5954" s="28">
        <v>1.00000</v>
      </c>
      <c r="F5954" s="29">
        <f ca="1">ROUND(21.000,3)</f>
        <v>0</v>
      </c>
      <c r="G5954" s="27">
        <f ca="1">ROUND(E5954*F5954,2)</f>
        <v>0</v>
      </c>
    </row>
    <row r="5955" spans="1:7" ht="24.36" thickBot="1" customHeight="1">
      <c r="A5955" s="24" t="s">
        <v>18795</v>
      </c>
      <c r="B5955" s="24" t="s">
        <v>18796</v>
      </c>
      <c r="C5955" s="24" t="s">
        <v>18797</v>
      </c>
      <c r="D5955" s="25" t="s">
        <v>18798</v>
      </c>
      <c r="E5955" s="28">
        <v>1.00000</v>
      </c>
      <c r="F5955" s="29">
        <f ca="1">ROUND(19.000,3)</f>
        <v>0</v>
      </c>
      <c r="G5955" s="27">
        <f ca="1">ROUND(E5955*F5955,2)</f>
        <v>0</v>
      </c>
    </row>
    <row r="5956" spans="1:7" ht="24.36" thickBot="1" customHeight="1">
      <c r="A5956" s="24" t="s">
        <v>18799</v>
      </c>
      <c r="B5956" s="24" t="s">
        <v>18800</v>
      </c>
      <c r="C5956" s="24" t="s">
        <v>18801</v>
      </c>
      <c r="D5956" s="25" t="s">
        <v>18802</v>
      </c>
      <c r="E5956" s="28">
        <v>0.20000</v>
      </c>
      <c r="F5956" s="29">
        <f ca="1">ROUND(19.000,3)</f>
        <v>0</v>
      </c>
      <c r="G5956" s="27">
        <f ca="1">ROUND(E5956*F5956,2)</f>
        <v>0</v>
      </c>
    </row>
    <row r="5957" spans="1:7" ht="15.12" thickBot="1" customHeight="1">
      <c r="A5957" s="26"/>
      <c r="B5957" s="26"/>
      <c r="C5957" s="26"/>
      <c r="D5957" s="24" t="s">
        <v>18803</v>
      </c>
      <c r="E5957" s="28">
        <v>0.50000</v>
      </c>
      <c r="F5957" s="29">
        <f ca="1">ROUND((G5954+G5955+G5956),3)</f>
        <v>0</v>
      </c>
      <c r="G5957" s="27">
        <f ca="1">ROUND(E5957*F5957,2)</f>
        <v>0</v>
      </c>
    </row>
    <row r="5958" spans="1:7" ht="15.12" thickBot="1" customHeight="1">
      <c r="A5958" s="24" t="s">
        <v>18804</v>
      </c>
      <c r="B5958" s="24"/>
      <c r="C5958" s="24" t="s">
        <v>18805</v>
      </c>
      <c r="D5958" s="25" t="s">
        <v>18806</v>
      </c>
      <c r="E5958" s="28">
        <v>3.00000</v>
      </c>
      <c r="F5958" s="29">
        <f ca="1">ROUND(21.900,3)</f>
        <v>0</v>
      </c>
      <c r="G5958" s="27">
        <f ca="1">ROUND((E5958*F5958)/100,2)</f>
        <v>0</v>
      </c>
    </row>
    <row r="5959" spans="1:7" ht="15.48" thickBot="1" customHeight="1">
      <c r="A5959" s="30"/>
      <c r="B5959" s="30"/>
      <c r="C5959" s="30"/>
      <c r="D5959" s="31" t="s">
        <v>18807</v>
      </c>
      <c r="E5959" s="30"/>
      <c r="F5959" s="33">
        <f ca="1">ROUND((G5950+G5951+G5952+G5953+G5958)*(1+G2/100),2)</f>
        <v>0</v>
      </c>
      <c r="G5959" s="30"/>
    </row>
    <row r="5960" spans="1:7" ht="30.60" thickBot="1" customHeight="1">
      <c r="A5960" s="34" t="s">
        <v>18808</v>
      </c>
      <c r="B5960" s="35" t="s">
        <v>18809</v>
      </c>
      <c r="C5960" s="35" t="s">
        <v>18810</v>
      </c>
      <c r="D5960" s="36" t="s">
        <v>18811</v>
      </c>
      <c r="E5960" s="37"/>
      <c r="F5960" s="38">
        <f ca="1">F5971</f>
        <v>0</v>
      </c>
      <c r="G5960" s="37"/>
    </row>
    <row r="5961" spans="1:7" ht="39.84" thickBot="1" customHeight="1">
      <c r="A5961" s="26"/>
      <c r="B5961" s="26"/>
      <c r="C5961" s="26"/>
      <c r="D5961" s="25" t="s">
        <v>18812</v>
      </c>
      <c r="E5961" s="25"/>
      <c r="F5961" s="25"/>
      <c r="G5961" s="25"/>
    </row>
    <row r="5962" spans="1:7" ht="30.60" thickBot="1" customHeight="1">
      <c r="A5962" s="24" t="s">
        <v>18813</v>
      </c>
      <c r="B5962" s="24" t="s">
        <v>18814</v>
      </c>
      <c r="C5962" s="24" t="s">
        <v>18815</v>
      </c>
      <c r="D5962" s="25" t="s">
        <v>18816</v>
      </c>
      <c r="E5962" s="28">
        <v>5.50000</v>
      </c>
      <c r="F5962" s="29">
        <f ca="1">ROUND(2.130,3)</f>
        <v>0</v>
      </c>
      <c r="G5962" s="27">
        <f ca="1">ROUND(E5962*F5962,2)</f>
        <v>0</v>
      </c>
    </row>
    <row r="5963" spans="1:7" ht="30.60" thickBot="1" customHeight="1">
      <c r="A5963" s="24" t="s">
        <v>18817</v>
      </c>
      <c r="B5963" s="24" t="s">
        <v>18818</v>
      </c>
      <c r="C5963" s="24" t="s">
        <v>18819</v>
      </c>
      <c r="D5963" s="25" t="s">
        <v>18820</v>
      </c>
      <c r="E5963" s="28">
        <v>0.08800</v>
      </c>
      <c r="F5963" s="29">
        <f ca="1">ROUND(15.430,3)</f>
        <v>0</v>
      </c>
      <c r="G5963" s="27">
        <f ca="1">ROUND(E5963*F5963,2)</f>
        <v>0</v>
      </c>
    </row>
    <row r="5964" spans="1:7" ht="30.60" thickBot="1" customHeight="1">
      <c r="A5964" s="24" t="s">
        <v>18821</v>
      </c>
      <c r="B5964" s="24" t="s">
        <v>18822</v>
      </c>
      <c r="C5964" s="24" t="s">
        <v>18823</v>
      </c>
      <c r="D5964" s="25" t="s">
        <v>18824</v>
      </c>
      <c r="E5964" s="28">
        <v>0.10667</v>
      </c>
      <c r="F5964" s="29">
        <f ca="1">ROUND(11.740,3)</f>
        <v>0</v>
      </c>
      <c r="G5964" s="27">
        <f ca="1">ROUND(E5964*F5964,2)</f>
        <v>0</v>
      </c>
    </row>
    <row r="5965" spans="1:7" ht="21.36" thickBot="1" customHeight="1">
      <c r="A5965" s="24" t="s">
        <v>18825</v>
      </c>
      <c r="B5965" s="24" t="s">
        <v>18826</v>
      </c>
      <c r="C5965" s="24" t="s">
        <v>18827</v>
      </c>
      <c r="D5965" s="25" t="s">
        <v>18828</v>
      </c>
      <c r="E5965" s="28">
        <v>0.50000</v>
      </c>
      <c r="F5965" s="29">
        <f ca="1">F5969</f>
        <v>0</v>
      </c>
      <c r="G5965" s="27">
        <f ca="1">ROUND(E5965*F5965,2)</f>
        <v>0</v>
      </c>
    </row>
    <row r="5966" spans="1:7" ht="24.36" thickBot="1" customHeight="1">
      <c r="A5966" s="24" t="s">
        <v>18829</v>
      </c>
      <c r="B5966" s="24" t="s">
        <v>18830</v>
      </c>
      <c r="C5966" s="24" t="s">
        <v>18831</v>
      </c>
      <c r="D5966" s="25" t="s">
        <v>18832</v>
      </c>
      <c r="E5966" s="28">
        <v>1.00000</v>
      </c>
      <c r="F5966" s="29">
        <f ca="1">ROUND(21.000,3)</f>
        <v>0</v>
      </c>
      <c r="G5966" s="27">
        <f ca="1">ROUND(E5966*F5966,2)</f>
        <v>0</v>
      </c>
    </row>
    <row r="5967" spans="1:7" ht="24.36" thickBot="1" customHeight="1">
      <c r="A5967" s="24" t="s">
        <v>18833</v>
      </c>
      <c r="B5967" s="24" t="s">
        <v>18834</v>
      </c>
      <c r="C5967" s="24" t="s">
        <v>18835</v>
      </c>
      <c r="D5967" s="25" t="s">
        <v>18836</v>
      </c>
      <c r="E5967" s="28">
        <v>1.00000</v>
      </c>
      <c r="F5967" s="29">
        <f ca="1">ROUND(19.000,3)</f>
        <v>0</v>
      </c>
      <c r="G5967" s="27">
        <f ca="1">ROUND(E5967*F5967,2)</f>
        <v>0</v>
      </c>
    </row>
    <row r="5968" spans="1:7" ht="24.36" thickBot="1" customHeight="1">
      <c r="A5968" s="24" t="s">
        <v>18837</v>
      </c>
      <c r="B5968" s="24" t="s">
        <v>18838</v>
      </c>
      <c r="C5968" s="24" t="s">
        <v>18839</v>
      </c>
      <c r="D5968" s="25" t="s">
        <v>18840</v>
      </c>
      <c r="E5968" s="28">
        <v>0.20000</v>
      </c>
      <c r="F5968" s="29">
        <f ca="1">ROUND(19.000,3)</f>
        <v>0</v>
      </c>
      <c r="G5968" s="27">
        <f ca="1">ROUND(E5968*F5968,2)</f>
        <v>0</v>
      </c>
    </row>
    <row r="5969" spans="1:7" ht="15.12" thickBot="1" customHeight="1">
      <c r="A5969" s="26"/>
      <c r="B5969" s="26"/>
      <c r="C5969" s="26"/>
      <c r="D5969" s="24" t="s">
        <v>18841</v>
      </c>
      <c r="E5969" s="28">
        <v>0.50000</v>
      </c>
      <c r="F5969" s="29">
        <f ca="1">ROUND((G5966+G5967+G5968),3)</f>
        <v>0</v>
      </c>
      <c r="G5969" s="27">
        <f ca="1">ROUND(E5969*F5969,2)</f>
        <v>0</v>
      </c>
    </row>
    <row r="5970" spans="1:7" ht="15.12" thickBot="1" customHeight="1">
      <c r="A5970" s="24" t="s">
        <v>18842</v>
      </c>
      <c r="B5970" s="24"/>
      <c r="C5970" s="24" t="s">
        <v>18843</v>
      </c>
      <c r="D5970" s="25" t="s">
        <v>18844</v>
      </c>
      <c r="E5970" s="28">
        <v>3.00000</v>
      </c>
      <c r="F5970" s="29">
        <f ca="1">ROUND(21.900,3)</f>
        <v>0</v>
      </c>
      <c r="G5970" s="27">
        <f ca="1">ROUND((E5970*F5970)/100,2)</f>
        <v>0</v>
      </c>
    </row>
    <row r="5971" spans="1:7" ht="15.48" thickBot="1" customHeight="1">
      <c r="A5971" s="30"/>
      <c r="B5971" s="30"/>
      <c r="C5971" s="30"/>
      <c r="D5971" s="31" t="s">
        <v>18845</v>
      </c>
      <c r="E5971" s="30"/>
      <c r="F5971" s="33">
        <f ca="1">ROUND((G5962+G5963+G5964+G5965+G5970)*(1+G2/100),2)</f>
        <v>0</v>
      </c>
      <c r="G5971" s="30"/>
    </row>
    <row r="5972" spans="1:7" ht="49.08" thickBot="1" customHeight="1">
      <c r="A5972" s="34" t="s">
        <v>18846</v>
      </c>
      <c r="B5972" s="35" t="s">
        <v>18847</v>
      </c>
      <c r="C5972" s="35" t="s">
        <v>18848</v>
      </c>
      <c r="D5972" s="36" t="s">
        <v>18849</v>
      </c>
      <c r="E5972" s="37"/>
      <c r="F5972" s="38">
        <f ca="1">F5983</f>
        <v>0</v>
      </c>
      <c r="G5972" s="37"/>
    </row>
    <row r="5973" spans="1:7" ht="21.36" thickBot="1" customHeight="1">
      <c r="A5973" s="26"/>
      <c r="B5973" s="26"/>
      <c r="C5973" s="26"/>
      <c r="D5973" s="25" t="s">
        <v>18850</v>
      </c>
      <c r="E5973" s="25"/>
      <c r="F5973" s="25"/>
      <c r="G5973" s="25"/>
    </row>
    <row r="5974" spans="1:7" ht="30.60" thickBot="1" customHeight="1">
      <c r="A5974" s="24" t="s">
        <v>18851</v>
      </c>
      <c r="B5974" s="24" t="s">
        <v>18852</v>
      </c>
      <c r="C5974" s="24" t="s">
        <v>18853</v>
      </c>
      <c r="D5974" s="25" t="s">
        <v>18854</v>
      </c>
      <c r="E5974" s="28">
        <v>3.50000</v>
      </c>
      <c r="F5974" s="29">
        <f ca="1">ROUND(6.060,3)</f>
        <v>0</v>
      </c>
      <c r="G5974" s="27">
        <f ca="1">ROUND(E5974*F5974,2)</f>
        <v>0</v>
      </c>
    </row>
    <row r="5975" spans="1:7" ht="30.60" thickBot="1" customHeight="1">
      <c r="A5975" s="24" t="s">
        <v>18855</v>
      </c>
      <c r="B5975" s="24" t="s">
        <v>18856</v>
      </c>
      <c r="C5975" s="24" t="s">
        <v>18857</v>
      </c>
      <c r="D5975" s="25" t="s">
        <v>18858</v>
      </c>
      <c r="E5975" s="28">
        <v>0.09680</v>
      </c>
      <c r="F5975" s="29">
        <f ca="1">ROUND(15.430,3)</f>
        <v>0</v>
      </c>
      <c r="G5975" s="27">
        <f ca="1">ROUND(E5975*F5975,2)</f>
        <v>0</v>
      </c>
    </row>
    <row r="5976" spans="1:7" ht="30.60" thickBot="1" customHeight="1">
      <c r="A5976" s="24" t="s">
        <v>18859</v>
      </c>
      <c r="B5976" s="24" t="s">
        <v>18860</v>
      </c>
      <c r="C5976" s="24" t="s">
        <v>18861</v>
      </c>
      <c r="D5976" s="25" t="s">
        <v>18862</v>
      </c>
      <c r="E5976" s="28">
        <v>0.04940</v>
      </c>
      <c r="F5976" s="29">
        <f ca="1">ROUND(11.740,3)</f>
        <v>0</v>
      </c>
      <c r="G5976" s="27">
        <f ca="1">ROUND(E5976*F5976,2)</f>
        <v>0</v>
      </c>
    </row>
    <row r="5977" spans="1:7" ht="21.36" thickBot="1" customHeight="1">
      <c r="A5977" s="24" t="s">
        <v>18863</v>
      </c>
      <c r="B5977" s="24" t="s">
        <v>18864</v>
      </c>
      <c r="C5977" s="24" t="s">
        <v>18865</v>
      </c>
      <c r="D5977" s="25" t="s">
        <v>18866</v>
      </c>
      <c r="E5977" s="28">
        <v>0.75000</v>
      </c>
      <c r="F5977" s="29">
        <f ca="1">F5981</f>
        <v>0</v>
      </c>
      <c r="G5977" s="27">
        <f ca="1">ROUND(E5977*F5977,2)</f>
        <v>0</v>
      </c>
    </row>
    <row r="5978" spans="1:7" ht="24.36" thickBot="1" customHeight="1">
      <c r="A5978" s="24" t="s">
        <v>18867</v>
      </c>
      <c r="B5978" s="24" t="s">
        <v>18868</v>
      </c>
      <c r="C5978" s="24" t="s">
        <v>18869</v>
      </c>
      <c r="D5978" s="25" t="s">
        <v>18870</v>
      </c>
      <c r="E5978" s="28">
        <v>1.00000</v>
      </c>
      <c r="F5978" s="29">
        <f ca="1">ROUND(21.000,3)</f>
        <v>0</v>
      </c>
      <c r="G5978" s="27">
        <f ca="1">ROUND(E5978*F5978,2)</f>
        <v>0</v>
      </c>
    </row>
    <row r="5979" spans="1:7" ht="24.36" thickBot="1" customHeight="1">
      <c r="A5979" s="24" t="s">
        <v>18871</v>
      </c>
      <c r="B5979" s="24" t="s">
        <v>18872</v>
      </c>
      <c r="C5979" s="24" t="s">
        <v>18873</v>
      </c>
      <c r="D5979" s="25" t="s">
        <v>18874</v>
      </c>
      <c r="E5979" s="28">
        <v>1.00000</v>
      </c>
      <c r="F5979" s="29">
        <f ca="1">ROUND(19.000,3)</f>
        <v>0</v>
      </c>
      <c r="G5979" s="27">
        <f ca="1">ROUND(E5979*F5979,2)</f>
        <v>0</v>
      </c>
    </row>
    <row r="5980" spans="1:7" ht="24.36" thickBot="1" customHeight="1">
      <c r="A5980" s="24" t="s">
        <v>18875</v>
      </c>
      <c r="B5980" s="24" t="s">
        <v>18876</v>
      </c>
      <c r="C5980" s="24" t="s">
        <v>18877</v>
      </c>
      <c r="D5980" s="25" t="s">
        <v>18878</v>
      </c>
      <c r="E5980" s="28">
        <v>0.20000</v>
      </c>
      <c r="F5980" s="29">
        <f ca="1">ROUND(19.000,3)</f>
        <v>0</v>
      </c>
      <c r="G5980" s="27">
        <f ca="1">ROUND(E5980*F5980,2)</f>
        <v>0</v>
      </c>
    </row>
    <row r="5981" spans="1:7" ht="15.12" thickBot="1" customHeight="1">
      <c r="A5981" s="26"/>
      <c r="B5981" s="26"/>
      <c r="C5981" s="26"/>
      <c r="D5981" s="24" t="s">
        <v>18879</v>
      </c>
      <c r="E5981" s="28">
        <v>0.75000</v>
      </c>
      <c r="F5981" s="29">
        <f ca="1">ROUND((G5978+G5979+G5980),3)</f>
        <v>0</v>
      </c>
      <c r="G5981" s="27">
        <f ca="1">ROUND(E5981*F5981,2)</f>
        <v>0</v>
      </c>
    </row>
    <row r="5982" spans="1:7" ht="15.12" thickBot="1" customHeight="1">
      <c r="A5982" s="24" t="s">
        <v>18880</v>
      </c>
      <c r="B5982" s="24"/>
      <c r="C5982" s="24" t="s">
        <v>18881</v>
      </c>
      <c r="D5982" s="25" t="s">
        <v>18882</v>
      </c>
      <c r="E5982" s="28">
        <v>5.00000</v>
      </c>
      <c r="F5982" s="29">
        <f ca="1">ROUND(32.850,3)</f>
        <v>0</v>
      </c>
      <c r="G5982" s="27">
        <f ca="1">ROUND((E5982*F5982)/100,2)</f>
        <v>0</v>
      </c>
    </row>
    <row r="5983" spans="1:7" ht="25.08" thickBot="1" customHeight="1">
      <c r="A5983" s="30"/>
      <c r="B5983" s="30"/>
      <c r="C5983" s="30"/>
      <c r="D5983" s="31" t="s">
        <v>18883</v>
      </c>
      <c r="E5983" s="30"/>
      <c r="F5983" s="33">
        <f ca="1">ROUND((G5974+G5975+G5976+G5977+G5982)*(1+G2/100),2)</f>
        <v>0</v>
      </c>
      <c r="G5983" s="30"/>
    </row>
    <row r="5984" spans="1:7" ht="49.08" thickBot="1" customHeight="1">
      <c r="A5984" s="34" t="s">
        <v>18884</v>
      </c>
      <c r="B5984" s="35" t="s">
        <v>18885</v>
      </c>
      <c r="C5984" s="35" t="s">
        <v>18886</v>
      </c>
      <c r="D5984" s="36" t="s">
        <v>18887</v>
      </c>
      <c r="E5984" s="37"/>
      <c r="F5984" s="38">
        <f ca="1">F5995</f>
        <v>0</v>
      </c>
      <c r="G5984" s="37"/>
    </row>
    <row r="5985" spans="1:7" ht="21.36" thickBot="1" customHeight="1">
      <c r="A5985" s="26"/>
      <c r="B5985" s="26"/>
      <c r="C5985" s="26"/>
      <c r="D5985" s="25" t="s">
        <v>18888</v>
      </c>
      <c r="E5985" s="25"/>
      <c r="F5985" s="25"/>
      <c r="G5985" s="25"/>
    </row>
    <row r="5986" spans="1:7" ht="30.60" thickBot="1" customHeight="1">
      <c r="A5986" s="24" t="s">
        <v>18889</v>
      </c>
      <c r="B5986" s="24" t="s">
        <v>18890</v>
      </c>
      <c r="C5986" s="24" t="s">
        <v>18891</v>
      </c>
      <c r="D5986" s="25" t="s">
        <v>18892</v>
      </c>
      <c r="E5986" s="28">
        <v>3.50000</v>
      </c>
      <c r="F5986" s="29">
        <f ca="1">ROUND(6.060,3)</f>
        <v>0</v>
      </c>
      <c r="G5986" s="27">
        <f ca="1">ROUND(E5986*F5986,2)</f>
        <v>0</v>
      </c>
    </row>
    <row r="5987" spans="1:7" ht="30.60" thickBot="1" customHeight="1">
      <c r="A5987" s="24" t="s">
        <v>18893</v>
      </c>
      <c r="B5987" s="24" t="s">
        <v>18894</v>
      </c>
      <c r="C5987" s="24" t="s">
        <v>18895</v>
      </c>
      <c r="D5987" s="25" t="s">
        <v>18896</v>
      </c>
      <c r="E5987" s="28">
        <v>0.09680</v>
      </c>
      <c r="F5987" s="29">
        <f ca="1">ROUND(15.430,3)</f>
        <v>0</v>
      </c>
      <c r="G5987" s="27">
        <f ca="1">ROUND(E5987*F5987,2)</f>
        <v>0</v>
      </c>
    </row>
    <row r="5988" spans="1:7" ht="30.60" thickBot="1" customHeight="1">
      <c r="A5988" s="24" t="s">
        <v>18897</v>
      </c>
      <c r="B5988" s="24" t="s">
        <v>18898</v>
      </c>
      <c r="C5988" s="24" t="s">
        <v>18899</v>
      </c>
      <c r="D5988" s="25" t="s">
        <v>18900</v>
      </c>
      <c r="E5988" s="28">
        <v>0.04940</v>
      </c>
      <c r="F5988" s="29">
        <f ca="1">ROUND(11.740,3)</f>
        <v>0</v>
      </c>
      <c r="G5988" s="27">
        <f ca="1">ROUND(E5988*F5988,2)</f>
        <v>0</v>
      </c>
    </row>
    <row r="5989" spans="1:7" ht="21.36" thickBot="1" customHeight="1">
      <c r="A5989" s="24" t="s">
        <v>18901</v>
      </c>
      <c r="B5989" s="24" t="s">
        <v>18902</v>
      </c>
      <c r="C5989" s="24" t="s">
        <v>18903</v>
      </c>
      <c r="D5989" s="25" t="s">
        <v>18904</v>
      </c>
      <c r="E5989" s="28">
        <v>0.53333</v>
      </c>
      <c r="F5989" s="29">
        <f ca="1">F5993</f>
        <v>0</v>
      </c>
      <c r="G5989" s="27">
        <f ca="1">ROUND(E5989*F5989,2)</f>
        <v>0</v>
      </c>
    </row>
    <row r="5990" spans="1:7" ht="24.36" thickBot="1" customHeight="1">
      <c r="A5990" s="24" t="s">
        <v>18905</v>
      </c>
      <c r="B5990" s="24" t="s">
        <v>18906</v>
      </c>
      <c r="C5990" s="24" t="s">
        <v>18907</v>
      </c>
      <c r="D5990" s="25" t="s">
        <v>18908</v>
      </c>
      <c r="E5990" s="28">
        <v>1.00000</v>
      </c>
      <c r="F5990" s="29">
        <f ca="1">ROUND(21.000,3)</f>
        <v>0</v>
      </c>
      <c r="G5990" s="27">
        <f ca="1">ROUND(E5990*F5990,2)</f>
        <v>0</v>
      </c>
    </row>
    <row r="5991" spans="1:7" ht="24.36" thickBot="1" customHeight="1">
      <c r="A5991" s="24" t="s">
        <v>18909</v>
      </c>
      <c r="B5991" s="24" t="s">
        <v>18910</v>
      </c>
      <c r="C5991" s="24" t="s">
        <v>18911</v>
      </c>
      <c r="D5991" s="25" t="s">
        <v>18912</v>
      </c>
      <c r="E5991" s="28">
        <v>1.00000</v>
      </c>
      <c r="F5991" s="29">
        <f ca="1">ROUND(19.000,3)</f>
        <v>0</v>
      </c>
      <c r="G5991" s="27">
        <f ca="1">ROUND(E5991*F5991,2)</f>
        <v>0</v>
      </c>
    </row>
    <row r="5992" spans="1:7" ht="24.36" thickBot="1" customHeight="1">
      <c r="A5992" s="24" t="s">
        <v>18913</v>
      </c>
      <c r="B5992" s="24" t="s">
        <v>18914</v>
      </c>
      <c r="C5992" s="24" t="s">
        <v>18915</v>
      </c>
      <c r="D5992" s="25" t="s">
        <v>18916</v>
      </c>
      <c r="E5992" s="28">
        <v>0.20000</v>
      </c>
      <c r="F5992" s="29">
        <f ca="1">ROUND(19.000,3)</f>
        <v>0</v>
      </c>
      <c r="G5992" s="27">
        <f ca="1">ROUND(E5992*F5992,2)</f>
        <v>0</v>
      </c>
    </row>
    <row r="5993" spans="1:7" ht="15.12" thickBot="1" customHeight="1">
      <c r="A5993" s="26"/>
      <c r="B5993" s="26"/>
      <c r="C5993" s="26"/>
      <c r="D5993" s="24" t="s">
        <v>18917</v>
      </c>
      <c r="E5993" s="28">
        <v>0.53333</v>
      </c>
      <c r="F5993" s="29">
        <f ca="1">ROUND((G5990+G5991+G5992),3)</f>
        <v>0</v>
      </c>
      <c r="G5993" s="27">
        <f ca="1">ROUND(E5993*F5993,2)</f>
        <v>0</v>
      </c>
    </row>
    <row r="5994" spans="1:7" ht="15.12" thickBot="1" customHeight="1">
      <c r="A5994" s="24" t="s">
        <v>18918</v>
      </c>
      <c r="B5994" s="24"/>
      <c r="C5994" s="24" t="s">
        <v>18919</v>
      </c>
      <c r="D5994" s="25" t="s">
        <v>18920</v>
      </c>
      <c r="E5994" s="28">
        <v>5.00000</v>
      </c>
      <c r="F5994" s="29">
        <f ca="1">ROUND(23.360,3)</f>
        <v>0</v>
      </c>
      <c r="G5994" s="27">
        <f ca="1">ROUND((E5994*F5994)/100,2)</f>
        <v>0</v>
      </c>
    </row>
    <row r="5995" spans="1:7" ht="25.08" thickBot="1" customHeight="1">
      <c r="A5995" s="30"/>
      <c r="B5995" s="30"/>
      <c r="C5995" s="30"/>
      <c r="D5995" s="31" t="s">
        <v>18921</v>
      </c>
      <c r="E5995" s="30"/>
      <c r="F5995" s="33">
        <f ca="1">ROUND((G5986+G5987+G5988+G5989+G5994)*(1+G2/100),2)</f>
        <v>0</v>
      </c>
      <c r="G5995" s="30"/>
    </row>
    <row r="5996" spans="1:7" ht="49.08" thickBot="1" customHeight="1">
      <c r="A5996" s="34" t="s">
        <v>18922</v>
      </c>
      <c r="B5996" s="35" t="s">
        <v>18923</v>
      </c>
      <c r="C5996" s="35" t="s">
        <v>18924</v>
      </c>
      <c r="D5996" s="36" t="s">
        <v>18925</v>
      </c>
      <c r="E5996" s="37"/>
      <c r="F5996" s="38">
        <f ca="1">F6007</f>
        <v>0</v>
      </c>
      <c r="G5996" s="37"/>
    </row>
    <row r="5997" spans="1:7" ht="21.36" thickBot="1" customHeight="1">
      <c r="A5997" s="26"/>
      <c r="B5997" s="26"/>
      <c r="C5997" s="26"/>
      <c r="D5997" s="25" t="s">
        <v>18926</v>
      </c>
      <c r="E5997" s="25"/>
      <c r="F5997" s="25"/>
      <c r="G5997" s="25"/>
    </row>
    <row r="5998" spans="1:7" ht="39.84" thickBot="1" customHeight="1">
      <c r="A5998" s="24" t="s">
        <v>18927</v>
      </c>
      <c r="B5998" s="24" t="s">
        <v>18928</v>
      </c>
      <c r="C5998" s="24" t="s">
        <v>18929</v>
      </c>
      <c r="D5998" s="25" t="s">
        <v>18930</v>
      </c>
      <c r="E5998" s="28">
        <v>4.00000</v>
      </c>
      <c r="F5998" s="29">
        <f ca="1">ROUND(2.800,3)</f>
        <v>0</v>
      </c>
      <c r="G5998" s="27">
        <f ca="1">ROUND(E5998*F5998,2)</f>
        <v>0</v>
      </c>
    </row>
    <row r="5999" spans="1:7" ht="30.60" thickBot="1" customHeight="1">
      <c r="A5999" s="24" t="s">
        <v>18931</v>
      </c>
      <c r="B5999" s="24" t="s">
        <v>18932</v>
      </c>
      <c r="C5999" s="24" t="s">
        <v>18933</v>
      </c>
      <c r="D5999" s="25" t="s">
        <v>18934</v>
      </c>
      <c r="E5999" s="28">
        <v>0.09700</v>
      </c>
      <c r="F5999" s="29">
        <f ca="1">ROUND(15.430,3)</f>
        <v>0</v>
      </c>
      <c r="G5999" s="27">
        <f ca="1">ROUND(E5999*F5999,2)</f>
        <v>0</v>
      </c>
    </row>
    <row r="6000" spans="1:7" ht="30.60" thickBot="1" customHeight="1">
      <c r="A6000" s="24" t="s">
        <v>18935</v>
      </c>
      <c r="B6000" s="24" t="s">
        <v>18936</v>
      </c>
      <c r="C6000" s="24" t="s">
        <v>18937</v>
      </c>
      <c r="D6000" s="25" t="s">
        <v>18938</v>
      </c>
      <c r="E6000" s="28">
        <v>0.07800</v>
      </c>
      <c r="F6000" s="29">
        <f ca="1">ROUND(11.740,3)</f>
        <v>0</v>
      </c>
      <c r="G6000" s="27">
        <f ca="1">ROUND(E6000*F6000,2)</f>
        <v>0</v>
      </c>
    </row>
    <row r="6001" spans="1:7" ht="21.36" thickBot="1" customHeight="1">
      <c r="A6001" s="24" t="s">
        <v>18939</v>
      </c>
      <c r="B6001" s="24" t="s">
        <v>18940</v>
      </c>
      <c r="C6001" s="24" t="s">
        <v>18941</v>
      </c>
      <c r="D6001" s="25" t="s">
        <v>18942</v>
      </c>
      <c r="E6001" s="28">
        <v>0.75000</v>
      </c>
      <c r="F6001" s="29">
        <f ca="1">F6005</f>
        <v>0</v>
      </c>
      <c r="G6001" s="27">
        <f ca="1">ROUND(E6001*F6001,2)</f>
        <v>0</v>
      </c>
    </row>
    <row r="6002" spans="1:7" ht="24.36" thickBot="1" customHeight="1">
      <c r="A6002" s="24" t="s">
        <v>18943</v>
      </c>
      <c r="B6002" s="24" t="s">
        <v>18944</v>
      </c>
      <c r="C6002" s="24" t="s">
        <v>18945</v>
      </c>
      <c r="D6002" s="25" t="s">
        <v>18946</v>
      </c>
      <c r="E6002" s="28">
        <v>1.00000</v>
      </c>
      <c r="F6002" s="29">
        <f ca="1">ROUND(21.000,3)</f>
        <v>0</v>
      </c>
      <c r="G6002" s="27">
        <f ca="1">ROUND(E6002*F6002,2)</f>
        <v>0</v>
      </c>
    </row>
    <row r="6003" spans="1:7" ht="24.36" thickBot="1" customHeight="1">
      <c r="A6003" s="24" t="s">
        <v>18947</v>
      </c>
      <c r="B6003" s="24" t="s">
        <v>18948</v>
      </c>
      <c r="C6003" s="24" t="s">
        <v>18949</v>
      </c>
      <c r="D6003" s="25" t="s">
        <v>18950</v>
      </c>
      <c r="E6003" s="28">
        <v>1.00000</v>
      </c>
      <c r="F6003" s="29">
        <f ca="1">ROUND(19.000,3)</f>
        <v>0</v>
      </c>
      <c r="G6003" s="27">
        <f ca="1">ROUND(E6003*F6003,2)</f>
        <v>0</v>
      </c>
    </row>
    <row r="6004" spans="1:7" ht="24.36" thickBot="1" customHeight="1">
      <c r="A6004" s="24" t="s">
        <v>18951</v>
      </c>
      <c r="B6004" s="24" t="s">
        <v>18952</v>
      </c>
      <c r="C6004" s="24" t="s">
        <v>18953</v>
      </c>
      <c r="D6004" s="25" t="s">
        <v>18954</v>
      </c>
      <c r="E6004" s="28">
        <v>0.20000</v>
      </c>
      <c r="F6004" s="29">
        <f ca="1">ROUND(19.000,3)</f>
        <v>0</v>
      </c>
      <c r="G6004" s="27">
        <f ca="1">ROUND(E6004*F6004,2)</f>
        <v>0</v>
      </c>
    </row>
    <row r="6005" spans="1:7" ht="15.12" thickBot="1" customHeight="1">
      <c r="A6005" s="26"/>
      <c r="B6005" s="26"/>
      <c r="C6005" s="26"/>
      <c r="D6005" s="24" t="s">
        <v>18955</v>
      </c>
      <c r="E6005" s="28">
        <v>0.75000</v>
      </c>
      <c r="F6005" s="29">
        <f ca="1">ROUND((G6002+G6003+G6004),3)</f>
        <v>0</v>
      </c>
      <c r="G6005" s="27">
        <f ca="1">ROUND(E6005*F6005,2)</f>
        <v>0</v>
      </c>
    </row>
    <row r="6006" spans="1:7" ht="15.12" thickBot="1" customHeight="1">
      <c r="A6006" s="24" t="s">
        <v>18956</v>
      </c>
      <c r="B6006" s="24"/>
      <c r="C6006" s="24" t="s">
        <v>18957</v>
      </c>
      <c r="D6006" s="25" t="s">
        <v>18958</v>
      </c>
      <c r="E6006" s="28">
        <v>5.00000</v>
      </c>
      <c r="F6006" s="29">
        <f ca="1">ROUND(32.850,3)</f>
        <v>0</v>
      </c>
      <c r="G6006" s="27">
        <f ca="1">ROUND((E6006*F6006)/100,2)</f>
        <v>0</v>
      </c>
    </row>
    <row r="6007" spans="1:7" ht="25.08" thickBot="1" customHeight="1">
      <c r="A6007" s="30"/>
      <c r="B6007" s="30"/>
      <c r="C6007" s="30"/>
      <c r="D6007" s="31" t="s">
        <v>18959</v>
      </c>
      <c r="E6007" s="30"/>
      <c r="F6007" s="33">
        <f ca="1">ROUND((G5998+G5999+G6000+G6001+G6006)*(1+G2/100),2)</f>
        <v>0</v>
      </c>
      <c r="G6007" s="30"/>
    </row>
    <row r="6008" spans="1:7" ht="49.08" thickBot="1" customHeight="1">
      <c r="A6008" s="34" t="s">
        <v>18960</v>
      </c>
      <c r="B6008" s="35" t="s">
        <v>18961</v>
      </c>
      <c r="C6008" s="35" t="s">
        <v>18962</v>
      </c>
      <c r="D6008" s="36" t="s">
        <v>18963</v>
      </c>
      <c r="E6008" s="37"/>
      <c r="F6008" s="38">
        <f ca="1">F6019</f>
        <v>0</v>
      </c>
      <c r="G6008" s="37"/>
    </row>
    <row r="6009" spans="1:7" ht="21.36" thickBot="1" customHeight="1">
      <c r="A6009" s="26"/>
      <c r="B6009" s="26"/>
      <c r="C6009" s="26"/>
      <c r="D6009" s="25" t="s">
        <v>18964</v>
      </c>
      <c r="E6009" s="25"/>
      <c r="F6009" s="25"/>
      <c r="G6009" s="25"/>
    </row>
    <row r="6010" spans="1:7" ht="39.84" thickBot="1" customHeight="1">
      <c r="A6010" s="24" t="s">
        <v>18965</v>
      </c>
      <c r="B6010" s="24" t="s">
        <v>18966</v>
      </c>
      <c r="C6010" s="24" t="s">
        <v>18967</v>
      </c>
      <c r="D6010" s="25" t="s">
        <v>18968</v>
      </c>
      <c r="E6010" s="28">
        <v>4.00000</v>
      </c>
      <c r="F6010" s="29">
        <f ca="1">ROUND(2.800,3)</f>
        <v>0</v>
      </c>
      <c r="G6010" s="27">
        <f ca="1">ROUND(E6010*F6010,2)</f>
        <v>0</v>
      </c>
    </row>
    <row r="6011" spans="1:7" ht="30.60" thickBot="1" customHeight="1">
      <c r="A6011" s="24" t="s">
        <v>18969</v>
      </c>
      <c r="B6011" s="24" t="s">
        <v>18970</v>
      </c>
      <c r="C6011" s="24" t="s">
        <v>18971</v>
      </c>
      <c r="D6011" s="25" t="s">
        <v>18972</v>
      </c>
      <c r="E6011" s="28">
        <v>0.09700</v>
      </c>
      <c r="F6011" s="29">
        <f ca="1">ROUND(15.430,3)</f>
        <v>0</v>
      </c>
      <c r="G6011" s="27">
        <f ca="1">ROUND(E6011*F6011,2)</f>
        <v>0</v>
      </c>
    </row>
    <row r="6012" spans="1:7" ht="30.60" thickBot="1" customHeight="1">
      <c r="A6012" s="24" t="s">
        <v>18973</v>
      </c>
      <c r="B6012" s="24" t="s">
        <v>18974</v>
      </c>
      <c r="C6012" s="24" t="s">
        <v>18975</v>
      </c>
      <c r="D6012" s="25" t="s">
        <v>18976</v>
      </c>
      <c r="E6012" s="28">
        <v>0.07800</v>
      </c>
      <c r="F6012" s="29">
        <f ca="1">ROUND(11.740,3)</f>
        <v>0</v>
      </c>
      <c r="G6012" s="27">
        <f ca="1">ROUND(E6012*F6012,2)</f>
        <v>0</v>
      </c>
    </row>
    <row r="6013" spans="1:7" ht="21.36" thickBot="1" customHeight="1">
      <c r="A6013" s="24" t="s">
        <v>18977</v>
      </c>
      <c r="B6013" s="24" t="s">
        <v>18978</v>
      </c>
      <c r="C6013" s="24" t="s">
        <v>18979</v>
      </c>
      <c r="D6013" s="25" t="s">
        <v>18980</v>
      </c>
      <c r="E6013" s="28">
        <v>0.53333</v>
      </c>
      <c r="F6013" s="29">
        <f ca="1">F6017</f>
        <v>0</v>
      </c>
      <c r="G6013" s="27">
        <f ca="1">ROUND(E6013*F6013,2)</f>
        <v>0</v>
      </c>
    </row>
    <row r="6014" spans="1:7" ht="24.36" thickBot="1" customHeight="1">
      <c r="A6014" s="24" t="s">
        <v>18981</v>
      </c>
      <c r="B6014" s="24" t="s">
        <v>18982</v>
      </c>
      <c r="C6014" s="24" t="s">
        <v>18983</v>
      </c>
      <c r="D6014" s="25" t="s">
        <v>18984</v>
      </c>
      <c r="E6014" s="28">
        <v>1.00000</v>
      </c>
      <c r="F6014" s="29">
        <f ca="1">ROUND(21.000,3)</f>
        <v>0</v>
      </c>
      <c r="G6014" s="27">
        <f ca="1">ROUND(E6014*F6014,2)</f>
        <v>0</v>
      </c>
    </row>
    <row r="6015" spans="1:7" ht="24.36" thickBot="1" customHeight="1">
      <c r="A6015" s="24" t="s">
        <v>18985</v>
      </c>
      <c r="B6015" s="24" t="s">
        <v>18986</v>
      </c>
      <c r="C6015" s="24" t="s">
        <v>18987</v>
      </c>
      <c r="D6015" s="25" t="s">
        <v>18988</v>
      </c>
      <c r="E6015" s="28">
        <v>1.00000</v>
      </c>
      <c r="F6015" s="29">
        <f ca="1">ROUND(19.000,3)</f>
        <v>0</v>
      </c>
      <c r="G6015" s="27">
        <f ca="1">ROUND(E6015*F6015,2)</f>
        <v>0</v>
      </c>
    </row>
    <row r="6016" spans="1:7" ht="24.36" thickBot="1" customHeight="1">
      <c r="A6016" s="24" t="s">
        <v>18989</v>
      </c>
      <c r="B6016" s="24" t="s">
        <v>18990</v>
      </c>
      <c r="C6016" s="24" t="s">
        <v>18991</v>
      </c>
      <c r="D6016" s="25" t="s">
        <v>18992</v>
      </c>
      <c r="E6016" s="28">
        <v>0.20000</v>
      </c>
      <c r="F6016" s="29">
        <f ca="1">ROUND(19.000,3)</f>
        <v>0</v>
      </c>
      <c r="G6016" s="27">
        <f ca="1">ROUND(E6016*F6016,2)</f>
        <v>0</v>
      </c>
    </row>
    <row r="6017" spans="1:7" ht="15.12" thickBot="1" customHeight="1">
      <c r="A6017" s="26"/>
      <c r="B6017" s="26"/>
      <c r="C6017" s="26"/>
      <c r="D6017" s="24" t="s">
        <v>18993</v>
      </c>
      <c r="E6017" s="28">
        <v>0.53333</v>
      </c>
      <c r="F6017" s="29">
        <f ca="1">ROUND((G6014+G6015+G6016),3)</f>
        <v>0</v>
      </c>
      <c r="G6017" s="27">
        <f ca="1">ROUND(E6017*F6017,2)</f>
        <v>0</v>
      </c>
    </row>
    <row r="6018" spans="1:7" ht="15.12" thickBot="1" customHeight="1">
      <c r="A6018" s="24" t="s">
        <v>18994</v>
      </c>
      <c r="B6018" s="24"/>
      <c r="C6018" s="24" t="s">
        <v>18995</v>
      </c>
      <c r="D6018" s="25" t="s">
        <v>18996</v>
      </c>
      <c r="E6018" s="28">
        <v>5.00000</v>
      </c>
      <c r="F6018" s="29">
        <f ca="1">ROUND(23.360,3)</f>
        <v>0</v>
      </c>
      <c r="G6018" s="27">
        <f ca="1">ROUND((E6018*F6018)/100,2)</f>
        <v>0</v>
      </c>
    </row>
    <row r="6019" spans="1:7" ht="25.08" thickBot="1" customHeight="1">
      <c r="A6019" s="30"/>
      <c r="B6019" s="30"/>
      <c r="C6019" s="30"/>
      <c r="D6019" s="31" t="s">
        <v>18997</v>
      </c>
      <c r="E6019" s="30"/>
      <c r="F6019" s="33">
        <f ca="1">ROUND((G6010+G6011+G6012+G6013+G6018)*(1+G2/100),2)</f>
        <v>0</v>
      </c>
      <c r="G6019" s="30"/>
    </row>
    <row r="6020" spans="1:7" ht="58.32" thickBot="1" customHeight="1">
      <c r="A6020" s="34" t="s">
        <v>18998</v>
      </c>
      <c r="B6020" s="35" t="s">
        <v>18999</v>
      </c>
      <c r="C6020" s="35" t="s">
        <v>19000</v>
      </c>
      <c r="D6020" s="36" t="s">
        <v>19001</v>
      </c>
      <c r="E6020" s="37"/>
      <c r="F6020" s="38">
        <f ca="1">F6033</f>
        <v>0</v>
      </c>
      <c r="G6020" s="37"/>
    </row>
    <row r="6021" spans="1:7" ht="21.36" thickBot="1" customHeight="1">
      <c r="A6021" s="26"/>
      <c r="B6021" s="26"/>
      <c r="C6021" s="26"/>
      <c r="D6021" s="25" t="s">
        <v>19002</v>
      </c>
      <c r="E6021" s="25"/>
      <c r="F6021" s="25"/>
      <c r="G6021" s="25"/>
    </row>
    <row r="6022" spans="1:7" ht="39.84" thickBot="1" customHeight="1">
      <c r="A6022" s="24" t="s">
        <v>19003</v>
      </c>
      <c r="B6022" s="24" t="s">
        <v>19004</v>
      </c>
      <c r="C6022" s="24" t="s">
        <v>19005</v>
      </c>
      <c r="D6022" s="25" t="s">
        <v>19006</v>
      </c>
      <c r="E6022" s="28">
        <v>2.20000</v>
      </c>
      <c r="F6022" s="29">
        <f ca="1">ROUND(12.020,3)</f>
        <v>0</v>
      </c>
      <c r="G6022" s="27">
        <f ca="1">ROUND(E6022*F6022,2)</f>
        <v>0</v>
      </c>
    </row>
    <row r="6023" spans="1:7" ht="39.84" thickBot="1" customHeight="1">
      <c r="A6023" s="24" t="s">
        <v>19007</v>
      </c>
      <c r="B6023" s="24" t="s">
        <v>19008</v>
      </c>
      <c r="C6023" s="24" t="s">
        <v>19009</v>
      </c>
      <c r="D6023" s="25" t="s">
        <v>19010</v>
      </c>
      <c r="E6023" s="28">
        <v>0.64000</v>
      </c>
      <c r="F6023" s="29">
        <f ca="1">ROUND(2.600,3)</f>
        <v>0</v>
      </c>
      <c r="G6023" s="27">
        <f ca="1">ROUND(E6023*F6023,2)</f>
        <v>0</v>
      </c>
    </row>
    <row r="6024" spans="1:7" ht="30.60" thickBot="1" customHeight="1">
      <c r="A6024" s="24" t="s">
        <v>19011</v>
      </c>
      <c r="B6024" s="24" t="s">
        <v>19012</v>
      </c>
      <c r="C6024" s="24" t="s">
        <v>19013</v>
      </c>
      <c r="D6024" s="25" t="s">
        <v>19014</v>
      </c>
      <c r="E6024" s="28">
        <v>0.03000</v>
      </c>
      <c r="F6024" s="29">
        <f ca="1">ROUND(11.740,3)</f>
        <v>0</v>
      </c>
      <c r="G6024" s="27">
        <f ca="1">ROUND(E6024*F6024,2)</f>
        <v>0</v>
      </c>
    </row>
    <row r="6025" spans="1:7" ht="39.84" thickBot="1" customHeight="1">
      <c r="A6025" s="24" t="s">
        <v>19015</v>
      </c>
      <c r="B6025" s="24" t="s">
        <v>19016</v>
      </c>
      <c r="C6025" s="24" t="s">
        <v>19017</v>
      </c>
      <c r="D6025" s="25" t="s">
        <v>19018</v>
      </c>
      <c r="E6025" s="28">
        <v>0.25000</v>
      </c>
      <c r="F6025" s="29">
        <f ca="1">ROUND(1.750,3)</f>
        <v>0</v>
      </c>
      <c r="G6025" s="27">
        <f ca="1">ROUND(E6025*F6025,2)</f>
        <v>0</v>
      </c>
    </row>
    <row r="6026" spans="1:7" ht="30.60" thickBot="1" customHeight="1">
      <c r="A6026" s="24" t="s">
        <v>19019</v>
      </c>
      <c r="B6026" s="24" t="s">
        <v>19020</v>
      </c>
      <c r="C6026" s="24" t="s">
        <v>19021</v>
      </c>
      <c r="D6026" s="25" t="s">
        <v>19022</v>
      </c>
      <c r="E6026" s="28">
        <v>0.01667</v>
      </c>
      <c r="F6026" s="29">
        <f ca="1">ROUND(8.810,3)</f>
        <v>0</v>
      </c>
      <c r="G6026" s="27">
        <f ca="1">ROUND(E6026*F6026,2)</f>
        <v>0</v>
      </c>
    </row>
    <row r="6027" spans="1:7" ht="21.36" thickBot="1" customHeight="1">
      <c r="A6027" s="24" t="s">
        <v>19023</v>
      </c>
      <c r="B6027" s="24" t="s">
        <v>19024</v>
      </c>
      <c r="C6027" s="24" t="s">
        <v>19025</v>
      </c>
      <c r="D6027" s="25" t="s">
        <v>19026</v>
      </c>
      <c r="E6027" s="28">
        <v>0.50000</v>
      </c>
      <c r="F6027" s="29">
        <f ca="1">F6031</f>
        <v>0</v>
      </c>
      <c r="G6027" s="27">
        <f ca="1">ROUND(E6027*F6027,2)</f>
        <v>0</v>
      </c>
    </row>
    <row r="6028" spans="1:7" ht="24.36" thickBot="1" customHeight="1">
      <c r="A6028" s="24" t="s">
        <v>19027</v>
      </c>
      <c r="B6028" s="24" t="s">
        <v>19028</v>
      </c>
      <c r="C6028" s="24" t="s">
        <v>19029</v>
      </c>
      <c r="D6028" s="25" t="s">
        <v>19030</v>
      </c>
      <c r="E6028" s="28">
        <v>1.00000</v>
      </c>
      <c r="F6028" s="29">
        <f ca="1">ROUND(21.000,3)</f>
        <v>0</v>
      </c>
      <c r="G6028" s="27">
        <f ca="1">ROUND(E6028*F6028,2)</f>
        <v>0</v>
      </c>
    </row>
    <row r="6029" spans="1:7" ht="24.36" thickBot="1" customHeight="1">
      <c r="A6029" s="24" t="s">
        <v>19031</v>
      </c>
      <c r="B6029" s="24" t="s">
        <v>19032</v>
      </c>
      <c r="C6029" s="24" t="s">
        <v>19033</v>
      </c>
      <c r="D6029" s="25" t="s">
        <v>19034</v>
      </c>
      <c r="E6029" s="28">
        <v>1.00000</v>
      </c>
      <c r="F6029" s="29">
        <f ca="1">ROUND(19.000,3)</f>
        <v>0</v>
      </c>
      <c r="G6029" s="27">
        <f ca="1">ROUND(E6029*F6029,2)</f>
        <v>0</v>
      </c>
    </row>
    <row r="6030" spans="1:7" ht="24.36" thickBot="1" customHeight="1">
      <c r="A6030" s="24" t="s">
        <v>19035</v>
      </c>
      <c r="B6030" s="24" t="s">
        <v>19036</v>
      </c>
      <c r="C6030" s="24" t="s">
        <v>19037</v>
      </c>
      <c r="D6030" s="25" t="s">
        <v>19038</v>
      </c>
      <c r="E6030" s="28">
        <v>0.20000</v>
      </c>
      <c r="F6030" s="29">
        <f ca="1">ROUND(19.000,3)</f>
        <v>0</v>
      </c>
      <c r="G6030" s="27">
        <f ca="1">ROUND(E6030*F6030,2)</f>
        <v>0</v>
      </c>
    </row>
    <row r="6031" spans="1:7" ht="15.12" thickBot="1" customHeight="1">
      <c r="A6031" s="26"/>
      <c r="B6031" s="26"/>
      <c r="C6031" s="26"/>
      <c r="D6031" s="24" t="s">
        <v>19039</v>
      </c>
      <c r="E6031" s="28">
        <v>0.50000</v>
      </c>
      <c r="F6031" s="29">
        <f ca="1">ROUND((G6028+G6029+G6030),3)</f>
        <v>0</v>
      </c>
      <c r="G6031" s="27">
        <f ca="1">ROUND(E6031*F6031,2)</f>
        <v>0</v>
      </c>
    </row>
    <row r="6032" spans="1:7" ht="15.12" thickBot="1" customHeight="1">
      <c r="A6032" s="24" t="s">
        <v>19040</v>
      </c>
      <c r="B6032" s="24"/>
      <c r="C6032" s="24" t="s">
        <v>19041</v>
      </c>
      <c r="D6032" s="25" t="s">
        <v>19042</v>
      </c>
      <c r="E6032" s="28">
        <v>3.00000</v>
      </c>
      <c r="F6032" s="29">
        <f ca="1">ROUND(21.900,3)</f>
        <v>0</v>
      </c>
      <c r="G6032" s="27">
        <f ca="1">ROUND((E6032*F6032)/100,2)</f>
        <v>0</v>
      </c>
    </row>
    <row r="6033" spans="1:7" ht="25.08" thickBot="1" customHeight="1">
      <c r="A6033" s="30"/>
      <c r="B6033" s="30"/>
      <c r="C6033" s="30"/>
      <c r="D6033" s="31" t="s">
        <v>19043</v>
      </c>
      <c r="E6033" s="30"/>
      <c r="F6033" s="33">
        <f ca="1">ROUND((G6022+G6023+G6024+G6025+G6026+G6027+G6032)*(1+G2/100),2)</f>
        <v>0</v>
      </c>
      <c r="G6033" s="30"/>
    </row>
    <row r="6034" spans="1:7" ht="58.32" thickBot="1" customHeight="1">
      <c r="A6034" s="34" t="s">
        <v>19044</v>
      </c>
      <c r="B6034" s="35" t="s">
        <v>19045</v>
      </c>
      <c r="C6034" s="35" t="s">
        <v>19046</v>
      </c>
      <c r="D6034" s="36" t="s">
        <v>19047</v>
      </c>
      <c r="E6034" s="37"/>
      <c r="F6034" s="38">
        <f ca="1">F6047</f>
        <v>0</v>
      </c>
      <c r="G6034" s="37"/>
    </row>
    <row r="6035" spans="1:7" ht="21.36" thickBot="1" customHeight="1">
      <c r="A6035" s="26"/>
      <c r="B6035" s="26"/>
      <c r="C6035" s="26"/>
      <c r="D6035" s="25" t="s">
        <v>19048</v>
      </c>
      <c r="E6035" s="25"/>
      <c r="F6035" s="25"/>
      <c r="G6035" s="25"/>
    </row>
    <row r="6036" spans="1:7" ht="39.84" thickBot="1" customHeight="1">
      <c r="A6036" s="24" t="s">
        <v>19049</v>
      </c>
      <c r="B6036" s="24" t="s">
        <v>19050</v>
      </c>
      <c r="C6036" s="24" t="s">
        <v>19051</v>
      </c>
      <c r="D6036" s="25" t="s">
        <v>19052</v>
      </c>
      <c r="E6036" s="28">
        <v>2.20000</v>
      </c>
      <c r="F6036" s="29">
        <f ca="1">ROUND(12.020,3)</f>
        <v>0</v>
      </c>
      <c r="G6036" s="27">
        <f ca="1">ROUND(E6036*F6036,2)</f>
        <v>0</v>
      </c>
    </row>
    <row r="6037" spans="1:7" ht="39.84" thickBot="1" customHeight="1">
      <c r="A6037" s="24" t="s">
        <v>19053</v>
      </c>
      <c r="B6037" s="24" t="s">
        <v>19054</v>
      </c>
      <c r="C6037" s="24" t="s">
        <v>19055</v>
      </c>
      <c r="D6037" s="25" t="s">
        <v>19056</v>
      </c>
      <c r="E6037" s="28">
        <v>0.64000</v>
      </c>
      <c r="F6037" s="29">
        <f ca="1">ROUND(2.600,3)</f>
        <v>0</v>
      </c>
      <c r="G6037" s="27">
        <f ca="1">ROUND(E6037*F6037,2)</f>
        <v>0</v>
      </c>
    </row>
    <row r="6038" spans="1:7" ht="30.60" thickBot="1" customHeight="1">
      <c r="A6038" s="24" t="s">
        <v>19057</v>
      </c>
      <c r="B6038" s="24" t="s">
        <v>19058</v>
      </c>
      <c r="C6038" s="24" t="s">
        <v>19059</v>
      </c>
      <c r="D6038" s="25" t="s">
        <v>19060</v>
      </c>
      <c r="E6038" s="28">
        <v>0.03000</v>
      </c>
      <c r="F6038" s="29">
        <f ca="1">ROUND(11.740,3)</f>
        <v>0</v>
      </c>
      <c r="G6038" s="27">
        <f ca="1">ROUND(E6038*F6038,2)</f>
        <v>0</v>
      </c>
    </row>
    <row r="6039" spans="1:7" ht="39.84" thickBot="1" customHeight="1">
      <c r="A6039" s="24" t="s">
        <v>19061</v>
      </c>
      <c r="B6039" s="24" t="s">
        <v>19062</v>
      </c>
      <c r="C6039" s="24" t="s">
        <v>19063</v>
      </c>
      <c r="D6039" s="25" t="s">
        <v>19064</v>
      </c>
      <c r="E6039" s="28">
        <v>0.25000</v>
      </c>
      <c r="F6039" s="29">
        <f ca="1">ROUND(1.750,3)</f>
        <v>0</v>
      </c>
      <c r="G6039" s="27">
        <f ca="1">ROUND(E6039*F6039,2)</f>
        <v>0</v>
      </c>
    </row>
    <row r="6040" spans="1:7" ht="30.60" thickBot="1" customHeight="1">
      <c r="A6040" s="24" t="s">
        <v>19065</v>
      </c>
      <c r="B6040" s="24" t="s">
        <v>19066</v>
      </c>
      <c r="C6040" s="24" t="s">
        <v>19067</v>
      </c>
      <c r="D6040" s="25" t="s">
        <v>19068</v>
      </c>
      <c r="E6040" s="28">
        <v>0.01667</v>
      </c>
      <c r="F6040" s="29">
        <f ca="1">ROUND(8.810,3)</f>
        <v>0</v>
      </c>
      <c r="G6040" s="27">
        <f ca="1">ROUND(E6040*F6040,2)</f>
        <v>0</v>
      </c>
    </row>
    <row r="6041" spans="1:7" ht="21.36" thickBot="1" customHeight="1">
      <c r="A6041" s="24" t="s">
        <v>19069</v>
      </c>
      <c r="B6041" s="24" t="s">
        <v>19070</v>
      </c>
      <c r="C6041" s="24" t="s">
        <v>19071</v>
      </c>
      <c r="D6041" s="25" t="s">
        <v>19072</v>
      </c>
      <c r="E6041" s="28">
        <v>0.53333</v>
      </c>
      <c r="F6041" s="29">
        <f ca="1">F6045</f>
        <v>0</v>
      </c>
      <c r="G6041" s="27">
        <f ca="1">ROUND(E6041*F6041,2)</f>
        <v>0</v>
      </c>
    </row>
    <row r="6042" spans="1:7" ht="24.36" thickBot="1" customHeight="1">
      <c r="A6042" s="24" t="s">
        <v>19073</v>
      </c>
      <c r="B6042" s="24" t="s">
        <v>19074</v>
      </c>
      <c r="C6042" s="24" t="s">
        <v>19075</v>
      </c>
      <c r="D6042" s="25" t="s">
        <v>19076</v>
      </c>
      <c r="E6042" s="28">
        <v>1.00000</v>
      </c>
      <c r="F6042" s="29">
        <f ca="1">ROUND(21.000,3)</f>
        <v>0</v>
      </c>
      <c r="G6042" s="27">
        <f ca="1">ROUND(E6042*F6042,2)</f>
        <v>0</v>
      </c>
    </row>
    <row r="6043" spans="1:7" ht="24.36" thickBot="1" customHeight="1">
      <c r="A6043" s="24" t="s">
        <v>19077</v>
      </c>
      <c r="B6043" s="24" t="s">
        <v>19078</v>
      </c>
      <c r="C6043" s="24" t="s">
        <v>19079</v>
      </c>
      <c r="D6043" s="25" t="s">
        <v>19080</v>
      </c>
      <c r="E6043" s="28">
        <v>1.00000</v>
      </c>
      <c r="F6043" s="29">
        <f ca="1">ROUND(19.000,3)</f>
        <v>0</v>
      </c>
      <c r="G6043" s="27">
        <f ca="1">ROUND(E6043*F6043,2)</f>
        <v>0</v>
      </c>
    </row>
    <row r="6044" spans="1:7" ht="24.36" thickBot="1" customHeight="1">
      <c r="A6044" s="24" t="s">
        <v>19081</v>
      </c>
      <c r="B6044" s="24" t="s">
        <v>19082</v>
      </c>
      <c r="C6044" s="24" t="s">
        <v>19083</v>
      </c>
      <c r="D6044" s="25" t="s">
        <v>19084</v>
      </c>
      <c r="E6044" s="28">
        <v>0.20000</v>
      </c>
      <c r="F6044" s="29">
        <f ca="1">ROUND(19.000,3)</f>
        <v>0</v>
      </c>
      <c r="G6044" s="27">
        <f ca="1">ROUND(E6044*F6044,2)</f>
        <v>0</v>
      </c>
    </row>
    <row r="6045" spans="1:7" ht="15.12" thickBot="1" customHeight="1">
      <c r="A6045" s="26"/>
      <c r="B6045" s="26"/>
      <c r="C6045" s="26"/>
      <c r="D6045" s="24" t="s">
        <v>19085</v>
      </c>
      <c r="E6045" s="28">
        <v>0.53333</v>
      </c>
      <c r="F6045" s="29">
        <f ca="1">ROUND((G6042+G6043+G6044),3)</f>
        <v>0</v>
      </c>
      <c r="G6045" s="27">
        <f ca="1">ROUND(E6045*F6045,2)</f>
        <v>0</v>
      </c>
    </row>
    <row r="6046" spans="1:7" ht="15.12" thickBot="1" customHeight="1">
      <c r="A6046" s="24" t="s">
        <v>19086</v>
      </c>
      <c r="B6046" s="24"/>
      <c r="C6046" s="24" t="s">
        <v>19087</v>
      </c>
      <c r="D6046" s="25" t="s">
        <v>19088</v>
      </c>
      <c r="E6046" s="28">
        <v>5.00000</v>
      </c>
      <c r="F6046" s="29">
        <f ca="1">ROUND(23.360,3)</f>
        <v>0</v>
      </c>
      <c r="G6046" s="27">
        <f ca="1">ROUND((E6046*F6046)/100,2)</f>
        <v>0</v>
      </c>
    </row>
    <row r="6047" spans="1:7" ht="25.08" thickBot="1" customHeight="1">
      <c r="A6047" s="30"/>
      <c r="B6047" s="30"/>
      <c r="C6047" s="30"/>
      <c r="D6047" s="31" t="s">
        <v>19089</v>
      </c>
      <c r="E6047" s="30"/>
      <c r="F6047" s="33">
        <f ca="1">ROUND((G6036+G6037+G6038+G6039+G6040+G6041+G6046)*(1+G2/100),2)</f>
        <v>0</v>
      </c>
      <c r="G6047" s="30"/>
    </row>
    <row r="6048" spans="1:7" ht="39.84" thickBot="1" customHeight="1">
      <c r="A6048" s="34" t="s">
        <v>19090</v>
      </c>
      <c r="B6048" s="35" t="s">
        <v>19091</v>
      </c>
      <c r="C6048" s="35" t="s">
        <v>19092</v>
      </c>
      <c r="D6048" s="36" t="s">
        <v>19093</v>
      </c>
      <c r="E6048" s="37"/>
      <c r="F6048" s="38">
        <f ca="1">F6059</f>
        <v>0</v>
      </c>
      <c r="G6048" s="37"/>
    </row>
    <row r="6049" spans="1:7" ht="21.36" thickBot="1" customHeight="1">
      <c r="A6049" s="26"/>
      <c r="B6049" s="26"/>
      <c r="C6049" s="26"/>
      <c r="D6049" s="25" t="s">
        <v>19094</v>
      </c>
      <c r="E6049" s="25"/>
      <c r="F6049" s="25"/>
      <c r="G6049" s="25"/>
    </row>
    <row r="6050" spans="1:7" ht="39.84" thickBot="1" customHeight="1">
      <c r="A6050" s="24" t="s">
        <v>19095</v>
      </c>
      <c r="B6050" s="24" t="s">
        <v>19096</v>
      </c>
      <c r="C6050" s="24" t="s">
        <v>19097</v>
      </c>
      <c r="D6050" s="25" t="s">
        <v>19098</v>
      </c>
      <c r="E6050" s="28">
        <v>3.00000</v>
      </c>
      <c r="F6050" s="29">
        <f ca="1">ROUND(7.400,3)</f>
        <v>0</v>
      </c>
      <c r="G6050" s="27">
        <f ca="1">ROUND(E6050*F6050,2)</f>
        <v>0</v>
      </c>
    </row>
    <row r="6051" spans="1:7" ht="30.60" thickBot="1" customHeight="1">
      <c r="A6051" s="24" t="s">
        <v>19099</v>
      </c>
      <c r="B6051" s="24" t="s">
        <v>19100</v>
      </c>
      <c r="C6051" s="24" t="s">
        <v>19101</v>
      </c>
      <c r="D6051" s="25" t="s">
        <v>19102</v>
      </c>
      <c r="E6051" s="28">
        <v>0.09000</v>
      </c>
      <c r="F6051" s="29">
        <f ca="1">ROUND(15.430,3)</f>
        <v>0</v>
      </c>
      <c r="G6051" s="27">
        <f ca="1">ROUND(E6051*F6051,2)</f>
        <v>0</v>
      </c>
    </row>
    <row r="6052" spans="1:7" ht="30.60" thickBot="1" customHeight="1">
      <c r="A6052" s="24" t="s">
        <v>19103</v>
      </c>
      <c r="B6052" s="24" t="s">
        <v>19104</v>
      </c>
      <c r="C6052" s="24" t="s">
        <v>19105</v>
      </c>
      <c r="D6052" s="25" t="s">
        <v>19106</v>
      </c>
      <c r="E6052" s="28">
        <v>0.08670</v>
      </c>
      <c r="F6052" s="29">
        <f ca="1">ROUND(11.740,3)</f>
        <v>0</v>
      </c>
      <c r="G6052" s="27">
        <f ca="1">ROUND(E6052*F6052,2)</f>
        <v>0</v>
      </c>
    </row>
    <row r="6053" spans="1:7" ht="21.36" thickBot="1" customHeight="1">
      <c r="A6053" s="24" t="s">
        <v>19107</v>
      </c>
      <c r="B6053" s="24" t="s">
        <v>19108</v>
      </c>
      <c r="C6053" s="24" t="s">
        <v>19109</v>
      </c>
      <c r="D6053" s="25" t="s">
        <v>19110</v>
      </c>
      <c r="E6053" s="28">
        <v>0.75000</v>
      </c>
      <c r="F6053" s="29">
        <f ca="1">F6057</f>
        <v>0</v>
      </c>
      <c r="G6053" s="27">
        <f ca="1">ROUND(E6053*F6053,2)</f>
        <v>0</v>
      </c>
    </row>
    <row r="6054" spans="1:7" ht="24.36" thickBot="1" customHeight="1">
      <c r="A6054" s="24" t="s">
        <v>19111</v>
      </c>
      <c r="B6054" s="24" t="s">
        <v>19112</v>
      </c>
      <c r="C6054" s="24" t="s">
        <v>19113</v>
      </c>
      <c r="D6054" s="25" t="s">
        <v>19114</v>
      </c>
      <c r="E6054" s="28">
        <v>1.00000</v>
      </c>
      <c r="F6054" s="29">
        <f ca="1">ROUND(21.000,3)</f>
        <v>0</v>
      </c>
      <c r="G6054" s="27">
        <f ca="1">ROUND(E6054*F6054,2)</f>
        <v>0</v>
      </c>
    </row>
    <row r="6055" spans="1:7" ht="24.36" thickBot="1" customHeight="1">
      <c r="A6055" s="24" t="s">
        <v>19115</v>
      </c>
      <c r="B6055" s="24" t="s">
        <v>19116</v>
      </c>
      <c r="C6055" s="24" t="s">
        <v>19117</v>
      </c>
      <c r="D6055" s="25" t="s">
        <v>19118</v>
      </c>
      <c r="E6055" s="28">
        <v>1.00000</v>
      </c>
      <c r="F6055" s="29">
        <f ca="1">ROUND(19.000,3)</f>
        <v>0</v>
      </c>
      <c r="G6055" s="27">
        <f ca="1">ROUND(E6055*F6055,2)</f>
        <v>0</v>
      </c>
    </row>
    <row r="6056" spans="1:7" ht="24.36" thickBot="1" customHeight="1">
      <c r="A6056" s="24" t="s">
        <v>19119</v>
      </c>
      <c r="B6056" s="24" t="s">
        <v>19120</v>
      </c>
      <c r="C6056" s="24" t="s">
        <v>19121</v>
      </c>
      <c r="D6056" s="25" t="s">
        <v>19122</v>
      </c>
      <c r="E6056" s="28">
        <v>0.20000</v>
      </c>
      <c r="F6056" s="29">
        <f ca="1">ROUND(19.000,3)</f>
        <v>0</v>
      </c>
      <c r="G6056" s="27">
        <f ca="1">ROUND(E6056*F6056,2)</f>
        <v>0</v>
      </c>
    </row>
    <row r="6057" spans="1:7" ht="15.12" thickBot="1" customHeight="1">
      <c r="A6057" s="26"/>
      <c r="B6057" s="26"/>
      <c r="C6057" s="26"/>
      <c r="D6057" s="24" t="s">
        <v>19123</v>
      </c>
      <c r="E6057" s="28">
        <v>0.75000</v>
      </c>
      <c r="F6057" s="29">
        <f ca="1">ROUND((G6054+G6055+G6056),3)</f>
        <v>0</v>
      </c>
      <c r="G6057" s="27">
        <f ca="1">ROUND(E6057*F6057,2)</f>
        <v>0</v>
      </c>
    </row>
    <row r="6058" spans="1:7" ht="15.12" thickBot="1" customHeight="1">
      <c r="A6058" s="24" t="s">
        <v>19124</v>
      </c>
      <c r="B6058" s="24"/>
      <c r="C6058" s="24" t="s">
        <v>19125</v>
      </c>
      <c r="D6058" s="25" t="s">
        <v>19126</v>
      </c>
      <c r="E6058" s="28">
        <v>5.00000</v>
      </c>
      <c r="F6058" s="29">
        <f ca="1">ROUND(32.850,3)</f>
        <v>0</v>
      </c>
      <c r="G6058" s="27">
        <f ca="1">ROUND((E6058*F6058)/100,2)</f>
        <v>0</v>
      </c>
    </row>
    <row r="6059" spans="1:7" ht="25.08" thickBot="1" customHeight="1">
      <c r="A6059" s="30"/>
      <c r="B6059" s="30"/>
      <c r="C6059" s="30"/>
      <c r="D6059" s="31" t="s">
        <v>19127</v>
      </c>
      <c r="E6059" s="30"/>
      <c r="F6059" s="33">
        <f ca="1">ROUND((G6050+G6051+G6052+G6053+G6058)*(1+G2/100),2)</f>
        <v>0</v>
      </c>
      <c r="G6059" s="30"/>
    </row>
    <row r="6060" spans="1:7" ht="39.84" thickBot="1" customHeight="1">
      <c r="A6060" s="34" t="s">
        <v>19128</v>
      </c>
      <c r="B6060" s="35" t="s">
        <v>19129</v>
      </c>
      <c r="C6060" s="35" t="s">
        <v>19130</v>
      </c>
      <c r="D6060" s="36" t="s">
        <v>19131</v>
      </c>
      <c r="E6060" s="37"/>
      <c r="F6060" s="38">
        <f ca="1">F6071</f>
        <v>0</v>
      </c>
      <c r="G6060" s="37"/>
    </row>
    <row r="6061" spans="1:7" ht="21.36" thickBot="1" customHeight="1">
      <c r="A6061" s="26"/>
      <c r="B6061" s="26"/>
      <c r="C6061" s="26"/>
      <c r="D6061" s="25" t="s">
        <v>19132</v>
      </c>
      <c r="E6061" s="25"/>
      <c r="F6061" s="25"/>
      <c r="G6061" s="25"/>
    </row>
    <row r="6062" spans="1:7" ht="39.84" thickBot="1" customHeight="1">
      <c r="A6062" s="24" t="s">
        <v>19133</v>
      </c>
      <c r="B6062" s="24" t="s">
        <v>19134</v>
      </c>
      <c r="C6062" s="24" t="s">
        <v>19135</v>
      </c>
      <c r="D6062" s="25" t="s">
        <v>19136</v>
      </c>
      <c r="E6062" s="28">
        <v>3.00000</v>
      </c>
      <c r="F6062" s="29">
        <f ca="1">ROUND(7.400,3)</f>
        <v>0</v>
      </c>
      <c r="G6062" s="27">
        <f ca="1">ROUND(E6062*F6062,2)</f>
        <v>0</v>
      </c>
    </row>
    <row r="6063" spans="1:7" ht="30.60" thickBot="1" customHeight="1">
      <c r="A6063" s="24" t="s">
        <v>19137</v>
      </c>
      <c r="B6063" s="24" t="s">
        <v>19138</v>
      </c>
      <c r="C6063" s="24" t="s">
        <v>19139</v>
      </c>
      <c r="D6063" s="25" t="s">
        <v>19140</v>
      </c>
      <c r="E6063" s="28">
        <v>0.09000</v>
      </c>
      <c r="F6063" s="29">
        <f ca="1">ROUND(15.430,3)</f>
        <v>0</v>
      </c>
      <c r="G6063" s="27">
        <f ca="1">ROUND(E6063*F6063,2)</f>
        <v>0</v>
      </c>
    </row>
    <row r="6064" spans="1:7" ht="30.60" thickBot="1" customHeight="1">
      <c r="A6064" s="24" t="s">
        <v>19141</v>
      </c>
      <c r="B6064" s="24" t="s">
        <v>19142</v>
      </c>
      <c r="C6064" s="24" t="s">
        <v>19143</v>
      </c>
      <c r="D6064" s="25" t="s">
        <v>19144</v>
      </c>
      <c r="E6064" s="28">
        <v>0.08670</v>
      </c>
      <c r="F6064" s="29">
        <f ca="1">ROUND(11.740,3)</f>
        <v>0</v>
      </c>
      <c r="G6064" s="27">
        <f ca="1">ROUND(E6064*F6064,2)</f>
        <v>0</v>
      </c>
    </row>
    <row r="6065" spans="1:7" ht="21.36" thickBot="1" customHeight="1">
      <c r="A6065" s="24" t="s">
        <v>19145</v>
      </c>
      <c r="B6065" s="24" t="s">
        <v>19146</v>
      </c>
      <c r="C6065" s="24" t="s">
        <v>19147</v>
      </c>
      <c r="D6065" s="25" t="s">
        <v>19148</v>
      </c>
      <c r="E6065" s="28">
        <v>0.53333</v>
      </c>
      <c r="F6065" s="29">
        <f ca="1">F6069</f>
        <v>0</v>
      </c>
      <c r="G6065" s="27">
        <f ca="1">ROUND(E6065*F6065,2)</f>
        <v>0</v>
      </c>
    </row>
    <row r="6066" spans="1:7" ht="24.36" thickBot="1" customHeight="1">
      <c r="A6066" s="24" t="s">
        <v>19149</v>
      </c>
      <c r="B6066" s="24" t="s">
        <v>19150</v>
      </c>
      <c r="C6066" s="24" t="s">
        <v>19151</v>
      </c>
      <c r="D6066" s="25" t="s">
        <v>19152</v>
      </c>
      <c r="E6066" s="28">
        <v>1.00000</v>
      </c>
      <c r="F6066" s="29">
        <f ca="1">ROUND(21.000,3)</f>
        <v>0</v>
      </c>
      <c r="G6066" s="27">
        <f ca="1">ROUND(E6066*F6066,2)</f>
        <v>0</v>
      </c>
    </row>
    <row r="6067" spans="1:7" ht="24.36" thickBot="1" customHeight="1">
      <c r="A6067" s="24" t="s">
        <v>19153</v>
      </c>
      <c r="B6067" s="24" t="s">
        <v>19154</v>
      </c>
      <c r="C6067" s="24" t="s">
        <v>19155</v>
      </c>
      <c r="D6067" s="25" t="s">
        <v>19156</v>
      </c>
      <c r="E6067" s="28">
        <v>1.00000</v>
      </c>
      <c r="F6067" s="29">
        <f ca="1">ROUND(19.000,3)</f>
        <v>0</v>
      </c>
      <c r="G6067" s="27">
        <f ca="1">ROUND(E6067*F6067,2)</f>
        <v>0</v>
      </c>
    </row>
    <row r="6068" spans="1:7" ht="24.36" thickBot="1" customHeight="1">
      <c r="A6068" s="24" t="s">
        <v>19157</v>
      </c>
      <c r="B6068" s="24" t="s">
        <v>19158</v>
      </c>
      <c r="C6068" s="24" t="s">
        <v>19159</v>
      </c>
      <c r="D6068" s="25" t="s">
        <v>19160</v>
      </c>
      <c r="E6068" s="28">
        <v>0.20000</v>
      </c>
      <c r="F6068" s="29">
        <f ca="1">ROUND(19.000,3)</f>
        <v>0</v>
      </c>
      <c r="G6068" s="27">
        <f ca="1">ROUND(E6068*F6068,2)</f>
        <v>0</v>
      </c>
    </row>
    <row r="6069" spans="1:7" ht="15.12" thickBot="1" customHeight="1">
      <c r="A6069" s="26"/>
      <c r="B6069" s="26"/>
      <c r="C6069" s="26"/>
      <c r="D6069" s="24" t="s">
        <v>19161</v>
      </c>
      <c r="E6069" s="28">
        <v>0.53333</v>
      </c>
      <c r="F6069" s="29">
        <f ca="1">ROUND((G6066+G6067+G6068),3)</f>
        <v>0</v>
      </c>
      <c r="G6069" s="27">
        <f ca="1">ROUND(E6069*F6069,2)</f>
        <v>0</v>
      </c>
    </row>
    <row r="6070" spans="1:7" ht="15.12" thickBot="1" customHeight="1">
      <c r="A6070" s="24" t="s">
        <v>19162</v>
      </c>
      <c r="B6070" s="24"/>
      <c r="C6070" s="24" t="s">
        <v>19163</v>
      </c>
      <c r="D6070" s="25" t="s">
        <v>19164</v>
      </c>
      <c r="E6070" s="28">
        <v>5.00000</v>
      </c>
      <c r="F6070" s="29">
        <f ca="1">ROUND(23.360,3)</f>
        <v>0</v>
      </c>
      <c r="G6070" s="27">
        <f ca="1">ROUND((E6070*F6070)/100,2)</f>
        <v>0</v>
      </c>
    </row>
    <row r="6071" spans="1:7" ht="25.08" thickBot="1" customHeight="1">
      <c r="A6071" s="30"/>
      <c r="B6071" s="30"/>
      <c r="C6071" s="30"/>
      <c r="D6071" s="31" t="s">
        <v>19165</v>
      </c>
      <c r="E6071" s="30"/>
      <c r="F6071" s="33">
        <f ca="1">ROUND((G6062+G6063+G6064+G6065+G6070)*(1+G2/100),2)</f>
        <v>0</v>
      </c>
      <c r="G6071" s="30"/>
    </row>
    <row r="6072" spans="1:7" ht="39.84" thickBot="1" customHeight="1">
      <c r="A6072" s="34" t="s">
        <v>19166</v>
      </c>
      <c r="B6072" s="35" t="s">
        <v>19167</v>
      </c>
      <c r="C6072" s="35" t="s">
        <v>19168</v>
      </c>
      <c r="D6072" s="36" t="s">
        <v>19169</v>
      </c>
      <c r="E6072" s="37"/>
      <c r="F6072" s="38">
        <f ca="1">F6083</f>
        <v>0</v>
      </c>
      <c r="G6072" s="37"/>
    </row>
    <row r="6073" spans="1:7" ht="21.36" thickBot="1" customHeight="1">
      <c r="A6073" s="26"/>
      <c r="B6073" s="26"/>
      <c r="C6073" s="26"/>
      <c r="D6073" s="25" t="s">
        <v>19170</v>
      </c>
      <c r="E6073" s="25"/>
      <c r="F6073" s="25"/>
      <c r="G6073" s="25"/>
    </row>
    <row r="6074" spans="1:7" ht="39.84" thickBot="1" customHeight="1">
      <c r="A6074" s="24" t="s">
        <v>19171</v>
      </c>
      <c r="B6074" s="24" t="s">
        <v>19172</v>
      </c>
      <c r="C6074" s="24" t="s">
        <v>19173</v>
      </c>
      <c r="D6074" s="25" t="s">
        <v>19174</v>
      </c>
      <c r="E6074" s="28">
        <v>3.00000</v>
      </c>
      <c r="F6074" s="29">
        <f ca="1">ROUND(9.050,3)</f>
        <v>0</v>
      </c>
      <c r="G6074" s="27">
        <f ca="1">ROUND(E6074*F6074,2)</f>
        <v>0</v>
      </c>
    </row>
    <row r="6075" spans="1:7" ht="30.60" thickBot="1" customHeight="1">
      <c r="A6075" s="24" t="s">
        <v>19175</v>
      </c>
      <c r="B6075" s="24" t="s">
        <v>19176</v>
      </c>
      <c r="C6075" s="24" t="s">
        <v>19177</v>
      </c>
      <c r="D6075" s="25" t="s">
        <v>19178</v>
      </c>
      <c r="E6075" s="28">
        <v>0.12800</v>
      </c>
      <c r="F6075" s="29">
        <f ca="1">ROUND(15.430,3)</f>
        <v>0</v>
      </c>
      <c r="G6075" s="27">
        <f ca="1">ROUND(E6075*F6075,2)</f>
        <v>0</v>
      </c>
    </row>
    <row r="6076" spans="1:7" ht="30.60" thickBot="1" customHeight="1">
      <c r="A6076" s="24" t="s">
        <v>19179</v>
      </c>
      <c r="B6076" s="24" t="s">
        <v>19180</v>
      </c>
      <c r="C6076" s="24" t="s">
        <v>19181</v>
      </c>
      <c r="D6076" s="25" t="s">
        <v>19182</v>
      </c>
      <c r="E6076" s="28">
        <v>0.10620</v>
      </c>
      <c r="F6076" s="29">
        <f ca="1">ROUND(11.740,3)</f>
        <v>0</v>
      </c>
      <c r="G6076" s="27">
        <f ca="1">ROUND(E6076*F6076,2)</f>
        <v>0</v>
      </c>
    </row>
    <row r="6077" spans="1:7" ht="21.36" thickBot="1" customHeight="1">
      <c r="A6077" s="24" t="s">
        <v>19183</v>
      </c>
      <c r="B6077" s="24" t="s">
        <v>19184</v>
      </c>
      <c r="C6077" s="24" t="s">
        <v>19185</v>
      </c>
      <c r="D6077" s="25" t="s">
        <v>19186</v>
      </c>
      <c r="E6077" s="28">
        <v>0.75000</v>
      </c>
      <c r="F6077" s="29">
        <f ca="1">F6081</f>
        <v>0</v>
      </c>
      <c r="G6077" s="27">
        <f ca="1">ROUND(E6077*F6077,2)</f>
        <v>0</v>
      </c>
    </row>
    <row r="6078" spans="1:7" ht="24.36" thickBot="1" customHeight="1">
      <c r="A6078" s="24" t="s">
        <v>19187</v>
      </c>
      <c r="B6078" s="24" t="s">
        <v>19188</v>
      </c>
      <c r="C6078" s="24" t="s">
        <v>19189</v>
      </c>
      <c r="D6078" s="25" t="s">
        <v>19190</v>
      </c>
      <c r="E6078" s="28">
        <v>1.00000</v>
      </c>
      <c r="F6078" s="29">
        <f ca="1">ROUND(21.000,3)</f>
        <v>0</v>
      </c>
      <c r="G6078" s="27">
        <f ca="1">ROUND(E6078*F6078,2)</f>
        <v>0</v>
      </c>
    </row>
    <row r="6079" spans="1:7" ht="24.36" thickBot="1" customHeight="1">
      <c r="A6079" s="24" t="s">
        <v>19191</v>
      </c>
      <c r="B6079" s="24" t="s">
        <v>19192</v>
      </c>
      <c r="C6079" s="24" t="s">
        <v>19193</v>
      </c>
      <c r="D6079" s="25" t="s">
        <v>19194</v>
      </c>
      <c r="E6079" s="28">
        <v>1.00000</v>
      </c>
      <c r="F6079" s="29">
        <f ca="1">ROUND(19.000,3)</f>
        <v>0</v>
      </c>
      <c r="G6079" s="27">
        <f ca="1">ROUND(E6079*F6079,2)</f>
        <v>0</v>
      </c>
    </row>
    <row r="6080" spans="1:7" ht="24.36" thickBot="1" customHeight="1">
      <c r="A6080" s="24" t="s">
        <v>19195</v>
      </c>
      <c r="B6080" s="24" t="s">
        <v>19196</v>
      </c>
      <c r="C6080" s="24" t="s">
        <v>19197</v>
      </c>
      <c r="D6080" s="25" t="s">
        <v>19198</v>
      </c>
      <c r="E6080" s="28">
        <v>0.20000</v>
      </c>
      <c r="F6080" s="29">
        <f ca="1">ROUND(19.000,3)</f>
        <v>0</v>
      </c>
      <c r="G6080" s="27">
        <f ca="1">ROUND(E6080*F6080,2)</f>
        <v>0</v>
      </c>
    </row>
    <row r="6081" spans="1:7" ht="15.12" thickBot="1" customHeight="1">
      <c r="A6081" s="26"/>
      <c r="B6081" s="26"/>
      <c r="C6081" s="26"/>
      <c r="D6081" s="24" t="s">
        <v>19199</v>
      </c>
      <c r="E6081" s="28">
        <v>0.75000</v>
      </c>
      <c r="F6081" s="29">
        <f ca="1">ROUND((G6078+G6079+G6080),3)</f>
        <v>0</v>
      </c>
      <c r="G6081" s="27">
        <f ca="1">ROUND(E6081*F6081,2)</f>
        <v>0</v>
      </c>
    </row>
    <row r="6082" spans="1:7" ht="15.12" thickBot="1" customHeight="1">
      <c r="A6082" s="24" t="s">
        <v>19200</v>
      </c>
      <c r="B6082" s="24"/>
      <c r="C6082" s="24" t="s">
        <v>19201</v>
      </c>
      <c r="D6082" s="25" t="s">
        <v>19202</v>
      </c>
      <c r="E6082" s="28">
        <v>5.00000</v>
      </c>
      <c r="F6082" s="29">
        <f ca="1">ROUND(32.850,3)</f>
        <v>0</v>
      </c>
      <c r="G6082" s="27">
        <f ca="1">ROUND((E6082*F6082)/100,2)</f>
        <v>0</v>
      </c>
    </row>
    <row r="6083" spans="1:7" ht="25.08" thickBot="1" customHeight="1">
      <c r="A6083" s="30"/>
      <c r="B6083" s="30"/>
      <c r="C6083" s="30"/>
      <c r="D6083" s="31" t="s">
        <v>19203</v>
      </c>
      <c r="E6083" s="30"/>
      <c r="F6083" s="33">
        <f ca="1">ROUND((G6074+G6075+G6076+G6077+G6082)*(1+G2/100),2)</f>
        <v>0</v>
      </c>
      <c r="G6083" s="30"/>
    </row>
    <row r="6084" spans="1:7" ht="39.84" thickBot="1" customHeight="1">
      <c r="A6084" s="34" t="s">
        <v>19204</v>
      </c>
      <c r="B6084" s="35" t="s">
        <v>19205</v>
      </c>
      <c r="C6084" s="35" t="s">
        <v>19206</v>
      </c>
      <c r="D6084" s="36" t="s">
        <v>19207</v>
      </c>
      <c r="E6084" s="37"/>
      <c r="F6084" s="38">
        <f ca="1">F6095</f>
        <v>0</v>
      </c>
      <c r="G6084" s="37"/>
    </row>
    <row r="6085" spans="1:7" ht="21.36" thickBot="1" customHeight="1">
      <c r="A6085" s="26"/>
      <c r="B6085" s="26"/>
      <c r="C6085" s="26"/>
      <c r="D6085" s="25" t="s">
        <v>19208</v>
      </c>
      <c r="E6085" s="25"/>
      <c r="F6085" s="25"/>
      <c r="G6085" s="25"/>
    </row>
    <row r="6086" spans="1:7" ht="39.84" thickBot="1" customHeight="1">
      <c r="A6086" s="24" t="s">
        <v>19209</v>
      </c>
      <c r="B6086" s="24" t="s">
        <v>19210</v>
      </c>
      <c r="C6086" s="24" t="s">
        <v>19211</v>
      </c>
      <c r="D6086" s="25" t="s">
        <v>19212</v>
      </c>
      <c r="E6086" s="28">
        <v>3.00000</v>
      </c>
      <c r="F6086" s="29">
        <f ca="1">ROUND(9.050,3)</f>
        <v>0</v>
      </c>
      <c r="G6086" s="27">
        <f ca="1">ROUND(E6086*F6086,2)</f>
        <v>0</v>
      </c>
    </row>
    <row r="6087" spans="1:7" ht="30.60" thickBot="1" customHeight="1">
      <c r="A6087" s="24" t="s">
        <v>19213</v>
      </c>
      <c r="B6087" s="24" t="s">
        <v>19214</v>
      </c>
      <c r="C6087" s="24" t="s">
        <v>19215</v>
      </c>
      <c r="D6087" s="25" t="s">
        <v>19216</v>
      </c>
      <c r="E6087" s="28">
        <v>0.12800</v>
      </c>
      <c r="F6087" s="29">
        <f ca="1">ROUND(15.430,3)</f>
        <v>0</v>
      </c>
      <c r="G6087" s="27">
        <f ca="1">ROUND(E6087*F6087,2)</f>
        <v>0</v>
      </c>
    </row>
    <row r="6088" spans="1:7" ht="30.60" thickBot="1" customHeight="1">
      <c r="A6088" s="24" t="s">
        <v>19217</v>
      </c>
      <c r="B6088" s="24" t="s">
        <v>19218</v>
      </c>
      <c r="C6088" s="24" t="s">
        <v>19219</v>
      </c>
      <c r="D6088" s="25" t="s">
        <v>19220</v>
      </c>
      <c r="E6088" s="28">
        <v>0.10620</v>
      </c>
      <c r="F6088" s="29">
        <f ca="1">ROUND(11.740,3)</f>
        <v>0</v>
      </c>
      <c r="G6088" s="27">
        <f ca="1">ROUND(E6088*F6088,2)</f>
        <v>0</v>
      </c>
    </row>
    <row r="6089" spans="1:7" ht="21.36" thickBot="1" customHeight="1">
      <c r="A6089" s="24" t="s">
        <v>19221</v>
      </c>
      <c r="B6089" s="24" t="s">
        <v>19222</v>
      </c>
      <c r="C6089" s="24" t="s">
        <v>19223</v>
      </c>
      <c r="D6089" s="25" t="s">
        <v>19224</v>
      </c>
      <c r="E6089" s="28">
        <v>0.53333</v>
      </c>
      <c r="F6089" s="29">
        <f ca="1">F6093</f>
        <v>0</v>
      </c>
      <c r="G6089" s="27">
        <f ca="1">ROUND(E6089*F6089,2)</f>
        <v>0</v>
      </c>
    </row>
    <row r="6090" spans="1:7" ht="24.36" thickBot="1" customHeight="1">
      <c r="A6090" s="24" t="s">
        <v>19225</v>
      </c>
      <c r="B6090" s="24" t="s">
        <v>19226</v>
      </c>
      <c r="C6090" s="24" t="s">
        <v>19227</v>
      </c>
      <c r="D6090" s="25" t="s">
        <v>19228</v>
      </c>
      <c r="E6090" s="28">
        <v>1.00000</v>
      </c>
      <c r="F6090" s="29">
        <f ca="1">ROUND(21.000,3)</f>
        <v>0</v>
      </c>
      <c r="G6090" s="27">
        <f ca="1">ROUND(E6090*F6090,2)</f>
        <v>0</v>
      </c>
    </row>
    <row r="6091" spans="1:7" ht="24.36" thickBot="1" customHeight="1">
      <c r="A6091" s="24" t="s">
        <v>19229</v>
      </c>
      <c r="B6091" s="24" t="s">
        <v>19230</v>
      </c>
      <c r="C6091" s="24" t="s">
        <v>19231</v>
      </c>
      <c r="D6091" s="25" t="s">
        <v>19232</v>
      </c>
      <c r="E6091" s="28">
        <v>1.00000</v>
      </c>
      <c r="F6091" s="29">
        <f ca="1">ROUND(19.000,3)</f>
        <v>0</v>
      </c>
      <c r="G6091" s="27">
        <f ca="1">ROUND(E6091*F6091,2)</f>
        <v>0</v>
      </c>
    </row>
    <row r="6092" spans="1:7" ht="24.36" thickBot="1" customHeight="1">
      <c r="A6092" s="24" t="s">
        <v>19233</v>
      </c>
      <c r="B6092" s="24" t="s">
        <v>19234</v>
      </c>
      <c r="C6092" s="24" t="s">
        <v>19235</v>
      </c>
      <c r="D6092" s="25" t="s">
        <v>19236</v>
      </c>
      <c r="E6092" s="28">
        <v>0.20000</v>
      </c>
      <c r="F6092" s="29">
        <f ca="1">ROUND(19.000,3)</f>
        <v>0</v>
      </c>
      <c r="G6092" s="27">
        <f ca="1">ROUND(E6092*F6092,2)</f>
        <v>0</v>
      </c>
    </row>
    <row r="6093" spans="1:7" ht="15.12" thickBot="1" customHeight="1">
      <c r="A6093" s="26"/>
      <c r="B6093" s="26"/>
      <c r="C6093" s="26"/>
      <c r="D6093" s="24" t="s">
        <v>19237</v>
      </c>
      <c r="E6093" s="28">
        <v>0.53333</v>
      </c>
      <c r="F6093" s="29">
        <f ca="1">ROUND((G6090+G6091+G6092),3)</f>
        <v>0</v>
      </c>
      <c r="G6093" s="27">
        <f ca="1">ROUND(E6093*F6093,2)</f>
        <v>0</v>
      </c>
    </row>
    <row r="6094" spans="1:7" ht="15.12" thickBot="1" customHeight="1">
      <c r="A6094" s="24" t="s">
        <v>19238</v>
      </c>
      <c r="B6094" s="24"/>
      <c r="C6094" s="24" t="s">
        <v>19239</v>
      </c>
      <c r="D6094" s="25" t="s">
        <v>19240</v>
      </c>
      <c r="E6094" s="28">
        <v>5.00000</v>
      </c>
      <c r="F6094" s="29">
        <f ca="1">ROUND(23.360,3)</f>
        <v>0</v>
      </c>
      <c r="G6094" s="27">
        <f ca="1">ROUND((E6094*F6094)/100,2)</f>
        <v>0</v>
      </c>
    </row>
    <row r="6095" spans="1:7" ht="25.08" thickBot="1" customHeight="1">
      <c r="A6095" s="30"/>
      <c r="B6095" s="30"/>
      <c r="C6095" s="30"/>
      <c r="D6095" s="31" t="s">
        <v>19241</v>
      </c>
      <c r="E6095" s="30"/>
      <c r="F6095" s="33">
        <f ca="1">ROUND((G6086+G6087+G6088+G6089+G6094)*(1+G2/100),2)</f>
        <v>0</v>
      </c>
      <c r="G6095" s="30"/>
    </row>
    <row r="6096" spans="1:7" ht="49.08" thickBot="1" customHeight="1">
      <c r="A6096" s="34" t="s">
        <v>19242</v>
      </c>
      <c r="B6096" s="35" t="s">
        <v>19243</v>
      </c>
      <c r="C6096" s="35" t="s">
        <v>19244</v>
      </c>
      <c r="D6096" s="36" t="s">
        <v>19245</v>
      </c>
      <c r="E6096" s="37"/>
      <c r="F6096" s="38">
        <f ca="1">F6109</f>
        <v>0</v>
      </c>
      <c r="G6096" s="37"/>
    </row>
    <row r="6097" spans="1:7" ht="21.36" thickBot="1" customHeight="1">
      <c r="A6097" s="26"/>
      <c r="B6097" s="26"/>
      <c r="C6097" s="26"/>
      <c r="D6097" s="25" t="s">
        <v>19246</v>
      </c>
      <c r="E6097" s="25"/>
      <c r="F6097" s="25"/>
      <c r="G6097" s="25"/>
    </row>
    <row r="6098" spans="1:7" ht="30.60" thickBot="1" customHeight="1">
      <c r="A6098" s="24" t="s">
        <v>19247</v>
      </c>
      <c r="B6098" s="24" t="s">
        <v>19248</v>
      </c>
      <c r="C6098" s="24" t="s">
        <v>19249</v>
      </c>
      <c r="D6098" s="25" t="s">
        <v>19250</v>
      </c>
      <c r="E6098" s="28">
        <v>0.34650</v>
      </c>
      <c r="F6098" s="29">
        <f ca="1">ROUND(60.000,3)</f>
        <v>0</v>
      </c>
      <c r="G6098" s="27">
        <f ca="1">ROUND(E6098*F6098,2)</f>
        <v>0</v>
      </c>
    </row>
    <row r="6099" spans="1:7" ht="30.60" thickBot="1" customHeight="1">
      <c r="A6099" s="24" t="s">
        <v>19251</v>
      </c>
      <c r="B6099" s="24" t="s">
        <v>19252</v>
      </c>
      <c r="C6099" s="24" t="s">
        <v>19253</v>
      </c>
      <c r="D6099" s="25" t="s">
        <v>19254</v>
      </c>
      <c r="E6099" s="28">
        <v>0.33333</v>
      </c>
      <c r="F6099" s="29">
        <f ca="1">ROUND(4.100,3)</f>
        <v>0</v>
      </c>
      <c r="G6099" s="27">
        <f ca="1">ROUND(E6099*F6099,2)</f>
        <v>0</v>
      </c>
    </row>
    <row r="6100" spans="1:7" ht="30.60" thickBot="1" customHeight="1">
      <c r="A6100" s="24" t="s">
        <v>19255</v>
      </c>
      <c r="B6100" s="24" t="s">
        <v>19256</v>
      </c>
      <c r="C6100" s="24" t="s">
        <v>19257</v>
      </c>
      <c r="D6100" s="25" t="s">
        <v>19258</v>
      </c>
      <c r="E6100" s="28">
        <v>0.26667</v>
      </c>
      <c r="F6100" s="29">
        <f ca="1">ROUND(18.200,3)</f>
        <v>0</v>
      </c>
      <c r="G6100" s="27">
        <f ca="1">ROUND(E6100*F6100,2)</f>
        <v>0</v>
      </c>
    </row>
    <row r="6101" spans="1:7" ht="21.36" thickBot="1" customHeight="1">
      <c r="A6101" s="24" t="s">
        <v>19259</v>
      </c>
      <c r="B6101" s="24" t="s">
        <v>19260</v>
      </c>
      <c r="C6101" s="24" t="s">
        <v>19261</v>
      </c>
      <c r="D6101" s="25" t="s">
        <v>19262</v>
      </c>
      <c r="E6101" s="28">
        <v>0.06000</v>
      </c>
      <c r="F6101" s="29">
        <f ca="1">ROUND(6.490,3)</f>
        <v>0</v>
      </c>
      <c r="G6101" s="27">
        <f ca="1">ROUND(E6101*F6101,2)</f>
        <v>0</v>
      </c>
    </row>
    <row r="6102" spans="1:7" ht="30.60" thickBot="1" customHeight="1">
      <c r="A6102" s="24" t="s">
        <v>19263</v>
      </c>
      <c r="B6102" s="24" t="s">
        <v>19264</v>
      </c>
      <c r="C6102" s="24" t="s">
        <v>19265</v>
      </c>
      <c r="D6102" s="25" t="s">
        <v>19266</v>
      </c>
      <c r="E6102" s="28">
        <v>0.30000</v>
      </c>
      <c r="F6102" s="29">
        <f ca="1">ROUND(3.700,3)</f>
        <v>0</v>
      </c>
      <c r="G6102" s="27">
        <f ca="1">ROUND(E6102*F6102,2)</f>
        <v>0</v>
      </c>
    </row>
    <row r="6103" spans="1:7" ht="21.36" thickBot="1" customHeight="1">
      <c r="A6103" s="24" t="s">
        <v>19267</v>
      </c>
      <c r="B6103" s="24" t="s">
        <v>19268</v>
      </c>
      <c r="C6103" s="24" t="s">
        <v>19269</v>
      </c>
      <c r="D6103" s="25" t="s">
        <v>19270</v>
      </c>
      <c r="E6103" s="28">
        <v>0.30000</v>
      </c>
      <c r="F6103" s="29">
        <f ca="1">F6107</f>
        <v>0</v>
      </c>
      <c r="G6103" s="27">
        <f ca="1">ROUND(E6103*F6103,2)</f>
        <v>0</v>
      </c>
    </row>
    <row r="6104" spans="1:7" ht="24.36" thickBot="1" customHeight="1">
      <c r="A6104" s="24" t="s">
        <v>19271</v>
      </c>
      <c r="B6104" s="24" t="s">
        <v>19272</v>
      </c>
      <c r="C6104" s="24" t="s">
        <v>19273</v>
      </c>
      <c r="D6104" s="25" t="s">
        <v>19274</v>
      </c>
      <c r="E6104" s="28">
        <v>1.00000</v>
      </c>
      <c r="F6104" s="29">
        <f ca="1">ROUND(21.000,3)</f>
        <v>0</v>
      </c>
      <c r="G6104" s="27">
        <f ca="1">ROUND(E6104*F6104,2)</f>
        <v>0</v>
      </c>
    </row>
    <row r="6105" spans="1:7" ht="24.36" thickBot="1" customHeight="1">
      <c r="A6105" s="24" t="s">
        <v>19275</v>
      </c>
      <c r="B6105" s="24" t="s">
        <v>19276</v>
      </c>
      <c r="C6105" s="24" t="s">
        <v>19277</v>
      </c>
      <c r="D6105" s="25" t="s">
        <v>19278</v>
      </c>
      <c r="E6105" s="28">
        <v>1.00000</v>
      </c>
      <c r="F6105" s="29">
        <f ca="1">ROUND(19.000,3)</f>
        <v>0</v>
      </c>
      <c r="G6105" s="27">
        <f ca="1">ROUND(E6105*F6105,2)</f>
        <v>0</v>
      </c>
    </row>
    <row r="6106" spans="1:7" ht="24.36" thickBot="1" customHeight="1">
      <c r="A6106" s="24" t="s">
        <v>19279</v>
      </c>
      <c r="B6106" s="24" t="s">
        <v>19280</v>
      </c>
      <c r="C6106" s="24" t="s">
        <v>19281</v>
      </c>
      <c r="D6106" s="25" t="s">
        <v>19282</v>
      </c>
      <c r="E6106" s="28">
        <v>0.20000</v>
      </c>
      <c r="F6106" s="29">
        <f ca="1">ROUND(19.000,3)</f>
        <v>0</v>
      </c>
      <c r="G6106" s="27">
        <f ca="1">ROUND(E6106*F6106,2)</f>
        <v>0</v>
      </c>
    </row>
    <row r="6107" spans="1:7" ht="15.12" thickBot="1" customHeight="1">
      <c r="A6107" s="26"/>
      <c r="B6107" s="26"/>
      <c r="C6107" s="26"/>
      <c r="D6107" s="24" t="s">
        <v>19283</v>
      </c>
      <c r="E6107" s="28">
        <v>0.30000</v>
      </c>
      <c r="F6107" s="29">
        <f ca="1">ROUND((G6104+G6105+G6106),3)</f>
        <v>0</v>
      </c>
      <c r="G6107" s="27">
        <f ca="1">ROUND(E6107*F6107,2)</f>
        <v>0</v>
      </c>
    </row>
    <row r="6108" spans="1:7" ht="15.12" thickBot="1" customHeight="1">
      <c r="A6108" s="24" t="s">
        <v>19284</v>
      </c>
      <c r="B6108" s="24"/>
      <c r="C6108" s="24" t="s">
        <v>19285</v>
      </c>
      <c r="D6108" s="25" t="s">
        <v>19286</v>
      </c>
      <c r="E6108" s="28">
        <v>7.00000</v>
      </c>
      <c r="F6108" s="29">
        <f ca="1">ROUND(13.140,3)</f>
        <v>0</v>
      </c>
      <c r="G6108" s="27">
        <f ca="1">ROUND((E6108*F6108)/100,2)</f>
        <v>0</v>
      </c>
    </row>
    <row r="6109" spans="1:7" ht="25.08" thickBot="1" customHeight="1">
      <c r="A6109" s="30"/>
      <c r="B6109" s="30"/>
      <c r="C6109" s="30"/>
      <c r="D6109" s="31" t="s">
        <v>19287</v>
      </c>
      <c r="E6109" s="30"/>
      <c r="F6109" s="33">
        <f ca="1">ROUND((G6098+G6099+G6100+G6101+G6102+G6103+G6108)*(1+G2/100),2)</f>
        <v>0</v>
      </c>
      <c r="G6109" s="30"/>
    </row>
    <row r="6110" spans="1:7" ht="49.08" thickBot="1" customHeight="1">
      <c r="A6110" s="34" t="s">
        <v>19288</v>
      </c>
      <c r="B6110" s="35" t="s">
        <v>19289</v>
      </c>
      <c r="C6110" s="35" t="s">
        <v>19290</v>
      </c>
      <c r="D6110" s="36" t="s">
        <v>19291</v>
      </c>
      <c r="E6110" s="37"/>
      <c r="F6110" s="38">
        <f ca="1">F6123</f>
        <v>0</v>
      </c>
      <c r="G6110" s="37"/>
    </row>
    <row r="6111" spans="1:7" ht="21.36" thickBot="1" customHeight="1">
      <c r="A6111" s="26"/>
      <c r="B6111" s="26"/>
      <c r="C6111" s="26"/>
      <c r="D6111" s="25" t="s">
        <v>19292</v>
      </c>
      <c r="E6111" s="25"/>
      <c r="F6111" s="25"/>
      <c r="G6111" s="25"/>
    </row>
    <row r="6112" spans="1:7" ht="30.60" thickBot="1" customHeight="1">
      <c r="A6112" s="24" t="s">
        <v>19293</v>
      </c>
      <c r="B6112" s="24" t="s">
        <v>19294</v>
      </c>
      <c r="C6112" s="24" t="s">
        <v>19295</v>
      </c>
      <c r="D6112" s="25" t="s">
        <v>19296</v>
      </c>
      <c r="E6112" s="28">
        <v>0.34650</v>
      </c>
      <c r="F6112" s="29">
        <f ca="1">ROUND(60.000,3)</f>
        <v>0</v>
      </c>
      <c r="G6112" s="27">
        <f ca="1">ROUND(E6112*F6112,2)</f>
        <v>0</v>
      </c>
    </row>
    <row r="6113" spans="1:7" ht="30.60" thickBot="1" customHeight="1">
      <c r="A6113" s="24" t="s">
        <v>19297</v>
      </c>
      <c r="B6113" s="24" t="s">
        <v>19298</v>
      </c>
      <c r="C6113" s="24" t="s">
        <v>19299</v>
      </c>
      <c r="D6113" s="25" t="s">
        <v>19300</v>
      </c>
      <c r="E6113" s="28">
        <v>0.33333</v>
      </c>
      <c r="F6113" s="29">
        <f ca="1">ROUND(4.100,3)</f>
        <v>0</v>
      </c>
      <c r="G6113" s="27">
        <f ca="1">ROUND(E6113*F6113,2)</f>
        <v>0</v>
      </c>
    </row>
    <row r="6114" spans="1:7" ht="30.60" thickBot="1" customHeight="1">
      <c r="A6114" s="24" t="s">
        <v>19301</v>
      </c>
      <c r="B6114" s="24" t="s">
        <v>19302</v>
      </c>
      <c r="C6114" s="24" t="s">
        <v>19303</v>
      </c>
      <c r="D6114" s="25" t="s">
        <v>19304</v>
      </c>
      <c r="E6114" s="28">
        <v>0.26667</v>
      </c>
      <c r="F6114" s="29">
        <f ca="1">ROUND(18.200,3)</f>
        <v>0</v>
      </c>
      <c r="G6114" s="27">
        <f ca="1">ROUND(E6114*F6114,2)</f>
        <v>0</v>
      </c>
    </row>
    <row r="6115" spans="1:7" ht="21.36" thickBot="1" customHeight="1">
      <c r="A6115" s="24" t="s">
        <v>19305</v>
      </c>
      <c r="B6115" s="24" t="s">
        <v>19306</v>
      </c>
      <c r="C6115" s="24" t="s">
        <v>19307</v>
      </c>
      <c r="D6115" s="25" t="s">
        <v>19308</v>
      </c>
      <c r="E6115" s="28">
        <v>0.06000</v>
      </c>
      <c r="F6115" s="29">
        <f ca="1">ROUND(6.490,3)</f>
        <v>0</v>
      </c>
      <c r="G6115" s="27">
        <f ca="1">ROUND(E6115*F6115,2)</f>
        <v>0</v>
      </c>
    </row>
    <row r="6116" spans="1:7" ht="30.60" thickBot="1" customHeight="1">
      <c r="A6116" s="24" t="s">
        <v>19309</v>
      </c>
      <c r="B6116" s="24" t="s">
        <v>19310</v>
      </c>
      <c r="C6116" s="24" t="s">
        <v>19311</v>
      </c>
      <c r="D6116" s="25" t="s">
        <v>19312</v>
      </c>
      <c r="E6116" s="28">
        <v>0.30000</v>
      </c>
      <c r="F6116" s="29">
        <f ca="1">ROUND(3.700,3)</f>
        <v>0</v>
      </c>
      <c r="G6116" s="27">
        <f ca="1">ROUND(E6116*F6116,2)</f>
        <v>0</v>
      </c>
    </row>
    <row r="6117" spans="1:7" ht="21.36" thickBot="1" customHeight="1">
      <c r="A6117" s="24" t="s">
        <v>19313</v>
      </c>
      <c r="B6117" s="24" t="s">
        <v>19314</v>
      </c>
      <c r="C6117" s="24" t="s">
        <v>19315</v>
      </c>
      <c r="D6117" s="25" t="s">
        <v>19316</v>
      </c>
      <c r="E6117" s="28">
        <v>0.42000</v>
      </c>
      <c r="F6117" s="29">
        <f ca="1">F6121</f>
        <v>0</v>
      </c>
      <c r="G6117" s="27">
        <f ca="1">ROUND(E6117*F6117,2)</f>
        <v>0</v>
      </c>
    </row>
    <row r="6118" spans="1:7" ht="24.36" thickBot="1" customHeight="1">
      <c r="A6118" s="24" t="s">
        <v>19317</v>
      </c>
      <c r="B6118" s="24" t="s">
        <v>19318</v>
      </c>
      <c r="C6118" s="24" t="s">
        <v>19319</v>
      </c>
      <c r="D6118" s="25" t="s">
        <v>19320</v>
      </c>
      <c r="E6118" s="28">
        <v>1.00000</v>
      </c>
      <c r="F6118" s="29">
        <f ca="1">ROUND(21.000,3)</f>
        <v>0</v>
      </c>
      <c r="G6118" s="27">
        <f ca="1">ROUND(E6118*F6118,2)</f>
        <v>0</v>
      </c>
    </row>
    <row r="6119" spans="1:7" ht="24.36" thickBot="1" customHeight="1">
      <c r="A6119" s="24" t="s">
        <v>19321</v>
      </c>
      <c r="B6119" s="24" t="s">
        <v>19322</v>
      </c>
      <c r="C6119" s="24" t="s">
        <v>19323</v>
      </c>
      <c r="D6119" s="25" t="s">
        <v>19324</v>
      </c>
      <c r="E6119" s="28">
        <v>1.00000</v>
      </c>
      <c r="F6119" s="29">
        <f ca="1">ROUND(19.000,3)</f>
        <v>0</v>
      </c>
      <c r="G6119" s="27">
        <f ca="1">ROUND(E6119*F6119,2)</f>
        <v>0</v>
      </c>
    </row>
    <row r="6120" spans="1:7" ht="24.36" thickBot="1" customHeight="1">
      <c r="A6120" s="24" t="s">
        <v>19325</v>
      </c>
      <c r="B6120" s="24" t="s">
        <v>19326</v>
      </c>
      <c r="C6120" s="24" t="s">
        <v>19327</v>
      </c>
      <c r="D6120" s="25" t="s">
        <v>19328</v>
      </c>
      <c r="E6120" s="28">
        <v>0.20000</v>
      </c>
      <c r="F6120" s="29">
        <f ca="1">ROUND(19.000,3)</f>
        <v>0</v>
      </c>
      <c r="G6120" s="27">
        <f ca="1">ROUND(E6120*F6120,2)</f>
        <v>0</v>
      </c>
    </row>
    <row r="6121" spans="1:7" ht="15.12" thickBot="1" customHeight="1">
      <c r="A6121" s="26"/>
      <c r="B6121" s="26"/>
      <c r="C6121" s="26"/>
      <c r="D6121" s="24" t="s">
        <v>19329</v>
      </c>
      <c r="E6121" s="28">
        <v>0.42000</v>
      </c>
      <c r="F6121" s="29">
        <f ca="1">ROUND((G6118+G6119+G6120),3)</f>
        <v>0</v>
      </c>
      <c r="G6121" s="27">
        <f ca="1">ROUND(E6121*F6121,2)</f>
        <v>0</v>
      </c>
    </row>
    <row r="6122" spans="1:7" ht="15.12" thickBot="1" customHeight="1">
      <c r="A6122" s="24" t="s">
        <v>19330</v>
      </c>
      <c r="B6122" s="24"/>
      <c r="C6122" s="24" t="s">
        <v>19331</v>
      </c>
      <c r="D6122" s="25" t="s">
        <v>19332</v>
      </c>
      <c r="E6122" s="28">
        <v>7.00000</v>
      </c>
      <c r="F6122" s="29">
        <f ca="1">ROUND(18.400,3)</f>
        <v>0</v>
      </c>
      <c r="G6122" s="27">
        <f ca="1">ROUND((E6122*F6122)/100,2)</f>
        <v>0</v>
      </c>
    </row>
    <row r="6123" spans="1:7" ht="25.08" thickBot="1" customHeight="1">
      <c r="A6123" s="30"/>
      <c r="B6123" s="30"/>
      <c r="C6123" s="30"/>
      <c r="D6123" s="31" t="s">
        <v>19333</v>
      </c>
      <c r="E6123" s="30"/>
      <c r="F6123" s="33">
        <f ca="1">ROUND((G6112+G6113+G6114+G6115+G6116+G6117+G6122)*(1+G2/100),2)</f>
        <v>0</v>
      </c>
      <c r="G6123" s="30"/>
    </row>
    <row r="6124" spans="1:7" ht="49.08" thickBot="1" customHeight="1">
      <c r="A6124" s="34" t="s">
        <v>19334</v>
      </c>
      <c r="B6124" s="35" t="s">
        <v>19335</v>
      </c>
      <c r="C6124" s="35" t="s">
        <v>19336</v>
      </c>
      <c r="D6124" s="36" t="s">
        <v>19337</v>
      </c>
      <c r="E6124" s="37"/>
      <c r="F6124" s="38">
        <f ca="1">F6135</f>
        <v>0</v>
      </c>
      <c r="G6124" s="37"/>
    </row>
    <row r="6125" spans="1:7" ht="21.36" thickBot="1" customHeight="1">
      <c r="A6125" s="26"/>
      <c r="B6125" s="26"/>
      <c r="C6125" s="26"/>
      <c r="D6125" s="25" t="s">
        <v>19338</v>
      </c>
      <c r="E6125" s="25"/>
      <c r="F6125" s="25"/>
      <c r="G6125" s="25"/>
    </row>
    <row r="6126" spans="1:7" ht="30.60" thickBot="1" customHeight="1">
      <c r="A6126" s="24" t="s">
        <v>19339</v>
      </c>
      <c r="B6126" s="24" t="s">
        <v>19340</v>
      </c>
      <c r="C6126" s="24" t="s">
        <v>19341</v>
      </c>
      <c r="D6126" s="25" t="s">
        <v>19342</v>
      </c>
      <c r="E6126" s="28">
        <v>5.25000</v>
      </c>
      <c r="F6126" s="29">
        <f ca="1">ROUND(9.820,3)</f>
        <v>0</v>
      </c>
      <c r="G6126" s="27">
        <f ca="1">ROUND(E6126*F6126,2)</f>
        <v>0</v>
      </c>
    </row>
    <row r="6127" spans="1:7" ht="30.60" thickBot="1" customHeight="1">
      <c r="A6127" s="24" t="s">
        <v>19343</v>
      </c>
      <c r="B6127" s="24" t="s">
        <v>19344</v>
      </c>
      <c r="C6127" s="24" t="s">
        <v>19345</v>
      </c>
      <c r="D6127" s="25" t="s">
        <v>19346</v>
      </c>
      <c r="E6127" s="28">
        <v>0.08800</v>
      </c>
      <c r="F6127" s="29">
        <f ca="1">ROUND(15.430,3)</f>
        <v>0</v>
      </c>
      <c r="G6127" s="27">
        <f ca="1">ROUND(E6127*F6127,2)</f>
        <v>0</v>
      </c>
    </row>
    <row r="6128" spans="1:7" ht="30.60" thickBot="1" customHeight="1">
      <c r="A6128" s="24" t="s">
        <v>19347</v>
      </c>
      <c r="B6128" s="24" t="s">
        <v>19348</v>
      </c>
      <c r="C6128" s="24" t="s">
        <v>19349</v>
      </c>
      <c r="D6128" s="25" t="s">
        <v>19350</v>
      </c>
      <c r="E6128" s="28">
        <v>0.07000</v>
      </c>
      <c r="F6128" s="29">
        <f ca="1">ROUND(11.740,3)</f>
        <v>0</v>
      </c>
      <c r="G6128" s="27">
        <f ca="1">ROUND(E6128*F6128,2)</f>
        <v>0</v>
      </c>
    </row>
    <row r="6129" spans="1:7" ht="21.36" thickBot="1" customHeight="1">
      <c r="A6129" s="24" t="s">
        <v>19351</v>
      </c>
      <c r="B6129" s="24" t="s">
        <v>19352</v>
      </c>
      <c r="C6129" s="24" t="s">
        <v>19353</v>
      </c>
      <c r="D6129" s="25" t="s">
        <v>19354</v>
      </c>
      <c r="E6129" s="28">
        <v>0.75000</v>
      </c>
      <c r="F6129" s="29">
        <f ca="1">F6133</f>
        <v>0</v>
      </c>
      <c r="G6129" s="27">
        <f ca="1">ROUND(E6129*F6129,2)</f>
        <v>0</v>
      </c>
    </row>
    <row r="6130" spans="1:7" ht="24.36" thickBot="1" customHeight="1">
      <c r="A6130" s="24" t="s">
        <v>19355</v>
      </c>
      <c r="B6130" s="24" t="s">
        <v>19356</v>
      </c>
      <c r="C6130" s="24" t="s">
        <v>19357</v>
      </c>
      <c r="D6130" s="25" t="s">
        <v>19358</v>
      </c>
      <c r="E6130" s="28">
        <v>1.00000</v>
      </c>
      <c r="F6130" s="29">
        <f ca="1">ROUND(21.000,3)</f>
        <v>0</v>
      </c>
      <c r="G6130" s="27">
        <f ca="1">ROUND(E6130*F6130,2)</f>
        <v>0</v>
      </c>
    </row>
    <row r="6131" spans="1:7" ht="24.36" thickBot="1" customHeight="1">
      <c r="A6131" s="24" t="s">
        <v>19359</v>
      </c>
      <c r="B6131" s="24" t="s">
        <v>19360</v>
      </c>
      <c r="C6131" s="24" t="s">
        <v>19361</v>
      </c>
      <c r="D6131" s="25" t="s">
        <v>19362</v>
      </c>
      <c r="E6131" s="28">
        <v>1.00000</v>
      </c>
      <c r="F6131" s="29">
        <f ca="1">ROUND(19.000,3)</f>
        <v>0</v>
      </c>
      <c r="G6131" s="27">
        <f ca="1">ROUND(E6131*F6131,2)</f>
        <v>0</v>
      </c>
    </row>
    <row r="6132" spans="1:7" ht="24.36" thickBot="1" customHeight="1">
      <c r="A6132" s="24" t="s">
        <v>19363</v>
      </c>
      <c r="B6132" s="24" t="s">
        <v>19364</v>
      </c>
      <c r="C6132" s="24" t="s">
        <v>19365</v>
      </c>
      <c r="D6132" s="25" t="s">
        <v>19366</v>
      </c>
      <c r="E6132" s="28">
        <v>0.20000</v>
      </c>
      <c r="F6132" s="29">
        <f ca="1">ROUND(19.000,3)</f>
        <v>0</v>
      </c>
      <c r="G6132" s="27">
        <f ca="1">ROUND(E6132*F6132,2)</f>
        <v>0</v>
      </c>
    </row>
    <row r="6133" spans="1:7" ht="15.12" thickBot="1" customHeight="1">
      <c r="A6133" s="26"/>
      <c r="B6133" s="26"/>
      <c r="C6133" s="26"/>
      <c r="D6133" s="24" t="s">
        <v>19367</v>
      </c>
      <c r="E6133" s="28">
        <v>0.75000</v>
      </c>
      <c r="F6133" s="29">
        <f ca="1">ROUND((G6130+G6131+G6132),3)</f>
        <v>0</v>
      </c>
      <c r="G6133" s="27">
        <f ca="1">ROUND(E6133*F6133,2)</f>
        <v>0</v>
      </c>
    </row>
    <row r="6134" spans="1:7" ht="15.12" thickBot="1" customHeight="1">
      <c r="A6134" s="24" t="s">
        <v>19368</v>
      </c>
      <c r="B6134" s="24"/>
      <c r="C6134" s="24" t="s">
        <v>19369</v>
      </c>
      <c r="D6134" s="25" t="s">
        <v>19370</v>
      </c>
      <c r="E6134" s="28">
        <v>5.00000</v>
      </c>
      <c r="F6134" s="29">
        <f ca="1">ROUND(32.850,3)</f>
        <v>0</v>
      </c>
      <c r="G6134" s="27">
        <f ca="1">ROUND((E6134*F6134)/100,2)</f>
        <v>0</v>
      </c>
    </row>
    <row r="6135" spans="1:7" ht="15.48" thickBot="1" customHeight="1">
      <c r="A6135" s="30"/>
      <c r="B6135" s="30"/>
      <c r="C6135" s="30"/>
      <c r="D6135" s="31" t="s">
        <v>19371</v>
      </c>
      <c r="E6135" s="30"/>
      <c r="F6135" s="33">
        <f ca="1">ROUND((G6126+G6127+G6128+G6129+G6134)*(1+G2/100),2)</f>
        <v>0</v>
      </c>
      <c r="G6135" s="30"/>
    </row>
    <row r="6136" spans="1:7" ht="49.08" thickBot="1" customHeight="1">
      <c r="A6136" s="34" t="s">
        <v>19372</v>
      </c>
      <c r="B6136" s="35" t="s">
        <v>19373</v>
      </c>
      <c r="C6136" s="35" t="s">
        <v>19374</v>
      </c>
      <c r="D6136" s="36" t="s">
        <v>19375</v>
      </c>
      <c r="E6136" s="37"/>
      <c r="F6136" s="38">
        <f ca="1">F6147</f>
        <v>0</v>
      </c>
      <c r="G6136" s="37"/>
    </row>
    <row r="6137" spans="1:7" ht="21.36" thickBot="1" customHeight="1">
      <c r="A6137" s="26"/>
      <c r="B6137" s="26"/>
      <c r="C6137" s="26"/>
      <c r="D6137" s="25" t="s">
        <v>19376</v>
      </c>
      <c r="E6137" s="25"/>
      <c r="F6137" s="25"/>
      <c r="G6137" s="25"/>
    </row>
    <row r="6138" spans="1:7" ht="30.60" thickBot="1" customHeight="1">
      <c r="A6138" s="24" t="s">
        <v>19377</v>
      </c>
      <c r="B6138" s="24" t="s">
        <v>19378</v>
      </c>
      <c r="C6138" s="24" t="s">
        <v>19379</v>
      </c>
      <c r="D6138" s="25" t="s">
        <v>19380</v>
      </c>
      <c r="E6138" s="28">
        <v>5.25000</v>
      </c>
      <c r="F6138" s="29">
        <f ca="1">ROUND(9.820,3)</f>
        <v>0</v>
      </c>
      <c r="G6138" s="27">
        <f ca="1">ROUND(E6138*F6138,2)</f>
        <v>0</v>
      </c>
    </row>
    <row r="6139" spans="1:7" ht="30.60" thickBot="1" customHeight="1">
      <c r="A6139" s="24" t="s">
        <v>19381</v>
      </c>
      <c r="B6139" s="24" t="s">
        <v>19382</v>
      </c>
      <c r="C6139" s="24" t="s">
        <v>19383</v>
      </c>
      <c r="D6139" s="25" t="s">
        <v>19384</v>
      </c>
      <c r="E6139" s="28">
        <v>0.08800</v>
      </c>
      <c r="F6139" s="29">
        <f ca="1">ROUND(15.430,3)</f>
        <v>0</v>
      </c>
      <c r="G6139" s="27">
        <f ca="1">ROUND(E6139*F6139,2)</f>
        <v>0</v>
      </c>
    </row>
    <row r="6140" spans="1:7" ht="30.60" thickBot="1" customHeight="1">
      <c r="A6140" s="24" t="s">
        <v>19385</v>
      </c>
      <c r="B6140" s="24" t="s">
        <v>19386</v>
      </c>
      <c r="C6140" s="24" t="s">
        <v>19387</v>
      </c>
      <c r="D6140" s="25" t="s">
        <v>19388</v>
      </c>
      <c r="E6140" s="28">
        <v>0.07000</v>
      </c>
      <c r="F6140" s="29">
        <f ca="1">ROUND(11.740,3)</f>
        <v>0</v>
      </c>
      <c r="G6140" s="27">
        <f ca="1">ROUND(E6140*F6140,2)</f>
        <v>0</v>
      </c>
    </row>
    <row r="6141" spans="1:7" ht="21.36" thickBot="1" customHeight="1">
      <c r="A6141" s="24" t="s">
        <v>19389</v>
      </c>
      <c r="B6141" s="24" t="s">
        <v>19390</v>
      </c>
      <c r="C6141" s="24" t="s">
        <v>19391</v>
      </c>
      <c r="D6141" s="25" t="s">
        <v>19392</v>
      </c>
      <c r="E6141" s="28">
        <v>0.55000</v>
      </c>
      <c r="F6141" s="29">
        <f ca="1">F6145</f>
        <v>0</v>
      </c>
      <c r="G6141" s="27">
        <f ca="1">ROUND(E6141*F6141,2)</f>
        <v>0</v>
      </c>
    </row>
    <row r="6142" spans="1:7" ht="24.36" thickBot="1" customHeight="1">
      <c r="A6142" s="24" t="s">
        <v>19393</v>
      </c>
      <c r="B6142" s="24" t="s">
        <v>19394</v>
      </c>
      <c r="C6142" s="24" t="s">
        <v>19395</v>
      </c>
      <c r="D6142" s="25" t="s">
        <v>19396</v>
      </c>
      <c r="E6142" s="28">
        <v>1.00000</v>
      </c>
      <c r="F6142" s="29">
        <f ca="1">ROUND(21.000,3)</f>
        <v>0</v>
      </c>
      <c r="G6142" s="27">
        <f ca="1">ROUND(E6142*F6142,2)</f>
        <v>0</v>
      </c>
    </row>
    <row r="6143" spans="1:7" ht="24.36" thickBot="1" customHeight="1">
      <c r="A6143" s="24" t="s">
        <v>19397</v>
      </c>
      <c r="B6143" s="24" t="s">
        <v>19398</v>
      </c>
      <c r="C6143" s="24" t="s">
        <v>19399</v>
      </c>
      <c r="D6143" s="25" t="s">
        <v>19400</v>
      </c>
      <c r="E6143" s="28">
        <v>1.00000</v>
      </c>
      <c r="F6143" s="29">
        <f ca="1">ROUND(19.000,3)</f>
        <v>0</v>
      </c>
      <c r="G6143" s="27">
        <f ca="1">ROUND(E6143*F6143,2)</f>
        <v>0</v>
      </c>
    </row>
    <row r="6144" spans="1:7" ht="24.36" thickBot="1" customHeight="1">
      <c r="A6144" s="24" t="s">
        <v>19401</v>
      </c>
      <c r="B6144" s="24" t="s">
        <v>19402</v>
      </c>
      <c r="C6144" s="24" t="s">
        <v>19403</v>
      </c>
      <c r="D6144" s="25" t="s">
        <v>19404</v>
      </c>
      <c r="E6144" s="28">
        <v>0.20000</v>
      </c>
      <c r="F6144" s="29">
        <f ca="1">ROUND(19.000,3)</f>
        <v>0</v>
      </c>
      <c r="G6144" s="27">
        <f ca="1">ROUND(E6144*F6144,2)</f>
        <v>0</v>
      </c>
    </row>
    <row r="6145" spans="1:7" ht="15.12" thickBot="1" customHeight="1">
      <c r="A6145" s="26"/>
      <c r="B6145" s="26"/>
      <c r="C6145" s="26"/>
      <c r="D6145" s="24" t="s">
        <v>19405</v>
      </c>
      <c r="E6145" s="28">
        <v>0.55000</v>
      </c>
      <c r="F6145" s="29">
        <f ca="1">ROUND((G6142+G6143+G6144),3)</f>
        <v>0</v>
      </c>
      <c r="G6145" s="27">
        <f ca="1">ROUND(E6145*F6145,2)</f>
        <v>0</v>
      </c>
    </row>
    <row r="6146" spans="1:7" ht="15.12" thickBot="1" customHeight="1">
      <c r="A6146" s="24" t="s">
        <v>19406</v>
      </c>
      <c r="B6146" s="24"/>
      <c r="C6146" s="24" t="s">
        <v>19407</v>
      </c>
      <c r="D6146" s="25" t="s">
        <v>19408</v>
      </c>
      <c r="E6146" s="28">
        <v>5.00000</v>
      </c>
      <c r="F6146" s="29">
        <f ca="1">ROUND(24.090,3)</f>
        <v>0</v>
      </c>
      <c r="G6146" s="27">
        <f ca="1">ROUND((E6146*F6146)/100,2)</f>
        <v>0</v>
      </c>
    </row>
    <row r="6147" spans="1:7" ht="15.48" thickBot="1" customHeight="1">
      <c r="A6147" s="30"/>
      <c r="B6147" s="30"/>
      <c r="C6147" s="30"/>
      <c r="D6147" s="31" t="s">
        <v>19409</v>
      </c>
      <c r="E6147" s="30"/>
      <c r="F6147" s="33">
        <f ca="1">ROUND((G6138+G6139+G6140+G6141+G6146)*(1+G2/100),2)</f>
        <v>0</v>
      </c>
      <c r="G6147" s="30"/>
    </row>
    <row r="6148" spans="1:7" ht="15.48" thickBot="1" customHeight="1">
      <c r="A6148" s="39"/>
      <c r="B6148" s="39"/>
      <c r="C6148" s="39"/>
      <c r="D6148" s="50" t="s">
        <v>19410</v>
      </c>
      <c r="E6148" s="51"/>
      <c r="F6148" s="51"/>
      <c r="G6148" s="51"/>
    </row>
    <row r="6149" spans="1:7" ht="15.48" thickBot="1" customHeight="1">
      <c r="A6149" s="52" t="s">
        <v>19411</v>
      </c>
      <c r="B6149" s="52" t="s">
        <v>19412</v>
      </c>
      <c r="C6149" s="53"/>
      <c r="D6149" s="54" t="s">
        <v>19413</v>
      </c>
      <c r="E6149" s="53"/>
      <c r="F6149" s="53"/>
      <c r="G6149" s="53"/>
    </row>
    <row r="6150" spans="1:7" ht="67.56" thickBot="1" customHeight="1">
      <c r="A6150" s="10" t="s">
        <v>19414</v>
      </c>
      <c r="B6150" s="24" t="s">
        <v>19415</v>
      </c>
      <c r="C6150" s="24" t="s">
        <v>19416</v>
      </c>
      <c r="D6150" s="25" t="s">
        <v>19417</v>
      </c>
      <c r="E6150" s="26"/>
      <c r="F6150" s="27">
        <f ca="1">F6161</f>
        <v>0</v>
      </c>
      <c r="G6150" s="26"/>
    </row>
    <row r="6151" spans="1:7" ht="30.60" thickBot="1" customHeight="1">
      <c r="A6151" s="26"/>
      <c r="B6151" s="26"/>
      <c r="C6151" s="26"/>
      <c r="D6151" s="25" t="s">
        <v>19418</v>
      </c>
      <c r="E6151" s="25"/>
      <c r="F6151" s="25"/>
      <c r="G6151" s="25"/>
    </row>
    <row r="6152" spans="1:7" ht="39.84" thickBot="1" customHeight="1">
      <c r="A6152" s="24" t="s">
        <v>19419</v>
      </c>
      <c r="B6152" s="24" t="s">
        <v>19420</v>
      </c>
      <c r="C6152" s="24" t="s">
        <v>19421</v>
      </c>
      <c r="D6152" s="25" t="s">
        <v>19422</v>
      </c>
      <c r="E6152" s="28">
        <v>0.15000</v>
      </c>
      <c r="F6152" s="29">
        <f ca="1">ROUND(10.120,3)</f>
        <v>0</v>
      </c>
      <c r="G6152" s="27">
        <f ca="1">ROUND(E6152*F6152,2)</f>
        <v>0</v>
      </c>
    </row>
    <row r="6153" spans="1:7" ht="30.60" thickBot="1" customHeight="1">
      <c r="A6153" s="24" t="s">
        <v>19423</v>
      </c>
      <c r="B6153" s="24" t="s">
        <v>19424</v>
      </c>
      <c r="C6153" s="24" t="s">
        <v>19425</v>
      </c>
      <c r="D6153" s="25" t="s">
        <v>19426</v>
      </c>
      <c r="E6153" s="28">
        <v>0.06160</v>
      </c>
      <c r="F6153" s="29">
        <f ca="1">ROUND(15.430,3)</f>
        <v>0</v>
      </c>
      <c r="G6153" s="27">
        <f ca="1">ROUND(E6153*F6153,2)</f>
        <v>0</v>
      </c>
    </row>
    <row r="6154" spans="1:7" ht="30.60" thickBot="1" customHeight="1">
      <c r="A6154" s="24" t="s">
        <v>19427</v>
      </c>
      <c r="B6154" s="24" t="s">
        <v>19428</v>
      </c>
      <c r="C6154" s="24" t="s">
        <v>19429</v>
      </c>
      <c r="D6154" s="25" t="s">
        <v>19430</v>
      </c>
      <c r="E6154" s="28">
        <v>0.02534</v>
      </c>
      <c r="F6154" s="29">
        <f ca="1">ROUND(11.740,3)</f>
        <v>0</v>
      </c>
      <c r="G6154" s="27">
        <f ca="1">ROUND(E6154*F6154,2)</f>
        <v>0</v>
      </c>
    </row>
    <row r="6155" spans="1:7" ht="21.36" thickBot="1" customHeight="1">
      <c r="A6155" s="24" t="s">
        <v>19431</v>
      </c>
      <c r="B6155" s="24" t="s">
        <v>19432</v>
      </c>
      <c r="C6155" s="24" t="s">
        <v>19433</v>
      </c>
      <c r="D6155" s="25" t="s">
        <v>19434</v>
      </c>
      <c r="E6155" s="28">
        <v>0.50000</v>
      </c>
      <c r="F6155" s="29">
        <f ca="1">F6159</f>
        <v>0</v>
      </c>
      <c r="G6155" s="27">
        <f ca="1">ROUND(E6155*F6155,2)</f>
        <v>0</v>
      </c>
    </row>
    <row r="6156" spans="1:7" ht="24.36" thickBot="1" customHeight="1">
      <c r="A6156" s="24" t="s">
        <v>19435</v>
      </c>
      <c r="B6156" s="24" t="s">
        <v>19436</v>
      </c>
      <c r="C6156" s="24" t="s">
        <v>19437</v>
      </c>
      <c r="D6156" s="25" t="s">
        <v>19438</v>
      </c>
      <c r="E6156" s="28">
        <v>1.00000</v>
      </c>
      <c r="F6156" s="29">
        <f ca="1">ROUND(21.000,3)</f>
        <v>0</v>
      </c>
      <c r="G6156" s="27">
        <f ca="1">ROUND(E6156*F6156,2)</f>
        <v>0</v>
      </c>
    </row>
    <row r="6157" spans="1:7" ht="24.36" thickBot="1" customHeight="1">
      <c r="A6157" s="24" t="s">
        <v>19439</v>
      </c>
      <c r="B6157" s="24" t="s">
        <v>19440</v>
      </c>
      <c r="C6157" s="24" t="s">
        <v>19441</v>
      </c>
      <c r="D6157" s="25" t="s">
        <v>19442</v>
      </c>
      <c r="E6157" s="28">
        <v>1.00000</v>
      </c>
      <c r="F6157" s="29">
        <f ca="1">ROUND(19.000,3)</f>
        <v>0</v>
      </c>
      <c r="G6157" s="27">
        <f ca="1">ROUND(E6157*F6157,2)</f>
        <v>0</v>
      </c>
    </row>
    <row r="6158" spans="1:7" ht="24.36" thickBot="1" customHeight="1">
      <c r="A6158" s="24" t="s">
        <v>19443</v>
      </c>
      <c r="B6158" s="24" t="s">
        <v>19444</v>
      </c>
      <c r="C6158" s="24" t="s">
        <v>19445</v>
      </c>
      <c r="D6158" s="25" t="s">
        <v>19446</v>
      </c>
      <c r="E6158" s="28">
        <v>0.20000</v>
      </c>
      <c r="F6158" s="29">
        <f ca="1">ROUND(19.000,3)</f>
        <v>0</v>
      </c>
      <c r="G6158" s="27">
        <f ca="1">ROUND(E6158*F6158,2)</f>
        <v>0</v>
      </c>
    </row>
    <row r="6159" spans="1:7" ht="15.12" thickBot="1" customHeight="1">
      <c r="A6159" s="26"/>
      <c r="B6159" s="26"/>
      <c r="C6159" s="26"/>
      <c r="D6159" s="24" t="s">
        <v>19447</v>
      </c>
      <c r="E6159" s="28">
        <v>0.50000</v>
      </c>
      <c r="F6159" s="29">
        <f ca="1">ROUND((G6156+G6157+G6158),3)</f>
        <v>0</v>
      </c>
      <c r="G6159" s="27">
        <f ca="1">ROUND(E6159*F6159,2)</f>
        <v>0</v>
      </c>
    </row>
    <row r="6160" spans="1:7" ht="15.12" thickBot="1" customHeight="1">
      <c r="A6160" s="24" t="s">
        <v>19448</v>
      </c>
      <c r="B6160" s="24"/>
      <c r="C6160" s="24" t="s">
        <v>19449</v>
      </c>
      <c r="D6160" s="25" t="s">
        <v>19450</v>
      </c>
      <c r="E6160" s="28">
        <v>5.00000</v>
      </c>
      <c r="F6160" s="29">
        <f ca="1">ROUND(21.900,3)</f>
        <v>0</v>
      </c>
      <c r="G6160" s="27">
        <f ca="1">ROUND((E6160*F6160)/100,2)</f>
        <v>0</v>
      </c>
    </row>
    <row r="6161" spans="1:7" ht="25.08" thickBot="1" customHeight="1">
      <c r="A6161" s="30"/>
      <c r="B6161" s="30"/>
      <c r="C6161" s="30"/>
      <c r="D6161" s="31" t="s">
        <v>19451</v>
      </c>
      <c r="E6161" s="30"/>
      <c r="F6161" s="33">
        <f ca="1">ROUND((G6152+G6153+G6154+G6155+G6160)*(1+G2/100),2)</f>
        <v>0</v>
      </c>
      <c r="G6161" s="30"/>
    </row>
    <row r="6162" spans="1:7" ht="39.84" thickBot="1" customHeight="1">
      <c r="A6162" s="34" t="s">
        <v>19452</v>
      </c>
      <c r="B6162" s="35" t="s">
        <v>19453</v>
      </c>
      <c r="C6162" s="35" t="s">
        <v>19454</v>
      </c>
      <c r="D6162" s="36" t="s">
        <v>19455</v>
      </c>
      <c r="E6162" s="37"/>
      <c r="F6162" s="38">
        <f ca="1">F6173</f>
        <v>0</v>
      </c>
      <c r="G6162" s="37"/>
    </row>
    <row r="6163" spans="1:7" ht="21.36" thickBot="1" customHeight="1">
      <c r="A6163" s="26"/>
      <c r="B6163" s="26"/>
      <c r="C6163" s="26"/>
      <c r="D6163" s="25" t="s">
        <v>19456</v>
      </c>
      <c r="E6163" s="25"/>
      <c r="F6163" s="25"/>
      <c r="G6163" s="25"/>
    </row>
    <row r="6164" spans="1:7" ht="30.60" thickBot="1" customHeight="1">
      <c r="A6164" s="24" t="s">
        <v>19457</v>
      </c>
      <c r="B6164" s="24" t="s">
        <v>19458</v>
      </c>
      <c r="C6164" s="24" t="s">
        <v>19459</v>
      </c>
      <c r="D6164" s="25" t="s">
        <v>19460</v>
      </c>
      <c r="E6164" s="28">
        <v>4.00000</v>
      </c>
      <c r="F6164" s="29">
        <f ca="1">ROUND(0.400,3)</f>
        <v>0</v>
      </c>
      <c r="G6164" s="27">
        <f ca="1">ROUND(E6164*F6164,2)</f>
        <v>0</v>
      </c>
    </row>
    <row r="6165" spans="1:7" ht="30.60" thickBot="1" customHeight="1">
      <c r="A6165" s="24" t="s">
        <v>19461</v>
      </c>
      <c r="B6165" s="24" t="s">
        <v>19462</v>
      </c>
      <c r="C6165" s="24" t="s">
        <v>19463</v>
      </c>
      <c r="D6165" s="25" t="s">
        <v>19464</v>
      </c>
      <c r="E6165" s="28">
        <v>0.06160</v>
      </c>
      <c r="F6165" s="29">
        <f ca="1">ROUND(15.430,3)</f>
        <v>0</v>
      </c>
      <c r="G6165" s="27">
        <f ca="1">ROUND(E6165*F6165,2)</f>
        <v>0</v>
      </c>
    </row>
    <row r="6166" spans="1:7" ht="30.60" thickBot="1" customHeight="1">
      <c r="A6166" s="24" t="s">
        <v>19465</v>
      </c>
      <c r="B6166" s="24" t="s">
        <v>19466</v>
      </c>
      <c r="C6166" s="24" t="s">
        <v>19467</v>
      </c>
      <c r="D6166" s="25" t="s">
        <v>19468</v>
      </c>
      <c r="E6166" s="28">
        <v>0.02534</v>
      </c>
      <c r="F6166" s="29">
        <f ca="1">ROUND(11.740,3)</f>
        <v>0</v>
      </c>
      <c r="G6166" s="27">
        <f ca="1">ROUND(E6166*F6166,2)</f>
        <v>0</v>
      </c>
    </row>
    <row r="6167" spans="1:7" ht="21.36" thickBot="1" customHeight="1">
      <c r="A6167" s="24" t="s">
        <v>19469</v>
      </c>
      <c r="B6167" s="24" t="s">
        <v>19470</v>
      </c>
      <c r="C6167" s="24" t="s">
        <v>19471</v>
      </c>
      <c r="D6167" s="25" t="s">
        <v>19472</v>
      </c>
      <c r="E6167" s="28">
        <v>0.42000</v>
      </c>
      <c r="F6167" s="29">
        <f ca="1">F6171</f>
        <v>0</v>
      </c>
      <c r="G6167" s="27">
        <f ca="1">ROUND(E6167*F6167,2)</f>
        <v>0</v>
      </c>
    </row>
    <row r="6168" spans="1:7" ht="24.36" thickBot="1" customHeight="1">
      <c r="A6168" s="24" t="s">
        <v>19473</v>
      </c>
      <c r="B6168" s="24" t="s">
        <v>19474</v>
      </c>
      <c r="C6168" s="24" t="s">
        <v>19475</v>
      </c>
      <c r="D6168" s="25" t="s">
        <v>19476</v>
      </c>
      <c r="E6168" s="28">
        <v>1.00000</v>
      </c>
      <c r="F6168" s="29">
        <f ca="1">ROUND(21.000,3)</f>
        <v>0</v>
      </c>
      <c r="G6168" s="27">
        <f ca="1">ROUND(E6168*F6168,2)</f>
        <v>0</v>
      </c>
    </row>
    <row r="6169" spans="1:7" ht="24.36" thickBot="1" customHeight="1">
      <c r="A6169" s="24" t="s">
        <v>19477</v>
      </c>
      <c r="B6169" s="24" t="s">
        <v>19478</v>
      </c>
      <c r="C6169" s="24" t="s">
        <v>19479</v>
      </c>
      <c r="D6169" s="25" t="s">
        <v>19480</v>
      </c>
      <c r="E6169" s="28">
        <v>1.00000</v>
      </c>
      <c r="F6169" s="29">
        <f ca="1">ROUND(19.000,3)</f>
        <v>0</v>
      </c>
      <c r="G6169" s="27">
        <f ca="1">ROUND(E6169*F6169,2)</f>
        <v>0</v>
      </c>
    </row>
    <row r="6170" spans="1:7" ht="24.36" thickBot="1" customHeight="1">
      <c r="A6170" s="24" t="s">
        <v>19481</v>
      </c>
      <c r="B6170" s="24" t="s">
        <v>19482</v>
      </c>
      <c r="C6170" s="24" t="s">
        <v>19483</v>
      </c>
      <c r="D6170" s="25" t="s">
        <v>19484</v>
      </c>
      <c r="E6170" s="28">
        <v>0.20000</v>
      </c>
      <c r="F6170" s="29">
        <f ca="1">ROUND(19.000,3)</f>
        <v>0</v>
      </c>
      <c r="G6170" s="27">
        <f ca="1">ROUND(E6170*F6170,2)</f>
        <v>0</v>
      </c>
    </row>
    <row r="6171" spans="1:7" ht="15.12" thickBot="1" customHeight="1">
      <c r="A6171" s="26"/>
      <c r="B6171" s="26"/>
      <c r="C6171" s="26"/>
      <c r="D6171" s="24" t="s">
        <v>19485</v>
      </c>
      <c r="E6171" s="28">
        <v>0.42000</v>
      </c>
      <c r="F6171" s="29">
        <f ca="1">ROUND((G6168+G6169+G6170),3)</f>
        <v>0</v>
      </c>
      <c r="G6171" s="27">
        <f ca="1">ROUND(E6171*F6171,2)</f>
        <v>0</v>
      </c>
    </row>
    <row r="6172" spans="1:7" ht="15.12" thickBot="1" customHeight="1">
      <c r="A6172" s="24" t="s">
        <v>19486</v>
      </c>
      <c r="B6172" s="24"/>
      <c r="C6172" s="24" t="s">
        <v>19487</v>
      </c>
      <c r="D6172" s="25" t="s">
        <v>19488</v>
      </c>
      <c r="E6172" s="28">
        <v>5.00000</v>
      </c>
      <c r="F6172" s="29">
        <f ca="1">ROUND(18.400,3)</f>
        <v>0</v>
      </c>
      <c r="G6172" s="27">
        <f ca="1">ROUND((E6172*F6172)/100,2)</f>
        <v>0</v>
      </c>
    </row>
    <row r="6173" spans="1:7" ht="15.48" thickBot="1" customHeight="1">
      <c r="A6173" s="30"/>
      <c r="B6173" s="30"/>
      <c r="C6173" s="30"/>
      <c r="D6173" s="31" t="s">
        <v>19489</v>
      </c>
      <c r="E6173" s="30"/>
      <c r="F6173" s="33">
        <f ca="1">ROUND((G6164+G6165+G6166+G6167+G6172)*(1+G2/100),2)</f>
        <v>0</v>
      </c>
      <c r="G6173" s="30"/>
    </row>
    <row r="6174" spans="1:7" ht="39.84" thickBot="1" customHeight="1">
      <c r="A6174" s="34" t="s">
        <v>19490</v>
      </c>
      <c r="B6174" s="35" t="s">
        <v>19491</v>
      </c>
      <c r="C6174" s="35" t="s">
        <v>19492</v>
      </c>
      <c r="D6174" s="36" t="s">
        <v>19493</v>
      </c>
      <c r="E6174" s="37"/>
      <c r="F6174" s="38">
        <f ca="1">F6185</f>
        <v>0</v>
      </c>
      <c r="G6174" s="37"/>
    </row>
    <row r="6175" spans="1:7" ht="21.36" thickBot="1" customHeight="1">
      <c r="A6175" s="26"/>
      <c r="B6175" s="26"/>
      <c r="C6175" s="26"/>
      <c r="D6175" s="25" t="s">
        <v>19494</v>
      </c>
      <c r="E6175" s="25"/>
      <c r="F6175" s="25"/>
      <c r="G6175" s="25"/>
    </row>
    <row r="6176" spans="1:7" ht="30.60" thickBot="1" customHeight="1">
      <c r="A6176" s="24" t="s">
        <v>19495</v>
      </c>
      <c r="B6176" s="24" t="s">
        <v>19496</v>
      </c>
      <c r="C6176" s="24" t="s">
        <v>19497</v>
      </c>
      <c r="D6176" s="25" t="s">
        <v>19498</v>
      </c>
      <c r="E6176" s="28">
        <v>4.00000</v>
      </c>
      <c r="F6176" s="29">
        <f ca="1">ROUND(0.400,3)</f>
        <v>0</v>
      </c>
      <c r="G6176" s="27">
        <f ca="1">ROUND(E6176*F6176,2)</f>
        <v>0</v>
      </c>
    </row>
    <row r="6177" spans="1:7" ht="30.60" thickBot="1" customHeight="1">
      <c r="A6177" s="24" t="s">
        <v>19499</v>
      </c>
      <c r="B6177" s="24" t="s">
        <v>19500</v>
      </c>
      <c r="C6177" s="24" t="s">
        <v>19501</v>
      </c>
      <c r="D6177" s="25" t="s">
        <v>19502</v>
      </c>
      <c r="E6177" s="28">
        <v>0.06160</v>
      </c>
      <c r="F6177" s="29">
        <f ca="1">ROUND(15.430,3)</f>
        <v>0</v>
      </c>
      <c r="G6177" s="27">
        <f ca="1">ROUND(E6177*F6177,2)</f>
        <v>0</v>
      </c>
    </row>
    <row r="6178" spans="1:7" ht="30.60" thickBot="1" customHeight="1">
      <c r="A6178" s="24" t="s">
        <v>19503</v>
      </c>
      <c r="B6178" s="24" t="s">
        <v>19504</v>
      </c>
      <c r="C6178" s="24" t="s">
        <v>19505</v>
      </c>
      <c r="D6178" s="25" t="s">
        <v>19506</v>
      </c>
      <c r="E6178" s="28">
        <v>0.02534</v>
      </c>
      <c r="F6178" s="29">
        <f ca="1">ROUND(11.740,3)</f>
        <v>0</v>
      </c>
      <c r="G6178" s="27">
        <f ca="1">ROUND(E6178*F6178,2)</f>
        <v>0</v>
      </c>
    </row>
    <row r="6179" spans="1:7" ht="21.36" thickBot="1" customHeight="1">
      <c r="A6179" s="24" t="s">
        <v>19507</v>
      </c>
      <c r="B6179" s="24" t="s">
        <v>19508</v>
      </c>
      <c r="C6179" s="24" t="s">
        <v>19509</v>
      </c>
      <c r="D6179" s="25" t="s">
        <v>19510</v>
      </c>
      <c r="E6179" s="28">
        <v>0.30000</v>
      </c>
      <c r="F6179" s="29">
        <f ca="1">F6183</f>
        <v>0</v>
      </c>
      <c r="G6179" s="27">
        <f ca="1">ROUND(E6179*F6179,2)</f>
        <v>0</v>
      </c>
    </row>
    <row r="6180" spans="1:7" ht="24.36" thickBot="1" customHeight="1">
      <c r="A6180" s="24" t="s">
        <v>19511</v>
      </c>
      <c r="B6180" s="24" t="s">
        <v>19512</v>
      </c>
      <c r="C6180" s="24" t="s">
        <v>19513</v>
      </c>
      <c r="D6180" s="25" t="s">
        <v>19514</v>
      </c>
      <c r="E6180" s="28">
        <v>1.00000</v>
      </c>
      <c r="F6180" s="29">
        <f ca="1">ROUND(21.000,3)</f>
        <v>0</v>
      </c>
      <c r="G6180" s="27">
        <f ca="1">ROUND(E6180*F6180,2)</f>
        <v>0</v>
      </c>
    </row>
    <row r="6181" spans="1:7" ht="24.36" thickBot="1" customHeight="1">
      <c r="A6181" s="24" t="s">
        <v>19515</v>
      </c>
      <c r="B6181" s="24" t="s">
        <v>19516</v>
      </c>
      <c r="C6181" s="24" t="s">
        <v>19517</v>
      </c>
      <c r="D6181" s="25" t="s">
        <v>19518</v>
      </c>
      <c r="E6181" s="28">
        <v>1.00000</v>
      </c>
      <c r="F6181" s="29">
        <f ca="1">ROUND(19.000,3)</f>
        <v>0</v>
      </c>
      <c r="G6181" s="27">
        <f ca="1">ROUND(E6181*F6181,2)</f>
        <v>0</v>
      </c>
    </row>
    <row r="6182" spans="1:7" ht="24.36" thickBot="1" customHeight="1">
      <c r="A6182" s="24" t="s">
        <v>19519</v>
      </c>
      <c r="B6182" s="24" t="s">
        <v>19520</v>
      </c>
      <c r="C6182" s="24" t="s">
        <v>19521</v>
      </c>
      <c r="D6182" s="25" t="s">
        <v>19522</v>
      </c>
      <c r="E6182" s="28">
        <v>0.20000</v>
      </c>
      <c r="F6182" s="29">
        <f ca="1">ROUND(19.000,3)</f>
        <v>0</v>
      </c>
      <c r="G6182" s="27">
        <f ca="1">ROUND(E6182*F6182,2)</f>
        <v>0</v>
      </c>
    </row>
    <row r="6183" spans="1:7" ht="15.12" thickBot="1" customHeight="1">
      <c r="A6183" s="26"/>
      <c r="B6183" s="26"/>
      <c r="C6183" s="26"/>
      <c r="D6183" s="24" t="s">
        <v>19523</v>
      </c>
      <c r="E6183" s="28">
        <v>0.30000</v>
      </c>
      <c r="F6183" s="29">
        <f ca="1">ROUND((G6180+G6181+G6182),3)</f>
        <v>0</v>
      </c>
      <c r="G6183" s="27">
        <f ca="1">ROUND(E6183*F6183,2)</f>
        <v>0</v>
      </c>
    </row>
    <row r="6184" spans="1:7" ht="15.12" thickBot="1" customHeight="1">
      <c r="A6184" s="24" t="s">
        <v>19524</v>
      </c>
      <c r="B6184" s="24"/>
      <c r="C6184" s="24" t="s">
        <v>19525</v>
      </c>
      <c r="D6184" s="25" t="s">
        <v>19526</v>
      </c>
      <c r="E6184" s="28">
        <v>5.00000</v>
      </c>
      <c r="F6184" s="29">
        <f ca="1">ROUND(13.140,3)</f>
        <v>0</v>
      </c>
      <c r="G6184" s="27">
        <f ca="1">ROUND((E6184*F6184)/100,2)</f>
        <v>0</v>
      </c>
    </row>
    <row r="6185" spans="1:7" ht="15.48" thickBot="1" customHeight="1">
      <c r="A6185" s="30"/>
      <c r="B6185" s="30"/>
      <c r="C6185" s="30"/>
      <c r="D6185" s="31" t="s">
        <v>19527</v>
      </c>
      <c r="E6185" s="30"/>
      <c r="F6185" s="33">
        <f ca="1">ROUND((G6176+G6177+G6178+G6179+G6184)*(1+G2/100),2)</f>
        <v>0</v>
      </c>
      <c r="G6185" s="30"/>
    </row>
    <row r="6186" spans="1:7" ht="39.84" thickBot="1" customHeight="1">
      <c r="A6186" s="34" t="s">
        <v>19528</v>
      </c>
      <c r="B6186" s="35" t="s">
        <v>19529</v>
      </c>
      <c r="C6186" s="35" t="s">
        <v>19530</v>
      </c>
      <c r="D6186" s="36" t="s">
        <v>19531</v>
      </c>
      <c r="E6186" s="37"/>
      <c r="F6186" s="38">
        <f ca="1">F6197</f>
        <v>0</v>
      </c>
      <c r="G6186" s="37"/>
    </row>
    <row r="6187" spans="1:7" ht="21.36" thickBot="1" customHeight="1">
      <c r="A6187" s="26"/>
      <c r="B6187" s="26"/>
      <c r="C6187" s="26"/>
      <c r="D6187" s="25" t="s">
        <v>19532</v>
      </c>
      <c r="E6187" s="25"/>
      <c r="F6187" s="25"/>
      <c r="G6187" s="25"/>
    </row>
    <row r="6188" spans="1:7" ht="30.60" thickBot="1" customHeight="1">
      <c r="A6188" s="24" t="s">
        <v>19533</v>
      </c>
      <c r="B6188" s="24" t="s">
        <v>19534</v>
      </c>
      <c r="C6188" s="24" t="s">
        <v>19535</v>
      </c>
      <c r="D6188" s="25" t="s">
        <v>19536</v>
      </c>
      <c r="E6188" s="28">
        <v>8.00000</v>
      </c>
      <c r="F6188" s="29">
        <f ca="1">ROUND(0.400,3)</f>
        <v>0</v>
      </c>
      <c r="G6188" s="27">
        <f ca="1">ROUND(E6188*F6188,2)</f>
        <v>0</v>
      </c>
    </row>
    <row r="6189" spans="1:7" ht="30.60" thickBot="1" customHeight="1">
      <c r="A6189" s="24" t="s">
        <v>19537</v>
      </c>
      <c r="B6189" s="24" t="s">
        <v>19538</v>
      </c>
      <c r="C6189" s="24" t="s">
        <v>19539</v>
      </c>
      <c r="D6189" s="25" t="s">
        <v>19540</v>
      </c>
      <c r="E6189" s="28">
        <v>0.12320</v>
      </c>
      <c r="F6189" s="29">
        <f ca="1">ROUND(15.430,3)</f>
        <v>0</v>
      </c>
      <c r="G6189" s="27">
        <f ca="1">ROUND(E6189*F6189,2)</f>
        <v>0</v>
      </c>
    </row>
    <row r="6190" spans="1:7" ht="30.60" thickBot="1" customHeight="1">
      <c r="A6190" s="24" t="s">
        <v>19541</v>
      </c>
      <c r="B6190" s="24" t="s">
        <v>19542</v>
      </c>
      <c r="C6190" s="24" t="s">
        <v>19543</v>
      </c>
      <c r="D6190" s="25" t="s">
        <v>19544</v>
      </c>
      <c r="E6190" s="28">
        <v>0.05069</v>
      </c>
      <c r="F6190" s="29">
        <f ca="1">ROUND(11.740,3)</f>
        <v>0</v>
      </c>
      <c r="G6190" s="27">
        <f ca="1">ROUND(E6190*F6190,2)</f>
        <v>0</v>
      </c>
    </row>
    <row r="6191" spans="1:7" ht="21.36" thickBot="1" customHeight="1">
      <c r="A6191" s="24" t="s">
        <v>19545</v>
      </c>
      <c r="B6191" s="24" t="s">
        <v>19546</v>
      </c>
      <c r="C6191" s="24" t="s">
        <v>19547</v>
      </c>
      <c r="D6191" s="25" t="s">
        <v>19548</v>
      </c>
      <c r="E6191" s="28">
        <v>0.50000</v>
      </c>
      <c r="F6191" s="29">
        <f ca="1">F6195</f>
        <v>0</v>
      </c>
      <c r="G6191" s="27">
        <f ca="1">ROUND(E6191*F6191,2)</f>
        <v>0</v>
      </c>
    </row>
    <row r="6192" spans="1:7" ht="24.36" thickBot="1" customHeight="1">
      <c r="A6192" s="24" t="s">
        <v>19549</v>
      </c>
      <c r="B6192" s="24" t="s">
        <v>19550</v>
      </c>
      <c r="C6192" s="24" t="s">
        <v>19551</v>
      </c>
      <c r="D6192" s="25" t="s">
        <v>19552</v>
      </c>
      <c r="E6192" s="28">
        <v>1.00000</v>
      </c>
      <c r="F6192" s="29">
        <f ca="1">ROUND(21.000,3)</f>
        <v>0</v>
      </c>
      <c r="G6192" s="27">
        <f ca="1">ROUND(E6192*F6192,2)</f>
        <v>0</v>
      </c>
    </row>
    <row r="6193" spans="1:7" ht="24.36" thickBot="1" customHeight="1">
      <c r="A6193" s="24" t="s">
        <v>19553</v>
      </c>
      <c r="B6193" s="24" t="s">
        <v>19554</v>
      </c>
      <c r="C6193" s="24" t="s">
        <v>19555</v>
      </c>
      <c r="D6193" s="25" t="s">
        <v>19556</v>
      </c>
      <c r="E6193" s="28">
        <v>1.00000</v>
      </c>
      <c r="F6193" s="29">
        <f ca="1">ROUND(19.000,3)</f>
        <v>0</v>
      </c>
      <c r="G6193" s="27">
        <f ca="1">ROUND(E6193*F6193,2)</f>
        <v>0</v>
      </c>
    </row>
    <row r="6194" spans="1:7" ht="24.36" thickBot="1" customHeight="1">
      <c r="A6194" s="24" t="s">
        <v>19557</v>
      </c>
      <c r="B6194" s="24" t="s">
        <v>19558</v>
      </c>
      <c r="C6194" s="24" t="s">
        <v>19559</v>
      </c>
      <c r="D6194" s="25" t="s">
        <v>19560</v>
      </c>
      <c r="E6194" s="28">
        <v>0.20000</v>
      </c>
      <c r="F6194" s="29">
        <f ca="1">ROUND(19.000,3)</f>
        <v>0</v>
      </c>
      <c r="G6194" s="27">
        <f ca="1">ROUND(E6194*F6194,2)</f>
        <v>0</v>
      </c>
    </row>
    <row r="6195" spans="1:7" ht="15.12" thickBot="1" customHeight="1">
      <c r="A6195" s="26"/>
      <c r="B6195" s="26"/>
      <c r="C6195" s="26"/>
      <c r="D6195" s="24" t="s">
        <v>19561</v>
      </c>
      <c r="E6195" s="28">
        <v>0.50000</v>
      </c>
      <c r="F6195" s="29">
        <f ca="1">ROUND((G6192+G6193+G6194),3)</f>
        <v>0</v>
      </c>
      <c r="G6195" s="27">
        <f ca="1">ROUND(E6195*F6195,2)</f>
        <v>0</v>
      </c>
    </row>
    <row r="6196" spans="1:7" ht="15.12" thickBot="1" customHeight="1">
      <c r="A6196" s="24" t="s">
        <v>19562</v>
      </c>
      <c r="B6196" s="24"/>
      <c r="C6196" s="24" t="s">
        <v>19563</v>
      </c>
      <c r="D6196" s="25" t="s">
        <v>19564</v>
      </c>
      <c r="E6196" s="28">
        <v>5.00000</v>
      </c>
      <c r="F6196" s="29">
        <f ca="1">ROUND(21.900,3)</f>
        <v>0</v>
      </c>
      <c r="G6196" s="27">
        <f ca="1">ROUND((E6196*F6196)/100,2)</f>
        <v>0</v>
      </c>
    </row>
    <row r="6197" spans="1:7" ht="15.48" thickBot="1" customHeight="1">
      <c r="A6197" s="30"/>
      <c r="B6197" s="30"/>
      <c r="C6197" s="30"/>
      <c r="D6197" s="31" t="s">
        <v>19565</v>
      </c>
      <c r="E6197" s="30"/>
      <c r="F6197" s="33">
        <f ca="1">ROUND((G6188+G6189+G6190+G6191+G6196)*(1+G2/100),2)</f>
        <v>0</v>
      </c>
      <c r="G6197" s="30"/>
    </row>
    <row r="6198" spans="1:7" ht="39.84" thickBot="1" customHeight="1">
      <c r="A6198" s="34" t="s">
        <v>19566</v>
      </c>
      <c r="B6198" s="35" t="s">
        <v>19567</v>
      </c>
      <c r="C6198" s="35" t="s">
        <v>19568</v>
      </c>
      <c r="D6198" s="36" t="s">
        <v>19569</v>
      </c>
      <c r="E6198" s="37"/>
      <c r="F6198" s="38">
        <f ca="1">F6209</f>
        <v>0</v>
      </c>
      <c r="G6198" s="37"/>
    </row>
    <row r="6199" spans="1:7" ht="21.36" thickBot="1" customHeight="1">
      <c r="A6199" s="26"/>
      <c r="B6199" s="26"/>
      <c r="C6199" s="26"/>
      <c r="D6199" s="25" t="s">
        <v>19570</v>
      </c>
      <c r="E6199" s="25"/>
      <c r="F6199" s="25"/>
      <c r="G6199" s="25"/>
    </row>
    <row r="6200" spans="1:7" ht="30.60" thickBot="1" customHeight="1">
      <c r="A6200" s="24" t="s">
        <v>19571</v>
      </c>
      <c r="B6200" s="24" t="s">
        <v>19572</v>
      </c>
      <c r="C6200" s="24" t="s">
        <v>19573</v>
      </c>
      <c r="D6200" s="25" t="s">
        <v>19574</v>
      </c>
      <c r="E6200" s="28">
        <v>8.00000</v>
      </c>
      <c r="F6200" s="29">
        <f ca="1">ROUND(0.400,3)</f>
        <v>0</v>
      </c>
      <c r="G6200" s="27">
        <f ca="1">ROUND(E6200*F6200,2)</f>
        <v>0</v>
      </c>
    </row>
    <row r="6201" spans="1:7" ht="30.60" thickBot="1" customHeight="1">
      <c r="A6201" s="24" t="s">
        <v>19575</v>
      </c>
      <c r="B6201" s="24" t="s">
        <v>19576</v>
      </c>
      <c r="C6201" s="24" t="s">
        <v>19577</v>
      </c>
      <c r="D6201" s="25" t="s">
        <v>19578</v>
      </c>
      <c r="E6201" s="28">
        <v>0.12320</v>
      </c>
      <c r="F6201" s="29">
        <f ca="1">ROUND(15.430,3)</f>
        <v>0</v>
      </c>
      <c r="G6201" s="27">
        <f ca="1">ROUND(E6201*F6201,2)</f>
        <v>0</v>
      </c>
    </row>
    <row r="6202" spans="1:7" ht="30.60" thickBot="1" customHeight="1">
      <c r="A6202" s="24" t="s">
        <v>19579</v>
      </c>
      <c r="B6202" s="24" t="s">
        <v>19580</v>
      </c>
      <c r="C6202" s="24" t="s">
        <v>19581</v>
      </c>
      <c r="D6202" s="25" t="s">
        <v>19582</v>
      </c>
      <c r="E6202" s="28">
        <v>0.05069</v>
      </c>
      <c r="F6202" s="29">
        <f ca="1">ROUND(11.740,3)</f>
        <v>0</v>
      </c>
      <c r="G6202" s="27">
        <f ca="1">ROUND(E6202*F6202,2)</f>
        <v>0</v>
      </c>
    </row>
    <row r="6203" spans="1:7" ht="21.36" thickBot="1" customHeight="1">
      <c r="A6203" s="24" t="s">
        <v>19583</v>
      </c>
      <c r="B6203" s="24" t="s">
        <v>19584</v>
      </c>
      <c r="C6203" s="24" t="s">
        <v>19585</v>
      </c>
      <c r="D6203" s="25" t="s">
        <v>19586</v>
      </c>
      <c r="E6203" s="28">
        <v>0.35000</v>
      </c>
      <c r="F6203" s="29">
        <f ca="1">F6207</f>
        <v>0</v>
      </c>
      <c r="G6203" s="27">
        <f ca="1">ROUND(E6203*F6203,2)</f>
        <v>0</v>
      </c>
    </row>
    <row r="6204" spans="1:7" ht="24.36" thickBot="1" customHeight="1">
      <c r="A6204" s="24" t="s">
        <v>19587</v>
      </c>
      <c r="B6204" s="24" t="s">
        <v>19588</v>
      </c>
      <c r="C6204" s="24" t="s">
        <v>19589</v>
      </c>
      <c r="D6204" s="25" t="s">
        <v>19590</v>
      </c>
      <c r="E6204" s="28">
        <v>1.00000</v>
      </c>
      <c r="F6204" s="29">
        <f ca="1">ROUND(21.000,3)</f>
        <v>0</v>
      </c>
      <c r="G6204" s="27">
        <f ca="1">ROUND(E6204*F6204,2)</f>
        <v>0</v>
      </c>
    </row>
    <row r="6205" spans="1:7" ht="24.36" thickBot="1" customHeight="1">
      <c r="A6205" s="24" t="s">
        <v>19591</v>
      </c>
      <c r="B6205" s="24" t="s">
        <v>19592</v>
      </c>
      <c r="C6205" s="24" t="s">
        <v>19593</v>
      </c>
      <c r="D6205" s="25" t="s">
        <v>19594</v>
      </c>
      <c r="E6205" s="28">
        <v>1.00000</v>
      </c>
      <c r="F6205" s="29">
        <f ca="1">ROUND(19.000,3)</f>
        <v>0</v>
      </c>
      <c r="G6205" s="27">
        <f ca="1">ROUND(E6205*F6205,2)</f>
        <v>0</v>
      </c>
    </row>
    <row r="6206" spans="1:7" ht="24.36" thickBot="1" customHeight="1">
      <c r="A6206" s="24" t="s">
        <v>19595</v>
      </c>
      <c r="B6206" s="24" t="s">
        <v>19596</v>
      </c>
      <c r="C6206" s="24" t="s">
        <v>19597</v>
      </c>
      <c r="D6206" s="25" t="s">
        <v>19598</v>
      </c>
      <c r="E6206" s="28">
        <v>0.20000</v>
      </c>
      <c r="F6206" s="29">
        <f ca="1">ROUND(19.000,3)</f>
        <v>0</v>
      </c>
      <c r="G6206" s="27">
        <f ca="1">ROUND(E6206*F6206,2)</f>
        <v>0</v>
      </c>
    </row>
    <row r="6207" spans="1:7" ht="15.12" thickBot="1" customHeight="1">
      <c r="A6207" s="26"/>
      <c r="B6207" s="26"/>
      <c r="C6207" s="26"/>
      <c r="D6207" s="24" t="s">
        <v>19599</v>
      </c>
      <c r="E6207" s="28">
        <v>0.35000</v>
      </c>
      <c r="F6207" s="29">
        <f ca="1">ROUND((G6204+G6205+G6206),3)</f>
        <v>0</v>
      </c>
      <c r="G6207" s="27">
        <f ca="1">ROUND(E6207*F6207,2)</f>
        <v>0</v>
      </c>
    </row>
    <row r="6208" spans="1:7" ht="15.12" thickBot="1" customHeight="1">
      <c r="A6208" s="24" t="s">
        <v>19600</v>
      </c>
      <c r="B6208" s="24"/>
      <c r="C6208" s="24" t="s">
        <v>19601</v>
      </c>
      <c r="D6208" s="25" t="s">
        <v>19602</v>
      </c>
      <c r="E6208" s="28">
        <v>5.00000</v>
      </c>
      <c r="F6208" s="29">
        <f ca="1">ROUND(15.330,3)</f>
        <v>0</v>
      </c>
      <c r="G6208" s="27">
        <f ca="1">ROUND((E6208*F6208)/100,2)</f>
        <v>0</v>
      </c>
    </row>
    <row r="6209" spans="1:7" ht="15.48" thickBot="1" customHeight="1">
      <c r="A6209" s="30"/>
      <c r="B6209" s="30"/>
      <c r="C6209" s="30"/>
      <c r="D6209" s="31" t="s">
        <v>19603</v>
      </c>
      <c r="E6209" s="30"/>
      <c r="F6209" s="33">
        <f ca="1">ROUND((G6200+G6201+G6202+G6203+G6208)*(1+G2/100),2)</f>
        <v>0</v>
      </c>
      <c r="G6209" s="30"/>
    </row>
    <row r="6210" spans="1:7" ht="49.08" thickBot="1" customHeight="1">
      <c r="A6210" s="34" t="s">
        <v>19604</v>
      </c>
      <c r="B6210" s="35" t="s">
        <v>19605</v>
      </c>
      <c r="C6210" s="35" t="s">
        <v>19606</v>
      </c>
      <c r="D6210" s="36" t="s">
        <v>19607</v>
      </c>
      <c r="E6210" s="37"/>
      <c r="F6210" s="38">
        <f ca="1">F6223</f>
        <v>0</v>
      </c>
      <c r="G6210" s="37"/>
    </row>
    <row r="6211" spans="1:7" ht="21.36" thickBot="1" customHeight="1">
      <c r="A6211" s="26"/>
      <c r="B6211" s="26"/>
      <c r="C6211" s="26"/>
      <c r="D6211" s="25" t="s">
        <v>19608</v>
      </c>
      <c r="E6211" s="25"/>
      <c r="F6211" s="25"/>
      <c r="G6211" s="25"/>
    </row>
    <row r="6212" spans="1:7" ht="39.84" thickBot="1" customHeight="1">
      <c r="A6212" s="24" t="s">
        <v>19609</v>
      </c>
      <c r="B6212" s="24" t="s">
        <v>19610</v>
      </c>
      <c r="C6212" s="24" t="s">
        <v>19611</v>
      </c>
      <c r="D6212" s="25" t="s">
        <v>19612</v>
      </c>
      <c r="E6212" s="28">
        <v>0.11367</v>
      </c>
      <c r="F6212" s="29">
        <f ca="1">ROUND(29.000,3)</f>
        <v>0</v>
      </c>
      <c r="G6212" s="27">
        <f ca="1">ROUND(E6212*F6212,2)</f>
        <v>0</v>
      </c>
    </row>
    <row r="6213" spans="1:7" ht="30.60" thickBot="1" customHeight="1">
      <c r="A6213" s="24" t="s">
        <v>19613</v>
      </c>
      <c r="B6213" s="24" t="s">
        <v>19614</v>
      </c>
      <c r="C6213" s="24" t="s">
        <v>19615</v>
      </c>
      <c r="D6213" s="25" t="s">
        <v>19616</v>
      </c>
      <c r="E6213" s="28">
        <v>0.04400</v>
      </c>
      <c r="F6213" s="29">
        <f ca="1">ROUND(15.430,3)</f>
        <v>0</v>
      </c>
      <c r="G6213" s="27">
        <f ca="1">ROUND(E6213*F6213,2)</f>
        <v>0</v>
      </c>
    </row>
    <row r="6214" spans="1:7" ht="30.60" thickBot="1" customHeight="1">
      <c r="A6214" s="24" t="s">
        <v>19617</v>
      </c>
      <c r="B6214" s="24" t="s">
        <v>19618</v>
      </c>
      <c r="C6214" s="24" t="s">
        <v>19619</v>
      </c>
      <c r="D6214" s="25" t="s">
        <v>19620</v>
      </c>
      <c r="E6214" s="28">
        <v>0.01862</v>
      </c>
      <c r="F6214" s="29">
        <f ca="1">ROUND(11.740,3)</f>
        <v>0</v>
      </c>
      <c r="G6214" s="27">
        <f ca="1">ROUND(E6214*F6214,2)</f>
        <v>0</v>
      </c>
    </row>
    <row r="6215" spans="1:7" ht="30.60" thickBot="1" customHeight="1">
      <c r="A6215" s="24" t="s">
        <v>19621</v>
      </c>
      <c r="B6215" s="24" t="s">
        <v>19622</v>
      </c>
      <c r="C6215" s="24" t="s">
        <v>19623</v>
      </c>
      <c r="D6215" s="25" t="s">
        <v>19624</v>
      </c>
      <c r="E6215" s="28">
        <v>0.01000</v>
      </c>
      <c r="F6215" s="29">
        <f ca="1">ROUND(24.980,3)</f>
        <v>0</v>
      </c>
      <c r="G6215" s="27">
        <f ca="1">ROUND(E6215*F6215,2)</f>
        <v>0</v>
      </c>
    </row>
    <row r="6216" spans="1:7" ht="39.84" thickBot="1" customHeight="1">
      <c r="A6216" s="24" t="s">
        <v>19625</v>
      </c>
      <c r="B6216" s="24" t="s">
        <v>19626</v>
      </c>
      <c r="C6216" s="24" t="s">
        <v>19627</v>
      </c>
      <c r="D6216" s="25" t="s">
        <v>19628</v>
      </c>
      <c r="E6216" s="28">
        <v>0.16000</v>
      </c>
      <c r="F6216" s="29">
        <f ca="1">ROUND(1.750,3)</f>
        <v>0</v>
      </c>
      <c r="G6216" s="27">
        <f ca="1">ROUND(E6216*F6216,2)</f>
        <v>0</v>
      </c>
    </row>
    <row r="6217" spans="1:7" ht="21.36" thickBot="1" customHeight="1">
      <c r="A6217" s="24" t="s">
        <v>19629</v>
      </c>
      <c r="B6217" s="24" t="s">
        <v>19630</v>
      </c>
      <c r="C6217" s="24" t="s">
        <v>19631</v>
      </c>
      <c r="D6217" s="25" t="s">
        <v>19632</v>
      </c>
      <c r="E6217" s="28">
        <v>0.32000</v>
      </c>
      <c r="F6217" s="29">
        <f ca="1">F6221</f>
        <v>0</v>
      </c>
      <c r="G6217" s="27">
        <f ca="1">ROUND(E6217*F6217,2)</f>
        <v>0</v>
      </c>
    </row>
    <row r="6218" spans="1:7" ht="24.36" thickBot="1" customHeight="1">
      <c r="A6218" s="24" t="s">
        <v>19633</v>
      </c>
      <c r="B6218" s="24" t="s">
        <v>19634</v>
      </c>
      <c r="C6218" s="24" t="s">
        <v>19635</v>
      </c>
      <c r="D6218" s="25" t="s">
        <v>19636</v>
      </c>
      <c r="E6218" s="28">
        <v>1.00000</v>
      </c>
      <c r="F6218" s="29">
        <f ca="1">ROUND(21.000,3)</f>
        <v>0</v>
      </c>
      <c r="G6218" s="27">
        <f ca="1">ROUND(E6218*F6218,2)</f>
        <v>0</v>
      </c>
    </row>
    <row r="6219" spans="1:7" ht="24.36" thickBot="1" customHeight="1">
      <c r="A6219" s="24" t="s">
        <v>19637</v>
      </c>
      <c r="B6219" s="24" t="s">
        <v>19638</v>
      </c>
      <c r="C6219" s="24" t="s">
        <v>19639</v>
      </c>
      <c r="D6219" s="25" t="s">
        <v>19640</v>
      </c>
      <c r="E6219" s="28">
        <v>1.00000</v>
      </c>
      <c r="F6219" s="29">
        <f ca="1">ROUND(19.000,3)</f>
        <v>0</v>
      </c>
      <c r="G6219" s="27">
        <f ca="1">ROUND(E6219*F6219,2)</f>
        <v>0</v>
      </c>
    </row>
    <row r="6220" spans="1:7" ht="24.36" thickBot="1" customHeight="1">
      <c r="A6220" s="24" t="s">
        <v>19641</v>
      </c>
      <c r="B6220" s="24" t="s">
        <v>19642</v>
      </c>
      <c r="C6220" s="24" t="s">
        <v>19643</v>
      </c>
      <c r="D6220" s="25" t="s">
        <v>19644</v>
      </c>
      <c r="E6220" s="28">
        <v>0.20000</v>
      </c>
      <c r="F6220" s="29">
        <f ca="1">ROUND(19.000,3)</f>
        <v>0</v>
      </c>
      <c r="G6220" s="27">
        <f ca="1">ROUND(E6220*F6220,2)</f>
        <v>0</v>
      </c>
    </row>
    <row r="6221" spans="1:7" ht="15.12" thickBot="1" customHeight="1">
      <c r="A6221" s="26"/>
      <c r="B6221" s="26"/>
      <c r="C6221" s="26"/>
      <c r="D6221" s="24" t="s">
        <v>19645</v>
      </c>
      <c r="E6221" s="28">
        <v>0.32000</v>
      </c>
      <c r="F6221" s="29">
        <f ca="1">ROUND((G6218+G6219+G6220),3)</f>
        <v>0</v>
      </c>
      <c r="G6221" s="27">
        <f ca="1">ROUND(E6221*F6221,2)</f>
        <v>0</v>
      </c>
    </row>
    <row r="6222" spans="1:7" ht="15.12" thickBot="1" customHeight="1">
      <c r="A6222" s="24" t="s">
        <v>19646</v>
      </c>
      <c r="B6222" s="24"/>
      <c r="C6222" s="24" t="s">
        <v>19647</v>
      </c>
      <c r="D6222" s="25" t="s">
        <v>19648</v>
      </c>
      <c r="E6222" s="28">
        <v>5.00000</v>
      </c>
      <c r="F6222" s="29">
        <f ca="1">ROUND(14.020,3)</f>
        <v>0</v>
      </c>
      <c r="G6222" s="27">
        <f ca="1">ROUND((E6222*F6222)/100,2)</f>
        <v>0</v>
      </c>
    </row>
    <row r="6223" spans="1:7" ht="15.48" thickBot="1" customHeight="1">
      <c r="A6223" s="30"/>
      <c r="B6223" s="30"/>
      <c r="C6223" s="30"/>
      <c r="D6223" s="31" t="s">
        <v>19649</v>
      </c>
      <c r="E6223" s="30"/>
      <c r="F6223" s="33">
        <f ca="1">ROUND((G6212+G6213+G6214+G6215+G6216+G6217+G6222)*(1+G2/100),2)</f>
        <v>0</v>
      </c>
      <c r="G6223" s="30"/>
    </row>
    <row r="6224" spans="1:7" ht="15.48" thickBot="1" customHeight="1">
      <c r="A6224" s="39"/>
      <c r="B6224" s="39"/>
      <c r="C6224" s="39"/>
      <c r="D6224" s="50" t="s">
        <v>19650</v>
      </c>
      <c r="E6224" s="51"/>
      <c r="F6224" s="51"/>
      <c r="G6224" s="51"/>
    </row>
    <row r="6225" spans="1:7" ht="15.48" thickBot="1" customHeight="1">
      <c r="A6225" s="52" t="s">
        <v>19651</v>
      </c>
      <c r="B6225" s="52" t="s">
        <v>19652</v>
      </c>
      <c r="C6225" s="53"/>
      <c r="D6225" s="54" t="s">
        <v>19653</v>
      </c>
      <c r="E6225" s="53"/>
      <c r="F6225" s="53"/>
      <c r="G6225" s="53"/>
    </row>
    <row r="6226" spans="1:7" ht="39.84" thickBot="1" customHeight="1">
      <c r="A6226" s="10" t="s">
        <v>19654</v>
      </c>
      <c r="B6226" s="24" t="s">
        <v>19655</v>
      </c>
      <c r="C6226" s="24" t="s">
        <v>19656</v>
      </c>
      <c r="D6226" s="25" t="s">
        <v>19657</v>
      </c>
      <c r="E6226" s="26"/>
      <c r="F6226" s="27">
        <f ca="1">F6237</f>
        <v>0</v>
      </c>
      <c r="G6226" s="26"/>
    </row>
    <row r="6227" spans="1:7" ht="39.84" thickBot="1" customHeight="1">
      <c r="A6227" s="26"/>
      <c r="B6227" s="26"/>
      <c r="C6227" s="26"/>
      <c r="D6227" s="25" t="s">
        <v>19658</v>
      </c>
      <c r="E6227" s="25"/>
      <c r="F6227" s="25"/>
      <c r="G6227" s="25"/>
    </row>
    <row r="6228" spans="1:7" ht="30.60" thickBot="1" customHeight="1">
      <c r="A6228" s="24" t="s">
        <v>19659</v>
      </c>
      <c r="B6228" s="24" t="s">
        <v>19660</v>
      </c>
      <c r="C6228" s="24" t="s">
        <v>19661</v>
      </c>
      <c r="D6228" s="25" t="s">
        <v>19662</v>
      </c>
      <c r="E6228" s="28">
        <v>0.55000</v>
      </c>
      <c r="F6228" s="29">
        <f ca="1">ROUND(38.000,3)</f>
        <v>0</v>
      </c>
      <c r="G6228" s="27">
        <f ca="1">ROUND(E6228*F6228,2)</f>
        <v>0</v>
      </c>
    </row>
    <row r="6229" spans="1:7" ht="39.84" thickBot="1" customHeight="1">
      <c r="A6229" s="24" t="s">
        <v>19663</v>
      </c>
      <c r="B6229" s="24" t="s">
        <v>19664</v>
      </c>
      <c r="C6229" s="24" t="s">
        <v>19665</v>
      </c>
      <c r="D6229" s="25" t="s">
        <v>19666</v>
      </c>
      <c r="E6229" s="28">
        <v>0.30000</v>
      </c>
      <c r="F6229" s="29">
        <f ca="1">ROUND(8.970,3)</f>
        <v>0</v>
      </c>
      <c r="G6229" s="27">
        <f ca="1">ROUND(E6229*F6229,2)</f>
        <v>0</v>
      </c>
    </row>
    <row r="6230" spans="1:7" ht="30.60" thickBot="1" customHeight="1">
      <c r="A6230" s="24" t="s">
        <v>19667</v>
      </c>
      <c r="B6230" s="24" t="s">
        <v>19668</v>
      </c>
      <c r="C6230" s="24" t="s">
        <v>19669</v>
      </c>
      <c r="D6230" s="25" t="s">
        <v>19670</v>
      </c>
      <c r="E6230" s="28">
        <v>0.20000</v>
      </c>
      <c r="F6230" s="29">
        <f ca="1">ROUND(3.700,3)</f>
        <v>0</v>
      </c>
      <c r="G6230" s="27">
        <f ca="1">ROUND(E6230*F6230,2)</f>
        <v>0</v>
      </c>
    </row>
    <row r="6231" spans="1:7" ht="21.36" thickBot="1" customHeight="1">
      <c r="A6231" s="24" t="s">
        <v>19671</v>
      </c>
      <c r="B6231" s="24" t="s">
        <v>19672</v>
      </c>
      <c r="C6231" s="24" t="s">
        <v>19673</v>
      </c>
      <c r="D6231" s="25" t="s">
        <v>19674</v>
      </c>
      <c r="E6231" s="28">
        <v>0.30000</v>
      </c>
      <c r="F6231" s="29">
        <f ca="1">F6235</f>
        <v>0</v>
      </c>
      <c r="G6231" s="27">
        <f ca="1">ROUND(E6231*F6231,2)</f>
        <v>0</v>
      </c>
    </row>
    <row r="6232" spans="1:7" ht="24.36" thickBot="1" customHeight="1">
      <c r="A6232" s="24" t="s">
        <v>19675</v>
      </c>
      <c r="B6232" s="24" t="s">
        <v>19676</v>
      </c>
      <c r="C6232" s="24" t="s">
        <v>19677</v>
      </c>
      <c r="D6232" s="25" t="s">
        <v>19678</v>
      </c>
      <c r="E6232" s="28">
        <v>1.00000</v>
      </c>
      <c r="F6232" s="29">
        <f ca="1">ROUND(21.000,3)</f>
        <v>0</v>
      </c>
      <c r="G6232" s="27">
        <f ca="1">ROUND(E6232*F6232,2)</f>
        <v>0</v>
      </c>
    </row>
    <row r="6233" spans="1:7" ht="24.36" thickBot="1" customHeight="1">
      <c r="A6233" s="24" t="s">
        <v>19679</v>
      </c>
      <c r="B6233" s="24" t="s">
        <v>19680</v>
      </c>
      <c r="C6233" s="24" t="s">
        <v>19681</v>
      </c>
      <c r="D6233" s="25" t="s">
        <v>19682</v>
      </c>
      <c r="E6233" s="28">
        <v>1.00000</v>
      </c>
      <c r="F6233" s="29">
        <f ca="1">ROUND(19.000,3)</f>
        <v>0</v>
      </c>
      <c r="G6233" s="27">
        <f ca="1">ROUND(E6233*F6233,2)</f>
        <v>0</v>
      </c>
    </row>
    <row r="6234" spans="1:7" ht="24.36" thickBot="1" customHeight="1">
      <c r="A6234" s="24" t="s">
        <v>19683</v>
      </c>
      <c r="B6234" s="24" t="s">
        <v>19684</v>
      </c>
      <c r="C6234" s="24" t="s">
        <v>19685</v>
      </c>
      <c r="D6234" s="25" t="s">
        <v>19686</v>
      </c>
      <c r="E6234" s="28">
        <v>0.20000</v>
      </c>
      <c r="F6234" s="29">
        <f ca="1">ROUND(19.000,3)</f>
        <v>0</v>
      </c>
      <c r="G6234" s="27">
        <f ca="1">ROUND(E6234*F6234,2)</f>
        <v>0</v>
      </c>
    </row>
    <row r="6235" spans="1:7" ht="15.12" thickBot="1" customHeight="1">
      <c r="A6235" s="26"/>
      <c r="B6235" s="26"/>
      <c r="C6235" s="26"/>
      <c r="D6235" s="24" t="s">
        <v>19687</v>
      </c>
      <c r="E6235" s="28">
        <v>0.30000</v>
      </c>
      <c r="F6235" s="29">
        <f ca="1">ROUND((G6232+G6233+G6234),3)</f>
        <v>0</v>
      </c>
      <c r="G6235" s="27">
        <f ca="1">ROUND(E6235*F6235,2)</f>
        <v>0</v>
      </c>
    </row>
    <row r="6236" spans="1:7" ht="15.12" thickBot="1" customHeight="1">
      <c r="A6236" s="24" t="s">
        <v>19688</v>
      </c>
      <c r="B6236" s="24"/>
      <c r="C6236" s="24" t="s">
        <v>19689</v>
      </c>
      <c r="D6236" s="25" t="s">
        <v>19690</v>
      </c>
      <c r="E6236" s="28">
        <v>3.00000</v>
      </c>
      <c r="F6236" s="29">
        <f ca="1">ROUND(13.140,3)</f>
        <v>0</v>
      </c>
      <c r="G6236" s="27">
        <f ca="1">ROUND((E6236*F6236)/100,2)</f>
        <v>0</v>
      </c>
    </row>
    <row r="6237" spans="1:7" ht="15.48" thickBot="1" customHeight="1">
      <c r="A6237" s="30"/>
      <c r="B6237" s="30"/>
      <c r="C6237" s="30"/>
      <c r="D6237" s="31" t="s">
        <v>19691</v>
      </c>
      <c r="E6237" s="30"/>
      <c r="F6237" s="33">
        <f ca="1">ROUND((G6228+G6229+G6230+G6231+G6236)*(1+G2/100),2)</f>
        <v>0</v>
      </c>
      <c r="G6237" s="30"/>
    </row>
    <row r="6238" spans="1:7" ht="39.84" thickBot="1" customHeight="1">
      <c r="A6238" s="34" t="s">
        <v>19692</v>
      </c>
      <c r="B6238" s="35" t="s">
        <v>19693</v>
      </c>
      <c r="C6238" s="35" t="s">
        <v>19694</v>
      </c>
      <c r="D6238" s="36" t="s">
        <v>19695</v>
      </c>
      <c r="E6238" s="37"/>
      <c r="F6238" s="38">
        <f ca="1">F6249</f>
        <v>0</v>
      </c>
      <c r="G6238" s="37"/>
    </row>
    <row r="6239" spans="1:7" ht="21.36" thickBot="1" customHeight="1">
      <c r="A6239" s="26"/>
      <c r="B6239" s="26"/>
      <c r="C6239" s="26"/>
      <c r="D6239" s="25" t="s">
        <v>19696</v>
      </c>
      <c r="E6239" s="25"/>
      <c r="F6239" s="25"/>
      <c r="G6239" s="25"/>
    </row>
    <row r="6240" spans="1:7" ht="30.60" thickBot="1" customHeight="1">
      <c r="A6240" s="24" t="s">
        <v>19697</v>
      </c>
      <c r="B6240" s="24" t="s">
        <v>19698</v>
      </c>
      <c r="C6240" s="24" t="s">
        <v>19699</v>
      </c>
      <c r="D6240" s="25" t="s">
        <v>19700</v>
      </c>
      <c r="E6240" s="28">
        <v>0.55000</v>
      </c>
      <c r="F6240" s="29">
        <f ca="1">ROUND(38.000,3)</f>
        <v>0</v>
      </c>
      <c r="G6240" s="27">
        <f ca="1">ROUND(E6240*F6240,2)</f>
        <v>0</v>
      </c>
    </row>
    <row r="6241" spans="1:7" ht="39.84" thickBot="1" customHeight="1">
      <c r="A6241" s="24" t="s">
        <v>19701</v>
      </c>
      <c r="B6241" s="24" t="s">
        <v>19702</v>
      </c>
      <c r="C6241" s="24" t="s">
        <v>19703</v>
      </c>
      <c r="D6241" s="25" t="s">
        <v>19704</v>
      </c>
      <c r="E6241" s="28">
        <v>0.30000</v>
      </c>
      <c r="F6241" s="29">
        <f ca="1">ROUND(8.970,3)</f>
        <v>0</v>
      </c>
      <c r="G6241" s="27">
        <f ca="1">ROUND(E6241*F6241,2)</f>
        <v>0</v>
      </c>
    </row>
    <row r="6242" spans="1:7" ht="30.60" thickBot="1" customHeight="1">
      <c r="A6242" s="24" t="s">
        <v>19705</v>
      </c>
      <c r="B6242" s="24" t="s">
        <v>19706</v>
      </c>
      <c r="C6242" s="24" t="s">
        <v>19707</v>
      </c>
      <c r="D6242" s="25" t="s">
        <v>19708</v>
      </c>
      <c r="E6242" s="28">
        <v>0.40000</v>
      </c>
      <c r="F6242" s="29">
        <f ca="1">ROUND(3.700,3)</f>
        <v>0</v>
      </c>
      <c r="G6242" s="27">
        <f ca="1">ROUND(E6242*F6242,2)</f>
        <v>0</v>
      </c>
    </row>
    <row r="6243" spans="1:7" ht="21.36" thickBot="1" customHeight="1">
      <c r="A6243" s="24" t="s">
        <v>19709</v>
      </c>
      <c r="B6243" s="24" t="s">
        <v>19710</v>
      </c>
      <c r="C6243" s="24" t="s">
        <v>19711</v>
      </c>
      <c r="D6243" s="25" t="s">
        <v>19712</v>
      </c>
      <c r="E6243" s="28">
        <v>0.56000</v>
      </c>
      <c r="F6243" s="29">
        <f ca="1">F6247</f>
        <v>0</v>
      </c>
      <c r="G6243" s="27">
        <f ca="1">ROUND(E6243*F6243,2)</f>
        <v>0</v>
      </c>
    </row>
    <row r="6244" spans="1:7" ht="24.36" thickBot="1" customHeight="1">
      <c r="A6244" s="24" t="s">
        <v>19713</v>
      </c>
      <c r="B6244" s="24" t="s">
        <v>19714</v>
      </c>
      <c r="C6244" s="24" t="s">
        <v>19715</v>
      </c>
      <c r="D6244" s="25" t="s">
        <v>19716</v>
      </c>
      <c r="E6244" s="28">
        <v>1.00000</v>
      </c>
      <c r="F6244" s="29">
        <f ca="1">ROUND(21.000,3)</f>
        <v>0</v>
      </c>
      <c r="G6244" s="27">
        <f ca="1">ROUND(E6244*F6244,2)</f>
        <v>0</v>
      </c>
    </row>
    <row r="6245" spans="1:7" ht="24.36" thickBot="1" customHeight="1">
      <c r="A6245" s="24" t="s">
        <v>19717</v>
      </c>
      <c r="B6245" s="24" t="s">
        <v>19718</v>
      </c>
      <c r="C6245" s="24" t="s">
        <v>19719</v>
      </c>
      <c r="D6245" s="25" t="s">
        <v>19720</v>
      </c>
      <c r="E6245" s="28">
        <v>1.00000</v>
      </c>
      <c r="F6245" s="29">
        <f ca="1">ROUND(19.000,3)</f>
        <v>0</v>
      </c>
      <c r="G6245" s="27">
        <f ca="1">ROUND(E6245*F6245,2)</f>
        <v>0</v>
      </c>
    </row>
    <row r="6246" spans="1:7" ht="24.36" thickBot="1" customHeight="1">
      <c r="A6246" s="24" t="s">
        <v>19721</v>
      </c>
      <c r="B6246" s="24" t="s">
        <v>19722</v>
      </c>
      <c r="C6246" s="24" t="s">
        <v>19723</v>
      </c>
      <c r="D6246" s="25" t="s">
        <v>19724</v>
      </c>
      <c r="E6246" s="28">
        <v>0.20000</v>
      </c>
      <c r="F6246" s="29">
        <f ca="1">ROUND(19.000,3)</f>
        <v>0</v>
      </c>
      <c r="G6246" s="27">
        <f ca="1">ROUND(E6246*F6246,2)</f>
        <v>0</v>
      </c>
    </row>
    <row r="6247" spans="1:7" ht="15.12" thickBot="1" customHeight="1">
      <c r="A6247" s="26"/>
      <c r="B6247" s="26"/>
      <c r="C6247" s="26"/>
      <c r="D6247" s="24" t="s">
        <v>19725</v>
      </c>
      <c r="E6247" s="28">
        <v>0.56000</v>
      </c>
      <c r="F6247" s="29">
        <f ca="1">ROUND((G6244+G6245+G6246),3)</f>
        <v>0</v>
      </c>
      <c r="G6247" s="27">
        <f ca="1">ROUND(E6247*F6247,2)</f>
        <v>0</v>
      </c>
    </row>
    <row r="6248" spans="1:7" ht="15.12" thickBot="1" customHeight="1">
      <c r="A6248" s="24" t="s">
        <v>19726</v>
      </c>
      <c r="B6248" s="24"/>
      <c r="C6248" s="24" t="s">
        <v>19727</v>
      </c>
      <c r="D6248" s="25" t="s">
        <v>19728</v>
      </c>
      <c r="E6248" s="28">
        <v>7.00000</v>
      </c>
      <c r="F6248" s="29">
        <f ca="1">ROUND(24.530,3)</f>
        <v>0</v>
      </c>
      <c r="G6248" s="27">
        <f ca="1">ROUND((E6248*F6248)/100,2)</f>
        <v>0</v>
      </c>
    </row>
    <row r="6249" spans="1:7" ht="15.48" thickBot="1" customHeight="1">
      <c r="A6249" s="30"/>
      <c r="B6249" s="30"/>
      <c r="C6249" s="30"/>
      <c r="D6249" s="31" t="s">
        <v>19729</v>
      </c>
      <c r="E6249" s="30"/>
      <c r="F6249" s="33">
        <f ca="1">ROUND((G6240+G6241+G6242+G6243+G6248)*(1+G2/100),2)</f>
        <v>0</v>
      </c>
      <c r="G6249" s="30"/>
    </row>
    <row r="6250" spans="1:7" ht="39.84" thickBot="1" customHeight="1">
      <c r="A6250" s="34" t="s">
        <v>19730</v>
      </c>
      <c r="B6250" s="35" t="s">
        <v>19731</v>
      </c>
      <c r="C6250" s="35" t="s">
        <v>19732</v>
      </c>
      <c r="D6250" s="36" t="s">
        <v>19733</v>
      </c>
      <c r="E6250" s="37"/>
      <c r="F6250" s="38">
        <f ca="1">F6261</f>
        <v>0</v>
      </c>
      <c r="G6250" s="37"/>
    </row>
    <row r="6251" spans="1:7" ht="21.36" thickBot="1" customHeight="1">
      <c r="A6251" s="26"/>
      <c r="B6251" s="26"/>
      <c r="C6251" s="26"/>
      <c r="D6251" s="25" t="s">
        <v>19734</v>
      </c>
      <c r="E6251" s="25"/>
      <c r="F6251" s="25"/>
      <c r="G6251" s="25"/>
    </row>
    <row r="6252" spans="1:7" ht="30.60" thickBot="1" customHeight="1">
      <c r="A6252" s="24" t="s">
        <v>19735</v>
      </c>
      <c r="B6252" s="24" t="s">
        <v>19736</v>
      </c>
      <c r="C6252" s="24" t="s">
        <v>19737</v>
      </c>
      <c r="D6252" s="25" t="s">
        <v>19738</v>
      </c>
      <c r="E6252" s="28">
        <v>4.00000</v>
      </c>
      <c r="F6252" s="29">
        <f ca="1">ROUND(3.040,3)</f>
        <v>0</v>
      </c>
      <c r="G6252" s="27">
        <f ca="1">ROUND(E6252*F6252,2)</f>
        <v>0</v>
      </c>
    </row>
    <row r="6253" spans="1:7" ht="30.60" thickBot="1" customHeight="1">
      <c r="A6253" s="24" t="s">
        <v>19739</v>
      </c>
      <c r="B6253" s="24" t="s">
        <v>19740</v>
      </c>
      <c r="C6253" s="24" t="s">
        <v>19741</v>
      </c>
      <c r="D6253" s="25" t="s">
        <v>19742</v>
      </c>
      <c r="E6253" s="28">
        <v>0.13200</v>
      </c>
      <c r="F6253" s="29">
        <f ca="1">ROUND(15.430,3)</f>
        <v>0</v>
      </c>
      <c r="G6253" s="27">
        <f ca="1">ROUND(E6253*F6253,2)</f>
        <v>0</v>
      </c>
    </row>
    <row r="6254" spans="1:7" ht="30.60" thickBot="1" customHeight="1">
      <c r="A6254" s="24" t="s">
        <v>19743</v>
      </c>
      <c r="B6254" s="24" t="s">
        <v>19744</v>
      </c>
      <c r="C6254" s="24" t="s">
        <v>19745</v>
      </c>
      <c r="D6254" s="25" t="s">
        <v>19746</v>
      </c>
      <c r="E6254" s="28">
        <v>0.11100</v>
      </c>
      <c r="F6254" s="29">
        <f ca="1">ROUND(11.740,3)</f>
        <v>0</v>
      </c>
      <c r="G6254" s="27">
        <f ca="1">ROUND(E6254*F6254,2)</f>
        <v>0</v>
      </c>
    </row>
    <row r="6255" spans="1:7" ht="21.36" thickBot="1" customHeight="1">
      <c r="A6255" s="24" t="s">
        <v>19747</v>
      </c>
      <c r="B6255" s="24" t="s">
        <v>19748</v>
      </c>
      <c r="C6255" s="24" t="s">
        <v>19749</v>
      </c>
      <c r="D6255" s="25" t="s">
        <v>19750</v>
      </c>
      <c r="E6255" s="28">
        <v>0.53333</v>
      </c>
      <c r="F6255" s="29">
        <f ca="1">F6259</f>
        <v>0</v>
      </c>
      <c r="G6255" s="27">
        <f ca="1">ROUND(E6255*F6255,2)</f>
        <v>0</v>
      </c>
    </row>
    <row r="6256" spans="1:7" ht="24.36" thickBot="1" customHeight="1">
      <c r="A6256" s="24" t="s">
        <v>19751</v>
      </c>
      <c r="B6256" s="24" t="s">
        <v>19752</v>
      </c>
      <c r="C6256" s="24" t="s">
        <v>19753</v>
      </c>
      <c r="D6256" s="25" t="s">
        <v>19754</v>
      </c>
      <c r="E6256" s="28">
        <v>1.00000</v>
      </c>
      <c r="F6256" s="29">
        <f ca="1">ROUND(21.000,3)</f>
        <v>0</v>
      </c>
      <c r="G6256" s="27">
        <f ca="1">ROUND(E6256*F6256,2)</f>
        <v>0</v>
      </c>
    </row>
    <row r="6257" spans="1:7" ht="24.36" thickBot="1" customHeight="1">
      <c r="A6257" s="24" t="s">
        <v>19755</v>
      </c>
      <c r="B6257" s="24" t="s">
        <v>19756</v>
      </c>
      <c r="C6257" s="24" t="s">
        <v>19757</v>
      </c>
      <c r="D6257" s="25" t="s">
        <v>19758</v>
      </c>
      <c r="E6257" s="28">
        <v>1.00000</v>
      </c>
      <c r="F6257" s="29">
        <f ca="1">ROUND(19.000,3)</f>
        <v>0</v>
      </c>
      <c r="G6257" s="27">
        <f ca="1">ROUND(E6257*F6257,2)</f>
        <v>0</v>
      </c>
    </row>
    <row r="6258" spans="1:7" ht="24.36" thickBot="1" customHeight="1">
      <c r="A6258" s="24" t="s">
        <v>19759</v>
      </c>
      <c r="B6258" s="24" t="s">
        <v>19760</v>
      </c>
      <c r="C6258" s="24" t="s">
        <v>19761</v>
      </c>
      <c r="D6258" s="25" t="s">
        <v>19762</v>
      </c>
      <c r="E6258" s="28">
        <v>0.20000</v>
      </c>
      <c r="F6258" s="29">
        <f ca="1">ROUND(19.000,3)</f>
        <v>0</v>
      </c>
      <c r="G6258" s="27">
        <f ca="1">ROUND(E6258*F6258,2)</f>
        <v>0</v>
      </c>
    </row>
    <row r="6259" spans="1:7" ht="15.12" thickBot="1" customHeight="1">
      <c r="A6259" s="26"/>
      <c r="B6259" s="26"/>
      <c r="C6259" s="26"/>
      <c r="D6259" s="24" t="s">
        <v>19763</v>
      </c>
      <c r="E6259" s="28">
        <v>0.53333</v>
      </c>
      <c r="F6259" s="29">
        <f ca="1">ROUND((G6256+G6257+G6258),3)</f>
        <v>0</v>
      </c>
      <c r="G6259" s="27">
        <f ca="1">ROUND(E6259*F6259,2)</f>
        <v>0</v>
      </c>
    </row>
    <row r="6260" spans="1:7" ht="15.12" thickBot="1" customHeight="1">
      <c r="A6260" s="24" t="s">
        <v>19764</v>
      </c>
      <c r="B6260" s="24"/>
      <c r="C6260" s="24" t="s">
        <v>19765</v>
      </c>
      <c r="D6260" s="25" t="s">
        <v>19766</v>
      </c>
      <c r="E6260" s="28">
        <v>3.00000</v>
      </c>
      <c r="F6260" s="29">
        <f ca="1">ROUND(23.360,3)</f>
        <v>0</v>
      </c>
      <c r="G6260" s="27">
        <f ca="1">ROUND((E6260*F6260)/100,2)</f>
        <v>0</v>
      </c>
    </row>
    <row r="6261" spans="1:7" ht="15.48" thickBot="1" customHeight="1">
      <c r="A6261" s="30"/>
      <c r="B6261" s="30"/>
      <c r="C6261" s="30"/>
      <c r="D6261" s="31" t="s">
        <v>19767</v>
      </c>
      <c r="E6261" s="30"/>
      <c r="F6261" s="33">
        <f ca="1">ROUND((G6252+G6253+G6254+G6255+G6260)*(1+G2/100),2)</f>
        <v>0</v>
      </c>
      <c r="G6261" s="30"/>
    </row>
    <row r="6262" spans="1:7" ht="49.08" thickBot="1" customHeight="1">
      <c r="A6262" s="34" t="s">
        <v>19768</v>
      </c>
      <c r="B6262" s="35" t="s">
        <v>19769</v>
      </c>
      <c r="C6262" s="35" t="s">
        <v>19770</v>
      </c>
      <c r="D6262" s="36" t="s">
        <v>19771</v>
      </c>
      <c r="E6262" s="37"/>
      <c r="F6262" s="38">
        <f ca="1">F6273</f>
        <v>0</v>
      </c>
      <c r="G6262" s="37"/>
    </row>
    <row r="6263" spans="1:7" ht="21.36" thickBot="1" customHeight="1">
      <c r="A6263" s="26"/>
      <c r="B6263" s="26"/>
      <c r="C6263" s="26"/>
      <c r="D6263" s="25" t="s">
        <v>19772</v>
      </c>
      <c r="E6263" s="25"/>
      <c r="F6263" s="25"/>
      <c r="G6263" s="25"/>
    </row>
    <row r="6264" spans="1:7" ht="30.60" thickBot="1" customHeight="1">
      <c r="A6264" s="24" t="s">
        <v>19773</v>
      </c>
      <c r="B6264" s="24" t="s">
        <v>19774</v>
      </c>
      <c r="C6264" s="24" t="s">
        <v>19775</v>
      </c>
      <c r="D6264" s="25" t="s">
        <v>19776</v>
      </c>
      <c r="E6264" s="28">
        <v>4.00000</v>
      </c>
      <c r="F6264" s="29">
        <f ca="1">ROUND(3.040,3)</f>
        <v>0</v>
      </c>
      <c r="G6264" s="27">
        <f ca="1">ROUND(E6264*F6264,2)</f>
        <v>0</v>
      </c>
    </row>
    <row r="6265" spans="1:7" ht="30.60" thickBot="1" customHeight="1">
      <c r="A6265" s="24" t="s">
        <v>19777</v>
      </c>
      <c r="B6265" s="24" t="s">
        <v>19778</v>
      </c>
      <c r="C6265" s="24" t="s">
        <v>19779</v>
      </c>
      <c r="D6265" s="25" t="s">
        <v>19780</v>
      </c>
      <c r="E6265" s="28">
        <v>0.13200</v>
      </c>
      <c r="F6265" s="29">
        <f ca="1">ROUND(15.430,3)</f>
        <v>0</v>
      </c>
      <c r="G6265" s="27">
        <f ca="1">ROUND(E6265*F6265,2)</f>
        <v>0</v>
      </c>
    </row>
    <row r="6266" spans="1:7" ht="30.60" thickBot="1" customHeight="1">
      <c r="A6266" s="24" t="s">
        <v>19781</v>
      </c>
      <c r="B6266" s="24" t="s">
        <v>19782</v>
      </c>
      <c r="C6266" s="24" t="s">
        <v>19783</v>
      </c>
      <c r="D6266" s="25" t="s">
        <v>19784</v>
      </c>
      <c r="E6266" s="28">
        <v>0.11100</v>
      </c>
      <c r="F6266" s="29">
        <f ca="1">ROUND(11.740,3)</f>
        <v>0</v>
      </c>
      <c r="G6266" s="27">
        <f ca="1">ROUND(E6266*F6266,2)</f>
        <v>0</v>
      </c>
    </row>
    <row r="6267" spans="1:7" ht="21.36" thickBot="1" customHeight="1">
      <c r="A6267" s="24" t="s">
        <v>19785</v>
      </c>
      <c r="B6267" s="24" t="s">
        <v>19786</v>
      </c>
      <c r="C6267" s="24" t="s">
        <v>19787</v>
      </c>
      <c r="D6267" s="25" t="s">
        <v>19788</v>
      </c>
      <c r="E6267" s="28">
        <v>0.75000</v>
      </c>
      <c r="F6267" s="29">
        <f ca="1">F6271</f>
        <v>0</v>
      </c>
      <c r="G6267" s="27">
        <f ca="1">ROUND(E6267*F6267,2)</f>
        <v>0</v>
      </c>
    </row>
    <row r="6268" spans="1:7" ht="24.36" thickBot="1" customHeight="1">
      <c r="A6268" s="24" t="s">
        <v>19789</v>
      </c>
      <c r="B6268" s="24" t="s">
        <v>19790</v>
      </c>
      <c r="C6268" s="24" t="s">
        <v>19791</v>
      </c>
      <c r="D6268" s="25" t="s">
        <v>19792</v>
      </c>
      <c r="E6268" s="28">
        <v>1.00000</v>
      </c>
      <c r="F6268" s="29">
        <f ca="1">ROUND(21.000,3)</f>
        <v>0</v>
      </c>
      <c r="G6268" s="27">
        <f ca="1">ROUND(E6268*F6268,2)</f>
        <v>0</v>
      </c>
    </row>
    <row r="6269" spans="1:7" ht="24.36" thickBot="1" customHeight="1">
      <c r="A6269" s="24" t="s">
        <v>19793</v>
      </c>
      <c r="B6269" s="24" t="s">
        <v>19794</v>
      </c>
      <c r="C6269" s="24" t="s">
        <v>19795</v>
      </c>
      <c r="D6269" s="25" t="s">
        <v>19796</v>
      </c>
      <c r="E6269" s="28">
        <v>1.00000</v>
      </c>
      <c r="F6269" s="29">
        <f ca="1">ROUND(19.000,3)</f>
        <v>0</v>
      </c>
      <c r="G6269" s="27">
        <f ca="1">ROUND(E6269*F6269,2)</f>
        <v>0</v>
      </c>
    </row>
    <row r="6270" spans="1:7" ht="24.36" thickBot="1" customHeight="1">
      <c r="A6270" s="24" t="s">
        <v>19797</v>
      </c>
      <c r="B6270" s="24" t="s">
        <v>19798</v>
      </c>
      <c r="C6270" s="24" t="s">
        <v>19799</v>
      </c>
      <c r="D6270" s="25" t="s">
        <v>19800</v>
      </c>
      <c r="E6270" s="28">
        <v>0.20000</v>
      </c>
      <c r="F6270" s="29">
        <f ca="1">ROUND(19.000,3)</f>
        <v>0</v>
      </c>
      <c r="G6270" s="27">
        <f ca="1">ROUND(E6270*F6270,2)</f>
        <v>0</v>
      </c>
    </row>
    <row r="6271" spans="1:7" ht="15.12" thickBot="1" customHeight="1">
      <c r="A6271" s="26"/>
      <c r="B6271" s="26"/>
      <c r="C6271" s="26"/>
      <c r="D6271" s="24" t="s">
        <v>19801</v>
      </c>
      <c r="E6271" s="28">
        <v>0.75000</v>
      </c>
      <c r="F6271" s="29">
        <f ca="1">ROUND((G6268+G6269+G6270),3)</f>
        <v>0</v>
      </c>
      <c r="G6271" s="27">
        <f ca="1">ROUND(E6271*F6271,2)</f>
        <v>0</v>
      </c>
    </row>
    <row r="6272" spans="1:7" ht="15.12" thickBot="1" customHeight="1">
      <c r="A6272" s="24" t="s">
        <v>19802</v>
      </c>
      <c r="B6272" s="24"/>
      <c r="C6272" s="24" t="s">
        <v>19803</v>
      </c>
      <c r="D6272" s="25" t="s">
        <v>19804</v>
      </c>
      <c r="E6272" s="28">
        <v>5.00000</v>
      </c>
      <c r="F6272" s="29">
        <f ca="1">ROUND(32.850,3)</f>
        <v>0</v>
      </c>
      <c r="G6272" s="27">
        <f ca="1">ROUND((E6272*F6272)/100,2)</f>
        <v>0</v>
      </c>
    </row>
    <row r="6273" spans="1:7" ht="15.48" thickBot="1" customHeight="1">
      <c r="A6273" s="30"/>
      <c r="B6273" s="30"/>
      <c r="C6273" s="30"/>
      <c r="D6273" s="31" t="s">
        <v>19805</v>
      </c>
      <c r="E6273" s="30"/>
      <c r="F6273" s="33">
        <f ca="1">ROUND((G6264+G6265+G6266+G6267+G6272)*(1+G2/100),2)</f>
        <v>0</v>
      </c>
      <c r="G6273" s="30"/>
    </row>
    <row r="6274" spans="1:7" ht="39.84" thickBot="1" customHeight="1">
      <c r="A6274" s="34" t="s">
        <v>19806</v>
      </c>
      <c r="B6274" s="35" t="s">
        <v>19807</v>
      </c>
      <c r="C6274" s="35" t="s">
        <v>19808</v>
      </c>
      <c r="D6274" s="36" t="s">
        <v>19809</v>
      </c>
      <c r="E6274" s="37"/>
      <c r="F6274" s="38">
        <f ca="1">F6285</f>
        <v>0</v>
      </c>
      <c r="G6274" s="37"/>
    </row>
    <row r="6275" spans="1:7" ht="21.36" thickBot="1" customHeight="1">
      <c r="A6275" s="26"/>
      <c r="B6275" s="26"/>
      <c r="C6275" s="26"/>
      <c r="D6275" s="25" t="s">
        <v>19810</v>
      </c>
      <c r="E6275" s="25"/>
      <c r="F6275" s="25"/>
      <c r="G6275" s="25"/>
    </row>
    <row r="6276" spans="1:7" ht="30.60" thickBot="1" customHeight="1">
      <c r="A6276" s="24" t="s">
        <v>19811</v>
      </c>
      <c r="B6276" s="24" t="s">
        <v>19812</v>
      </c>
      <c r="C6276" s="24" t="s">
        <v>19813</v>
      </c>
      <c r="D6276" s="25" t="s">
        <v>19814</v>
      </c>
      <c r="E6276" s="28">
        <v>3.17460</v>
      </c>
      <c r="F6276" s="29">
        <f ca="1">ROUND(4.930,3)</f>
        <v>0</v>
      </c>
      <c r="G6276" s="27">
        <f ca="1">ROUND(E6276*F6276,2)</f>
        <v>0</v>
      </c>
    </row>
    <row r="6277" spans="1:7" ht="30.60" thickBot="1" customHeight="1">
      <c r="A6277" s="24" t="s">
        <v>19815</v>
      </c>
      <c r="B6277" s="24" t="s">
        <v>19816</v>
      </c>
      <c r="C6277" s="24" t="s">
        <v>19817</v>
      </c>
      <c r="D6277" s="25" t="s">
        <v>19818</v>
      </c>
      <c r="E6277" s="28">
        <v>0.13200</v>
      </c>
      <c r="F6277" s="29">
        <f ca="1">ROUND(15.430,3)</f>
        <v>0</v>
      </c>
      <c r="G6277" s="27">
        <f ca="1">ROUND(E6277*F6277,2)</f>
        <v>0</v>
      </c>
    </row>
    <row r="6278" spans="1:7" ht="30.60" thickBot="1" customHeight="1">
      <c r="A6278" s="24" t="s">
        <v>19819</v>
      </c>
      <c r="B6278" s="24" t="s">
        <v>19820</v>
      </c>
      <c r="C6278" s="24" t="s">
        <v>19821</v>
      </c>
      <c r="D6278" s="25" t="s">
        <v>19822</v>
      </c>
      <c r="E6278" s="28">
        <v>0.04405</v>
      </c>
      <c r="F6278" s="29">
        <f ca="1">ROUND(11.740,3)</f>
        <v>0</v>
      </c>
      <c r="G6278" s="27">
        <f ca="1">ROUND(E6278*F6278,2)</f>
        <v>0</v>
      </c>
    </row>
    <row r="6279" spans="1:7" ht="21.36" thickBot="1" customHeight="1">
      <c r="A6279" s="24" t="s">
        <v>19823</v>
      </c>
      <c r="B6279" s="24" t="s">
        <v>19824</v>
      </c>
      <c r="C6279" s="24" t="s">
        <v>19825</v>
      </c>
      <c r="D6279" s="25" t="s">
        <v>19826</v>
      </c>
      <c r="E6279" s="28">
        <v>0.50000</v>
      </c>
      <c r="F6279" s="29">
        <f ca="1">F6283</f>
        <v>0</v>
      </c>
      <c r="G6279" s="27">
        <f ca="1">ROUND(E6279*F6279,2)</f>
        <v>0</v>
      </c>
    </row>
    <row r="6280" spans="1:7" ht="24.36" thickBot="1" customHeight="1">
      <c r="A6280" s="24" t="s">
        <v>19827</v>
      </c>
      <c r="B6280" s="24" t="s">
        <v>19828</v>
      </c>
      <c r="C6280" s="24" t="s">
        <v>19829</v>
      </c>
      <c r="D6280" s="25" t="s">
        <v>19830</v>
      </c>
      <c r="E6280" s="28">
        <v>1.00000</v>
      </c>
      <c r="F6280" s="29">
        <f ca="1">ROUND(21.000,3)</f>
        <v>0</v>
      </c>
      <c r="G6280" s="27">
        <f ca="1">ROUND(E6280*F6280,2)</f>
        <v>0</v>
      </c>
    </row>
    <row r="6281" spans="1:7" ht="24.36" thickBot="1" customHeight="1">
      <c r="A6281" s="24" t="s">
        <v>19831</v>
      </c>
      <c r="B6281" s="24" t="s">
        <v>19832</v>
      </c>
      <c r="C6281" s="24" t="s">
        <v>19833</v>
      </c>
      <c r="D6281" s="25" t="s">
        <v>19834</v>
      </c>
      <c r="E6281" s="28">
        <v>1.00000</v>
      </c>
      <c r="F6281" s="29">
        <f ca="1">ROUND(19.000,3)</f>
        <v>0</v>
      </c>
      <c r="G6281" s="27">
        <f ca="1">ROUND(E6281*F6281,2)</f>
        <v>0</v>
      </c>
    </row>
    <row r="6282" spans="1:7" ht="24.36" thickBot="1" customHeight="1">
      <c r="A6282" s="24" t="s">
        <v>19835</v>
      </c>
      <c r="B6282" s="24" t="s">
        <v>19836</v>
      </c>
      <c r="C6282" s="24" t="s">
        <v>19837</v>
      </c>
      <c r="D6282" s="25" t="s">
        <v>19838</v>
      </c>
      <c r="E6282" s="28">
        <v>0.20000</v>
      </c>
      <c r="F6282" s="29">
        <f ca="1">ROUND(19.000,3)</f>
        <v>0</v>
      </c>
      <c r="G6282" s="27">
        <f ca="1">ROUND(E6282*F6282,2)</f>
        <v>0</v>
      </c>
    </row>
    <row r="6283" spans="1:7" ht="15.12" thickBot="1" customHeight="1">
      <c r="A6283" s="26"/>
      <c r="B6283" s="26"/>
      <c r="C6283" s="26"/>
      <c r="D6283" s="24" t="s">
        <v>19839</v>
      </c>
      <c r="E6283" s="28">
        <v>0.50000</v>
      </c>
      <c r="F6283" s="29">
        <f ca="1">ROUND((G6280+G6281+G6282),3)</f>
        <v>0</v>
      </c>
      <c r="G6283" s="27">
        <f ca="1">ROUND(E6283*F6283,2)</f>
        <v>0</v>
      </c>
    </row>
    <row r="6284" spans="1:7" ht="15.12" thickBot="1" customHeight="1">
      <c r="A6284" s="24" t="s">
        <v>19840</v>
      </c>
      <c r="B6284" s="24"/>
      <c r="C6284" s="24" t="s">
        <v>19841</v>
      </c>
      <c r="D6284" s="25" t="s">
        <v>19842</v>
      </c>
      <c r="E6284" s="28">
        <v>3.00000</v>
      </c>
      <c r="F6284" s="29">
        <f ca="1">ROUND(21.900,3)</f>
        <v>0</v>
      </c>
      <c r="G6284" s="27">
        <f ca="1">ROUND((E6284*F6284)/100,2)</f>
        <v>0</v>
      </c>
    </row>
    <row r="6285" spans="1:7" ht="15.48" thickBot="1" customHeight="1">
      <c r="A6285" s="30"/>
      <c r="B6285" s="30"/>
      <c r="C6285" s="30"/>
      <c r="D6285" s="31" t="s">
        <v>19843</v>
      </c>
      <c r="E6285" s="30"/>
      <c r="F6285" s="33">
        <f ca="1">ROUND((G6276+G6277+G6278+G6279+G6284)*(1+G2/100),2)</f>
        <v>0</v>
      </c>
      <c r="G6285" s="30"/>
    </row>
    <row r="6286" spans="1:7" ht="49.08" thickBot="1" customHeight="1">
      <c r="A6286" s="34" t="s">
        <v>19844</v>
      </c>
      <c r="B6286" s="35" t="s">
        <v>19845</v>
      </c>
      <c r="C6286" s="35" t="s">
        <v>19846</v>
      </c>
      <c r="D6286" s="36" t="s">
        <v>19847</v>
      </c>
      <c r="E6286" s="37"/>
      <c r="F6286" s="38">
        <f ca="1">F6297</f>
        <v>0</v>
      </c>
      <c r="G6286" s="37"/>
    </row>
    <row r="6287" spans="1:7" ht="21.36" thickBot="1" customHeight="1">
      <c r="A6287" s="26"/>
      <c r="B6287" s="26"/>
      <c r="C6287" s="26"/>
      <c r="D6287" s="25" t="s">
        <v>19848</v>
      </c>
      <c r="E6287" s="25"/>
      <c r="F6287" s="25"/>
      <c r="G6287" s="25"/>
    </row>
    <row r="6288" spans="1:7" ht="30.60" thickBot="1" customHeight="1">
      <c r="A6288" s="24" t="s">
        <v>19849</v>
      </c>
      <c r="B6288" s="24" t="s">
        <v>19850</v>
      </c>
      <c r="C6288" s="24" t="s">
        <v>19851</v>
      </c>
      <c r="D6288" s="25" t="s">
        <v>19852</v>
      </c>
      <c r="E6288" s="28">
        <v>3.17460</v>
      </c>
      <c r="F6288" s="29">
        <f ca="1">ROUND(4.930,3)</f>
        <v>0</v>
      </c>
      <c r="G6288" s="27">
        <f ca="1">ROUND(E6288*F6288,2)</f>
        <v>0</v>
      </c>
    </row>
    <row r="6289" spans="1:7" ht="30.60" thickBot="1" customHeight="1">
      <c r="A6289" s="24" t="s">
        <v>19853</v>
      </c>
      <c r="B6289" s="24" t="s">
        <v>19854</v>
      </c>
      <c r="C6289" s="24" t="s">
        <v>19855</v>
      </c>
      <c r="D6289" s="25" t="s">
        <v>19856</v>
      </c>
      <c r="E6289" s="28">
        <v>0.13200</v>
      </c>
      <c r="F6289" s="29">
        <f ca="1">ROUND(15.430,3)</f>
        <v>0</v>
      </c>
      <c r="G6289" s="27">
        <f ca="1">ROUND(E6289*F6289,2)</f>
        <v>0</v>
      </c>
    </row>
    <row r="6290" spans="1:7" ht="30.60" thickBot="1" customHeight="1">
      <c r="A6290" s="24" t="s">
        <v>19857</v>
      </c>
      <c r="B6290" s="24" t="s">
        <v>19858</v>
      </c>
      <c r="C6290" s="24" t="s">
        <v>19859</v>
      </c>
      <c r="D6290" s="25" t="s">
        <v>19860</v>
      </c>
      <c r="E6290" s="28">
        <v>0.04405</v>
      </c>
      <c r="F6290" s="29">
        <f ca="1">ROUND(11.740,3)</f>
        <v>0</v>
      </c>
      <c r="G6290" s="27">
        <f ca="1">ROUND(E6290*F6290,2)</f>
        <v>0</v>
      </c>
    </row>
    <row r="6291" spans="1:7" ht="21.36" thickBot="1" customHeight="1">
      <c r="A6291" s="24" t="s">
        <v>19861</v>
      </c>
      <c r="B6291" s="24" t="s">
        <v>19862</v>
      </c>
      <c r="C6291" s="24" t="s">
        <v>19863</v>
      </c>
      <c r="D6291" s="25" t="s">
        <v>19864</v>
      </c>
      <c r="E6291" s="28">
        <v>0.70000</v>
      </c>
      <c r="F6291" s="29">
        <f ca="1">F6295</f>
        <v>0</v>
      </c>
      <c r="G6291" s="27">
        <f ca="1">ROUND(E6291*F6291,2)</f>
        <v>0</v>
      </c>
    </row>
    <row r="6292" spans="1:7" ht="24.36" thickBot="1" customHeight="1">
      <c r="A6292" s="24" t="s">
        <v>19865</v>
      </c>
      <c r="B6292" s="24" t="s">
        <v>19866</v>
      </c>
      <c r="C6292" s="24" t="s">
        <v>19867</v>
      </c>
      <c r="D6292" s="25" t="s">
        <v>19868</v>
      </c>
      <c r="E6292" s="28">
        <v>1.00000</v>
      </c>
      <c r="F6292" s="29">
        <f ca="1">ROUND(21.000,3)</f>
        <v>0</v>
      </c>
      <c r="G6292" s="27">
        <f ca="1">ROUND(E6292*F6292,2)</f>
        <v>0</v>
      </c>
    </row>
    <row r="6293" spans="1:7" ht="24.36" thickBot="1" customHeight="1">
      <c r="A6293" s="24" t="s">
        <v>19869</v>
      </c>
      <c r="B6293" s="24" t="s">
        <v>19870</v>
      </c>
      <c r="C6293" s="24" t="s">
        <v>19871</v>
      </c>
      <c r="D6293" s="25" t="s">
        <v>19872</v>
      </c>
      <c r="E6293" s="28">
        <v>1.00000</v>
      </c>
      <c r="F6293" s="29">
        <f ca="1">ROUND(19.000,3)</f>
        <v>0</v>
      </c>
      <c r="G6293" s="27">
        <f ca="1">ROUND(E6293*F6293,2)</f>
        <v>0</v>
      </c>
    </row>
    <row r="6294" spans="1:7" ht="24.36" thickBot="1" customHeight="1">
      <c r="A6294" s="24" t="s">
        <v>19873</v>
      </c>
      <c r="B6294" s="24" t="s">
        <v>19874</v>
      </c>
      <c r="C6294" s="24" t="s">
        <v>19875</v>
      </c>
      <c r="D6294" s="25" t="s">
        <v>19876</v>
      </c>
      <c r="E6294" s="28">
        <v>0.20000</v>
      </c>
      <c r="F6294" s="29">
        <f ca="1">ROUND(19.000,3)</f>
        <v>0</v>
      </c>
      <c r="G6294" s="27">
        <f ca="1">ROUND(E6294*F6294,2)</f>
        <v>0</v>
      </c>
    </row>
    <row r="6295" spans="1:7" ht="15.12" thickBot="1" customHeight="1">
      <c r="A6295" s="26"/>
      <c r="B6295" s="26"/>
      <c r="C6295" s="26"/>
      <c r="D6295" s="24" t="s">
        <v>19877</v>
      </c>
      <c r="E6295" s="28">
        <v>0.70000</v>
      </c>
      <c r="F6295" s="29">
        <f ca="1">ROUND((G6292+G6293+G6294),3)</f>
        <v>0</v>
      </c>
      <c r="G6295" s="27">
        <f ca="1">ROUND(E6295*F6295,2)</f>
        <v>0</v>
      </c>
    </row>
    <row r="6296" spans="1:7" ht="15.12" thickBot="1" customHeight="1">
      <c r="A6296" s="24" t="s">
        <v>19878</v>
      </c>
      <c r="B6296" s="24"/>
      <c r="C6296" s="24" t="s">
        <v>19879</v>
      </c>
      <c r="D6296" s="25" t="s">
        <v>19880</v>
      </c>
      <c r="E6296" s="28">
        <v>3.00000</v>
      </c>
      <c r="F6296" s="29">
        <f ca="1">ROUND(30.660,3)</f>
        <v>0</v>
      </c>
      <c r="G6296" s="27">
        <f ca="1">ROUND((E6296*F6296)/100,2)</f>
        <v>0</v>
      </c>
    </row>
    <row r="6297" spans="1:7" ht="15.48" thickBot="1" customHeight="1">
      <c r="A6297" s="30"/>
      <c r="B6297" s="30"/>
      <c r="C6297" s="30"/>
      <c r="D6297" s="31" t="s">
        <v>19881</v>
      </c>
      <c r="E6297" s="30"/>
      <c r="F6297" s="33">
        <f ca="1">ROUND((G6288+G6289+G6290+G6291+G6296)*(1+G2/100),2)</f>
        <v>0</v>
      </c>
      <c r="G6297" s="30"/>
    </row>
    <row r="6298" spans="1:7" ht="49.08" thickBot="1" customHeight="1">
      <c r="A6298" s="34" t="s">
        <v>19882</v>
      </c>
      <c r="B6298" s="35" t="s">
        <v>19883</v>
      </c>
      <c r="C6298" s="35" t="s">
        <v>19884</v>
      </c>
      <c r="D6298" s="36" t="s">
        <v>19885</v>
      </c>
      <c r="E6298" s="37"/>
      <c r="F6298" s="38">
        <f ca="1">F6311</f>
        <v>0</v>
      </c>
      <c r="G6298" s="37"/>
    </row>
    <row r="6299" spans="1:7" ht="21.36" thickBot="1" customHeight="1">
      <c r="A6299" s="26"/>
      <c r="B6299" s="26"/>
      <c r="C6299" s="26"/>
      <c r="D6299" s="25" t="s">
        <v>19886</v>
      </c>
      <c r="E6299" s="25"/>
      <c r="F6299" s="25"/>
      <c r="G6299" s="25"/>
    </row>
    <row r="6300" spans="1:7" ht="49.08" thickBot="1" customHeight="1">
      <c r="A6300" s="24" t="s">
        <v>19887</v>
      </c>
      <c r="B6300" s="24" t="s">
        <v>19888</v>
      </c>
      <c r="C6300" s="24" t="s">
        <v>19889</v>
      </c>
      <c r="D6300" s="25" t="s">
        <v>19890</v>
      </c>
      <c r="E6300" s="28">
        <v>1.10000</v>
      </c>
      <c r="F6300" s="29">
        <f ca="1">ROUND(38.000,3)</f>
        <v>0</v>
      </c>
      <c r="G6300" s="27">
        <f ca="1">ROUND(E6300*F6300,2)</f>
        <v>0</v>
      </c>
    </row>
    <row r="6301" spans="1:7" ht="39.84" thickBot="1" customHeight="1">
      <c r="A6301" s="24" t="s">
        <v>19891</v>
      </c>
      <c r="B6301" s="24" t="s">
        <v>19892</v>
      </c>
      <c r="C6301" s="24" t="s">
        <v>19893</v>
      </c>
      <c r="D6301" s="25" t="s">
        <v>19894</v>
      </c>
      <c r="E6301" s="28">
        <v>0.64000</v>
      </c>
      <c r="F6301" s="29">
        <f ca="1">ROUND(2.600,3)</f>
        <v>0</v>
      </c>
      <c r="G6301" s="27">
        <f ca="1">ROUND(E6301*F6301,2)</f>
        <v>0</v>
      </c>
    </row>
    <row r="6302" spans="1:7" ht="30.60" thickBot="1" customHeight="1">
      <c r="A6302" s="24" t="s">
        <v>19895</v>
      </c>
      <c r="B6302" s="24" t="s">
        <v>19896</v>
      </c>
      <c r="C6302" s="24" t="s">
        <v>19897</v>
      </c>
      <c r="D6302" s="25" t="s">
        <v>19898</v>
      </c>
      <c r="E6302" s="28">
        <v>0.03000</v>
      </c>
      <c r="F6302" s="29">
        <f ca="1">ROUND(11.740,3)</f>
        <v>0</v>
      </c>
      <c r="G6302" s="27">
        <f ca="1">ROUND(E6302*F6302,2)</f>
        <v>0</v>
      </c>
    </row>
    <row r="6303" spans="1:7" ht="39.84" thickBot="1" customHeight="1">
      <c r="A6303" s="24" t="s">
        <v>19899</v>
      </c>
      <c r="B6303" s="24" t="s">
        <v>19900</v>
      </c>
      <c r="C6303" s="24" t="s">
        <v>19901</v>
      </c>
      <c r="D6303" s="25" t="s">
        <v>19902</v>
      </c>
      <c r="E6303" s="28">
        <v>0.25000</v>
      </c>
      <c r="F6303" s="29">
        <f ca="1">ROUND(1.750,3)</f>
        <v>0</v>
      </c>
      <c r="G6303" s="27">
        <f ca="1">ROUND(E6303*F6303,2)</f>
        <v>0</v>
      </c>
    </row>
    <row r="6304" spans="1:7" ht="30.60" thickBot="1" customHeight="1">
      <c r="A6304" s="24" t="s">
        <v>19903</v>
      </c>
      <c r="B6304" s="24" t="s">
        <v>19904</v>
      </c>
      <c r="C6304" s="24" t="s">
        <v>19905</v>
      </c>
      <c r="D6304" s="25" t="s">
        <v>19906</v>
      </c>
      <c r="E6304" s="28">
        <v>0.01667</v>
      </c>
      <c r="F6304" s="29">
        <f ca="1">ROUND(8.810,3)</f>
        <v>0</v>
      </c>
      <c r="G6304" s="27">
        <f ca="1">ROUND(E6304*F6304,2)</f>
        <v>0</v>
      </c>
    </row>
    <row r="6305" spans="1:7" ht="21.36" thickBot="1" customHeight="1">
      <c r="A6305" s="24" t="s">
        <v>19907</v>
      </c>
      <c r="B6305" s="24" t="s">
        <v>19908</v>
      </c>
      <c r="C6305" s="24" t="s">
        <v>19909</v>
      </c>
      <c r="D6305" s="25" t="s">
        <v>19910</v>
      </c>
      <c r="E6305" s="28">
        <v>0.53333</v>
      </c>
      <c r="F6305" s="29">
        <f ca="1">F6309</f>
        <v>0</v>
      </c>
      <c r="G6305" s="27">
        <f ca="1">ROUND(E6305*F6305,2)</f>
        <v>0</v>
      </c>
    </row>
    <row r="6306" spans="1:7" ht="24.36" thickBot="1" customHeight="1">
      <c r="A6306" s="24" t="s">
        <v>19911</v>
      </c>
      <c r="B6306" s="24" t="s">
        <v>19912</v>
      </c>
      <c r="C6306" s="24" t="s">
        <v>19913</v>
      </c>
      <c r="D6306" s="25" t="s">
        <v>19914</v>
      </c>
      <c r="E6306" s="28">
        <v>1.00000</v>
      </c>
      <c r="F6306" s="29">
        <f ca="1">ROUND(21.000,3)</f>
        <v>0</v>
      </c>
      <c r="G6306" s="27">
        <f ca="1">ROUND(E6306*F6306,2)</f>
        <v>0</v>
      </c>
    </row>
    <row r="6307" spans="1:7" ht="24.36" thickBot="1" customHeight="1">
      <c r="A6307" s="24" t="s">
        <v>19915</v>
      </c>
      <c r="B6307" s="24" t="s">
        <v>19916</v>
      </c>
      <c r="C6307" s="24" t="s">
        <v>19917</v>
      </c>
      <c r="D6307" s="25" t="s">
        <v>19918</v>
      </c>
      <c r="E6307" s="28">
        <v>1.00000</v>
      </c>
      <c r="F6307" s="29">
        <f ca="1">ROUND(19.000,3)</f>
        <v>0</v>
      </c>
      <c r="G6307" s="27">
        <f ca="1">ROUND(E6307*F6307,2)</f>
        <v>0</v>
      </c>
    </row>
    <row r="6308" spans="1:7" ht="24.36" thickBot="1" customHeight="1">
      <c r="A6308" s="24" t="s">
        <v>19919</v>
      </c>
      <c r="B6308" s="24" t="s">
        <v>19920</v>
      </c>
      <c r="C6308" s="24" t="s">
        <v>19921</v>
      </c>
      <c r="D6308" s="25" t="s">
        <v>19922</v>
      </c>
      <c r="E6308" s="28">
        <v>0.20000</v>
      </c>
      <c r="F6308" s="29">
        <f ca="1">ROUND(19.000,3)</f>
        <v>0</v>
      </c>
      <c r="G6308" s="27">
        <f ca="1">ROUND(E6308*F6308,2)</f>
        <v>0</v>
      </c>
    </row>
    <row r="6309" spans="1:7" ht="15.12" thickBot="1" customHeight="1">
      <c r="A6309" s="26"/>
      <c r="B6309" s="26"/>
      <c r="C6309" s="26"/>
      <c r="D6309" s="24" t="s">
        <v>19923</v>
      </c>
      <c r="E6309" s="28">
        <v>0.53333</v>
      </c>
      <c r="F6309" s="29">
        <f ca="1">ROUND((G6306+G6307+G6308),3)</f>
        <v>0</v>
      </c>
      <c r="G6309" s="27">
        <f ca="1">ROUND(E6309*F6309,2)</f>
        <v>0</v>
      </c>
    </row>
    <row r="6310" spans="1:7" ht="15.12" thickBot="1" customHeight="1">
      <c r="A6310" s="24" t="s">
        <v>19924</v>
      </c>
      <c r="B6310" s="24"/>
      <c r="C6310" s="24" t="s">
        <v>19925</v>
      </c>
      <c r="D6310" s="25" t="s">
        <v>19926</v>
      </c>
      <c r="E6310" s="28">
        <v>5.00000</v>
      </c>
      <c r="F6310" s="29">
        <f ca="1">ROUND(23.360,3)</f>
        <v>0</v>
      </c>
      <c r="G6310" s="27">
        <f ca="1">ROUND((E6310*F6310)/100,2)</f>
        <v>0</v>
      </c>
    </row>
    <row r="6311" spans="1:7" ht="25.08" thickBot="1" customHeight="1">
      <c r="A6311" s="30"/>
      <c r="B6311" s="30"/>
      <c r="C6311" s="30"/>
      <c r="D6311" s="31" t="s">
        <v>19927</v>
      </c>
      <c r="E6311" s="30"/>
      <c r="F6311" s="33">
        <f ca="1">ROUND((G6300+G6301+G6302+G6303+G6304+G6305+G6310)*(1+G2/100),2)</f>
        <v>0</v>
      </c>
      <c r="G6311" s="30"/>
    </row>
    <row r="6312" spans="1:7" ht="49.08" thickBot="1" customHeight="1">
      <c r="A6312" s="34" t="s">
        <v>19928</v>
      </c>
      <c r="B6312" s="35" t="s">
        <v>19929</v>
      </c>
      <c r="C6312" s="35" t="s">
        <v>19930</v>
      </c>
      <c r="D6312" s="36" t="s">
        <v>19931</v>
      </c>
      <c r="E6312" s="37"/>
      <c r="F6312" s="38">
        <f ca="1">F6325</f>
        <v>0</v>
      </c>
      <c r="G6312" s="37"/>
    </row>
    <row r="6313" spans="1:7" ht="21.36" thickBot="1" customHeight="1">
      <c r="A6313" s="26"/>
      <c r="B6313" s="26"/>
      <c r="C6313" s="26"/>
      <c r="D6313" s="25" t="s">
        <v>19932</v>
      </c>
      <c r="E6313" s="25"/>
      <c r="F6313" s="25"/>
      <c r="G6313" s="25"/>
    </row>
    <row r="6314" spans="1:7" ht="49.08" thickBot="1" customHeight="1">
      <c r="A6314" s="24" t="s">
        <v>19933</v>
      </c>
      <c r="B6314" s="24" t="s">
        <v>19934</v>
      </c>
      <c r="C6314" s="24" t="s">
        <v>19935</v>
      </c>
      <c r="D6314" s="25" t="s">
        <v>19936</v>
      </c>
      <c r="E6314" s="28">
        <v>1.10000</v>
      </c>
      <c r="F6314" s="29">
        <f ca="1">ROUND(38.000,3)</f>
        <v>0</v>
      </c>
      <c r="G6314" s="27">
        <f ca="1">ROUND(E6314*F6314,2)</f>
        <v>0</v>
      </c>
    </row>
    <row r="6315" spans="1:7" ht="39.84" thickBot="1" customHeight="1">
      <c r="A6315" s="24" t="s">
        <v>19937</v>
      </c>
      <c r="B6315" s="24" t="s">
        <v>19938</v>
      </c>
      <c r="C6315" s="24" t="s">
        <v>19939</v>
      </c>
      <c r="D6315" s="25" t="s">
        <v>19940</v>
      </c>
      <c r="E6315" s="28">
        <v>0.64000</v>
      </c>
      <c r="F6315" s="29">
        <f ca="1">ROUND(2.600,3)</f>
        <v>0</v>
      </c>
      <c r="G6315" s="27">
        <f ca="1">ROUND(E6315*F6315,2)</f>
        <v>0</v>
      </c>
    </row>
    <row r="6316" spans="1:7" ht="30.60" thickBot="1" customHeight="1">
      <c r="A6316" s="24" t="s">
        <v>19941</v>
      </c>
      <c r="B6316" s="24" t="s">
        <v>19942</v>
      </c>
      <c r="C6316" s="24" t="s">
        <v>19943</v>
      </c>
      <c r="D6316" s="25" t="s">
        <v>19944</v>
      </c>
      <c r="E6316" s="28">
        <v>0.03000</v>
      </c>
      <c r="F6316" s="29">
        <f ca="1">ROUND(11.740,3)</f>
        <v>0</v>
      </c>
      <c r="G6316" s="27">
        <f ca="1">ROUND(E6316*F6316,2)</f>
        <v>0</v>
      </c>
    </row>
    <row r="6317" spans="1:7" ht="39.84" thickBot="1" customHeight="1">
      <c r="A6317" s="24" t="s">
        <v>19945</v>
      </c>
      <c r="B6317" s="24" t="s">
        <v>19946</v>
      </c>
      <c r="C6317" s="24" t="s">
        <v>19947</v>
      </c>
      <c r="D6317" s="25" t="s">
        <v>19948</v>
      </c>
      <c r="E6317" s="28">
        <v>0.25000</v>
      </c>
      <c r="F6317" s="29">
        <f ca="1">ROUND(1.750,3)</f>
        <v>0</v>
      </c>
      <c r="G6317" s="27">
        <f ca="1">ROUND(E6317*F6317,2)</f>
        <v>0</v>
      </c>
    </row>
    <row r="6318" spans="1:7" ht="30.60" thickBot="1" customHeight="1">
      <c r="A6318" s="24" t="s">
        <v>19949</v>
      </c>
      <c r="B6318" s="24" t="s">
        <v>19950</v>
      </c>
      <c r="C6318" s="24" t="s">
        <v>19951</v>
      </c>
      <c r="D6318" s="25" t="s">
        <v>19952</v>
      </c>
      <c r="E6318" s="28">
        <v>0.01667</v>
      </c>
      <c r="F6318" s="29">
        <f ca="1">ROUND(8.810,3)</f>
        <v>0</v>
      </c>
      <c r="G6318" s="27">
        <f ca="1">ROUND(E6318*F6318,2)</f>
        <v>0</v>
      </c>
    </row>
    <row r="6319" spans="1:7" ht="21.36" thickBot="1" customHeight="1">
      <c r="A6319" s="24" t="s">
        <v>19953</v>
      </c>
      <c r="B6319" s="24" t="s">
        <v>19954</v>
      </c>
      <c r="C6319" s="24" t="s">
        <v>19955</v>
      </c>
      <c r="D6319" s="25" t="s">
        <v>19956</v>
      </c>
      <c r="E6319" s="28">
        <v>0.75000</v>
      </c>
      <c r="F6319" s="29">
        <f ca="1">F6323</f>
        <v>0</v>
      </c>
      <c r="G6319" s="27">
        <f ca="1">ROUND(E6319*F6319,2)</f>
        <v>0</v>
      </c>
    </row>
    <row r="6320" spans="1:7" ht="24.36" thickBot="1" customHeight="1">
      <c r="A6320" s="24" t="s">
        <v>19957</v>
      </c>
      <c r="B6320" s="24" t="s">
        <v>19958</v>
      </c>
      <c r="C6320" s="24" t="s">
        <v>19959</v>
      </c>
      <c r="D6320" s="25" t="s">
        <v>19960</v>
      </c>
      <c r="E6320" s="28">
        <v>1.00000</v>
      </c>
      <c r="F6320" s="29">
        <f ca="1">ROUND(21.000,3)</f>
        <v>0</v>
      </c>
      <c r="G6320" s="27">
        <f ca="1">ROUND(E6320*F6320,2)</f>
        <v>0</v>
      </c>
    </row>
    <row r="6321" spans="1:7" ht="24.36" thickBot="1" customHeight="1">
      <c r="A6321" s="24" t="s">
        <v>19961</v>
      </c>
      <c r="B6321" s="24" t="s">
        <v>19962</v>
      </c>
      <c r="C6321" s="24" t="s">
        <v>19963</v>
      </c>
      <c r="D6321" s="25" t="s">
        <v>19964</v>
      </c>
      <c r="E6321" s="28">
        <v>1.00000</v>
      </c>
      <c r="F6321" s="29">
        <f ca="1">ROUND(19.000,3)</f>
        <v>0</v>
      </c>
      <c r="G6321" s="27">
        <f ca="1">ROUND(E6321*F6321,2)</f>
        <v>0</v>
      </c>
    </row>
    <row r="6322" spans="1:7" ht="24.36" thickBot="1" customHeight="1">
      <c r="A6322" s="24" t="s">
        <v>19965</v>
      </c>
      <c r="B6322" s="24" t="s">
        <v>19966</v>
      </c>
      <c r="C6322" s="24" t="s">
        <v>19967</v>
      </c>
      <c r="D6322" s="25" t="s">
        <v>19968</v>
      </c>
      <c r="E6322" s="28">
        <v>0.20000</v>
      </c>
      <c r="F6322" s="29">
        <f ca="1">ROUND(19.000,3)</f>
        <v>0</v>
      </c>
      <c r="G6322" s="27">
        <f ca="1">ROUND(E6322*F6322,2)</f>
        <v>0</v>
      </c>
    </row>
    <row r="6323" spans="1:7" ht="15.12" thickBot="1" customHeight="1">
      <c r="A6323" s="26"/>
      <c r="B6323" s="26"/>
      <c r="C6323" s="26"/>
      <c r="D6323" s="24" t="s">
        <v>19969</v>
      </c>
      <c r="E6323" s="28">
        <v>0.75000</v>
      </c>
      <c r="F6323" s="29">
        <f ca="1">ROUND((G6320+G6321+G6322),3)</f>
        <v>0</v>
      </c>
      <c r="G6323" s="27">
        <f ca="1">ROUND(E6323*F6323,2)</f>
        <v>0</v>
      </c>
    </row>
    <row r="6324" spans="1:7" ht="15.12" thickBot="1" customHeight="1">
      <c r="A6324" s="24" t="s">
        <v>19970</v>
      </c>
      <c r="B6324" s="24"/>
      <c r="C6324" s="24" t="s">
        <v>19971</v>
      </c>
      <c r="D6324" s="25" t="s">
        <v>19972</v>
      </c>
      <c r="E6324" s="28">
        <v>5.00000</v>
      </c>
      <c r="F6324" s="29">
        <f ca="1">ROUND(32.850,3)</f>
        <v>0</v>
      </c>
      <c r="G6324" s="27">
        <f ca="1">ROUND((E6324*F6324)/100,2)</f>
        <v>0</v>
      </c>
    </row>
    <row r="6325" spans="1:7" ht="25.08" thickBot="1" customHeight="1">
      <c r="A6325" s="30"/>
      <c r="B6325" s="30"/>
      <c r="C6325" s="30"/>
      <c r="D6325" s="31" t="s">
        <v>19973</v>
      </c>
      <c r="E6325" s="30"/>
      <c r="F6325" s="33">
        <f ca="1">ROUND((G6314+G6315+G6316+G6317+G6318+G6319+G6324)*(1+G2/100),2)</f>
        <v>0</v>
      </c>
      <c r="G6325" s="30"/>
    </row>
    <row r="6326" spans="1:7" ht="49.08" thickBot="1" customHeight="1">
      <c r="A6326" s="34" t="s">
        <v>19974</v>
      </c>
      <c r="B6326" s="35" t="s">
        <v>19975</v>
      </c>
      <c r="C6326" s="35" t="s">
        <v>19976</v>
      </c>
      <c r="D6326" s="36" t="s">
        <v>19977</v>
      </c>
      <c r="E6326" s="37"/>
      <c r="F6326" s="38">
        <f ca="1">F6339</f>
        <v>0</v>
      </c>
      <c r="G6326" s="37"/>
    </row>
    <row r="6327" spans="1:7" ht="21.36" thickBot="1" customHeight="1">
      <c r="A6327" s="26"/>
      <c r="B6327" s="26"/>
      <c r="C6327" s="26"/>
      <c r="D6327" s="25" t="s">
        <v>19978</v>
      </c>
      <c r="E6327" s="25"/>
      <c r="F6327" s="25"/>
      <c r="G6327" s="25"/>
    </row>
    <row r="6328" spans="1:7" ht="49.08" thickBot="1" customHeight="1">
      <c r="A6328" s="24" t="s">
        <v>19979</v>
      </c>
      <c r="B6328" s="24" t="s">
        <v>19980</v>
      </c>
      <c r="C6328" s="24" t="s">
        <v>19981</v>
      </c>
      <c r="D6328" s="25" t="s">
        <v>19982</v>
      </c>
      <c r="E6328" s="28">
        <v>1.10000</v>
      </c>
      <c r="F6328" s="29">
        <f ca="1">ROUND(51.870,3)</f>
        <v>0</v>
      </c>
      <c r="G6328" s="27">
        <f ca="1">ROUND(E6328*F6328,2)</f>
        <v>0</v>
      </c>
    </row>
    <row r="6329" spans="1:7" ht="39.84" thickBot="1" customHeight="1">
      <c r="A6329" s="24" t="s">
        <v>19983</v>
      </c>
      <c r="B6329" s="24" t="s">
        <v>19984</v>
      </c>
      <c r="C6329" s="24" t="s">
        <v>19985</v>
      </c>
      <c r="D6329" s="25" t="s">
        <v>19986</v>
      </c>
      <c r="E6329" s="28">
        <v>0.71280</v>
      </c>
      <c r="F6329" s="29">
        <f ca="1">ROUND(2.600,3)</f>
        <v>0</v>
      </c>
      <c r="G6329" s="27">
        <f ca="1">ROUND(E6329*F6329,2)</f>
        <v>0</v>
      </c>
    </row>
    <row r="6330" spans="1:7" ht="30.60" thickBot="1" customHeight="1">
      <c r="A6330" s="24" t="s">
        <v>19987</v>
      </c>
      <c r="B6330" s="24" t="s">
        <v>19988</v>
      </c>
      <c r="C6330" s="24" t="s">
        <v>19989</v>
      </c>
      <c r="D6330" s="25" t="s">
        <v>19990</v>
      </c>
      <c r="E6330" s="28">
        <v>0.03556</v>
      </c>
      <c r="F6330" s="29">
        <f ca="1">ROUND(11.740,3)</f>
        <v>0</v>
      </c>
      <c r="G6330" s="27">
        <f ca="1">ROUND(E6330*F6330,2)</f>
        <v>0</v>
      </c>
    </row>
    <row r="6331" spans="1:7" ht="39.84" thickBot="1" customHeight="1">
      <c r="A6331" s="24" t="s">
        <v>19991</v>
      </c>
      <c r="B6331" s="24" t="s">
        <v>19992</v>
      </c>
      <c r="C6331" s="24" t="s">
        <v>19993</v>
      </c>
      <c r="D6331" s="25" t="s">
        <v>19994</v>
      </c>
      <c r="E6331" s="28">
        <v>0.25000</v>
      </c>
      <c r="F6331" s="29">
        <f ca="1">ROUND(1.750,3)</f>
        <v>0</v>
      </c>
      <c r="G6331" s="27">
        <f ca="1">ROUND(E6331*F6331,2)</f>
        <v>0</v>
      </c>
    </row>
    <row r="6332" spans="1:7" ht="30.60" thickBot="1" customHeight="1">
      <c r="A6332" s="24" t="s">
        <v>19995</v>
      </c>
      <c r="B6332" s="24" t="s">
        <v>19996</v>
      </c>
      <c r="C6332" s="24" t="s">
        <v>19997</v>
      </c>
      <c r="D6332" s="25" t="s">
        <v>19998</v>
      </c>
      <c r="E6332" s="28">
        <v>0.01667</v>
      </c>
      <c r="F6332" s="29">
        <f ca="1">ROUND(8.810,3)</f>
        <v>0</v>
      </c>
      <c r="G6332" s="27">
        <f ca="1">ROUND(E6332*F6332,2)</f>
        <v>0</v>
      </c>
    </row>
    <row r="6333" spans="1:7" ht="21.36" thickBot="1" customHeight="1">
      <c r="A6333" s="24" t="s">
        <v>19999</v>
      </c>
      <c r="B6333" s="24" t="s">
        <v>20000</v>
      </c>
      <c r="C6333" s="24" t="s">
        <v>20001</v>
      </c>
      <c r="D6333" s="25" t="s">
        <v>20002</v>
      </c>
      <c r="E6333" s="28">
        <v>0.53333</v>
      </c>
      <c r="F6333" s="29">
        <f ca="1">F6337</f>
        <v>0</v>
      </c>
      <c r="G6333" s="27">
        <f ca="1">ROUND(E6333*F6333,2)</f>
        <v>0</v>
      </c>
    </row>
    <row r="6334" spans="1:7" ht="24.36" thickBot="1" customHeight="1">
      <c r="A6334" s="24" t="s">
        <v>20003</v>
      </c>
      <c r="B6334" s="24" t="s">
        <v>20004</v>
      </c>
      <c r="C6334" s="24" t="s">
        <v>20005</v>
      </c>
      <c r="D6334" s="25" t="s">
        <v>20006</v>
      </c>
      <c r="E6334" s="28">
        <v>1.00000</v>
      </c>
      <c r="F6334" s="29">
        <f ca="1">ROUND(21.000,3)</f>
        <v>0</v>
      </c>
      <c r="G6334" s="27">
        <f ca="1">ROUND(E6334*F6334,2)</f>
        <v>0</v>
      </c>
    </row>
    <row r="6335" spans="1:7" ht="24.36" thickBot="1" customHeight="1">
      <c r="A6335" s="24" t="s">
        <v>20007</v>
      </c>
      <c r="B6335" s="24" t="s">
        <v>20008</v>
      </c>
      <c r="C6335" s="24" t="s">
        <v>20009</v>
      </c>
      <c r="D6335" s="25" t="s">
        <v>20010</v>
      </c>
      <c r="E6335" s="28">
        <v>1.00000</v>
      </c>
      <c r="F6335" s="29">
        <f ca="1">ROUND(19.000,3)</f>
        <v>0</v>
      </c>
      <c r="G6335" s="27">
        <f ca="1">ROUND(E6335*F6335,2)</f>
        <v>0</v>
      </c>
    </row>
    <row r="6336" spans="1:7" ht="24.36" thickBot="1" customHeight="1">
      <c r="A6336" s="24" t="s">
        <v>20011</v>
      </c>
      <c r="B6336" s="24" t="s">
        <v>20012</v>
      </c>
      <c r="C6336" s="24" t="s">
        <v>20013</v>
      </c>
      <c r="D6336" s="25" t="s">
        <v>20014</v>
      </c>
      <c r="E6336" s="28">
        <v>0.20000</v>
      </c>
      <c r="F6336" s="29">
        <f ca="1">ROUND(19.000,3)</f>
        <v>0</v>
      </c>
      <c r="G6336" s="27">
        <f ca="1">ROUND(E6336*F6336,2)</f>
        <v>0</v>
      </c>
    </row>
    <row r="6337" spans="1:7" ht="15.12" thickBot="1" customHeight="1">
      <c r="A6337" s="26"/>
      <c r="B6337" s="26"/>
      <c r="C6337" s="26"/>
      <c r="D6337" s="24" t="s">
        <v>20015</v>
      </c>
      <c r="E6337" s="28">
        <v>0.53333</v>
      </c>
      <c r="F6337" s="29">
        <f ca="1">ROUND((G6334+G6335+G6336),3)</f>
        <v>0</v>
      </c>
      <c r="G6337" s="27">
        <f ca="1">ROUND(E6337*F6337,2)</f>
        <v>0</v>
      </c>
    </row>
    <row r="6338" spans="1:7" ht="15.12" thickBot="1" customHeight="1">
      <c r="A6338" s="24" t="s">
        <v>20016</v>
      </c>
      <c r="B6338" s="24"/>
      <c r="C6338" s="24" t="s">
        <v>20017</v>
      </c>
      <c r="D6338" s="25" t="s">
        <v>20018</v>
      </c>
      <c r="E6338" s="28">
        <v>5.00000</v>
      </c>
      <c r="F6338" s="29">
        <f ca="1">ROUND(23.360,3)</f>
        <v>0</v>
      </c>
      <c r="G6338" s="27">
        <f ca="1">ROUND((E6338*F6338)/100,2)</f>
        <v>0</v>
      </c>
    </row>
    <row r="6339" spans="1:7" ht="25.08" thickBot="1" customHeight="1">
      <c r="A6339" s="30"/>
      <c r="B6339" s="30"/>
      <c r="C6339" s="30"/>
      <c r="D6339" s="31" t="s">
        <v>20019</v>
      </c>
      <c r="E6339" s="30"/>
      <c r="F6339" s="33">
        <f ca="1">ROUND((G6328+G6329+G6330+G6331+G6332+G6333+G6338)*(1+G2/100),2)</f>
        <v>0</v>
      </c>
      <c r="G6339" s="30"/>
    </row>
    <row r="6340" spans="1:7" ht="49.08" thickBot="1" customHeight="1">
      <c r="A6340" s="34" t="s">
        <v>20020</v>
      </c>
      <c r="B6340" s="35" t="s">
        <v>20021</v>
      </c>
      <c r="C6340" s="35" t="s">
        <v>20022</v>
      </c>
      <c r="D6340" s="36" t="s">
        <v>20023</v>
      </c>
      <c r="E6340" s="37"/>
      <c r="F6340" s="38">
        <f ca="1">F6353</f>
        <v>0</v>
      </c>
      <c r="G6340" s="37"/>
    </row>
    <row r="6341" spans="1:7" ht="21.36" thickBot="1" customHeight="1">
      <c r="A6341" s="26"/>
      <c r="B6341" s="26"/>
      <c r="C6341" s="26"/>
      <c r="D6341" s="25" t="s">
        <v>20024</v>
      </c>
      <c r="E6341" s="25"/>
      <c r="F6341" s="25"/>
      <c r="G6341" s="25"/>
    </row>
    <row r="6342" spans="1:7" ht="49.08" thickBot="1" customHeight="1">
      <c r="A6342" s="24" t="s">
        <v>20025</v>
      </c>
      <c r="B6342" s="24" t="s">
        <v>20026</v>
      </c>
      <c r="C6342" s="24" t="s">
        <v>20027</v>
      </c>
      <c r="D6342" s="25" t="s">
        <v>20028</v>
      </c>
      <c r="E6342" s="28">
        <v>1.10000</v>
      </c>
      <c r="F6342" s="29">
        <f ca="1">ROUND(51.870,3)</f>
        <v>0</v>
      </c>
      <c r="G6342" s="27">
        <f ca="1">ROUND(E6342*F6342,2)</f>
        <v>0</v>
      </c>
    </row>
    <row r="6343" spans="1:7" ht="39.84" thickBot="1" customHeight="1">
      <c r="A6343" s="24" t="s">
        <v>20029</v>
      </c>
      <c r="B6343" s="24" t="s">
        <v>20030</v>
      </c>
      <c r="C6343" s="24" t="s">
        <v>20031</v>
      </c>
      <c r="D6343" s="25" t="s">
        <v>20032</v>
      </c>
      <c r="E6343" s="28">
        <v>0.71280</v>
      </c>
      <c r="F6343" s="29">
        <f ca="1">ROUND(2.600,3)</f>
        <v>0</v>
      </c>
      <c r="G6343" s="27">
        <f ca="1">ROUND(E6343*F6343,2)</f>
        <v>0</v>
      </c>
    </row>
    <row r="6344" spans="1:7" ht="30.60" thickBot="1" customHeight="1">
      <c r="A6344" s="24" t="s">
        <v>20033</v>
      </c>
      <c r="B6344" s="24" t="s">
        <v>20034</v>
      </c>
      <c r="C6344" s="24" t="s">
        <v>20035</v>
      </c>
      <c r="D6344" s="25" t="s">
        <v>20036</v>
      </c>
      <c r="E6344" s="28">
        <v>0.03330</v>
      </c>
      <c r="F6344" s="29">
        <f ca="1">ROUND(11.740,3)</f>
        <v>0</v>
      </c>
      <c r="G6344" s="27">
        <f ca="1">ROUND(E6344*F6344,2)</f>
        <v>0</v>
      </c>
    </row>
    <row r="6345" spans="1:7" ht="39.84" thickBot="1" customHeight="1">
      <c r="A6345" s="24" t="s">
        <v>20037</v>
      </c>
      <c r="B6345" s="24" t="s">
        <v>20038</v>
      </c>
      <c r="C6345" s="24" t="s">
        <v>20039</v>
      </c>
      <c r="D6345" s="25" t="s">
        <v>20040</v>
      </c>
      <c r="E6345" s="28">
        <v>0.25000</v>
      </c>
      <c r="F6345" s="29">
        <f ca="1">ROUND(1.750,3)</f>
        <v>0</v>
      </c>
      <c r="G6345" s="27">
        <f ca="1">ROUND(E6345*F6345,2)</f>
        <v>0</v>
      </c>
    </row>
    <row r="6346" spans="1:7" ht="30.60" thickBot="1" customHeight="1">
      <c r="A6346" s="24" t="s">
        <v>20041</v>
      </c>
      <c r="B6346" s="24" t="s">
        <v>20042</v>
      </c>
      <c r="C6346" s="24" t="s">
        <v>20043</v>
      </c>
      <c r="D6346" s="25" t="s">
        <v>20044</v>
      </c>
      <c r="E6346" s="28">
        <v>0.01667</v>
      </c>
      <c r="F6346" s="29">
        <f ca="1">ROUND(8.810,3)</f>
        <v>0</v>
      </c>
      <c r="G6346" s="27">
        <f ca="1">ROUND(E6346*F6346,2)</f>
        <v>0</v>
      </c>
    </row>
    <row r="6347" spans="1:7" ht="21.36" thickBot="1" customHeight="1">
      <c r="A6347" s="24" t="s">
        <v>20045</v>
      </c>
      <c r="B6347" s="24" t="s">
        <v>20046</v>
      </c>
      <c r="C6347" s="24" t="s">
        <v>20047</v>
      </c>
      <c r="D6347" s="25" t="s">
        <v>20048</v>
      </c>
      <c r="E6347" s="28">
        <v>1.00000</v>
      </c>
      <c r="F6347" s="29">
        <f ca="1">F6351</f>
        <v>0</v>
      </c>
      <c r="G6347" s="27">
        <f ca="1">ROUND(E6347*F6347,2)</f>
        <v>0</v>
      </c>
    </row>
    <row r="6348" spans="1:7" ht="24.36" thickBot="1" customHeight="1">
      <c r="A6348" s="24" t="s">
        <v>20049</v>
      </c>
      <c r="B6348" s="24" t="s">
        <v>20050</v>
      </c>
      <c r="C6348" s="24" t="s">
        <v>20051</v>
      </c>
      <c r="D6348" s="25" t="s">
        <v>20052</v>
      </c>
      <c r="E6348" s="28">
        <v>1.00000</v>
      </c>
      <c r="F6348" s="29">
        <f ca="1">ROUND(21.000,3)</f>
        <v>0</v>
      </c>
      <c r="G6348" s="27">
        <f ca="1">ROUND(E6348*F6348,2)</f>
        <v>0</v>
      </c>
    </row>
    <row r="6349" spans="1:7" ht="24.36" thickBot="1" customHeight="1">
      <c r="A6349" s="24" t="s">
        <v>20053</v>
      </c>
      <c r="B6349" s="24" t="s">
        <v>20054</v>
      </c>
      <c r="C6349" s="24" t="s">
        <v>20055</v>
      </c>
      <c r="D6349" s="25" t="s">
        <v>20056</v>
      </c>
      <c r="E6349" s="28">
        <v>1.00000</v>
      </c>
      <c r="F6349" s="29">
        <f ca="1">ROUND(19.000,3)</f>
        <v>0</v>
      </c>
      <c r="G6349" s="27">
        <f ca="1">ROUND(E6349*F6349,2)</f>
        <v>0</v>
      </c>
    </row>
    <row r="6350" spans="1:7" ht="24.36" thickBot="1" customHeight="1">
      <c r="A6350" s="24" t="s">
        <v>20057</v>
      </c>
      <c r="B6350" s="24" t="s">
        <v>20058</v>
      </c>
      <c r="C6350" s="24" t="s">
        <v>20059</v>
      </c>
      <c r="D6350" s="25" t="s">
        <v>20060</v>
      </c>
      <c r="E6350" s="28">
        <v>0.20000</v>
      </c>
      <c r="F6350" s="29">
        <f ca="1">ROUND(19.000,3)</f>
        <v>0</v>
      </c>
      <c r="G6350" s="27">
        <f ca="1">ROUND(E6350*F6350,2)</f>
        <v>0</v>
      </c>
    </row>
    <row r="6351" spans="1:7" ht="15.12" thickBot="1" customHeight="1">
      <c r="A6351" s="26"/>
      <c r="B6351" s="26"/>
      <c r="C6351" s="26"/>
      <c r="D6351" s="24" t="s">
        <v>20061</v>
      </c>
      <c r="E6351" s="28">
        <v>1.00000</v>
      </c>
      <c r="F6351" s="29">
        <f ca="1">ROUND((G6348+G6349+G6350),3)</f>
        <v>0</v>
      </c>
      <c r="G6351" s="27">
        <f ca="1">ROUND(E6351*F6351,2)</f>
        <v>0</v>
      </c>
    </row>
    <row r="6352" spans="1:7" ht="15.12" thickBot="1" customHeight="1">
      <c r="A6352" s="24" t="s">
        <v>20062</v>
      </c>
      <c r="B6352" s="24"/>
      <c r="C6352" s="24" t="s">
        <v>20063</v>
      </c>
      <c r="D6352" s="25" t="s">
        <v>20064</v>
      </c>
      <c r="E6352" s="28">
        <v>5.00000</v>
      </c>
      <c r="F6352" s="29">
        <f ca="1">ROUND(43.800,3)</f>
        <v>0</v>
      </c>
      <c r="G6352" s="27">
        <f ca="1">ROUND((E6352*F6352)/100,2)</f>
        <v>0</v>
      </c>
    </row>
    <row r="6353" spans="1:7" ht="25.08" thickBot="1" customHeight="1">
      <c r="A6353" s="30"/>
      <c r="B6353" s="30"/>
      <c r="C6353" s="30"/>
      <c r="D6353" s="31" t="s">
        <v>20065</v>
      </c>
      <c r="E6353" s="30"/>
      <c r="F6353" s="33">
        <f ca="1">ROUND((G6342+G6343+G6344+G6345+G6346+G6347+G6352)*(1+G2/100),2)</f>
        <v>0</v>
      </c>
      <c r="G6353" s="30"/>
    </row>
    <row r="6354" spans="1:7" ht="49.08" thickBot="1" customHeight="1">
      <c r="A6354" s="34" t="s">
        <v>20066</v>
      </c>
      <c r="B6354" s="35" t="s">
        <v>20067</v>
      </c>
      <c r="C6354" s="35" t="s">
        <v>20068</v>
      </c>
      <c r="D6354" s="36" t="s">
        <v>20069</v>
      </c>
      <c r="E6354" s="37"/>
      <c r="F6354" s="38">
        <f ca="1">F6365</f>
        <v>0</v>
      </c>
      <c r="G6354" s="37"/>
    </row>
    <row r="6355" spans="1:7" ht="21.36" thickBot="1" customHeight="1">
      <c r="A6355" s="26"/>
      <c r="B6355" s="26"/>
      <c r="C6355" s="26"/>
      <c r="D6355" s="25" t="s">
        <v>20070</v>
      </c>
      <c r="E6355" s="25"/>
      <c r="F6355" s="25"/>
      <c r="G6355" s="25"/>
    </row>
    <row r="6356" spans="1:7" ht="39.84" thickBot="1" customHeight="1">
      <c r="A6356" s="24" t="s">
        <v>20071</v>
      </c>
      <c r="B6356" s="24" t="s">
        <v>20072</v>
      </c>
      <c r="C6356" s="24" t="s">
        <v>20073</v>
      </c>
      <c r="D6356" s="25" t="s">
        <v>20074</v>
      </c>
      <c r="E6356" s="28">
        <v>3.00000</v>
      </c>
      <c r="F6356" s="29">
        <f ca="1">ROUND(8.220,3)</f>
        <v>0</v>
      </c>
      <c r="G6356" s="27">
        <f ca="1">ROUND(E6356*F6356,2)</f>
        <v>0</v>
      </c>
    </row>
    <row r="6357" spans="1:7" ht="30.60" thickBot="1" customHeight="1">
      <c r="A6357" s="24" t="s">
        <v>20075</v>
      </c>
      <c r="B6357" s="24" t="s">
        <v>20076</v>
      </c>
      <c r="C6357" s="24" t="s">
        <v>20077</v>
      </c>
      <c r="D6357" s="25" t="s">
        <v>20078</v>
      </c>
      <c r="E6357" s="28">
        <v>0.10560</v>
      </c>
      <c r="F6357" s="29">
        <f ca="1">ROUND(15.430,3)</f>
        <v>0</v>
      </c>
      <c r="G6357" s="27">
        <f ca="1">ROUND(E6357*F6357,2)</f>
        <v>0</v>
      </c>
    </row>
    <row r="6358" spans="1:7" ht="30.60" thickBot="1" customHeight="1">
      <c r="A6358" s="24" t="s">
        <v>20079</v>
      </c>
      <c r="B6358" s="24" t="s">
        <v>20080</v>
      </c>
      <c r="C6358" s="24" t="s">
        <v>20081</v>
      </c>
      <c r="D6358" s="25" t="s">
        <v>20082</v>
      </c>
      <c r="E6358" s="28">
        <v>0.03891</v>
      </c>
      <c r="F6358" s="29">
        <f ca="1">ROUND(11.740,3)</f>
        <v>0</v>
      </c>
      <c r="G6358" s="27">
        <f ca="1">ROUND(E6358*F6358,2)</f>
        <v>0</v>
      </c>
    </row>
    <row r="6359" spans="1:7" ht="21.36" thickBot="1" customHeight="1">
      <c r="A6359" s="24" t="s">
        <v>20083</v>
      </c>
      <c r="B6359" s="24" t="s">
        <v>20084</v>
      </c>
      <c r="C6359" s="24" t="s">
        <v>20085</v>
      </c>
      <c r="D6359" s="25" t="s">
        <v>20086</v>
      </c>
      <c r="E6359" s="28">
        <v>0.53333</v>
      </c>
      <c r="F6359" s="29">
        <f ca="1">F6363</f>
        <v>0</v>
      </c>
      <c r="G6359" s="27">
        <f ca="1">ROUND(E6359*F6359,2)</f>
        <v>0</v>
      </c>
    </row>
    <row r="6360" spans="1:7" ht="24.36" thickBot="1" customHeight="1">
      <c r="A6360" s="24" t="s">
        <v>20087</v>
      </c>
      <c r="B6360" s="24" t="s">
        <v>20088</v>
      </c>
      <c r="C6360" s="24" t="s">
        <v>20089</v>
      </c>
      <c r="D6360" s="25" t="s">
        <v>20090</v>
      </c>
      <c r="E6360" s="28">
        <v>1.00000</v>
      </c>
      <c r="F6360" s="29">
        <f ca="1">ROUND(21.000,3)</f>
        <v>0</v>
      </c>
      <c r="G6360" s="27">
        <f ca="1">ROUND(E6360*F6360,2)</f>
        <v>0</v>
      </c>
    </row>
    <row r="6361" spans="1:7" ht="24.36" thickBot="1" customHeight="1">
      <c r="A6361" s="24" t="s">
        <v>20091</v>
      </c>
      <c r="B6361" s="24" t="s">
        <v>20092</v>
      </c>
      <c r="C6361" s="24" t="s">
        <v>20093</v>
      </c>
      <c r="D6361" s="25" t="s">
        <v>20094</v>
      </c>
      <c r="E6361" s="28">
        <v>1.00000</v>
      </c>
      <c r="F6361" s="29">
        <f ca="1">ROUND(19.000,3)</f>
        <v>0</v>
      </c>
      <c r="G6361" s="27">
        <f ca="1">ROUND(E6361*F6361,2)</f>
        <v>0</v>
      </c>
    </row>
    <row r="6362" spans="1:7" ht="24.36" thickBot="1" customHeight="1">
      <c r="A6362" s="24" t="s">
        <v>20095</v>
      </c>
      <c r="B6362" s="24" t="s">
        <v>20096</v>
      </c>
      <c r="C6362" s="24" t="s">
        <v>20097</v>
      </c>
      <c r="D6362" s="25" t="s">
        <v>20098</v>
      </c>
      <c r="E6362" s="28">
        <v>0.20000</v>
      </c>
      <c r="F6362" s="29">
        <f ca="1">ROUND(19.000,3)</f>
        <v>0</v>
      </c>
      <c r="G6362" s="27">
        <f ca="1">ROUND(E6362*F6362,2)</f>
        <v>0</v>
      </c>
    </row>
    <row r="6363" spans="1:7" ht="15.12" thickBot="1" customHeight="1">
      <c r="A6363" s="26"/>
      <c r="B6363" s="26"/>
      <c r="C6363" s="26"/>
      <c r="D6363" s="24" t="s">
        <v>20099</v>
      </c>
      <c r="E6363" s="28">
        <v>0.53333</v>
      </c>
      <c r="F6363" s="29">
        <f ca="1">ROUND((G6360+G6361+G6362),3)</f>
        <v>0</v>
      </c>
      <c r="G6363" s="27">
        <f ca="1">ROUND(E6363*F6363,2)</f>
        <v>0</v>
      </c>
    </row>
    <row r="6364" spans="1:7" ht="15.12" thickBot="1" customHeight="1">
      <c r="A6364" s="24" t="s">
        <v>20100</v>
      </c>
      <c r="B6364" s="24"/>
      <c r="C6364" s="24" t="s">
        <v>20101</v>
      </c>
      <c r="D6364" s="25" t="s">
        <v>20102</v>
      </c>
      <c r="E6364" s="28">
        <v>5.00000</v>
      </c>
      <c r="F6364" s="29">
        <f ca="1">ROUND(23.360,3)</f>
        <v>0</v>
      </c>
      <c r="G6364" s="27">
        <f ca="1">ROUND((E6364*F6364)/100,2)</f>
        <v>0</v>
      </c>
    </row>
    <row r="6365" spans="1:7" ht="15.48" thickBot="1" customHeight="1">
      <c r="A6365" s="30"/>
      <c r="B6365" s="30"/>
      <c r="C6365" s="30"/>
      <c r="D6365" s="31" t="s">
        <v>20103</v>
      </c>
      <c r="E6365" s="30"/>
      <c r="F6365" s="33">
        <f ca="1">ROUND((G6356+G6357+G6358+G6359+G6364)*(1+G2/100),2)</f>
        <v>0</v>
      </c>
      <c r="G6365" s="30"/>
    </row>
    <row r="6366" spans="1:7" ht="58.32" thickBot="1" customHeight="1">
      <c r="A6366" s="34" t="s">
        <v>20104</v>
      </c>
      <c r="B6366" s="35" t="s">
        <v>20105</v>
      </c>
      <c r="C6366" s="35" t="s">
        <v>20106</v>
      </c>
      <c r="D6366" s="36" t="s">
        <v>20107</v>
      </c>
      <c r="E6366" s="37"/>
      <c r="F6366" s="38">
        <f ca="1">F6377</f>
        <v>0</v>
      </c>
      <c r="G6366" s="37"/>
    </row>
    <row r="6367" spans="1:7" ht="30.60" thickBot="1" customHeight="1">
      <c r="A6367" s="26"/>
      <c r="B6367" s="26"/>
      <c r="C6367" s="26"/>
      <c r="D6367" s="25" t="s">
        <v>20108</v>
      </c>
      <c r="E6367" s="25"/>
      <c r="F6367" s="25"/>
      <c r="G6367" s="25"/>
    </row>
    <row r="6368" spans="1:7" ht="39.84" thickBot="1" customHeight="1">
      <c r="A6368" s="24" t="s">
        <v>20109</v>
      </c>
      <c r="B6368" s="24" t="s">
        <v>20110</v>
      </c>
      <c r="C6368" s="24" t="s">
        <v>20111</v>
      </c>
      <c r="D6368" s="25" t="s">
        <v>20112</v>
      </c>
      <c r="E6368" s="28">
        <v>3.00000</v>
      </c>
      <c r="F6368" s="29">
        <f ca="1">ROUND(8.220,3)</f>
        <v>0</v>
      </c>
      <c r="G6368" s="27">
        <f ca="1">ROUND(E6368*F6368,2)</f>
        <v>0</v>
      </c>
    </row>
    <row r="6369" spans="1:7" ht="30.60" thickBot="1" customHeight="1">
      <c r="A6369" s="24" t="s">
        <v>20113</v>
      </c>
      <c r="B6369" s="24" t="s">
        <v>20114</v>
      </c>
      <c r="C6369" s="24" t="s">
        <v>20115</v>
      </c>
      <c r="D6369" s="25" t="s">
        <v>20116</v>
      </c>
      <c r="E6369" s="28">
        <v>0.10560</v>
      </c>
      <c r="F6369" s="29">
        <f ca="1">ROUND(15.430,3)</f>
        <v>0</v>
      </c>
      <c r="G6369" s="27">
        <f ca="1">ROUND(E6369*F6369,2)</f>
        <v>0</v>
      </c>
    </row>
    <row r="6370" spans="1:7" ht="30.60" thickBot="1" customHeight="1">
      <c r="A6370" s="24" t="s">
        <v>20117</v>
      </c>
      <c r="B6370" s="24" t="s">
        <v>20118</v>
      </c>
      <c r="C6370" s="24" t="s">
        <v>20119</v>
      </c>
      <c r="D6370" s="25" t="s">
        <v>20120</v>
      </c>
      <c r="E6370" s="28">
        <v>0.03891</v>
      </c>
      <c r="F6370" s="29">
        <f ca="1">ROUND(11.740,3)</f>
        <v>0</v>
      </c>
      <c r="G6370" s="27">
        <f ca="1">ROUND(E6370*F6370,2)</f>
        <v>0</v>
      </c>
    </row>
    <row r="6371" spans="1:7" ht="21.36" thickBot="1" customHeight="1">
      <c r="A6371" s="24" t="s">
        <v>20121</v>
      </c>
      <c r="B6371" s="24" t="s">
        <v>20122</v>
      </c>
      <c r="C6371" s="24" t="s">
        <v>20123</v>
      </c>
      <c r="D6371" s="25" t="s">
        <v>20124</v>
      </c>
      <c r="E6371" s="28">
        <v>0.75000</v>
      </c>
      <c r="F6371" s="29">
        <f ca="1">F6375</f>
        <v>0</v>
      </c>
      <c r="G6371" s="27">
        <f ca="1">ROUND(E6371*F6371,2)</f>
        <v>0</v>
      </c>
    </row>
    <row r="6372" spans="1:7" ht="24.36" thickBot="1" customHeight="1">
      <c r="A6372" s="24" t="s">
        <v>20125</v>
      </c>
      <c r="B6372" s="24" t="s">
        <v>20126</v>
      </c>
      <c r="C6372" s="24" t="s">
        <v>20127</v>
      </c>
      <c r="D6372" s="25" t="s">
        <v>20128</v>
      </c>
      <c r="E6372" s="28">
        <v>1.00000</v>
      </c>
      <c r="F6372" s="29">
        <f ca="1">ROUND(21.000,3)</f>
        <v>0</v>
      </c>
      <c r="G6372" s="27">
        <f ca="1">ROUND(E6372*F6372,2)</f>
        <v>0</v>
      </c>
    </row>
    <row r="6373" spans="1:7" ht="24.36" thickBot="1" customHeight="1">
      <c r="A6373" s="24" t="s">
        <v>20129</v>
      </c>
      <c r="B6373" s="24" t="s">
        <v>20130</v>
      </c>
      <c r="C6373" s="24" t="s">
        <v>20131</v>
      </c>
      <c r="D6373" s="25" t="s">
        <v>20132</v>
      </c>
      <c r="E6373" s="28">
        <v>1.00000</v>
      </c>
      <c r="F6373" s="29">
        <f ca="1">ROUND(19.000,3)</f>
        <v>0</v>
      </c>
      <c r="G6373" s="27">
        <f ca="1">ROUND(E6373*F6373,2)</f>
        <v>0</v>
      </c>
    </row>
    <row r="6374" spans="1:7" ht="24.36" thickBot="1" customHeight="1">
      <c r="A6374" s="24" t="s">
        <v>20133</v>
      </c>
      <c r="B6374" s="24" t="s">
        <v>20134</v>
      </c>
      <c r="C6374" s="24" t="s">
        <v>20135</v>
      </c>
      <c r="D6374" s="25" t="s">
        <v>20136</v>
      </c>
      <c r="E6374" s="28">
        <v>0.20000</v>
      </c>
      <c r="F6374" s="29">
        <f ca="1">ROUND(19.000,3)</f>
        <v>0</v>
      </c>
      <c r="G6374" s="27">
        <f ca="1">ROUND(E6374*F6374,2)</f>
        <v>0</v>
      </c>
    </row>
    <row r="6375" spans="1:7" ht="15.12" thickBot="1" customHeight="1">
      <c r="A6375" s="26"/>
      <c r="B6375" s="26"/>
      <c r="C6375" s="26"/>
      <c r="D6375" s="24" t="s">
        <v>20137</v>
      </c>
      <c r="E6375" s="28">
        <v>0.75000</v>
      </c>
      <c r="F6375" s="29">
        <f ca="1">ROUND((G6372+G6373+G6374),3)</f>
        <v>0</v>
      </c>
      <c r="G6375" s="27">
        <f ca="1">ROUND(E6375*F6375,2)</f>
        <v>0</v>
      </c>
    </row>
    <row r="6376" spans="1:7" ht="15.12" thickBot="1" customHeight="1">
      <c r="A6376" s="24" t="s">
        <v>20138</v>
      </c>
      <c r="B6376" s="24"/>
      <c r="C6376" s="24" t="s">
        <v>20139</v>
      </c>
      <c r="D6376" s="25" t="s">
        <v>20140</v>
      </c>
      <c r="E6376" s="28">
        <v>5.00000</v>
      </c>
      <c r="F6376" s="29">
        <f ca="1">ROUND(32.850,3)</f>
        <v>0</v>
      </c>
      <c r="G6376" s="27">
        <f ca="1">ROUND((E6376*F6376)/100,2)</f>
        <v>0</v>
      </c>
    </row>
    <row r="6377" spans="1:7" ht="15.48" thickBot="1" customHeight="1">
      <c r="A6377" s="30"/>
      <c r="B6377" s="30"/>
      <c r="C6377" s="30"/>
      <c r="D6377" s="31" t="s">
        <v>20141</v>
      </c>
      <c r="E6377" s="30"/>
      <c r="F6377" s="33">
        <f ca="1">ROUND((G6368+G6369+G6370+G6371+G6376)*(1+G2/100),2)</f>
        <v>0</v>
      </c>
      <c r="G6377" s="30"/>
    </row>
    <row r="6378" spans="1:7" ht="49.08" thickBot="1" customHeight="1">
      <c r="A6378" s="34" t="s">
        <v>20142</v>
      </c>
      <c r="B6378" s="35" t="s">
        <v>20143</v>
      </c>
      <c r="C6378" s="35" t="s">
        <v>20144</v>
      </c>
      <c r="D6378" s="36" t="s">
        <v>20145</v>
      </c>
      <c r="E6378" s="37"/>
      <c r="F6378" s="38">
        <f ca="1">F6389</f>
        <v>0</v>
      </c>
      <c r="G6378" s="37"/>
    </row>
    <row r="6379" spans="1:7" ht="21.36" thickBot="1" customHeight="1">
      <c r="A6379" s="26"/>
      <c r="B6379" s="26"/>
      <c r="C6379" s="26"/>
      <c r="D6379" s="25" t="s">
        <v>20146</v>
      </c>
      <c r="E6379" s="25"/>
      <c r="F6379" s="25"/>
      <c r="G6379" s="25"/>
    </row>
    <row r="6380" spans="1:7" ht="39.84" thickBot="1" customHeight="1">
      <c r="A6380" s="24" t="s">
        <v>20147</v>
      </c>
      <c r="B6380" s="24" t="s">
        <v>20148</v>
      </c>
      <c r="C6380" s="24" t="s">
        <v>20149</v>
      </c>
      <c r="D6380" s="25" t="s">
        <v>20150</v>
      </c>
      <c r="E6380" s="28">
        <v>3.00000</v>
      </c>
      <c r="F6380" s="29">
        <f ca="1">ROUND(10.700,3)</f>
        <v>0</v>
      </c>
      <c r="G6380" s="27">
        <f ca="1">ROUND(E6380*F6380,2)</f>
        <v>0</v>
      </c>
    </row>
    <row r="6381" spans="1:7" ht="30.60" thickBot="1" customHeight="1">
      <c r="A6381" s="24" t="s">
        <v>20151</v>
      </c>
      <c r="B6381" s="24" t="s">
        <v>20152</v>
      </c>
      <c r="C6381" s="24" t="s">
        <v>20153</v>
      </c>
      <c r="D6381" s="25" t="s">
        <v>20154</v>
      </c>
      <c r="E6381" s="28">
        <v>0.14080</v>
      </c>
      <c r="F6381" s="29">
        <f ca="1">ROUND(15.430,3)</f>
        <v>0</v>
      </c>
      <c r="G6381" s="27">
        <f ca="1">ROUND(E6381*F6381,2)</f>
        <v>0</v>
      </c>
    </row>
    <row r="6382" spans="1:7" ht="30.60" thickBot="1" customHeight="1">
      <c r="A6382" s="24" t="s">
        <v>20155</v>
      </c>
      <c r="B6382" s="24" t="s">
        <v>20156</v>
      </c>
      <c r="C6382" s="24" t="s">
        <v>20157</v>
      </c>
      <c r="D6382" s="25" t="s">
        <v>20158</v>
      </c>
      <c r="E6382" s="28">
        <v>0.04437</v>
      </c>
      <c r="F6382" s="29">
        <f ca="1">ROUND(11.740,3)</f>
        <v>0</v>
      </c>
      <c r="G6382" s="27">
        <f ca="1">ROUND(E6382*F6382,2)</f>
        <v>0</v>
      </c>
    </row>
    <row r="6383" spans="1:7" ht="21.36" thickBot="1" customHeight="1">
      <c r="A6383" s="24" t="s">
        <v>20159</v>
      </c>
      <c r="B6383" s="24" t="s">
        <v>20160</v>
      </c>
      <c r="C6383" s="24" t="s">
        <v>20161</v>
      </c>
      <c r="D6383" s="25" t="s">
        <v>20162</v>
      </c>
      <c r="E6383" s="28">
        <v>0.53333</v>
      </c>
      <c r="F6383" s="29">
        <f ca="1">F6387</f>
        <v>0</v>
      </c>
      <c r="G6383" s="27">
        <f ca="1">ROUND(E6383*F6383,2)</f>
        <v>0</v>
      </c>
    </row>
    <row r="6384" spans="1:7" ht="24.36" thickBot="1" customHeight="1">
      <c r="A6384" s="24" t="s">
        <v>20163</v>
      </c>
      <c r="B6384" s="24" t="s">
        <v>20164</v>
      </c>
      <c r="C6384" s="24" t="s">
        <v>20165</v>
      </c>
      <c r="D6384" s="25" t="s">
        <v>20166</v>
      </c>
      <c r="E6384" s="28">
        <v>1.00000</v>
      </c>
      <c r="F6384" s="29">
        <f ca="1">ROUND(21.000,3)</f>
        <v>0</v>
      </c>
      <c r="G6384" s="27">
        <f ca="1">ROUND(E6384*F6384,2)</f>
        <v>0</v>
      </c>
    </row>
    <row r="6385" spans="1:7" ht="24.36" thickBot="1" customHeight="1">
      <c r="A6385" s="24" t="s">
        <v>20167</v>
      </c>
      <c r="B6385" s="24" t="s">
        <v>20168</v>
      </c>
      <c r="C6385" s="24" t="s">
        <v>20169</v>
      </c>
      <c r="D6385" s="25" t="s">
        <v>20170</v>
      </c>
      <c r="E6385" s="28">
        <v>1.00000</v>
      </c>
      <c r="F6385" s="29">
        <f ca="1">ROUND(19.000,3)</f>
        <v>0</v>
      </c>
      <c r="G6385" s="27">
        <f ca="1">ROUND(E6385*F6385,2)</f>
        <v>0</v>
      </c>
    </row>
    <row r="6386" spans="1:7" ht="24.36" thickBot="1" customHeight="1">
      <c r="A6386" s="24" t="s">
        <v>20171</v>
      </c>
      <c r="B6386" s="24" t="s">
        <v>20172</v>
      </c>
      <c r="C6386" s="24" t="s">
        <v>20173</v>
      </c>
      <c r="D6386" s="25" t="s">
        <v>20174</v>
      </c>
      <c r="E6386" s="28">
        <v>0.20000</v>
      </c>
      <c r="F6386" s="29">
        <f ca="1">ROUND(19.000,3)</f>
        <v>0</v>
      </c>
      <c r="G6386" s="27">
        <f ca="1">ROUND(E6386*F6386,2)</f>
        <v>0</v>
      </c>
    </row>
    <row r="6387" spans="1:7" ht="15.12" thickBot="1" customHeight="1">
      <c r="A6387" s="26"/>
      <c r="B6387" s="26"/>
      <c r="C6387" s="26"/>
      <c r="D6387" s="24" t="s">
        <v>20175</v>
      </c>
      <c r="E6387" s="28">
        <v>0.53333</v>
      </c>
      <c r="F6387" s="29">
        <f ca="1">ROUND((G6384+G6385+G6386),3)</f>
        <v>0</v>
      </c>
      <c r="G6387" s="27">
        <f ca="1">ROUND(E6387*F6387,2)</f>
        <v>0</v>
      </c>
    </row>
    <row r="6388" spans="1:7" ht="15.12" thickBot="1" customHeight="1">
      <c r="A6388" s="24" t="s">
        <v>20176</v>
      </c>
      <c r="B6388" s="24"/>
      <c r="C6388" s="24" t="s">
        <v>20177</v>
      </c>
      <c r="D6388" s="25" t="s">
        <v>20178</v>
      </c>
      <c r="E6388" s="28">
        <v>5.00000</v>
      </c>
      <c r="F6388" s="29">
        <f ca="1">ROUND(23.360,3)</f>
        <v>0</v>
      </c>
      <c r="G6388" s="27">
        <f ca="1">ROUND((E6388*F6388)/100,2)</f>
        <v>0</v>
      </c>
    </row>
    <row r="6389" spans="1:7" ht="15.48" thickBot="1" customHeight="1">
      <c r="A6389" s="30"/>
      <c r="B6389" s="30"/>
      <c r="C6389" s="30"/>
      <c r="D6389" s="31" t="s">
        <v>20179</v>
      </c>
      <c r="E6389" s="30"/>
      <c r="F6389" s="33">
        <f ca="1">ROUND((G6380+G6381+G6382+G6383+G6388)*(1+G2/100),2)</f>
        <v>0</v>
      </c>
      <c r="G6389" s="30"/>
    </row>
    <row r="6390" spans="1:7" ht="58.32" thickBot="1" customHeight="1">
      <c r="A6390" s="34" t="s">
        <v>20180</v>
      </c>
      <c r="B6390" s="35" t="s">
        <v>20181</v>
      </c>
      <c r="C6390" s="35" t="s">
        <v>20182</v>
      </c>
      <c r="D6390" s="36" t="s">
        <v>20183</v>
      </c>
      <c r="E6390" s="37"/>
      <c r="F6390" s="38">
        <f ca="1">F6401</f>
        <v>0</v>
      </c>
      <c r="G6390" s="37"/>
    </row>
    <row r="6391" spans="1:7" ht="30.60" thickBot="1" customHeight="1">
      <c r="A6391" s="26"/>
      <c r="B6391" s="26"/>
      <c r="C6391" s="26"/>
      <c r="D6391" s="25" t="s">
        <v>20184</v>
      </c>
      <c r="E6391" s="25"/>
      <c r="F6391" s="25"/>
      <c r="G6391" s="25"/>
    </row>
    <row r="6392" spans="1:7" ht="39.84" thickBot="1" customHeight="1">
      <c r="A6392" s="24" t="s">
        <v>20185</v>
      </c>
      <c r="B6392" s="24" t="s">
        <v>20186</v>
      </c>
      <c r="C6392" s="24" t="s">
        <v>20187</v>
      </c>
      <c r="D6392" s="25" t="s">
        <v>20188</v>
      </c>
      <c r="E6392" s="28">
        <v>3.00000</v>
      </c>
      <c r="F6392" s="29">
        <f ca="1">ROUND(10.700,3)</f>
        <v>0</v>
      </c>
      <c r="G6392" s="27">
        <f ca="1">ROUND(E6392*F6392,2)</f>
        <v>0</v>
      </c>
    </row>
    <row r="6393" spans="1:7" ht="30.60" thickBot="1" customHeight="1">
      <c r="A6393" s="24" t="s">
        <v>20189</v>
      </c>
      <c r="B6393" s="24" t="s">
        <v>20190</v>
      </c>
      <c r="C6393" s="24" t="s">
        <v>20191</v>
      </c>
      <c r="D6393" s="25" t="s">
        <v>20192</v>
      </c>
      <c r="E6393" s="28">
        <v>0.14080</v>
      </c>
      <c r="F6393" s="29">
        <f ca="1">ROUND(15.430,3)</f>
        <v>0</v>
      </c>
      <c r="G6393" s="27">
        <f ca="1">ROUND(E6393*F6393,2)</f>
        <v>0</v>
      </c>
    </row>
    <row r="6394" spans="1:7" ht="30.60" thickBot="1" customHeight="1">
      <c r="A6394" s="24" t="s">
        <v>20193</v>
      </c>
      <c r="B6394" s="24" t="s">
        <v>20194</v>
      </c>
      <c r="C6394" s="24" t="s">
        <v>20195</v>
      </c>
      <c r="D6394" s="25" t="s">
        <v>20196</v>
      </c>
      <c r="E6394" s="28">
        <v>0.04437</v>
      </c>
      <c r="F6394" s="29">
        <f ca="1">ROUND(11.740,3)</f>
        <v>0</v>
      </c>
      <c r="G6394" s="27">
        <f ca="1">ROUND(E6394*F6394,2)</f>
        <v>0</v>
      </c>
    </row>
    <row r="6395" spans="1:7" ht="21.36" thickBot="1" customHeight="1">
      <c r="A6395" s="24" t="s">
        <v>20197</v>
      </c>
      <c r="B6395" s="24" t="s">
        <v>20198</v>
      </c>
      <c r="C6395" s="24" t="s">
        <v>20199</v>
      </c>
      <c r="D6395" s="25" t="s">
        <v>20200</v>
      </c>
      <c r="E6395" s="28">
        <v>0.75000</v>
      </c>
      <c r="F6395" s="29">
        <f ca="1">F6399</f>
        <v>0</v>
      </c>
      <c r="G6395" s="27">
        <f ca="1">ROUND(E6395*F6395,2)</f>
        <v>0</v>
      </c>
    </row>
    <row r="6396" spans="1:7" ht="24.36" thickBot="1" customHeight="1">
      <c r="A6396" s="24" t="s">
        <v>20201</v>
      </c>
      <c r="B6396" s="24" t="s">
        <v>20202</v>
      </c>
      <c r="C6396" s="24" t="s">
        <v>20203</v>
      </c>
      <c r="D6396" s="25" t="s">
        <v>20204</v>
      </c>
      <c r="E6396" s="28">
        <v>1.00000</v>
      </c>
      <c r="F6396" s="29">
        <f ca="1">ROUND(21.000,3)</f>
        <v>0</v>
      </c>
      <c r="G6396" s="27">
        <f ca="1">ROUND(E6396*F6396,2)</f>
        <v>0</v>
      </c>
    </row>
    <row r="6397" spans="1:7" ht="24.36" thickBot="1" customHeight="1">
      <c r="A6397" s="24" t="s">
        <v>20205</v>
      </c>
      <c r="B6397" s="24" t="s">
        <v>20206</v>
      </c>
      <c r="C6397" s="24" t="s">
        <v>20207</v>
      </c>
      <c r="D6397" s="25" t="s">
        <v>20208</v>
      </c>
      <c r="E6397" s="28">
        <v>1.00000</v>
      </c>
      <c r="F6397" s="29">
        <f ca="1">ROUND(19.000,3)</f>
        <v>0</v>
      </c>
      <c r="G6397" s="27">
        <f ca="1">ROUND(E6397*F6397,2)</f>
        <v>0</v>
      </c>
    </row>
    <row r="6398" spans="1:7" ht="24.36" thickBot="1" customHeight="1">
      <c r="A6398" s="24" t="s">
        <v>20209</v>
      </c>
      <c r="B6398" s="24" t="s">
        <v>20210</v>
      </c>
      <c r="C6398" s="24" t="s">
        <v>20211</v>
      </c>
      <c r="D6398" s="25" t="s">
        <v>20212</v>
      </c>
      <c r="E6398" s="28">
        <v>0.20000</v>
      </c>
      <c r="F6398" s="29">
        <f ca="1">ROUND(19.000,3)</f>
        <v>0</v>
      </c>
      <c r="G6398" s="27">
        <f ca="1">ROUND(E6398*F6398,2)</f>
        <v>0</v>
      </c>
    </row>
    <row r="6399" spans="1:7" ht="15.12" thickBot="1" customHeight="1">
      <c r="A6399" s="26"/>
      <c r="B6399" s="26"/>
      <c r="C6399" s="26"/>
      <c r="D6399" s="24" t="s">
        <v>20213</v>
      </c>
      <c r="E6399" s="28">
        <v>0.75000</v>
      </c>
      <c r="F6399" s="29">
        <f ca="1">ROUND((G6396+G6397+G6398),3)</f>
        <v>0</v>
      </c>
      <c r="G6399" s="27">
        <f ca="1">ROUND(E6399*F6399,2)</f>
        <v>0</v>
      </c>
    </row>
    <row r="6400" spans="1:7" ht="15.12" thickBot="1" customHeight="1">
      <c r="A6400" s="24" t="s">
        <v>20214</v>
      </c>
      <c r="B6400" s="24"/>
      <c r="C6400" s="24" t="s">
        <v>20215</v>
      </c>
      <c r="D6400" s="25" t="s">
        <v>20216</v>
      </c>
      <c r="E6400" s="28">
        <v>5.00000</v>
      </c>
      <c r="F6400" s="29">
        <f ca="1">ROUND(32.850,3)</f>
        <v>0</v>
      </c>
      <c r="G6400" s="27">
        <f ca="1">ROUND((E6400*F6400)/100,2)</f>
        <v>0</v>
      </c>
    </row>
    <row r="6401" spans="1:7" ht="15.48" thickBot="1" customHeight="1">
      <c r="A6401" s="30"/>
      <c r="B6401" s="30"/>
      <c r="C6401" s="30"/>
      <c r="D6401" s="31" t="s">
        <v>20217</v>
      </c>
      <c r="E6401" s="30"/>
      <c r="F6401" s="33">
        <f ca="1">ROUND((G6392+G6393+G6394+G6395+G6400)*(1+G2/100),2)</f>
        <v>0</v>
      </c>
      <c r="G6401" s="30"/>
    </row>
    <row r="6402" spans="1:7" ht="25.08" thickBot="1" customHeight="1">
      <c r="A6402" s="34" t="s">
        <v>20218</v>
      </c>
      <c r="B6402" s="35" t="s">
        <v>20219</v>
      </c>
      <c r="C6402" s="35" t="s">
        <v>20220</v>
      </c>
      <c r="D6402" s="36" t="s">
        <v>20221</v>
      </c>
      <c r="E6402" s="37"/>
      <c r="F6402" s="38">
        <f ca="1">F6415</f>
        <v>0</v>
      </c>
      <c r="G6402" s="37"/>
    </row>
    <row r="6403" spans="1:7" ht="12.12" thickBot="1" customHeight="1">
      <c r="A6403" s="26"/>
      <c r="B6403" s="26"/>
      <c r="C6403" s="26"/>
      <c r="D6403" s="25" t="s">
        <v>20222</v>
      </c>
      <c r="E6403" s="25"/>
      <c r="F6403" s="25"/>
      <c r="G6403" s="25"/>
    </row>
    <row r="6404" spans="1:7" ht="30.60" thickBot="1" customHeight="1">
      <c r="A6404" s="24" t="s">
        <v>20223</v>
      </c>
      <c r="B6404" s="24" t="s">
        <v>20224</v>
      </c>
      <c r="C6404" s="24" t="s">
        <v>20225</v>
      </c>
      <c r="D6404" s="25" t="s">
        <v>20226</v>
      </c>
      <c r="E6404" s="28">
        <v>1.00000</v>
      </c>
      <c r="F6404" s="29">
        <f ca="1">ROUND(10.000,3)</f>
        <v>0</v>
      </c>
      <c r="G6404" s="27">
        <f ca="1">ROUND(E6404*F6404,2)</f>
        <v>0</v>
      </c>
    </row>
    <row r="6405" spans="1:7" ht="39.84" thickBot="1" customHeight="1">
      <c r="A6405" s="24" t="s">
        <v>20227</v>
      </c>
      <c r="B6405" s="24" t="s">
        <v>20228</v>
      </c>
      <c r="C6405" s="24" t="s">
        <v>20229</v>
      </c>
      <c r="D6405" s="25" t="s">
        <v>20230</v>
      </c>
      <c r="E6405" s="28">
        <v>0.64000</v>
      </c>
      <c r="F6405" s="29">
        <f ca="1">ROUND(2.600,3)</f>
        <v>0</v>
      </c>
      <c r="G6405" s="27">
        <f ca="1">ROUND(E6405*F6405,2)</f>
        <v>0</v>
      </c>
    </row>
    <row r="6406" spans="1:7" ht="30.60" thickBot="1" customHeight="1">
      <c r="A6406" s="24" t="s">
        <v>20231</v>
      </c>
      <c r="B6406" s="24" t="s">
        <v>20232</v>
      </c>
      <c r="C6406" s="24" t="s">
        <v>20233</v>
      </c>
      <c r="D6406" s="25" t="s">
        <v>20234</v>
      </c>
      <c r="E6406" s="28">
        <v>0.03000</v>
      </c>
      <c r="F6406" s="29">
        <f ca="1">ROUND(11.740,3)</f>
        <v>0</v>
      </c>
      <c r="G6406" s="27">
        <f ca="1">ROUND(E6406*F6406,2)</f>
        <v>0</v>
      </c>
    </row>
    <row r="6407" spans="1:7" ht="39.84" thickBot="1" customHeight="1">
      <c r="A6407" s="24" t="s">
        <v>20235</v>
      </c>
      <c r="B6407" s="24" t="s">
        <v>20236</v>
      </c>
      <c r="C6407" s="24" t="s">
        <v>20237</v>
      </c>
      <c r="D6407" s="25" t="s">
        <v>20238</v>
      </c>
      <c r="E6407" s="28">
        <v>0.25000</v>
      </c>
      <c r="F6407" s="29">
        <f ca="1">ROUND(1.750,3)</f>
        <v>0</v>
      </c>
      <c r="G6407" s="27">
        <f ca="1">ROUND(E6407*F6407,2)</f>
        <v>0</v>
      </c>
    </row>
    <row r="6408" spans="1:7" ht="30.60" thickBot="1" customHeight="1">
      <c r="A6408" s="24" t="s">
        <v>20239</v>
      </c>
      <c r="B6408" s="24" t="s">
        <v>20240</v>
      </c>
      <c r="C6408" s="24" t="s">
        <v>20241</v>
      </c>
      <c r="D6408" s="25" t="s">
        <v>20242</v>
      </c>
      <c r="E6408" s="28">
        <v>0.01667</v>
      </c>
      <c r="F6408" s="29">
        <f ca="1">ROUND(8.810,3)</f>
        <v>0</v>
      </c>
      <c r="G6408" s="27">
        <f ca="1">ROUND(E6408*F6408,2)</f>
        <v>0</v>
      </c>
    </row>
    <row r="6409" spans="1:7" ht="21.36" thickBot="1" customHeight="1">
      <c r="A6409" s="24" t="s">
        <v>20243</v>
      </c>
      <c r="B6409" s="24" t="s">
        <v>20244</v>
      </c>
      <c r="C6409" s="24" t="s">
        <v>20245</v>
      </c>
      <c r="D6409" s="25" t="s">
        <v>20246</v>
      </c>
      <c r="E6409" s="28">
        <v>0.53333</v>
      </c>
      <c r="F6409" s="29">
        <f ca="1">F6413</f>
        <v>0</v>
      </c>
      <c r="G6409" s="27">
        <f ca="1">ROUND(E6409*F6409,2)</f>
        <v>0</v>
      </c>
    </row>
    <row r="6410" spans="1:7" ht="24.36" thickBot="1" customHeight="1">
      <c r="A6410" s="24" t="s">
        <v>20247</v>
      </c>
      <c r="B6410" s="24" t="s">
        <v>20248</v>
      </c>
      <c r="C6410" s="24" t="s">
        <v>20249</v>
      </c>
      <c r="D6410" s="25" t="s">
        <v>20250</v>
      </c>
      <c r="E6410" s="28">
        <v>1.00000</v>
      </c>
      <c r="F6410" s="29">
        <f ca="1">ROUND(21.000,3)</f>
        <v>0</v>
      </c>
      <c r="G6410" s="27">
        <f ca="1">ROUND(E6410*F6410,2)</f>
        <v>0</v>
      </c>
    </row>
    <row r="6411" spans="1:7" ht="24.36" thickBot="1" customHeight="1">
      <c r="A6411" s="24" t="s">
        <v>20251</v>
      </c>
      <c r="B6411" s="24" t="s">
        <v>20252</v>
      </c>
      <c r="C6411" s="24" t="s">
        <v>20253</v>
      </c>
      <c r="D6411" s="25" t="s">
        <v>20254</v>
      </c>
      <c r="E6411" s="28">
        <v>1.00000</v>
      </c>
      <c r="F6411" s="29">
        <f ca="1">ROUND(19.000,3)</f>
        <v>0</v>
      </c>
      <c r="G6411" s="27">
        <f ca="1">ROUND(E6411*F6411,2)</f>
        <v>0</v>
      </c>
    </row>
    <row r="6412" spans="1:7" ht="24.36" thickBot="1" customHeight="1">
      <c r="A6412" s="24" t="s">
        <v>20255</v>
      </c>
      <c r="B6412" s="24" t="s">
        <v>20256</v>
      </c>
      <c r="C6412" s="24" t="s">
        <v>20257</v>
      </c>
      <c r="D6412" s="25" t="s">
        <v>20258</v>
      </c>
      <c r="E6412" s="28">
        <v>0.20000</v>
      </c>
      <c r="F6412" s="29">
        <f ca="1">ROUND(19.000,3)</f>
        <v>0</v>
      </c>
      <c r="G6412" s="27">
        <f ca="1">ROUND(E6412*F6412,2)</f>
        <v>0</v>
      </c>
    </row>
    <row r="6413" spans="1:7" ht="15.12" thickBot="1" customHeight="1">
      <c r="A6413" s="26"/>
      <c r="B6413" s="26"/>
      <c r="C6413" s="26"/>
      <c r="D6413" s="24" t="s">
        <v>20259</v>
      </c>
      <c r="E6413" s="28">
        <v>0.53333</v>
      </c>
      <c r="F6413" s="29">
        <f ca="1">ROUND((G6410+G6411+G6412),3)</f>
        <v>0</v>
      </c>
      <c r="G6413" s="27">
        <f ca="1">ROUND(E6413*F6413,2)</f>
        <v>0</v>
      </c>
    </row>
    <row r="6414" spans="1:7" ht="15.12" thickBot="1" customHeight="1">
      <c r="A6414" s="24" t="s">
        <v>20260</v>
      </c>
      <c r="B6414" s="24"/>
      <c r="C6414" s="24" t="s">
        <v>20261</v>
      </c>
      <c r="D6414" s="25" t="s">
        <v>20262</v>
      </c>
      <c r="E6414" s="28">
        <v>5.00000</v>
      </c>
      <c r="F6414" s="29">
        <f ca="1">ROUND(23.360,3)</f>
        <v>0</v>
      </c>
      <c r="G6414" s="27">
        <f ca="1">ROUND((E6414*F6414)/100,2)</f>
        <v>0</v>
      </c>
    </row>
    <row r="6415" spans="1:7" ht="25.08" thickBot="1" customHeight="1">
      <c r="A6415" s="30"/>
      <c r="B6415" s="30"/>
      <c r="C6415" s="30"/>
      <c r="D6415" s="31" t="s">
        <v>20263</v>
      </c>
      <c r="E6415" s="30"/>
      <c r="F6415" s="33">
        <f ca="1">ROUND((G6404+G6405+G6406+G6407+G6408+G6409+G6414)*(1+G2/100),2)</f>
        <v>0</v>
      </c>
      <c r="G6415" s="30"/>
    </row>
    <row r="6416" spans="1:7" ht="39.84" thickBot="1" customHeight="1">
      <c r="A6416" s="34" t="s">
        <v>20264</v>
      </c>
      <c r="B6416" s="35" t="s">
        <v>20265</v>
      </c>
      <c r="C6416" s="35" t="s">
        <v>20266</v>
      </c>
      <c r="D6416" s="36" t="s">
        <v>20267</v>
      </c>
      <c r="E6416" s="37"/>
      <c r="F6416" s="38">
        <f ca="1">F6427</f>
        <v>0</v>
      </c>
      <c r="G6416" s="37"/>
    </row>
    <row r="6417" spans="1:7" ht="39.84" thickBot="1" customHeight="1">
      <c r="A6417" s="26"/>
      <c r="B6417" s="26"/>
      <c r="C6417" s="26"/>
      <c r="D6417" s="25" t="s">
        <v>20268</v>
      </c>
      <c r="E6417" s="25"/>
      <c r="F6417" s="25"/>
      <c r="G6417" s="25"/>
    </row>
    <row r="6418" spans="1:7" ht="30.60" thickBot="1" customHeight="1">
      <c r="A6418" s="24" t="s">
        <v>20269</v>
      </c>
      <c r="B6418" s="24" t="s">
        <v>20270</v>
      </c>
      <c r="C6418" s="24" t="s">
        <v>20271</v>
      </c>
      <c r="D6418" s="25" t="s">
        <v>20272</v>
      </c>
      <c r="E6418" s="28">
        <v>5.00000</v>
      </c>
      <c r="F6418" s="29">
        <f ca="1">ROUND(1.630,3)</f>
        <v>0</v>
      </c>
      <c r="G6418" s="27">
        <f ca="1">ROUND(E6418*F6418,2)</f>
        <v>0</v>
      </c>
    </row>
    <row r="6419" spans="1:7" ht="30.60" thickBot="1" customHeight="1">
      <c r="A6419" s="24" t="s">
        <v>20273</v>
      </c>
      <c r="B6419" s="24" t="s">
        <v>20274</v>
      </c>
      <c r="C6419" s="24" t="s">
        <v>20275</v>
      </c>
      <c r="D6419" s="25" t="s">
        <v>20276</v>
      </c>
      <c r="E6419" s="28">
        <v>0.06776</v>
      </c>
      <c r="F6419" s="29">
        <f ca="1">ROUND(15.430,3)</f>
        <v>0</v>
      </c>
      <c r="G6419" s="27">
        <f ca="1">ROUND(E6419*F6419,2)</f>
        <v>0</v>
      </c>
    </row>
    <row r="6420" spans="1:7" ht="30.60" thickBot="1" customHeight="1">
      <c r="A6420" s="24" t="s">
        <v>20277</v>
      </c>
      <c r="B6420" s="24" t="s">
        <v>20278</v>
      </c>
      <c r="C6420" s="24" t="s">
        <v>20279</v>
      </c>
      <c r="D6420" s="25" t="s">
        <v>20280</v>
      </c>
      <c r="E6420" s="28">
        <v>0.02112</v>
      </c>
      <c r="F6420" s="29">
        <f ca="1">ROUND(11.740,3)</f>
        <v>0</v>
      </c>
      <c r="G6420" s="27">
        <f ca="1">ROUND(E6420*F6420,2)</f>
        <v>0</v>
      </c>
    </row>
    <row r="6421" spans="1:7" ht="21.36" thickBot="1" customHeight="1">
      <c r="A6421" s="24" t="s">
        <v>20281</v>
      </c>
      <c r="B6421" s="24" t="s">
        <v>20282</v>
      </c>
      <c r="C6421" s="24" t="s">
        <v>20283</v>
      </c>
      <c r="D6421" s="25" t="s">
        <v>20284</v>
      </c>
      <c r="E6421" s="28">
        <v>0.57500</v>
      </c>
      <c r="F6421" s="29">
        <f ca="1">F6425</f>
        <v>0</v>
      </c>
      <c r="G6421" s="27">
        <f ca="1">ROUND(E6421*F6421,2)</f>
        <v>0</v>
      </c>
    </row>
    <row r="6422" spans="1:7" ht="24.36" thickBot="1" customHeight="1">
      <c r="A6422" s="24" t="s">
        <v>20285</v>
      </c>
      <c r="B6422" s="24" t="s">
        <v>20286</v>
      </c>
      <c r="C6422" s="24" t="s">
        <v>20287</v>
      </c>
      <c r="D6422" s="25" t="s">
        <v>20288</v>
      </c>
      <c r="E6422" s="28">
        <v>1.00000</v>
      </c>
      <c r="F6422" s="29">
        <f ca="1">ROUND(21.000,3)</f>
        <v>0</v>
      </c>
      <c r="G6422" s="27">
        <f ca="1">ROUND(E6422*F6422,2)</f>
        <v>0</v>
      </c>
    </row>
    <row r="6423" spans="1:7" ht="24.36" thickBot="1" customHeight="1">
      <c r="A6423" s="24" t="s">
        <v>20289</v>
      </c>
      <c r="B6423" s="24" t="s">
        <v>20290</v>
      </c>
      <c r="C6423" s="24" t="s">
        <v>20291</v>
      </c>
      <c r="D6423" s="25" t="s">
        <v>20292</v>
      </c>
      <c r="E6423" s="28">
        <v>1.00000</v>
      </c>
      <c r="F6423" s="29">
        <f ca="1">ROUND(19.000,3)</f>
        <v>0</v>
      </c>
      <c r="G6423" s="27">
        <f ca="1">ROUND(E6423*F6423,2)</f>
        <v>0</v>
      </c>
    </row>
    <row r="6424" spans="1:7" ht="24.36" thickBot="1" customHeight="1">
      <c r="A6424" s="24" t="s">
        <v>20293</v>
      </c>
      <c r="B6424" s="24" t="s">
        <v>20294</v>
      </c>
      <c r="C6424" s="24" t="s">
        <v>20295</v>
      </c>
      <c r="D6424" s="25" t="s">
        <v>20296</v>
      </c>
      <c r="E6424" s="28">
        <v>0.20000</v>
      </c>
      <c r="F6424" s="29">
        <f ca="1">ROUND(19.000,3)</f>
        <v>0</v>
      </c>
      <c r="G6424" s="27">
        <f ca="1">ROUND(E6424*F6424,2)</f>
        <v>0</v>
      </c>
    </row>
    <row r="6425" spans="1:7" ht="15.12" thickBot="1" customHeight="1">
      <c r="A6425" s="26"/>
      <c r="B6425" s="26"/>
      <c r="C6425" s="26"/>
      <c r="D6425" s="24" t="s">
        <v>20297</v>
      </c>
      <c r="E6425" s="28">
        <v>0.57500</v>
      </c>
      <c r="F6425" s="29">
        <f ca="1">ROUND((G6422+G6423+G6424),3)</f>
        <v>0</v>
      </c>
      <c r="G6425" s="27">
        <f ca="1">ROUND(E6425*F6425,2)</f>
        <v>0</v>
      </c>
    </row>
    <row r="6426" spans="1:7" ht="15.12" thickBot="1" customHeight="1">
      <c r="A6426" s="24" t="s">
        <v>20298</v>
      </c>
      <c r="B6426" s="24"/>
      <c r="C6426" s="24" t="s">
        <v>20299</v>
      </c>
      <c r="D6426" s="25" t="s">
        <v>20300</v>
      </c>
      <c r="E6426" s="28">
        <v>3.00000</v>
      </c>
      <c r="F6426" s="29">
        <f ca="1">ROUND(25.190,3)</f>
        <v>0</v>
      </c>
      <c r="G6426" s="27">
        <f ca="1">ROUND((E6426*F6426)/100,2)</f>
        <v>0</v>
      </c>
    </row>
    <row r="6427" spans="1:7" ht="15.48" thickBot="1" customHeight="1">
      <c r="A6427" s="30"/>
      <c r="B6427" s="30"/>
      <c r="C6427" s="30"/>
      <c r="D6427" s="31" t="s">
        <v>20301</v>
      </c>
      <c r="E6427" s="30"/>
      <c r="F6427" s="33">
        <f ca="1">ROUND((G6418+G6419+G6420+G6421+G6426)*(1+G2/100),2)</f>
        <v>0</v>
      </c>
      <c r="G6427" s="30"/>
    </row>
    <row r="6428" spans="1:7" ht="39.84" thickBot="1" customHeight="1">
      <c r="A6428" s="34" t="s">
        <v>20302</v>
      </c>
      <c r="B6428" s="35" t="s">
        <v>20303</v>
      </c>
      <c r="C6428" s="35" t="s">
        <v>20304</v>
      </c>
      <c r="D6428" s="36" t="s">
        <v>20305</v>
      </c>
      <c r="E6428" s="37"/>
      <c r="F6428" s="38">
        <f ca="1">F6439</f>
        <v>0</v>
      </c>
      <c r="G6428" s="37"/>
    </row>
    <row r="6429" spans="1:7" ht="39.84" thickBot="1" customHeight="1">
      <c r="A6429" s="26"/>
      <c r="B6429" s="26"/>
      <c r="C6429" s="26"/>
      <c r="D6429" s="25" t="s">
        <v>20306</v>
      </c>
      <c r="E6429" s="25"/>
      <c r="F6429" s="25"/>
      <c r="G6429" s="25"/>
    </row>
    <row r="6430" spans="1:7" ht="30.60" thickBot="1" customHeight="1">
      <c r="A6430" s="24" t="s">
        <v>20307</v>
      </c>
      <c r="B6430" s="24" t="s">
        <v>20308</v>
      </c>
      <c r="C6430" s="24" t="s">
        <v>20309</v>
      </c>
      <c r="D6430" s="25" t="s">
        <v>20310</v>
      </c>
      <c r="E6430" s="28">
        <v>5.00000</v>
      </c>
      <c r="F6430" s="29">
        <f ca="1">ROUND(1.630,3)</f>
        <v>0</v>
      </c>
      <c r="G6430" s="27">
        <f ca="1">ROUND(E6430*F6430,2)</f>
        <v>0</v>
      </c>
    </row>
    <row r="6431" spans="1:7" ht="30.60" thickBot="1" customHeight="1">
      <c r="A6431" s="24" t="s">
        <v>20311</v>
      </c>
      <c r="B6431" s="24" t="s">
        <v>20312</v>
      </c>
      <c r="C6431" s="24" t="s">
        <v>20313</v>
      </c>
      <c r="D6431" s="25" t="s">
        <v>20314</v>
      </c>
      <c r="E6431" s="28">
        <v>0.06776</v>
      </c>
      <c r="F6431" s="29">
        <f ca="1">ROUND(15.430,3)</f>
        <v>0</v>
      </c>
      <c r="G6431" s="27">
        <f ca="1">ROUND(E6431*F6431,2)</f>
        <v>0</v>
      </c>
    </row>
    <row r="6432" spans="1:7" ht="30.60" thickBot="1" customHeight="1">
      <c r="A6432" s="24" t="s">
        <v>20315</v>
      </c>
      <c r="B6432" s="24" t="s">
        <v>20316</v>
      </c>
      <c r="C6432" s="24" t="s">
        <v>20317</v>
      </c>
      <c r="D6432" s="25" t="s">
        <v>20318</v>
      </c>
      <c r="E6432" s="28">
        <v>0.02112</v>
      </c>
      <c r="F6432" s="29">
        <f ca="1">ROUND(11.740,3)</f>
        <v>0</v>
      </c>
      <c r="G6432" s="27">
        <f ca="1">ROUND(E6432*F6432,2)</f>
        <v>0</v>
      </c>
    </row>
    <row r="6433" spans="1:7" ht="24.36" thickBot="1" customHeight="1">
      <c r="A6433" s="24" t="s">
        <v>20319</v>
      </c>
      <c r="B6433" s="24" t="s">
        <v>20320</v>
      </c>
      <c r="C6433" s="24" t="s">
        <v>20321</v>
      </c>
      <c r="D6433" s="25" t="s">
        <v>20322</v>
      </c>
      <c r="E6433" s="28">
        <v>0.70000</v>
      </c>
      <c r="F6433" s="29">
        <f ca="1">F6437</f>
        <v>0</v>
      </c>
      <c r="G6433" s="27">
        <f ca="1">ROUND(E6433*F6433,2)</f>
        <v>0</v>
      </c>
    </row>
    <row r="6434" spans="1:7" ht="24.36" thickBot="1" customHeight="1">
      <c r="A6434" s="24" t="s">
        <v>20323</v>
      </c>
      <c r="B6434" s="24" t="s">
        <v>20324</v>
      </c>
      <c r="C6434" s="24" t="s">
        <v>20325</v>
      </c>
      <c r="D6434" s="25" t="s">
        <v>20326</v>
      </c>
      <c r="E6434" s="28">
        <v>1.00000</v>
      </c>
      <c r="F6434" s="29">
        <f ca="1">ROUND(21.000,3)</f>
        <v>0</v>
      </c>
      <c r="G6434" s="27">
        <f ca="1">ROUND(E6434*F6434,2)</f>
        <v>0</v>
      </c>
    </row>
    <row r="6435" spans="1:7" ht="24.36" thickBot="1" customHeight="1">
      <c r="A6435" s="24" t="s">
        <v>20327</v>
      </c>
      <c r="B6435" s="24" t="s">
        <v>20328</v>
      </c>
      <c r="C6435" s="24" t="s">
        <v>20329</v>
      </c>
      <c r="D6435" s="25" t="s">
        <v>20330</v>
      </c>
      <c r="E6435" s="28">
        <v>1.00000</v>
      </c>
      <c r="F6435" s="29">
        <f ca="1">ROUND(19.000,3)</f>
        <v>0</v>
      </c>
      <c r="G6435" s="27">
        <f ca="1">ROUND(E6435*F6435,2)</f>
        <v>0</v>
      </c>
    </row>
    <row r="6436" spans="1:7" ht="24.36" thickBot="1" customHeight="1">
      <c r="A6436" s="24" t="s">
        <v>20331</v>
      </c>
      <c r="B6436" s="24" t="s">
        <v>20332</v>
      </c>
      <c r="C6436" s="24" t="s">
        <v>20333</v>
      </c>
      <c r="D6436" s="25" t="s">
        <v>20334</v>
      </c>
      <c r="E6436" s="28">
        <v>0.50000</v>
      </c>
      <c r="F6436" s="29">
        <f ca="1">ROUND(19.000,3)</f>
        <v>0</v>
      </c>
      <c r="G6436" s="27">
        <f ca="1">ROUND(E6436*F6436,2)</f>
        <v>0</v>
      </c>
    </row>
    <row r="6437" spans="1:7" ht="15.12" thickBot="1" customHeight="1">
      <c r="A6437" s="26"/>
      <c r="B6437" s="26"/>
      <c r="C6437" s="26"/>
      <c r="D6437" s="24" t="s">
        <v>20335</v>
      </c>
      <c r="E6437" s="28">
        <v>0.70000</v>
      </c>
      <c r="F6437" s="29">
        <f ca="1">ROUND((G6434+G6435+G6436),3)</f>
        <v>0</v>
      </c>
      <c r="G6437" s="27">
        <f ca="1">ROUND(E6437*F6437,2)</f>
        <v>0</v>
      </c>
    </row>
    <row r="6438" spans="1:7" ht="15.12" thickBot="1" customHeight="1">
      <c r="A6438" s="24" t="s">
        <v>20336</v>
      </c>
      <c r="B6438" s="24"/>
      <c r="C6438" s="24" t="s">
        <v>20337</v>
      </c>
      <c r="D6438" s="25" t="s">
        <v>20338</v>
      </c>
      <c r="E6438" s="28">
        <v>3.00000</v>
      </c>
      <c r="F6438" s="29">
        <f ca="1">ROUND(34.650,3)</f>
        <v>0</v>
      </c>
      <c r="G6438" s="27">
        <f ca="1">ROUND((E6438*F6438)/100,2)</f>
        <v>0</v>
      </c>
    </row>
    <row r="6439" spans="1:7" ht="15.48" thickBot="1" customHeight="1">
      <c r="A6439" s="30"/>
      <c r="B6439" s="30"/>
      <c r="C6439" s="30"/>
      <c r="D6439" s="31" t="s">
        <v>20339</v>
      </c>
      <c r="E6439" s="30"/>
      <c r="F6439" s="33">
        <f ca="1">ROUND((G6430+G6431+G6432+G6433+G6438)*(1+G2/100),2)</f>
        <v>0</v>
      </c>
      <c r="G6439" s="30"/>
    </row>
    <row r="6440" spans="1:7" ht="49.08" thickBot="1" customHeight="1">
      <c r="A6440" s="34" t="s">
        <v>20340</v>
      </c>
      <c r="B6440" s="35" t="s">
        <v>20341</v>
      </c>
      <c r="C6440" s="35" t="s">
        <v>20342</v>
      </c>
      <c r="D6440" s="36" t="s">
        <v>20343</v>
      </c>
      <c r="E6440" s="37"/>
      <c r="F6440" s="38">
        <f ca="1">F6451</f>
        <v>0</v>
      </c>
      <c r="G6440" s="37"/>
    </row>
    <row r="6441" spans="1:7" ht="39.84" thickBot="1" customHeight="1">
      <c r="A6441" s="26"/>
      <c r="B6441" s="26"/>
      <c r="C6441" s="26"/>
      <c r="D6441" s="25" t="s">
        <v>20344</v>
      </c>
      <c r="E6441" s="25"/>
      <c r="F6441" s="25"/>
      <c r="G6441" s="25"/>
    </row>
    <row r="6442" spans="1:7" ht="39.84" thickBot="1" customHeight="1">
      <c r="A6442" s="24" t="s">
        <v>20345</v>
      </c>
      <c r="B6442" s="24" t="s">
        <v>20346</v>
      </c>
      <c r="C6442" s="24" t="s">
        <v>20347</v>
      </c>
      <c r="D6442" s="25" t="s">
        <v>20348</v>
      </c>
      <c r="E6442" s="28">
        <v>8.00000</v>
      </c>
      <c r="F6442" s="29">
        <f ca="1">ROUND(0.930,3)</f>
        <v>0</v>
      </c>
      <c r="G6442" s="27">
        <f ca="1">ROUND(E6442*F6442,2)</f>
        <v>0</v>
      </c>
    </row>
    <row r="6443" spans="1:7" ht="30.60" thickBot="1" customHeight="1">
      <c r="A6443" s="24" t="s">
        <v>20349</v>
      </c>
      <c r="B6443" s="24" t="s">
        <v>20350</v>
      </c>
      <c r="C6443" s="24" t="s">
        <v>20351</v>
      </c>
      <c r="D6443" s="25" t="s">
        <v>20352</v>
      </c>
      <c r="E6443" s="28">
        <v>0.12320</v>
      </c>
      <c r="F6443" s="29">
        <f ca="1">ROUND(15.430,3)</f>
        <v>0</v>
      </c>
      <c r="G6443" s="27">
        <f ca="1">ROUND(E6443*F6443,2)</f>
        <v>0</v>
      </c>
    </row>
    <row r="6444" spans="1:7" ht="30.60" thickBot="1" customHeight="1">
      <c r="A6444" s="24" t="s">
        <v>20353</v>
      </c>
      <c r="B6444" s="24" t="s">
        <v>20354</v>
      </c>
      <c r="C6444" s="24" t="s">
        <v>20355</v>
      </c>
      <c r="D6444" s="25" t="s">
        <v>20356</v>
      </c>
      <c r="E6444" s="28">
        <v>0.05069</v>
      </c>
      <c r="F6444" s="29">
        <f ca="1">ROUND(11.740,3)</f>
        <v>0</v>
      </c>
      <c r="G6444" s="27">
        <f ca="1">ROUND(E6444*F6444,2)</f>
        <v>0</v>
      </c>
    </row>
    <row r="6445" spans="1:7" ht="21.36" thickBot="1" customHeight="1">
      <c r="A6445" s="24" t="s">
        <v>20357</v>
      </c>
      <c r="B6445" s="24" t="s">
        <v>20358</v>
      </c>
      <c r="C6445" s="24" t="s">
        <v>20359</v>
      </c>
      <c r="D6445" s="25" t="s">
        <v>20360</v>
      </c>
      <c r="E6445" s="28">
        <v>0.60000</v>
      </c>
      <c r="F6445" s="29">
        <f ca="1">F6449</f>
        <v>0</v>
      </c>
      <c r="G6445" s="27">
        <f ca="1">ROUND(E6445*F6445,2)</f>
        <v>0</v>
      </c>
    </row>
    <row r="6446" spans="1:7" ht="24.36" thickBot="1" customHeight="1">
      <c r="A6446" s="24" t="s">
        <v>20361</v>
      </c>
      <c r="B6446" s="24" t="s">
        <v>20362</v>
      </c>
      <c r="C6446" s="24" t="s">
        <v>20363</v>
      </c>
      <c r="D6446" s="25" t="s">
        <v>20364</v>
      </c>
      <c r="E6446" s="28">
        <v>1.00000</v>
      </c>
      <c r="F6446" s="29">
        <f ca="1">ROUND(21.000,3)</f>
        <v>0</v>
      </c>
      <c r="G6446" s="27">
        <f ca="1">ROUND(E6446*F6446,2)</f>
        <v>0</v>
      </c>
    </row>
    <row r="6447" spans="1:7" ht="24.36" thickBot="1" customHeight="1">
      <c r="A6447" s="24" t="s">
        <v>20365</v>
      </c>
      <c r="B6447" s="24" t="s">
        <v>20366</v>
      </c>
      <c r="C6447" s="24" t="s">
        <v>20367</v>
      </c>
      <c r="D6447" s="25" t="s">
        <v>20368</v>
      </c>
      <c r="E6447" s="28">
        <v>1.00000</v>
      </c>
      <c r="F6447" s="29">
        <f ca="1">ROUND(19.000,3)</f>
        <v>0</v>
      </c>
      <c r="G6447" s="27">
        <f ca="1">ROUND(E6447*F6447,2)</f>
        <v>0</v>
      </c>
    </row>
    <row r="6448" spans="1:7" ht="24.36" thickBot="1" customHeight="1">
      <c r="A6448" s="24" t="s">
        <v>20369</v>
      </c>
      <c r="B6448" s="24" t="s">
        <v>20370</v>
      </c>
      <c r="C6448" s="24" t="s">
        <v>20371</v>
      </c>
      <c r="D6448" s="25" t="s">
        <v>20372</v>
      </c>
      <c r="E6448" s="28">
        <v>0.20000</v>
      </c>
      <c r="F6448" s="29">
        <f ca="1">ROUND(19.000,3)</f>
        <v>0</v>
      </c>
      <c r="G6448" s="27">
        <f ca="1">ROUND(E6448*F6448,2)</f>
        <v>0</v>
      </c>
    </row>
    <row r="6449" spans="1:7" ht="15.12" thickBot="1" customHeight="1">
      <c r="A6449" s="26"/>
      <c r="B6449" s="26"/>
      <c r="C6449" s="26"/>
      <c r="D6449" s="24" t="s">
        <v>20373</v>
      </c>
      <c r="E6449" s="28">
        <v>0.60000</v>
      </c>
      <c r="F6449" s="29">
        <f ca="1">ROUND((G6446+G6447+G6448),3)</f>
        <v>0</v>
      </c>
      <c r="G6449" s="27">
        <f ca="1">ROUND(E6449*F6449,2)</f>
        <v>0</v>
      </c>
    </row>
    <row r="6450" spans="1:7" ht="15.12" thickBot="1" customHeight="1">
      <c r="A6450" s="24" t="s">
        <v>20374</v>
      </c>
      <c r="B6450" s="24"/>
      <c r="C6450" s="24" t="s">
        <v>20375</v>
      </c>
      <c r="D6450" s="25" t="s">
        <v>20376</v>
      </c>
      <c r="E6450" s="28">
        <v>3.00000</v>
      </c>
      <c r="F6450" s="29">
        <f ca="1">ROUND(26.280,3)</f>
        <v>0</v>
      </c>
      <c r="G6450" s="27">
        <f ca="1">ROUND((E6450*F6450)/100,2)</f>
        <v>0</v>
      </c>
    </row>
    <row r="6451" spans="1:7" ht="25.08" thickBot="1" customHeight="1">
      <c r="A6451" s="30"/>
      <c r="B6451" s="30"/>
      <c r="C6451" s="30"/>
      <c r="D6451" s="31" t="s">
        <v>20377</v>
      </c>
      <c r="E6451" s="30"/>
      <c r="F6451" s="33">
        <f ca="1">ROUND((G6442+G6443+G6444+G6445+G6450)*(1+G2/100),2)</f>
        <v>0</v>
      </c>
      <c r="G6451" s="30"/>
    </row>
    <row r="6452" spans="1:7" ht="49.08" thickBot="1" customHeight="1">
      <c r="A6452" s="34" t="s">
        <v>20378</v>
      </c>
      <c r="B6452" s="35" t="s">
        <v>20379</v>
      </c>
      <c r="C6452" s="35" t="s">
        <v>20380</v>
      </c>
      <c r="D6452" s="36" t="s">
        <v>20381</v>
      </c>
      <c r="E6452" s="37"/>
      <c r="F6452" s="38">
        <f ca="1">F6463</f>
        <v>0</v>
      </c>
      <c r="G6452" s="37"/>
    </row>
    <row r="6453" spans="1:7" ht="39.84" thickBot="1" customHeight="1">
      <c r="A6453" s="26"/>
      <c r="B6453" s="26"/>
      <c r="C6453" s="26"/>
      <c r="D6453" s="25" t="s">
        <v>20382</v>
      </c>
      <c r="E6453" s="25"/>
      <c r="F6453" s="25"/>
      <c r="G6453" s="25"/>
    </row>
    <row r="6454" spans="1:7" ht="39.84" thickBot="1" customHeight="1">
      <c r="A6454" s="24" t="s">
        <v>20383</v>
      </c>
      <c r="B6454" s="24" t="s">
        <v>20384</v>
      </c>
      <c r="C6454" s="24" t="s">
        <v>20385</v>
      </c>
      <c r="D6454" s="25" t="s">
        <v>20386</v>
      </c>
      <c r="E6454" s="28">
        <v>8.00000</v>
      </c>
      <c r="F6454" s="29">
        <f ca="1">ROUND(0.930,3)</f>
        <v>0</v>
      </c>
      <c r="G6454" s="27">
        <f ca="1">ROUND(E6454*F6454,2)</f>
        <v>0</v>
      </c>
    </row>
    <row r="6455" spans="1:7" ht="30.60" thickBot="1" customHeight="1">
      <c r="A6455" s="24" t="s">
        <v>20387</v>
      </c>
      <c r="B6455" s="24" t="s">
        <v>20388</v>
      </c>
      <c r="C6455" s="24" t="s">
        <v>20389</v>
      </c>
      <c r="D6455" s="25" t="s">
        <v>20390</v>
      </c>
      <c r="E6455" s="28">
        <v>0.12320</v>
      </c>
      <c r="F6455" s="29">
        <f ca="1">ROUND(15.430,3)</f>
        <v>0</v>
      </c>
      <c r="G6455" s="27">
        <f ca="1">ROUND(E6455*F6455,2)</f>
        <v>0</v>
      </c>
    </row>
    <row r="6456" spans="1:7" ht="30.60" thickBot="1" customHeight="1">
      <c r="A6456" s="24" t="s">
        <v>20391</v>
      </c>
      <c r="B6456" s="24" t="s">
        <v>20392</v>
      </c>
      <c r="C6456" s="24" t="s">
        <v>20393</v>
      </c>
      <c r="D6456" s="25" t="s">
        <v>20394</v>
      </c>
      <c r="E6456" s="28">
        <v>0.05069</v>
      </c>
      <c r="F6456" s="29">
        <f ca="1">ROUND(11.740,3)</f>
        <v>0</v>
      </c>
      <c r="G6456" s="27">
        <f ca="1">ROUND(E6456*F6456,2)</f>
        <v>0</v>
      </c>
    </row>
    <row r="6457" spans="1:7" ht="21.36" thickBot="1" customHeight="1">
      <c r="A6457" s="24" t="s">
        <v>20395</v>
      </c>
      <c r="B6457" s="24" t="s">
        <v>20396</v>
      </c>
      <c r="C6457" s="24" t="s">
        <v>20397</v>
      </c>
      <c r="D6457" s="25" t="s">
        <v>20398</v>
      </c>
      <c r="E6457" s="28">
        <v>0.84000</v>
      </c>
      <c r="F6457" s="29">
        <f ca="1">F6461</f>
        <v>0</v>
      </c>
      <c r="G6457" s="27">
        <f ca="1">ROUND(E6457*F6457,2)</f>
        <v>0</v>
      </c>
    </row>
    <row r="6458" spans="1:7" ht="24.36" thickBot="1" customHeight="1">
      <c r="A6458" s="24" t="s">
        <v>20399</v>
      </c>
      <c r="B6458" s="24" t="s">
        <v>20400</v>
      </c>
      <c r="C6458" s="24" t="s">
        <v>20401</v>
      </c>
      <c r="D6458" s="25" t="s">
        <v>20402</v>
      </c>
      <c r="E6458" s="28">
        <v>1.00000</v>
      </c>
      <c r="F6458" s="29">
        <f ca="1">ROUND(21.000,3)</f>
        <v>0</v>
      </c>
      <c r="G6458" s="27">
        <f ca="1">ROUND(E6458*F6458,2)</f>
        <v>0</v>
      </c>
    </row>
    <row r="6459" spans="1:7" ht="24.36" thickBot="1" customHeight="1">
      <c r="A6459" s="24" t="s">
        <v>20403</v>
      </c>
      <c r="B6459" s="24" t="s">
        <v>20404</v>
      </c>
      <c r="C6459" s="24" t="s">
        <v>20405</v>
      </c>
      <c r="D6459" s="25" t="s">
        <v>20406</v>
      </c>
      <c r="E6459" s="28">
        <v>1.00000</v>
      </c>
      <c r="F6459" s="29">
        <f ca="1">ROUND(19.000,3)</f>
        <v>0</v>
      </c>
      <c r="G6459" s="27">
        <f ca="1">ROUND(E6459*F6459,2)</f>
        <v>0</v>
      </c>
    </row>
    <row r="6460" spans="1:7" ht="24.36" thickBot="1" customHeight="1">
      <c r="A6460" s="24" t="s">
        <v>20407</v>
      </c>
      <c r="B6460" s="24" t="s">
        <v>20408</v>
      </c>
      <c r="C6460" s="24" t="s">
        <v>20409</v>
      </c>
      <c r="D6460" s="25" t="s">
        <v>20410</v>
      </c>
      <c r="E6460" s="28">
        <v>0.20000</v>
      </c>
      <c r="F6460" s="29">
        <f ca="1">ROUND(19.000,3)</f>
        <v>0</v>
      </c>
      <c r="G6460" s="27">
        <f ca="1">ROUND(E6460*F6460,2)</f>
        <v>0</v>
      </c>
    </row>
    <row r="6461" spans="1:7" ht="15.12" thickBot="1" customHeight="1">
      <c r="A6461" s="26"/>
      <c r="B6461" s="26"/>
      <c r="C6461" s="26"/>
      <c r="D6461" s="24" t="s">
        <v>20411</v>
      </c>
      <c r="E6461" s="28">
        <v>0.84000</v>
      </c>
      <c r="F6461" s="29">
        <f ca="1">ROUND((G6458+G6459+G6460),3)</f>
        <v>0</v>
      </c>
      <c r="G6461" s="27">
        <f ca="1">ROUND(E6461*F6461,2)</f>
        <v>0</v>
      </c>
    </row>
    <row r="6462" spans="1:7" ht="15.12" thickBot="1" customHeight="1">
      <c r="A6462" s="24" t="s">
        <v>20412</v>
      </c>
      <c r="B6462" s="24"/>
      <c r="C6462" s="24" t="s">
        <v>20413</v>
      </c>
      <c r="D6462" s="25" t="s">
        <v>20414</v>
      </c>
      <c r="E6462" s="28">
        <v>3.00000</v>
      </c>
      <c r="F6462" s="29">
        <f ca="1">ROUND(36.790,3)</f>
        <v>0</v>
      </c>
      <c r="G6462" s="27">
        <f ca="1">ROUND((E6462*F6462)/100,2)</f>
        <v>0</v>
      </c>
    </row>
    <row r="6463" spans="1:7" ht="25.08" thickBot="1" customHeight="1">
      <c r="A6463" s="30"/>
      <c r="B6463" s="30"/>
      <c r="C6463" s="30"/>
      <c r="D6463" s="31" t="s">
        <v>20415</v>
      </c>
      <c r="E6463" s="30"/>
      <c r="F6463" s="33">
        <f ca="1">ROUND((G6454+G6455+G6456+G6457+G6462)*(1+G2/100),2)</f>
        <v>0</v>
      </c>
      <c r="G6463" s="30"/>
    </row>
    <row r="6464" spans="1:7" ht="49.08" thickBot="1" customHeight="1">
      <c r="A6464" s="34" t="s">
        <v>20416</v>
      </c>
      <c r="B6464" s="35" t="s">
        <v>20417</v>
      </c>
      <c r="C6464" s="35" t="s">
        <v>20418</v>
      </c>
      <c r="D6464" s="36" t="s">
        <v>20419</v>
      </c>
      <c r="E6464" s="37"/>
      <c r="F6464" s="38">
        <f ca="1">F6476</f>
        <v>0</v>
      </c>
      <c r="G6464" s="37"/>
    </row>
    <row r="6465" spans="1:7" ht="49.08" thickBot="1" customHeight="1">
      <c r="A6465" s="26"/>
      <c r="B6465" s="26"/>
      <c r="C6465" s="26"/>
      <c r="D6465" s="25" t="s">
        <v>20420</v>
      </c>
      <c r="E6465" s="25"/>
      <c r="F6465" s="25"/>
      <c r="G6465" s="25"/>
    </row>
    <row r="6466" spans="1:7" ht="39.84" thickBot="1" customHeight="1">
      <c r="A6466" s="24" t="s">
        <v>20421</v>
      </c>
      <c r="B6466" s="24" t="s">
        <v>20422</v>
      </c>
      <c r="C6466" s="24" t="s">
        <v>20423</v>
      </c>
      <c r="D6466" s="25" t="s">
        <v>20424</v>
      </c>
      <c r="E6466" s="28">
        <v>8.00000</v>
      </c>
      <c r="F6466" s="29">
        <f ca="1">ROUND(0.930,3)</f>
        <v>0</v>
      </c>
      <c r="G6466" s="27">
        <f ca="1">ROUND(E6466*F6466,2)</f>
        <v>0</v>
      </c>
    </row>
    <row r="6467" spans="1:7" ht="30.60" thickBot="1" customHeight="1">
      <c r="A6467" s="24" t="s">
        <v>20425</v>
      </c>
      <c r="B6467" s="24" t="s">
        <v>20426</v>
      </c>
      <c r="C6467" s="24" t="s">
        <v>20427</v>
      </c>
      <c r="D6467" s="25" t="s">
        <v>20428</v>
      </c>
      <c r="E6467" s="28">
        <v>8.00000</v>
      </c>
      <c r="F6467" s="29">
        <f ca="1">ROUND(0.400,3)</f>
        <v>0</v>
      </c>
      <c r="G6467" s="27">
        <f ca="1">ROUND(E6467*F6467,2)</f>
        <v>0</v>
      </c>
    </row>
    <row r="6468" spans="1:7" ht="30.60" thickBot="1" customHeight="1">
      <c r="A6468" s="24" t="s">
        <v>20429</v>
      </c>
      <c r="B6468" s="24" t="s">
        <v>20430</v>
      </c>
      <c r="C6468" s="24" t="s">
        <v>20431</v>
      </c>
      <c r="D6468" s="25" t="s">
        <v>20432</v>
      </c>
      <c r="E6468" s="28">
        <v>0.24640</v>
      </c>
      <c r="F6468" s="29">
        <f ca="1">ROUND(15.430,3)</f>
        <v>0</v>
      </c>
      <c r="G6468" s="27">
        <f ca="1">ROUND(E6468*F6468,2)</f>
        <v>0</v>
      </c>
    </row>
    <row r="6469" spans="1:7" ht="30.60" thickBot="1" customHeight="1">
      <c r="A6469" s="24" t="s">
        <v>20433</v>
      </c>
      <c r="B6469" s="24" t="s">
        <v>20434</v>
      </c>
      <c r="C6469" s="24" t="s">
        <v>20435</v>
      </c>
      <c r="D6469" s="25" t="s">
        <v>20436</v>
      </c>
      <c r="E6469" s="28">
        <v>0.10138</v>
      </c>
      <c r="F6469" s="29">
        <f ca="1">ROUND(11.740,3)</f>
        <v>0</v>
      </c>
      <c r="G6469" s="27">
        <f ca="1">ROUND(E6469*F6469,2)</f>
        <v>0</v>
      </c>
    </row>
    <row r="6470" spans="1:7" ht="21.36" thickBot="1" customHeight="1">
      <c r="A6470" s="24" t="s">
        <v>20437</v>
      </c>
      <c r="B6470" s="24" t="s">
        <v>20438</v>
      </c>
      <c r="C6470" s="24" t="s">
        <v>20439</v>
      </c>
      <c r="D6470" s="25" t="s">
        <v>20440</v>
      </c>
      <c r="E6470" s="28">
        <v>0.80000</v>
      </c>
      <c r="F6470" s="29">
        <f ca="1">F6474</f>
        <v>0</v>
      </c>
      <c r="G6470" s="27">
        <f ca="1">ROUND(E6470*F6470,2)</f>
        <v>0</v>
      </c>
    </row>
    <row r="6471" spans="1:7" ht="24.36" thickBot="1" customHeight="1">
      <c r="A6471" s="24" t="s">
        <v>20441</v>
      </c>
      <c r="B6471" s="24" t="s">
        <v>20442</v>
      </c>
      <c r="C6471" s="24" t="s">
        <v>20443</v>
      </c>
      <c r="D6471" s="25" t="s">
        <v>20444</v>
      </c>
      <c r="E6471" s="28">
        <v>1.00000</v>
      </c>
      <c r="F6471" s="29">
        <f ca="1">ROUND(21.000,3)</f>
        <v>0</v>
      </c>
      <c r="G6471" s="27">
        <f ca="1">ROUND(E6471*F6471,2)</f>
        <v>0</v>
      </c>
    </row>
    <row r="6472" spans="1:7" ht="24.36" thickBot="1" customHeight="1">
      <c r="A6472" s="24" t="s">
        <v>20445</v>
      </c>
      <c r="B6472" s="24" t="s">
        <v>20446</v>
      </c>
      <c r="C6472" s="24" t="s">
        <v>20447</v>
      </c>
      <c r="D6472" s="25" t="s">
        <v>20448</v>
      </c>
      <c r="E6472" s="28">
        <v>1.00000</v>
      </c>
      <c r="F6472" s="29">
        <f ca="1">ROUND(19.000,3)</f>
        <v>0</v>
      </c>
      <c r="G6472" s="27">
        <f ca="1">ROUND(E6472*F6472,2)</f>
        <v>0</v>
      </c>
    </row>
    <row r="6473" spans="1:7" ht="24.36" thickBot="1" customHeight="1">
      <c r="A6473" s="24" t="s">
        <v>20449</v>
      </c>
      <c r="B6473" s="24" t="s">
        <v>20450</v>
      </c>
      <c r="C6473" s="24" t="s">
        <v>20451</v>
      </c>
      <c r="D6473" s="25" t="s">
        <v>20452</v>
      </c>
      <c r="E6473" s="28">
        <v>0.20000</v>
      </c>
      <c r="F6473" s="29">
        <f ca="1">ROUND(19.000,3)</f>
        <v>0</v>
      </c>
      <c r="G6473" s="27">
        <f ca="1">ROUND(E6473*F6473,2)</f>
        <v>0</v>
      </c>
    </row>
    <row r="6474" spans="1:7" ht="15.12" thickBot="1" customHeight="1">
      <c r="A6474" s="26"/>
      <c r="B6474" s="26"/>
      <c r="C6474" s="26"/>
      <c r="D6474" s="24" t="s">
        <v>20453</v>
      </c>
      <c r="E6474" s="28">
        <v>0.80000</v>
      </c>
      <c r="F6474" s="29">
        <f ca="1">ROUND((G6471+G6472+G6473),3)</f>
        <v>0</v>
      </c>
      <c r="G6474" s="27">
        <f ca="1">ROUND(E6474*F6474,2)</f>
        <v>0</v>
      </c>
    </row>
    <row r="6475" spans="1:7" ht="15.12" thickBot="1" customHeight="1">
      <c r="A6475" s="24" t="s">
        <v>20454</v>
      </c>
      <c r="B6475" s="24"/>
      <c r="C6475" s="24" t="s">
        <v>20455</v>
      </c>
      <c r="D6475" s="25" t="s">
        <v>20456</v>
      </c>
      <c r="E6475" s="28">
        <v>5.00000</v>
      </c>
      <c r="F6475" s="29">
        <f ca="1">ROUND(35.040,3)</f>
        <v>0</v>
      </c>
      <c r="G6475" s="27">
        <f ca="1">ROUND((E6475*F6475)/100,2)</f>
        <v>0</v>
      </c>
    </row>
    <row r="6476" spans="1:7" ht="25.08" thickBot="1" customHeight="1">
      <c r="A6476" s="30"/>
      <c r="B6476" s="30"/>
      <c r="C6476" s="30"/>
      <c r="D6476" s="31" t="s">
        <v>20457</v>
      </c>
      <c r="E6476" s="30"/>
      <c r="F6476" s="33">
        <f ca="1">ROUND((G6466+G6467+G6468+G6469+G6470+G6475)*(1+G2/100),2)</f>
        <v>0</v>
      </c>
      <c r="G6476" s="30"/>
    </row>
    <row r="6477" spans="1:7" ht="58.32" thickBot="1" customHeight="1">
      <c r="A6477" s="34" t="s">
        <v>20458</v>
      </c>
      <c r="B6477" s="35" t="s">
        <v>20459</v>
      </c>
      <c r="C6477" s="35" t="s">
        <v>20460</v>
      </c>
      <c r="D6477" s="36" t="s">
        <v>20461</v>
      </c>
      <c r="E6477" s="37"/>
      <c r="F6477" s="38">
        <f ca="1">F6489</f>
        <v>0</v>
      </c>
      <c r="G6477" s="37"/>
    </row>
    <row r="6478" spans="1:7" ht="49.08" thickBot="1" customHeight="1">
      <c r="A6478" s="26"/>
      <c r="B6478" s="26"/>
      <c r="C6478" s="26"/>
      <c r="D6478" s="25" t="s">
        <v>20462</v>
      </c>
      <c r="E6478" s="25"/>
      <c r="F6478" s="25"/>
      <c r="G6478" s="25"/>
    </row>
    <row r="6479" spans="1:7" ht="39.84" thickBot="1" customHeight="1">
      <c r="A6479" s="24" t="s">
        <v>20463</v>
      </c>
      <c r="B6479" s="24" t="s">
        <v>20464</v>
      </c>
      <c r="C6479" s="24" t="s">
        <v>20465</v>
      </c>
      <c r="D6479" s="25" t="s">
        <v>20466</v>
      </c>
      <c r="E6479" s="28">
        <v>8.00000</v>
      </c>
      <c r="F6479" s="29">
        <f ca="1">ROUND(0.930,3)</f>
        <v>0</v>
      </c>
      <c r="G6479" s="27">
        <f ca="1">ROUND(E6479*F6479,2)</f>
        <v>0</v>
      </c>
    </row>
    <row r="6480" spans="1:7" ht="30.60" thickBot="1" customHeight="1">
      <c r="A6480" s="24" t="s">
        <v>20467</v>
      </c>
      <c r="B6480" s="24" t="s">
        <v>20468</v>
      </c>
      <c r="C6480" s="24" t="s">
        <v>20469</v>
      </c>
      <c r="D6480" s="25" t="s">
        <v>20470</v>
      </c>
      <c r="E6480" s="28">
        <v>8.00000</v>
      </c>
      <c r="F6480" s="29">
        <f ca="1">ROUND(0.400,3)</f>
        <v>0</v>
      </c>
      <c r="G6480" s="27">
        <f ca="1">ROUND(E6480*F6480,2)</f>
        <v>0</v>
      </c>
    </row>
    <row r="6481" spans="1:7" ht="30.60" thickBot="1" customHeight="1">
      <c r="A6481" s="24" t="s">
        <v>20471</v>
      </c>
      <c r="B6481" s="24" t="s">
        <v>20472</v>
      </c>
      <c r="C6481" s="24" t="s">
        <v>20473</v>
      </c>
      <c r="D6481" s="25" t="s">
        <v>20474</v>
      </c>
      <c r="E6481" s="28">
        <v>0.24640</v>
      </c>
      <c r="F6481" s="29">
        <f ca="1">ROUND(15.430,3)</f>
        <v>0</v>
      </c>
      <c r="G6481" s="27">
        <f ca="1">ROUND(E6481*F6481,2)</f>
        <v>0</v>
      </c>
    </row>
    <row r="6482" spans="1:7" ht="30.60" thickBot="1" customHeight="1">
      <c r="A6482" s="24" t="s">
        <v>20475</v>
      </c>
      <c r="B6482" s="24" t="s">
        <v>20476</v>
      </c>
      <c r="C6482" s="24" t="s">
        <v>20477</v>
      </c>
      <c r="D6482" s="25" t="s">
        <v>20478</v>
      </c>
      <c r="E6482" s="28">
        <v>0.10138</v>
      </c>
      <c r="F6482" s="29">
        <f ca="1">ROUND(11.740,3)</f>
        <v>0</v>
      </c>
      <c r="G6482" s="27">
        <f ca="1">ROUND(E6482*F6482,2)</f>
        <v>0</v>
      </c>
    </row>
    <row r="6483" spans="1:7" ht="21.36" thickBot="1" customHeight="1">
      <c r="A6483" s="24" t="s">
        <v>20479</v>
      </c>
      <c r="B6483" s="24" t="s">
        <v>20480</v>
      </c>
      <c r="C6483" s="24" t="s">
        <v>20481</v>
      </c>
      <c r="D6483" s="25" t="s">
        <v>20482</v>
      </c>
      <c r="E6483" s="28">
        <v>1.00000</v>
      </c>
      <c r="F6483" s="29">
        <f ca="1">F6487</f>
        <v>0</v>
      </c>
      <c r="G6483" s="27">
        <f ca="1">ROUND(E6483*F6483,2)</f>
        <v>0</v>
      </c>
    </row>
    <row r="6484" spans="1:7" ht="24.36" thickBot="1" customHeight="1">
      <c r="A6484" s="24" t="s">
        <v>20483</v>
      </c>
      <c r="B6484" s="24" t="s">
        <v>20484</v>
      </c>
      <c r="C6484" s="24" t="s">
        <v>20485</v>
      </c>
      <c r="D6484" s="25" t="s">
        <v>20486</v>
      </c>
      <c r="E6484" s="28">
        <v>1.00000</v>
      </c>
      <c r="F6484" s="29">
        <f ca="1">ROUND(21.000,3)</f>
        <v>0</v>
      </c>
      <c r="G6484" s="27">
        <f ca="1">ROUND(E6484*F6484,2)</f>
        <v>0</v>
      </c>
    </row>
    <row r="6485" spans="1:7" ht="24.36" thickBot="1" customHeight="1">
      <c r="A6485" s="24" t="s">
        <v>20487</v>
      </c>
      <c r="B6485" s="24" t="s">
        <v>20488</v>
      </c>
      <c r="C6485" s="24" t="s">
        <v>20489</v>
      </c>
      <c r="D6485" s="25" t="s">
        <v>20490</v>
      </c>
      <c r="E6485" s="28">
        <v>1.00000</v>
      </c>
      <c r="F6485" s="29">
        <f ca="1">ROUND(19.000,3)</f>
        <v>0</v>
      </c>
      <c r="G6485" s="27">
        <f ca="1">ROUND(E6485*F6485,2)</f>
        <v>0</v>
      </c>
    </row>
    <row r="6486" spans="1:7" ht="24.36" thickBot="1" customHeight="1">
      <c r="A6486" s="24" t="s">
        <v>20491</v>
      </c>
      <c r="B6486" s="24" t="s">
        <v>20492</v>
      </c>
      <c r="C6486" s="24" t="s">
        <v>20493</v>
      </c>
      <c r="D6486" s="25" t="s">
        <v>20494</v>
      </c>
      <c r="E6486" s="28">
        <v>0.20000</v>
      </c>
      <c r="F6486" s="29">
        <f ca="1">ROUND(19.000,3)</f>
        <v>0</v>
      </c>
      <c r="G6486" s="27">
        <f ca="1">ROUND(E6486*F6486,2)</f>
        <v>0</v>
      </c>
    </row>
    <row r="6487" spans="1:7" ht="15.12" thickBot="1" customHeight="1">
      <c r="A6487" s="26"/>
      <c r="B6487" s="26"/>
      <c r="C6487" s="26"/>
      <c r="D6487" s="24" t="s">
        <v>20495</v>
      </c>
      <c r="E6487" s="28">
        <v>1.00000</v>
      </c>
      <c r="F6487" s="29">
        <f ca="1">ROUND((G6484+G6485+G6486),3)</f>
        <v>0</v>
      </c>
      <c r="G6487" s="27">
        <f ca="1">ROUND(E6487*F6487,2)</f>
        <v>0</v>
      </c>
    </row>
    <row r="6488" spans="1:7" ht="15.12" thickBot="1" customHeight="1">
      <c r="A6488" s="24" t="s">
        <v>20496</v>
      </c>
      <c r="B6488" s="24"/>
      <c r="C6488" s="24" t="s">
        <v>20497</v>
      </c>
      <c r="D6488" s="25" t="s">
        <v>20498</v>
      </c>
      <c r="E6488" s="28">
        <v>5.00000</v>
      </c>
      <c r="F6488" s="29">
        <f ca="1">ROUND(43.800,3)</f>
        <v>0</v>
      </c>
      <c r="G6488" s="27">
        <f ca="1">ROUND((E6488*F6488)/100,2)</f>
        <v>0</v>
      </c>
    </row>
    <row r="6489" spans="1:7" ht="25.08" thickBot="1" customHeight="1">
      <c r="A6489" s="30"/>
      <c r="B6489" s="30"/>
      <c r="C6489" s="30"/>
      <c r="D6489" s="31" t="s">
        <v>20499</v>
      </c>
      <c r="E6489" s="30"/>
      <c r="F6489" s="33">
        <f ca="1">ROUND((G6479+G6480+G6481+G6482+G6483+G6488)*(1+G2/100),2)</f>
        <v>0</v>
      </c>
      <c r="G6489" s="30"/>
    </row>
    <row r="6490" spans="1:7" ht="49.08" thickBot="1" customHeight="1">
      <c r="A6490" s="34" t="s">
        <v>20500</v>
      </c>
      <c r="B6490" s="35" t="s">
        <v>20501</v>
      </c>
      <c r="C6490" s="35" t="s">
        <v>20502</v>
      </c>
      <c r="D6490" s="36" t="s">
        <v>20503</v>
      </c>
      <c r="E6490" s="37"/>
      <c r="F6490" s="38">
        <f ca="1">F6501</f>
        <v>0</v>
      </c>
      <c r="G6490" s="37"/>
    </row>
    <row r="6491" spans="1:7" ht="12.12" thickBot="1" customHeight="1">
      <c r="A6491" s="26"/>
      <c r="B6491" s="26"/>
      <c r="C6491" s="26"/>
      <c r="D6491" s="25" t="s">
        <v>20504</v>
      </c>
      <c r="E6491" s="25"/>
      <c r="F6491" s="25"/>
      <c r="G6491" s="25"/>
    </row>
    <row r="6492" spans="1:7" ht="39.84" thickBot="1" customHeight="1">
      <c r="A6492" s="24" t="s">
        <v>20505</v>
      </c>
      <c r="B6492" s="24" t="s">
        <v>20506</v>
      </c>
      <c r="C6492" s="24" t="s">
        <v>20507</v>
      </c>
      <c r="D6492" s="25" t="s">
        <v>20508</v>
      </c>
      <c r="E6492" s="28">
        <v>8.00000</v>
      </c>
      <c r="F6492" s="29">
        <f ca="1">ROUND(0.930,3)</f>
        <v>0</v>
      </c>
      <c r="G6492" s="27">
        <f ca="1">ROUND(E6492*F6492,2)</f>
        <v>0</v>
      </c>
    </row>
    <row r="6493" spans="1:7" ht="30.60" thickBot="1" customHeight="1">
      <c r="A6493" s="24" t="s">
        <v>20509</v>
      </c>
      <c r="B6493" s="24" t="s">
        <v>20510</v>
      </c>
      <c r="C6493" s="24" t="s">
        <v>20511</v>
      </c>
      <c r="D6493" s="25" t="s">
        <v>20512</v>
      </c>
      <c r="E6493" s="28">
        <v>0.12320</v>
      </c>
      <c r="F6493" s="29">
        <f ca="1">ROUND(15.430,3)</f>
        <v>0</v>
      </c>
      <c r="G6493" s="27">
        <f ca="1">ROUND(E6493*F6493,2)</f>
        <v>0</v>
      </c>
    </row>
    <row r="6494" spans="1:7" ht="30.60" thickBot="1" customHeight="1">
      <c r="A6494" s="24" t="s">
        <v>20513</v>
      </c>
      <c r="B6494" s="24" t="s">
        <v>20514</v>
      </c>
      <c r="C6494" s="24" t="s">
        <v>20515</v>
      </c>
      <c r="D6494" s="25" t="s">
        <v>20516</v>
      </c>
      <c r="E6494" s="28">
        <v>0.05069</v>
      </c>
      <c r="F6494" s="29">
        <f ca="1">ROUND(11.740,3)</f>
        <v>0</v>
      </c>
      <c r="G6494" s="27">
        <f ca="1">ROUND(E6494*F6494,2)</f>
        <v>0</v>
      </c>
    </row>
    <row r="6495" spans="1:7" ht="21.36" thickBot="1" customHeight="1">
      <c r="A6495" s="24" t="s">
        <v>20517</v>
      </c>
      <c r="B6495" s="24" t="s">
        <v>20518</v>
      </c>
      <c r="C6495" s="24" t="s">
        <v>20519</v>
      </c>
      <c r="D6495" s="25" t="s">
        <v>20520</v>
      </c>
      <c r="E6495" s="28">
        <v>0.80000</v>
      </c>
      <c r="F6495" s="29">
        <f ca="1">F6499</f>
        <v>0</v>
      </c>
      <c r="G6495" s="27">
        <f ca="1">ROUND(E6495*F6495,2)</f>
        <v>0</v>
      </c>
    </row>
    <row r="6496" spans="1:7" ht="24.36" thickBot="1" customHeight="1">
      <c r="A6496" s="24" t="s">
        <v>20521</v>
      </c>
      <c r="B6496" s="24" t="s">
        <v>20522</v>
      </c>
      <c r="C6496" s="24" t="s">
        <v>20523</v>
      </c>
      <c r="D6496" s="25" t="s">
        <v>20524</v>
      </c>
      <c r="E6496" s="28">
        <v>1.00000</v>
      </c>
      <c r="F6496" s="29">
        <f ca="1">ROUND(21.000,3)</f>
        <v>0</v>
      </c>
      <c r="G6496" s="27">
        <f ca="1">ROUND(E6496*F6496,2)</f>
        <v>0</v>
      </c>
    </row>
    <row r="6497" spans="1:7" ht="24.36" thickBot="1" customHeight="1">
      <c r="A6497" s="24" t="s">
        <v>20525</v>
      </c>
      <c r="B6497" s="24" t="s">
        <v>20526</v>
      </c>
      <c r="C6497" s="24" t="s">
        <v>20527</v>
      </c>
      <c r="D6497" s="25" t="s">
        <v>20528</v>
      </c>
      <c r="E6497" s="28">
        <v>1.00000</v>
      </c>
      <c r="F6497" s="29">
        <f ca="1">ROUND(19.000,3)</f>
        <v>0</v>
      </c>
      <c r="G6497" s="27">
        <f ca="1">ROUND(E6497*F6497,2)</f>
        <v>0</v>
      </c>
    </row>
    <row r="6498" spans="1:7" ht="24.36" thickBot="1" customHeight="1">
      <c r="A6498" s="24" t="s">
        <v>20529</v>
      </c>
      <c r="B6498" s="24" t="s">
        <v>20530</v>
      </c>
      <c r="C6498" s="24" t="s">
        <v>20531</v>
      </c>
      <c r="D6498" s="25" t="s">
        <v>20532</v>
      </c>
      <c r="E6498" s="28">
        <v>0.20000</v>
      </c>
      <c r="F6498" s="29">
        <f ca="1">ROUND(19.000,3)</f>
        <v>0</v>
      </c>
      <c r="G6498" s="27">
        <f ca="1">ROUND(E6498*F6498,2)</f>
        <v>0</v>
      </c>
    </row>
    <row r="6499" spans="1:7" ht="15.12" thickBot="1" customHeight="1">
      <c r="A6499" s="26"/>
      <c r="B6499" s="26"/>
      <c r="C6499" s="26"/>
      <c r="D6499" s="24" t="s">
        <v>20533</v>
      </c>
      <c r="E6499" s="28">
        <v>0.80000</v>
      </c>
      <c r="F6499" s="29">
        <f ca="1">ROUND((G6496+G6497+G6498),3)</f>
        <v>0</v>
      </c>
      <c r="G6499" s="27">
        <f ca="1">ROUND(E6499*F6499,2)</f>
        <v>0</v>
      </c>
    </row>
    <row r="6500" spans="1:7" ht="15.12" thickBot="1" customHeight="1">
      <c r="A6500" s="24" t="s">
        <v>20534</v>
      </c>
      <c r="B6500" s="24"/>
      <c r="C6500" s="24" t="s">
        <v>20535</v>
      </c>
      <c r="D6500" s="25" t="s">
        <v>20536</v>
      </c>
      <c r="E6500" s="28">
        <v>5.00000</v>
      </c>
      <c r="F6500" s="29">
        <f ca="1">ROUND(35.040,3)</f>
        <v>0</v>
      </c>
      <c r="G6500" s="27">
        <f ca="1">ROUND((E6500*F6500)/100,2)</f>
        <v>0</v>
      </c>
    </row>
    <row r="6501" spans="1:7" ht="25.08" thickBot="1" customHeight="1">
      <c r="A6501" s="30"/>
      <c r="B6501" s="30"/>
      <c r="C6501" s="30"/>
      <c r="D6501" s="31" t="s">
        <v>20537</v>
      </c>
      <c r="E6501" s="30"/>
      <c r="F6501" s="33">
        <f ca="1">ROUND((G6492+G6493+G6494+G6495+G6500)*(1+G2/100),2)</f>
        <v>0</v>
      </c>
      <c r="G6501" s="30"/>
    </row>
    <row r="6502" spans="1:7" ht="58.32" thickBot="1" customHeight="1">
      <c r="A6502" s="34" t="s">
        <v>20538</v>
      </c>
      <c r="B6502" s="35" t="s">
        <v>20539</v>
      </c>
      <c r="C6502" s="35" t="s">
        <v>20540</v>
      </c>
      <c r="D6502" s="36" t="s">
        <v>20541</v>
      </c>
      <c r="E6502" s="37"/>
      <c r="F6502" s="38">
        <f ca="1">F6513</f>
        <v>0</v>
      </c>
      <c r="G6502" s="37"/>
    </row>
    <row r="6503" spans="1:7" ht="21.36" thickBot="1" customHeight="1">
      <c r="A6503" s="26"/>
      <c r="B6503" s="26"/>
      <c r="C6503" s="26"/>
      <c r="D6503" s="25" t="s">
        <v>20542</v>
      </c>
      <c r="E6503" s="25"/>
      <c r="F6503" s="25"/>
      <c r="G6503" s="25"/>
    </row>
    <row r="6504" spans="1:7" ht="39.84" thickBot="1" customHeight="1">
      <c r="A6504" s="24" t="s">
        <v>20543</v>
      </c>
      <c r="B6504" s="24" t="s">
        <v>20544</v>
      </c>
      <c r="C6504" s="24" t="s">
        <v>20545</v>
      </c>
      <c r="D6504" s="25" t="s">
        <v>20546</v>
      </c>
      <c r="E6504" s="28">
        <v>8.00000</v>
      </c>
      <c r="F6504" s="29">
        <f ca="1">ROUND(0.930,3)</f>
        <v>0</v>
      </c>
      <c r="G6504" s="27">
        <f ca="1">ROUND(E6504*F6504,2)</f>
        <v>0</v>
      </c>
    </row>
    <row r="6505" spans="1:7" ht="30.60" thickBot="1" customHeight="1">
      <c r="A6505" s="24" t="s">
        <v>20547</v>
      </c>
      <c r="B6505" s="24" t="s">
        <v>20548</v>
      </c>
      <c r="C6505" s="24" t="s">
        <v>20549</v>
      </c>
      <c r="D6505" s="25" t="s">
        <v>20550</v>
      </c>
      <c r="E6505" s="28">
        <v>0.12320</v>
      </c>
      <c r="F6505" s="29">
        <f ca="1">ROUND(15.430,3)</f>
        <v>0</v>
      </c>
      <c r="G6505" s="27">
        <f ca="1">ROUND(E6505*F6505,2)</f>
        <v>0</v>
      </c>
    </row>
    <row r="6506" spans="1:7" ht="30.60" thickBot="1" customHeight="1">
      <c r="A6506" s="24" t="s">
        <v>20551</v>
      </c>
      <c r="B6506" s="24" t="s">
        <v>20552</v>
      </c>
      <c r="C6506" s="24" t="s">
        <v>20553</v>
      </c>
      <c r="D6506" s="25" t="s">
        <v>20554</v>
      </c>
      <c r="E6506" s="28">
        <v>0.05069</v>
      </c>
      <c r="F6506" s="29">
        <f ca="1">ROUND(11.740,3)</f>
        <v>0</v>
      </c>
      <c r="G6506" s="27">
        <f ca="1">ROUND(E6506*F6506,2)</f>
        <v>0</v>
      </c>
    </row>
    <row r="6507" spans="1:7" ht="21.36" thickBot="1" customHeight="1">
      <c r="A6507" s="24" t="s">
        <v>20555</v>
      </c>
      <c r="B6507" s="24" t="s">
        <v>20556</v>
      </c>
      <c r="C6507" s="24" t="s">
        <v>20557</v>
      </c>
      <c r="D6507" s="25" t="s">
        <v>20558</v>
      </c>
      <c r="E6507" s="28">
        <v>1.10000</v>
      </c>
      <c r="F6507" s="29">
        <f ca="1">F6511</f>
        <v>0</v>
      </c>
      <c r="G6507" s="27">
        <f ca="1">ROUND(E6507*F6507,2)</f>
        <v>0</v>
      </c>
    </row>
    <row r="6508" spans="1:7" ht="24.36" thickBot="1" customHeight="1">
      <c r="A6508" s="24" t="s">
        <v>20559</v>
      </c>
      <c r="B6508" s="24" t="s">
        <v>20560</v>
      </c>
      <c r="C6508" s="24" t="s">
        <v>20561</v>
      </c>
      <c r="D6508" s="25" t="s">
        <v>20562</v>
      </c>
      <c r="E6508" s="28">
        <v>1.00000</v>
      </c>
      <c r="F6508" s="29">
        <f ca="1">ROUND(21.000,3)</f>
        <v>0</v>
      </c>
      <c r="G6508" s="27">
        <f ca="1">ROUND(E6508*F6508,2)</f>
        <v>0</v>
      </c>
    </row>
    <row r="6509" spans="1:7" ht="24.36" thickBot="1" customHeight="1">
      <c r="A6509" s="24" t="s">
        <v>20563</v>
      </c>
      <c r="B6509" s="24" t="s">
        <v>20564</v>
      </c>
      <c r="C6509" s="24" t="s">
        <v>20565</v>
      </c>
      <c r="D6509" s="25" t="s">
        <v>20566</v>
      </c>
      <c r="E6509" s="28">
        <v>1.00000</v>
      </c>
      <c r="F6509" s="29">
        <f ca="1">ROUND(19.000,3)</f>
        <v>0</v>
      </c>
      <c r="G6509" s="27">
        <f ca="1">ROUND(E6509*F6509,2)</f>
        <v>0</v>
      </c>
    </row>
    <row r="6510" spans="1:7" ht="24.36" thickBot="1" customHeight="1">
      <c r="A6510" s="24" t="s">
        <v>20567</v>
      </c>
      <c r="B6510" s="24" t="s">
        <v>20568</v>
      </c>
      <c r="C6510" s="24" t="s">
        <v>20569</v>
      </c>
      <c r="D6510" s="25" t="s">
        <v>20570</v>
      </c>
      <c r="E6510" s="28">
        <v>0.20000</v>
      </c>
      <c r="F6510" s="29">
        <f ca="1">ROUND(19.000,3)</f>
        <v>0</v>
      </c>
      <c r="G6510" s="27">
        <f ca="1">ROUND(E6510*F6510,2)</f>
        <v>0</v>
      </c>
    </row>
    <row r="6511" spans="1:7" ht="15.12" thickBot="1" customHeight="1">
      <c r="A6511" s="26"/>
      <c r="B6511" s="26"/>
      <c r="C6511" s="26"/>
      <c r="D6511" s="24" t="s">
        <v>20571</v>
      </c>
      <c r="E6511" s="28">
        <v>1.10000</v>
      </c>
      <c r="F6511" s="29">
        <f ca="1">ROUND((G6508+G6509+G6510),3)</f>
        <v>0</v>
      </c>
      <c r="G6511" s="27">
        <f ca="1">ROUND(E6511*F6511,2)</f>
        <v>0</v>
      </c>
    </row>
    <row r="6512" spans="1:7" ht="15.12" thickBot="1" customHeight="1">
      <c r="A6512" s="24" t="s">
        <v>20572</v>
      </c>
      <c r="B6512" s="24"/>
      <c r="C6512" s="24" t="s">
        <v>20573</v>
      </c>
      <c r="D6512" s="25" t="s">
        <v>20574</v>
      </c>
      <c r="E6512" s="28">
        <v>5.00000</v>
      </c>
      <c r="F6512" s="29">
        <f ca="1">ROUND(48.180,3)</f>
        <v>0</v>
      </c>
      <c r="G6512" s="27">
        <f ca="1">ROUND((E6512*F6512)/100,2)</f>
        <v>0</v>
      </c>
    </row>
    <row r="6513" spans="1:7" ht="25.08" thickBot="1" customHeight="1">
      <c r="A6513" s="30"/>
      <c r="B6513" s="30"/>
      <c r="C6513" s="30"/>
      <c r="D6513" s="31" t="s">
        <v>20575</v>
      </c>
      <c r="E6513" s="30"/>
      <c r="F6513" s="33">
        <f ca="1">ROUND((G6504+G6505+G6506+G6507+G6512)*(1+G2/100),2)</f>
        <v>0</v>
      </c>
      <c r="G6513" s="30"/>
    </row>
    <row r="6514" spans="1:7" ht="49.08" thickBot="1" customHeight="1">
      <c r="A6514" s="34" t="s">
        <v>20576</v>
      </c>
      <c r="B6514" s="35" t="s">
        <v>20577</v>
      </c>
      <c r="C6514" s="35" t="s">
        <v>20578</v>
      </c>
      <c r="D6514" s="36" t="s">
        <v>20579</v>
      </c>
      <c r="E6514" s="37"/>
      <c r="F6514" s="38">
        <f ca="1">F6526</f>
        <v>0</v>
      </c>
      <c r="G6514" s="37"/>
    </row>
    <row r="6515" spans="1:7" ht="39.84" thickBot="1" customHeight="1">
      <c r="A6515" s="26"/>
      <c r="B6515" s="26"/>
      <c r="C6515" s="26"/>
      <c r="D6515" s="25" t="s">
        <v>20580</v>
      </c>
      <c r="E6515" s="25"/>
      <c r="F6515" s="25"/>
      <c r="G6515" s="25"/>
    </row>
    <row r="6516" spans="1:7" ht="30.60" thickBot="1" customHeight="1">
      <c r="A6516" s="24" t="s">
        <v>20581</v>
      </c>
      <c r="B6516" s="24" t="s">
        <v>20582</v>
      </c>
      <c r="C6516" s="24" t="s">
        <v>20583</v>
      </c>
      <c r="D6516" s="25" t="s">
        <v>20584</v>
      </c>
      <c r="E6516" s="28">
        <v>4.00000</v>
      </c>
      <c r="F6516" s="29">
        <f ca="1">ROUND(1.190,3)</f>
        <v>0</v>
      </c>
      <c r="G6516" s="27">
        <f ca="1">ROUND(E6516*F6516,2)</f>
        <v>0</v>
      </c>
    </row>
    <row r="6517" spans="1:7" ht="30.60" thickBot="1" customHeight="1">
      <c r="A6517" s="24" t="s">
        <v>20585</v>
      </c>
      <c r="B6517" s="24" t="s">
        <v>20586</v>
      </c>
      <c r="C6517" s="24" t="s">
        <v>20587</v>
      </c>
      <c r="D6517" s="25" t="s">
        <v>20588</v>
      </c>
      <c r="E6517" s="28">
        <v>8.00000</v>
      </c>
      <c r="F6517" s="29">
        <f ca="1">ROUND(0.400,3)</f>
        <v>0</v>
      </c>
      <c r="G6517" s="27">
        <f ca="1">ROUND(E6517*F6517,2)</f>
        <v>0</v>
      </c>
    </row>
    <row r="6518" spans="1:7" ht="30.60" thickBot="1" customHeight="1">
      <c r="A6518" s="24" t="s">
        <v>20589</v>
      </c>
      <c r="B6518" s="24" t="s">
        <v>20590</v>
      </c>
      <c r="C6518" s="24" t="s">
        <v>20591</v>
      </c>
      <c r="D6518" s="25" t="s">
        <v>20592</v>
      </c>
      <c r="E6518" s="28">
        <v>0.18480</v>
      </c>
      <c r="F6518" s="29">
        <f ca="1">ROUND(15.430,3)</f>
        <v>0</v>
      </c>
      <c r="G6518" s="27">
        <f ca="1">ROUND(E6518*F6518,2)</f>
        <v>0</v>
      </c>
    </row>
    <row r="6519" spans="1:7" ht="30.60" thickBot="1" customHeight="1">
      <c r="A6519" s="24" t="s">
        <v>20593</v>
      </c>
      <c r="B6519" s="24" t="s">
        <v>20594</v>
      </c>
      <c r="C6519" s="24" t="s">
        <v>20595</v>
      </c>
      <c r="D6519" s="25" t="s">
        <v>20596</v>
      </c>
      <c r="E6519" s="28">
        <v>0.07603</v>
      </c>
      <c r="F6519" s="29">
        <f ca="1">ROUND(11.740,3)</f>
        <v>0</v>
      </c>
      <c r="G6519" s="27">
        <f ca="1">ROUND(E6519*F6519,2)</f>
        <v>0</v>
      </c>
    </row>
    <row r="6520" spans="1:7" ht="21.36" thickBot="1" customHeight="1">
      <c r="A6520" s="24" t="s">
        <v>20597</v>
      </c>
      <c r="B6520" s="24" t="s">
        <v>20598</v>
      </c>
      <c r="C6520" s="24" t="s">
        <v>20599</v>
      </c>
      <c r="D6520" s="25" t="s">
        <v>20600</v>
      </c>
      <c r="E6520" s="28">
        <v>0.80000</v>
      </c>
      <c r="F6520" s="29">
        <f ca="1">F6524</f>
        <v>0</v>
      </c>
      <c r="G6520" s="27">
        <f ca="1">ROUND(E6520*F6520,2)</f>
        <v>0</v>
      </c>
    </row>
    <row r="6521" spans="1:7" ht="24.36" thickBot="1" customHeight="1">
      <c r="A6521" s="24" t="s">
        <v>20601</v>
      </c>
      <c r="B6521" s="24" t="s">
        <v>20602</v>
      </c>
      <c r="C6521" s="24" t="s">
        <v>20603</v>
      </c>
      <c r="D6521" s="25" t="s">
        <v>20604</v>
      </c>
      <c r="E6521" s="28">
        <v>1.00000</v>
      </c>
      <c r="F6521" s="29">
        <f ca="1">ROUND(21.000,3)</f>
        <v>0</v>
      </c>
      <c r="G6521" s="27">
        <f ca="1">ROUND(E6521*F6521,2)</f>
        <v>0</v>
      </c>
    </row>
    <row r="6522" spans="1:7" ht="24.36" thickBot="1" customHeight="1">
      <c r="A6522" s="24" t="s">
        <v>20605</v>
      </c>
      <c r="B6522" s="24" t="s">
        <v>20606</v>
      </c>
      <c r="C6522" s="24" t="s">
        <v>20607</v>
      </c>
      <c r="D6522" s="25" t="s">
        <v>20608</v>
      </c>
      <c r="E6522" s="28">
        <v>1.00000</v>
      </c>
      <c r="F6522" s="29">
        <f ca="1">ROUND(19.000,3)</f>
        <v>0</v>
      </c>
      <c r="G6522" s="27">
        <f ca="1">ROUND(E6522*F6522,2)</f>
        <v>0</v>
      </c>
    </row>
    <row r="6523" spans="1:7" ht="24.36" thickBot="1" customHeight="1">
      <c r="A6523" s="24" t="s">
        <v>20609</v>
      </c>
      <c r="B6523" s="24" t="s">
        <v>20610</v>
      </c>
      <c r="C6523" s="24" t="s">
        <v>20611</v>
      </c>
      <c r="D6523" s="25" t="s">
        <v>20612</v>
      </c>
      <c r="E6523" s="28">
        <v>0.20000</v>
      </c>
      <c r="F6523" s="29">
        <f ca="1">ROUND(19.000,3)</f>
        <v>0</v>
      </c>
      <c r="G6523" s="27">
        <f ca="1">ROUND(E6523*F6523,2)</f>
        <v>0</v>
      </c>
    </row>
    <row r="6524" spans="1:7" ht="15.12" thickBot="1" customHeight="1">
      <c r="A6524" s="26"/>
      <c r="B6524" s="26"/>
      <c r="C6524" s="26"/>
      <c r="D6524" s="24" t="s">
        <v>20613</v>
      </c>
      <c r="E6524" s="28">
        <v>0.80000</v>
      </c>
      <c r="F6524" s="29">
        <f ca="1">ROUND((G6521+G6522+G6523),3)</f>
        <v>0</v>
      </c>
      <c r="G6524" s="27">
        <f ca="1">ROUND(E6524*F6524,2)</f>
        <v>0</v>
      </c>
    </row>
    <row r="6525" spans="1:7" ht="15.12" thickBot="1" customHeight="1">
      <c r="A6525" s="24" t="s">
        <v>20614</v>
      </c>
      <c r="B6525" s="24"/>
      <c r="C6525" s="24" t="s">
        <v>20615</v>
      </c>
      <c r="D6525" s="25" t="s">
        <v>20616</v>
      </c>
      <c r="E6525" s="28">
        <v>5.00000</v>
      </c>
      <c r="F6525" s="29">
        <f ca="1">ROUND(35.040,3)</f>
        <v>0</v>
      </c>
      <c r="G6525" s="27">
        <f ca="1">ROUND((E6525*F6525)/100,2)</f>
        <v>0</v>
      </c>
    </row>
    <row r="6526" spans="1:7" ht="25.08" thickBot="1" customHeight="1">
      <c r="A6526" s="30"/>
      <c r="B6526" s="30"/>
      <c r="C6526" s="30"/>
      <c r="D6526" s="31" t="s">
        <v>20617</v>
      </c>
      <c r="E6526" s="30"/>
      <c r="F6526" s="33">
        <f ca="1">ROUND((G6516+G6517+G6518+G6519+G6520+G6525)*(1+G2/100),2)</f>
        <v>0</v>
      </c>
      <c r="G6526" s="30"/>
    </row>
    <row r="6527" spans="1:7" ht="49.08" thickBot="1" customHeight="1">
      <c r="A6527" s="34" t="s">
        <v>20618</v>
      </c>
      <c r="B6527" s="35" t="s">
        <v>20619</v>
      </c>
      <c r="C6527" s="35" t="s">
        <v>20620</v>
      </c>
      <c r="D6527" s="36" t="s">
        <v>20621</v>
      </c>
      <c r="E6527" s="37"/>
      <c r="F6527" s="38">
        <f ca="1">F6539</f>
        <v>0</v>
      </c>
      <c r="G6527" s="37"/>
    </row>
    <row r="6528" spans="1:7" ht="49.08" thickBot="1" customHeight="1">
      <c r="A6528" s="26"/>
      <c r="B6528" s="26"/>
      <c r="C6528" s="26"/>
      <c r="D6528" s="25" t="s">
        <v>20622</v>
      </c>
      <c r="E6528" s="25"/>
      <c r="F6528" s="25"/>
      <c r="G6528" s="25"/>
    </row>
    <row r="6529" spans="1:7" ht="30.60" thickBot="1" customHeight="1">
      <c r="A6529" s="24" t="s">
        <v>20623</v>
      </c>
      <c r="B6529" s="24" t="s">
        <v>20624</v>
      </c>
      <c r="C6529" s="24" t="s">
        <v>20625</v>
      </c>
      <c r="D6529" s="25" t="s">
        <v>20626</v>
      </c>
      <c r="E6529" s="28">
        <v>4.00000</v>
      </c>
      <c r="F6529" s="29">
        <f ca="1">ROUND(1.190,3)</f>
        <v>0</v>
      </c>
      <c r="G6529" s="27">
        <f ca="1">ROUND(E6529*F6529,2)</f>
        <v>0</v>
      </c>
    </row>
    <row r="6530" spans="1:7" ht="30.60" thickBot="1" customHeight="1">
      <c r="A6530" s="24" t="s">
        <v>20627</v>
      </c>
      <c r="B6530" s="24" t="s">
        <v>20628</v>
      </c>
      <c r="C6530" s="24" t="s">
        <v>20629</v>
      </c>
      <c r="D6530" s="25" t="s">
        <v>20630</v>
      </c>
      <c r="E6530" s="28">
        <v>8.00000</v>
      </c>
      <c r="F6530" s="29">
        <f ca="1">ROUND(0.400,3)</f>
        <v>0</v>
      </c>
      <c r="G6530" s="27">
        <f ca="1">ROUND(E6530*F6530,2)</f>
        <v>0</v>
      </c>
    </row>
    <row r="6531" spans="1:7" ht="30.60" thickBot="1" customHeight="1">
      <c r="A6531" s="24" t="s">
        <v>20631</v>
      </c>
      <c r="B6531" s="24" t="s">
        <v>20632</v>
      </c>
      <c r="C6531" s="24" t="s">
        <v>20633</v>
      </c>
      <c r="D6531" s="25" t="s">
        <v>20634</v>
      </c>
      <c r="E6531" s="28">
        <v>0.18480</v>
      </c>
      <c r="F6531" s="29">
        <f ca="1">ROUND(15.430,3)</f>
        <v>0</v>
      </c>
      <c r="G6531" s="27">
        <f ca="1">ROUND(E6531*F6531,2)</f>
        <v>0</v>
      </c>
    </row>
    <row r="6532" spans="1:7" ht="30.60" thickBot="1" customHeight="1">
      <c r="A6532" s="24" t="s">
        <v>20635</v>
      </c>
      <c r="B6532" s="24" t="s">
        <v>20636</v>
      </c>
      <c r="C6532" s="24" t="s">
        <v>20637</v>
      </c>
      <c r="D6532" s="25" t="s">
        <v>20638</v>
      </c>
      <c r="E6532" s="28">
        <v>0.07603</v>
      </c>
      <c r="F6532" s="29">
        <f ca="1">ROUND(11.740,3)</f>
        <v>0</v>
      </c>
      <c r="G6532" s="27">
        <f ca="1">ROUND(E6532*F6532,2)</f>
        <v>0</v>
      </c>
    </row>
    <row r="6533" spans="1:7" ht="21.36" thickBot="1" customHeight="1">
      <c r="A6533" s="24" t="s">
        <v>20639</v>
      </c>
      <c r="B6533" s="24" t="s">
        <v>20640</v>
      </c>
      <c r="C6533" s="24" t="s">
        <v>20641</v>
      </c>
      <c r="D6533" s="25" t="s">
        <v>20642</v>
      </c>
      <c r="E6533" s="28">
        <v>1.10000</v>
      </c>
      <c r="F6533" s="29">
        <f ca="1">F6537</f>
        <v>0</v>
      </c>
      <c r="G6533" s="27">
        <f ca="1">ROUND(E6533*F6533,2)</f>
        <v>0</v>
      </c>
    </row>
    <row r="6534" spans="1:7" ht="24.36" thickBot="1" customHeight="1">
      <c r="A6534" s="24" t="s">
        <v>20643</v>
      </c>
      <c r="B6534" s="24" t="s">
        <v>20644</v>
      </c>
      <c r="C6534" s="24" t="s">
        <v>20645</v>
      </c>
      <c r="D6534" s="25" t="s">
        <v>20646</v>
      </c>
      <c r="E6534" s="28">
        <v>1.00000</v>
      </c>
      <c r="F6534" s="29">
        <f ca="1">ROUND(21.000,3)</f>
        <v>0</v>
      </c>
      <c r="G6534" s="27">
        <f ca="1">ROUND(E6534*F6534,2)</f>
        <v>0</v>
      </c>
    </row>
    <row r="6535" spans="1:7" ht="24.36" thickBot="1" customHeight="1">
      <c r="A6535" s="24" t="s">
        <v>20647</v>
      </c>
      <c r="B6535" s="24" t="s">
        <v>20648</v>
      </c>
      <c r="C6535" s="24" t="s">
        <v>20649</v>
      </c>
      <c r="D6535" s="25" t="s">
        <v>20650</v>
      </c>
      <c r="E6535" s="28">
        <v>1.00000</v>
      </c>
      <c r="F6535" s="29">
        <f ca="1">ROUND(19.000,3)</f>
        <v>0</v>
      </c>
      <c r="G6535" s="27">
        <f ca="1">ROUND(E6535*F6535,2)</f>
        <v>0</v>
      </c>
    </row>
    <row r="6536" spans="1:7" ht="24.36" thickBot="1" customHeight="1">
      <c r="A6536" s="24" t="s">
        <v>20651</v>
      </c>
      <c r="B6536" s="24" t="s">
        <v>20652</v>
      </c>
      <c r="C6536" s="24" t="s">
        <v>20653</v>
      </c>
      <c r="D6536" s="25" t="s">
        <v>20654</v>
      </c>
      <c r="E6536" s="28">
        <v>0.20000</v>
      </c>
      <c r="F6536" s="29">
        <f ca="1">ROUND(19.000,3)</f>
        <v>0</v>
      </c>
      <c r="G6536" s="27">
        <f ca="1">ROUND(E6536*F6536,2)</f>
        <v>0</v>
      </c>
    </row>
    <row r="6537" spans="1:7" ht="15.12" thickBot="1" customHeight="1">
      <c r="A6537" s="26"/>
      <c r="B6537" s="26"/>
      <c r="C6537" s="26"/>
      <c r="D6537" s="24" t="s">
        <v>20655</v>
      </c>
      <c r="E6537" s="28">
        <v>1.10000</v>
      </c>
      <c r="F6537" s="29">
        <f ca="1">ROUND((G6534+G6535+G6536),3)</f>
        <v>0</v>
      </c>
      <c r="G6537" s="27">
        <f ca="1">ROUND(E6537*F6537,2)</f>
        <v>0</v>
      </c>
    </row>
    <row r="6538" spans="1:7" ht="15.12" thickBot="1" customHeight="1">
      <c r="A6538" s="24" t="s">
        <v>20656</v>
      </c>
      <c r="B6538" s="24"/>
      <c r="C6538" s="24" t="s">
        <v>20657</v>
      </c>
      <c r="D6538" s="25" t="s">
        <v>20658</v>
      </c>
      <c r="E6538" s="28">
        <v>5.00000</v>
      </c>
      <c r="F6538" s="29">
        <f ca="1">ROUND(48.180,3)</f>
        <v>0</v>
      </c>
      <c r="G6538" s="27">
        <f ca="1">ROUND((E6538*F6538)/100,2)</f>
        <v>0</v>
      </c>
    </row>
    <row r="6539" spans="1:7" ht="25.08" thickBot="1" customHeight="1">
      <c r="A6539" s="30"/>
      <c r="B6539" s="30"/>
      <c r="C6539" s="30"/>
      <c r="D6539" s="31" t="s">
        <v>20659</v>
      </c>
      <c r="E6539" s="30"/>
      <c r="F6539" s="33">
        <f ca="1">ROUND((G6529+G6530+G6531+G6532+G6533+G6538)*(1+G2/100),2)</f>
        <v>0</v>
      </c>
      <c r="G6539" s="30"/>
    </row>
    <row r="6540" spans="1:7" ht="49.08" thickBot="1" customHeight="1">
      <c r="A6540" s="34" t="s">
        <v>20660</v>
      </c>
      <c r="B6540" s="35" t="s">
        <v>20661</v>
      </c>
      <c r="C6540" s="35" t="s">
        <v>20662</v>
      </c>
      <c r="D6540" s="36" t="s">
        <v>20663</v>
      </c>
      <c r="E6540" s="37"/>
      <c r="F6540" s="38">
        <f ca="1">F6552</f>
        <v>0</v>
      </c>
      <c r="G6540" s="37"/>
    </row>
    <row r="6541" spans="1:7" ht="49.08" thickBot="1" customHeight="1">
      <c r="A6541" s="26"/>
      <c r="B6541" s="26"/>
      <c r="C6541" s="26"/>
      <c r="D6541" s="25" t="s">
        <v>20664</v>
      </c>
      <c r="E6541" s="25"/>
      <c r="F6541" s="25"/>
      <c r="G6541" s="25"/>
    </row>
    <row r="6542" spans="1:7" ht="30.60" thickBot="1" customHeight="1">
      <c r="A6542" s="24" t="s">
        <v>20665</v>
      </c>
      <c r="B6542" s="24" t="s">
        <v>20666</v>
      </c>
      <c r="C6542" s="24" t="s">
        <v>20667</v>
      </c>
      <c r="D6542" s="25" t="s">
        <v>20668</v>
      </c>
      <c r="E6542" s="28">
        <v>4.00000</v>
      </c>
      <c r="F6542" s="29">
        <f ca="1">ROUND(1.190,3)</f>
        <v>0</v>
      </c>
      <c r="G6542" s="27">
        <f ca="1">ROUND(E6542*F6542,2)</f>
        <v>0</v>
      </c>
    </row>
    <row r="6543" spans="1:7" ht="30.60" thickBot="1" customHeight="1">
      <c r="A6543" s="24" t="s">
        <v>20669</v>
      </c>
      <c r="B6543" s="24" t="s">
        <v>20670</v>
      </c>
      <c r="C6543" s="24" t="s">
        <v>20671</v>
      </c>
      <c r="D6543" s="25" t="s">
        <v>20672</v>
      </c>
      <c r="E6543" s="28">
        <v>12.00000</v>
      </c>
      <c r="F6543" s="29">
        <f ca="1">ROUND(0.400,3)</f>
        <v>0</v>
      </c>
      <c r="G6543" s="27">
        <f ca="1">ROUND(E6543*F6543,2)</f>
        <v>0</v>
      </c>
    </row>
    <row r="6544" spans="1:7" ht="30.60" thickBot="1" customHeight="1">
      <c r="A6544" s="24" t="s">
        <v>20673</v>
      </c>
      <c r="B6544" s="24" t="s">
        <v>20674</v>
      </c>
      <c r="C6544" s="24" t="s">
        <v>20675</v>
      </c>
      <c r="D6544" s="25" t="s">
        <v>20676</v>
      </c>
      <c r="E6544" s="28">
        <v>0.24640</v>
      </c>
      <c r="F6544" s="29">
        <f ca="1">ROUND(15.430,3)</f>
        <v>0</v>
      </c>
      <c r="G6544" s="27">
        <f ca="1">ROUND(E6544*F6544,2)</f>
        <v>0</v>
      </c>
    </row>
    <row r="6545" spans="1:7" ht="30.60" thickBot="1" customHeight="1">
      <c r="A6545" s="24" t="s">
        <v>20677</v>
      </c>
      <c r="B6545" s="24" t="s">
        <v>20678</v>
      </c>
      <c r="C6545" s="24" t="s">
        <v>20679</v>
      </c>
      <c r="D6545" s="25" t="s">
        <v>20680</v>
      </c>
      <c r="E6545" s="28">
        <v>0.10138</v>
      </c>
      <c r="F6545" s="29">
        <f ca="1">ROUND(11.740,3)</f>
        <v>0</v>
      </c>
      <c r="G6545" s="27">
        <f ca="1">ROUND(E6545*F6545,2)</f>
        <v>0</v>
      </c>
    </row>
    <row r="6546" spans="1:7" ht="21.36" thickBot="1" customHeight="1">
      <c r="A6546" s="24" t="s">
        <v>20681</v>
      </c>
      <c r="B6546" s="24" t="s">
        <v>20682</v>
      </c>
      <c r="C6546" s="24" t="s">
        <v>20683</v>
      </c>
      <c r="D6546" s="25" t="s">
        <v>20684</v>
      </c>
      <c r="E6546" s="28">
        <v>0.80000</v>
      </c>
      <c r="F6546" s="29">
        <f ca="1">F6550</f>
        <v>0</v>
      </c>
      <c r="G6546" s="27">
        <f ca="1">ROUND(E6546*F6546,2)</f>
        <v>0</v>
      </c>
    </row>
    <row r="6547" spans="1:7" ht="24.36" thickBot="1" customHeight="1">
      <c r="A6547" s="24" t="s">
        <v>20685</v>
      </c>
      <c r="B6547" s="24" t="s">
        <v>20686</v>
      </c>
      <c r="C6547" s="24" t="s">
        <v>20687</v>
      </c>
      <c r="D6547" s="25" t="s">
        <v>20688</v>
      </c>
      <c r="E6547" s="28">
        <v>1.00000</v>
      </c>
      <c r="F6547" s="29">
        <f ca="1">ROUND(21.000,3)</f>
        <v>0</v>
      </c>
      <c r="G6547" s="27">
        <f ca="1">ROUND(E6547*F6547,2)</f>
        <v>0</v>
      </c>
    </row>
    <row r="6548" spans="1:7" ht="24.36" thickBot="1" customHeight="1">
      <c r="A6548" s="24" t="s">
        <v>20689</v>
      </c>
      <c r="B6548" s="24" t="s">
        <v>20690</v>
      </c>
      <c r="C6548" s="24" t="s">
        <v>20691</v>
      </c>
      <c r="D6548" s="25" t="s">
        <v>20692</v>
      </c>
      <c r="E6548" s="28">
        <v>1.00000</v>
      </c>
      <c r="F6548" s="29">
        <f ca="1">ROUND(19.000,3)</f>
        <v>0</v>
      </c>
      <c r="G6548" s="27">
        <f ca="1">ROUND(E6548*F6548,2)</f>
        <v>0</v>
      </c>
    </row>
    <row r="6549" spans="1:7" ht="24.36" thickBot="1" customHeight="1">
      <c r="A6549" s="24" t="s">
        <v>20693</v>
      </c>
      <c r="B6549" s="24" t="s">
        <v>20694</v>
      </c>
      <c r="C6549" s="24" t="s">
        <v>20695</v>
      </c>
      <c r="D6549" s="25" t="s">
        <v>20696</v>
      </c>
      <c r="E6549" s="28">
        <v>0.20000</v>
      </c>
      <c r="F6549" s="29">
        <f ca="1">ROUND(19.000,3)</f>
        <v>0</v>
      </c>
      <c r="G6549" s="27">
        <f ca="1">ROUND(E6549*F6549,2)</f>
        <v>0</v>
      </c>
    </row>
    <row r="6550" spans="1:7" ht="15.12" thickBot="1" customHeight="1">
      <c r="A6550" s="26"/>
      <c r="B6550" s="26"/>
      <c r="C6550" s="26"/>
      <c r="D6550" s="24" t="s">
        <v>20697</v>
      </c>
      <c r="E6550" s="28">
        <v>0.80000</v>
      </c>
      <c r="F6550" s="29">
        <f ca="1">ROUND((G6547+G6548+G6549),3)</f>
        <v>0</v>
      </c>
      <c r="G6550" s="27">
        <f ca="1">ROUND(E6550*F6550,2)</f>
        <v>0</v>
      </c>
    </row>
    <row r="6551" spans="1:7" ht="15.12" thickBot="1" customHeight="1">
      <c r="A6551" s="24" t="s">
        <v>20698</v>
      </c>
      <c r="B6551" s="24"/>
      <c r="C6551" s="24" t="s">
        <v>20699</v>
      </c>
      <c r="D6551" s="25" t="s">
        <v>20700</v>
      </c>
      <c r="E6551" s="28">
        <v>5.00000</v>
      </c>
      <c r="F6551" s="29">
        <f ca="1">ROUND(35.040,3)</f>
        <v>0</v>
      </c>
      <c r="G6551" s="27">
        <f ca="1">ROUND((E6551*F6551)/100,2)</f>
        <v>0</v>
      </c>
    </row>
    <row r="6552" spans="1:7" ht="25.08" thickBot="1" customHeight="1">
      <c r="A6552" s="30"/>
      <c r="B6552" s="30"/>
      <c r="C6552" s="30"/>
      <c r="D6552" s="31" t="s">
        <v>20701</v>
      </c>
      <c r="E6552" s="30"/>
      <c r="F6552" s="33">
        <f ca="1">ROUND((G6542+G6543+G6544+G6545+G6546+G6551)*(1+G2/100),2)</f>
        <v>0</v>
      </c>
      <c r="G6552" s="30"/>
    </row>
    <row r="6553" spans="1:7" ht="58.32" thickBot="1" customHeight="1">
      <c r="A6553" s="34" t="s">
        <v>20702</v>
      </c>
      <c r="B6553" s="35" t="s">
        <v>20703</v>
      </c>
      <c r="C6553" s="35" t="s">
        <v>20704</v>
      </c>
      <c r="D6553" s="36" t="s">
        <v>20705</v>
      </c>
      <c r="E6553" s="37"/>
      <c r="F6553" s="38">
        <f ca="1">F6565</f>
        <v>0</v>
      </c>
      <c r="G6553" s="37"/>
    </row>
    <row r="6554" spans="1:7" ht="49.08" thickBot="1" customHeight="1">
      <c r="A6554" s="26"/>
      <c r="B6554" s="26"/>
      <c r="C6554" s="26"/>
      <c r="D6554" s="25" t="s">
        <v>20706</v>
      </c>
      <c r="E6554" s="25"/>
      <c r="F6554" s="25"/>
      <c r="G6554" s="25"/>
    </row>
    <row r="6555" spans="1:7" ht="30.60" thickBot="1" customHeight="1">
      <c r="A6555" s="24" t="s">
        <v>20707</v>
      </c>
      <c r="B6555" s="24" t="s">
        <v>20708</v>
      </c>
      <c r="C6555" s="24" t="s">
        <v>20709</v>
      </c>
      <c r="D6555" s="25" t="s">
        <v>20710</v>
      </c>
      <c r="E6555" s="28">
        <v>4.00000</v>
      </c>
      <c r="F6555" s="29">
        <f ca="1">ROUND(1.190,3)</f>
        <v>0</v>
      </c>
      <c r="G6555" s="27">
        <f ca="1">ROUND(E6555*F6555,2)</f>
        <v>0</v>
      </c>
    </row>
    <row r="6556" spans="1:7" ht="30.60" thickBot="1" customHeight="1">
      <c r="A6556" s="24" t="s">
        <v>20711</v>
      </c>
      <c r="B6556" s="24" t="s">
        <v>20712</v>
      </c>
      <c r="C6556" s="24" t="s">
        <v>20713</v>
      </c>
      <c r="D6556" s="25" t="s">
        <v>20714</v>
      </c>
      <c r="E6556" s="28">
        <v>12.00000</v>
      </c>
      <c r="F6556" s="29">
        <f ca="1">ROUND(0.400,3)</f>
        <v>0</v>
      </c>
      <c r="G6556" s="27">
        <f ca="1">ROUND(E6556*F6556,2)</f>
        <v>0</v>
      </c>
    </row>
    <row r="6557" spans="1:7" ht="30.60" thickBot="1" customHeight="1">
      <c r="A6557" s="24" t="s">
        <v>20715</v>
      </c>
      <c r="B6557" s="24" t="s">
        <v>20716</v>
      </c>
      <c r="C6557" s="24" t="s">
        <v>20717</v>
      </c>
      <c r="D6557" s="25" t="s">
        <v>20718</v>
      </c>
      <c r="E6557" s="28">
        <v>0.24640</v>
      </c>
      <c r="F6557" s="29">
        <f ca="1">ROUND(15.430,3)</f>
        <v>0</v>
      </c>
      <c r="G6557" s="27">
        <f ca="1">ROUND(E6557*F6557,2)</f>
        <v>0</v>
      </c>
    </row>
    <row r="6558" spans="1:7" ht="30.60" thickBot="1" customHeight="1">
      <c r="A6558" s="24" t="s">
        <v>20719</v>
      </c>
      <c r="B6558" s="24" t="s">
        <v>20720</v>
      </c>
      <c r="C6558" s="24" t="s">
        <v>20721</v>
      </c>
      <c r="D6558" s="25" t="s">
        <v>20722</v>
      </c>
      <c r="E6558" s="28">
        <v>0.10138</v>
      </c>
      <c r="F6558" s="29">
        <f ca="1">ROUND(11.740,3)</f>
        <v>0</v>
      </c>
      <c r="G6558" s="27">
        <f ca="1">ROUND(E6558*F6558,2)</f>
        <v>0</v>
      </c>
    </row>
    <row r="6559" spans="1:7" ht="21.36" thickBot="1" customHeight="1">
      <c r="A6559" s="24" t="s">
        <v>20723</v>
      </c>
      <c r="B6559" s="24" t="s">
        <v>20724</v>
      </c>
      <c r="C6559" s="24" t="s">
        <v>20725</v>
      </c>
      <c r="D6559" s="25" t="s">
        <v>20726</v>
      </c>
      <c r="E6559" s="28">
        <v>1.10000</v>
      </c>
      <c r="F6559" s="29">
        <f ca="1">F6563</f>
        <v>0</v>
      </c>
      <c r="G6559" s="27">
        <f ca="1">ROUND(E6559*F6559,2)</f>
        <v>0</v>
      </c>
    </row>
    <row r="6560" spans="1:7" ht="24.36" thickBot="1" customHeight="1">
      <c r="A6560" s="24" t="s">
        <v>20727</v>
      </c>
      <c r="B6560" s="24" t="s">
        <v>20728</v>
      </c>
      <c r="C6560" s="24" t="s">
        <v>20729</v>
      </c>
      <c r="D6560" s="25" t="s">
        <v>20730</v>
      </c>
      <c r="E6560" s="28">
        <v>1.00000</v>
      </c>
      <c r="F6560" s="29">
        <f ca="1">ROUND(21.000,3)</f>
        <v>0</v>
      </c>
      <c r="G6560" s="27">
        <f ca="1">ROUND(E6560*F6560,2)</f>
        <v>0</v>
      </c>
    </row>
    <row r="6561" spans="1:7" ht="24.36" thickBot="1" customHeight="1">
      <c r="A6561" s="24" t="s">
        <v>20731</v>
      </c>
      <c r="B6561" s="24" t="s">
        <v>20732</v>
      </c>
      <c r="C6561" s="24" t="s">
        <v>20733</v>
      </c>
      <c r="D6561" s="25" t="s">
        <v>20734</v>
      </c>
      <c r="E6561" s="28">
        <v>1.00000</v>
      </c>
      <c r="F6561" s="29">
        <f ca="1">ROUND(19.000,3)</f>
        <v>0</v>
      </c>
      <c r="G6561" s="27">
        <f ca="1">ROUND(E6561*F6561,2)</f>
        <v>0</v>
      </c>
    </row>
    <row r="6562" spans="1:7" ht="24.36" thickBot="1" customHeight="1">
      <c r="A6562" s="24" t="s">
        <v>20735</v>
      </c>
      <c r="B6562" s="24" t="s">
        <v>20736</v>
      </c>
      <c r="C6562" s="24" t="s">
        <v>20737</v>
      </c>
      <c r="D6562" s="25" t="s">
        <v>20738</v>
      </c>
      <c r="E6562" s="28">
        <v>0.20000</v>
      </c>
      <c r="F6562" s="29">
        <f ca="1">ROUND(19.000,3)</f>
        <v>0</v>
      </c>
      <c r="G6562" s="27">
        <f ca="1">ROUND(E6562*F6562,2)</f>
        <v>0</v>
      </c>
    </row>
    <row r="6563" spans="1:7" ht="15.12" thickBot="1" customHeight="1">
      <c r="A6563" s="26"/>
      <c r="B6563" s="26"/>
      <c r="C6563" s="26"/>
      <c r="D6563" s="24" t="s">
        <v>20739</v>
      </c>
      <c r="E6563" s="28">
        <v>1.10000</v>
      </c>
      <c r="F6563" s="29">
        <f ca="1">ROUND((G6560+G6561+G6562),3)</f>
        <v>0</v>
      </c>
      <c r="G6563" s="27">
        <f ca="1">ROUND(E6563*F6563,2)</f>
        <v>0</v>
      </c>
    </row>
    <row r="6564" spans="1:7" ht="15.12" thickBot="1" customHeight="1">
      <c r="A6564" s="24" t="s">
        <v>20740</v>
      </c>
      <c r="B6564" s="24"/>
      <c r="C6564" s="24" t="s">
        <v>20741</v>
      </c>
      <c r="D6564" s="25" t="s">
        <v>20742</v>
      </c>
      <c r="E6564" s="28">
        <v>5.00000</v>
      </c>
      <c r="F6564" s="29">
        <f ca="1">ROUND(48.180,3)</f>
        <v>0</v>
      </c>
      <c r="G6564" s="27">
        <f ca="1">ROUND((E6564*F6564)/100,2)</f>
        <v>0</v>
      </c>
    </row>
    <row r="6565" spans="1:7" ht="25.08" thickBot="1" customHeight="1">
      <c r="A6565" s="30"/>
      <c r="B6565" s="30"/>
      <c r="C6565" s="30"/>
      <c r="D6565" s="31" t="s">
        <v>20743</v>
      </c>
      <c r="E6565" s="30"/>
      <c r="F6565" s="33">
        <f ca="1">ROUND((G6555+G6556+G6557+G6558+G6559+G6564)*(1+G2/100),2)</f>
        <v>0</v>
      </c>
      <c r="G6565" s="30"/>
    </row>
    <row r="6566" spans="1:7" ht="15.48" thickBot="1" customHeight="1">
      <c r="A6566" s="39"/>
      <c r="B6566" s="39"/>
      <c r="C6566" s="39"/>
      <c r="D6566" s="50" t="s">
        <v>20744</v>
      </c>
      <c r="E6566" s="51"/>
      <c r="F6566" s="51"/>
      <c r="G6566" s="51"/>
    </row>
    <row r="6567" spans="1:7" ht="21.36" thickBot="1" customHeight="1">
      <c r="A6567" s="34" t="s">
        <v>20745</v>
      </c>
      <c r="B6567" s="35" t="s">
        <v>20746</v>
      </c>
      <c r="C6567" s="35" t="s">
        <v>20747</v>
      </c>
      <c r="D6567" s="36" t="s">
        <v>20748</v>
      </c>
      <c r="E6567" s="37"/>
      <c r="F6567" s="38">
        <f ca="1">F6578</f>
        <v>0</v>
      </c>
      <c r="G6567" s="37"/>
    </row>
    <row r="6568" spans="1:7" ht="21.36" thickBot="1" customHeight="1">
      <c r="A6568" s="26"/>
      <c r="B6568" s="26"/>
      <c r="C6568" s="26"/>
      <c r="D6568" s="25" t="s">
        <v>20749</v>
      </c>
      <c r="E6568" s="25"/>
      <c r="F6568" s="25"/>
      <c r="G6568" s="25"/>
    </row>
    <row r="6569" spans="1:7" ht="30.60" thickBot="1" customHeight="1">
      <c r="A6569" s="24" t="s">
        <v>20750</v>
      </c>
      <c r="B6569" s="24" t="s">
        <v>20751</v>
      </c>
      <c r="C6569" s="24" t="s">
        <v>20752</v>
      </c>
      <c r="D6569" s="25" t="s">
        <v>20753</v>
      </c>
      <c r="E6569" s="28">
        <v>5.00000</v>
      </c>
      <c r="F6569" s="29">
        <f ca="1">ROUND(0.400,3)</f>
        <v>0</v>
      </c>
      <c r="G6569" s="27">
        <f ca="1">ROUND(E6569*F6569,2)</f>
        <v>0</v>
      </c>
    </row>
    <row r="6570" spans="1:7" ht="49.08" thickBot="1" customHeight="1">
      <c r="A6570" s="24" t="s">
        <v>20754</v>
      </c>
      <c r="B6570" s="24" t="s">
        <v>20755</v>
      </c>
      <c r="C6570" s="24" t="s">
        <v>20756</v>
      </c>
      <c r="D6570" s="25" t="s">
        <v>20757</v>
      </c>
      <c r="E6570" s="28">
        <v>0.02000</v>
      </c>
      <c r="F6570" s="29">
        <f ca="1">ROUND(10.250,3)</f>
        <v>0</v>
      </c>
      <c r="G6570" s="27">
        <f ca="1">ROUND(E6570*F6570,2)</f>
        <v>0</v>
      </c>
    </row>
    <row r="6571" spans="1:7" ht="30.60" thickBot="1" customHeight="1">
      <c r="A6571" s="24" t="s">
        <v>20758</v>
      </c>
      <c r="B6571" s="24" t="s">
        <v>20759</v>
      </c>
      <c r="C6571" s="24" t="s">
        <v>20760</v>
      </c>
      <c r="D6571" s="25" t="s">
        <v>20761</v>
      </c>
      <c r="E6571" s="28">
        <v>0.05000</v>
      </c>
      <c r="F6571" s="29">
        <f ca="1">ROUND(11.740,3)</f>
        <v>0</v>
      </c>
      <c r="G6571" s="27">
        <f ca="1">ROUND(E6571*F6571,2)</f>
        <v>0</v>
      </c>
    </row>
    <row r="6572" spans="1:7" ht="21.36" thickBot="1" customHeight="1">
      <c r="A6572" s="24" t="s">
        <v>20762</v>
      </c>
      <c r="B6572" s="24" t="s">
        <v>20763</v>
      </c>
      <c r="C6572" s="24" t="s">
        <v>20764</v>
      </c>
      <c r="D6572" s="25" t="s">
        <v>20765</v>
      </c>
      <c r="E6572" s="28">
        <v>0.16000</v>
      </c>
      <c r="F6572" s="29">
        <f ca="1">F6576</f>
        <v>0</v>
      </c>
      <c r="G6572" s="27">
        <f ca="1">ROUND(E6572*F6572,2)</f>
        <v>0</v>
      </c>
    </row>
    <row r="6573" spans="1:7" ht="24.36" thickBot="1" customHeight="1">
      <c r="A6573" s="24" t="s">
        <v>20766</v>
      </c>
      <c r="B6573" s="24" t="s">
        <v>20767</v>
      </c>
      <c r="C6573" s="24" t="s">
        <v>20768</v>
      </c>
      <c r="D6573" s="25" t="s">
        <v>20769</v>
      </c>
      <c r="E6573" s="28">
        <v>1.00000</v>
      </c>
      <c r="F6573" s="29">
        <f ca="1">ROUND(21.000,3)</f>
        <v>0</v>
      </c>
      <c r="G6573" s="27">
        <f ca="1">ROUND(E6573*F6573,2)</f>
        <v>0</v>
      </c>
    </row>
    <row r="6574" spans="1:7" ht="24.36" thickBot="1" customHeight="1">
      <c r="A6574" s="24" t="s">
        <v>20770</v>
      </c>
      <c r="B6574" s="24" t="s">
        <v>20771</v>
      </c>
      <c r="C6574" s="24" t="s">
        <v>20772</v>
      </c>
      <c r="D6574" s="25" t="s">
        <v>20773</v>
      </c>
      <c r="E6574" s="28">
        <v>1.00000</v>
      </c>
      <c r="F6574" s="29">
        <f ca="1">ROUND(19.000,3)</f>
        <v>0</v>
      </c>
      <c r="G6574" s="27">
        <f ca="1">ROUND(E6574*F6574,2)</f>
        <v>0</v>
      </c>
    </row>
    <row r="6575" spans="1:7" ht="24.36" thickBot="1" customHeight="1">
      <c r="A6575" s="24" t="s">
        <v>20774</v>
      </c>
      <c r="B6575" s="24" t="s">
        <v>20775</v>
      </c>
      <c r="C6575" s="24" t="s">
        <v>20776</v>
      </c>
      <c r="D6575" s="25" t="s">
        <v>20777</v>
      </c>
      <c r="E6575" s="28">
        <v>0.20000</v>
      </c>
      <c r="F6575" s="29">
        <f ca="1">ROUND(19.000,3)</f>
        <v>0</v>
      </c>
      <c r="G6575" s="27">
        <f ca="1">ROUND(E6575*F6575,2)</f>
        <v>0</v>
      </c>
    </row>
    <row r="6576" spans="1:7" ht="15.12" thickBot="1" customHeight="1">
      <c r="A6576" s="26"/>
      <c r="B6576" s="26"/>
      <c r="C6576" s="26"/>
      <c r="D6576" s="24" t="s">
        <v>20778</v>
      </c>
      <c r="E6576" s="28">
        <v>0.16000</v>
      </c>
      <c r="F6576" s="29">
        <f ca="1">ROUND((G6573+G6574+G6575),3)</f>
        <v>0</v>
      </c>
      <c r="G6576" s="27">
        <f ca="1">ROUND(E6576*F6576,2)</f>
        <v>0</v>
      </c>
    </row>
    <row r="6577" spans="1:7" ht="15.12" thickBot="1" customHeight="1">
      <c r="A6577" s="24" t="s">
        <v>20779</v>
      </c>
      <c r="B6577" s="24"/>
      <c r="C6577" s="24" t="s">
        <v>20780</v>
      </c>
      <c r="D6577" s="25" t="s">
        <v>20781</v>
      </c>
      <c r="E6577" s="28">
        <v>3.00000</v>
      </c>
      <c r="F6577" s="29">
        <f ca="1">ROUND(7.010,3)</f>
        <v>0</v>
      </c>
      <c r="G6577" s="27">
        <f ca="1">ROUND((E6577*F6577)/100,2)</f>
        <v>0</v>
      </c>
    </row>
    <row r="6578" spans="1:7" ht="15.48" thickBot="1" customHeight="1">
      <c r="A6578" s="30"/>
      <c r="B6578" s="30"/>
      <c r="C6578" s="30"/>
      <c r="D6578" s="31" t="s">
        <v>20782</v>
      </c>
      <c r="E6578" s="30"/>
      <c r="F6578" s="33">
        <f ca="1">ROUND((G6569+G6570+G6571+G6572+G6577)*(1+G2/100),2)</f>
        <v>0</v>
      </c>
      <c r="G6578" s="30"/>
    </row>
    <row r="6579" spans="1:7" ht="21.36" thickBot="1" customHeight="1">
      <c r="A6579" s="34" t="s">
        <v>20783</v>
      </c>
      <c r="B6579" s="35" t="s">
        <v>20784</v>
      </c>
      <c r="C6579" s="35" t="s">
        <v>20785</v>
      </c>
      <c r="D6579" s="36" t="s">
        <v>20786</v>
      </c>
      <c r="E6579" s="37"/>
      <c r="F6579" s="38">
        <f ca="1">F6590</f>
        <v>0</v>
      </c>
      <c r="G6579" s="37"/>
    </row>
    <row r="6580" spans="1:7" ht="30.60" thickBot="1" customHeight="1">
      <c r="A6580" s="26"/>
      <c r="B6580" s="26"/>
      <c r="C6580" s="26"/>
      <c r="D6580" s="25" t="s">
        <v>20787</v>
      </c>
      <c r="E6580" s="25"/>
      <c r="F6580" s="25"/>
      <c r="G6580" s="25"/>
    </row>
    <row r="6581" spans="1:7" ht="39.84" thickBot="1" customHeight="1">
      <c r="A6581" s="24" t="s">
        <v>20788</v>
      </c>
      <c r="B6581" s="24" t="s">
        <v>20789</v>
      </c>
      <c r="C6581" s="24" t="s">
        <v>20790</v>
      </c>
      <c r="D6581" s="25" t="s">
        <v>20791</v>
      </c>
      <c r="E6581" s="28">
        <v>0.20000</v>
      </c>
      <c r="F6581" s="29">
        <f ca="1">ROUND(10.120,3)</f>
        <v>0</v>
      </c>
      <c r="G6581" s="27">
        <f ca="1">ROUND(E6581*F6581,2)</f>
        <v>0</v>
      </c>
    </row>
    <row r="6582" spans="1:7" ht="30.60" thickBot="1" customHeight="1">
      <c r="A6582" s="24" t="s">
        <v>20792</v>
      </c>
      <c r="B6582" s="24" t="s">
        <v>20793</v>
      </c>
      <c r="C6582" s="24" t="s">
        <v>20794</v>
      </c>
      <c r="D6582" s="25" t="s">
        <v>20795</v>
      </c>
      <c r="E6582" s="28">
        <v>0.02000</v>
      </c>
      <c r="F6582" s="29">
        <f ca="1">ROUND(15.430,3)</f>
        <v>0</v>
      </c>
      <c r="G6582" s="27">
        <f ca="1">ROUND(E6582*F6582,2)</f>
        <v>0</v>
      </c>
    </row>
    <row r="6583" spans="1:7" ht="30.60" thickBot="1" customHeight="1">
      <c r="A6583" s="24" t="s">
        <v>20796</v>
      </c>
      <c r="B6583" s="24" t="s">
        <v>20797</v>
      </c>
      <c r="C6583" s="24" t="s">
        <v>20798</v>
      </c>
      <c r="D6583" s="25" t="s">
        <v>20799</v>
      </c>
      <c r="E6583" s="28">
        <v>0.05000</v>
      </c>
      <c r="F6583" s="29">
        <f ca="1">ROUND(11.740,3)</f>
        <v>0</v>
      </c>
      <c r="G6583" s="27">
        <f ca="1">ROUND(E6583*F6583,2)</f>
        <v>0</v>
      </c>
    </row>
    <row r="6584" spans="1:7" ht="21.36" thickBot="1" customHeight="1">
      <c r="A6584" s="24" t="s">
        <v>20800</v>
      </c>
      <c r="B6584" s="24" t="s">
        <v>20801</v>
      </c>
      <c r="C6584" s="24" t="s">
        <v>20802</v>
      </c>
      <c r="D6584" s="25" t="s">
        <v>20803</v>
      </c>
      <c r="E6584" s="28">
        <v>0.19000</v>
      </c>
      <c r="F6584" s="29">
        <f ca="1">F6588</f>
        <v>0</v>
      </c>
      <c r="G6584" s="27">
        <f ca="1">ROUND(E6584*F6584,2)</f>
        <v>0</v>
      </c>
    </row>
    <row r="6585" spans="1:7" ht="24.36" thickBot="1" customHeight="1">
      <c r="A6585" s="24" t="s">
        <v>20804</v>
      </c>
      <c r="B6585" s="24" t="s">
        <v>20805</v>
      </c>
      <c r="C6585" s="24" t="s">
        <v>20806</v>
      </c>
      <c r="D6585" s="25" t="s">
        <v>20807</v>
      </c>
      <c r="E6585" s="28">
        <v>1.00000</v>
      </c>
      <c r="F6585" s="29">
        <f ca="1">ROUND(21.000,3)</f>
        <v>0</v>
      </c>
      <c r="G6585" s="27">
        <f ca="1">ROUND(E6585*F6585,2)</f>
        <v>0</v>
      </c>
    </row>
    <row r="6586" spans="1:7" ht="24.36" thickBot="1" customHeight="1">
      <c r="A6586" s="24" t="s">
        <v>20808</v>
      </c>
      <c r="B6586" s="24" t="s">
        <v>20809</v>
      </c>
      <c r="C6586" s="24" t="s">
        <v>20810</v>
      </c>
      <c r="D6586" s="25" t="s">
        <v>20811</v>
      </c>
      <c r="E6586" s="28">
        <v>1.00000</v>
      </c>
      <c r="F6586" s="29">
        <f ca="1">ROUND(19.000,3)</f>
        <v>0</v>
      </c>
      <c r="G6586" s="27">
        <f ca="1">ROUND(E6586*F6586,2)</f>
        <v>0</v>
      </c>
    </row>
    <row r="6587" spans="1:7" ht="24.36" thickBot="1" customHeight="1">
      <c r="A6587" s="24" t="s">
        <v>20812</v>
      </c>
      <c r="B6587" s="24" t="s">
        <v>20813</v>
      </c>
      <c r="C6587" s="24" t="s">
        <v>20814</v>
      </c>
      <c r="D6587" s="25" t="s">
        <v>20815</v>
      </c>
      <c r="E6587" s="28">
        <v>0.20000</v>
      </c>
      <c r="F6587" s="29">
        <f ca="1">ROUND(19.000,3)</f>
        <v>0</v>
      </c>
      <c r="G6587" s="27">
        <f ca="1">ROUND(E6587*F6587,2)</f>
        <v>0</v>
      </c>
    </row>
    <row r="6588" spans="1:7" ht="15.12" thickBot="1" customHeight="1">
      <c r="A6588" s="26"/>
      <c r="B6588" s="26"/>
      <c r="C6588" s="26"/>
      <c r="D6588" s="24" t="s">
        <v>20816</v>
      </c>
      <c r="E6588" s="28">
        <v>0.19000</v>
      </c>
      <c r="F6588" s="29">
        <f ca="1">ROUND((G6585+G6586+G6587),3)</f>
        <v>0</v>
      </c>
      <c r="G6588" s="27">
        <f ca="1">ROUND(E6588*F6588,2)</f>
        <v>0</v>
      </c>
    </row>
    <row r="6589" spans="1:7" ht="15.12" thickBot="1" customHeight="1">
      <c r="A6589" s="24" t="s">
        <v>20817</v>
      </c>
      <c r="B6589" s="24"/>
      <c r="C6589" s="24" t="s">
        <v>20818</v>
      </c>
      <c r="D6589" s="25" t="s">
        <v>20819</v>
      </c>
      <c r="E6589" s="28">
        <v>3.00000</v>
      </c>
      <c r="F6589" s="29">
        <f ca="1">ROUND(8.320,3)</f>
        <v>0</v>
      </c>
      <c r="G6589" s="27">
        <f ca="1">ROUND((E6589*F6589)/100,2)</f>
        <v>0</v>
      </c>
    </row>
    <row r="6590" spans="1:7" ht="15.48" thickBot="1" customHeight="1">
      <c r="A6590" s="30"/>
      <c r="B6590" s="30"/>
      <c r="C6590" s="30"/>
      <c r="D6590" s="31" t="s">
        <v>20820</v>
      </c>
      <c r="E6590" s="30"/>
      <c r="F6590" s="33">
        <f ca="1">ROUND((G6581+G6582+G6583+G6584+G6589)*(1+G2/100),2)</f>
        <v>0</v>
      </c>
      <c r="G6590" s="30"/>
    </row>
    <row r="6591" spans="1:7" ht="30.60" thickBot="1" customHeight="1">
      <c r="A6591" s="34" t="s">
        <v>20821</v>
      </c>
      <c r="B6591" s="35" t="s">
        <v>20822</v>
      </c>
      <c r="C6591" s="35" t="s">
        <v>20823</v>
      </c>
      <c r="D6591" s="36" t="s">
        <v>20824</v>
      </c>
      <c r="E6591" s="37"/>
      <c r="F6591" s="38">
        <f ca="1">F6604</f>
        <v>0</v>
      </c>
      <c r="G6591" s="37"/>
    </row>
    <row r="6592" spans="1:7" ht="21.36" thickBot="1" customHeight="1">
      <c r="A6592" s="26"/>
      <c r="B6592" s="26"/>
      <c r="C6592" s="26"/>
      <c r="D6592" s="25" t="s">
        <v>20825</v>
      </c>
      <c r="E6592" s="25"/>
      <c r="F6592" s="25"/>
      <c r="G6592" s="25"/>
    </row>
    <row r="6593" spans="1:7" ht="39.84" thickBot="1" customHeight="1">
      <c r="A6593" s="24" t="s">
        <v>20826</v>
      </c>
      <c r="B6593" s="24" t="s">
        <v>20827</v>
      </c>
      <c r="C6593" s="24" t="s">
        <v>20828</v>
      </c>
      <c r="D6593" s="25" t="s">
        <v>20829</v>
      </c>
      <c r="E6593" s="28">
        <v>0.11367</v>
      </c>
      <c r="F6593" s="29">
        <f ca="1">ROUND(29.000,3)</f>
        <v>0</v>
      </c>
      <c r="G6593" s="27">
        <f ca="1">ROUND(E6593*F6593,2)</f>
        <v>0</v>
      </c>
    </row>
    <row r="6594" spans="1:7" ht="30.60" thickBot="1" customHeight="1">
      <c r="A6594" s="24" t="s">
        <v>20830</v>
      </c>
      <c r="B6594" s="24" t="s">
        <v>20831</v>
      </c>
      <c r="C6594" s="24" t="s">
        <v>20832</v>
      </c>
      <c r="D6594" s="25" t="s">
        <v>20833</v>
      </c>
      <c r="E6594" s="28">
        <v>0.02000</v>
      </c>
      <c r="F6594" s="29">
        <f ca="1">ROUND(15.430,3)</f>
        <v>0</v>
      </c>
      <c r="G6594" s="27">
        <f ca="1">ROUND(E6594*F6594,2)</f>
        <v>0</v>
      </c>
    </row>
    <row r="6595" spans="1:7" ht="30.60" thickBot="1" customHeight="1">
      <c r="A6595" s="24" t="s">
        <v>20834</v>
      </c>
      <c r="B6595" s="24" t="s">
        <v>20835</v>
      </c>
      <c r="C6595" s="24" t="s">
        <v>20836</v>
      </c>
      <c r="D6595" s="25" t="s">
        <v>20837</v>
      </c>
      <c r="E6595" s="28">
        <v>0.05000</v>
      </c>
      <c r="F6595" s="29">
        <f ca="1">ROUND(11.740,3)</f>
        <v>0</v>
      </c>
      <c r="G6595" s="27">
        <f ca="1">ROUND(E6595*F6595,2)</f>
        <v>0</v>
      </c>
    </row>
    <row r="6596" spans="1:7" ht="30.60" thickBot="1" customHeight="1">
      <c r="A6596" s="24" t="s">
        <v>20838</v>
      </c>
      <c r="B6596" s="24" t="s">
        <v>20839</v>
      </c>
      <c r="C6596" s="24" t="s">
        <v>20840</v>
      </c>
      <c r="D6596" s="25" t="s">
        <v>20841</v>
      </c>
      <c r="E6596" s="28">
        <v>0.01000</v>
      </c>
      <c r="F6596" s="29">
        <f ca="1">ROUND(24.980,3)</f>
        <v>0</v>
      </c>
      <c r="G6596" s="27">
        <f ca="1">ROUND(E6596*F6596,2)</f>
        <v>0</v>
      </c>
    </row>
    <row r="6597" spans="1:7" ht="39.84" thickBot="1" customHeight="1">
      <c r="A6597" s="24" t="s">
        <v>20842</v>
      </c>
      <c r="B6597" s="24" t="s">
        <v>20843</v>
      </c>
      <c r="C6597" s="24" t="s">
        <v>20844</v>
      </c>
      <c r="D6597" s="25" t="s">
        <v>20845</v>
      </c>
      <c r="E6597" s="28">
        <v>0.16000</v>
      </c>
      <c r="F6597" s="29">
        <f ca="1">ROUND(1.750,3)</f>
        <v>0</v>
      </c>
      <c r="G6597" s="27">
        <f ca="1">ROUND(E6597*F6597,2)</f>
        <v>0</v>
      </c>
    </row>
    <row r="6598" spans="1:7" ht="21.36" thickBot="1" customHeight="1">
      <c r="A6598" s="24" t="s">
        <v>20846</v>
      </c>
      <c r="B6598" s="24" t="s">
        <v>20847</v>
      </c>
      <c r="C6598" s="24" t="s">
        <v>20848</v>
      </c>
      <c r="D6598" s="25" t="s">
        <v>20849</v>
      </c>
      <c r="E6598" s="28">
        <v>0.19000</v>
      </c>
      <c r="F6598" s="29">
        <f ca="1">F6602</f>
        <v>0</v>
      </c>
      <c r="G6598" s="27">
        <f ca="1">ROUND(E6598*F6598,2)</f>
        <v>0</v>
      </c>
    </row>
    <row r="6599" spans="1:7" ht="24.36" thickBot="1" customHeight="1">
      <c r="A6599" s="24" t="s">
        <v>20850</v>
      </c>
      <c r="B6599" s="24" t="s">
        <v>20851</v>
      </c>
      <c r="C6599" s="24" t="s">
        <v>20852</v>
      </c>
      <c r="D6599" s="25" t="s">
        <v>20853</v>
      </c>
      <c r="E6599" s="28">
        <v>1.00000</v>
      </c>
      <c r="F6599" s="29">
        <f ca="1">ROUND(21.000,3)</f>
        <v>0</v>
      </c>
      <c r="G6599" s="27">
        <f ca="1">ROUND(E6599*F6599,2)</f>
        <v>0</v>
      </c>
    </row>
    <row r="6600" spans="1:7" ht="24.36" thickBot="1" customHeight="1">
      <c r="A6600" s="24" t="s">
        <v>20854</v>
      </c>
      <c r="B6600" s="24" t="s">
        <v>20855</v>
      </c>
      <c r="C6600" s="24" t="s">
        <v>20856</v>
      </c>
      <c r="D6600" s="25" t="s">
        <v>20857</v>
      </c>
      <c r="E6600" s="28">
        <v>1.00000</v>
      </c>
      <c r="F6600" s="29">
        <f ca="1">ROUND(19.000,3)</f>
        <v>0</v>
      </c>
      <c r="G6600" s="27">
        <f ca="1">ROUND(E6600*F6600,2)</f>
        <v>0</v>
      </c>
    </row>
    <row r="6601" spans="1:7" ht="24.36" thickBot="1" customHeight="1">
      <c r="A6601" s="24" t="s">
        <v>20858</v>
      </c>
      <c r="B6601" s="24" t="s">
        <v>20859</v>
      </c>
      <c r="C6601" s="24" t="s">
        <v>20860</v>
      </c>
      <c r="D6601" s="25" t="s">
        <v>20861</v>
      </c>
      <c r="E6601" s="28">
        <v>0.20000</v>
      </c>
      <c r="F6601" s="29">
        <f ca="1">ROUND(19.000,3)</f>
        <v>0</v>
      </c>
      <c r="G6601" s="27">
        <f ca="1">ROUND(E6601*F6601,2)</f>
        <v>0</v>
      </c>
    </row>
    <row r="6602" spans="1:7" ht="15.12" thickBot="1" customHeight="1">
      <c r="A6602" s="26"/>
      <c r="B6602" s="26"/>
      <c r="C6602" s="26"/>
      <c r="D6602" s="24" t="s">
        <v>20862</v>
      </c>
      <c r="E6602" s="28">
        <v>0.19000</v>
      </c>
      <c r="F6602" s="29">
        <f ca="1">ROUND((G6599+G6600+G6601),3)</f>
        <v>0</v>
      </c>
      <c r="G6602" s="27">
        <f ca="1">ROUND(E6602*F6602,2)</f>
        <v>0</v>
      </c>
    </row>
    <row r="6603" spans="1:7" ht="15.12" thickBot="1" customHeight="1">
      <c r="A6603" s="24" t="s">
        <v>20863</v>
      </c>
      <c r="B6603" s="24"/>
      <c r="C6603" s="24" t="s">
        <v>20864</v>
      </c>
      <c r="D6603" s="25" t="s">
        <v>20865</v>
      </c>
      <c r="E6603" s="28">
        <v>3.00000</v>
      </c>
      <c r="F6603" s="29">
        <f ca="1">ROUND(8.320,3)</f>
        <v>0</v>
      </c>
      <c r="G6603" s="27">
        <f ca="1">ROUND((E6603*F6603)/100,2)</f>
        <v>0</v>
      </c>
    </row>
    <row r="6604" spans="1:7" ht="15.48" thickBot="1" customHeight="1">
      <c r="A6604" s="30"/>
      <c r="B6604" s="30"/>
      <c r="C6604" s="30"/>
      <c r="D6604" s="31" t="s">
        <v>20866</v>
      </c>
      <c r="E6604" s="30"/>
      <c r="F6604" s="33">
        <f ca="1">ROUND((G6593+G6594+G6595+G6596+G6597+G6598+G6603)*(1+G2/100),2)</f>
        <v>0</v>
      </c>
      <c r="G6604" s="30"/>
    </row>
    <row r="6605" spans="1:7" ht="21.36" thickBot="1" customHeight="1">
      <c r="A6605" s="34" t="s">
        <v>20867</v>
      </c>
      <c r="B6605" s="35" t="s">
        <v>20868</v>
      </c>
      <c r="C6605" s="35" t="s">
        <v>20869</v>
      </c>
      <c r="D6605" s="36" t="s">
        <v>20870</v>
      </c>
      <c r="E6605" s="37"/>
      <c r="F6605" s="38">
        <f ca="1">F6616</f>
        <v>0</v>
      </c>
      <c r="G6605" s="37"/>
    </row>
    <row r="6606" spans="1:7" ht="30.60" thickBot="1" customHeight="1">
      <c r="A6606" s="26"/>
      <c r="B6606" s="26"/>
      <c r="C6606" s="26"/>
      <c r="D6606" s="25" t="s">
        <v>20871</v>
      </c>
      <c r="E6606" s="25"/>
      <c r="F6606" s="25"/>
      <c r="G6606" s="25"/>
    </row>
    <row r="6607" spans="1:7" ht="30.60" thickBot="1" customHeight="1">
      <c r="A6607" s="24" t="s">
        <v>20872</v>
      </c>
      <c r="B6607" s="24" t="s">
        <v>20873</v>
      </c>
      <c r="C6607" s="24" t="s">
        <v>20874</v>
      </c>
      <c r="D6607" s="25" t="s">
        <v>20875</v>
      </c>
      <c r="E6607" s="28">
        <v>3.00000</v>
      </c>
      <c r="F6607" s="29">
        <f ca="1">ROUND(1.950,3)</f>
        <v>0</v>
      </c>
      <c r="G6607" s="27">
        <f ca="1">ROUND(E6607*F6607,2)</f>
        <v>0</v>
      </c>
    </row>
    <row r="6608" spans="1:7" ht="49.08" thickBot="1" customHeight="1">
      <c r="A6608" s="24" t="s">
        <v>20876</v>
      </c>
      <c r="B6608" s="24" t="s">
        <v>20877</v>
      </c>
      <c r="C6608" s="24" t="s">
        <v>20878</v>
      </c>
      <c r="D6608" s="25" t="s">
        <v>20879</v>
      </c>
      <c r="E6608" s="28">
        <v>0.02000</v>
      </c>
      <c r="F6608" s="29">
        <f ca="1">ROUND(10.250,3)</f>
        <v>0</v>
      </c>
      <c r="G6608" s="27">
        <f ca="1">ROUND(E6608*F6608,2)</f>
        <v>0</v>
      </c>
    </row>
    <row r="6609" spans="1:7" ht="30.60" thickBot="1" customHeight="1">
      <c r="A6609" s="24" t="s">
        <v>20880</v>
      </c>
      <c r="B6609" s="24" t="s">
        <v>20881</v>
      </c>
      <c r="C6609" s="24" t="s">
        <v>20882</v>
      </c>
      <c r="D6609" s="25" t="s">
        <v>20883</v>
      </c>
      <c r="E6609" s="28">
        <v>0.05000</v>
      </c>
      <c r="F6609" s="29">
        <f ca="1">ROUND(11.740,3)</f>
        <v>0</v>
      </c>
      <c r="G6609" s="27">
        <f ca="1">ROUND(E6609*F6609,2)</f>
        <v>0</v>
      </c>
    </row>
    <row r="6610" spans="1:7" ht="21.36" thickBot="1" customHeight="1">
      <c r="A6610" s="24" t="s">
        <v>20884</v>
      </c>
      <c r="B6610" s="24" t="s">
        <v>20885</v>
      </c>
      <c r="C6610" s="24" t="s">
        <v>20886</v>
      </c>
      <c r="D6610" s="25" t="s">
        <v>20887</v>
      </c>
      <c r="E6610" s="28">
        <v>0.16000</v>
      </c>
      <c r="F6610" s="29">
        <f ca="1">F6614</f>
        <v>0</v>
      </c>
      <c r="G6610" s="27">
        <f ca="1">ROUND(E6610*F6610,2)</f>
        <v>0</v>
      </c>
    </row>
    <row r="6611" spans="1:7" ht="24.36" thickBot="1" customHeight="1">
      <c r="A6611" s="24" t="s">
        <v>20888</v>
      </c>
      <c r="B6611" s="24" t="s">
        <v>20889</v>
      </c>
      <c r="C6611" s="24" t="s">
        <v>20890</v>
      </c>
      <c r="D6611" s="25" t="s">
        <v>20891</v>
      </c>
      <c r="E6611" s="28">
        <v>1.00000</v>
      </c>
      <c r="F6611" s="29">
        <f ca="1">ROUND(21.000,3)</f>
        <v>0</v>
      </c>
      <c r="G6611" s="27">
        <f ca="1">ROUND(E6611*F6611,2)</f>
        <v>0</v>
      </c>
    </row>
    <row r="6612" spans="1:7" ht="24.36" thickBot="1" customHeight="1">
      <c r="A6612" s="24" t="s">
        <v>20892</v>
      </c>
      <c r="B6612" s="24" t="s">
        <v>20893</v>
      </c>
      <c r="C6612" s="24" t="s">
        <v>20894</v>
      </c>
      <c r="D6612" s="25" t="s">
        <v>20895</v>
      </c>
      <c r="E6612" s="28">
        <v>1.00000</v>
      </c>
      <c r="F6612" s="29">
        <f ca="1">ROUND(19.000,3)</f>
        <v>0</v>
      </c>
      <c r="G6612" s="27">
        <f ca="1">ROUND(E6612*F6612,2)</f>
        <v>0</v>
      </c>
    </row>
    <row r="6613" spans="1:7" ht="24.36" thickBot="1" customHeight="1">
      <c r="A6613" s="24" t="s">
        <v>20896</v>
      </c>
      <c r="B6613" s="24" t="s">
        <v>20897</v>
      </c>
      <c r="C6613" s="24" t="s">
        <v>20898</v>
      </c>
      <c r="D6613" s="25" t="s">
        <v>20899</v>
      </c>
      <c r="E6613" s="28">
        <v>0.20000</v>
      </c>
      <c r="F6613" s="29">
        <f ca="1">ROUND(19.000,3)</f>
        <v>0</v>
      </c>
      <c r="G6613" s="27">
        <f ca="1">ROUND(E6613*F6613,2)</f>
        <v>0</v>
      </c>
    </row>
    <row r="6614" spans="1:7" ht="15.12" thickBot="1" customHeight="1">
      <c r="A6614" s="26"/>
      <c r="B6614" s="26"/>
      <c r="C6614" s="26"/>
      <c r="D6614" s="24" t="s">
        <v>20900</v>
      </c>
      <c r="E6614" s="28">
        <v>0.16000</v>
      </c>
      <c r="F6614" s="29">
        <f ca="1">ROUND((G6611+G6612+G6613),3)</f>
        <v>0</v>
      </c>
      <c r="G6614" s="27">
        <f ca="1">ROUND(E6614*F6614,2)</f>
        <v>0</v>
      </c>
    </row>
    <row r="6615" spans="1:7" ht="15.12" thickBot="1" customHeight="1">
      <c r="A6615" s="24" t="s">
        <v>20901</v>
      </c>
      <c r="B6615" s="24"/>
      <c r="C6615" s="24" t="s">
        <v>20902</v>
      </c>
      <c r="D6615" s="25" t="s">
        <v>20903</v>
      </c>
      <c r="E6615" s="28">
        <v>3.00000</v>
      </c>
      <c r="F6615" s="29">
        <f ca="1">ROUND(7.010,3)</f>
        <v>0</v>
      </c>
      <c r="G6615" s="27">
        <f ca="1">ROUND((E6615*F6615)/100,2)</f>
        <v>0</v>
      </c>
    </row>
    <row r="6616" spans="1:7" ht="15.48" thickBot="1" customHeight="1">
      <c r="A6616" s="30"/>
      <c r="B6616" s="30"/>
      <c r="C6616" s="30"/>
      <c r="D6616" s="31" t="s">
        <v>20904</v>
      </c>
      <c r="E6616" s="30"/>
      <c r="F6616" s="33">
        <f ca="1">ROUND((G6607+G6608+G6609+G6610+G6615)*(1+G2/100),2)</f>
        <v>0</v>
      </c>
      <c r="G6616" s="30"/>
    </row>
    <row r="6617" spans="1:7" ht="21.36" thickBot="1" customHeight="1">
      <c r="A6617" s="34" t="s">
        <v>20905</v>
      </c>
      <c r="B6617" s="35" t="s">
        <v>20906</v>
      </c>
      <c r="C6617" s="35" t="s">
        <v>20907</v>
      </c>
      <c r="D6617" s="36" t="s">
        <v>20908</v>
      </c>
      <c r="E6617" s="37"/>
      <c r="F6617" s="38">
        <f ca="1">F6628</f>
        <v>0</v>
      </c>
      <c r="G6617" s="37"/>
    </row>
    <row r="6618" spans="1:7" ht="39.84" thickBot="1" customHeight="1">
      <c r="A6618" s="26"/>
      <c r="B6618" s="26"/>
      <c r="C6618" s="26"/>
      <c r="D6618" s="25" t="s">
        <v>20909</v>
      </c>
      <c r="E6618" s="25"/>
      <c r="F6618" s="25"/>
      <c r="G6618" s="25"/>
    </row>
    <row r="6619" spans="1:7" ht="30.60" thickBot="1" customHeight="1">
      <c r="A6619" s="24" t="s">
        <v>20910</v>
      </c>
      <c r="B6619" s="24" t="s">
        <v>20911</v>
      </c>
      <c r="C6619" s="24" t="s">
        <v>20912</v>
      </c>
      <c r="D6619" s="25" t="s">
        <v>20913</v>
      </c>
      <c r="E6619" s="28">
        <v>4.00000</v>
      </c>
      <c r="F6619" s="29">
        <f ca="1">ROUND(1.190,3)</f>
        <v>0</v>
      </c>
      <c r="G6619" s="27">
        <f ca="1">ROUND(E6619*F6619,2)</f>
        <v>0</v>
      </c>
    </row>
    <row r="6620" spans="1:7" ht="30.60" thickBot="1" customHeight="1">
      <c r="A6620" s="24" t="s">
        <v>20914</v>
      </c>
      <c r="B6620" s="24" t="s">
        <v>20915</v>
      </c>
      <c r="C6620" s="24" t="s">
        <v>20916</v>
      </c>
      <c r="D6620" s="25" t="s">
        <v>20917</v>
      </c>
      <c r="E6620" s="28">
        <v>0.06160</v>
      </c>
      <c r="F6620" s="29">
        <f ca="1">ROUND(15.430,3)</f>
        <v>0</v>
      </c>
      <c r="G6620" s="27">
        <f ca="1">ROUND(E6620*F6620,2)</f>
        <v>0</v>
      </c>
    </row>
    <row r="6621" spans="1:7" ht="30.60" thickBot="1" customHeight="1">
      <c r="A6621" s="24" t="s">
        <v>20918</v>
      </c>
      <c r="B6621" s="24" t="s">
        <v>20919</v>
      </c>
      <c r="C6621" s="24" t="s">
        <v>20920</v>
      </c>
      <c r="D6621" s="25" t="s">
        <v>20921</v>
      </c>
      <c r="E6621" s="28">
        <v>0.02534</v>
      </c>
      <c r="F6621" s="29">
        <f ca="1">ROUND(11.740,3)</f>
        <v>0</v>
      </c>
      <c r="G6621" s="27">
        <f ca="1">ROUND(E6621*F6621,2)</f>
        <v>0</v>
      </c>
    </row>
    <row r="6622" spans="1:7" ht="21.36" thickBot="1" customHeight="1">
      <c r="A6622" s="24" t="s">
        <v>20922</v>
      </c>
      <c r="B6622" s="24" t="s">
        <v>20923</v>
      </c>
      <c r="C6622" s="24" t="s">
        <v>20924</v>
      </c>
      <c r="D6622" s="25" t="s">
        <v>20925</v>
      </c>
      <c r="E6622" s="28">
        <v>0.55000</v>
      </c>
      <c r="F6622" s="29">
        <f ca="1">F6626</f>
        <v>0</v>
      </c>
      <c r="G6622" s="27">
        <f ca="1">ROUND(E6622*F6622,2)</f>
        <v>0</v>
      </c>
    </row>
    <row r="6623" spans="1:7" ht="24.36" thickBot="1" customHeight="1">
      <c r="A6623" s="24" t="s">
        <v>20926</v>
      </c>
      <c r="B6623" s="24" t="s">
        <v>20927</v>
      </c>
      <c r="C6623" s="24" t="s">
        <v>20928</v>
      </c>
      <c r="D6623" s="25" t="s">
        <v>20929</v>
      </c>
      <c r="E6623" s="28">
        <v>1.00000</v>
      </c>
      <c r="F6623" s="29">
        <f ca="1">ROUND(21.000,3)</f>
        <v>0</v>
      </c>
      <c r="G6623" s="27">
        <f ca="1">ROUND(E6623*F6623,2)</f>
        <v>0</v>
      </c>
    </row>
    <row r="6624" spans="1:7" ht="24.36" thickBot="1" customHeight="1">
      <c r="A6624" s="24" t="s">
        <v>20930</v>
      </c>
      <c r="B6624" s="24" t="s">
        <v>20931</v>
      </c>
      <c r="C6624" s="24" t="s">
        <v>20932</v>
      </c>
      <c r="D6624" s="25" t="s">
        <v>20933</v>
      </c>
      <c r="E6624" s="28">
        <v>1.00000</v>
      </c>
      <c r="F6624" s="29">
        <f ca="1">ROUND(19.000,3)</f>
        <v>0</v>
      </c>
      <c r="G6624" s="27">
        <f ca="1">ROUND(E6624*F6624,2)</f>
        <v>0</v>
      </c>
    </row>
    <row r="6625" spans="1:7" ht="24.36" thickBot="1" customHeight="1">
      <c r="A6625" s="24" t="s">
        <v>20934</v>
      </c>
      <c r="B6625" s="24" t="s">
        <v>20935</v>
      </c>
      <c r="C6625" s="24" t="s">
        <v>20936</v>
      </c>
      <c r="D6625" s="25" t="s">
        <v>20937</v>
      </c>
      <c r="E6625" s="28">
        <v>0.20000</v>
      </c>
      <c r="F6625" s="29">
        <f ca="1">ROUND(19.000,3)</f>
        <v>0</v>
      </c>
      <c r="G6625" s="27">
        <f ca="1">ROUND(E6625*F6625,2)</f>
        <v>0</v>
      </c>
    </row>
    <row r="6626" spans="1:7" ht="15.12" thickBot="1" customHeight="1">
      <c r="A6626" s="26"/>
      <c r="B6626" s="26"/>
      <c r="C6626" s="26"/>
      <c r="D6626" s="24" t="s">
        <v>20938</v>
      </c>
      <c r="E6626" s="28">
        <v>0.55000</v>
      </c>
      <c r="F6626" s="29">
        <f ca="1">ROUND((G6623+G6624+G6625),3)</f>
        <v>0</v>
      </c>
      <c r="G6626" s="27">
        <f ca="1">ROUND(E6626*F6626,2)</f>
        <v>0</v>
      </c>
    </row>
    <row r="6627" spans="1:7" ht="15.12" thickBot="1" customHeight="1">
      <c r="A6627" s="24" t="s">
        <v>20939</v>
      </c>
      <c r="B6627" s="24"/>
      <c r="C6627" s="24" t="s">
        <v>20940</v>
      </c>
      <c r="D6627" s="25" t="s">
        <v>20941</v>
      </c>
      <c r="E6627" s="28">
        <v>3.00000</v>
      </c>
      <c r="F6627" s="29">
        <f ca="1">ROUND(24.090,3)</f>
        <v>0</v>
      </c>
      <c r="G6627" s="27">
        <f ca="1">ROUND((E6627*F6627)/100,2)</f>
        <v>0</v>
      </c>
    </row>
    <row r="6628" spans="1:7" ht="15.48" thickBot="1" customHeight="1">
      <c r="A6628" s="30"/>
      <c r="B6628" s="30"/>
      <c r="C6628" s="30"/>
      <c r="D6628" s="31" t="s">
        <v>20942</v>
      </c>
      <c r="E6628" s="30"/>
      <c r="F6628" s="33">
        <f ca="1">ROUND((G6619+G6620+G6621+G6622+G6627)*(1+G2/100),2)</f>
        <v>0</v>
      </c>
      <c r="G6628" s="30"/>
    </row>
    <row r="6629" spans="1:7" ht="30.60" thickBot="1" customHeight="1">
      <c r="A6629" s="34" t="s">
        <v>20943</v>
      </c>
      <c r="B6629" s="35" t="s">
        <v>20944</v>
      </c>
      <c r="C6629" s="35" t="s">
        <v>20945</v>
      </c>
      <c r="D6629" s="36" t="s">
        <v>20946</v>
      </c>
      <c r="E6629" s="37"/>
      <c r="F6629" s="38">
        <f ca="1">F6640</f>
        <v>0</v>
      </c>
      <c r="G6629" s="37"/>
    </row>
    <row r="6630" spans="1:7" ht="39.84" thickBot="1" customHeight="1">
      <c r="A6630" s="26"/>
      <c r="B6630" s="26"/>
      <c r="C6630" s="26"/>
      <c r="D6630" s="25" t="s">
        <v>20947</v>
      </c>
      <c r="E6630" s="25"/>
      <c r="F6630" s="25"/>
      <c r="G6630" s="25"/>
    </row>
    <row r="6631" spans="1:7" ht="30.60" thickBot="1" customHeight="1">
      <c r="A6631" s="24" t="s">
        <v>20948</v>
      </c>
      <c r="B6631" s="24" t="s">
        <v>20949</v>
      </c>
      <c r="C6631" s="24" t="s">
        <v>20950</v>
      </c>
      <c r="D6631" s="25" t="s">
        <v>20951</v>
      </c>
      <c r="E6631" s="28">
        <v>4.00000</v>
      </c>
      <c r="F6631" s="29">
        <f ca="1">ROUND(1.190,3)</f>
        <v>0</v>
      </c>
      <c r="G6631" s="27">
        <f ca="1">ROUND(E6631*F6631,2)</f>
        <v>0</v>
      </c>
    </row>
    <row r="6632" spans="1:7" ht="30.60" thickBot="1" customHeight="1">
      <c r="A6632" s="24" t="s">
        <v>20952</v>
      </c>
      <c r="B6632" s="24" t="s">
        <v>20953</v>
      </c>
      <c r="C6632" s="24" t="s">
        <v>20954</v>
      </c>
      <c r="D6632" s="25" t="s">
        <v>20955</v>
      </c>
      <c r="E6632" s="28">
        <v>0.06160</v>
      </c>
      <c r="F6632" s="29">
        <f ca="1">ROUND(15.430,3)</f>
        <v>0</v>
      </c>
      <c r="G6632" s="27">
        <f ca="1">ROUND(E6632*F6632,2)</f>
        <v>0</v>
      </c>
    </row>
    <row r="6633" spans="1:7" ht="30.60" thickBot="1" customHeight="1">
      <c r="A6633" s="24" t="s">
        <v>20956</v>
      </c>
      <c r="B6633" s="24" t="s">
        <v>20957</v>
      </c>
      <c r="C6633" s="24" t="s">
        <v>20958</v>
      </c>
      <c r="D6633" s="25" t="s">
        <v>20959</v>
      </c>
      <c r="E6633" s="28">
        <v>0.02534</v>
      </c>
      <c r="F6633" s="29">
        <f ca="1">ROUND(11.740,3)</f>
        <v>0</v>
      </c>
      <c r="G6633" s="27">
        <f ca="1">ROUND(E6633*F6633,2)</f>
        <v>0</v>
      </c>
    </row>
    <row r="6634" spans="1:7" ht="24.36" thickBot="1" customHeight="1">
      <c r="A6634" s="24" t="s">
        <v>20960</v>
      </c>
      <c r="B6634" s="24" t="s">
        <v>20961</v>
      </c>
      <c r="C6634" s="24" t="s">
        <v>20962</v>
      </c>
      <c r="D6634" s="25" t="s">
        <v>20963</v>
      </c>
      <c r="E6634" s="28">
        <v>0.82500</v>
      </c>
      <c r="F6634" s="29">
        <f ca="1">F6638</f>
        <v>0</v>
      </c>
      <c r="G6634" s="27">
        <f ca="1">ROUND(E6634*F6634,2)</f>
        <v>0</v>
      </c>
    </row>
    <row r="6635" spans="1:7" ht="24.36" thickBot="1" customHeight="1">
      <c r="A6635" s="24" t="s">
        <v>20964</v>
      </c>
      <c r="B6635" s="24" t="s">
        <v>20965</v>
      </c>
      <c r="C6635" s="24" t="s">
        <v>20966</v>
      </c>
      <c r="D6635" s="25" t="s">
        <v>20967</v>
      </c>
      <c r="E6635" s="28">
        <v>1.00000</v>
      </c>
      <c r="F6635" s="29">
        <f ca="1">ROUND(21.000,3)</f>
        <v>0</v>
      </c>
      <c r="G6635" s="27">
        <f ca="1">ROUND(E6635*F6635,2)</f>
        <v>0</v>
      </c>
    </row>
    <row r="6636" spans="1:7" ht="24.36" thickBot="1" customHeight="1">
      <c r="A6636" s="24" t="s">
        <v>20968</v>
      </c>
      <c r="B6636" s="24" t="s">
        <v>20969</v>
      </c>
      <c r="C6636" s="24" t="s">
        <v>20970</v>
      </c>
      <c r="D6636" s="25" t="s">
        <v>20971</v>
      </c>
      <c r="E6636" s="28">
        <v>1.00000</v>
      </c>
      <c r="F6636" s="29">
        <f ca="1">ROUND(19.000,3)</f>
        <v>0</v>
      </c>
      <c r="G6636" s="27">
        <f ca="1">ROUND(E6636*F6636,2)</f>
        <v>0</v>
      </c>
    </row>
    <row r="6637" spans="1:7" ht="24.36" thickBot="1" customHeight="1">
      <c r="A6637" s="24" t="s">
        <v>20972</v>
      </c>
      <c r="B6637" s="24" t="s">
        <v>20973</v>
      </c>
      <c r="C6637" s="24" t="s">
        <v>20974</v>
      </c>
      <c r="D6637" s="25" t="s">
        <v>20975</v>
      </c>
      <c r="E6637" s="28">
        <v>0.50000</v>
      </c>
      <c r="F6637" s="29">
        <f ca="1">ROUND(19.000,3)</f>
        <v>0</v>
      </c>
      <c r="G6637" s="27">
        <f ca="1">ROUND(E6637*F6637,2)</f>
        <v>0</v>
      </c>
    </row>
    <row r="6638" spans="1:7" ht="15.12" thickBot="1" customHeight="1">
      <c r="A6638" s="26"/>
      <c r="B6638" s="26"/>
      <c r="C6638" s="26"/>
      <c r="D6638" s="24" t="s">
        <v>20976</v>
      </c>
      <c r="E6638" s="28">
        <v>0.82500</v>
      </c>
      <c r="F6638" s="29">
        <f ca="1">ROUND((G6635+G6636+G6637),3)</f>
        <v>0</v>
      </c>
      <c r="G6638" s="27">
        <f ca="1">ROUND(E6638*F6638,2)</f>
        <v>0</v>
      </c>
    </row>
    <row r="6639" spans="1:7" ht="15.12" thickBot="1" customHeight="1">
      <c r="A6639" s="24" t="s">
        <v>20977</v>
      </c>
      <c r="B6639" s="24"/>
      <c r="C6639" s="24" t="s">
        <v>20978</v>
      </c>
      <c r="D6639" s="25" t="s">
        <v>20979</v>
      </c>
      <c r="E6639" s="28">
        <v>3.00000</v>
      </c>
      <c r="F6639" s="29">
        <f ca="1">ROUND(40.840,3)</f>
        <v>0</v>
      </c>
      <c r="G6639" s="27">
        <f ca="1">ROUND((E6639*F6639)/100,2)</f>
        <v>0</v>
      </c>
    </row>
    <row r="6640" spans="1:7" ht="15.48" thickBot="1" customHeight="1">
      <c r="A6640" s="30"/>
      <c r="B6640" s="30"/>
      <c r="C6640" s="30"/>
      <c r="D6640" s="31" t="s">
        <v>20980</v>
      </c>
      <c r="E6640" s="30"/>
      <c r="F6640" s="33">
        <f ca="1">ROUND((G6631+G6632+G6633+G6634+G6639)*(1+G2/100),2)</f>
        <v>0</v>
      </c>
      <c r="G6640" s="30"/>
    </row>
    <row r="6641" spans="1:7" ht="30.60" thickBot="1" customHeight="1">
      <c r="A6641" s="34" t="s">
        <v>20981</v>
      </c>
      <c r="B6641" s="35" t="s">
        <v>20982</v>
      </c>
      <c r="C6641" s="35" t="s">
        <v>20983</v>
      </c>
      <c r="D6641" s="36" t="s">
        <v>20984</v>
      </c>
      <c r="E6641" s="37"/>
      <c r="F6641" s="38">
        <f ca="1">F6652</f>
        <v>0</v>
      </c>
      <c r="G6641" s="37"/>
    </row>
    <row r="6642" spans="1:7" ht="39.84" thickBot="1" customHeight="1">
      <c r="A6642" s="26"/>
      <c r="B6642" s="26"/>
      <c r="C6642" s="26"/>
      <c r="D6642" s="25" t="s">
        <v>20985</v>
      </c>
      <c r="E6642" s="25"/>
      <c r="F6642" s="25"/>
      <c r="G6642" s="25"/>
    </row>
    <row r="6643" spans="1:7" ht="30.60" thickBot="1" customHeight="1">
      <c r="A6643" s="24" t="s">
        <v>20986</v>
      </c>
      <c r="B6643" s="24" t="s">
        <v>20987</v>
      </c>
      <c r="C6643" s="24" t="s">
        <v>20988</v>
      </c>
      <c r="D6643" s="25" t="s">
        <v>20989</v>
      </c>
      <c r="E6643" s="28">
        <v>8.00000</v>
      </c>
      <c r="F6643" s="29">
        <f ca="1">ROUND(1.190,3)</f>
        <v>0</v>
      </c>
      <c r="G6643" s="27">
        <f ca="1">ROUND(E6643*F6643,2)</f>
        <v>0</v>
      </c>
    </row>
    <row r="6644" spans="1:7" ht="30.60" thickBot="1" customHeight="1">
      <c r="A6644" s="24" t="s">
        <v>20990</v>
      </c>
      <c r="B6644" s="24" t="s">
        <v>20991</v>
      </c>
      <c r="C6644" s="24" t="s">
        <v>20992</v>
      </c>
      <c r="D6644" s="25" t="s">
        <v>20993</v>
      </c>
      <c r="E6644" s="28">
        <v>0.12320</v>
      </c>
      <c r="F6644" s="29">
        <f ca="1">ROUND(15.430,3)</f>
        <v>0</v>
      </c>
      <c r="G6644" s="27">
        <f ca="1">ROUND(E6644*F6644,2)</f>
        <v>0</v>
      </c>
    </row>
    <row r="6645" spans="1:7" ht="30.60" thickBot="1" customHeight="1">
      <c r="A6645" s="24" t="s">
        <v>20994</v>
      </c>
      <c r="B6645" s="24" t="s">
        <v>20995</v>
      </c>
      <c r="C6645" s="24" t="s">
        <v>20996</v>
      </c>
      <c r="D6645" s="25" t="s">
        <v>20997</v>
      </c>
      <c r="E6645" s="28">
        <v>0.05068</v>
      </c>
      <c r="F6645" s="29">
        <f ca="1">ROUND(11.740,3)</f>
        <v>0</v>
      </c>
      <c r="G6645" s="27">
        <f ca="1">ROUND(E6645*F6645,2)</f>
        <v>0</v>
      </c>
    </row>
    <row r="6646" spans="1:7" ht="21.36" thickBot="1" customHeight="1">
      <c r="A6646" s="24" t="s">
        <v>20998</v>
      </c>
      <c r="B6646" s="24" t="s">
        <v>20999</v>
      </c>
      <c r="C6646" s="24" t="s">
        <v>21000</v>
      </c>
      <c r="D6646" s="25" t="s">
        <v>21001</v>
      </c>
      <c r="E6646" s="28">
        <v>0.65000</v>
      </c>
      <c r="F6646" s="29">
        <f ca="1">F6650</f>
        <v>0</v>
      </c>
      <c r="G6646" s="27">
        <f ca="1">ROUND(E6646*F6646,2)</f>
        <v>0</v>
      </c>
    </row>
    <row r="6647" spans="1:7" ht="24.36" thickBot="1" customHeight="1">
      <c r="A6647" s="24" t="s">
        <v>21002</v>
      </c>
      <c r="B6647" s="24" t="s">
        <v>21003</v>
      </c>
      <c r="C6647" s="24" t="s">
        <v>21004</v>
      </c>
      <c r="D6647" s="25" t="s">
        <v>21005</v>
      </c>
      <c r="E6647" s="28">
        <v>1.00000</v>
      </c>
      <c r="F6647" s="29">
        <f ca="1">ROUND(21.000,3)</f>
        <v>0</v>
      </c>
      <c r="G6647" s="27">
        <f ca="1">ROUND(E6647*F6647,2)</f>
        <v>0</v>
      </c>
    </row>
    <row r="6648" spans="1:7" ht="24.36" thickBot="1" customHeight="1">
      <c r="A6648" s="24" t="s">
        <v>21006</v>
      </c>
      <c r="B6648" s="24" t="s">
        <v>21007</v>
      </c>
      <c r="C6648" s="24" t="s">
        <v>21008</v>
      </c>
      <c r="D6648" s="25" t="s">
        <v>21009</v>
      </c>
      <c r="E6648" s="28">
        <v>1.00000</v>
      </c>
      <c r="F6648" s="29">
        <f ca="1">ROUND(19.000,3)</f>
        <v>0</v>
      </c>
      <c r="G6648" s="27">
        <f ca="1">ROUND(E6648*F6648,2)</f>
        <v>0</v>
      </c>
    </row>
    <row r="6649" spans="1:7" ht="24.36" thickBot="1" customHeight="1">
      <c r="A6649" s="24" t="s">
        <v>21010</v>
      </c>
      <c r="B6649" s="24" t="s">
        <v>21011</v>
      </c>
      <c r="C6649" s="24" t="s">
        <v>21012</v>
      </c>
      <c r="D6649" s="25" t="s">
        <v>21013</v>
      </c>
      <c r="E6649" s="28">
        <v>0.20000</v>
      </c>
      <c r="F6649" s="29">
        <f ca="1">ROUND(19.000,3)</f>
        <v>0</v>
      </c>
      <c r="G6649" s="27">
        <f ca="1">ROUND(E6649*F6649,2)</f>
        <v>0</v>
      </c>
    </row>
    <row r="6650" spans="1:7" ht="15.12" thickBot="1" customHeight="1">
      <c r="A6650" s="26"/>
      <c r="B6650" s="26"/>
      <c r="C6650" s="26"/>
      <c r="D6650" s="24" t="s">
        <v>21014</v>
      </c>
      <c r="E6650" s="28">
        <v>0.65000</v>
      </c>
      <c r="F6650" s="29">
        <f ca="1">ROUND((G6647+G6648+G6649),3)</f>
        <v>0</v>
      </c>
      <c r="G6650" s="27">
        <f ca="1">ROUND(E6650*F6650,2)</f>
        <v>0</v>
      </c>
    </row>
    <row r="6651" spans="1:7" ht="15.12" thickBot="1" customHeight="1">
      <c r="A6651" s="24" t="s">
        <v>21015</v>
      </c>
      <c r="B6651" s="24"/>
      <c r="C6651" s="24" t="s">
        <v>21016</v>
      </c>
      <c r="D6651" s="25" t="s">
        <v>21017</v>
      </c>
      <c r="E6651" s="28">
        <v>3.00000</v>
      </c>
      <c r="F6651" s="29">
        <f ca="1">ROUND(28.470,3)</f>
        <v>0</v>
      </c>
      <c r="G6651" s="27">
        <f ca="1">ROUND((E6651*F6651)/100,2)</f>
        <v>0</v>
      </c>
    </row>
    <row r="6652" spans="1:7" ht="15.48" thickBot="1" customHeight="1">
      <c r="A6652" s="30"/>
      <c r="B6652" s="30"/>
      <c r="C6652" s="30"/>
      <c r="D6652" s="31" t="s">
        <v>21018</v>
      </c>
      <c r="E6652" s="30"/>
      <c r="F6652" s="33">
        <f ca="1">ROUND((G6643+G6644+G6645+G6646+G6651)*(1+G2/100),2)</f>
        <v>0</v>
      </c>
      <c r="G6652" s="30"/>
    </row>
    <row r="6653" spans="1:7" ht="39.84" thickBot="1" customHeight="1">
      <c r="A6653" s="34" t="s">
        <v>21019</v>
      </c>
      <c r="B6653" s="35" t="s">
        <v>21020</v>
      </c>
      <c r="C6653" s="35" t="s">
        <v>21021</v>
      </c>
      <c r="D6653" s="36" t="s">
        <v>21022</v>
      </c>
      <c r="E6653" s="37"/>
      <c r="F6653" s="38">
        <f ca="1">F6664</f>
        <v>0</v>
      </c>
      <c r="G6653" s="37"/>
    </row>
    <row r="6654" spans="1:7" ht="49.08" thickBot="1" customHeight="1">
      <c r="A6654" s="26"/>
      <c r="B6654" s="26"/>
      <c r="C6654" s="26"/>
      <c r="D6654" s="25" t="s">
        <v>21023</v>
      </c>
      <c r="E6654" s="25"/>
      <c r="F6654" s="25"/>
      <c r="G6654" s="25"/>
    </row>
    <row r="6655" spans="1:7" ht="30.60" thickBot="1" customHeight="1">
      <c r="A6655" s="24" t="s">
        <v>21024</v>
      </c>
      <c r="B6655" s="24" t="s">
        <v>21025</v>
      </c>
      <c r="C6655" s="24" t="s">
        <v>21026</v>
      </c>
      <c r="D6655" s="25" t="s">
        <v>21027</v>
      </c>
      <c r="E6655" s="28">
        <v>8.00000</v>
      </c>
      <c r="F6655" s="29">
        <f ca="1">ROUND(1.190,3)</f>
        <v>0</v>
      </c>
      <c r="G6655" s="27">
        <f ca="1">ROUND(E6655*F6655,2)</f>
        <v>0</v>
      </c>
    </row>
    <row r="6656" spans="1:7" ht="30.60" thickBot="1" customHeight="1">
      <c r="A6656" s="24" t="s">
        <v>21028</v>
      </c>
      <c r="B6656" s="24" t="s">
        <v>21029</v>
      </c>
      <c r="C6656" s="24" t="s">
        <v>21030</v>
      </c>
      <c r="D6656" s="25" t="s">
        <v>21031</v>
      </c>
      <c r="E6656" s="28">
        <v>0.12320</v>
      </c>
      <c r="F6656" s="29">
        <f ca="1">ROUND(15.430,3)</f>
        <v>0</v>
      </c>
      <c r="G6656" s="27">
        <f ca="1">ROUND(E6656*F6656,2)</f>
        <v>0</v>
      </c>
    </row>
    <row r="6657" spans="1:7" ht="30.60" thickBot="1" customHeight="1">
      <c r="A6657" s="24" t="s">
        <v>21032</v>
      </c>
      <c r="B6657" s="24" t="s">
        <v>21033</v>
      </c>
      <c r="C6657" s="24" t="s">
        <v>21034</v>
      </c>
      <c r="D6657" s="25" t="s">
        <v>21035</v>
      </c>
      <c r="E6657" s="28">
        <v>0.05068</v>
      </c>
      <c r="F6657" s="29">
        <f ca="1">ROUND(11.740,3)</f>
        <v>0</v>
      </c>
      <c r="G6657" s="27">
        <f ca="1">ROUND(E6657*F6657,2)</f>
        <v>0</v>
      </c>
    </row>
    <row r="6658" spans="1:7" ht="24.36" thickBot="1" customHeight="1">
      <c r="A6658" s="24" t="s">
        <v>21036</v>
      </c>
      <c r="B6658" s="24" t="s">
        <v>21037</v>
      </c>
      <c r="C6658" s="24" t="s">
        <v>21038</v>
      </c>
      <c r="D6658" s="25" t="s">
        <v>21039</v>
      </c>
      <c r="E6658" s="28">
        <v>0.95000</v>
      </c>
      <c r="F6658" s="29">
        <f ca="1">F6662</f>
        <v>0</v>
      </c>
      <c r="G6658" s="27">
        <f ca="1">ROUND(E6658*F6658,2)</f>
        <v>0</v>
      </c>
    </row>
    <row r="6659" spans="1:7" ht="24.36" thickBot="1" customHeight="1">
      <c r="A6659" s="24" t="s">
        <v>21040</v>
      </c>
      <c r="B6659" s="24" t="s">
        <v>21041</v>
      </c>
      <c r="C6659" s="24" t="s">
        <v>21042</v>
      </c>
      <c r="D6659" s="25" t="s">
        <v>21043</v>
      </c>
      <c r="E6659" s="28">
        <v>1.00000</v>
      </c>
      <c r="F6659" s="29">
        <f ca="1">ROUND(21.000,3)</f>
        <v>0</v>
      </c>
      <c r="G6659" s="27">
        <f ca="1">ROUND(E6659*F6659,2)</f>
        <v>0</v>
      </c>
    </row>
    <row r="6660" spans="1:7" ht="24.36" thickBot="1" customHeight="1">
      <c r="A6660" s="24" t="s">
        <v>21044</v>
      </c>
      <c r="B6660" s="24" t="s">
        <v>21045</v>
      </c>
      <c r="C6660" s="24" t="s">
        <v>21046</v>
      </c>
      <c r="D6660" s="25" t="s">
        <v>21047</v>
      </c>
      <c r="E6660" s="28">
        <v>1.00000</v>
      </c>
      <c r="F6660" s="29">
        <f ca="1">ROUND(19.000,3)</f>
        <v>0</v>
      </c>
      <c r="G6660" s="27">
        <f ca="1">ROUND(E6660*F6660,2)</f>
        <v>0</v>
      </c>
    </row>
    <row r="6661" spans="1:7" ht="24.36" thickBot="1" customHeight="1">
      <c r="A6661" s="24" t="s">
        <v>21048</v>
      </c>
      <c r="B6661" s="24" t="s">
        <v>21049</v>
      </c>
      <c r="C6661" s="24" t="s">
        <v>21050</v>
      </c>
      <c r="D6661" s="25" t="s">
        <v>21051</v>
      </c>
      <c r="E6661" s="28">
        <v>0.50000</v>
      </c>
      <c r="F6661" s="29">
        <f ca="1">ROUND(19.000,3)</f>
        <v>0</v>
      </c>
      <c r="G6661" s="27">
        <f ca="1">ROUND(E6661*F6661,2)</f>
        <v>0</v>
      </c>
    </row>
    <row r="6662" spans="1:7" ht="15.12" thickBot="1" customHeight="1">
      <c r="A6662" s="26"/>
      <c r="B6662" s="26"/>
      <c r="C6662" s="26"/>
      <c r="D6662" s="24" t="s">
        <v>21052</v>
      </c>
      <c r="E6662" s="28">
        <v>0.95000</v>
      </c>
      <c r="F6662" s="29">
        <f ca="1">ROUND((G6659+G6660+G6661),3)</f>
        <v>0</v>
      </c>
      <c r="G6662" s="27">
        <f ca="1">ROUND(E6662*F6662,2)</f>
        <v>0</v>
      </c>
    </row>
    <row r="6663" spans="1:7" ht="15.12" thickBot="1" customHeight="1">
      <c r="A6663" s="24" t="s">
        <v>21053</v>
      </c>
      <c r="B6663" s="24"/>
      <c r="C6663" s="24" t="s">
        <v>21054</v>
      </c>
      <c r="D6663" s="25" t="s">
        <v>21055</v>
      </c>
      <c r="E6663" s="28">
        <v>3.00000</v>
      </c>
      <c r="F6663" s="29">
        <f ca="1">ROUND(47.030,3)</f>
        <v>0</v>
      </c>
      <c r="G6663" s="27">
        <f ca="1">ROUND((E6663*F6663)/100,2)</f>
        <v>0</v>
      </c>
    </row>
    <row r="6664" spans="1:7" ht="15.48" thickBot="1" customHeight="1">
      <c r="A6664" s="30"/>
      <c r="B6664" s="30"/>
      <c r="C6664" s="30"/>
      <c r="D6664" s="31" t="s">
        <v>21056</v>
      </c>
      <c r="E6664" s="30"/>
      <c r="F6664" s="33">
        <f ca="1">ROUND((G6655+G6656+G6657+G6658+G6663)*(1+G2/100),2)</f>
        <v>0</v>
      </c>
      <c r="G6664" s="30"/>
    </row>
    <row r="6665" spans="1:7" ht="21.36" thickBot="1" customHeight="1">
      <c r="A6665" s="34" t="s">
        <v>21057</v>
      </c>
      <c r="B6665" s="35" t="s">
        <v>21058</v>
      </c>
      <c r="C6665" s="35" t="s">
        <v>21059</v>
      </c>
      <c r="D6665" s="36" t="s">
        <v>21060</v>
      </c>
      <c r="E6665" s="37"/>
      <c r="F6665" s="38">
        <f ca="1">F6676</f>
        <v>0</v>
      </c>
      <c r="G6665" s="37"/>
    </row>
    <row r="6666" spans="1:7" ht="39.84" thickBot="1" customHeight="1">
      <c r="A6666" s="26"/>
      <c r="B6666" s="26"/>
      <c r="C6666" s="26"/>
      <c r="D6666" s="25" t="s">
        <v>21061</v>
      </c>
      <c r="E6666" s="25"/>
      <c r="F6666" s="25"/>
      <c r="G6666" s="25"/>
    </row>
    <row r="6667" spans="1:7" ht="30.60" thickBot="1" customHeight="1">
      <c r="A6667" s="24" t="s">
        <v>21062</v>
      </c>
      <c r="B6667" s="24" t="s">
        <v>21063</v>
      </c>
      <c r="C6667" s="24" t="s">
        <v>21064</v>
      </c>
      <c r="D6667" s="25" t="s">
        <v>21065</v>
      </c>
      <c r="E6667" s="28">
        <v>4.00000</v>
      </c>
      <c r="F6667" s="29">
        <f ca="1">ROUND(1.190,3)</f>
        <v>0</v>
      </c>
      <c r="G6667" s="27">
        <f ca="1">ROUND(E6667*F6667,2)</f>
        <v>0</v>
      </c>
    </row>
    <row r="6668" spans="1:7" ht="30.60" thickBot="1" customHeight="1">
      <c r="A6668" s="24" t="s">
        <v>21066</v>
      </c>
      <c r="B6668" s="24" t="s">
        <v>21067</v>
      </c>
      <c r="C6668" s="24" t="s">
        <v>21068</v>
      </c>
      <c r="D6668" s="25" t="s">
        <v>21069</v>
      </c>
      <c r="E6668" s="28">
        <v>0.12320</v>
      </c>
      <c r="F6668" s="29">
        <f ca="1">ROUND(15.430,3)</f>
        <v>0</v>
      </c>
      <c r="G6668" s="27">
        <f ca="1">ROUND(E6668*F6668,2)</f>
        <v>0</v>
      </c>
    </row>
    <row r="6669" spans="1:7" ht="30.60" thickBot="1" customHeight="1">
      <c r="A6669" s="24" t="s">
        <v>21070</v>
      </c>
      <c r="B6669" s="24" t="s">
        <v>21071</v>
      </c>
      <c r="C6669" s="24" t="s">
        <v>21072</v>
      </c>
      <c r="D6669" s="25" t="s">
        <v>21073</v>
      </c>
      <c r="E6669" s="28">
        <v>0.05069</v>
      </c>
      <c r="F6669" s="29">
        <f ca="1">ROUND(11.740,3)</f>
        <v>0</v>
      </c>
      <c r="G6669" s="27">
        <f ca="1">ROUND(E6669*F6669,2)</f>
        <v>0</v>
      </c>
    </row>
    <row r="6670" spans="1:7" ht="21.36" thickBot="1" customHeight="1">
      <c r="A6670" s="24" t="s">
        <v>21074</v>
      </c>
      <c r="B6670" s="24" t="s">
        <v>21075</v>
      </c>
      <c r="C6670" s="24" t="s">
        <v>21076</v>
      </c>
      <c r="D6670" s="25" t="s">
        <v>21077</v>
      </c>
      <c r="E6670" s="28">
        <v>0.60000</v>
      </c>
      <c r="F6670" s="29">
        <f ca="1">F6674</f>
        <v>0</v>
      </c>
      <c r="G6670" s="27">
        <f ca="1">ROUND(E6670*F6670,2)</f>
        <v>0</v>
      </c>
    </row>
    <row r="6671" spans="1:7" ht="24.36" thickBot="1" customHeight="1">
      <c r="A6671" s="24" t="s">
        <v>21078</v>
      </c>
      <c r="B6671" s="24" t="s">
        <v>21079</v>
      </c>
      <c r="C6671" s="24" t="s">
        <v>21080</v>
      </c>
      <c r="D6671" s="25" t="s">
        <v>21081</v>
      </c>
      <c r="E6671" s="28">
        <v>1.00000</v>
      </c>
      <c r="F6671" s="29">
        <f ca="1">ROUND(21.000,3)</f>
        <v>0</v>
      </c>
      <c r="G6671" s="27">
        <f ca="1">ROUND(E6671*F6671,2)</f>
        <v>0</v>
      </c>
    </row>
    <row r="6672" spans="1:7" ht="24.36" thickBot="1" customHeight="1">
      <c r="A6672" s="24" t="s">
        <v>21082</v>
      </c>
      <c r="B6672" s="24" t="s">
        <v>21083</v>
      </c>
      <c r="C6672" s="24" t="s">
        <v>21084</v>
      </c>
      <c r="D6672" s="25" t="s">
        <v>21085</v>
      </c>
      <c r="E6672" s="28">
        <v>1.00000</v>
      </c>
      <c r="F6672" s="29">
        <f ca="1">ROUND(19.000,3)</f>
        <v>0</v>
      </c>
      <c r="G6672" s="27">
        <f ca="1">ROUND(E6672*F6672,2)</f>
        <v>0</v>
      </c>
    </row>
    <row r="6673" spans="1:7" ht="24.36" thickBot="1" customHeight="1">
      <c r="A6673" s="24" t="s">
        <v>21086</v>
      </c>
      <c r="B6673" s="24" t="s">
        <v>21087</v>
      </c>
      <c r="C6673" s="24" t="s">
        <v>21088</v>
      </c>
      <c r="D6673" s="25" t="s">
        <v>21089</v>
      </c>
      <c r="E6673" s="28">
        <v>0.20000</v>
      </c>
      <c r="F6673" s="29">
        <f ca="1">ROUND(19.000,3)</f>
        <v>0</v>
      </c>
      <c r="G6673" s="27">
        <f ca="1">ROUND(E6673*F6673,2)</f>
        <v>0</v>
      </c>
    </row>
    <row r="6674" spans="1:7" ht="15.12" thickBot="1" customHeight="1">
      <c r="A6674" s="26"/>
      <c r="B6674" s="26"/>
      <c r="C6674" s="26"/>
      <c r="D6674" s="24" t="s">
        <v>21090</v>
      </c>
      <c r="E6674" s="28">
        <v>0.60000</v>
      </c>
      <c r="F6674" s="29">
        <f ca="1">ROUND((G6671+G6672+G6673),3)</f>
        <v>0</v>
      </c>
      <c r="G6674" s="27">
        <f ca="1">ROUND(E6674*F6674,2)</f>
        <v>0</v>
      </c>
    </row>
    <row r="6675" spans="1:7" ht="15.12" thickBot="1" customHeight="1">
      <c r="A6675" s="24" t="s">
        <v>21091</v>
      </c>
      <c r="B6675" s="24"/>
      <c r="C6675" s="24" t="s">
        <v>21092</v>
      </c>
      <c r="D6675" s="25" t="s">
        <v>21093</v>
      </c>
      <c r="E6675" s="28">
        <v>3.00000</v>
      </c>
      <c r="F6675" s="29">
        <f ca="1">ROUND(26.280,3)</f>
        <v>0</v>
      </c>
      <c r="G6675" s="27">
        <f ca="1">ROUND((E6675*F6675)/100,2)</f>
        <v>0</v>
      </c>
    </row>
    <row r="6676" spans="1:7" ht="15.48" thickBot="1" customHeight="1">
      <c r="A6676" s="30"/>
      <c r="B6676" s="30"/>
      <c r="C6676" s="30"/>
      <c r="D6676" s="31" t="s">
        <v>21094</v>
      </c>
      <c r="E6676" s="30"/>
      <c r="F6676" s="33">
        <f ca="1">ROUND((G6667+G6668+G6669+G6670+G6675)*(1+G2/100),2)</f>
        <v>0</v>
      </c>
      <c r="G6676" s="30"/>
    </row>
    <row r="6677" spans="1:7" ht="30.60" thickBot="1" customHeight="1">
      <c r="A6677" s="34" t="s">
        <v>21095</v>
      </c>
      <c r="B6677" s="35" t="s">
        <v>21096</v>
      </c>
      <c r="C6677" s="35" t="s">
        <v>21097</v>
      </c>
      <c r="D6677" s="36" t="s">
        <v>21098</v>
      </c>
      <c r="E6677" s="37"/>
      <c r="F6677" s="38">
        <f ca="1">F6688</f>
        <v>0</v>
      </c>
      <c r="G6677" s="37"/>
    </row>
    <row r="6678" spans="1:7" ht="39.84" thickBot="1" customHeight="1">
      <c r="A6678" s="26"/>
      <c r="B6678" s="26"/>
      <c r="C6678" s="26"/>
      <c r="D6678" s="25" t="s">
        <v>21099</v>
      </c>
      <c r="E6678" s="25"/>
      <c r="F6678" s="25"/>
      <c r="G6678" s="25"/>
    </row>
    <row r="6679" spans="1:7" ht="30.60" thickBot="1" customHeight="1">
      <c r="A6679" s="24" t="s">
        <v>21100</v>
      </c>
      <c r="B6679" s="24" t="s">
        <v>21101</v>
      </c>
      <c r="C6679" s="24" t="s">
        <v>21102</v>
      </c>
      <c r="D6679" s="25" t="s">
        <v>21103</v>
      </c>
      <c r="E6679" s="28">
        <v>4.00000</v>
      </c>
      <c r="F6679" s="29">
        <f ca="1">ROUND(1.190,3)</f>
        <v>0</v>
      </c>
      <c r="G6679" s="27">
        <f ca="1">ROUND(E6679*F6679,2)</f>
        <v>0</v>
      </c>
    </row>
    <row r="6680" spans="1:7" ht="30.60" thickBot="1" customHeight="1">
      <c r="A6680" s="24" t="s">
        <v>21104</v>
      </c>
      <c r="B6680" s="24" t="s">
        <v>21105</v>
      </c>
      <c r="C6680" s="24" t="s">
        <v>21106</v>
      </c>
      <c r="D6680" s="25" t="s">
        <v>21107</v>
      </c>
      <c r="E6680" s="28">
        <v>0.12320</v>
      </c>
      <c r="F6680" s="29">
        <f ca="1">ROUND(15.430,3)</f>
        <v>0</v>
      </c>
      <c r="G6680" s="27">
        <f ca="1">ROUND(E6680*F6680,2)</f>
        <v>0</v>
      </c>
    </row>
    <row r="6681" spans="1:7" ht="30.60" thickBot="1" customHeight="1">
      <c r="A6681" s="24" t="s">
        <v>21108</v>
      </c>
      <c r="B6681" s="24" t="s">
        <v>21109</v>
      </c>
      <c r="C6681" s="24" t="s">
        <v>21110</v>
      </c>
      <c r="D6681" s="25" t="s">
        <v>21111</v>
      </c>
      <c r="E6681" s="28">
        <v>0.05069</v>
      </c>
      <c r="F6681" s="29">
        <f ca="1">ROUND(11.740,3)</f>
        <v>0</v>
      </c>
      <c r="G6681" s="27">
        <f ca="1">ROUND(E6681*F6681,2)</f>
        <v>0</v>
      </c>
    </row>
    <row r="6682" spans="1:7" ht="21.36" thickBot="1" customHeight="1">
      <c r="A6682" s="24" t="s">
        <v>21112</v>
      </c>
      <c r="B6682" s="24" t="s">
        <v>21113</v>
      </c>
      <c r="C6682" s="24" t="s">
        <v>21114</v>
      </c>
      <c r="D6682" s="25" t="s">
        <v>21115</v>
      </c>
      <c r="E6682" s="28">
        <v>0.90000</v>
      </c>
      <c r="F6682" s="29">
        <f ca="1">F6686</f>
        <v>0</v>
      </c>
      <c r="G6682" s="27">
        <f ca="1">ROUND(E6682*F6682,2)</f>
        <v>0</v>
      </c>
    </row>
    <row r="6683" spans="1:7" ht="24.36" thickBot="1" customHeight="1">
      <c r="A6683" s="24" t="s">
        <v>21116</v>
      </c>
      <c r="B6683" s="24" t="s">
        <v>21117</v>
      </c>
      <c r="C6683" s="24" t="s">
        <v>21118</v>
      </c>
      <c r="D6683" s="25" t="s">
        <v>21119</v>
      </c>
      <c r="E6683" s="28">
        <v>1.00000</v>
      </c>
      <c r="F6683" s="29">
        <f ca="1">ROUND(21.000,3)</f>
        <v>0</v>
      </c>
      <c r="G6683" s="27">
        <f ca="1">ROUND(E6683*F6683,2)</f>
        <v>0</v>
      </c>
    </row>
    <row r="6684" spans="1:7" ht="24.36" thickBot="1" customHeight="1">
      <c r="A6684" s="24" t="s">
        <v>21120</v>
      </c>
      <c r="B6684" s="24" t="s">
        <v>21121</v>
      </c>
      <c r="C6684" s="24" t="s">
        <v>21122</v>
      </c>
      <c r="D6684" s="25" t="s">
        <v>21123</v>
      </c>
      <c r="E6684" s="28">
        <v>1.00000</v>
      </c>
      <c r="F6684" s="29">
        <f ca="1">ROUND(19.000,3)</f>
        <v>0</v>
      </c>
      <c r="G6684" s="27">
        <f ca="1">ROUND(E6684*F6684,2)</f>
        <v>0</v>
      </c>
    </row>
    <row r="6685" spans="1:7" ht="24.36" thickBot="1" customHeight="1">
      <c r="A6685" s="24" t="s">
        <v>21124</v>
      </c>
      <c r="B6685" s="24" t="s">
        <v>21125</v>
      </c>
      <c r="C6685" s="24" t="s">
        <v>21126</v>
      </c>
      <c r="D6685" s="25" t="s">
        <v>21127</v>
      </c>
      <c r="E6685" s="28">
        <v>0.20000</v>
      </c>
      <c r="F6685" s="29">
        <f ca="1">ROUND(19.000,3)</f>
        <v>0</v>
      </c>
      <c r="G6685" s="27">
        <f ca="1">ROUND(E6685*F6685,2)</f>
        <v>0</v>
      </c>
    </row>
    <row r="6686" spans="1:7" ht="15.12" thickBot="1" customHeight="1">
      <c r="A6686" s="26"/>
      <c r="B6686" s="26"/>
      <c r="C6686" s="26"/>
      <c r="D6686" s="24" t="s">
        <v>21128</v>
      </c>
      <c r="E6686" s="28">
        <v>0.90000</v>
      </c>
      <c r="F6686" s="29">
        <f ca="1">ROUND((G6683+G6684+G6685),3)</f>
        <v>0</v>
      </c>
      <c r="G6686" s="27">
        <f ca="1">ROUND(E6686*F6686,2)</f>
        <v>0</v>
      </c>
    </row>
    <row r="6687" spans="1:7" ht="15.12" thickBot="1" customHeight="1">
      <c r="A6687" s="24" t="s">
        <v>21129</v>
      </c>
      <c r="B6687" s="24"/>
      <c r="C6687" s="24" t="s">
        <v>21130</v>
      </c>
      <c r="D6687" s="25" t="s">
        <v>21131</v>
      </c>
      <c r="E6687" s="28">
        <v>3.00000</v>
      </c>
      <c r="F6687" s="29">
        <f ca="1">ROUND(39.420,3)</f>
        <v>0</v>
      </c>
      <c r="G6687" s="27">
        <f ca="1">ROUND((E6687*F6687)/100,2)</f>
        <v>0</v>
      </c>
    </row>
    <row r="6688" spans="1:7" ht="15.48" thickBot="1" customHeight="1">
      <c r="A6688" s="30"/>
      <c r="B6688" s="30"/>
      <c r="C6688" s="30"/>
      <c r="D6688" s="31" t="s">
        <v>21132</v>
      </c>
      <c r="E6688" s="30"/>
      <c r="F6688" s="33">
        <f ca="1">ROUND((G6679+G6680+G6681+G6682+G6687)*(1+G2/100),2)</f>
        <v>0</v>
      </c>
      <c r="G6688" s="30"/>
    </row>
    <row r="6689" spans="1:7" ht="30.60" thickBot="1" customHeight="1">
      <c r="A6689" s="34" t="s">
        <v>21133</v>
      </c>
      <c r="B6689" s="35" t="s">
        <v>21134</v>
      </c>
      <c r="C6689" s="35" t="s">
        <v>21135</v>
      </c>
      <c r="D6689" s="36" t="s">
        <v>21136</v>
      </c>
      <c r="E6689" s="37"/>
      <c r="F6689" s="38">
        <f ca="1">F6700</f>
        <v>0</v>
      </c>
      <c r="G6689" s="37"/>
    </row>
    <row r="6690" spans="1:7" ht="21.36" thickBot="1" customHeight="1">
      <c r="A6690" s="26"/>
      <c r="B6690" s="26"/>
      <c r="C6690" s="26"/>
      <c r="D6690" s="25" t="s">
        <v>21137</v>
      </c>
      <c r="E6690" s="25"/>
      <c r="F6690" s="25"/>
      <c r="G6690" s="25"/>
    </row>
    <row r="6691" spans="1:7" ht="30.60" thickBot="1" customHeight="1">
      <c r="A6691" s="24" t="s">
        <v>21138</v>
      </c>
      <c r="B6691" s="24" t="s">
        <v>21139</v>
      </c>
      <c r="C6691" s="24" t="s">
        <v>21140</v>
      </c>
      <c r="D6691" s="25" t="s">
        <v>21141</v>
      </c>
      <c r="E6691" s="28">
        <v>3.00000</v>
      </c>
      <c r="F6691" s="29">
        <f ca="1">ROUND(7.550,3)</f>
        <v>0</v>
      </c>
      <c r="G6691" s="27">
        <f ca="1">ROUND(E6691*F6691,2)</f>
        <v>0</v>
      </c>
    </row>
    <row r="6692" spans="1:7" ht="30.60" thickBot="1" customHeight="1">
      <c r="A6692" s="24" t="s">
        <v>21142</v>
      </c>
      <c r="B6692" s="24" t="s">
        <v>21143</v>
      </c>
      <c r="C6692" s="24" t="s">
        <v>21144</v>
      </c>
      <c r="D6692" s="25" t="s">
        <v>21145</v>
      </c>
      <c r="E6692" s="28">
        <v>0.06600</v>
      </c>
      <c r="F6692" s="29">
        <f ca="1">ROUND(15.430,3)</f>
        <v>0</v>
      </c>
      <c r="G6692" s="27">
        <f ca="1">ROUND(E6692*F6692,2)</f>
        <v>0</v>
      </c>
    </row>
    <row r="6693" spans="1:7" ht="30.60" thickBot="1" customHeight="1">
      <c r="A6693" s="24" t="s">
        <v>21146</v>
      </c>
      <c r="B6693" s="24" t="s">
        <v>21147</v>
      </c>
      <c r="C6693" s="24" t="s">
        <v>21148</v>
      </c>
      <c r="D6693" s="25" t="s">
        <v>21149</v>
      </c>
      <c r="E6693" s="28">
        <v>0.02451</v>
      </c>
      <c r="F6693" s="29">
        <f ca="1">ROUND(11.740,3)</f>
        <v>0</v>
      </c>
      <c r="G6693" s="27">
        <f ca="1">ROUND(E6693*F6693,2)</f>
        <v>0</v>
      </c>
    </row>
    <row r="6694" spans="1:7" ht="21.36" thickBot="1" customHeight="1">
      <c r="A6694" s="24" t="s">
        <v>21150</v>
      </c>
      <c r="B6694" s="24" t="s">
        <v>21151</v>
      </c>
      <c r="C6694" s="24" t="s">
        <v>21152</v>
      </c>
      <c r="D6694" s="25" t="s">
        <v>21153</v>
      </c>
      <c r="E6694" s="28">
        <v>0.55000</v>
      </c>
      <c r="F6694" s="29">
        <f ca="1">F6698</f>
        <v>0</v>
      </c>
      <c r="G6694" s="27">
        <f ca="1">ROUND(E6694*F6694,2)</f>
        <v>0</v>
      </c>
    </row>
    <row r="6695" spans="1:7" ht="24.36" thickBot="1" customHeight="1">
      <c r="A6695" s="24" t="s">
        <v>21154</v>
      </c>
      <c r="B6695" s="24" t="s">
        <v>21155</v>
      </c>
      <c r="C6695" s="24" t="s">
        <v>21156</v>
      </c>
      <c r="D6695" s="25" t="s">
        <v>21157</v>
      </c>
      <c r="E6695" s="28">
        <v>1.00000</v>
      </c>
      <c r="F6695" s="29">
        <f ca="1">ROUND(21.000,3)</f>
        <v>0</v>
      </c>
      <c r="G6695" s="27">
        <f ca="1">ROUND(E6695*F6695,2)</f>
        <v>0</v>
      </c>
    </row>
    <row r="6696" spans="1:7" ht="24.36" thickBot="1" customHeight="1">
      <c r="A6696" s="24" t="s">
        <v>21158</v>
      </c>
      <c r="B6696" s="24" t="s">
        <v>21159</v>
      </c>
      <c r="C6696" s="24" t="s">
        <v>21160</v>
      </c>
      <c r="D6696" s="25" t="s">
        <v>21161</v>
      </c>
      <c r="E6696" s="28">
        <v>1.00000</v>
      </c>
      <c r="F6696" s="29">
        <f ca="1">ROUND(19.000,3)</f>
        <v>0</v>
      </c>
      <c r="G6696" s="27">
        <f ca="1">ROUND(E6696*F6696,2)</f>
        <v>0</v>
      </c>
    </row>
    <row r="6697" spans="1:7" ht="24.36" thickBot="1" customHeight="1">
      <c r="A6697" s="24" t="s">
        <v>21162</v>
      </c>
      <c r="B6697" s="24" t="s">
        <v>21163</v>
      </c>
      <c r="C6697" s="24" t="s">
        <v>21164</v>
      </c>
      <c r="D6697" s="25" t="s">
        <v>21165</v>
      </c>
      <c r="E6697" s="28">
        <v>0.20000</v>
      </c>
      <c r="F6697" s="29">
        <f ca="1">ROUND(19.000,3)</f>
        <v>0</v>
      </c>
      <c r="G6697" s="27">
        <f ca="1">ROUND(E6697*F6697,2)</f>
        <v>0</v>
      </c>
    </row>
    <row r="6698" spans="1:7" ht="15.12" thickBot="1" customHeight="1">
      <c r="A6698" s="26"/>
      <c r="B6698" s="26"/>
      <c r="C6698" s="26"/>
      <c r="D6698" s="24" t="s">
        <v>21166</v>
      </c>
      <c r="E6698" s="28">
        <v>0.55000</v>
      </c>
      <c r="F6698" s="29">
        <f ca="1">ROUND((G6695+G6696+G6697),3)</f>
        <v>0</v>
      </c>
      <c r="G6698" s="27">
        <f ca="1">ROUND(E6698*F6698,2)</f>
        <v>0</v>
      </c>
    </row>
    <row r="6699" spans="1:7" ht="15.12" thickBot="1" customHeight="1">
      <c r="A6699" s="24" t="s">
        <v>21167</v>
      </c>
      <c r="B6699" s="24"/>
      <c r="C6699" s="24" t="s">
        <v>21168</v>
      </c>
      <c r="D6699" s="25" t="s">
        <v>21169</v>
      </c>
      <c r="E6699" s="28">
        <v>3.00000</v>
      </c>
      <c r="F6699" s="29">
        <f ca="1">ROUND(24.090,3)</f>
        <v>0</v>
      </c>
      <c r="G6699" s="27">
        <f ca="1">ROUND((E6699*F6699)/100,2)</f>
        <v>0</v>
      </c>
    </row>
    <row r="6700" spans="1:7" ht="15.48" thickBot="1" customHeight="1">
      <c r="A6700" s="30"/>
      <c r="B6700" s="30"/>
      <c r="C6700" s="30"/>
      <c r="D6700" s="31" t="s">
        <v>21170</v>
      </c>
      <c r="E6700" s="30"/>
      <c r="F6700" s="33">
        <f ca="1">ROUND((G6691+G6692+G6693+G6694+G6699)*(1+G2/100),2)</f>
        <v>0</v>
      </c>
      <c r="G6700" s="30"/>
    </row>
    <row r="6701" spans="1:7" ht="39.84" thickBot="1" customHeight="1">
      <c r="A6701" s="34" t="s">
        <v>21171</v>
      </c>
      <c r="B6701" s="35" t="s">
        <v>21172</v>
      </c>
      <c r="C6701" s="35" t="s">
        <v>21173</v>
      </c>
      <c r="D6701" s="36" t="s">
        <v>21174</v>
      </c>
      <c r="E6701" s="37"/>
      <c r="F6701" s="38">
        <f ca="1">F6712</f>
        <v>0</v>
      </c>
      <c r="G6701" s="37"/>
    </row>
    <row r="6702" spans="1:7" ht="21.36" thickBot="1" customHeight="1">
      <c r="A6702" s="26"/>
      <c r="B6702" s="26"/>
      <c r="C6702" s="26"/>
      <c r="D6702" s="25" t="s">
        <v>21175</v>
      </c>
      <c r="E6702" s="25"/>
      <c r="F6702" s="25"/>
      <c r="G6702" s="25"/>
    </row>
    <row r="6703" spans="1:7" ht="30.60" thickBot="1" customHeight="1">
      <c r="A6703" s="24" t="s">
        <v>21176</v>
      </c>
      <c r="B6703" s="24" t="s">
        <v>21177</v>
      </c>
      <c r="C6703" s="24" t="s">
        <v>21178</v>
      </c>
      <c r="D6703" s="25" t="s">
        <v>21179</v>
      </c>
      <c r="E6703" s="28">
        <v>3.00000</v>
      </c>
      <c r="F6703" s="29">
        <f ca="1">ROUND(7.550,3)</f>
        <v>0</v>
      </c>
      <c r="G6703" s="27">
        <f ca="1">ROUND(E6703*F6703,2)</f>
        <v>0</v>
      </c>
    </row>
    <row r="6704" spans="1:7" ht="30.60" thickBot="1" customHeight="1">
      <c r="A6704" s="24" t="s">
        <v>21180</v>
      </c>
      <c r="B6704" s="24" t="s">
        <v>21181</v>
      </c>
      <c r="C6704" s="24" t="s">
        <v>21182</v>
      </c>
      <c r="D6704" s="25" t="s">
        <v>21183</v>
      </c>
      <c r="E6704" s="28">
        <v>0.06600</v>
      </c>
      <c r="F6704" s="29">
        <f ca="1">ROUND(15.430,3)</f>
        <v>0</v>
      </c>
      <c r="G6704" s="27">
        <f ca="1">ROUND(E6704*F6704,2)</f>
        <v>0</v>
      </c>
    </row>
    <row r="6705" spans="1:7" ht="30.60" thickBot="1" customHeight="1">
      <c r="A6705" s="24" t="s">
        <v>21184</v>
      </c>
      <c r="B6705" s="24" t="s">
        <v>21185</v>
      </c>
      <c r="C6705" s="24" t="s">
        <v>21186</v>
      </c>
      <c r="D6705" s="25" t="s">
        <v>21187</v>
      </c>
      <c r="E6705" s="28">
        <v>0.02451</v>
      </c>
      <c r="F6705" s="29">
        <f ca="1">ROUND(11.740,3)</f>
        <v>0</v>
      </c>
      <c r="G6705" s="27">
        <f ca="1">ROUND(E6705*F6705,2)</f>
        <v>0</v>
      </c>
    </row>
    <row r="6706" spans="1:7" ht="24.36" thickBot="1" customHeight="1">
      <c r="A6706" s="24" t="s">
        <v>21188</v>
      </c>
      <c r="B6706" s="24" t="s">
        <v>21189</v>
      </c>
      <c r="C6706" s="24" t="s">
        <v>21190</v>
      </c>
      <c r="D6706" s="25" t="s">
        <v>21191</v>
      </c>
      <c r="E6706" s="28">
        <v>0.82500</v>
      </c>
      <c r="F6706" s="29">
        <f ca="1">F6710</f>
        <v>0</v>
      </c>
      <c r="G6706" s="27">
        <f ca="1">ROUND(E6706*F6706,2)</f>
        <v>0</v>
      </c>
    </row>
    <row r="6707" spans="1:7" ht="24.36" thickBot="1" customHeight="1">
      <c r="A6707" s="24" t="s">
        <v>21192</v>
      </c>
      <c r="B6707" s="24" t="s">
        <v>21193</v>
      </c>
      <c r="C6707" s="24" t="s">
        <v>21194</v>
      </c>
      <c r="D6707" s="25" t="s">
        <v>21195</v>
      </c>
      <c r="E6707" s="28">
        <v>1.00000</v>
      </c>
      <c r="F6707" s="29">
        <f ca="1">ROUND(21.000,3)</f>
        <v>0</v>
      </c>
      <c r="G6707" s="27">
        <f ca="1">ROUND(E6707*F6707,2)</f>
        <v>0</v>
      </c>
    </row>
    <row r="6708" spans="1:7" ht="24.36" thickBot="1" customHeight="1">
      <c r="A6708" s="24" t="s">
        <v>21196</v>
      </c>
      <c r="B6708" s="24" t="s">
        <v>21197</v>
      </c>
      <c r="C6708" s="24" t="s">
        <v>21198</v>
      </c>
      <c r="D6708" s="25" t="s">
        <v>21199</v>
      </c>
      <c r="E6708" s="28">
        <v>1.00000</v>
      </c>
      <c r="F6708" s="29">
        <f ca="1">ROUND(19.000,3)</f>
        <v>0</v>
      </c>
      <c r="G6708" s="27">
        <f ca="1">ROUND(E6708*F6708,2)</f>
        <v>0</v>
      </c>
    </row>
    <row r="6709" spans="1:7" ht="24.36" thickBot="1" customHeight="1">
      <c r="A6709" s="24" t="s">
        <v>21200</v>
      </c>
      <c r="B6709" s="24" t="s">
        <v>21201</v>
      </c>
      <c r="C6709" s="24" t="s">
        <v>21202</v>
      </c>
      <c r="D6709" s="25" t="s">
        <v>21203</v>
      </c>
      <c r="E6709" s="28">
        <v>0.50000</v>
      </c>
      <c r="F6709" s="29">
        <f ca="1">ROUND(19.000,3)</f>
        <v>0</v>
      </c>
      <c r="G6709" s="27">
        <f ca="1">ROUND(E6709*F6709,2)</f>
        <v>0</v>
      </c>
    </row>
    <row r="6710" spans="1:7" ht="15.12" thickBot="1" customHeight="1">
      <c r="A6710" s="26"/>
      <c r="B6710" s="26"/>
      <c r="C6710" s="26"/>
      <c r="D6710" s="24" t="s">
        <v>21204</v>
      </c>
      <c r="E6710" s="28">
        <v>0.82500</v>
      </c>
      <c r="F6710" s="29">
        <f ca="1">ROUND((G6707+G6708+G6709),3)</f>
        <v>0</v>
      </c>
      <c r="G6710" s="27">
        <f ca="1">ROUND(E6710*F6710,2)</f>
        <v>0</v>
      </c>
    </row>
    <row r="6711" spans="1:7" ht="15.12" thickBot="1" customHeight="1">
      <c r="A6711" s="24" t="s">
        <v>21205</v>
      </c>
      <c r="B6711" s="24"/>
      <c r="C6711" s="24" t="s">
        <v>21206</v>
      </c>
      <c r="D6711" s="25" t="s">
        <v>21207</v>
      </c>
      <c r="E6711" s="28">
        <v>3.00000</v>
      </c>
      <c r="F6711" s="29">
        <f ca="1">ROUND(40.840,3)</f>
        <v>0</v>
      </c>
      <c r="G6711" s="27">
        <f ca="1">ROUND((E6711*F6711)/100,2)</f>
        <v>0</v>
      </c>
    </row>
    <row r="6712" spans="1:7" ht="15.48" thickBot="1" customHeight="1">
      <c r="A6712" s="30"/>
      <c r="B6712" s="30"/>
      <c r="C6712" s="30"/>
      <c r="D6712" s="31" t="s">
        <v>21208</v>
      </c>
      <c r="E6712" s="30"/>
      <c r="F6712" s="33">
        <f ca="1">ROUND((G6703+G6704+G6705+G6706+G6711)*(1+G2/100),2)</f>
        <v>0</v>
      </c>
      <c r="G6712" s="30"/>
    </row>
    <row r="6713" spans="1:7" ht="39.84" thickBot="1" customHeight="1">
      <c r="A6713" s="34" t="s">
        <v>21209</v>
      </c>
      <c r="B6713" s="35" t="s">
        <v>21210</v>
      </c>
      <c r="C6713" s="35" t="s">
        <v>21211</v>
      </c>
      <c r="D6713" s="36" t="s">
        <v>21212</v>
      </c>
      <c r="E6713" s="37"/>
      <c r="F6713" s="38">
        <f ca="1">F6724</f>
        <v>0</v>
      </c>
      <c r="G6713" s="37"/>
    </row>
    <row r="6714" spans="1:7" ht="21.36" thickBot="1" customHeight="1">
      <c r="A6714" s="26"/>
      <c r="B6714" s="26"/>
      <c r="C6714" s="26"/>
      <c r="D6714" s="25" t="s">
        <v>21213</v>
      </c>
      <c r="E6714" s="25"/>
      <c r="F6714" s="25"/>
      <c r="G6714" s="25"/>
    </row>
    <row r="6715" spans="1:7" ht="24.36" thickBot="1" customHeight="1">
      <c r="A6715" s="24" t="s">
        <v>21214</v>
      </c>
      <c r="B6715" s="24" t="s">
        <v>21215</v>
      </c>
      <c r="C6715" s="24" t="s">
        <v>21216</v>
      </c>
      <c r="D6715" s="25" t="s">
        <v>21217</v>
      </c>
      <c r="E6715" s="28">
        <v>8.00000</v>
      </c>
      <c r="F6715" s="29">
        <f ca="1">ROUND(5.200,3)</f>
        <v>0</v>
      </c>
      <c r="G6715" s="27">
        <f ca="1">ROUND(E6715*F6715,2)</f>
        <v>0</v>
      </c>
    </row>
    <row r="6716" spans="1:7" ht="30.60" thickBot="1" customHeight="1">
      <c r="A6716" s="24" t="s">
        <v>21218</v>
      </c>
      <c r="B6716" s="24" t="s">
        <v>21219</v>
      </c>
      <c r="C6716" s="24" t="s">
        <v>21220</v>
      </c>
      <c r="D6716" s="25" t="s">
        <v>21221</v>
      </c>
      <c r="E6716" s="28">
        <v>0.12320</v>
      </c>
      <c r="F6716" s="29">
        <f ca="1">ROUND(15.430,3)</f>
        <v>0</v>
      </c>
      <c r="G6716" s="27">
        <f ca="1">ROUND(E6716*F6716,2)</f>
        <v>0</v>
      </c>
    </row>
    <row r="6717" spans="1:7" ht="30.60" thickBot="1" customHeight="1">
      <c r="A6717" s="24" t="s">
        <v>21222</v>
      </c>
      <c r="B6717" s="24" t="s">
        <v>21223</v>
      </c>
      <c r="C6717" s="24" t="s">
        <v>21224</v>
      </c>
      <c r="D6717" s="25" t="s">
        <v>21225</v>
      </c>
      <c r="E6717" s="28">
        <v>0.05069</v>
      </c>
      <c r="F6717" s="29">
        <f ca="1">ROUND(11.740,3)</f>
        <v>0</v>
      </c>
      <c r="G6717" s="27">
        <f ca="1">ROUND(E6717*F6717,2)</f>
        <v>0</v>
      </c>
    </row>
    <row r="6718" spans="1:7" ht="21.36" thickBot="1" customHeight="1">
      <c r="A6718" s="24" t="s">
        <v>21226</v>
      </c>
      <c r="B6718" s="24" t="s">
        <v>21227</v>
      </c>
      <c r="C6718" s="24" t="s">
        <v>21228</v>
      </c>
      <c r="D6718" s="25" t="s">
        <v>21229</v>
      </c>
      <c r="E6718" s="28">
        <v>0.55000</v>
      </c>
      <c r="F6718" s="29">
        <f ca="1">F6722</f>
        <v>0</v>
      </c>
      <c r="G6718" s="27">
        <f ca="1">ROUND(E6718*F6718,2)</f>
        <v>0</v>
      </c>
    </row>
    <row r="6719" spans="1:7" ht="24.36" thickBot="1" customHeight="1">
      <c r="A6719" s="24" t="s">
        <v>21230</v>
      </c>
      <c r="B6719" s="24" t="s">
        <v>21231</v>
      </c>
      <c r="C6719" s="24" t="s">
        <v>21232</v>
      </c>
      <c r="D6719" s="25" t="s">
        <v>21233</v>
      </c>
      <c r="E6719" s="28">
        <v>1.00000</v>
      </c>
      <c r="F6719" s="29">
        <f ca="1">ROUND(21.000,3)</f>
        <v>0</v>
      </c>
      <c r="G6719" s="27">
        <f ca="1">ROUND(E6719*F6719,2)</f>
        <v>0</v>
      </c>
    </row>
    <row r="6720" spans="1:7" ht="24.36" thickBot="1" customHeight="1">
      <c r="A6720" s="24" t="s">
        <v>21234</v>
      </c>
      <c r="B6720" s="24" t="s">
        <v>21235</v>
      </c>
      <c r="C6720" s="24" t="s">
        <v>21236</v>
      </c>
      <c r="D6720" s="25" t="s">
        <v>21237</v>
      </c>
      <c r="E6720" s="28">
        <v>1.00000</v>
      </c>
      <c r="F6720" s="29">
        <f ca="1">ROUND(19.000,3)</f>
        <v>0</v>
      </c>
      <c r="G6720" s="27">
        <f ca="1">ROUND(E6720*F6720,2)</f>
        <v>0</v>
      </c>
    </row>
    <row r="6721" spans="1:7" ht="24.36" thickBot="1" customHeight="1">
      <c r="A6721" s="24" t="s">
        <v>21238</v>
      </c>
      <c r="B6721" s="24" t="s">
        <v>21239</v>
      </c>
      <c r="C6721" s="24" t="s">
        <v>21240</v>
      </c>
      <c r="D6721" s="25" t="s">
        <v>21241</v>
      </c>
      <c r="E6721" s="28">
        <v>0.20000</v>
      </c>
      <c r="F6721" s="29">
        <f ca="1">ROUND(19.000,3)</f>
        <v>0</v>
      </c>
      <c r="G6721" s="27">
        <f ca="1">ROUND(E6721*F6721,2)</f>
        <v>0</v>
      </c>
    </row>
    <row r="6722" spans="1:7" ht="15.12" thickBot="1" customHeight="1">
      <c r="A6722" s="26"/>
      <c r="B6722" s="26"/>
      <c r="C6722" s="26"/>
      <c r="D6722" s="24" t="s">
        <v>21242</v>
      </c>
      <c r="E6722" s="28">
        <v>0.55000</v>
      </c>
      <c r="F6722" s="29">
        <f ca="1">ROUND((G6719+G6720+G6721),3)</f>
        <v>0</v>
      </c>
      <c r="G6722" s="27">
        <f ca="1">ROUND(E6722*F6722,2)</f>
        <v>0</v>
      </c>
    </row>
    <row r="6723" spans="1:7" ht="15.12" thickBot="1" customHeight="1">
      <c r="A6723" s="24" t="s">
        <v>21243</v>
      </c>
      <c r="B6723" s="24"/>
      <c r="C6723" s="24" t="s">
        <v>21244</v>
      </c>
      <c r="D6723" s="25" t="s">
        <v>21245</v>
      </c>
      <c r="E6723" s="28">
        <v>3.00000</v>
      </c>
      <c r="F6723" s="29">
        <f ca="1">ROUND(24.090,3)</f>
        <v>0</v>
      </c>
      <c r="G6723" s="27">
        <f ca="1">ROUND((E6723*F6723)/100,2)</f>
        <v>0</v>
      </c>
    </row>
    <row r="6724" spans="1:7" ht="15.48" thickBot="1" customHeight="1">
      <c r="A6724" s="30"/>
      <c r="B6724" s="30"/>
      <c r="C6724" s="30"/>
      <c r="D6724" s="31" t="s">
        <v>21246</v>
      </c>
      <c r="E6724" s="30"/>
      <c r="F6724" s="33">
        <f ca="1">ROUND((G6715+G6716+G6717+G6718+G6723)*(1+G2/100),2)</f>
        <v>0</v>
      </c>
      <c r="G6724" s="30"/>
    </row>
    <row r="6725" spans="1:7" ht="58.32" thickBot="1" customHeight="1">
      <c r="A6725" s="34" t="s">
        <v>21247</v>
      </c>
      <c r="B6725" s="35" t="s">
        <v>21248</v>
      </c>
      <c r="C6725" s="35" t="s">
        <v>21249</v>
      </c>
      <c r="D6725" s="36" t="s">
        <v>21250</v>
      </c>
      <c r="E6725" s="37"/>
      <c r="F6725" s="38">
        <f ca="1">F6736</f>
        <v>0</v>
      </c>
      <c r="G6725" s="37"/>
    </row>
    <row r="6726" spans="1:7" ht="30.60" thickBot="1" customHeight="1">
      <c r="A6726" s="26"/>
      <c r="B6726" s="26"/>
      <c r="C6726" s="26"/>
      <c r="D6726" s="25" t="s">
        <v>21251</v>
      </c>
      <c r="E6726" s="25"/>
      <c r="F6726" s="25"/>
      <c r="G6726" s="25"/>
    </row>
    <row r="6727" spans="1:7" ht="24.36" thickBot="1" customHeight="1">
      <c r="A6727" s="24" t="s">
        <v>21252</v>
      </c>
      <c r="B6727" s="24" t="s">
        <v>21253</v>
      </c>
      <c r="C6727" s="24" t="s">
        <v>21254</v>
      </c>
      <c r="D6727" s="25" t="s">
        <v>21255</v>
      </c>
      <c r="E6727" s="28">
        <v>8.00000</v>
      </c>
      <c r="F6727" s="29">
        <f ca="1">ROUND(5.200,3)</f>
        <v>0</v>
      </c>
      <c r="G6727" s="27">
        <f ca="1">ROUND(E6727*F6727,2)</f>
        <v>0</v>
      </c>
    </row>
    <row r="6728" spans="1:7" ht="30.60" thickBot="1" customHeight="1">
      <c r="A6728" s="24" t="s">
        <v>21256</v>
      </c>
      <c r="B6728" s="24" t="s">
        <v>21257</v>
      </c>
      <c r="C6728" s="24" t="s">
        <v>21258</v>
      </c>
      <c r="D6728" s="25" t="s">
        <v>21259</v>
      </c>
      <c r="E6728" s="28">
        <v>0.12320</v>
      </c>
      <c r="F6728" s="29">
        <f ca="1">ROUND(15.430,3)</f>
        <v>0</v>
      </c>
      <c r="G6728" s="27">
        <f ca="1">ROUND(E6728*F6728,2)</f>
        <v>0</v>
      </c>
    </row>
    <row r="6729" spans="1:7" ht="30.60" thickBot="1" customHeight="1">
      <c r="A6729" s="24" t="s">
        <v>21260</v>
      </c>
      <c r="B6729" s="24" t="s">
        <v>21261</v>
      </c>
      <c r="C6729" s="24" t="s">
        <v>21262</v>
      </c>
      <c r="D6729" s="25" t="s">
        <v>21263</v>
      </c>
      <c r="E6729" s="28">
        <v>0.05069</v>
      </c>
      <c r="F6729" s="29">
        <f ca="1">ROUND(11.740,3)</f>
        <v>0</v>
      </c>
      <c r="G6729" s="27">
        <f ca="1">ROUND(E6729*F6729,2)</f>
        <v>0</v>
      </c>
    </row>
    <row r="6730" spans="1:7" ht="21.36" thickBot="1" customHeight="1">
      <c r="A6730" s="24" t="s">
        <v>21264</v>
      </c>
      <c r="B6730" s="24" t="s">
        <v>21265</v>
      </c>
      <c r="C6730" s="24" t="s">
        <v>21266</v>
      </c>
      <c r="D6730" s="25" t="s">
        <v>21267</v>
      </c>
      <c r="E6730" s="28">
        <v>0.82500</v>
      </c>
      <c r="F6730" s="29">
        <f ca="1">F6734</f>
        <v>0</v>
      </c>
      <c r="G6730" s="27">
        <f ca="1">ROUND(E6730*F6730,2)</f>
        <v>0</v>
      </c>
    </row>
    <row r="6731" spans="1:7" ht="24.36" thickBot="1" customHeight="1">
      <c r="A6731" s="24" t="s">
        <v>21268</v>
      </c>
      <c r="B6731" s="24" t="s">
        <v>21269</v>
      </c>
      <c r="C6731" s="24" t="s">
        <v>21270</v>
      </c>
      <c r="D6731" s="25" t="s">
        <v>21271</v>
      </c>
      <c r="E6731" s="28">
        <v>1.00000</v>
      </c>
      <c r="F6731" s="29">
        <f ca="1">ROUND(21.000,3)</f>
        <v>0</v>
      </c>
      <c r="G6731" s="27">
        <f ca="1">ROUND(E6731*F6731,2)</f>
        <v>0</v>
      </c>
    </row>
    <row r="6732" spans="1:7" ht="24.36" thickBot="1" customHeight="1">
      <c r="A6732" s="24" t="s">
        <v>21272</v>
      </c>
      <c r="B6732" s="24" t="s">
        <v>21273</v>
      </c>
      <c r="C6732" s="24" t="s">
        <v>21274</v>
      </c>
      <c r="D6732" s="25" t="s">
        <v>21275</v>
      </c>
      <c r="E6732" s="28">
        <v>1.00000</v>
      </c>
      <c r="F6732" s="29">
        <f ca="1">ROUND(19.000,3)</f>
        <v>0</v>
      </c>
      <c r="G6732" s="27">
        <f ca="1">ROUND(E6732*F6732,2)</f>
        <v>0</v>
      </c>
    </row>
    <row r="6733" spans="1:7" ht="24.36" thickBot="1" customHeight="1">
      <c r="A6733" s="24" t="s">
        <v>21276</v>
      </c>
      <c r="B6733" s="24" t="s">
        <v>21277</v>
      </c>
      <c r="C6733" s="24" t="s">
        <v>21278</v>
      </c>
      <c r="D6733" s="25" t="s">
        <v>21279</v>
      </c>
      <c r="E6733" s="28">
        <v>0.20000</v>
      </c>
      <c r="F6733" s="29">
        <f ca="1">ROUND(19.000,3)</f>
        <v>0</v>
      </c>
      <c r="G6733" s="27">
        <f ca="1">ROUND(E6733*F6733,2)</f>
        <v>0</v>
      </c>
    </row>
    <row r="6734" spans="1:7" ht="15.12" thickBot="1" customHeight="1">
      <c r="A6734" s="26"/>
      <c r="B6734" s="26"/>
      <c r="C6734" s="26"/>
      <c r="D6734" s="24" t="s">
        <v>21280</v>
      </c>
      <c r="E6734" s="28">
        <v>0.82500</v>
      </c>
      <c r="F6734" s="29">
        <f ca="1">ROUND((G6731+G6732+G6733),3)</f>
        <v>0</v>
      </c>
      <c r="G6734" s="27">
        <f ca="1">ROUND(E6734*F6734,2)</f>
        <v>0</v>
      </c>
    </row>
    <row r="6735" spans="1:7" ht="15.12" thickBot="1" customHeight="1">
      <c r="A6735" s="24" t="s">
        <v>21281</v>
      </c>
      <c r="B6735" s="24"/>
      <c r="C6735" s="24" t="s">
        <v>21282</v>
      </c>
      <c r="D6735" s="25" t="s">
        <v>21283</v>
      </c>
      <c r="E6735" s="28">
        <v>3.00000</v>
      </c>
      <c r="F6735" s="29">
        <f ca="1">ROUND(36.140,3)</f>
        <v>0</v>
      </c>
      <c r="G6735" s="27">
        <f ca="1">ROUND((E6735*F6735)/100,2)</f>
        <v>0</v>
      </c>
    </row>
    <row r="6736" spans="1:7" ht="15.48" thickBot="1" customHeight="1">
      <c r="A6736" s="30"/>
      <c r="B6736" s="30"/>
      <c r="C6736" s="30"/>
      <c r="D6736" s="31" t="s">
        <v>21284</v>
      </c>
      <c r="E6736" s="30"/>
      <c r="F6736" s="33">
        <f ca="1">ROUND((G6727+G6728+G6729+G6730+G6735)*(1+G2/100),2)</f>
        <v>0</v>
      </c>
      <c r="G6736" s="30"/>
    </row>
    <row r="6737" spans="1:7" ht="39.84" thickBot="1" customHeight="1">
      <c r="A6737" s="34" t="s">
        <v>21285</v>
      </c>
      <c r="B6737" s="35" t="s">
        <v>21286</v>
      </c>
      <c r="C6737" s="35" t="s">
        <v>21287</v>
      </c>
      <c r="D6737" s="36" t="s">
        <v>21288</v>
      </c>
      <c r="E6737" s="37"/>
      <c r="F6737" s="38">
        <f ca="1">F6748</f>
        <v>0</v>
      </c>
      <c r="G6737" s="37"/>
    </row>
    <row r="6738" spans="1:7" ht="21.36" thickBot="1" customHeight="1">
      <c r="A6738" s="26"/>
      <c r="B6738" s="26"/>
      <c r="C6738" s="26"/>
      <c r="D6738" s="25" t="s">
        <v>21289</v>
      </c>
      <c r="E6738" s="25"/>
      <c r="F6738" s="25"/>
      <c r="G6738" s="25"/>
    </row>
    <row r="6739" spans="1:7" ht="30.60" thickBot="1" customHeight="1">
      <c r="A6739" s="24" t="s">
        <v>21290</v>
      </c>
      <c r="B6739" s="24" t="s">
        <v>21291</v>
      </c>
      <c r="C6739" s="24" t="s">
        <v>21292</v>
      </c>
      <c r="D6739" s="25" t="s">
        <v>21293</v>
      </c>
      <c r="E6739" s="28">
        <v>5.25000</v>
      </c>
      <c r="F6739" s="29">
        <f ca="1">ROUND(6.850,3)</f>
        <v>0</v>
      </c>
      <c r="G6739" s="27">
        <f ca="1">ROUND(E6739*F6739,2)</f>
        <v>0</v>
      </c>
    </row>
    <row r="6740" spans="1:7" ht="30.60" thickBot="1" customHeight="1">
      <c r="A6740" s="24" t="s">
        <v>21294</v>
      </c>
      <c r="B6740" s="24" t="s">
        <v>21295</v>
      </c>
      <c r="C6740" s="24" t="s">
        <v>21296</v>
      </c>
      <c r="D6740" s="25" t="s">
        <v>21297</v>
      </c>
      <c r="E6740" s="28">
        <v>0.06776</v>
      </c>
      <c r="F6740" s="29">
        <f ca="1">ROUND(15.430,3)</f>
        <v>0</v>
      </c>
      <c r="G6740" s="27">
        <f ca="1">ROUND(E6740*F6740,2)</f>
        <v>0</v>
      </c>
    </row>
    <row r="6741" spans="1:7" ht="30.60" thickBot="1" customHeight="1">
      <c r="A6741" s="24" t="s">
        <v>21298</v>
      </c>
      <c r="B6741" s="24" t="s">
        <v>21299</v>
      </c>
      <c r="C6741" s="24" t="s">
        <v>21300</v>
      </c>
      <c r="D6741" s="25" t="s">
        <v>21301</v>
      </c>
      <c r="E6741" s="28">
        <v>0.02112</v>
      </c>
      <c r="F6741" s="29">
        <f ca="1">ROUND(11.740,3)</f>
        <v>0</v>
      </c>
      <c r="G6741" s="27">
        <f ca="1">ROUND(E6741*F6741,2)</f>
        <v>0</v>
      </c>
    </row>
    <row r="6742" spans="1:7" ht="21.36" thickBot="1" customHeight="1">
      <c r="A6742" s="24" t="s">
        <v>21302</v>
      </c>
      <c r="B6742" s="24" t="s">
        <v>21303</v>
      </c>
      <c r="C6742" s="24" t="s">
        <v>21304</v>
      </c>
      <c r="D6742" s="25" t="s">
        <v>21305</v>
      </c>
      <c r="E6742" s="28">
        <v>0.55000</v>
      </c>
      <c r="F6742" s="29">
        <f ca="1">F6746</f>
        <v>0</v>
      </c>
      <c r="G6742" s="27">
        <f ca="1">ROUND(E6742*F6742,2)</f>
        <v>0</v>
      </c>
    </row>
    <row r="6743" spans="1:7" ht="24.36" thickBot="1" customHeight="1">
      <c r="A6743" s="24" t="s">
        <v>21306</v>
      </c>
      <c r="B6743" s="24" t="s">
        <v>21307</v>
      </c>
      <c r="C6743" s="24" t="s">
        <v>21308</v>
      </c>
      <c r="D6743" s="25" t="s">
        <v>21309</v>
      </c>
      <c r="E6743" s="28">
        <v>1.00000</v>
      </c>
      <c r="F6743" s="29">
        <f ca="1">ROUND(21.000,3)</f>
        <v>0</v>
      </c>
      <c r="G6743" s="27">
        <f ca="1">ROUND(E6743*F6743,2)</f>
        <v>0</v>
      </c>
    </row>
    <row r="6744" spans="1:7" ht="24.36" thickBot="1" customHeight="1">
      <c r="A6744" s="24" t="s">
        <v>21310</v>
      </c>
      <c r="B6744" s="24" t="s">
        <v>21311</v>
      </c>
      <c r="C6744" s="24" t="s">
        <v>21312</v>
      </c>
      <c r="D6744" s="25" t="s">
        <v>21313</v>
      </c>
      <c r="E6744" s="28">
        <v>1.00000</v>
      </c>
      <c r="F6744" s="29">
        <f ca="1">ROUND(19.000,3)</f>
        <v>0</v>
      </c>
      <c r="G6744" s="27">
        <f ca="1">ROUND(E6744*F6744,2)</f>
        <v>0</v>
      </c>
    </row>
    <row r="6745" spans="1:7" ht="24.36" thickBot="1" customHeight="1">
      <c r="A6745" s="24" t="s">
        <v>21314</v>
      </c>
      <c r="B6745" s="24" t="s">
        <v>21315</v>
      </c>
      <c r="C6745" s="24" t="s">
        <v>21316</v>
      </c>
      <c r="D6745" s="25" t="s">
        <v>21317</v>
      </c>
      <c r="E6745" s="28">
        <v>0.20000</v>
      </c>
      <c r="F6745" s="29">
        <f ca="1">ROUND(19.000,3)</f>
        <v>0</v>
      </c>
      <c r="G6745" s="27">
        <f ca="1">ROUND(E6745*F6745,2)</f>
        <v>0</v>
      </c>
    </row>
    <row r="6746" spans="1:7" ht="15.12" thickBot="1" customHeight="1">
      <c r="A6746" s="26"/>
      <c r="B6746" s="26"/>
      <c r="C6746" s="26"/>
      <c r="D6746" s="24" t="s">
        <v>21318</v>
      </c>
      <c r="E6746" s="28">
        <v>0.55000</v>
      </c>
      <c r="F6746" s="29">
        <f ca="1">ROUND((G6743+G6744+G6745),3)</f>
        <v>0</v>
      </c>
      <c r="G6746" s="27">
        <f ca="1">ROUND(E6746*F6746,2)</f>
        <v>0</v>
      </c>
    </row>
    <row r="6747" spans="1:7" ht="15.12" thickBot="1" customHeight="1">
      <c r="A6747" s="24" t="s">
        <v>21319</v>
      </c>
      <c r="B6747" s="24"/>
      <c r="C6747" s="24" t="s">
        <v>21320</v>
      </c>
      <c r="D6747" s="25" t="s">
        <v>21321</v>
      </c>
      <c r="E6747" s="28">
        <v>3.00000</v>
      </c>
      <c r="F6747" s="29">
        <f ca="1">ROUND(24.090,3)</f>
        <v>0</v>
      </c>
      <c r="G6747" s="27">
        <f ca="1">ROUND((E6747*F6747)/100,2)</f>
        <v>0</v>
      </c>
    </row>
    <row r="6748" spans="1:7" ht="15.48" thickBot="1" customHeight="1">
      <c r="A6748" s="30"/>
      <c r="B6748" s="30"/>
      <c r="C6748" s="30"/>
      <c r="D6748" s="31" t="s">
        <v>21322</v>
      </c>
      <c r="E6748" s="30"/>
      <c r="F6748" s="33">
        <f ca="1">ROUND((G6739+G6740+G6741+G6742+G6747)*(1+G2/100),2)</f>
        <v>0</v>
      </c>
      <c r="G6748" s="30"/>
    </row>
    <row r="6749" spans="1:7" ht="39.84" thickBot="1" customHeight="1">
      <c r="A6749" s="34" t="s">
        <v>21323</v>
      </c>
      <c r="B6749" s="35" t="s">
        <v>21324</v>
      </c>
      <c r="C6749" s="35" t="s">
        <v>21325</v>
      </c>
      <c r="D6749" s="36" t="s">
        <v>21326</v>
      </c>
      <c r="E6749" s="37"/>
      <c r="F6749" s="38">
        <f ca="1">F6760</f>
        <v>0</v>
      </c>
      <c r="G6749" s="37"/>
    </row>
    <row r="6750" spans="1:7" ht="21.36" thickBot="1" customHeight="1">
      <c r="A6750" s="26"/>
      <c r="B6750" s="26"/>
      <c r="C6750" s="26"/>
      <c r="D6750" s="25" t="s">
        <v>21327</v>
      </c>
      <c r="E6750" s="25"/>
      <c r="F6750" s="25"/>
      <c r="G6750" s="25"/>
    </row>
    <row r="6751" spans="1:7" ht="30.60" thickBot="1" customHeight="1">
      <c r="A6751" s="24" t="s">
        <v>21328</v>
      </c>
      <c r="B6751" s="24" t="s">
        <v>21329</v>
      </c>
      <c r="C6751" s="24" t="s">
        <v>21330</v>
      </c>
      <c r="D6751" s="25" t="s">
        <v>21331</v>
      </c>
      <c r="E6751" s="28">
        <v>5.25000</v>
      </c>
      <c r="F6751" s="29">
        <f ca="1">ROUND(6.850,3)</f>
        <v>0</v>
      </c>
      <c r="G6751" s="27">
        <f ca="1">ROUND(E6751*F6751,2)</f>
        <v>0</v>
      </c>
    </row>
    <row r="6752" spans="1:7" ht="30.60" thickBot="1" customHeight="1">
      <c r="A6752" s="24" t="s">
        <v>21332</v>
      </c>
      <c r="B6752" s="24" t="s">
        <v>21333</v>
      </c>
      <c r="C6752" s="24" t="s">
        <v>21334</v>
      </c>
      <c r="D6752" s="25" t="s">
        <v>21335</v>
      </c>
      <c r="E6752" s="28">
        <v>0.06776</v>
      </c>
      <c r="F6752" s="29">
        <f ca="1">ROUND(15.430,3)</f>
        <v>0</v>
      </c>
      <c r="G6752" s="27">
        <f ca="1">ROUND(E6752*F6752,2)</f>
        <v>0</v>
      </c>
    </row>
    <row r="6753" spans="1:7" ht="30.60" thickBot="1" customHeight="1">
      <c r="A6753" s="24" t="s">
        <v>21336</v>
      </c>
      <c r="B6753" s="24" t="s">
        <v>21337</v>
      </c>
      <c r="C6753" s="24" t="s">
        <v>21338</v>
      </c>
      <c r="D6753" s="25" t="s">
        <v>21339</v>
      </c>
      <c r="E6753" s="28">
        <v>0.02112</v>
      </c>
      <c r="F6753" s="29">
        <f ca="1">ROUND(11.740,3)</f>
        <v>0</v>
      </c>
      <c r="G6753" s="27">
        <f ca="1">ROUND(E6753*F6753,2)</f>
        <v>0</v>
      </c>
    </row>
    <row r="6754" spans="1:7" ht="21.36" thickBot="1" customHeight="1">
      <c r="A6754" s="24" t="s">
        <v>21340</v>
      </c>
      <c r="B6754" s="24" t="s">
        <v>21341</v>
      </c>
      <c r="C6754" s="24" t="s">
        <v>21342</v>
      </c>
      <c r="D6754" s="25" t="s">
        <v>21343</v>
      </c>
      <c r="E6754" s="28">
        <v>0.82500</v>
      </c>
      <c r="F6754" s="29">
        <f ca="1">F6758</f>
        <v>0</v>
      </c>
      <c r="G6754" s="27">
        <f ca="1">ROUND(E6754*F6754,2)</f>
        <v>0</v>
      </c>
    </row>
    <row r="6755" spans="1:7" ht="24.36" thickBot="1" customHeight="1">
      <c r="A6755" s="24" t="s">
        <v>21344</v>
      </c>
      <c r="B6755" s="24" t="s">
        <v>21345</v>
      </c>
      <c r="C6755" s="24" t="s">
        <v>21346</v>
      </c>
      <c r="D6755" s="25" t="s">
        <v>21347</v>
      </c>
      <c r="E6755" s="28">
        <v>1.00000</v>
      </c>
      <c r="F6755" s="29">
        <f ca="1">ROUND(21.000,3)</f>
        <v>0</v>
      </c>
      <c r="G6755" s="27">
        <f ca="1">ROUND(E6755*F6755,2)</f>
        <v>0</v>
      </c>
    </row>
    <row r="6756" spans="1:7" ht="24.36" thickBot="1" customHeight="1">
      <c r="A6756" s="24" t="s">
        <v>21348</v>
      </c>
      <c r="B6756" s="24" t="s">
        <v>21349</v>
      </c>
      <c r="C6756" s="24" t="s">
        <v>21350</v>
      </c>
      <c r="D6756" s="25" t="s">
        <v>21351</v>
      </c>
      <c r="E6756" s="28">
        <v>1.00000</v>
      </c>
      <c r="F6756" s="29">
        <f ca="1">ROUND(19.000,3)</f>
        <v>0</v>
      </c>
      <c r="G6756" s="27">
        <f ca="1">ROUND(E6756*F6756,2)</f>
        <v>0</v>
      </c>
    </row>
    <row r="6757" spans="1:7" ht="24.36" thickBot="1" customHeight="1">
      <c r="A6757" s="24" t="s">
        <v>21352</v>
      </c>
      <c r="B6757" s="24" t="s">
        <v>21353</v>
      </c>
      <c r="C6757" s="24" t="s">
        <v>21354</v>
      </c>
      <c r="D6757" s="25" t="s">
        <v>21355</v>
      </c>
      <c r="E6757" s="28">
        <v>0.20000</v>
      </c>
      <c r="F6757" s="29">
        <f ca="1">ROUND(19.000,3)</f>
        <v>0</v>
      </c>
      <c r="G6757" s="27">
        <f ca="1">ROUND(E6757*F6757,2)</f>
        <v>0</v>
      </c>
    </row>
    <row r="6758" spans="1:7" ht="15.12" thickBot="1" customHeight="1">
      <c r="A6758" s="26"/>
      <c r="B6758" s="26"/>
      <c r="C6758" s="26"/>
      <c r="D6758" s="24" t="s">
        <v>21356</v>
      </c>
      <c r="E6758" s="28">
        <v>0.82500</v>
      </c>
      <c r="F6758" s="29">
        <f ca="1">ROUND((G6755+G6756+G6757),3)</f>
        <v>0</v>
      </c>
      <c r="G6758" s="27">
        <f ca="1">ROUND(E6758*F6758,2)</f>
        <v>0</v>
      </c>
    </row>
    <row r="6759" spans="1:7" ht="15.12" thickBot="1" customHeight="1">
      <c r="A6759" s="24" t="s">
        <v>21357</v>
      </c>
      <c r="B6759" s="24"/>
      <c r="C6759" s="24" t="s">
        <v>21358</v>
      </c>
      <c r="D6759" s="25" t="s">
        <v>21359</v>
      </c>
      <c r="E6759" s="28">
        <v>3.00000</v>
      </c>
      <c r="F6759" s="29">
        <f ca="1">ROUND(36.140,3)</f>
        <v>0</v>
      </c>
      <c r="G6759" s="27">
        <f ca="1">ROUND((E6759*F6759)/100,2)</f>
        <v>0</v>
      </c>
    </row>
    <row r="6760" spans="1:7" ht="15.48" thickBot="1" customHeight="1">
      <c r="A6760" s="30"/>
      <c r="B6760" s="30"/>
      <c r="C6760" s="30"/>
      <c r="D6760" s="31" t="s">
        <v>21360</v>
      </c>
      <c r="E6760" s="30"/>
      <c r="F6760" s="33">
        <f ca="1">ROUND((G6751+G6752+G6753+G6754+G6759)*(1+G2/100),2)</f>
        <v>0</v>
      </c>
      <c r="G6760" s="30"/>
    </row>
    <row r="6761" spans="1:7" ht="21.36" thickBot="1" customHeight="1">
      <c r="A6761" s="34" t="s">
        <v>21361</v>
      </c>
      <c r="B6761" s="35" t="s">
        <v>21362</v>
      </c>
      <c r="C6761" s="35" t="s">
        <v>21363</v>
      </c>
      <c r="D6761" s="36" t="s">
        <v>21364</v>
      </c>
      <c r="E6761" s="37"/>
      <c r="F6761" s="38">
        <f ca="1">F6772</f>
        <v>0</v>
      </c>
      <c r="G6761" s="37"/>
    </row>
    <row r="6762" spans="1:7" ht="39.84" thickBot="1" customHeight="1">
      <c r="A6762" s="26"/>
      <c r="B6762" s="26"/>
      <c r="C6762" s="26"/>
      <c r="D6762" s="25" t="s">
        <v>21365</v>
      </c>
      <c r="E6762" s="25"/>
      <c r="F6762" s="25"/>
      <c r="G6762" s="25"/>
    </row>
    <row r="6763" spans="1:7" ht="30.60" thickBot="1" customHeight="1">
      <c r="A6763" s="24" t="s">
        <v>21366</v>
      </c>
      <c r="B6763" s="24" t="s">
        <v>21367</v>
      </c>
      <c r="C6763" s="24" t="s">
        <v>21368</v>
      </c>
      <c r="D6763" s="25" t="s">
        <v>21369</v>
      </c>
      <c r="E6763" s="28">
        <v>5.50000</v>
      </c>
      <c r="F6763" s="29">
        <f ca="1">ROUND(2.130,3)</f>
        <v>0</v>
      </c>
      <c r="G6763" s="27">
        <f ca="1">ROUND(E6763*F6763,2)</f>
        <v>0</v>
      </c>
    </row>
    <row r="6764" spans="1:7" ht="30.60" thickBot="1" customHeight="1">
      <c r="A6764" s="24" t="s">
        <v>21370</v>
      </c>
      <c r="B6764" s="24" t="s">
        <v>21371</v>
      </c>
      <c r="C6764" s="24" t="s">
        <v>21372</v>
      </c>
      <c r="D6764" s="25" t="s">
        <v>21373</v>
      </c>
      <c r="E6764" s="28">
        <v>0.09700</v>
      </c>
      <c r="F6764" s="29">
        <f ca="1">ROUND(15.430,3)</f>
        <v>0</v>
      </c>
      <c r="G6764" s="27">
        <f ca="1">ROUND(E6764*F6764,2)</f>
        <v>0</v>
      </c>
    </row>
    <row r="6765" spans="1:7" ht="30.60" thickBot="1" customHeight="1">
      <c r="A6765" s="24" t="s">
        <v>21374</v>
      </c>
      <c r="B6765" s="24" t="s">
        <v>21375</v>
      </c>
      <c r="C6765" s="24" t="s">
        <v>21376</v>
      </c>
      <c r="D6765" s="25" t="s">
        <v>21377</v>
      </c>
      <c r="E6765" s="28">
        <v>0.05632</v>
      </c>
      <c r="F6765" s="29">
        <f ca="1">ROUND(11.740,3)</f>
        <v>0</v>
      </c>
      <c r="G6765" s="27">
        <f ca="1">ROUND(E6765*F6765,2)</f>
        <v>0</v>
      </c>
    </row>
    <row r="6766" spans="1:7" ht="21.36" thickBot="1" customHeight="1">
      <c r="A6766" s="24" t="s">
        <v>21378</v>
      </c>
      <c r="B6766" s="24" t="s">
        <v>21379</v>
      </c>
      <c r="C6766" s="24" t="s">
        <v>21380</v>
      </c>
      <c r="D6766" s="25" t="s">
        <v>21381</v>
      </c>
      <c r="E6766" s="28">
        <v>0.50000</v>
      </c>
      <c r="F6766" s="29">
        <f ca="1">F6770</f>
        <v>0</v>
      </c>
      <c r="G6766" s="27">
        <f ca="1">ROUND(E6766*F6766,2)</f>
        <v>0</v>
      </c>
    </row>
    <row r="6767" spans="1:7" ht="24.36" thickBot="1" customHeight="1">
      <c r="A6767" s="24" t="s">
        <v>21382</v>
      </c>
      <c r="B6767" s="24" t="s">
        <v>21383</v>
      </c>
      <c r="C6767" s="24" t="s">
        <v>21384</v>
      </c>
      <c r="D6767" s="25" t="s">
        <v>21385</v>
      </c>
      <c r="E6767" s="28">
        <v>1.00000</v>
      </c>
      <c r="F6767" s="29">
        <f ca="1">ROUND(21.000,3)</f>
        <v>0</v>
      </c>
      <c r="G6767" s="27">
        <f ca="1">ROUND(E6767*F6767,2)</f>
        <v>0</v>
      </c>
    </row>
    <row r="6768" spans="1:7" ht="24.36" thickBot="1" customHeight="1">
      <c r="A6768" s="24" t="s">
        <v>21386</v>
      </c>
      <c r="B6768" s="24" t="s">
        <v>21387</v>
      </c>
      <c r="C6768" s="24" t="s">
        <v>21388</v>
      </c>
      <c r="D6768" s="25" t="s">
        <v>21389</v>
      </c>
      <c r="E6768" s="28">
        <v>1.00000</v>
      </c>
      <c r="F6768" s="29">
        <f ca="1">ROUND(19.000,3)</f>
        <v>0</v>
      </c>
      <c r="G6768" s="27">
        <f ca="1">ROUND(E6768*F6768,2)</f>
        <v>0</v>
      </c>
    </row>
    <row r="6769" spans="1:7" ht="24.36" thickBot="1" customHeight="1">
      <c r="A6769" s="24" t="s">
        <v>21390</v>
      </c>
      <c r="B6769" s="24" t="s">
        <v>21391</v>
      </c>
      <c r="C6769" s="24" t="s">
        <v>21392</v>
      </c>
      <c r="D6769" s="25" t="s">
        <v>21393</v>
      </c>
      <c r="E6769" s="28">
        <v>0.20000</v>
      </c>
      <c r="F6769" s="29">
        <f ca="1">ROUND(19.000,3)</f>
        <v>0</v>
      </c>
      <c r="G6769" s="27">
        <f ca="1">ROUND(E6769*F6769,2)</f>
        <v>0</v>
      </c>
    </row>
    <row r="6770" spans="1:7" ht="15.12" thickBot="1" customHeight="1">
      <c r="A6770" s="26"/>
      <c r="B6770" s="26"/>
      <c r="C6770" s="26"/>
      <c r="D6770" s="24" t="s">
        <v>21394</v>
      </c>
      <c r="E6770" s="28">
        <v>0.50000</v>
      </c>
      <c r="F6770" s="29">
        <f ca="1">ROUND((G6767+G6768+G6769),3)</f>
        <v>0</v>
      </c>
      <c r="G6770" s="27">
        <f ca="1">ROUND(E6770*F6770,2)</f>
        <v>0</v>
      </c>
    </row>
    <row r="6771" spans="1:7" ht="15.12" thickBot="1" customHeight="1">
      <c r="A6771" s="24" t="s">
        <v>21395</v>
      </c>
      <c r="B6771" s="24"/>
      <c r="C6771" s="24" t="s">
        <v>21396</v>
      </c>
      <c r="D6771" s="25" t="s">
        <v>21397</v>
      </c>
      <c r="E6771" s="28">
        <v>3.00000</v>
      </c>
      <c r="F6771" s="29">
        <f ca="1">ROUND(21.900,3)</f>
        <v>0</v>
      </c>
      <c r="G6771" s="27">
        <f ca="1">ROUND((E6771*F6771)/100,2)</f>
        <v>0</v>
      </c>
    </row>
    <row r="6772" spans="1:7" ht="15.48" thickBot="1" customHeight="1">
      <c r="A6772" s="30"/>
      <c r="B6772" s="30"/>
      <c r="C6772" s="30"/>
      <c r="D6772" s="31" t="s">
        <v>21398</v>
      </c>
      <c r="E6772" s="30"/>
      <c r="F6772" s="33">
        <f ca="1">ROUND((G6763+G6764+G6765+G6766+G6771)*(1+G2/100),2)</f>
        <v>0</v>
      </c>
      <c r="G6772" s="30"/>
    </row>
    <row r="6773" spans="1:7" ht="21.36" thickBot="1" customHeight="1">
      <c r="A6773" s="34" t="s">
        <v>21399</v>
      </c>
      <c r="B6773" s="35" t="s">
        <v>21400</v>
      </c>
      <c r="C6773" s="35" t="s">
        <v>21401</v>
      </c>
      <c r="D6773" s="36" t="s">
        <v>21402</v>
      </c>
      <c r="E6773" s="37"/>
      <c r="F6773" s="38">
        <f ca="1">F6785</f>
        <v>0</v>
      </c>
      <c r="G6773" s="37"/>
    </row>
    <row r="6774" spans="1:7" ht="39.84" thickBot="1" customHeight="1">
      <c r="A6774" s="26"/>
      <c r="B6774" s="26"/>
      <c r="C6774" s="26"/>
      <c r="D6774" s="25" t="s">
        <v>21403</v>
      </c>
      <c r="E6774" s="25"/>
      <c r="F6774" s="25"/>
      <c r="G6774" s="25"/>
    </row>
    <row r="6775" spans="1:7" ht="30.60" thickBot="1" customHeight="1">
      <c r="A6775" s="24" t="s">
        <v>21404</v>
      </c>
      <c r="B6775" s="24" t="s">
        <v>21405</v>
      </c>
      <c r="C6775" s="24" t="s">
        <v>21406</v>
      </c>
      <c r="D6775" s="25" t="s">
        <v>21407</v>
      </c>
      <c r="E6775" s="28">
        <v>0.30000</v>
      </c>
      <c r="F6775" s="29">
        <f ca="1">ROUND(0.500,3)</f>
        <v>0</v>
      </c>
      <c r="G6775" s="27">
        <f ca="1">ROUND(E6775*F6775,2)</f>
        <v>0</v>
      </c>
    </row>
    <row r="6776" spans="1:7" ht="39.84" thickBot="1" customHeight="1">
      <c r="A6776" s="24" t="s">
        <v>21408</v>
      </c>
      <c r="B6776" s="24" t="s">
        <v>21409</v>
      </c>
      <c r="C6776" s="24" t="s">
        <v>21410</v>
      </c>
      <c r="D6776" s="25" t="s">
        <v>21411</v>
      </c>
      <c r="E6776" s="28">
        <v>1.00000</v>
      </c>
      <c r="F6776" s="29">
        <f ca="1">ROUND(14.550,3)</f>
        <v>0</v>
      </c>
      <c r="G6776" s="27">
        <f ca="1">ROUND(E6776*F6776,2)</f>
        <v>0</v>
      </c>
    </row>
    <row r="6777" spans="1:7" ht="21.36" thickBot="1" customHeight="1">
      <c r="A6777" s="24" t="s">
        <v>21412</v>
      </c>
      <c r="B6777" s="24" t="s">
        <v>21413</v>
      </c>
      <c r="C6777" s="24" t="s">
        <v>21414</v>
      </c>
      <c r="D6777" s="25" t="s">
        <v>21415</v>
      </c>
      <c r="E6777" s="28">
        <v>0.01600</v>
      </c>
      <c r="F6777" s="29">
        <f ca="1">ROUND(5.400,3)</f>
        <v>0</v>
      </c>
      <c r="G6777" s="27">
        <f ca="1">ROUND(E6777*F6777,2)</f>
        <v>0</v>
      </c>
    </row>
    <row r="6778" spans="1:7" ht="21.36" thickBot="1" customHeight="1">
      <c r="A6778" s="24" t="s">
        <v>21416</v>
      </c>
      <c r="B6778" s="24" t="s">
        <v>21417</v>
      </c>
      <c r="C6778" s="24" t="s">
        <v>21418</v>
      </c>
      <c r="D6778" s="25" t="s">
        <v>21419</v>
      </c>
      <c r="E6778" s="28">
        <v>0.03200</v>
      </c>
      <c r="F6778" s="29">
        <f ca="1">ROUND(7.390,3)</f>
        <v>0</v>
      </c>
      <c r="G6778" s="27">
        <f ca="1">ROUND(E6778*F6778,2)</f>
        <v>0</v>
      </c>
    </row>
    <row r="6779" spans="1:7" ht="21.36" thickBot="1" customHeight="1">
      <c r="A6779" s="24" t="s">
        <v>21420</v>
      </c>
      <c r="B6779" s="24" t="s">
        <v>21421</v>
      </c>
      <c r="C6779" s="24" t="s">
        <v>21422</v>
      </c>
      <c r="D6779" s="25" t="s">
        <v>21423</v>
      </c>
      <c r="E6779" s="28">
        <v>0.20000</v>
      </c>
      <c r="F6779" s="29">
        <f ca="1">F6783</f>
        <v>0</v>
      </c>
      <c r="G6779" s="27">
        <f ca="1">ROUND(E6779*F6779,2)</f>
        <v>0</v>
      </c>
    </row>
    <row r="6780" spans="1:7" ht="24.36" thickBot="1" customHeight="1">
      <c r="A6780" s="24" t="s">
        <v>21424</v>
      </c>
      <c r="B6780" s="24" t="s">
        <v>21425</v>
      </c>
      <c r="C6780" s="24" t="s">
        <v>21426</v>
      </c>
      <c r="D6780" s="25" t="s">
        <v>21427</v>
      </c>
      <c r="E6780" s="28">
        <v>1.00000</v>
      </c>
      <c r="F6780" s="29">
        <f ca="1">ROUND(21.000,3)</f>
        <v>0</v>
      </c>
      <c r="G6780" s="27">
        <f ca="1">ROUND(E6780*F6780,2)</f>
        <v>0</v>
      </c>
    </row>
    <row r="6781" spans="1:7" ht="24.36" thickBot="1" customHeight="1">
      <c r="A6781" s="24" t="s">
        <v>21428</v>
      </c>
      <c r="B6781" s="24" t="s">
        <v>21429</v>
      </c>
      <c r="C6781" s="24" t="s">
        <v>21430</v>
      </c>
      <c r="D6781" s="25" t="s">
        <v>21431</v>
      </c>
      <c r="E6781" s="28">
        <v>1.00000</v>
      </c>
      <c r="F6781" s="29">
        <f ca="1">ROUND(19.000,3)</f>
        <v>0</v>
      </c>
      <c r="G6781" s="27">
        <f ca="1">ROUND(E6781*F6781,2)</f>
        <v>0</v>
      </c>
    </row>
    <row r="6782" spans="1:7" ht="24.36" thickBot="1" customHeight="1">
      <c r="A6782" s="24" t="s">
        <v>21432</v>
      </c>
      <c r="B6782" s="24" t="s">
        <v>21433</v>
      </c>
      <c r="C6782" s="24" t="s">
        <v>21434</v>
      </c>
      <c r="D6782" s="25" t="s">
        <v>21435</v>
      </c>
      <c r="E6782" s="28">
        <v>0.20000</v>
      </c>
      <c r="F6782" s="29">
        <f ca="1">ROUND(19.000,3)</f>
        <v>0</v>
      </c>
      <c r="G6782" s="27">
        <f ca="1">ROUND(E6782*F6782,2)</f>
        <v>0</v>
      </c>
    </row>
    <row r="6783" spans="1:7" ht="15.12" thickBot="1" customHeight="1">
      <c r="A6783" s="26"/>
      <c r="B6783" s="26"/>
      <c r="C6783" s="26"/>
      <c r="D6783" s="24" t="s">
        <v>21436</v>
      </c>
      <c r="E6783" s="28">
        <v>0.20000</v>
      </c>
      <c r="F6783" s="29">
        <f ca="1">ROUND((G6780+G6781+G6782),3)</f>
        <v>0</v>
      </c>
      <c r="G6783" s="27">
        <f ca="1">ROUND(E6783*F6783,2)</f>
        <v>0</v>
      </c>
    </row>
    <row r="6784" spans="1:7" ht="15.12" thickBot="1" customHeight="1">
      <c r="A6784" s="24" t="s">
        <v>21437</v>
      </c>
      <c r="B6784" s="24"/>
      <c r="C6784" s="24" t="s">
        <v>21438</v>
      </c>
      <c r="D6784" s="25" t="s">
        <v>21439</v>
      </c>
      <c r="E6784" s="28">
        <v>3.00000</v>
      </c>
      <c r="F6784" s="29">
        <f ca="1">ROUND(8.760,3)</f>
        <v>0</v>
      </c>
      <c r="G6784" s="27">
        <f ca="1">ROUND((E6784*F6784)/100,2)</f>
        <v>0</v>
      </c>
    </row>
    <row r="6785" spans="1:7" ht="15.48" thickBot="1" customHeight="1">
      <c r="A6785" s="30"/>
      <c r="B6785" s="30"/>
      <c r="C6785" s="30"/>
      <c r="D6785" s="31" t="s">
        <v>21440</v>
      </c>
      <c r="E6785" s="30"/>
      <c r="F6785" s="33">
        <f ca="1">ROUND((G6775+G6776+G6777+G6778+G6779+G6784)*(1+G2/100),2)</f>
        <v>0</v>
      </c>
      <c r="G6785" s="30"/>
    </row>
    <row r="6786" spans="1:7" ht="15.48" thickBot="1" customHeight="1">
      <c r="A6786" s="34" t="s">
        <v>21441</v>
      </c>
      <c r="B6786" s="35" t="s">
        <v>21442</v>
      </c>
      <c r="C6786" s="35" t="s">
        <v>21443</v>
      </c>
      <c r="D6786" s="36" t="s">
        <v>21444</v>
      </c>
      <c r="E6786" s="37"/>
      <c r="F6786" s="38">
        <f ca="1">F6798</f>
        <v>0</v>
      </c>
      <c r="G6786" s="37"/>
    </row>
    <row r="6787" spans="1:7" ht="30.60" thickBot="1" customHeight="1">
      <c r="A6787" s="26"/>
      <c r="B6787" s="26"/>
      <c r="C6787" s="26"/>
      <c r="D6787" s="25" t="s">
        <v>21445</v>
      </c>
      <c r="E6787" s="25"/>
      <c r="F6787" s="25"/>
      <c r="G6787" s="25"/>
    </row>
    <row r="6788" spans="1:7" ht="30.60" thickBot="1" customHeight="1">
      <c r="A6788" s="24" t="s">
        <v>21446</v>
      </c>
      <c r="B6788" s="24" t="s">
        <v>21447</v>
      </c>
      <c r="C6788" s="24" t="s">
        <v>21448</v>
      </c>
      <c r="D6788" s="25" t="s">
        <v>21449</v>
      </c>
      <c r="E6788" s="28">
        <v>0.30000</v>
      </c>
      <c r="F6788" s="29">
        <f ca="1">ROUND(0.500,3)</f>
        <v>0</v>
      </c>
      <c r="G6788" s="27">
        <f ca="1">ROUND(E6788*F6788,2)</f>
        <v>0</v>
      </c>
    </row>
    <row r="6789" spans="1:7" ht="24.36" thickBot="1" customHeight="1">
      <c r="A6789" s="24" t="s">
        <v>21450</v>
      </c>
      <c r="B6789" s="24" t="s">
        <v>21451</v>
      </c>
      <c r="C6789" s="24" t="s">
        <v>21452</v>
      </c>
      <c r="D6789" s="25" t="s">
        <v>21453</v>
      </c>
      <c r="E6789" s="28">
        <v>1.00000</v>
      </c>
      <c r="F6789" s="29">
        <f ca="1">ROUND(14.920,3)</f>
        <v>0</v>
      </c>
      <c r="G6789" s="27">
        <f ca="1">ROUND(E6789*F6789,2)</f>
        <v>0</v>
      </c>
    </row>
    <row r="6790" spans="1:7" ht="21.36" thickBot="1" customHeight="1">
      <c r="A6790" s="24" t="s">
        <v>21454</v>
      </c>
      <c r="B6790" s="24" t="s">
        <v>21455</v>
      </c>
      <c r="C6790" s="24" t="s">
        <v>21456</v>
      </c>
      <c r="D6790" s="25" t="s">
        <v>21457</v>
      </c>
      <c r="E6790" s="28">
        <v>0.01600</v>
      </c>
      <c r="F6790" s="29">
        <f ca="1">ROUND(5.400,3)</f>
        <v>0</v>
      </c>
      <c r="G6790" s="27">
        <f ca="1">ROUND(E6790*F6790,2)</f>
        <v>0</v>
      </c>
    </row>
    <row r="6791" spans="1:7" ht="21.36" thickBot="1" customHeight="1">
      <c r="A6791" s="24" t="s">
        <v>21458</v>
      </c>
      <c r="B6791" s="24" t="s">
        <v>21459</v>
      </c>
      <c r="C6791" s="24" t="s">
        <v>21460</v>
      </c>
      <c r="D6791" s="25" t="s">
        <v>21461</v>
      </c>
      <c r="E6791" s="28">
        <v>0.03200</v>
      </c>
      <c r="F6791" s="29">
        <f ca="1">ROUND(7.390,3)</f>
        <v>0</v>
      </c>
      <c r="G6791" s="27">
        <f ca="1">ROUND(E6791*F6791,2)</f>
        <v>0</v>
      </c>
    </row>
    <row r="6792" spans="1:7" ht="21.36" thickBot="1" customHeight="1">
      <c r="A6792" s="24" t="s">
        <v>21462</v>
      </c>
      <c r="B6792" s="24" t="s">
        <v>21463</v>
      </c>
      <c r="C6792" s="24" t="s">
        <v>21464</v>
      </c>
      <c r="D6792" s="25" t="s">
        <v>21465</v>
      </c>
      <c r="E6792" s="28">
        <v>0.20000</v>
      </c>
      <c r="F6792" s="29">
        <f ca="1">F6796</f>
        <v>0</v>
      </c>
      <c r="G6792" s="27">
        <f ca="1">ROUND(E6792*F6792,2)</f>
        <v>0</v>
      </c>
    </row>
    <row r="6793" spans="1:7" ht="24.36" thickBot="1" customHeight="1">
      <c r="A6793" s="24" t="s">
        <v>21466</v>
      </c>
      <c r="B6793" s="24" t="s">
        <v>21467</v>
      </c>
      <c r="C6793" s="24" t="s">
        <v>21468</v>
      </c>
      <c r="D6793" s="25" t="s">
        <v>21469</v>
      </c>
      <c r="E6793" s="28">
        <v>1.00000</v>
      </c>
      <c r="F6793" s="29">
        <f ca="1">ROUND(21.000,3)</f>
        <v>0</v>
      </c>
      <c r="G6793" s="27">
        <f ca="1">ROUND(E6793*F6793,2)</f>
        <v>0</v>
      </c>
    </row>
    <row r="6794" spans="1:7" ht="24.36" thickBot="1" customHeight="1">
      <c r="A6794" s="24" t="s">
        <v>21470</v>
      </c>
      <c r="B6794" s="24" t="s">
        <v>21471</v>
      </c>
      <c r="C6794" s="24" t="s">
        <v>21472</v>
      </c>
      <c r="D6794" s="25" t="s">
        <v>21473</v>
      </c>
      <c r="E6794" s="28">
        <v>1.00000</v>
      </c>
      <c r="F6794" s="29">
        <f ca="1">ROUND(19.000,3)</f>
        <v>0</v>
      </c>
      <c r="G6794" s="27">
        <f ca="1">ROUND(E6794*F6794,2)</f>
        <v>0</v>
      </c>
    </row>
    <row r="6795" spans="1:7" ht="24.36" thickBot="1" customHeight="1">
      <c r="A6795" s="24" t="s">
        <v>21474</v>
      </c>
      <c r="B6795" s="24" t="s">
        <v>21475</v>
      </c>
      <c r="C6795" s="24" t="s">
        <v>21476</v>
      </c>
      <c r="D6795" s="25" t="s">
        <v>21477</v>
      </c>
      <c r="E6795" s="28">
        <v>0.20000</v>
      </c>
      <c r="F6795" s="29">
        <f ca="1">ROUND(19.000,3)</f>
        <v>0</v>
      </c>
      <c r="G6795" s="27">
        <f ca="1">ROUND(E6795*F6795,2)</f>
        <v>0</v>
      </c>
    </row>
    <row r="6796" spans="1:7" ht="15.12" thickBot="1" customHeight="1">
      <c r="A6796" s="26"/>
      <c r="B6796" s="26"/>
      <c r="C6796" s="26"/>
      <c r="D6796" s="24" t="s">
        <v>21478</v>
      </c>
      <c r="E6796" s="28">
        <v>0.20000</v>
      </c>
      <c r="F6796" s="29">
        <f ca="1">ROUND((G6793+G6794+G6795),3)</f>
        <v>0</v>
      </c>
      <c r="G6796" s="27">
        <f ca="1">ROUND(E6796*F6796,2)</f>
        <v>0</v>
      </c>
    </row>
    <row r="6797" spans="1:7" ht="15.12" thickBot="1" customHeight="1">
      <c r="A6797" s="24" t="s">
        <v>21479</v>
      </c>
      <c r="B6797" s="24"/>
      <c r="C6797" s="24" t="s">
        <v>21480</v>
      </c>
      <c r="D6797" s="25" t="s">
        <v>21481</v>
      </c>
      <c r="E6797" s="28">
        <v>3.00000</v>
      </c>
      <c r="F6797" s="29">
        <f ca="1">ROUND(8.760,3)</f>
        <v>0</v>
      </c>
      <c r="G6797" s="27">
        <f ca="1">ROUND((E6797*F6797)/100,2)</f>
        <v>0</v>
      </c>
    </row>
    <row r="6798" spans="1:7" ht="15.48" thickBot="1" customHeight="1">
      <c r="A6798" s="30"/>
      <c r="B6798" s="30"/>
      <c r="C6798" s="30"/>
      <c r="D6798" s="31" t="s">
        <v>21482</v>
      </c>
      <c r="E6798" s="30"/>
      <c r="F6798" s="33">
        <f ca="1">ROUND((G6788+G6789+G6790+G6791+G6792+G6797)*(1+G2/100),2)</f>
        <v>0</v>
      </c>
      <c r="G6798" s="30"/>
    </row>
    <row r="6799" spans="1:7" ht="21.36" thickBot="1" customHeight="1">
      <c r="A6799" s="34" t="s">
        <v>21483</v>
      </c>
      <c r="B6799" s="35" t="s">
        <v>21484</v>
      </c>
      <c r="C6799" s="35" t="s">
        <v>21485</v>
      </c>
      <c r="D6799" s="36" t="s">
        <v>21486</v>
      </c>
      <c r="E6799" s="37"/>
      <c r="F6799" s="38">
        <f ca="1">F6810</f>
        <v>0</v>
      </c>
      <c r="G6799" s="37"/>
    </row>
    <row r="6800" spans="1:7" ht="39.84" thickBot="1" customHeight="1">
      <c r="A6800" s="26"/>
      <c r="B6800" s="26"/>
      <c r="C6800" s="26"/>
      <c r="D6800" s="25" t="s">
        <v>21487</v>
      </c>
      <c r="E6800" s="25"/>
      <c r="F6800" s="25"/>
      <c r="G6800" s="25"/>
    </row>
    <row r="6801" spans="1:7" ht="39.84" thickBot="1" customHeight="1">
      <c r="A6801" s="24" t="s">
        <v>21488</v>
      </c>
      <c r="B6801" s="24" t="s">
        <v>21489</v>
      </c>
      <c r="C6801" s="24" t="s">
        <v>21490</v>
      </c>
      <c r="D6801" s="25" t="s">
        <v>21491</v>
      </c>
      <c r="E6801" s="28">
        <v>1.00000</v>
      </c>
      <c r="F6801" s="29">
        <f ca="1">ROUND(119.530,3)</f>
        <v>0</v>
      </c>
      <c r="G6801" s="27">
        <f ca="1">ROUND(E6801*F6801,2)</f>
        <v>0</v>
      </c>
    </row>
    <row r="6802" spans="1:7" ht="39.84" thickBot="1" customHeight="1">
      <c r="A6802" s="24" t="s">
        <v>21492</v>
      </c>
      <c r="B6802" s="24" t="s">
        <v>21493</v>
      </c>
      <c r="C6802" s="24" t="s">
        <v>21494</v>
      </c>
      <c r="D6802" s="25" t="s">
        <v>21495</v>
      </c>
      <c r="E6802" s="28">
        <v>0.05000</v>
      </c>
      <c r="F6802" s="29">
        <f ca="1">ROUND(31.410,3)</f>
        <v>0</v>
      </c>
      <c r="G6802" s="27">
        <f ca="1">ROUND(E6802*F6802,2)</f>
        <v>0</v>
      </c>
    </row>
    <row r="6803" spans="1:7" ht="30.60" thickBot="1" customHeight="1">
      <c r="A6803" s="24" t="s">
        <v>21496</v>
      </c>
      <c r="B6803" s="24" t="s">
        <v>21497</v>
      </c>
      <c r="C6803" s="24" t="s">
        <v>21498</v>
      </c>
      <c r="D6803" s="25" t="s">
        <v>21499</v>
      </c>
      <c r="E6803" s="28">
        <v>0.20000</v>
      </c>
      <c r="F6803" s="29">
        <f ca="1">ROUND(6.320,3)</f>
        <v>0</v>
      </c>
      <c r="G6803" s="27">
        <f ca="1">ROUND(E6803*F6803,2)</f>
        <v>0</v>
      </c>
    </row>
    <row r="6804" spans="1:7" ht="21.36" thickBot="1" customHeight="1">
      <c r="A6804" s="24" t="s">
        <v>21500</v>
      </c>
      <c r="B6804" s="24" t="s">
        <v>21501</v>
      </c>
      <c r="C6804" s="24" t="s">
        <v>21502</v>
      </c>
      <c r="D6804" s="25" t="s">
        <v>21503</v>
      </c>
      <c r="E6804" s="28">
        <v>0.22000</v>
      </c>
      <c r="F6804" s="29">
        <f ca="1">F6808</f>
        <v>0</v>
      </c>
      <c r="G6804" s="27">
        <f ca="1">ROUND(E6804*F6804,2)</f>
        <v>0</v>
      </c>
    </row>
    <row r="6805" spans="1:7" ht="24.36" thickBot="1" customHeight="1">
      <c r="A6805" s="24" t="s">
        <v>21504</v>
      </c>
      <c r="B6805" s="24" t="s">
        <v>21505</v>
      </c>
      <c r="C6805" s="24" t="s">
        <v>21506</v>
      </c>
      <c r="D6805" s="25" t="s">
        <v>21507</v>
      </c>
      <c r="E6805" s="28">
        <v>1.00000</v>
      </c>
      <c r="F6805" s="29">
        <f ca="1">ROUND(21.000,3)</f>
        <v>0</v>
      </c>
      <c r="G6805" s="27">
        <f ca="1">ROUND(E6805*F6805,2)</f>
        <v>0</v>
      </c>
    </row>
    <row r="6806" spans="1:7" ht="24.36" thickBot="1" customHeight="1">
      <c r="A6806" s="24" t="s">
        <v>21508</v>
      </c>
      <c r="B6806" s="24" t="s">
        <v>21509</v>
      </c>
      <c r="C6806" s="24" t="s">
        <v>21510</v>
      </c>
      <c r="D6806" s="25" t="s">
        <v>21511</v>
      </c>
      <c r="E6806" s="28">
        <v>1.00000</v>
      </c>
      <c r="F6806" s="29">
        <f ca="1">ROUND(19.000,3)</f>
        <v>0</v>
      </c>
      <c r="G6806" s="27">
        <f ca="1">ROUND(E6806*F6806,2)</f>
        <v>0</v>
      </c>
    </row>
    <row r="6807" spans="1:7" ht="24.36" thickBot="1" customHeight="1">
      <c r="A6807" s="24" t="s">
        <v>21512</v>
      </c>
      <c r="B6807" s="24" t="s">
        <v>21513</v>
      </c>
      <c r="C6807" s="24" t="s">
        <v>21514</v>
      </c>
      <c r="D6807" s="25" t="s">
        <v>21515</v>
      </c>
      <c r="E6807" s="28">
        <v>0.20000</v>
      </c>
      <c r="F6807" s="29">
        <f ca="1">ROUND(19.000,3)</f>
        <v>0</v>
      </c>
      <c r="G6807" s="27">
        <f ca="1">ROUND(E6807*F6807,2)</f>
        <v>0</v>
      </c>
    </row>
    <row r="6808" spans="1:7" ht="15.12" thickBot="1" customHeight="1">
      <c r="A6808" s="26"/>
      <c r="B6808" s="26"/>
      <c r="C6808" s="26"/>
      <c r="D6808" s="24" t="s">
        <v>21516</v>
      </c>
      <c r="E6808" s="28">
        <v>0.22000</v>
      </c>
      <c r="F6808" s="29">
        <f ca="1">ROUND((G6805+G6806+G6807),3)</f>
        <v>0</v>
      </c>
      <c r="G6808" s="27">
        <f ca="1">ROUND(E6808*F6808,2)</f>
        <v>0</v>
      </c>
    </row>
    <row r="6809" spans="1:7" ht="15.12" thickBot="1" customHeight="1">
      <c r="A6809" s="24" t="s">
        <v>21517</v>
      </c>
      <c r="B6809" s="24"/>
      <c r="C6809" s="24" t="s">
        <v>21518</v>
      </c>
      <c r="D6809" s="25" t="s">
        <v>21519</v>
      </c>
      <c r="E6809" s="28">
        <v>3.00000</v>
      </c>
      <c r="F6809" s="29">
        <f ca="1">ROUND(9.640,3)</f>
        <v>0</v>
      </c>
      <c r="G6809" s="27">
        <f ca="1">ROUND((E6809*F6809)/100,2)</f>
        <v>0</v>
      </c>
    </row>
    <row r="6810" spans="1:7" ht="15.48" thickBot="1" customHeight="1">
      <c r="A6810" s="30"/>
      <c r="B6810" s="30"/>
      <c r="C6810" s="30"/>
      <c r="D6810" s="31" t="s">
        <v>21520</v>
      </c>
      <c r="E6810" s="30"/>
      <c r="F6810" s="33">
        <f ca="1">ROUND((G6801+G6802+G6803+G6804+G6809)*(1+G2/100),2)</f>
        <v>0</v>
      </c>
      <c r="G6810" s="30"/>
    </row>
    <row r="6811" spans="1:7" ht="21.36" thickBot="1" customHeight="1">
      <c r="A6811" s="34" t="s">
        <v>21521</v>
      </c>
      <c r="B6811" s="35" t="s">
        <v>21522</v>
      </c>
      <c r="C6811" s="35" t="s">
        <v>21523</v>
      </c>
      <c r="D6811" s="36" t="s">
        <v>21524</v>
      </c>
      <c r="E6811" s="37"/>
      <c r="F6811" s="38">
        <f ca="1">F6824</f>
        <v>0</v>
      </c>
      <c r="G6811" s="37"/>
    </row>
    <row r="6812" spans="1:7" ht="58.32" thickBot="1" customHeight="1">
      <c r="A6812" s="26"/>
      <c r="B6812" s="26"/>
      <c r="C6812" s="26"/>
      <c r="D6812" s="25" t="s">
        <v>21525</v>
      </c>
      <c r="E6812" s="25"/>
      <c r="F6812" s="25"/>
      <c r="G6812" s="25"/>
    </row>
    <row r="6813" spans="1:7" ht="30.60" thickBot="1" customHeight="1">
      <c r="A6813" s="24" t="s">
        <v>21526</v>
      </c>
      <c r="B6813" s="24" t="s">
        <v>21527</v>
      </c>
      <c r="C6813" s="24" t="s">
        <v>21528</v>
      </c>
      <c r="D6813" s="25" t="s">
        <v>21529</v>
      </c>
      <c r="E6813" s="28">
        <v>1.00000</v>
      </c>
      <c r="F6813" s="29">
        <f ca="1">ROUND(22.420,3)</f>
        <v>0</v>
      </c>
      <c r="G6813" s="27">
        <f ca="1">ROUND(E6813*F6813,2)</f>
        <v>0</v>
      </c>
    </row>
    <row r="6814" spans="1:7" ht="30.60" thickBot="1" customHeight="1">
      <c r="A6814" s="24" t="s">
        <v>21530</v>
      </c>
      <c r="B6814" s="24" t="s">
        <v>21531</v>
      </c>
      <c r="C6814" s="24" t="s">
        <v>21532</v>
      </c>
      <c r="D6814" s="25" t="s">
        <v>21533</v>
      </c>
      <c r="E6814" s="28">
        <v>0.33333</v>
      </c>
      <c r="F6814" s="29">
        <f ca="1">ROUND(1.470,3)</f>
        <v>0</v>
      </c>
      <c r="G6814" s="27">
        <f ca="1">ROUND(E6814*F6814,2)</f>
        <v>0</v>
      </c>
    </row>
    <row r="6815" spans="1:7" ht="30.60" thickBot="1" customHeight="1">
      <c r="A6815" s="24" t="s">
        <v>21534</v>
      </c>
      <c r="B6815" s="24" t="s">
        <v>21535</v>
      </c>
      <c r="C6815" s="24" t="s">
        <v>21536</v>
      </c>
      <c r="D6815" s="25" t="s">
        <v>21537</v>
      </c>
      <c r="E6815" s="28">
        <v>0.06000</v>
      </c>
      <c r="F6815" s="29">
        <f ca="1">ROUND(15.430,3)</f>
        <v>0</v>
      </c>
      <c r="G6815" s="27">
        <f ca="1">ROUND(E6815*F6815,2)</f>
        <v>0</v>
      </c>
    </row>
    <row r="6816" spans="1:7" ht="30.60" thickBot="1" customHeight="1">
      <c r="A6816" s="24" t="s">
        <v>21538</v>
      </c>
      <c r="B6816" s="24" t="s">
        <v>21539</v>
      </c>
      <c r="C6816" s="24" t="s">
        <v>21540</v>
      </c>
      <c r="D6816" s="25" t="s">
        <v>21541</v>
      </c>
      <c r="E6816" s="28">
        <v>0.07500</v>
      </c>
      <c r="F6816" s="29">
        <f ca="1">ROUND(0.440,3)</f>
        <v>0</v>
      </c>
      <c r="G6816" s="27">
        <f ca="1">ROUND(E6816*F6816,2)</f>
        <v>0</v>
      </c>
    </row>
    <row r="6817" spans="1:7" ht="30.60" thickBot="1" customHeight="1">
      <c r="A6817" s="24" t="s">
        <v>21542</v>
      </c>
      <c r="B6817" s="24" t="s">
        <v>21543</v>
      </c>
      <c r="C6817" s="24" t="s">
        <v>21544</v>
      </c>
      <c r="D6817" s="25" t="s">
        <v>21545</v>
      </c>
      <c r="E6817" s="28">
        <v>0.04300</v>
      </c>
      <c r="F6817" s="29">
        <f ca="1">ROUND(6.320,3)</f>
        <v>0</v>
      </c>
      <c r="G6817" s="27">
        <f ca="1">ROUND(E6817*F6817,2)</f>
        <v>0</v>
      </c>
    </row>
    <row r="6818" spans="1:7" ht="21.36" thickBot="1" customHeight="1">
      <c r="A6818" s="24" t="s">
        <v>21546</v>
      </c>
      <c r="B6818" s="24" t="s">
        <v>21547</v>
      </c>
      <c r="C6818" s="24" t="s">
        <v>21548</v>
      </c>
      <c r="D6818" s="25" t="s">
        <v>21549</v>
      </c>
      <c r="E6818" s="28">
        <v>0.50000</v>
      </c>
      <c r="F6818" s="29">
        <f ca="1">F6822</f>
        <v>0</v>
      </c>
      <c r="G6818" s="27">
        <f ca="1">ROUND(E6818*F6818,2)</f>
        <v>0</v>
      </c>
    </row>
    <row r="6819" spans="1:7" ht="24.36" thickBot="1" customHeight="1">
      <c r="A6819" s="24" t="s">
        <v>21550</v>
      </c>
      <c r="B6819" s="24" t="s">
        <v>21551</v>
      </c>
      <c r="C6819" s="24" t="s">
        <v>21552</v>
      </c>
      <c r="D6819" s="25" t="s">
        <v>21553</v>
      </c>
      <c r="E6819" s="28">
        <v>1.00000</v>
      </c>
      <c r="F6819" s="29">
        <f ca="1">ROUND(21.000,3)</f>
        <v>0</v>
      </c>
      <c r="G6819" s="27">
        <f ca="1">ROUND(E6819*F6819,2)</f>
        <v>0</v>
      </c>
    </row>
    <row r="6820" spans="1:7" ht="24.36" thickBot="1" customHeight="1">
      <c r="A6820" s="24" t="s">
        <v>21554</v>
      </c>
      <c r="B6820" s="24" t="s">
        <v>21555</v>
      </c>
      <c r="C6820" s="24" t="s">
        <v>21556</v>
      </c>
      <c r="D6820" s="25" t="s">
        <v>21557</v>
      </c>
      <c r="E6820" s="28">
        <v>1.00000</v>
      </c>
      <c r="F6820" s="29">
        <f ca="1">ROUND(19.000,3)</f>
        <v>0</v>
      </c>
      <c r="G6820" s="27">
        <f ca="1">ROUND(E6820*F6820,2)</f>
        <v>0</v>
      </c>
    </row>
    <row r="6821" spans="1:7" ht="24.36" thickBot="1" customHeight="1">
      <c r="A6821" s="24" t="s">
        <v>21558</v>
      </c>
      <c r="B6821" s="24" t="s">
        <v>21559</v>
      </c>
      <c r="C6821" s="24" t="s">
        <v>21560</v>
      </c>
      <c r="D6821" s="25" t="s">
        <v>21561</v>
      </c>
      <c r="E6821" s="28">
        <v>0.20000</v>
      </c>
      <c r="F6821" s="29">
        <f ca="1">ROUND(19.000,3)</f>
        <v>0</v>
      </c>
      <c r="G6821" s="27">
        <f ca="1">ROUND(E6821*F6821,2)</f>
        <v>0</v>
      </c>
    </row>
    <row r="6822" spans="1:7" ht="15.12" thickBot="1" customHeight="1">
      <c r="A6822" s="26"/>
      <c r="B6822" s="26"/>
      <c r="C6822" s="26"/>
      <c r="D6822" s="24" t="s">
        <v>21562</v>
      </c>
      <c r="E6822" s="28">
        <v>0.50000</v>
      </c>
      <c r="F6822" s="29">
        <f ca="1">ROUND((G6819+G6820+G6821),3)</f>
        <v>0</v>
      </c>
      <c r="G6822" s="27">
        <f ca="1">ROUND(E6822*F6822,2)</f>
        <v>0</v>
      </c>
    </row>
    <row r="6823" spans="1:7" ht="15.12" thickBot="1" customHeight="1">
      <c r="A6823" s="24" t="s">
        <v>21563</v>
      </c>
      <c r="B6823" s="24"/>
      <c r="C6823" s="24" t="s">
        <v>21564</v>
      </c>
      <c r="D6823" s="25" t="s">
        <v>21565</v>
      </c>
      <c r="E6823" s="28">
        <v>3.00000</v>
      </c>
      <c r="F6823" s="29">
        <f ca="1">ROUND(21.900,3)</f>
        <v>0</v>
      </c>
      <c r="G6823" s="27">
        <f ca="1">ROUND((E6823*F6823)/100,2)</f>
        <v>0</v>
      </c>
    </row>
    <row r="6824" spans="1:7" ht="15.48" thickBot="1" customHeight="1">
      <c r="A6824" s="30"/>
      <c r="B6824" s="30"/>
      <c r="C6824" s="30"/>
      <c r="D6824" s="31" t="s">
        <v>21566</v>
      </c>
      <c r="E6824" s="30"/>
      <c r="F6824" s="33">
        <f ca="1">ROUND((G6813+G6814+G6815+G6816+G6817+G6818+G6823)*(1+G2/100),2)</f>
        <v>0</v>
      </c>
      <c r="G6824" s="30"/>
    </row>
    <row r="6825" spans="1:7" ht="21.36" thickBot="1" customHeight="1">
      <c r="A6825" s="34" t="s">
        <v>21567</v>
      </c>
      <c r="B6825" s="35" t="s">
        <v>21568</v>
      </c>
      <c r="C6825" s="35" t="s">
        <v>21569</v>
      </c>
      <c r="D6825" s="36" t="s">
        <v>21570</v>
      </c>
      <c r="E6825" s="37"/>
      <c r="F6825" s="38">
        <f ca="1">F6836</f>
        <v>0</v>
      </c>
      <c r="G6825" s="37"/>
    </row>
    <row r="6826" spans="1:7" ht="12.12" thickBot="1" customHeight="1">
      <c r="A6826" s="26"/>
      <c r="B6826" s="26"/>
      <c r="C6826" s="26"/>
      <c r="D6826" s="25" t="s">
        <v>21571</v>
      </c>
      <c r="E6826" s="25"/>
      <c r="F6826" s="25"/>
      <c r="G6826" s="25"/>
    </row>
    <row r="6827" spans="1:7" ht="39.84" thickBot="1" customHeight="1">
      <c r="A6827" s="24" t="s">
        <v>21572</v>
      </c>
      <c r="B6827" s="24" t="s">
        <v>21573</v>
      </c>
      <c r="C6827" s="24" t="s">
        <v>21574</v>
      </c>
      <c r="D6827" s="25" t="s">
        <v>21575</v>
      </c>
      <c r="E6827" s="28">
        <v>2.00000</v>
      </c>
      <c r="F6827" s="29">
        <f ca="1">ROUND(10.090,3)</f>
        <v>0</v>
      </c>
      <c r="G6827" s="27">
        <f ca="1">ROUND(E6827*F6827,2)</f>
        <v>0</v>
      </c>
    </row>
    <row r="6828" spans="1:7" ht="49.08" thickBot="1" customHeight="1">
      <c r="A6828" s="24" t="s">
        <v>21576</v>
      </c>
      <c r="B6828" s="24" t="s">
        <v>21577</v>
      </c>
      <c r="C6828" s="24" t="s">
        <v>21578</v>
      </c>
      <c r="D6828" s="25" t="s">
        <v>21579</v>
      </c>
      <c r="E6828" s="28">
        <v>0.32000</v>
      </c>
      <c r="F6828" s="29">
        <f ca="1">ROUND(10.250,3)</f>
        <v>0</v>
      </c>
      <c r="G6828" s="27">
        <f ca="1">ROUND(E6828*F6828,2)</f>
        <v>0</v>
      </c>
    </row>
    <row r="6829" spans="1:7" ht="30.60" thickBot="1" customHeight="1">
      <c r="A6829" s="24" t="s">
        <v>21580</v>
      </c>
      <c r="B6829" s="24" t="s">
        <v>21581</v>
      </c>
      <c r="C6829" s="24" t="s">
        <v>21582</v>
      </c>
      <c r="D6829" s="25" t="s">
        <v>21583</v>
      </c>
      <c r="E6829" s="28">
        <v>0.02400</v>
      </c>
      <c r="F6829" s="29">
        <f ca="1">ROUND(11.740,3)</f>
        <v>0</v>
      </c>
      <c r="G6829" s="27">
        <f ca="1">ROUND(E6829*F6829,2)</f>
        <v>0</v>
      </c>
    </row>
    <row r="6830" spans="1:7" ht="30.60" thickBot="1" customHeight="1">
      <c r="A6830" s="24" t="s">
        <v>21584</v>
      </c>
      <c r="B6830" s="24" t="s">
        <v>21585</v>
      </c>
      <c r="C6830" s="24" t="s">
        <v>21586</v>
      </c>
      <c r="D6830" s="25" t="s">
        <v>21587</v>
      </c>
      <c r="E6830" s="28">
        <v>0.05000</v>
      </c>
      <c r="F6830" s="29">
        <f ca="1">ROUND(6.320,3)</f>
        <v>0</v>
      </c>
      <c r="G6830" s="27">
        <f ca="1">ROUND(E6830*F6830,2)</f>
        <v>0</v>
      </c>
    </row>
    <row r="6831" spans="1:7" ht="21.36" thickBot="1" customHeight="1">
      <c r="A6831" s="24" t="s">
        <v>21588</v>
      </c>
      <c r="B6831" s="24" t="s">
        <v>21589</v>
      </c>
      <c r="C6831" s="24" t="s">
        <v>21590</v>
      </c>
      <c r="D6831" s="25" t="s">
        <v>21591</v>
      </c>
      <c r="E6831" s="28">
        <v>0.40000</v>
      </c>
      <c r="F6831" s="29">
        <f ca="1">F6835</f>
        <v>0</v>
      </c>
      <c r="G6831" s="27">
        <f ca="1">ROUND(E6831*F6831,2)</f>
        <v>0</v>
      </c>
    </row>
    <row r="6832" spans="1:7" ht="24.36" thickBot="1" customHeight="1">
      <c r="A6832" s="24" t="s">
        <v>21592</v>
      </c>
      <c r="B6832" s="24" t="s">
        <v>21593</v>
      </c>
      <c r="C6832" s="24" t="s">
        <v>21594</v>
      </c>
      <c r="D6832" s="25" t="s">
        <v>21595</v>
      </c>
      <c r="E6832" s="28">
        <v>1.00000</v>
      </c>
      <c r="F6832" s="29">
        <f ca="1">ROUND(21.000,3)</f>
        <v>0</v>
      </c>
      <c r="G6832" s="27">
        <f ca="1">ROUND(E6832*F6832,2)</f>
        <v>0</v>
      </c>
    </row>
    <row r="6833" spans="1:7" ht="24.36" thickBot="1" customHeight="1">
      <c r="A6833" s="24" t="s">
        <v>21596</v>
      </c>
      <c r="B6833" s="24" t="s">
        <v>21597</v>
      </c>
      <c r="C6833" s="24" t="s">
        <v>21598</v>
      </c>
      <c r="D6833" s="25" t="s">
        <v>21599</v>
      </c>
      <c r="E6833" s="28">
        <v>1.00000</v>
      </c>
      <c r="F6833" s="29">
        <f ca="1">ROUND(19.000,3)</f>
        <v>0</v>
      </c>
      <c r="G6833" s="27">
        <f ca="1">ROUND(E6833*F6833,2)</f>
        <v>0</v>
      </c>
    </row>
    <row r="6834" spans="1:7" ht="24.36" thickBot="1" customHeight="1">
      <c r="A6834" s="24" t="s">
        <v>21600</v>
      </c>
      <c r="B6834" s="24" t="s">
        <v>21601</v>
      </c>
      <c r="C6834" s="24" t="s">
        <v>21602</v>
      </c>
      <c r="D6834" s="25" t="s">
        <v>21603</v>
      </c>
      <c r="E6834" s="28">
        <v>0.20000</v>
      </c>
      <c r="F6834" s="29">
        <f ca="1">ROUND(19.000,3)</f>
        <v>0</v>
      </c>
      <c r="G6834" s="27">
        <f ca="1">ROUND(E6834*F6834,2)</f>
        <v>0</v>
      </c>
    </row>
    <row r="6835" spans="1:7" ht="15.12" thickBot="1" customHeight="1">
      <c r="A6835" s="26"/>
      <c r="B6835" s="26"/>
      <c r="C6835" s="26"/>
      <c r="D6835" s="24" t="s">
        <v>21604</v>
      </c>
      <c r="E6835" s="28">
        <v>0.40000</v>
      </c>
      <c r="F6835" s="29">
        <f ca="1">ROUND((G6832+G6833+G6834),3)</f>
        <v>0</v>
      </c>
      <c r="G6835" s="27">
        <f ca="1">ROUND(E6835*F6835,2)</f>
        <v>0</v>
      </c>
    </row>
    <row r="6836" spans="1:7" ht="15.48" thickBot="1" customHeight="1">
      <c r="A6836" s="30"/>
      <c r="B6836" s="30"/>
      <c r="C6836" s="30"/>
      <c r="D6836" s="31" t="s">
        <v>21605</v>
      </c>
      <c r="E6836" s="30"/>
      <c r="F6836" s="33">
        <f ca="1">ROUND((G6827+G6828+G6829+G6830+G6831)*(1+G2/100),2)</f>
        <v>0</v>
      </c>
      <c r="G6836" s="30"/>
    </row>
    <row r="6837" spans="1:7" ht="15.48" thickBot="1" customHeight="1">
      <c r="A6837" s="34" t="s">
        <v>21606</v>
      </c>
      <c r="B6837" s="35" t="s">
        <v>21607</v>
      </c>
      <c r="C6837" s="35" t="s">
        <v>21608</v>
      </c>
      <c r="D6837" s="36" t="s">
        <v>21609</v>
      </c>
      <c r="E6837" s="37"/>
      <c r="F6837" s="38">
        <f ca="1">F6847</f>
        <v>0</v>
      </c>
      <c r="G6837" s="37"/>
    </row>
    <row r="6838" spans="1:7" ht="49.08" thickBot="1" customHeight="1">
      <c r="A6838" s="26"/>
      <c r="B6838" s="26"/>
      <c r="C6838" s="26"/>
      <c r="D6838" s="25" t="s">
        <v>21610</v>
      </c>
      <c r="E6838" s="25"/>
      <c r="F6838" s="25"/>
      <c r="G6838" s="25"/>
    </row>
    <row r="6839" spans="1:7" ht="30.60" thickBot="1" customHeight="1">
      <c r="A6839" s="24" t="s">
        <v>21611</v>
      </c>
      <c r="B6839" s="24" t="s">
        <v>21612</v>
      </c>
      <c r="C6839" s="24" t="s">
        <v>21613</v>
      </c>
      <c r="D6839" s="25" t="s">
        <v>21614</v>
      </c>
      <c r="E6839" s="28">
        <v>0.55000</v>
      </c>
      <c r="F6839" s="29">
        <f ca="1">ROUND(38.000,3)</f>
        <v>0</v>
      </c>
      <c r="G6839" s="27">
        <f ca="1">ROUND(E6839*F6839,2)</f>
        <v>0</v>
      </c>
    </row>
    <row r="6840" spans="1:7" ht="39.84" thickBot="1" customHeight="1">
      <c r="A6840" s="24" t="s">
        <v>21615</v>
      </c>
      <c r="B6840" s="24" t="s">
        <v>21616</v>
      </c>
      <c r="C6840" s="24" t="s">
        <v>21617</v>
      </c>
      <c r="D6840" s="25" t="s">
        <v>21618</v>
      </c>
      <c r="E6840" s="28">
        <v>0.02000</v>
      </c>
      <c r="F6840" s="29">
        <f ca="1">ROUND(31.410,3)</f>
        <v>0</v>
      </c>
      <c r="G6840" s="27">
        <f ca="1">ROUND(E6840*F6840,2)</f>
        <v>0</v>
      </c>
    </row>
    <row r="6841" spans="1:7" ht="30.60" thickBot="1" customHeight="1">
      <c r="A6841" s="24" t="s">
        <v>21619</v>
      </c>
      <c r="B6841" s="24" t="s">
        <v>21620</v>
      </c>
      <c r="C6841" s="24" t="s">
        <v>21621</v>
      </c>
      <c r="D6841" s="25" t="s">
        <v>21622</v>
      </c>
      <c r="E6841" s="28">
        <v>0.22220</v>
      </c>
      <c r="F6841" s="29">
        <f ca="1">ROUND(6.320,3)</f>
        <v>0</v>
      </c>
      <c r="G6841" s="27">
        <f ca="1">ROUND(E6841*F6841,2)</f>
        <v>0</v>
      </c>
    </row>
    <row r="6842" spans="1:7" ht="21.36" thickBot="1" customHeight="1">
      <c r="A6842" s="24" t="s">
        <v>21623</v>
      </c>
      <c r="B6842" s="24" t="s">
        <v>21624</v>
      </c>
      <c r="C6842" s="24" t="s">
        <v>21625</v>
      </c>
      <c r="D6842" s="25" t="s">
        <v>21626</v>
      </c>
      <c r="E6842" s="28">
        <v>0.22000</v>
      </c>
      <c r="F6842" s="29">
        <f ca="1">F6846</f>
        <v>0</v>
      </c>
      <c r="G6842" s="27">
        <f ca="1">ROUND(E6842*F6842,2)</f>
        <v>0</v>
      </c>
    </row>
    <row r="6843" spans="1:7" ht="24.36" thickBot="1" customHeight="1">
      <c r="A6843" s="24" t="s">
        <v>21627</v>
      </c>
      <c r="B6843" s="24" t="s">
        <v>21628</v>
      </c>
      <c r="C6843" s="24" t="s">
        <v>21629</v>
      </c>
      <c r="D6843" s="25" t="s">
        <v>21630</v>
      </c>
      <c r="E6843" s="28">
        <v>1.00000</v>
      </c>
      <c r="F6843" s="29">
        <f ca="1">ROUND(21.000,3)</f>
        <v>0</v>
      </c>
      <c r="G6843" s="27">
        <f ca="1">ROUND(E6843*F6843,2)</f>
        <v>0</v>
      </c>
    </row>
    <row r="6844" spans="1:7" ht="24.36" thickBot="1" customHeight="1">
      <c r="A6844" s="24" t="s">
        <v>21631</v>
      </c>
      <c r="B6844" s="24" t="s">
        <v>21632</v>
      </c>
      <c r="C6844" s="24" t="s">
        <v>21633</v>
      </c>
      <c r="D6844" s="25" t="s">
        <v>21634</v>
      </c>
      <c r="E6844" s="28">
        <v>1.00000</v>
      </c>
      <c r="F6844" s="29">
        <f ca="1">ROUND(19.000,3)</f>
        <v>0</v>
      </c>
      <c r="G6844" s="27">
        <f ca="1">ROUND(E6844*F6844,2)</f>
        <v>0</v>
      </c>
    </row>
    <row r="6845" spans="1:7" ht="24.36" thickBot="1" customHeight="1">
      <c r="A6845" s="24" t="s">
        <v>21635</v>
      </c>
      <c r="B6845" s="24" t="s">
        <v>21636</v>
      </c>
      <c r="C6845" s="24" t="s">
        <v>21637</v>
      </c>
      <c r="D6845" s="25" t="s">
        <v>21638</v>
      </c>
      <c r="E6845" s="28">
        <v>0.20000</v>
      </c>
      <c r="F6845" s="29">
        <f ca="1">ROUND(19.000,3)</f>
        <v>0</v>
      </c>
      <c r="G6845" s="27">
        <f ca="1">ROUND(E6845*F6845,2)</f>
        <v>0</v>
      </c>
    </row>
    <row r="6846" spans="1:7" ht="15.12" thickBot="1" customHeight="1">
      <c r="A6846" s="26"/>
      <c r="B6846" s="26"/>
      <c r="C6846" s="26"/>
      <c r="D6846" s="24" t="s">
        <v>21639</v>
      </c>
      <c r="E6846" s="28">
        <v>0.22000</v>
      </c>
      <c r="F6846" s="29">
        <f ca="1">ROUND((G6843+G6844+G6845),3)</f>
        <v>0</v>
      </c>
      <c r="G6846" s="27">
        <f ca="1">ROUND(E6846*F6846,2)</f>
        <v>0</v>
      </c>
    </row>
    <row r="6847" spans="1:7" ht="15.48" thickBot="1" customHeight="1">
      <c r="A6847" s="30"/>
      <c r="B6847" s="30"/>
      <c r="C6847" s="30"/>
      <c r="D6847" s="31" t="s">
        <v>21640</v>
      </c>
      <c r="E6847" s="30"/>
      <c r="F6847" s="33">
        <f ca="1">ROUND((G6839+G6840+G6841+G6842)*(1+G2/100),2)</f>
        <v>0</v>
      </c>
      <c r="G6847" s="30"/>
    </row>
    <row r="6848" spans="1:7" ht="30.60" thickBot="1" customHeight="1">
      <c r="A6848" s="34" t="s">
        <v>21641</v>
      </c>
      <c r="B6848" s="35" t="s">
        <v>21642</v>
      </c>
      <c r="C6848" s="35" t="s">
        <v>21643</v>
      </c>
      <c r="D6848" s="36" t="s">
        <v>21644</v>
      </c>
      <c r="E6848" s="37"/>
      <c r="F6848" s="38">
        <f ca="1">F6859</f>
        <v>0</v>
      </c>
      <c r="G6848" s="37"/>
    </row>
    <row r="6849" spans="1:7" ht="49.08" thickBot="1" customHeight="1">
      <c r="A6849" s="26"/>
      <c r="B6849" s="26"/>
      <c r="C6849" s="26"/>
      <c r="D6849" s="25" t="s">
        <v>21645</v>
      </c>
      <c r="E6849" s="25"/>
      <c r="F6849" s="25"/>
      <c r="G6849" s="25"/>
    </row>
    <row r="6850" spans="1:7" ht="21.36" thickBot="1" customHeight="1">
      <c r="A6850" s="24" t="s">
        <v>21646</v>
      </c>
      <c r="B6850" s="24" t="s">
        <v>21647</v>
      </c>
      <c r="C6850" s="24" t="s">
        <v>21648</v>
      </c>
      <c r="D6850" s="25" t="s">
        <v>21649</v>
      </c>
      <c r="E6850" s="28">
        <v>0.00000</v>
      </c>
      <c r="F6850" s="29">
        <f ca="1">ROUND(64.500,3)</f>
        <v>0</v>
      </c>
      <c r="G6850" s="27">
        <f ca="1">ROUND(E6850*F6850,2)</f>
        <v>0</v>
      </c>
    </row>
    <row r="6851" spans="1:7" ht="21.36" thickBot="1" customHeight="1">
      <c r="A6851" s="24" t="s">
        <v>21650</v>
      </c>
      <c r="B6851" s="24" t="s">
        <v>21651</v>
      </c>
      <c r="C6851" s="24" t="s">
        <v>21652</v>
      </c>
      <c r="D6851" s="25" t="s">
        <v>21653</v>
      </c>
      <c r="E6851" s="28">
        <v>1.00000</v>
      </c>
      <c r="F6851" s="29">
        <f ca="1">ROUND(67.000,3)</f>
        <v>0</v>
      </c>
      <c r="G6851" s="27">
        <f ca="1">ROUND(E6851*F6851,2)</f>
        <v>0</v>
      </c>
    </row>
    <row r="6852" spans="1:7" ht="49.08" thickBot="1" customHeight="1">
      <c r="A6852" s="24" t="s">
        <v>21654</v>
      </c>
      <c r="B6852" s="24" t="s">
        <v>21655</v>
      </c>
      <c r="C6852" s="24" t="s">
        <v>21656</v>
      </c>
      <c r="D6852" s="25" t="s">
        <v>21657</v>
      </c>
      <c r="E6852" s="28">
        <v>0.40000</v>
      </c>
      <c r="F6852" s="29">
        <f ca="1">ROUND(10.250,3)</f>
        <v>0</v>
      </c>
      <c r="G6852" s="27">
        <f ca="1">ROUND(E6852*F6852,2)</f>
        <v>0</v>
      </c>
    </row>
    <row r="6853" spans="1:7" ht="30.60" thickBot="1" customHeight="1">
      <c r="A6853" s="24" t="s">
        <v>21658</v>
      </c>
      <c r="B6853" s="24" t="s">
        <v>21659</v>
      </c>
      <c r="C6853" s="24" t="s">
        <v>21660</v>
      </c>
      <c r="D6853" s="25" t="s">
        <v>21661</v>
      </c>
      <c r="E6853" s="28">
        <v>0.02000</v>
      </c>
      <c r="F6853" s="29">
        <f ca="1">ROUND(11.740,3)</f>
        <v>0</v>
      </c>
      <c r="G6853" s="27">
        <f ca="1">ROUND(E6853*F6853,2)</f>
        <v>0</v>
      </c>
    </row>
    <row r="6854" spans="1:7" ht="21.36" thickBot="1" customHeight="1">
      <c r="A6854" s="24" t="s">
        <v>21662</v>
      </c>
      <c r="B6854" s="24" t="s">
        <v>21663</v>
      </c>
      <c r="C6854" s="24" t="s">
        <v>21664</v>
      </c>
      <c r="D6854" s="25" t="s">
        <v>21665</v>
      </c>
      <c r="E6854" s="28">
        <v>0.50000</v>
      </c>
      <c r="F6854" s="29">
        <f ca="1">F6858</f>
        <v>0</v>
      </c>
      <c r="G6854" s="27">
        <f ca="1">ROUND(E6854*F6854,2)</f>
        <v>0</v>
      </c>
    </row>
    <row r="6855" spans="1:7" ht="24.36" thickBot="1" customHeight="1">
      <c r="A6855" s="24" t="s">
        <v>21666</v>
      </c>
      <c r="B6855" s="24" t="s">
        <v>21667</v>
      </c>
      <c r="C6855" s="24" t="s">
        <v>21668</v>
      </c>
      <c r="D6855" s="25" t="s">
        <v>21669</v>
      </c>
      <c r="E6855" s="28">
        <v>1.00000</v>
      </c>
      <c r="F6855" s="29">
        <f ca="1">ROUND(21.000,3)</f>
        <v>0</v>
      </c>
      <c r="G6855" s="27">
        <f ca="1">ROUND(E6855*F6855,2)</f>
        <v>0</v>
      </c>
    </row>
    <row r="6856" spans="1:7" ht="24.36" thickBot="1" customHeight="1">
      <c r="A6856" s="24" t="s">
        <v>21670</v>
      </c>
      <c r="B6856" s="24" t="s">
        <v>21671</v>
      </c>
      <c r="C6856" s="24" t="s">
        <v>21672</v>
      </c>
      <c r="D6856" s="25" t="s">
        <v>21673</v>
      </c>
      <c r="E6856" s="28">
        <v>1.00000</v>
      </c>
      <c r="F6856" s="29">
        <f ca="1">ROUND(19.000,3)</f>
        <v>0</v>
      </c>
      <c r="G6856" s="27">
        <f ca="1">ROUND(E6856*F6856,2)</f>
        <v>0</v>
      </c>
    </row>
    <row r="6857" spans="1:7" ht="24.36" thickBot="1" customHeight="1">
      <c r="A6857" s="24" t="s">
        <v>21674</v>
      </c>
      <c r="B6857" s="24" t="s">
        <v>21675</v>
      </c>
      <c r="C6857" s="24" t="s">
        <v>21676</v>
      </c>
      <c r="D6857" s="25" t="s">
        <v>21677</v>
      </c>
      <c r="E6857" s="28">
        <v>0.20000</v>
      </c>
      <c r="F6857" s="29">
        <f ca="1">ROUND(19.000,3)</f>
        <v>0</v>
      </c>
      <c r="G6857" s="27">
        <f ca="1">ROUND(E6857*F6857,2)</f>
        <v>0</v>
      </c>
    </row>
    <row r="6858" spans="1:7" ht="15.12" thickBot="1" customHeight="1">
      <c r="A6858" s="26"/>
      <c r="B6858" s="26"/>
      <c r="C6858" s="26"/>
      <c r="D6858" s="24" t="s">
        <v>21678</v>
      </c>
      <c r="E6858" s="28">
        <v>0.50000</v>
      </c>
      <c r="F6858" s="29">
        <f ca="1">ROUND((G6855+G6856+G6857),3)</f>
        <v>0</v>
      </c>
      <c r="G6858" s="27">
        <f ca="1">ROUND(E6858*F6858,2)</f>
        <v>0</v>
      </c>
    </row>
    <row r="6859" spans="1:7" ht="15.48" thickBot="1" customHeight="1">
      <c r="A6859" s="30"/>
      <c r="B6859" s="30"/>
      <c r="C6859" s="30"/>
      <c r="D6859" s="31" t="s">
        <v>21679</v>
      </c>
      <c r="E6859" s="30"/>
      <c r="F6859" s="33">
        <f ca="1">ROUND((G6850+G6851+G6852+G6853+G6854)*(1+G2/100),2)</f>
        <v>0</v>
      </c>
      <c r="G6859" s="30"/>
    </row>
    <row r="6860" spans="1:7" ht="49.08" thickBot="1" customHeight="1">
      <c r="A6860" s="34" t="s">
        <v>21680</v>
      </c>
      <c r="B6860" s="35" t="s">
        <v>21681</v>
      </c>
      <c r="C6860" s="35" t="s">
        <v>21682</v>
      </c>
      <c r="D6860" s="36" t="s">
        <v>21683</v>
      </c>
      <c r="E6860" s="37"/>
      <c r="F6860" s="38">
        <f ca="1">F6871</f>
        <v>0</v>
      </c>
      <c r="G6860" s="37"/>
    </row>
    <row r="6861" spans="1:7" ht="39.84" thickBot="1" customHeight="1">
      <c r="A6861" s="26"/>
      <c r="B6861" s="26"/>
      <c r="C6861" s="26"/>
      <c r="D6861" s="25" t="s">
        <v>21684</v>
      </c>
      <c r="E6861" s="25"/>
      <c r="F6861" s="25"/>
      <c r="G6861" s="25"/>
    </row>
    <row r="6862" spans="1:7" ht="39.84" thickBot="1" customHeight="1">
      <c r="A6862" s="24" t="s">
        <v>21685</v>
      </c>
      <c r="B6862" s="24" t="s">
        <v>21686</v>
      </c>
      <c r="C6862" s="24" t="s">
        <v>21687</v>
      </c>
      <c r="D6862" s="25" t="s">
        <v>21688</v>
      </c>
      <c r="E6862" s="28">
        <v>8.00000</v>
      </c>
      <c r="F6862" s="29">
        <f ca="1">ROUND(2.390,3)</f>
        <v>0</v>
      </c>
      <c r="G6862" s="27">
        <f ca="1">ROUND(E6862*F6862,2)</f>
        <v>0</v>
      </c>
    </row>
    <row r="6863" spans="1:7" ht="30.60" thickBot="1" customHeight="1">
      <c r="A6863" s="24" t="s">
        <v>21689</v>
      </c>
      <c r="B6863" s="24" t="s">
        <v>21690</v>
      </c>
      <c r="C6863" s="24" t="s">
        <v>21691</v>
      </c>
      <c r="D6863" s="25" t="s">
        <v>21692</v>
      </c>
      <c r="E6863" s="28">
        <v>0.12320</v>
      </c>
      <c r="F6863" s="29">
        <f ca="1">ROUND(15.430,3)</f>
        <v>0</v>
      </c>
      <c r="G6863" s="27">
        <f ca="1">ROUND(E6863*F6863,2)</f>
        <v>0</v>
      </c>
    </row>
    <row r="6864" spans="1:7" ht="30.60" thickBot="1" customHeight="1">
      <c r="A6864" s="24" t="s">
        <v>21693</v>
      </c>
      <c r="B6864" s="24" t="s">
        <v>21694</v>
      </c>
      <c r="C6864" s="24" t="s">
        <v>21695</v>
      </c>
      <c r="D6864" s="25" t="s">
        <v>21696</v>
      </c>
      <c r="E6864" s="28">
        <v>0.05069</v>
      </c>
      <c r="F6864" s="29">
        <f ca="1">ROUND(11.740,3)</f>
        <v>0</v>
      </c>
      <c r="G6864" s="27">
        <f ca="1">ROUND(E6864*F6864,2)</f>
        <v>0</v>
      </c>
    </row>
    <row r="6865" spans="1:7" ht="21.36" thickBot="1" customHeight="1">
      <c r="A6865" s="24" t="s">
        <v>21697</v>
      </c>
      <c r="B6865" s="24" t="s">
        <v>21698</v>
      </c>
      <c r="C6865" s="24" t="s">
        <v>21699</v>
      </c>
      <c r="D6865" s="25" t="s">
        <v>21700</v>
      </c>
      <c r="E6865" s="28">
        <v>0.75000</v>
      </c>
      <c r="F6865" s="29">
        <f ca="1">F6869</f>
        <v>0</v>
      </c>
      <c r="G6865" s="27">
        <f ca="1">ROUND(E6865*F6865,2)</f>
        <v>0</v>
      </c>
    </row>
    <row r="6866" spans="1:7" ht="24.36" thickBot="1" customHeight="1">
      <c r="A6866" s="24" t="s">
        <v>21701</v>
      </c>
      <c r="B6866" s="24" t="s">
        <v>21702</v>
      </c>
      <c r="C6866" s="24" t="s">
        <v>21703</v>
      </c>
      <c r="D6866" s="25" t="s">
        <v>21704</v>
      </c>
      <c r="E6866" s="28">
        <v>1.00000</v>
      </c>
      <c r="F6866" s="29">
        <f ca="1">ROUND(21.000,3)</f>
        <v>0</v>
      </c>
      <c r="G6866" s="27">
        <f ca="1">ROUND(E6866*F6866,2)</f>
        <v>0</v>
      </c>
    </row>
    <row r="6867" spans="1:7" ht="24.36" thickBot="1" customHeight="1">
      <c r="A6867" s="24" t="s">
        <v>21705</v>
      </c>
      <c r="B6867" s="24" t="s">
        <v>21706</v>
      </c>
      <c r="C6867" s="24" t="s">
        <v>21707</v>
      </c>
      <c r="D6867" s="25" t="s">
        <v>21708</v>
      </c>
      <c r="E6867" s="28">
        <v>1.00000</v>
      </c>
      <c r="F6867" s="29">
        <f ca="1">ROUND(19.000,3)</f>
        <v>0</v>
      </c>
      <c r="G6867" s="27">
        <f ca="1">ROUND(E6867*F6867,2)</f>
        <v>0</v>
      </c>
    </row>
    <row r="6868" spans="1:7" ht="24.36" thickBot="1" customHeight="1">
      <c r="A6868" s="24" t="s">
        <v>21709</v>
      </c>
      <c r="B6868" s="24" t="s">
        <v>21710</v>
      </c>
      <c r="C6868" s="24" t="s">
        <v>21711</v>
      </c>
      <c r="D6868" s="25" t="s">
        <v>21712</v>
      </c>
      <c r="E6868" s="28">
        <v>0.20000</v>
      </c>
      <c r="F6868" s="29">
        <f ca="1">ROUND(19.000,3)</f>
        <v>0</v>
      </c>
      <c r="G6868" s="27">
        <f ca="1">ROUND(E6868*F6868,2)</f>
        <v>0</v>
      </c>
    </row>
    <row r="6869" spans="1:7" ht="15.12" thickBot="1" customHeight="1">
      <c r="A6869" s="26"/>
      <c r="B6869" s="26"/>
      <c r="C6869" s="26"/>
      <c r="D6869" s="24" t="s">
        <v>21713</v>
      </c>
      <c r="E6869" s="28">
        <v>0.75000</v>
      </c>
      <c r="F6869" s="29">
        <f ca="1">ROUND((G6866+G6867+G6868),3)</f>
        <v>0</v>
      </c>
      <c r="G6869" s="27">
        <f ca="1">ROUND(E6869*F6869,2)</f>
        <v>0</v>
      </c>
    </row>
    <row r="6870" spans="1:7" ht="15.12" thickBot="1" customHeight="1">
      <c r="A6870" s="24" t="s">
        <v>21714</v>
      </c>
      <c r="B6870" s="24"/>
      <c r="C6870" s="24" t="s">
        <v>21715</v>
      </c>
      <c r="D6870" s="25" t="s">
        <v>21716</v>
      </c>
      <c r="E6870" s="28">
        <v>3.00000</v>
      </c>
      <c r="F6870" s="29">
        <f ca="1">ROUND(32.850,3)</f>
        <v>0</v>
      </c>
      <c r="G6870" s="27">
        <f ca="1">ROUND((E6870*F6870)/100,2)</f>
        <v>0</v>
      </c>
    </row>
    <row r="6871" spans="1:7" ht="15.48" thickBot="1" customHeight="1">
      <c r="A6871" s="30"/>
      <c r="B6871" s="30"/>
      <c r="C6871" s="30"/>
      <c r="D6871" s="31" t="s">
        <v>21717</v>
      </c>
      <c r="E6871" s="30"/>
      <c r="F6871" s="33">
        <f ca="1">ROUND((G6862+G6863+G6864+G6865+G6870)*(1+G2/100),2)</f>
        <v>0</v>
      </c>
      <c r="G6871" s="30"/>
    </row>
    <row r="6872" spans="1:7" ht="25.08" thickBot="1" customHeight="1">
      <c r="A6872" s="34" t="s">
        <v>21718</v>
      </c>
      <c r="B6872" s="35" t="s">
        <v>21719</v>
      </c>
      <c r="C6872" s="35" t="s">
        <v>21720</v>
      </c>
      <c r="D6872" s="36" t="s">
        <v>21721</v>
      </c>
      <c r="E6872" s="37"/>
      <c r="F6872" s="38">
        <f ca="1">F6883</f>
        <v>0</v>
      </c>
      <c r="G6872" s="37"/>
    </row>
    <row r="6873" spans="1:7" ht="12.12" thickBot="1" customHeight="1">
      <c r="A6873" s="26"/>
      <c r="B6873" s="26"/>
      <c r="C6873" s="26"/>
      <c r="D6873" s="25" t="s">
        <v>21722</v>
      </c>
      <c r="E6873" s="25"/>
      <c r="F6873" s="25"/>
      <c r="G6873" s="25"/>
    </row>
    <row r="6874" spans="1:7" ht="30.60" thickBot="1" customHeight="1">
      <c r="A6874" s="24" t="s">
        <v>21723</v>
      </c>
      <c r="B6874" s="24" t="s">
        <v>21724</v>
      </c>
      <c r="C6874" s="24" t="s">
        <v>21725</v>
      </c>
      <c r="D6874" s="25" t="s">
        <v>21726</v>
      </c>
      <c r="E6874" s="28">
        <v>3.00000</v>
      </c>
      <c r="F6874" s="29">
        <f ca="1">ROUND(7.550,3)</f>
        <v>0</v>
      </c>
      <c r="G6874" s="27">
        <f ca="1">ROUND(E6874*F6874,2)</f>
        <v>0</v>
      </c>
    </row>
    <row r="6875" spans="1:7" ht="49.08" thickBot="1" customHeight="1">
      <c r="A6875" s="24" t="s">
        <v>21727</v>
      </c>
      <c r="B6875" s="24" t="s">
        <v>21728</v>
      </c>
      <c r="C6875" s="24" t="s">
        <v>21729</v>
      </c>
      <c r="D6875" s="25" t="s">
        <v>21730</v>
      </c>
      <c r="E6875" s="28">
        <v>0.16000</v>
      </c>
      <c r="F6875" s="29">
        <f ca="1">ROUND(10.250,3)</f>
        <v>0</v>
      </c>
      <c r="G6875" s="27">
        <f ca="1">ROUND(E6875*F6875,2)</f>
        <v>0</v>
      </c>
    </row>
    <row r="6876" spans="1:7" ht="30.60" thickBot="1" customHeight="1">
      <c r="A6876" s="24" t="s">
        <v>21731</v>
      </c>
      <c r="B6876" s="24" t="s">
        <v>21732</v>
      </c>
      <c r="C6876" s="24" t="s">
        <v>21733</v>
      </c>
      <c r="D6876" s="25" t="s">
        <v>21734</v>
      </c>
      <c r="E6876" s="28">
        <v>0.03280</v>
      </c>
      <c r="F6876" s="29">
        <f ca="1">ROUND(11.740,3)</f>
        <v>0</v>
      </c>
      <c r="G6876" s="27">
        <f ca="1">ROUND(E6876*F6876,2)</f>
        <v>0</v>
      </c>
    </row>
    <row r="6877" spans="1:7" ht="21.36" thickBot="1" customHeight="1">
      <c r="A6877" s="24" t="s">
        <v>21735</v>
      </c>
      <c r="B6877" s="24" t="s">
        <v>21736</v>
      </c>
      <c r="C6877" s="24" t="s">
        <v>21737</v>
      </c>
      <c r="D6877" s="25" t="s">
        <v>21738</v>
      </c>
      <c r="E6877" s="28">
        <v>0.50000</v>
      </c>
      <c r="F6877" s="29">
        <f ca="1">F6881</f>
        <v>0</v>
      </c>
      <c r="G6877" s="27">
        <f ca="1">ROUND(E6877*F6877,2)</f>
        <v>0</v>
      </c>
    </row>
    <row r="6878" spans="1:7" ht="24.36" thickBot="1" customHeight="1">
      <c r="A6878" s="24" t="s">
        <v>21739</v>
      </c>
      <c r="B6878" s="24" t="s">
        <v>21740</v>
      </c>
      <c r="C6878" s="24" t="s">
        <v>21741</v>
      </c>
      <c r="D6878" s="25" t="s">
        <v>21742</v>
      </c>
      <c r="E6878" s="28">
        <v>1.00000</v>
      </c>
      <c r="F6878" s="29">
        <f ca="1">ROUND(21.000,3)</f>
        <v>0</v>
      </c>
      <c r="G6878" s="27">
        <f ca="1">ROUND(E6878*F6878,2)</f>
        <v>0</v>
      </c>
    </row>
    <row r="6879" spans="1:7" ht="24.36" thickBot="1" customHeight="1">
      <c r="A6879" s="24" t="s">
        <v>21743</v>
      </c>
      <c r="B6879" s="24" t="s">
        <v>21744</v>
      </c>
      <c r="C6879" s="24" t="s">
        <v>21745</v>
      </c>
      <c r="D6879" s="25" t="s">
        <v>21746</v>
      </c>
      <c r="E6879" s="28">
        <v>1.00000</v>
      </c>
      <c r="F6879" s="29">
        <f ca="1">ROUND(19.000,3)</f>
        <v>0</v>
      </c>
      <c r="G6879" s="27">
        <f ca="1">ROUND(E6879*F6879,2)</f>
        <v>0</v>
      </c>
    </row>
    <row r="6880" spans="1:7" ht="24.36" thickBot="1" customHeight="1">
      <c r="A6880" s="24" t="s">
        <v>21747</v>
      </c>
      <c r="B6880" s="24" t="s">
        <v>21748</v>
      </c>
      <c r="C6880" s="24" t="s">
        <v>21749</v>
      </c>
      <c r="D6880" s="25" t="s">
        <v>21750</v>
      </c>
      <c r="E6880" s="28">
        <v>0.20000</v>
      </c>
      <c r="F6880" s="29">
        <f ca="1">ROUND(19.000,3)</f>
        <v>0</v>
      </c>
      <c r="G6880" s="27">
        <f ca="1">ROUND(E6880*F6880,2)</f>
        <v>0</v>
      </c>
    </row>
    <row r="6881" spans="1:7" ht="15.12" thickBot="1" customHeight="1">
      <c r="A6881" s="26"/>
      <c r="B6881" s="26"/>
      <c r="C6881" s="26"/>
      <c r="D6881" s="24" t="s">
        <v>21751</v>
      </c>
      <c r="E6881" s="28">
        <v>0.50000</v>
      </c>
      <c r="F6881" s="29">
        <f ca="1">ROUND((G6878+G6879+G6880),3)</f>
        <v>0</v>
      </c>
      <c r="G6881" s="27">
        <f ca="1">ROUND(E6881*F6881,2)</f>
        <v>0</v>
      </c>
    </row>
    <row r="6882" spans="1:7" ht="15.12" thickBot="1" customHeight="1">
      <c r="A6882" s="24" t="s">
        <v>21752</v>
      </c>
      <c r="B6882" s="24"/>
      <c r="C6882" s="24" t="s">
        <v>21753</v>
      </c>
      <c r="D6882" s="25" t="s">
        <v>21754</v>
      </c>
      <c r="E6882" s="28">
        <v>3.00000</v>
      </c>
      <c r="F6882" s="29">
        <f ca="1">ROUND(21.900,3)</f>
        <v>0</v>
      </c>
      <c r="G6882" s="27">
        <f ca="1">ROUND((E6882*F6882)/100,2)</f>
        <v>0</v>
      </c>
    </row>
    <row r="6883" spans="1:7" ht="15.48" thickBot="1" customHeight="1">
      <c r="A6883" s="30"/>
      <c r="B6883" s="30"/>
      <c r="C6883" s="30"/>
      <c r="D6883" s="31" t="s">
        <v>21755</v>
      </c>
      <c r="E6883" s="30"/>
      <c r="F6883" s="33">
        <f ca="1">ROUND((G6874+G6875+G6876+G6877+G6882)*(1+G2/100),2)</f>
        <v>0</v>
      </c>
      <c r="G6883" s="30"/>
    </row>
    <row r="6884" spans="1:7" ht="21.36" thickBot="1" customHeight="1">
      <c r="A6884" s="34" t="s">
        <v>21756</v>
      </c>
      <c r="B6884" s="35" t="s">
        <v>21757</v>
      </c>
      <c r="C6884" s="35" t="s">
        <v>21758</v>
      </c>
      <c r="D6884" s="36" t="s">
        <v>21759</v>
      </c>
      <c r="E6884" s="37"/>
      <c r="F6884" s="38">
        <f ca="1">F6898</f>
        <v>0</v>
      </c>
      <c r="G6884" s="37"/>
    </row>
    <row r="6885" spans="1:7" ht="58.32" thickBot="1" customHeight="1">
      <c r="A6885" s="26"/>
      <c r="B6885" s="26"/>
      <c r="C6885" s="26"/>
      <c r="D6885" s="25" t="s">
        <v>21760</v>
      </c>
      <c r="E6885" s="25"/>
      <c r="F6885" s="25"/>
      <c r="G6885" s="25"/>
    </row>
    <row r="6886" spans="1:7" ht="30.60" thickBot="1" customHeight="1">
      <c r="A6886" s="24" t="s">
        <v>21761</v>
      </c>
      <c r="B6886" s="24" t="s">
        <v>21762</v>
      </c>
      <c r="C6886" s="24" t="s">
        <v>21763</v>
      </c>
      <c r="D6886" s="25" t="s">
        <v>21764</v>
      </c>
      <c r="E6886" s="28">
        <v>2.50000</v>
      </c>
      <c r="F6886" s="29">
        <f ca="1">ROUND(2.370,3)</f>
        <v>0</v>
      </c>
      <c r="G6886" s="27">
        <f ca="1">ROUND(E6886*F6886,2)</f>
        <v>0</v>
      </c>
    </row>
    <row r="6887" spans="1:7" ht="30.60" thickBot="1" customHeight="1">
      <c r="A6887" s="24" t="s">
        <v>21765</v>
      </c>
      <c r="B6887" s="24" t="s">
        <v>21766</v>
      </c>
      <c r="C6887" s="24" t="s">
        <v>21767</v>
      </c>
      <c r="D6887" s="25" t="s">
        <v>21768</v>
      </c>
      <c r="E6887" s="28">
        <v>2.50000</v>
      </c>
      <c r="F6887" s="29">
        <f ca="1">ROUND(2.100,3)</f>
        <v>0</v>
      </c>
      <c r="G6887" s="27">
        <f ca="1">ROUND(E6887*F6887,2)</f>
        <v>0</v>
      </c>
    </row>
    <row r="6888" spans="1:7" ht="30.60" thickBot="1" customHeight="1">
      <c r="A6888" s="24" t="s">
        <v>21769</v>
      </c>
      <c r="B6888" s="24" t="s">
        <v>21770</v>
      </c>
      <c r="C6888" s="24" t="s">
        <v>21771</v>
      </c>
      <c r="D6888" s="25" t="s">
        <v>21772</v>
      </c>
      <c r="E6888" s="28">
        <v>1.00000</v>
      </c>
      <c r="F6888" s="29">
        <f ca="1">ROUND(7.960,3)</f>
        <v>0</v>
      </c>
      <c r="G6888" s="27">
        <f ca="1">ROUND(E6888*F6888,2)</f>
        <v>0</v>
      </c>
    </row>
    <row r="6889" spans="1:7" ht="21.36" thickBot="1" customHeight="1">
      <c r="A6889" s="24" t="s">
        <v>21773</v>
      </c>
      <c r="B6889" s="24" t="s">
        <v>21774</v>
      </c>
      <c r="C6889" s="24" t="s">
        <v>21775</v>
      </c>
      <c r="D6889" s="25" t="s">
        <v>21776</v>
      </c>
      <c r="E6889" s="28">
        <v>0.08000</v>
      </c>
      <c r="F6889" s="29">
        <f ca="1">ROUND(7.280,3)</f>
        <v>0</v>
      </c>
      <c r="G6889" s="27">
        <f ca="1">ROUND(E6889*F6889,2)</f>
        <v>0</v>
      </c>
    </row>
    <row r="6890" spans="1:7" ht="21.36" thickBot="1" customHeight="1">
      <c r="A6890" s="24" t="s">
        <v>21777</v>
      </c>
      <c r="B6890" s="24" t="s">
        <v>21778</v>
      </c>
      <c r="C6890" s="24" t="s">
        <v>21779</v>
      </c>
      <c r="D6890" s="25" t="s">
        <v>21780</v>
      </c>
      <c r="E6890" s="28">
        <v>0.50000</v>
      </c>
      <c r="F6890" s="29">
        <f ca="1">ROUND(6.490,3)</f>
        <v>0</v>
      </c>
      <c r="G6890" s="27">
        <f ca="1">ROUND(E6890*F6890,2)</f>
        <v>0</v>
      </c>
    </row>
    <row r="6891" spans="1:7" ht="39.84" thickBot="1" customHeight="1">
      <c r="A6891" s="24" t="s">
        <v>21781</v>
      </c>
      <c r="B6891" s="24" t="s">
        <v>21782</v>
      </c>
      <c r="C6891" s="24" t="s">
        <v>21783</v>
      </c>
      <c r="D6891" s="25" t="s">
        <v>21784</v>
      </c>
      <c r="E6891" s="28">
        <v>0.01000</v>
      </c>
      <c r="F6891" s="29">
        <f ca="1">ROUND(5.550,3)</f>
        <v>0</v>
      </c>
      <c r="G6891" s="27">
        <f ca="1">ROUND(E6891*F6891,2)</f>
        <v>0</v>
      </c>
    </row>
    <row r="6892" spans="1:7" ht="30.60" thickBot="1" customHeight="1">
      <c r="A6892" s="24" t="s">
        <v>21785</v>
      </c>
      <c r="B6892" s="24" t="s">
        <v>21786</v>
      </c>
      <c r="C6892" s="24" t="s">
        <v>21787</v>
      </c>
      <c r="D6892" s="25" t="s">
        <v>21788</v>
      </c>
      <c r="E6892" s="28">
        <v>0.02000</v>
      </c>
      <c r="F6892" s="29">
        <f ca="1">ROUND(20.920,3)</f>
        <v>0</v>
      </c>
      <c r="G6892" s="27">
        <f ca="1">ROUND(E6892*F6892,2)</f>
        <v>0</v>
      </c>
    </row>
    <row r="6893" spans="1:7" ht="21.36" thickBot="1" customHeight="1">
      <c r="A6893" s="24" t="s">
        <v>21789</v>
      </c>
      <c r="B6893" s="24" t="s">
        <v>21790</v>
      </c>
      <c r="C6893" s="24" t="s">
        <v>21791</v>
      </c>
      <c r="D6893" s="25" t="s">
        <v>21792</v>
      </c>
      <c r="E6893" s="28">
        <v>1.05000</v>
      </c>
      <c r="F6893" s="29">
        <f ca="1">F6897</f>
        <v>0</v>
      </c>
      <c r="G6893" s="27">
        <f ca="1">ROUND(E6893*F6893,2)</f>
        <v>0</v>
      </c>
    </row>
    <row r="6894" spans="1:7" ht="24.36" thickBot="1" customHeight="1">
      <c r="A6894" s="24" t="s">
        <v>21793</v>
      </c>
      <c r="B6894" s="24" t="s">
        <v>21794</v>
      </c>
      <c r="C6894" s="24" t="s">
        <v>21795</v>
      </c>
      <c r="D6894" s="25" t="s">
        <v>21796</v>
      </c>
      <c r="E6894" s="28">
        <v>1.00000</v>
      </c>
      <c r="F6894" s="29">
        <f ca="1">ROUND(21.000,3)</f>
        <v>0</v>
      </c>
      <c r="G6894" s="27">
        <f ca="1">ROUND(E6894*F6894,2)</f>
        <v>0</v>
      </c>
    </row>
    <row r="6895" spans="1:7" ht="24.36" thickBot="1" customHeight="1">
      <c r="A6895" s="24" t="s">
        <v>21797</v>
      </c>
      <c r="B6895" s="24" t="s">
        <v>21798</v>
      </c>
      <c r="C6895" s="24" t="s">
        <v>21799</v>
      </c>
      <c r="D6895" s="25" t="s">
        <v>21800</v>
      </c>
      <c r="E6895" s="28">
        <v>1.00000</v>
      </c>
      <c r="F6895" s="29">
        <f ca="1">ROUND(19.000,3)</f>
        <v>0</v>
      </c>
      <c r="G6895" s="27">
        <f ca="1">ROUND(E6895*F6895,2)</f>
        <v>0</v>
      </c>
    </row>
    <row r="6896" spans="1:7" ht="24.36" thickBot="1" customHeight="1">
      <c r="A6896" s="24" t="s">
        <v>21801</v>
      </c>
      <c r="B6896" s="24" t="s">
        <v>21802</v>
      </c>
      <c r="C6896" s="24" t="s">
        <v>21803</v>
      </c>
      <c r="D6896" s="25" t="s">
        <v>21804</v>
      </c>
      <c r="E6896" s="28">
        <v>0.20000</v>
      </c>
      <c r="F6896" s="29">
        <f ca="1">ROUND(19.000,3)</f>
        <v>0</v>
      </c>
      <c r="G6896" s="27">
        <f ca="1">ROUND(E6896*F6896,2)</f>
        <v>0</v>
      </c>
    </row>
    <row r="6897" spans="1:7" ht="15.12" thickBot="1" customHeight="1">
      <c r="A6897" s="26"/>
      <c r="B6897" s="26"/>
      <c r="C6897" s="26"/>
      <c r="D6897" s="24" t="s">
        <v>21805</v>
      </c>
      <c r="E6897" s="28">
        <v>1.05000</v>
      </c>
      <c r="F6897" s="29">
        <f ca="1">ROUND((G6894+G6895+G6896),3)</f>
        <v>0</v>
      </c>
      <c r="G6897" s="27">
        <f ca="1">ROUND(E6897*F6897,2)</f>
        <v>0</v>
      </c>
    </row>
    <row r="6898" spans="1:7" ht="15.48" thickBot="1" customHeight="1">
      <c r="A6898" s="30"/>
      <c r="B6898" s="30"/>
      <c r="C6898" s="30"/>
      <c r="D6898" s="31" t="s">
        <v>21806</v>
      </c>
      <c r="E6898" s="30"/>
      <c r="F6898" s="33">
        <f ca="1">ROUND((G6886+G6887+G6888+G6889+G6890+G6891+G6892+G6893)*(1+G2/100),2)</f>
        <v>0</v>
      </c>
      <c r="G6898" s="30"/>
    </row>
    <row r="6899" spans="1:7" ht="21.36" thickBot="1" customHeight="1">
      <c r="A6899" s="34" t="s">
        <v>21807</v>
      </c>
      <c r="B6899" s="35" t="s">
        <v>21808</v>
      </c>
      <c r="C6899" s="35" t="s">
        <v>21809</v>
      </c>
      <c r="D6899" s="36" t="s">
        <v>21810</v>
      </c>
      <c r="E6899" s="37"/>
      <c r="F6899" s="38">
        <f ca="1">F6910</f>
        <v>0</v>
      </c>
      <c r="G6899" s="37"/>
    </row>
    <row r="6900" spans="1:7" ht="12.12" thickBot="1" customHeight="1">
      <c r="A6900" s="26"/>
      <c r="B6900" s="26"/>
      <c r="C6900" s="26"/>
      <c r="D6900" s="25" t="s">
        <v>21811</v>
      </c>
      <c r="E6900" s="25"/>
      <c r="F6900" s="25"/>
      <c r="G6900" s="25"/>
    </row>
    <row r="6901" spans="1:7" ht="39.84" thickBot="1" customHeight="1">
      <c r="A6901" s="24" t="s">
        <v>21812</v>
      </c>
      <c r="B6901" s="24" t="s">
        <v>21813</v>
      </c>
      <c r="C6901" s="24" t="s">
        <v>21814</v>
      </c>
      <c r="D6901" s="25" t="s">
        <v>21815</v>
      </c>
      <c r="E6901" s="28">
        <v>8.00000</v>
      </c>
      <c r="F6901" s="29">
        <f ca="1">ROUND(2.390,3)</f>
        <v>0</v>
      </c>
      <c r="G6901" s="27">
        <f ca="1">ROUND(E6901*F6901,2)</f>
        <v>0</v>
      </c>
    </row>
    <row r="6902" spans="1:7" ht="49.08" thickBot="1" customHeight="1">
      <c r="A6902" s="24" t="s">
        <v>21816</v>
      </c>
      <c r="B6902" s="24" t="s">
        <v>21817</v>
      </c>
      <c r="C6902" s="24" t="s">
        <v>21818</v>
      </c>
      <c r="D6902" s="25" t="s">
        <v>21819</v>
      </c>
      <c r="E6902" s="28">
        <v>0.36000</v>
      </c>
      <c r="F6902" s="29">
        <f ca="1">ROUND(10.250,3)</f>
        <v>0</v>
      </c>
      <c r="G6902" s="27">
        <f ca="1">ROUND(E6902*F6902,2)</f>
        <v>0</v>
      </c>
    </row>
    <row r="6903" spans="1:7" ht="30.60" thickBot="1" customHeight="1">
      <c r="A6903" s="24" t="s">
        <v>21820</v>
      </c>
      <c r="B6903" s="24" t="s">
        <v>21821</v>
      </c>
      <c r="C6903" s="24" t="s">
        <v>21822</v>
      </c>
      <c r="D6903" s="25" t="s">
        <v>21823</v>
      </c>
      <c r="E6903" s="28">
        <v>0.03280</v>
      </c>
      <c r="F6903" s="29">
        <f ca="1">ROUND(11.740,3)</f>
        <v>0</v>
      </c>
      <c r="G6903" s="27">
        <f ca="1">ROUND(E6903*F6903,2)</f>
        <v>0</v>
      </c>
    </row>
    <row r="6904" spans="1:7" ht="30.60" thickBot="1" customHeight="1">
      <c r="A6904" s="24" t="s">
        <v>21824</v>
      </c>
      <c r="B6904" s="24" t="s">
        <v>21825</v>
      </c>
      <c r="C6904" s="24" t="s">
        <v>21826</v>
      </c>
      <c r="D6904" s="25" t="s">
        <v>21827</v>
      </c>
      <c r="E6904" s="28">
        <v>0.27500</v>
      </c>
      <c r="F6904" s="29">
        <f ca="1">ROUND(6.320,3)</f>
        <v>0</v>
      </c>
      <c r="G6904" s="27">
        <f ca="1">ROUND(E6904*F6904,2)</f>
        <v>0</v>
      </c>
    </row>
    <row r="6905" spans="1:7" ht="21.36" thickBot="1" customHeight="1">
      <c r="A6905" s="24" t="s">
        <v>21828</v>
      </c>
      <c r="B6905" s="24" t="s">
        <v>21829</v>
      </c>
      <c r="C6905" s="24" t="s">
        <v>21830</v>
      </c>
      <c r="D6905" s="25" t="s">
        <v>21831</v>
      </c>
      <c r="E6905" s="28">
        <v>0.55500</v>
      </c>
      <c r="F6905" s="29">
        <f ca="1">F6909</f>
        <v>0</v>
      </c>
      <c r="G6905" s="27">
        <f ca="1">ROUND(E6905*F6905,2)</f>
        <v>0</v>
      </c>
    </row>
    <row r="6906" spans="1:7" ht="24.36" thickBot="1" customHeight="1">
      <c r="A6906" s="24" t="s">
        <v>21832</v>
      </c>
      <c r="B6906" s="24" t="s">
        <v>21833</v>
      </c>
      <c r="C6906" s="24" t="s">
        <v>21834</v>
      </c>
      <c r="D6906" s="25" t="s">
        <v>21835</v>
      </c>
      <c r="E6906" s="28">
        <v>1.00000</v>
      </c>
      <c r="F6906" s="29">
        <f ca="1">ROUND(21.000,3)</f>
        <v>0</v>
      </c>
      <c r="G6906" s="27">
        <f ca="1">ROUND(E6906*F6906,2)</f>
        <v>0</v>
      </c>
    </row>
    <row r="6907" spans="1:7" ht="24.36" thickBot="1" customHeight="1">
      <c r="A6907" s="24" t="s">
        <v>21836</v>
      </c>
      <c r="B6907" s="24" t="s">
        <v>21837</v>
      </c>
      <c r="C6907" s="24" t="s">
        <v>21838</v>
      </c>
      <c r="D6907" s="25" t="s">
        <v>21839</v>
      </c>
      <c r="E6907" s="28">
        <v>1.00000</v>
      </c>
      <c r="F6907" s="29">
        <f ca="1">ROUND(19.000,3)</f>
        <v>0</v>
      </c>
      <c r="G6907" s="27">
        <f ca="1">ROUND(E6907*F6907,2)</f>
        <v>0</v>
      </c>
    </row>
    <row r="6908" spans="1:7" ht="24.36" thickBot="1" customHeight="1">
      <c r="A6908" s="24" t="s">
        <v>21840</v>
      </c>
      <c r="B6908" s="24" t="s">
        <v>21841</v>
      </c>
      <c r="C6908" s="24" t="s">
        <v>21842</v>
      </c>
      <c r="D6908" s="25" t="s">
        <v>21843</v>
      </c>
      <c r="E6908" s="28">
        <v>0.20000</v>
      </c>
      <c r="F6908" s="29">
        <f ca="1">ROUND(19.000,3)</f>
        <v>0</v>
      </c>
      <c r="G6908" s="27">
        <f ca="1">ROUND(E6908*F6908,2)</f>
        <v>0</v>
      </c>
    </row>
    <row r="6909" spans="1:7" ht="15.12" thickBot="1" customHeight="1">
      <c r="A6909" s="26"/>
      <c r="B6909" s="26"/>
      <c r="C6909" s="26"/>
      <c r="D6909" s="24" t="s">
        <v>21844</v>
      </c>
      <c r="E6909" s="28">
        <v>0.55500</v>
      </c>
      <c r="F6909" s="29">
        <f ca="1">ROUND((G6906+G6907+G6908),3)</f>
        <v>0</v>
      </c>
      <c r="G6909" s="27">
        <f ca="1">ROUND(E6909*F6909,2)</f>
        <v>0</v>
      </c>
    </row>
    <row r="6910" spans="1:7" ht="15.48" thickBot="1" customHeight="1">
      <c r="A6910" s="30"/>
      <c r="B6910" s="30"/>
      <c r="C6910" s="30"/>
      <c r="D6910" s="31" t="s">
        <v>21845</v>
      </c>
      <c r="E6910" s="30"/>
      <c r="F6910" s="33">
        <f ca="1">ROUND((G6901+G6902+G6903+G6904+G6905)*(1+G2/100),2)</f>
        <v>0</v>
      </c>
      <c r="G6910" s="30"/>
    </row>
    <row r="6911" spans="1:7" ht="21.36" thickBot="1" customHeight="1">
      <c r="A6911" s="34" t="s">
        <v>21846</v>
      </c>
      <c r="B6911" s="35" t="s">
        <v>21847</v>
      </c>
      <c r="C6911" s="35" t="s">
        <v>21848</v>
      </c>
      <c r="D6911" s="36" t="s">
        <v>21849</v>
      </c>
      <c r="E6911" s="37"/>
      <c r="F6911" s="38">
        <f ca="1">F6921</f>
        <v>0</v>
      </c>
      <c r="G6911" s="37"/>
    </row>
    <row r="6912" spans="1:7" ht="39.84" thickBot="1" customHeight="1">
      <c r="A6912" s="26"/>
      <c r="B6912" s="26"/>
      <c r="C6912" s="26"/>
      <c r="D6912" s="25" t="s">
        <v>21850</v>
      </c>
      <c r="E6912" s="25"/>
      <c r="F6912" s="25"/>
      <c r="G6912" s="25"/>
    </row>
    <row r="6913" spans="1:7" ht="30.60" thickBot="1" customHeight="1">
      <c r="A6913" s="24" t="s">
        <v>21851</v>
      </c>
      <c r="B6913" s="24" t="s">
        <v>21852</v>
      </c>
      <c r="C6913" s="24" t="s">
        <v>21853</v>
      </c>
      <c r="D6913" s="25" t="s">
        <v>21854</v>
      </c>
      <c r="E6913" s="28">
        <v>5.00000</v>
      </c>
      <c r="F6913" s="29">
        <f ca="1">ROUND(1.630,3)</f>
        <v>0</v>
      </c>
      <c r="G6913" s="27">
        <f ca="1">ROUND(E6913*F6913,2)</f>
        <v>0</v>
      </c>
    </row>
    <row r="6914" spans="1:7" ht="49.08" thickBot="1" customHeight="1">
      <c r="A6914" s="24" t="s">
        <v>21855</v>
      </c>
      <c r="B6914" s="24" t="s">
        <v>21856</v>
      </c>
      <c r="C6914" s="24" t="s">
        <v>21857</v>
      </c>
      <c r="D6914" s="25" t="s">
        <v>21858</v>
      </c>
      <c r="E6914" s="28">
        <v>0.24000</v>
      </c>
      <c r="F6914" s="29">
        <f ca="1">ROUND(10.250,3)</f>
        <v>0</v>
      </c>
      <c r="G6914" s="27">
        <f ca="1">ROUND(E6914*F6914,2)</f>
        <v>0</v>
      </c>
    </row>
    <row r="6915" spans="1:7" ht="30.60" thickBot="1" customHeight="1">
      <c r="A6915" s="24" t="s">
        <v>21859</v>
      </c>
      <c r="B6915" s="24" t="s">
        <v>21860</v>
      </c>
      <c r="C6915" s="24" t="s">
        <v>21861</v>
      </c>
      <c r="D6915" s="25" t="s">
        <v>21862</v>
      </c>
      <c r="E6915" s="28">
        <v>0.03280</v>
      </c>
      <c r="F6915" s="29">
        <f ca="1">ROUND(11.740,3)</f>
        <v>0</v>
      </c>
      <c r="G6915" s="27">
        <f ca="1">ROUND(E6915*F6915,2)</f>
        <v>0</v>
      </c>
    </row>
    <row r="6916" spans="1:7" ht="21.36" thickBot="1" customHeight="1">
      <c r="A6916" s="24" t="s">
        <v>21863</v>
      </c>
      <c r="B6916" s="24" t="s">
        <v>21864</v>
      </c>
      <c r="C6916" s="24" t="s">
        <v>21865</v>
      </c>
      <c r="D6916" s="25" t="s">
        <v>21866</v>
      </c>
      <c r="E6916" s="28">
        <v>0.65000</v>
      </c>
      <c r="F6916" s="29">
        <f ca="1">F6920</f>
        <v>0</v>
      </c>
      <c r="G6916" s="27">
        <f ca="1">ROUND(E6916*F6916,2)</f>
        <v>0</v>
      </c>
    </row>
    <row r="6917" spans="1:7" ht="24.36" thickBot="1" customHeight="1">
      <c r="A6917" s="24" t="s">
        <v>21867</v>
      </c>
      <c r="B6917" s="24" t="s">
        <v>21868</v>
      </c>
      <c r="C6917" s="24" t="s">
        <v>21869</v>
      </c>
      <c r="D6917" s="25" t="s">
        <v>21870</v>
      </c>
      <c r="E6917" s="28">
        <v>1.00000</v>
      </c>
      <c r="F6917" s="29">
        <f ca="1">ROUND(21.000,3)</f>
        <v>0</v>
      </c>
      <c r="G6917" s="27">
        <f ca="1">ROUND(E6917*F6917,2)</f>
        <v>0</v>
      </c>
    </row>
    <row r="6918" spans="1:7" ht="24.36" thickBot="1" customHeight="1">
      <c r="A6918" s="24" t="s">
        <v>21871</v>
      </c>
      <c r="B6918" s="24" t="s">
        <v>21872</v>
      </c>
      <c r="C6918" s="24" t="s">
        <v>21873</v>
      </c>
      <c r="D6918" s="25" t="s">
        <v>21874</v>
      </c>
      <c r="E6918" s="28">
        <v>1.00000</v>
      </c>
      <c r="F6918" s="29">
        <f ca="1">ROUND(19.000,3)</f>
        <v>0</v>
      </c>
      <c r="G6918" s="27">
        <f ca="1">ROUND(E6918*F6918,2)</f>
        <v>0</v>
      </c>
    </row>
    <row r="6919" spans="1:7" ht="24.36" thickBot="1" customHeight="1">
      <c r="A6919" s="24" t="s">
        <v>21875</v>
      </c>
      <c r="B6919" s="24" t="s">
        <v>21876</v>
      </c>
      <c r="C6919" s="24" t="s">
        <v>21877</v>
      </c>
      <c r="D6919" s="25" t="s">
        <v>21878</v>
      </c>
      <c r="E6919" s="28">
        <v>0.20000</v>
      </c>
      <c r="F6919" s="29">
        <f ca="1">ROUND(19.000,3)</f>
        <v>0</v>
      </c>
      <c r="G6919" s="27">
        <f ca="1">ROUND(E6919*F6919,2)</f>
        <v>0</v>
      </c>
    </row>
    <row r="6920" spans="1:7" ht="15.12" thickBot="1" customHeight="1">
      <c r="A6920" s="26"/>
      <c r="B6920" s="26"/>
      <c r="C6920" s="26"/>
      <c r="D6920" s="24" t="s">
        <v>21879</v>
      </c>
      <c r="E6920" s="28">
        <v>0.65000</v>
      </c>
      <c r="F6920" s="29">
        <f ca="1">ROUND((G6917+G6918+G6919),3)</f>
        <v>0</v>
      </c>
      <c r="G6920" s="27">
        <f ca="1">ROUND(E6920*F6920,2)</f>
        <v>0</v>
      </c>
    </row>
    <row r="6921" spans="1:7" ht="15.48" thickBot="1" customHeight="1">
      <c r="A6921" s="30"/>
      <c r="B6921" s="30"/>
      <c r="C6921" s="30"/>
      <c r="D6921" s="31" t="s">
        <v>21880</v>
      </c>
      <c r="E6921" s="30"/>
      <c r="F6921" s="33">
        <f ca="1">ROUND((G6913+G6914+G6915+G6916)*(1+G2/100),2)</f>
        <v>0</v>
      </c>
      <c r="G6921" s="30"/>
    </row>
    <row r="6922" spans="1:7" ht="25.08" thickBot="1" customHeight="1">
      <c r="A6922" s="34" t="s">
        <v>21881</v>
      </c>
      <c r="B6922" s="35" t="s">
        <v>21882</v>
      </c>
      <c r="C6922" s="35" t="s">
        <v>21883</v>
      </c>
      <c r="D6922" s="36" t="s">
        <v>21884</v>
      </c>
      <c r="E6922" s="37"/>
      <c r="F6922" s="38">
        <f ca="1">F6932</f>
        <v>0</v>
      </c>
      <c r="G6922" s="37"/>
    </row>
    <row r="6923" spans="1:7" ht="30.60" thickBot="1" customHeight="1">
      <c r="A6923" s="26"/>
      <c r="B6923" s="26"/>
      <c r="C6923" s="26"/>
      <c r="D6923" s="25" t="s">
        <v>21885</v>
      </c>
      <c r="E6923" s="25"/>
      <c r="F6923" s="25"/>
      <c r="G6923" s="25"/>
    </row>
    <row r="6924" spans="1:7" ht="30.60" thickBot="1" customHeight="1">
      <c r="A6924" s="24" t="s">
        <v>21886</v>
      </c>
      <c r="B6924" s="24" t="s">
        <v>21887</v>
      </c>
      <c r="C6924" s="24" t="s">
        <v>21888</v>
      </c>
      <c r="D6924" s="25" t="s">
        <v>21889</v>
      </c>
      <c r="E6924" s="28">
        <v>3.00000</v>
      </c>
      <c r="F6924" s="29">
        <f ca="1">ROUND(7.550,3)</f>
        <v>0</v>
      </c>
      <c r="G6924" s="27">
        <f ca="1">ROUND(E6924*F6924,2)</f>
        <v>0</v>
      </c>
    </row>
    <row r="6925" spans="1:7" ht="49.08" thickBot="1" customHeight="1">
      <c r="A6925" s="24" t="s">
        <v>21890</v>
      </c>
      <c r="B6925" s="24" t="s">
        <v>21891</v>
      </c>
      <c r="C6925" s="24" t="s">
        <v>21892</v>
      </c>
      <c r="D6925" s="25" t="s">
        <v>21893</v>
      </c>
      <c r="E6925" s="28">
        <v>0.10000</v>
      </c>
      <c r="F6925" s="29">
        <f ca="1">ROUND(10.250,3)</f>
        <v>0</v>
      </c>
      <c r="G6925" s="27">
        <f ca="1">ROUND(E6925*F6925,2)</f>
        <v>0</v>
      </c>
    </row>
    <row r="6926" spans="1:7" ht="30.60" thickBot="1" customHeight="1">
      <c r="A6926" s="24" t="s">
        <v>21894</v>
      </c>
      <c r="B6926" s="24" t="s">
        <v>21895</v>
      </c>
      <c r="C6926" s="24" t="s">
        <v>21896</v>
      </c>
      <c r="D6926" s="25" t="s">
        <v>21897</v>
      </c>
      <c r="E6926" s="28">
        <v>0.03280</v>
      </c>
      <c r="F6926" s="29">
        <f ca="1">ROUND(11.740,3)</f>
        <v>0</v>
      </c>
      <c r="G6926" s="27">
        <f ca="1">ROUND(E6926*F6926,2)</f>
        <v>0</v>
      </c>
    </row>
    <row r="6927" spans="1:7" ht="21.36" thickBot="1" customHeight="1">
      <c r="A6927" s="24" t="s">
        <v>21898</v>
      </c>
      <c r="B6927" s="24" t="s">
        <v>21899</v>
      </c>
      <c r="C6927" s="24" t="s">
        <v>21900</v>
      </c>
      <c r="D6927" s="25" t="s">
        <v>21901</v>
      </c>
      <c r="E6927" s="28">
        <v>0.50000</v>
      </c>
      <c r="F6927" s="29">
        <f ca="1">F6931</f>
        <v>0</v>
      </c>
      <c r="G6927" s="27">
        <f ca="1">ROUND(E6927*F6927,2)</f>
        <v>0</v>
      </c>
    </row>
    <row r="6928" spans="1:7" ht="24.36" thickBot="1" customHeight="1">
      <c r="A6928" s="24" t="s">
        <v>21902</v>
      </c>
      <c r="B6928" s="24" t="s">
        <v>21903</v>
      </c>
      <c r="C6928" s="24" t="s">
        <v>21904</v>
      </c>
      <c r="D6928" s="25" t="s">
        <v>21905</v>
      </c>
      <c r="E6928" s="28">
        <v>1.00000</v>
      </c>
      <c r="F6928" s="29">
        <f ca="1">ROUND(21.000,3)</f>
        <v>0</v>
      </c>
      <c r="G6928" s="27">
        <f ca="1">ROUND(E6928*F6928,2)</f>
        <v>0</v>
      </c>
    </row>
    <row r="6929" spans="1:7" ht="24.36" thickBot="1" customHeight="1">
      <c r="A6929" s="24" t="s">
        <v>21906</v>
      </c>
      <c r="B6929" s="24" t="s">
        <v>21907</v>
      </c>
      <c r="C6929" s="24" t="s">
        <v>21908</v>
      </c>
      <c r="D6929" s="25" t="s">
        <v>21909</v>
      </c>
      <c r="E6929" s="28">
        <v>1.00000</v>
      </c>
      <c r="F6929" s="29">
        <f ca="1">ROUND(19.000,3)</f>
        <v>0</v>
      </c>
      <c r="G6929" s="27">
        <f ca="1">ROUND(E6929*F6929,2)</f>
        <v>0</v>
      </c>
    </row>
    <row r="6930" spans="1:7" ht="24.36" thickBot="1" customHeight="1">
      <c r="A6930" s="24" t="s">
        <v>21910</v>
      </c>
      <c r="B6930" s="24" t="s">
        <v>21911</v>
      </c>
      <c r="C6930" s="24" t="s">
        <v>21912</v>
      </c>
      <c r="D6930" s="25" t="s">
        <v>21913</v>
      </c>
      <c r="E6930" s="28">
        <v>0.20000</v>
      </c>
      <c r="F6930" s="29">
        <f ca="1">ROUND(19.000,3)</f>
        <v>0</v>
      </c>
      <c r="G6930" s="27">
        <f ca="1">ROUND(E6930*F6930,2)</f>
        <v>0</v>
      </c>
    </row>
    <row r="6931" spans="1:7" ht="15.12" thickBot="1" customHeight="1">
      <c r="A6931" s="26"/>
      <c r="B6931" s="26"/>
      <c r="C6931" s="26"/>
      <c r="D6931" s="24" t="s">
        <v>21914</v>
      </c>
      <c r="E6931" s="28">
        <v>0.50000</v>
      </c>
      <c r="F6931" s="29">
        <f ca="1">ROUND((G6928+G6929+G6930),3)</f>
        <v>0</v>
      </c>
      <c r="G6931" s="27">
        <f ca="1">ROUND(E6931*F6931,2)</f>
        <v>0</v>
      </c>
    </row>
    <row r="6932" spans="1:7" ht="15.48" thickBot="1" customHeight="1">
      <c r="A6932" s="30"/>
      <c r="B6932" s="30"/>
      <c r="C6932" s="30"/>
      <c r="D6932" s="31" t="s">
        <v>21915</v>
      </c>
      <c r="E6932" s="30"/>
      <c r="F6932" s="33">
        <f ca="1">ROUND((G6924+G6925+G6926+G6927)*(1+G2/100),2)</f>
        <v>0</v>
      </c>
      <c r="G6932" s="30"/>
    </row>
    <row r="6933" spans="1:7" ht="15.48" thickBot="1" customHeight="1">
      <c r="A6933" s="34" t="s">
        <v>21916</v>
      </c>
      <c r="B6933" s="35" t="s">
        <v>21917</v>
      </c>
      <c r="C6933" s="35" t="s">
        <v>21918</v>
      </c>
      <c r="D6933" s="36" t="s">
        <v>21919</v>
      </c>
      <c r="E6933" s="37"/>
      <c r="F6933" s="38">
        <f ca="1">F6943</f>
        <v>0</v>
      </c>
      <c r="G6933" s="37"/>
    </row>
    <row r="6934" spans="1:7" ht="12.12" thickBot="1" customHeight="1">
      <c r="A6934" s="26"/>
      <c r="B6934" s="26"/>
      <c r="C6934" s="26"/>
      <c r="D6934" s="25" t="s">
        <v>21920</v>
      </c>
      <c r="E6934" s="25"/>
      <c r="F6934" s="25"/>
      <c r="G6934" s="25"/>
    </row>
    <row r="6935" spans="1:7" ht="15.12" thickBot="1" customHeight="1">
      <c r="A6935" s="24" t="s">
        <v>21921</v>
      </c>
      <c r="B6935" s="24" t="s">
        <v>21922</v>
      </c>
      <c r="C6935" s="24" t="s">
        <v>21923</v>
      </c>
      <c r="D6935" s="25" t="s">
        <v>21924</v>
      </c>
      <c r="E6935" s="28">
        <v>0.01230</v>
      </c>
      <c r="F6935" s="29">
        <f ca="1">F6942</f>
        <v>0</v>
      </c>
      <c r="G6935" s="27">
        <f ca="1">ROUND(E6935*F6935,2)</f>
        <v>0</v>
      </c>
    </row>
    <row r="6936" spans="1:7" ht="21.36" thickBot="1" customHeight="1">
      <c r="A6936" s="24" t="s">
        <v>21925</v>
      </c>
      <c r="B6936" s="24" t="s">
        <v>21926</v>
      </c>
      <c r="C6936" s="24" t="s">
        <v>21927</v>
      </c>
      <c r="D6936" s="25" t="s">
        <v>21928</v>
      </c>
      <c r="E6936" s="28">
        <v>36.00000</v>
      </c>
      <c r="F6936" s="29">
        <f ca="1">ROUND(41.080,3)</f>
        <v>0</v>
      </c>
      <c r="G6936" s="27">
        <f ca="1">ROUND(E6936*F6936,2)</f>
        <v>0</v>
      </c>
    </row>
    <row r="6937" spans="1:7" ht="15.12" thickBot="1" customHeight="1">
      <c r="A6937" s="24" t="s">
        <v>21929</v>
      </c>
      <c r="B6937" s="24" t="s">
        <v>21930</v>
      </c>
      <c r="C6937" s="24" t="s">
        <v>21931</v>
      </c>
      <c r="D6937" s="25" t="s">
        <v>21932</v>
      </c>
      <c r="E6937" s="28">
        <v>30.00000</v>
      </c>
      <c r="F6937" s="29">
        <f ca="1">ROUND(22.720,3)</f>
        <v>0</v>
      </c>
      <c r="G6937" s="27">
        <f ca="1">ROUND(E6937*F6937,2)</f>
        <v>0</v>
      </c>
    </row>
    <row r="6938" spans="1:7" ht="24.36" thickBot="1" customHeight="1">
      <c r="A6938" s="24" t="s">
        <v>21933</v>
      </c>
      <c r="B6938" s="24" t="s">
        <v>21934</v>
      </c>
      <c r="C6938" s="24" t="s">
        <v>21935</v>
      </c>
      <c r="D6938" s="25" t="s">
        <v>21936</v>
      </c>
      <c r="E6938" s="28">
        <v>13.00000</v>
      </c>
      <c r="F6938" s="29">
        <f ca="1">ROUND(4.890,3)</f>
        <v>0</v>
      </c>
      <c r="G6938" s="27">
        <f ca="1">ROUND(E6938*F6938,2)</f>
        <v>0</v>
      </c>
    </row>
    <row r="6939" spans="1:7" ht="21.36" thickBot="1" customHeight="1">
      <c r="A6939" s="24" t="s">
        <v>21937</v>
      </c>
      <c r="B6939" s="24" t="s">
        <v>21938</v>
      </c>
      <c r="C6939" s="24" t="s">
        <v>21939</v>
      </c>
      <c r="D6939" s="25" t="s">
        <v>21940</v>
      </c>
      <c r="E6939" s="28">
        <v>8.00000</v>
      </c>
      <c r="F6939" s="29">
        <f ca="1">ROUND(91.000,3)</f>
        <v>0</v>
      </c>
      <c r="G6939" s="27">
        <f ca="1">ROUND(E6939*F6939,2)</f>
        <v>0</v>
      </c>
    </row>
    <row r="6940" spans="1:7" ht="49.08" thickBot="1" customHeight="1">
      <c r="A6940" s="24" t="s">
        <v>21941</v>
      </c>
      <c r="B6940" s="24" t="s">
        <v>21942</v>
      </c>
      <c r="C6940" s="24" t="s">
        <v>21943</v>
      </c>
      <c r="D6940" s="25" t="s">
        <v>21944</v>
      </c>
      <c r="E6940" s="28">
        <v>32.00000</v>
      </c>
      <c r="F6940" s="29">
        <f ca="1">ROUND(10.250,3)</f>
        <v>0</v>
      </c>
      <c r="G6940" s="27">
        <f ca="1">ROUND(E6940*F6940,2)</f>
        <v>0</v>
      </c>
    </row>
    <row r="6941" spans="1:7" ht="24.36" thickBot="1" customHeight="1">
      <c r="A6941" s="24" t="s">
        <v>21945</v>
      </c>
      <c r="B6941" s="24" t="s">
        <v>21946</v>
      </c>
      <c r="C6941" s="24" t="s">
        <v>21947</v>
      </c>
      <c r="D6941" s="25" t="s">
        <v>21948</v>
      </c>
      <c r="E6941" s="28">
        <v>40.00000</v>
      </c>
      <c r="F6941" s="29">
        <f ca="1">ROUND(49.500,3)</f>
        <v>0</v>
      </c>
      <c r="G6941" s="27">
        <f ca="1">ROUND(E6941*F6941,2)</f>
        <v>0</v>
      </c>
    </row>
    <row r="6942" spans="1:7" ht="15.12" thickBot="1" customHeight="1">
      <c r="A6942" s="26"/>
      <c r="B6942" s="26"/>
      <c r="C6942" s="26"/>
      <c r="D6942" s="24" t="s">
        <v>21949</v>
      </c>
      <c r="E6942" s="28">
        <v>0.01230</v>
      </c>
      <c r="F6942" s="29">
        <f ca="1">ROUND((G6936+G6937+G6938+G6939+G6940+G6941),3)</f>
        <v>0</v>
      </c>
      <c r="G6942" s="27">
        <f ca="1">ROUND(E6942*F6942,2)</f>
        <v>0</v>
      </c>
    </row>
    <row r="6943" spans="1:7" ht="15.48" thickBot="1" customHeight="1">
      <c r="A6943" s="30"/>
      <c r="B6943" s="30"/>
      <c r="C6943" s="30"/>
      <c r="D6943" s="31" t="s">
        <v>21950</v>
      </c>
      <c r="E6943" s="30"/>
      <c r="F6943" s="33">
        <f ca="1">ROUND((G6935)*(1+G2/100),2)</f>
        <v>0</v>
      </c>
      <c r="G6943" s="30"/>
    </row>
    <row r="6944" spans="1:7" ht="67.56" thickBot="1" customHeight="1">
      <c r="A6944" s="34" t="s">
        <v>21951</v>
      </c>
      <c r="B6944" s="35" t="s">
        <v>21952</v>
      </c>
      <c r="C6944" s="35" t="s">
        <v>21953</v>
      </c>
      <c r="D6944" s="36" t="s">
        <v>21954</v>
      </c>
      <c r="E6944" s="37"/>
      <c r="F6944" s="38">
        <f ca="1">F6952</f>
        <v>0</v>
      </c>
      <c r="G6944" s="37"/>
    </row>
    <row r="6945" spans="1:7" ht="21.36" thickBot="1" customHeight="1">
      <c r="A6945" s="26"/>
      <c r="B6945" s="26"/>
      <c r="C6945" s="26"/>
      <c r="D6945" s="25" t="s">
        <v>21955</v>
      </c>
      <c r="E6945" s="25"/>
      <c r="F6945" s="25"/>
      <c r="G6945" s="25"/>
    </row>
    <row r="6946" spans="1:7" ht="21.36" thickBot="1" customHeight="1">
      <c r="A6946" s="24" t="s">
        <v>21956</v>
      </c>
      <c r="B6946" s="24" t="s">
        <v>21957</v>
      </c>
      <c r="C6946" s="24" t="s">
        <v>21958</v>
      </c>
      <c r="D6946" s="25" t="s">
        <v>21959</v>
      </c>
      <c r="E6946" s="28">
        <v>0.66667</v>
      </c>
      <c r="F6946" s="29">
        <f ca="1">F6950</f>
        <v>0</v>
      </c>
      <c r="G6946" s="27">
        <f ca="1">ROUND(E6946*F6946,2)</f>
        <v>0</v>
      </c>
    </row>
    <row r="6947" spans="1:7" ht="24.36" thickBot="1" customHeight="1">
      <c r="A6947" s="24" t="s">
        <v>21960</v>
      </c>
      <c r="B6947" s="24" t="s">
        <v>21961</v>
      </c>
      <c r="C6947" s="24" t="s">
        <v>21962</v>
      </c>
      <c r="D6947" s="25" t="s">
        <v>21963</v>
      </c>
      <c r="E6947" s="28">
        <v>1.00000</v>
      </c>
      <c r="F6947" s="29">
        <f ca="1">ROUND(21.000,3)</f>
        <v>0</v>
      </c>
      <c r="G6947" s="27">
        <f ca="1">ROUND(E6947*F6947,2)</f>
        <v>0</v>
      </c>
    </row>
    <row r="6948" spans="1:7" ht="24.36" thickBot="1" customHeight="1">
      <c r="A6948" s="24" t="s">
        <v>21964</v>
      </c>
      <c r="B6948" s="24" t="s">
        <v>21965</v>
      </c>
      <c r="C6948" s="24" t="s">
        <v>21966</v>
      </c>
      <c r="D6948" s="25" t="s">
        <v>21967</v>
      </c>
      <c r="E6948" s="28">
        <v>1.00000</v>
      </c>
      <c r="F6948" s="29">
        <f ca="1">ROUND(19.000,3)</f>
        <v>0</v>
      </c>
      <c r="G6948" s="27">
        <f ca="1">ROUND(E6948*F6948,2)</f>
        <v>0</v>
      </c>
    </row>
    <row r="6949" spans="1:7" ht="24.36" thickBot="1" customHeight="1">
      <c r="A6949" s="24" t="s">
        <v>21968</v>
      </c>
      <c r="B6949" s="24" t="s">
        <v>21969</v>
      </c>
      <c r="C6949" s="24" t="s">
        <v>21970</v>
      </c>
      <c r="D6949" s="25" t="s">
        <v>21971</v>
      </c>
      <c r="E6949" s="28">
        <v>0.20000</v>
      </c>
      <c r="F6949" s="29">
        <f ca="1">ROUND(19.000,3)</f>
        <v>0</v>
      </c>
      <c r="G6949" s="27">
        <f ca="1">ROUND(E6949*F6949,2)</f>
        <v>0</v>
      </c>
    </row>
    <row r="6950" spans="1:7" ht="15.12" thickBot="1" customHeight="1">
      <c r="A6950" s="26"/>
      <c r="B6950" s="26"/>
      <c r="C6950" s="26"/>
      <c r="D6950" s="24" t="s">
        <v>21972</v>
      </c>
      <c r="E6950" s="28">
        <v>0.66667</v>
      </c>
      <c r="F6950" s="29">
        <f ca="1">ROUND((G6947+G6948+G6949),3)</f>
        <v>0</v>
      </c>
      <c r="G6950" s="27">
        <f ca="1">ROUND(E6950*F6950,2)</f>
        <v>0</v>
      </c>
    </row>
    <row r="6951" spans="1:7" ht="15.12" thickBot="1" customHeight="1">
      <c r="A6951" s="24" t="s">
        <v>21973</v>
      </c>
      <c r="B6951" s="24"/>
      <c r="C6951" s="24" t="s">
        <v>21974</v>
      </c>
      <c r="D6951" s="25" t="s">
        <v>21975</v>
      </c>
      <c r="E6951" s="28">
        <v>5.00000</v>
      </c>
      <c r="F6951" s="29">
        <f ca="1">ROUND(29.200,3)</f>
        <v>0</v>
      </c>
      <c r="G6951" s="27">
        <f ca="1">ROUND((E6951*F6951)/100,2)</f>
        <v>0</v>
      </c>
    </row>
    <row r="6952" spans="1:7" ht="15.48" thickBot="1" customHeight="1">
      <c r="A6952" s="30"/>
      <c r="B6952" s="30"/>
      <c r="C6952" s="30"/>
      <c r="D6952" s="31" t="s">
        <v>21976</v>
      </c>
      <c r="E6952" s="30"/>
      <c r="F6952" s="33">
        <f ca="1">ROUND((G6946+G6951)*(1+G2/100),2)</f>
        <v>0</v>
      </c>
      <c r="G6952" s="30"/>
    </row>
    <row r="6953" spans="1:7" ht="67.56" thickBot="1" customHeight="1">
      <c r="A6953" s="34" t="s">
        <v>21977</v>
      </c>
      <c r="B6953" s="35" t="s">
        <v>21978</v>
      </c>
      <c r="C6953" s="35" t="s">
        <v>21979</v>
      </c>
      <c r="D6953" s="36" t="s">
        <v>21980</v>
      </c>
      <c r="E6953" s="37"/>
      <c r="F6953" s="38">
        <f ca="1">F6961</f>
        <v>0</v>
      </c>
      <c r="G6953" s="37"/>
    </row>
    <row r="6954" spans="1:7" ht="30.60" thickBot="1" customHeight="1">
      <c r="A6954" s="26"/>
      <c r="B6954" s="26"/>
      <c r="C6954" s="26"/>
      <c r="D6954" s="25" t="s">
        <v>21981</v>
      </c>
      <c r="E6954" s="25"/>
      <c r="F6954" s="25"/>
      <c r="G6954" s="25"/>
    </row>
    <row r="6955" spans="1:7" ht="21.36" thickBot="1" customHeight="1">
      <c r="A6955" s="24" t="s">
        <v>21982</v>
      </c>
      <c r="B6955" s="24" t="s">
        <v>21983</v>
      </c>
      <c r="C6955" s="24" t="s">
        <v>21984</v>
      </c>
      <c r="D6955" s="25" t="s">
        <v>21985</v>
      </c>
      <c r="E6955" s="28">
        <v>0.44444</v>
      </c>
      <c r="F6955" s="29">
        <f ca="1">F6959</f>
        <v>0</v>
      </c>
      <c r="G6955" s="27">
        <f ca="1">ROUND(E6955*F6955,2)</f>
        <v>0</v>
      </c>
    </row>
    <row r="6956" spans="1:7" ht="24.36" thickBot="1" customHeight="1">
      <c r="A6956" s="24" t="s">
        <v>21986</v>
      </c>
      <c r="B6956" s="24" t="s">
        <v>21987</v>
      </c>
      <c r="C6956" s="24" t="s">
        <v>21988</v>
      </c>
      <c r="D6956" s="25" t="s">
        <v>21989</v>
      </c>
      <c r="E6956" s="28">
        <v>1.00000</v>
      </c>
      <c r="F6956" s="29">
        <f ca="1">ROUND(21.000,3)</f>
        <v>0</v>
      </c>
      <c r="G6956" s="27">
        <f ca="1">ROUND(E6956*F6956,2)</f>
        <v>0</v>
      </c>
    </row>
    <row r="6957" spans="1:7" ht="24.36" thickBot="1" customHeight="1">
      <c r="A6957" s="24" t="s">
        <v>21990</v>
      </c>
      <c r="B6957" s="24" t="s">
        <v>21991</v>
      </c>
      <c r="C6957" s="24" t="s">
        <v>21992</v>
      </c>
      <c r="D6957" s="25" t="s">
        <v>21993</v>
      </c>
      <c r="E6957" s="28">
        <v>1.00000</v>
      </c>
      <c r="F6957" s="29">
        <f ca="1">ROUND(19.000,3)</f>
        <v>0</v>
      </c>
      <c r="G6957" s="27">
        <f ca="1">ROUND(E6957*F6957,2)</f>
        <v>0</v>
      </c>
    </row>
    <row r="6958" spans="1:7" ht="24.36" thickBot="1" customHeight="1">
      <c r="A6958" s="24" t="s">
        <v>21994</v>
      </c>
      <c r="B6958" s="24" t="s">
        <v>21995</v>
      </c>
      <c r="C6958" s="24" t="s">
        <v>21996</v>
      </c>
      <c r="D6958" s="25" t="s">
        <v>21997</v>
      </c>
      <c r="E6958" s="28">
        <v>0.20000</v>
      </c>
      <c r="F6958" s="29">
        <f ca="1">ROUND(19.000,3)</f>
        <v>0</v>
      </c>
      <c r="G6958" s="27">
        <f ca="1">ROUND(E6958*F6958,2)</f>
        <v>0</v>
      </c>
    </row>
    <row r="6959" spans="1:7" ht="15.12" thickBot="1" customHeight="1">
      <c r="A6959" s="26"/>
      <c r="B6959" s="26"/>
      <c r="C6959" s="26"/>
      <c r="D6959" s="24" t="s">
        <v>21998</v>
      </c>
      <c r="E6959" s="28">
        <v>0.44444</v>
      </c>
      <c r="F6959" s="29">
        <f ca="1">ROUND((G6956+G6957+G6958),3)</f>
        <v>0</v>
      </c>
      <c r="G6959" s="27">
        <f ca="1">ROUND(E6959*F6959,2)</f>
        <v>0</v>
      </c>
    </row>
    <row r="6960" spans="1:7" ht="15.12" thickBot="1" customHeight="1">
      <c r="A6960" s="24" t="s">
        <v>21999</v>
      </c>
      <c r="B6960" s="24"/>
      <c r="C6960" s="24" t="s">
        <v>22000</v>
      </c>
      <c r="D6960" s="25" t="s">
        <v>22001</v>
      </c>
      <c r="E6960" s="28">
        <v>5.00000</v>
      </c>
      <c r="F6960" s="29">
        <f ca="1">ROUND(19.470,3)</f>
        <v>0</v>
      </c>
      <c r="G6960" s="27">
        <f ca="1">ROUND((E6960*F6960)/100,2)</f>
        <v>0</v>
      </c>
    </row>
    <row r="6961" spans="1:7" ht="15.48" thickBot="1" customHeight="1">
      <c r="A6961" s="30"/>
      <c r="B6961" s="30"/>
      <c r="C6961" s="30"/>
      <c r="D6961" s="31" t="s">
        <v>22002</v>
      </c>
      <c r="E6961" s="30"/>
      <c r="F6961" s="33">
        <f ca="1">ROUND((G6955+G6960)*(1+G2/100),2)</f>
        <v>0</v>
      </c>
      <c r="G6961" s="30"/>
    </row>
    <row r="6962" spans="1:7" ht="67.56" thickBot="1" customHeight="1">
      <c r="A6962" s="34" t="s">
        <v>22003</v>
      </c>
      <c r="B6962" s="35" t="s">
        <v>22004</v>
      </c>
      <c r="C6962" s="35" t="s">
        <v>22005</v>
      </c>
      <c r="D6962" s="36" t="s">
        <v>22006</v>
      </c>
      <c r="E6962" s="37"/>
      <c r="F6962" s="38">
        <f ca="1">F6972</f>
        <v>0</v>
      </c>
      <c r="G6962" s="37"/>
    </row>
    <row r="6963" spans="1:7" ht="30.60" thickBot="1" customHeight="1">
      <c r="A6963" s="26"/>
      <c r="B6963" s="26"/>
      <c r="C6963" s="26"/>
      <c r="D6963" s="25" t="s">
        <v>22007</v>
      </c>
      <c r="E6963" s="25"/>
      <c r="F6963" s="25"/>
      <c r="G6963" s="25"/>
    </row>
    <row r="6964" spans="1:7" ht="30.60" thickBot="1" customHeight="1">
      <c r="A6964" s="24" t="s">
        <v>22008</v>
      </c>
      <c r="B6964" s="24" t="s">
        <v>22009</v>
      </c>
      <c r="C6964" s="24" t="s">
        <v>22010</v>
      </c>
      <c r="D6964" s="25" t="s">
        <v>22011</v>
      </c>
      <c r="E6964" s="28">
        <v>0.05000</v>
      </c>
      <c r="F6964" s="29">
        <f ca="1">ROUND(8.810,3)</f>
        <v>0</v>
      </c>
      <c r="G6964" s="27">
        <f ca="1">ROUND(E6964*F6964,2)</f>
        <v>0</v>
      </c>
    </row>
    <row r="6965" spans="1:7" ht="21.36" thickBot="1" customHeight="1">
      <c r="A6965" s="24" t="s">
        <v>22012</v>
      </c>
      <c r="B6965" s="24" t="s">
        <v>22013</v>
      </c>
      <c r="C6965" s="24" t="s">
        <v>22014</v>
      </c>
      <c r="D6965" s="25" t="s">
        <v>22015</v>
      </c>
      <c r="E6965" s="28">
        <v>0.11428</v>
      </c>
      <c r="F6965" s="29">
        <f ca="1">ROUND(3.250,3)</f>
        <v>0</v>
      </c>
      <c r="G6965" s="27">
        <f ca="1">ROUND(E6965*F6965,2)</f>
        <v>0</v>
      </c>
    </row>
    <row r="6966" spans="1:7" ht="21.36" thickBot="1" customHeight="1">
      <c r="A6966" s="24" t="s">
        <v>22016</v>
      </c>
      <c r="B6966" s="24" t="s">
        <v>22017</v>
      </c>
      <c r="C6966" s="24" t="s">
        <v>22018</v>
      </c>
      <c r="D6966" s="25" t="s">
        <v>22019</v>
      </c>
      <c r="E6966" s="28">
        <v>0.26667</v>
      </c>
      <c r="F6966" s="29">
        <f ca="1">F6970</f>
        <v>0</v>
      </c>
      <c r="G6966" s="27">
        <f ca="1">ROUND(E6966*F6966,2)</f>
        <v>0</v>
      </c>
    </row>
    <row r="6967" spans="1:7" ht="24.36" thickBot="1" customHeight="1">
      <c r="A6967" s="24" t="s">
        <v>22020</v>
      </c>
      <c r="B6967" s="24" t="s">
        <v>22021</v>
      </c>
      <c r="C6967" s="24" t="s">
        <v>22022</v>
      </c>
      <c r="D6967" s="25" t="s">
        <v>22023</v>
      </c>
      <c r="E6967" s="28">
        <v>1.00000</v>
      </c>
      <c r="F6967" s="29">
        <f ca="1">ROUND(21.000,3)</f>
        <v>0</v>
      </c>
      <c r="G6967" s="27">
        <f ca="1">ROUND(E6967*F6967,2)</f>
        <v>0</v>
      </c>
    </row>
    <row r="6968" spans="1:7" ht="24.36" thickBot="1" customHeight="1">
      <c r="A6968" s="24" t="s">
        <v>22024</v>
      </c>
      <c r="B6968" s="24" t="s">
        <v>22025</v>
      </c>
      <c r="C6968" s="24" t="s">
        <v>22026</v>
      </c>
      <c r="D6968" s="25" t="s">
        <v>22027</v>
      </c>
      <c r="E6968" s="28">
        <v>1.00000</v>
      </c>
      <c r="F6968" s="29">
        <f ca="1">ROUND(19.000,3)</f>
        <v>0</v>
      </c>
      <c r="G6968" s="27">
        <f ca="1">ROUND(E6968*F6968,2)</f>
        <v>0</v>
      </c>
    </row>
    <row r="6969" spans="1:7" ht="24.36" thickBot="1" customHeight="1">
      <c r="A6969" s="24" t="s">
        <v>22028</v>
      </c>
      <c r="B6969" s="24" t="s">
        <v>22029</v>
      </c>
      <c r="C6969" s="24" t="s">
        <v>22030</v>
      </c>
      <c r="D6969" s="25" t="s">
        <v>22031</v>
      </c>
      <c r="E6969" s="28">
        <v>0.20000</v>
      </c>
      <c r="F6969" s="29">
        <f ca="1">ROUND(19.000,3)</f>
        <v>0</v>
      </c>
      <c r="G6969" s="27">
        <f ca="1">ROUND(E6969*F6969,2)</f>
        <v>0</v>
      </c>
    </row>
    <row r="6970" spans="1:7" ht="15.12" thickBot="1" customHeight="1">
      <c r="A6970" s="26"/>
      <c r="B6970" s="26"/>
      <c r="C6970" s="26"/>
      <c r="D6970" s="24" t="s">
        <v>22032</v>
      </c>
      <c r="E6970" s="28">
        <v>0.26667</v>
      </c>
      <c r="F6970" s="29">
        <f ca="1">ROUND((G6967+G6968+G6969),3)</f>
        <v>0</v>
      </c>
      <c r="G6970" s="27">
        <f ca="1">ROUND(E6970*F6970,2)</f>
        <v>0</v>
      </c>
    </row>
    <row r="6971" spans="1:7" ht="15.12" thickBot="1" customHeight="1">
      <c r="A6971" s="24" t="s">
        <v>22033</v>
      </c>
      <c r="B6971" s="24"/>
      <c r="C6971" s="24" t="s">
        <v>22034</v>
      </c>
      <c r="D6971" s="25" t="s">
        <v>22035</v>
      </c>
      <c r="E6971" s="28">
        <v>3.00000</v>
      </c>
      <c r="F6971" s="29">
        <f ca="1">ROUND(11.680,3)</f>
        <v>0</v>
      </c>
      <c r="G6971" s="27">
        <f ca="1">ROUND((E6971*F6971)/100,2)</f>
        <v>0</v>
      </c>
    </row>
    <row r="6972" spans="1:7" ht="15.48" thickBot="1" customHeight="1">
      <c r="A6972" s="30"/>
      <c r="B6972" s="30"/>
      <c r="C6972" s="30"/>
      <c r="D6972" s="31" t="s">
        <v>22036</v>
      </c>
      <c r="E6972" s="30"/>
      <c r="F6972" s="33">
        <f ca="1">ROUND((G6964+G6965+G6966+G6971)*(1+G2/100),2)</f>
        <v>0</v>
      </c>
      <c r="G6972" s="30"/>
    </row>
    <row r="6973" spans="1:7" ht="67.56" thickBot="1" customHeight="1">
      <c r="A6973" s="34" t="s">
        <v>22037</v>
      </c>
      <c r="B6973" s="35" t="s">
        <v>22038</v>
      </c>
      <c r="C6973" s="35" t="s">
        <v>22039</v>
      </c>
      <c r="D6973" s="36" t="s">
        <v>22040</v>
      </c>
      <c r="E6973" s="37"/>
      <c r="F6973" s="38">
        <f ca="1">F6983</f>
        <v>0</v>
      </c>
      <c r="G6973" s="37"/>
    </row>
    <row r="6974" spans="1:7" ht="21.36" thickBot="1" customHeight="1">
      <c r="A6974" s="26"/>
      <c r="B6974" s="26"/>
      <c r="C6974" s="26"/>
      <c r="D6974" s="25" t="s">
        <v>22041</v>
      </c>
      <c r="E6974" s="25"/>
      <c r="F6974" s="25"/>
      <c r="G6974" s="25"/>
    </row>
    <row r="6975" spans="1:7" ht="30.60" thickBot="1" customHeight="1">
      <c r="A6975" s="24" t="s">
        <v>22042</v>
      </c>
      <c r="B6975" s="24" t="s">
        <v>22043</v>
      </c>
      <c r="C6975" s="24" t="s">
        <v>22044</v>
      </c>
      <c r="D6975" s="25" t="s">
        <v>22045</v>
      </c>
      <c r="E6975" s="28">
        <v>0.05000</v>
      </c>
      <c r="F6975" s="29">
        <f ca="1">ROUND(8.810,3)</f>
        <v>0</v>
      </c>
      <c r="G6975" s="27">
        <f ca="1">ROUND(E6975*F6975,2)</f>
        <v>0</v>
      </c>
    </row>
    <row r="6976" spans="1:7" ht="21.36" thickBot="1" customHeight="1">
      <c r="A6976" s="24" t="s">
        <v>22046</v>
      </c>
      <c r="B6976" s="24" t="s">
        <v>22047</v>
      </c>
      <c r="C6976" s="24" t="s">
        <v>22048</v>
      </c>
      <c r="D6976" s="25" t="s">
        <v>22049</v>
      </c>
      <c r="E6976" s="28">
        <v>0.16000</v>
      </c>
      <c r="F6976" s="29">
        <f ca="1">ROUND(3.250,3)</f>
        <v>0</v>
      </c>
      <c r="G6976" s="27">
        <f ca="1">ROUND(E6976*F6976,2)</f>
        <v>0</v>
      </c>
    </row>
    <row r="6977" spans="1:7" ht="21.36" thickBot="1" customHeight="1">
      <c r="A6977" s="24" t="s">
        <v>22050</v>
      </c>
      <c r="B6977" s="24" t="s">
        <v>22051</v>
      </c>
      <c r="C6977" s="24" t="s">
        <v>22052</v>
      </c>
      <c r="D6977" s="25" t="s">
        <v>22053</v>
      </c>
      <c r="E6977" s="28">
        <v>0.40000</v>
      </c>
      <c r="F6977" s="29">
        <f ca="1">F6981</f>
        <v>0</v>
      </c>
      <c r="G6977" s="27">
        <f ca="1">ROUND(E6977*F6977,2)</f>
        <v>0</v>
      </c>
    </row>
    <row r="6978" spans="1:7" ht="24.36" thickBot="1" customHeight="1">
      <c r="A6978" s="24" t="s">
        <v>22054</v>
      </c>
      <c r="B6978" s="24" t="s">
        <v>22055</v>
      </c>
      <c r="C6978" s="24" t="s">
        <v>22056</v>
      </c>
      <c r="D6978" s="25" t="s">
        <v>22057</v>
      </c>
      <c r="E6978" s="28">
        <v>1.00000</v>
      </c>
      <c r="F6978" s="29">
        <f ca="1">ROUND(21.000,3)</f>
        <v>0</v>
      </c>
      <c r="G6978" s="27">
        <f ca="1">ROUND(E6978*F6978,2)</f>
        <v>0</v>
      </c>
    </row>
    <row r="6979" spans="1:7" ht="24.36" thickBot="1" customHeight="1">
      <c r="A6979" s="24" t="s">
        <v>22058</v>
      </c>
      <c r="B6979" s="24" t="s">
        <v>22059</v>
      </c>
      <c r="C6979" s="24" t="s">
        <v>22060</v>
      </c>
      <c r="D6979" s="25" t="s">
        <v>22061</v>
      </c>
      <c r="E6979" s="28">
        <v>1.00000</v>
      </c>
      <c r="F6979" s="29">
        <f ca="1">ROUND(19.000,3)</f>
        <v>0</v>
      </c>
      <c r="G6979" s="27">
        <f ca="1">ROUND(E6979*F6979,2)</f>
        <v>0</v>
      </c>
    </row>
    <row r="6980" spans="1:7" ht="24.36" thickBot="1" customHeight="1">
      <c r="A6980" s="24" t="s">
        <v>22062</v>
      </c>
      <c r="B6980" s="24" t="s">
        <v>22063</v>
      </c>
      <c r="C6980" s="24" t="s">
        <v>22064</v>
      </c>
      <c r="D6980" s="25" t="s">
        <v>22065</v>
      </c>
      <c r="E6980" s="28">
        <v>0.20000</v>
      </c>
      <c r="F6980" s="29">
        <f ca="1">ROUND(19.000,3)</f>
        <v>0</v>
      </c>
      <c r="G6980" s="27">
        <f ca="1">ROUND(E6980*F6980,2)</f>
        <v>0</v>
      </c>
    </row>
    <row r="6981" spans="1:7" ht="15.12" thickBot="1" customHeight="1">
      <c r="A6981" s="26"/>
      <c r="B6981" s="26"/>
      <c r="C6981" s="26"/>
      <c r="D6981" s="24" t="s">
        <v>22066</v>
      </c>
      <c r="E6981" s="28">
        <v>0.40000</v>
      </c>
      <c r="F6981" s="29">
        <f ca="1">ROUND((G6978+G6979+G6980),3)</f>
        <v>0</v>
      </c>
      <c r="G6981" s="27">
        <f ca="1">ROUND(E6981*F6981,2)</f>
        <v>0</v>
      </c>
    </row>
    <row r="6982" spans="1:7" ht="15.12" thickBot="1" customHeight="1">
      <c r="A6982" s="24" t="s">
        <v>22067</v>
      </c>
      <c r="B6982" s="24"/>
      <c r="C6982" s="24" t="s">
        <v>22068</v>
      </c>
      <c r="D6982" s="25" t="s">
        <v>22069</v>
      </c>
      <c r="E6982" s="28">
        <v>3.00000</v>
      </c>
      <c r="F6982" s="29">
        <f ca="1">ROUND(17.520,3)</f>
        <v>0</v>
      </c>
      <c r="G6982" s="27">
        <f ca="1">ROUND((E6982*F6982)/100,2)</f>
        <v>0</v>
      </c>
    </row>
    <row r="6983" spans="1:7" ht="15.48" thickBot="1" customHeight="1">
      <c r="A6983" s="30"/>
      <c r="B6983" s="30"/>
      <c r="C6983" s="30"/>
      <c r="D6983" s="31" t="s">
        <v>22070</v>
      </c>
      <c r="E6983" s="30"/>
      <c r="F6983" s="33">
        <f ca="1">ROUND((G6975+G6976+G6977+G6982)*(1+G2/100),2)</f>
        <v>0</v>
      </c>
      <c r="G6983" s="30"/>
    </row>
    <row r="6984" spans="1:7" ht="25.08" thickBot="1" customHeight="1">
      <c r="A6984" s="34" t="s">
        <v>22071</v>
      </c>
      <c r="B6984" s="35" t="s">
        <v>22072</v>
      </c>
      <c r="C6984" s="35" t="s">
        <v>22073</v>
      </c>
      <c r="D6984" s="36" t="s">
        <v>22074</v>
      </c>
      <c r="E6984" s="37"/>
      <c r="F6984" s="38">
        <f ca="1">F6992</f>
        <v>0</v>
      </c>
      <c r="G6984" s="37"/>
    </row>
    <row r="6985" spans="1:7" ht="12.12" thickBot="1" customHeight="1">
      <c r="A6985" s="26"/>
      <c r="B6985" s="26"/>
      <c r="C6985" s="26"/>
      <c r="D6985" s="25" t="s">
        <v>22075</v>
      </c>
      <c r="E6985" s="25"/>
      <c r="F6985" s="25"/>
      <c r="G6985" s="25"/>
    </row>
    <row r="6986" spans="1:7" ht="21.36" thickBot="1" customHeight="1">
      <c r="A6986" s="24" t="s">
        <v>22076</v>
      </c>
      <c r="B6986" s="24" t="s">
        <v>22077</v>
      </c>
      <c r="C6986" s="24" t="s">
        <v>22078</v>
      </c>
      <c r="D6986" s="25" t="s">
        <v>22079</v>
      </c>
      <c r="E6986" s="28">
        <v>8.00000</v>
      </c>
      <c r="F6986" s="29">
        <f ca="1">F6990</f>
        <v>0</v>
      </c>
      <c r="G6986" s="27">
        <f ca="1">ROUND(E6986*F6986,2)</f>
        <v>0</v>
      </c>
    </row>
    <row r="6987" spans="1:7" ht="24.36" thickBot="1" customHeight="1">
      <c r="A6987" s="24" t="s">
        <v>22080</v>
      </c>
      <c r="B6987" s="24" t="s">
        <v>22081</v>
      </c>
      <c r="C6987" s="24" t="s">
        <v>22082</v>
      </c>
      <c r="D6987" s="25" t="s">
        <v>22083</v>
      </c>
      <c r="E6987" s="28">
        <v>1.00000</v>
      </c>
      <c r="F6987" s="29">
        <f ca="1">ROUND(21.000,3)</f>
        <v>0</v>
      </c>
      <c r="G6987" s="27">
        <f ca="1">ROUND(E6987*F6987,2)</f>
        <v>0</v>
      </c>
    </row>
    <row r="6988" spans="1:7" ht="24.36" thickBot="1" customHeight="1">
      <c r="A6988" s="24" t="s">
        <v>22084</v>
      </c>
      <c r="B6988" s="24" t="s">
        <v>22085</v>
      </c>
      <c r="C6988" s="24" t="s">
        <v>22086</v>
      </c>
      <c r="D6988" s="25" t="s">
        <v>22087</v>
      </c>
      <c r="E6988" s="28">
        <v>1.00000</v>
      </c>
      <c r="F6988" s="29">
        <f ca="1">ROUND(19.000,3)</f>
        <v>0</v>
      </c>
      <c r="G6988" s="27">
        <f ca="1">ROUND(E6988*F6988,2)</f>
        <v>0</v>
      </c>
    </row>
    <row r="6989" spans="1:7" ht="24.36" thickBot="1" customHeight="1">
      <c r="A6989" s="24" t="s">
        <v>22088</v>
      </c>
      <c r="B6989" s="24" t="s">
        <v>22089</v>
      </c>
      <c r="C6989" s="24" t="s">
        <v>22090</v>
      </c>
      <c r="D6989" s="25" t="s">
        <v>22091</v>
      </c>
      <c r="E6989" s="28">
        <v>0.20000</v>
      </c>
      <c r="F6989" s="29">
        <f ca="1">ROUND(19.000,3)</f>
        <v>0</v>
      </c>
      <c r="G6989" s="27">
        <f ca="1">ROUND(E6989*F6989,2)</f>
        <v>0</v>
      </c>
    </row>
    <row r="6990" spans="1:7" ht="15.12" thickBot="1" customHeight="1">
      <c r="A6990" s="26"/>
      <c r="B6990" s="26"/>
      <c r="C6990" s="26"/>
      <c r="D6990" s="24" t="s">
        <v>22092</v>
      </c>
      <c r="E6990" s="28">
        <v>8.00000</v>
      </c>
      <c r="F6990" s="29">
        <f ca="1">ROUND((G6987+G6988+G6989),3)</f>
        <v>0</v>
      </c>
      <c r="G6990" s="27">
        <f ca="1">ROUND(E6990*F6990,2)</f>
        <v>0</v>
      </c>
    </row>
    <row r="6991" spans="1:7" ht="15.12" thickBot="1" customHeight="1">
      <c r="A6991" s="24" t="s">
        <v>22093</v>
      </c>
      <c r="B6991" s="24"/>
      <c r="C6991" s="24" t="s">
        <v>22094</v>
      </c>
      <c r="D6991" s="25" t="s">
        <v>22095</v>
      </c>
      <c r="E6991" s="28">
        <v>50.00000</v>
      </c>
      <c r="F6991" s="29">
        <f ca="1">ROUND(350.400,3)</f>
        <v>0</v>
      </c>
      <c r="G6991" s="27">
        <f ca="1">ROUND((E6991*F6991)/100,2)</f>
        <v>0</v>
      </c>
    </row>
    <row r="6992" spans="1:7" ht="15.48" thickBot="1" customHeight="1">
      <c r="A6992" s="30"/>
      <c r="B6992" s="30"/>
      <c r="C6992" s="30"/>
      <c r="D6992" s="31" t="s">
        <v>22096</v>
      </c>
      <c r="E6992" s="30"/>
      <c r="F6992" s="33">
        <f ca="1">ROUND((G6986+G6991)*(1+G2/100),2)</f>
        <v>0</v>
      </c>
      <c r="G6992" s="30"/>
    </row>
    <row r="6993" spans="1:7" ht="25.08" thickBot="1" customHeight="1">
      <c r="A6993" s="34" t="s">
        <v>22097</v>
      </c>
      <c r="B6993" s="35" t="s">
        <v>22098</v>
      </c>
      <c r="C6993" s="35" t="s">
        <v>22099</v>
      </c>
      <c r="D6993" s="36" t="s">
        <v>22100</v>
      </c>
      <c r="E6993" s="37"/>
      <c r="F6993" s="38">
        <f ca="1">F7001</f>
        <v>0</v>
      </c>
      <c r="G6993" s="37"/>
    </row>
    <row r="6994" spans="1:7" ht="12.12" thickBot="1" customHeight="1">
      <c r="A6994" s="26"/>
      <c r="B6994" s="26"/>
      <c r="C6994" s="26"/>
      <c r="D6994" s="25" t="s">
        <v>22101</v>
      </c>
      <c r="E6994" s="25"/>
      <c r="F6994" s="25"/>
      <c r="G6994" s="25"/>
    </row>
    <row r="6995" spans="1:7" ht="21.36" thickBot="1" customHeight="1">
      <c r="A6995" s="24" t="s">
        <v>22102</v>
      </c>
      <c r="B6995" s="24" t="s">
        <v>22103</v>
      </c>
      <c r="C6995" s="24" t="s">
        <v>22104</v>
      </c>
      <c r="D6995" s="25" t="s">
        <v>22105</v>
      </c>
      <c r="E6995" s="28">
        <v>0.66666</v>
      </c>
      <c r="F6995" s="29">
        <f ca="1">F6999</f>
        <v>0</v>
      </c>
      <c r="G6995" s="27">
        <f ca="1">ROUND(E6995*F6995,2)</f>
        <v>0</v>
      </c>
    </row>
    <row r="6996" spans="1:7" ht="24.36" thickBot="1" customHeight="1">
      <c r="A6996" s="24" t="s">
        <v>22106</v>
      </c>
      <c r="B6996" s="24" t="s">
        <v>22107</v>
      </c>
      <c r="C6996" s="24" t="s">
        <v>22108</v>
      </c>
      <c r="D6996" s="25" t="s">
        <v>22109</v>
      </c>
      <c r="E6996" s="28">
        <v>1.00000</v>
      </c>
      <c r="F6996" s="29">
        <f ca="1">ROUND(21.000,3)</f>
        <v>0</v>
      </c>
      <c r="G6996" s="27">
        <f ca="1">ROUND(E6996*F6996,2)</f>
        <v>0</v>
      </c>
    </row>
    <row r="6997" spans="1:7" ht="24.36" thickBot="1" customHeight="1">
      <c r="A6997" s="24" t="s">
        <v>22110</v>
      </c>
      <c r="B6997" s="24" t="s">
        <v>22111</v>
      </c>
      <c r="C6997" s="24" t="s">
        <v>22112</v>
      </c>
      <c r="D6997" s="25" t="s">
        <v>22113</v>
      </c>
      <c r="E6997" s="28">
        <v>1.00000</v>
      </c>
      <c r="F6997" s="29">
        <f ca="1">ROUND(19.000,3)</f>
        <v>0</v>
      </c>
      <c r="G6997" s="27">
        <f ca="1">ROUND(E6997*F6997,2)</f>
        <v>0</v>
      </c>
    </row>
    <row r="6998" spans="1:7" ht="24.36" thickBot="1" customHeight="1">
      <c r="A6998" s="24" t="s">
        <v>22114</v>
      </c>
      <c r="B6998" s="24" t="s">
        <v>22115</v>
      </c>
      <c r="C6998" s="24" t="s">
        <v>22116</v>
      </c>
      <c r="D6998" s="25" t="s">
        <v>22117</v>
      </c>
      <c r="E6998" s="28">
        <v>0.20000</v>
      </c>
      <c r="F6998" s="29">
        <f ca="1">ROUND(19.000,3)</f>
        <v>0</v>
      </c>
      <c r="G6998" s="27">
        <f ca="1">ROUND(E6998*F6998,2)</f>
        <v>0</v>
      </c>
    </row>
    <row r="6999" spans="1:7" ht="15.12" thickBot="1" customHeight="1">
      <c r="A6999" s="26"/>
      <c r="B6999" s="26"/>
      <c r="C6999" s="26"/>
      <c r="D6999" s="24" t="s">
        <v>22118</v>
      </c>
      <c r="E6999" s="28">
        <v>0.66666</v>
      </c>
      <c r="F6999" s="29">
        <f ca="1">ROUND((G6996+G6997+G6998),3)</f>
        <v>0</v>
      </c>
      <c r="G6999" s="27">
        <f ca="1">ROUND(E6999*F6999,2)</f>
        <v>0</v>
      </c>
    </row>
    <row r="7000" spans="1:7" ht="15.12" thickBot="1" customHeight="1">
      <c r="A7000" s="24" t="s">
        <v>22119</v>
      </c>
      <c r="B7000" s="24"/>
      <c r="C7000" s="24" t="s">
        <v>22120</v>
      </c>
      <c r="D7000" s="25" t="s">
        <v>22121</v>
      </c>
      <c r="E7000" s="28">
        <v>7.00000</v>
      </c>
      <c r="F7000" s="29">
        <f ca="1">ROUND(29.200,3)</f>
        <v>0</v>
      </c>
      <c r="G7000" s="27">
        <f ca="1">ROUND((E7000*F7000)/100,2)</f>
        <v>0</v>
      </c>
    </row>
    <row r="7001" spans="1:7" ht="15.48" thickBot="1" customHeight="1">
      <c r="A7001" s="30"/>
      <c r="B7001" s="30"/>
      <c r="C7001" s="30"/>
      <c r="D7001" s="31" t="s">
        <v>22122</v>
      </c>
      <c r="E7001" s="30"/>
      <c r="F7001" s="33">
        <f ca="1">ROUND((G6995+G7000)*(1+G2/100),2)</f>
        <v>0</v>
      </c>
      <c r="G7001" s="30"/>
    </row>
    <row r="7002" spans="1:7" ht="25.08" thickBot="1" customHeight="1">
      <c r="A7002" s="34" t="s">
        <v>22123</v>
      </c>
      <c r="B7002" s="35" t="s">
        <v>22124</v>
      </c>
      <c r="C7002" s="35" t="s">
        <v>22125</v>
      </c>
      <c r="D7002" s="36" t="s">
        <v>22126</v>
      </c>
      <c r="E7002" s="37"/>
      <c r="F7002" s="38">
        <f ca="1">F7010</f>
        <v>0</v>
      </c>
      <c r="G7002" s="37"/>
    </row>
    <row r="7003" spans="1:7" ht="12.12" thickBot="1" customHeight="1">
      <c r="A7003" s="26"/>
      <c r="B7003" s="26"/>
      <c r="C7003" s="26"/>
      <c r="D7003" s="25" t="s">
        <v>22127</v>
      </c>
      <c r="E7003" s="25"/>
      <c r="F7003" s="25"/>
      <c r="G7003" s="25"/>
    </row>
    <row r="7004" spans="1:7" ht="21.36" thickBot="1" customHeight="1">
      <c r="A7004" s="24" t="s">
        <v>22128</v>
      </c>
      <c r="B7004" s="24" t="s">
        <v>22129</v>
      </c>
      <c r="C7004" s="24" t="s">
        <v>22130</v>
      </c>
      <c r="D7004" s="25" t="s">
        <v>22131</v>
      </c>
      <c r="E7004" s="28">
        <v>4.00000</v>
      </c>
      <c r="F7004" s="29">
        <f ca="1">F7008</f>
        <v>0</v>
      </c>
      <c r="G7004" s="27">
        <f ca="1">ROUND(E7004*F7004,2)</f>
        <v>0</v>
      </c>
    </row>
    <row r="7005" spans="1:7" ht="24.36" thickBot="1" customHeight="1">
      <c r="A7005" s="24" t="s">
        <v>22132</v>
      </c>
      <c r="B7005" s="24" t="s">
        <v>22133</v>
      </c>
      <c r="C7005" s="24" t="s">
        <v>22134</v>
      </c>
      <c r="D7005" s="25" t="s">
        <v>22135</v>
      </c>
      <c r="E7005" s="28">
        <v>1.00000</v>
      </c>
      <c r="F7005" s="29">
        <f ca="1">ROUND(21.000,3)</f>
        <v>0</v>
      </c>
      <c r="G7005" s="27">
        <f ca="1">ROUND(E7005*F7005,2)</f>
        <v>0</v>
      </c>
    </row>
    <row r="7006" spans="1:7" ht="24.36" thickBot="1" customHeight="1">
      <c r="A7006" s="24" t="s">
        <v>22136</v>
      </c>
      <c r="B7006" s="24" t="s">
        <v>22137</v>
      </c>
      <c r="C7006" s="24" t="s">
        <v>22138</v>
      </c>
      <c r="D7006" s="25" t="s">
        <v>22139</v>
      </c>
      <c r="E7006" s="28">
        <v>1.00000</v>
      </c>
      <c r="F7006" s="29">
        <f ca="1">ROUND(19.000,3)</f>
        <v>0</v>
      </c>
      <c r="G7006" s="27">
        <f ca="1">ROUND(E7006*F7006,2)</f>
        <v>0</v>
      </c>
    </row>
    <row r="7007" spans="1:7" ht="24.36" thickBot="1" customHeight="1">
      <c r="A7007" s="24" t="s">
        <v>22140</v>
      </c>
      <c r="B7007" s="24" t="s">
        <v>22141</v>
      </c>
      <c r="C7007" s="24" t="s">
        <v>22142</v>
      </c>
      <c r="D7007" s="25" t="s">
        <v>22143</v>
      </c>
      <c r="E7007" s="28">
        <v>0.20000</v>
      </c>
      <c r="F7007" s="29">
        <f ca="1">ROUND(19.000,3)</f>
        <v>0</v>
      </c>
      <c r="G7007" s="27">
        <f ca="1">ROUND(E7007*F7007,2)</f>
        <v>0</v>
      </c>
    </row>
    <row r="7008" spans="1:7" ht="15.12" thickBot="1" customHeight="1">
      <c r="A7008" s="26"/>
      <c r="B7008" s="26"/>
      <c r="C7008" s="26"/>
      <c r="D7008" s="24" t="s">
        <v>22144</v>
      </c>
      <c r="E7008" s="28">
        <v>4.00000</v>
      </c>
      <c r="F7008" s="29">
        <f ca="1">ROUND((G7005+G7006+G7007),3)</f>
        <v>0</v>
      </c>
      <c r="G7008" s="27">
        <f ca="1">ROUND(E7008*F7008,2)</f>
        <v>0</v>
      </c>
    </row>
    <row r="7009" spans="1:7" ht="15.12" thickBot="1" customHeight="1">
      <c r="A7009" s="24" t="s">
        <v>22145</v>
      </c>
      <c r="B7009" s="24"/>
      <c r="C7009" s="24" t="s">
        <v>22146</v>
      </c>
      <c r="D7009" s="25" t="s">
        <v>22147</v>
      </c>
      <c r="E7009" s="28">
        <v>7.00000</v>
      </c>
      <c r="F7009" s="29">
        <f ca="1">ROUND(175.200,3)</f>
        <v>0</v>
      </c>
      <c r="G7009" s="27">
        <f ca="1">ROUND((E7009*F7009)/100,2)</f>
        <v>0</v>
      </c>
    </row>
    <row r="7010" spans="1:7" ht="15.48" thickBot="1" customHeight="1">
      <c r="A7010" s="30"/>
      <c r="B7010" s="30"/>
      <c r="C7010" s="30"/>
      <c r="D7010" s="31" t="s">
        <v>22148</v>
      </c>
      <c r="E7010" s="30"/>
      <c r="F7010" s="33">
        <f ca="1">ROUND((G7004+G7009)*(1+G2/100),2)</f>
        <v>0</v>
      </c>
      <c r="G7010" s="30"/>
    </row>
    <row r="7011" spans="1:7" ht="39.84" thickBot="1" customHeight="1">
      <c r="A7011" s="34" t="s">
        <v>22149</v>
      </c>
      <c r="B7011" s="35" t="s">
        <v>22150</v>
      </c>
      <c r="C7011" s="35" t="s">
        <v>22151</v>
      </c>
      <c r="D7011" s="36" t="s">
        <v>22152</v>
      </c>
      <c r="E7011" s="37"/>
      <c r="F7011" s="38">
        <f ca="1">F7021</f>
        <v>0</v>
      </c>
      <c r="G7011" s="37"/>
    </row>
    <row r="7012" spans="1:7" ht="21.36" thickBot="1" customHeight="1">
      <c r="A7012" s="26"/>
      <c r="B7012" s="26"/>
      <c r="C7012" s="26"/>
      <c r="D7012" s="25" t="s">
        <v>22153</v>
      </c>
      <c r="E7012" s="25"/>
      <c r="F7012" s="25"/>
      <c r="G7012" s="25"/>
    </row>
    <row r="7013" spans="1:7" ht="39.84" thickBot="1" customHeight="1">
      <c r="A7013" s="24" t="s">
        <v>22154</v>
      </c>
      <c r="B7013" s="24" t="s">
        <v>22155</v>
      </c>
      <c r="C7013" s="24" t="s">
        <v>22156</v>
      </c>
      <c r="D7013" s="25" t="s">
        <v>22157</v>
      </c>
      <c r="E7013" s="28">
        <v>1.00000</v>
      </c>
      <c r="F7013" s="29">
        <f ca="1">ROUND(14.700,3)</f>
        <v>0</v>
      </c>
      <c r="G7013" s="27">
        <f ca="1">ROUND(E7013*F7013,2)</f>
        <v>0</v>
      </c>
    </row>
    <row r="7014" spans="1:7" ht="39.84" thickBot="1" customHeight="1">
      <c r="A7014" s="24" t="s">
        <v>22158</v>
      </c>
      <c r="B7014" s="24" t="s">
        <v>22159</v>
      </c>
      <c r="C7014" s="24" t="s">
        <v>22160</v>
      </c>
      <c r="D7014" s="25" t="s">
        <v>22161</v>
      </c>
      <c r="E7014" s="28">
        <v>0.03564</v>
      </c>
      <c r="F7014" s="29">
        <f ca="1">ROUND(2.600,3)</f>
        <v>0</v>
      </c>
      <c r="G7014" s="27">
        <f ca="1">ROUND(E7014*F7014,2)</f>
        <v>0</v>
      </c>
    </row>
    <row r="7015" spans="1:7" ht="21.36" thickBot="1" customHeight="1">
      <c r="A7015" s="24" t="s">
        <v>22162</v>
      </c>
      <c r="B7015" s="24" t="s">
        <v>22163</v>
      </c>
      <c r="C7015" s="24" t="s">
        <v>22164</v>
      </c>
      <c r="D7015" s="25" t="s">
        <v>22165</v>
      </c>
      <c r="E7015" s="28">
        <v>0.50000</v>
      </c>
      <c r="F7015" s="29">
        <f ca="1">F7019</f>
        <v>0</v>
      </c>
      <c r="G7015" s="27">
        <f ca="1">ROUND(E7015*F7015,2)</f>
        <v>0</v>
      </c>
    </row>
    <row r="7016" spans="1:7" ht="24.36" thickBot="1" customHeight="1">
      <c r="A7016" s="24" t="s">
        <v>22166</v>
      </c>
      <c r="B7016" s="24" t="s">
        <v>22167</v>
      </c>
      <c r="C7016" s="24" t="s">
        <v>22168</v>
      </c>
      <c r="D7016" s="25" t="s">
        <v>22169</v>
      </c>
      <c r="E7016" s="28">
        <v>1.00000</v>
      </c>
      <c r="F7016" s="29">
        <f ca="1">ROUND(21.000,3)</f>
        <v>0</v>
      </c>
      <c r="G7016" s="27">
        <f ca="1">ROUND(E7016*F7016,2)</f>
        <v>0</v>
      </c>
    </row>
    <row r="7017" spans="1:7" ht="24.36" thickBot="1" customHeight="1">
      <c r="A7017" s="24" t="s">
        <v>22170</v>
      </c>
      <c r="B7017" s="24" t="s">
        <v>22171</v>
      </c>
      <c r="C7017" s="24" t="s">
        <v>22172</v>
      </c>
      <c r="D7017" s="25" t="s">
        <v>22173</v>
      </c>
      <c r="E7017" s="28">
        <v>1.00000</v>
      </c>
      <c r="F7017" s="29">
        <f ca="1">ROUND(19.000,3)</f>
        <v>0</v>
      </c>
      <c r="G7017" s="27">
        <f ca="1">ROUND(E7017*F7017,2)</f>
        <v>0</v>
      </c>
    </row>
    <row r="7018" spans="1:7" ht="24.36" thickBot="1" customHeight="1">
      <c r="A7018" s="24" t="s">
        <v>22174</v>
      </c>
      <c r="B7018" s="24" t="s">
        <v>22175</v>
      </c>
      <c r="C7018" s="24" t="s">
        <v>22176</v>
      </c>
      <c r="D7018" s="25" t="s">
        <v>22177</v>
      </c>
      <c r="E7018" s="28">
        <v>0.20000</v>
      </c>
      <c r="F7018" s="29">
        <f ca="1">ROUND(19.000,3)</f>
        <v>0</v>
      </c>
      <c r="G7018" s="27">
        <f ca="1">ROUND(E7018*F7018,2)</f>
        <v>0</v>
      </c>
    </row>
    <row r="7019" spans="1:7" ht="15.12" thickBot="1" customHeight="1">
      <c r="A7019" s="26"/>
      <c r="B7019" s="26"/>
      <c r="C7019" s="26"/>
      <c r="D7019" s="24" t="s">
        <v>22178</v>
      </c>
      <c r="E7019" s="28">
        <v>0.50000</v>
      </c>
      <c r="F7019" s="29">
        <f ca="1">ROUND((G7016+G7017+G7018),3)</f>
        <v>0</v>
      </c>
      <c r="G7019" s="27">
        <f ca="1">ROUND(E7019*F7019,2)</f>
        <v>0</v>
      </c>
    </row>
    <row r="7020" spans="1:7" ht="15.12" thickBot="1" customHeight="1">
      <c r="A7020" s="24" t="s">
        <v>22179</v>
      </c>
      <c r="B7020" s="24"/>
      <c r="C7020" s="24" t="s">
        <v>22180</v>
      </c>
      <c r="D7020" s="25" t="s">
        <v>22181</v>
      </c>
      <c r="E7020" s="28">
        <v>3.00000</v>
      </c>
      <c r="F7020" s="29">
        <f ca="1">ROUND(21.900,3)</f>
        <v>0</v>
      </c>
      <c r="G7020" s="27">
        <f ca="1">ROUND((E7020*F7020)/100,2)</f>
        <v>0</v>
      </c>
    </row>
    <row r="7021" spans="1:7" ht="15.48" thickBot="1" customHeight="1">
      <c r="A7021" s="30"/>
      <c r="B7021" s="30"/>
      <c r="C7021" s="30"/>
      <c r="D7021" s="31" t="s">
        <v>22182</v>
      </c>
      <c r="E7021" s="30"/>
      <c r="F7021" s="33">
        <f ca="1">ROUND((G7013+G7014+G7015+G7020)*(1+G2/100),2)</f>
        <v>0</v>
      </c>
      <c r="G7021" s="30"/>
    </row>
    <row r="7022" spans="1:7" ht="39.84" thickBot="1" customHeight="1">
      <c r="A7022" s="34" t="s">
        <v>22183</v>
      </c>
      <c r="B7022" s="35" t="s">
        <v>22184</v>
      </c>
      <c r="C7022" s="35" t="s">
        <v>22185</v>
      </c>
      <c r="D7022" s="36" t="s">
        <v>22186</v>
      </c>
      <c r="E7022" s="37"/>
      <c r="F7022" s="38">
        <f ca="1">F7031</f>
        <v>0</v>
      </c>
      <c r="G7022" s="37"/>
    </row>
    <row r="7023" spans="1:7" ht="12.12" thickBot="1" customHeight="1">
      <c r="A7023" s="26"/>
      <c r="B7023" s="26"/>
      <c r="C7023" s="26"/>
      <c r="D7023" s="25" t="s">
        <v>22187</v>
      </c>
      <c r="E7023" s="25"/>
      <c r="F7023" s="25"/>
      <c r="G7023" s="25"/>
    </row>
    <row r="7024" spans="1:7" ht="39.84" thickBot="1" customHeight="1">
      <c r="A7024" s="24" t="s">
        <v>22188</v>
      </c>
      <c r="B7024" s="24" t="s">
        <v>22189</v>
      </c>
      <c r="C7024" s="24" t="s">
        <v>22190</v>
      </c>
      <c r="D7024" s="25" t="s">
        <v>22191</v>
      </c>
      <c r="E7024" s="28">
        <v>0.30000</v>
      </c>
      <c r="F7024" s="29">
        <f ca="1">ROUND(4.650,3)</f>
        <v>0</v>
      </c>
      <c r="G7024" s="27">
        <f ca="1">ROUND(E7024*F7024,2)</f>
        <v>0</v>
      </c>
    </row>
    <row r="7025" spans="1:7" ht="21.36" thickBot="1" customHeight="1">
      <c r="A7025" s="24" t="s">
        <v>22192</v>
      </c>
      <c r="B7025" s="24" t="s">
        <v>22193</v>
      </c>
      <c r="C7025" s="24" t="s">
        <v>22194</v>
      </c>
      <c r="D7025" s="25" t="s">
        <v>22195</v>
      </c>
      <c r="E7025" s="28">
        <v>0.20000</v>
      </c>
      <c r="F7025" s="29">
        <f ca="1">F7029</f>
        <v>0</v>
      </c>
      <c r="G7025" s="27">
        <f ca="1">ROUND(E7025*F7025,2)</f>
        <v>0</v>
      </c>
    </row>
    <row r="7026" spans="1:7" ht="24.36" thickBot="1" customHeight="1">
      <c r="A7026" s="24" t="s">
        <v>22196</v>
      </c>
      <c r="B7026" s="24" t="s">
        <v>22197</v>
      </c>
      <c r="C7026" s="24" t="s">
        <v>22198</v>
      </c>
      <c r="D7026" s="25" t="s">
        <v>22199</v>
      </c>
      <c r="E7026" s="28">
        <v>1.00000</v>
      </c>
      <c r="F7026" s="29">
        <f ca="1">ROUND(21.000,3)</f>
        <v>0</v>
      </c>
      <c r="G7026" s="27">
        <f ca="1">ROUND(E7026*F7026,2)</f>
        <v>0</v>
      </c>
    </row>
    <row r="7027" spans="1:7" ht="24.36" thickBot="1" customHeight="1">
      <c r="A7027" s="24" t="s">
        <v>22200</v>
      </c>
      <c r="B7027" s="24" t="s">
        <v>22201</v>
      </c>
      <c r="C7027" s="24" t="s">
        <v>22202</v>
      </c>
      <c r="D7027" s="25" t="s">
        <v>22203</v>
      </c>
      <c r="E7027" s="28">
        <v>1.00000</v>
      </c>
      <c r="F7027" s="29">
        <f ca="1">ROUND(19.000,3)</f>
        <v>0</v>
      </c>
      <c r="G7027" s="27">
        <f ca="1">ROUND(E7027*F7027,2)</f>
        <v>0</v>
      </c>
    </row>
    <row r="7028" spans="1:7" ht="24.36" thickBot="1" customHeight="1">
      <c r="A7028" s="24" t="s">
        <v>22204</v>
      </c>
      <c r="B7028" s="24" t="s">
        <v>22205</v>
      </c>
      <c r="C7028" s="24" t="s">
        <v>22206</v>
      </c>
      <c r="D7028" s="25" t="s">
        <v>22207</v>
      </c>
      <c r="E7028" s="28">
        <v>0.20000</v>
      </c>
      <c r="F7028" s="29">
        <f ca="1">ROUND(19.000,3)</f>
        <v>0</v>
      </c>
      <c r="G7028" s="27">
        <f ca="1">ROUND(E7028*F7028,2)</f>
        <v>0</v>
      </c>
    </row>
    <row r="7029" spans="1:7" ht="15.12" thickBot="1" customHeight="1">
      <c r="A7029" s="26"/>
      <c r="B7029" s="26"/>
      <c r="C7029" s="26"/>
      <c r="D7029" s="24" t="s">
        <v>22208</v>
      </c>
      <c r="E7029" s="28">
        <v>0.20000</v>
      </c>
      <c r="F7029" s="29">
        <f ca="1">ROUND((G7026+G7027+G7028),3)</f>
        <v>0</v>
      </c>
      <c r="G7029" s="27">
        <f ca="1">ROUND(E7029*F7029,2)</f>
        <v>0</v>
      </c>
    </row>
    <row r="7030" spans="1:7" ht="15.12" thickBot="1" customHeight="1">
      <c r="A7030" s="24" t="s">
        <v>22209</v>
      </c>
      <c r="B7030" s="24"/>
      <c r="C7030" s="24" t="s">
        <v>22210</v>
      </c>
      <c r="D7030" s="25" t="s">
        <v>22211</v>
      </c>
      <c r="E7030" s="28">
        <v>3.00000</v>
      </c>
      <c r="F7030" s="29">
        <f ca="1">ROUND(8.760,3)</f>
        <v>0</v>
      </c>
      <c r="G7030" s="27">
        <f ca="1">ROUND((E7030*F7030)/100,2)</f>
        <v>0</v>
      </c>
    </row>
    <row r="7031" spans="1:7" ht="15.48" thickBot="1" customHeight="1">
      <c r="A7031" s="30"/>
      <c r="B7031" s="30"/>
      <c r="C7031" s="30"/>
      <c r="D7031" s="31" t="s">
        <v>22212</v>
      </c>
      <c r="E7031" s="30"/>
      <c r="F7031" s="33">
        <f ca="1">ROUND((G7024+G7025+G7030)*(1+G2/100),2)</f>
        <v>0</v>
      </c>
      <c r="G7031" s="30"/>
    </row>
    <row r="7032" spans="1:7" ht="67.56" thickBot="1" customHeight="1">
      <c r="A7032" s="34" t="s">
        <v>22213</v>
      </c>
      <c r="B7032" s="35" t="s">
        <v>22214</v>
      </c>
      <c r="C7032" s="35" t="s">
        <v>22215</v>
      </c>
      <c r="D7032" s="36" t="s">
        <v>22216</v>
      </c>
      <c r="E7032" s="37"/>
      <c r="F7032" s="38">
        <f ca="1">F7055</f>
        <v>0</v>
      </c>
      <c r="G7032" s="37"/>
    </row>
    <row r="7033" spans="1:7" ht="30.60" thickBot="1" customHeight="1">
      <c r="A7033" s="26"/>
      <c r="B7033" s="26"/>
      <c r="C7033" s="26"/>
      <c r="D7033" s="25" t="s">
        <v>22217</v>
      </c>
      <c r="E7033" s="25"/>
      <c r="F7033" s="25"/>
      <c r="G7033" s="25"/>
    </row>
    <row r="7034" spans="1:7" ht="39.84" thickBot="1" customHeight="1">
      <c r="A7034" s="24" t="s">
        <v>22218</v>
      </c>
      <c r="B7034" s="24" t="s">
        <v>22219</v>
      </c>
      <c r="C7034" s="24" t="s">
        <v>22220</v>
      </c>
      <c r="D7034" s="25" t="s">
        <v>22221</v>
      </c>
      <c r="E7034" s="28">
        <v>0.08800</v>
      </c>
      <c r="F7034" s="29">
        <f ca="1">ROUND(22.380,3)</f>
        <v>0</v>
      </c>
      <c r="G7034" s="27">
        <f ca="1">ROUND(E7034*F7034,2)</f>
        <v>0</v>
      </c>
    </row>
    <row r="7035" spans="1:7" ht="30.60" thickBot="1" customHeight="1">
      <c r="A7035" s="24" t="s">
        <v>22222</v>
      </c>
      <c r="B7035" s="24" t="s">
        <v>22223</v>
      </c>
      <c r="C7035" s="24" t="s">
        <v>22224</v>
      </c>
      <c r="D7035" s="25" t="s">
        <v>22225</v>
      </c>
      <c r="E7035" s="28">
        <v>0.02200</v>
      </c>
      <c r="F7035" s="29">
        <f ca="1">ROUND(27.500,3)</f>
        <v>0</v>
      </c>
      <c r="G7035" s="27">
        <f ca="1">ROUND(E7035*F7035,2)</f>
        <v>0</v>
      </c>
    </row>
    <row r="7036" spans="1:7" ht="21.36" thickBot="1" customHeight="1">
      <c r="A7036" s="24" t="s">
        <v>22226</v>
      </c>
      <c r="B7036" s="24" t="s">
        <v>22227</v>
      </c>
      <c r="C7036" s="24" t="s">
        <v>22228</v>
      </c>
      <c r="D7036" s="25" t="s">
        <v>22229</v>
      </c>
      <c r="E7036" s="28">
        <v>1.13400</v>
      </c>
      <c r="F7036" s="29">
        <f ca="1">ROUND(1.620,3)</f>
        <v>0</v>
      </c>
      <c r="G7036" s="27">
        <f ca="1">ROUND(E7036*F7036,2)</f>
        <v>0</v>
      </c>
    </row>
    <row r="7037" spans="1:7" ht="39.84" thickBot="1" customHeight="1">
      <c r="A7037" s="24" t="s">
        <v>22230</v>
      </c>
      <c r="B7037" s="24" t="s">
        <v>22231</v>
      </c>
      <c r="C7037" s="24" t="s">
        <v>22232</v>
      </c>
      <c r="D7037" s="25" t="s">
        <v>22233</v>
      </c>
      <c r="E7037" s="28">
        <v>34.00000</v>
      </c>
      <c r="F7037" s="29">
        <f ca="1">ROUND(0.430,3)</f>
        <v>0</v>
      </c>
      <c r="G7037" s="27">
        <f ca="1">ROUND(E7037*F7037,2)</f>
        <v>0</v>
      </c>
    </row>
    <row r="7038" spans="1:7" ht="39.84" thickBot="1" customHeight="1">
      <c r="A7038" s="24" t="s">
        <v>22234</v>
      </c>
      <c r="B7038" s="24" t="s">
        <v>22235</v>
      </c>
      <c r="C7038" s="24" t="s">
        <v>22236</v>
      </c>
      <c r="D7038" s="25" t="s">
        <v>22237</v>
      </c>
      <c r="E7038" s="28">
        <v>3.00000</v>
      </c>
      <c r="F7038" s="29">
        <f ca="1">F7043</f>
        <v>0</v>
      </c>
      <c r="G7038" s="27">
        <f ca="1">ROUND(E7038*F7038,2)</f>
        <v>0</v>
      </c>
    </row>
    <row r="7039" spans="1:7" ht="21.36" thickBot="1" customHeight="1">
      <c r="A7039" s="24" t="s">
        <v>22238</v>
      </c>
      <c r="B7039" s="24" t="s">
        <v>22239</v>
      </c>
      <c r="C7039" s="24" t="s">
        <v>22240</v>
      </c>
      <c r="D7039" s="25" t="s">
        <v>22241</v>
      </c>
      <c r="E7039" s="28">
        <v>0.20000</v>
      </c>
      <c r="F7039" s="29">
        <f ca="1">ROUND(4.980,3)</f>
        <v>0</v>
      </c>
      <c r="G7039" s="27">
        <f ca="1">ROUND(E7039*F7039,2)</f>
        <v>0</v>
      </c>
    </row>
    <row r="7040" spans="1:7" ht="24.36" thickBot="1" customHeight="1">
      <c r="A7040" s="24" t="s">
        <v>22242</v>
      </c>
      <c r="B7040" s="24" t="s">
        <v>22243</v>
      </c>
      <c r="C7040" s="24" t="s">
        <v>22244</v>
      </c>
      <c r="D7040" s="25" t="s">
        <v>22245</v>
      </c>
      <c r="E7040" s="28">
        <v>0.06667</v>
      </c>
      <c r="F7040" s="29">
        <f ca="1">ROUND(4.880,3)</f>
        <v>0</v>
      </c>
      <c r="G7040" s="27">
        <f ca="1">ROUND(E7040*F7040,2)</f>
        <v>0</v>
      </c>
    </row>
    <row r="7041" spans="1:7" ht="24.36" thickBot="1" customHeight="1">
      <c r="A7041" s="24" t="s">
        <v>22246</v>
      </c>
      <c r="B7041" s="24" t="s">
        <v>22247</v>
      </c>
      <c r="C7041" s="24" t="s">
        <v>22248</v>
      </c>
      <c r="D7041" s="25" t="s">
        <v>22249</v>
      </c>
      <c r="E7041" s="28">
        <v>0.06667</v>
      </c>
      <c r="F7041" s="29">
        <f ca="1">ROUND(19.000,3)</f>
        <v>0</v>
      </c>
      <c r="G7041" s="27">
        <f ca="1">ROUND(E7041*F7041,2)</f>
        <v>0</v>
      </c>
    </row>
    <row r="7042" spans="1:7" ht="15.12" thickBot="1" customHeight="1">
      <c r="A7042" s="24" t="s">
        <v>22250</v>
      </c>
      <c r="B7042" s="24"/>
      <c r="C7042" s="24" t="s">
        <v>22251</v>
      </c>
      <c r="D7042" s="25" t="s">
        <v>22252</v>
      </c>
      <c r="E7042" s="28">
        <v>3.00000</v>
      </c>
      <c r="F7042" s="29">
        <f ca="1">ROUND(1.270,3)</f>
        <v>0</v>
      </c>
      <c r="G7042" s="27">
        <f ca="1">ROUND((E7042*F7042)/100,2)</f>
        <v>0</v>
      </c>
    </row>
    <row r="7043" spans="1:7" ht="15.12" thickBot="1" customHeight="1">
      <c r="A7043" s="26"/>
      <c r="B7043" s="26"/>
      <c r="C7043" s="26"/>
      <c r="D7043" s="24" t="s">
        <v>22253</v>
      </c>
      <c r="E7043" s="28">
        <v>3.00000</v>
      </c>
      <c r="F7043" s="29">
        <f ca="1">ROUND((G7039+G7040+G7041+G7042),3)</f>
        <v>0</v>
      </c>
      <c r="G7043" s="27">
        <f ca="1">ROUND(E7043*F7043,2)</f>
        <v>0</v>
      </c>
    </row>
    <row r="7044" spans="1:7" ht="39.84" thickBot="1" customHeight="1">
      <c r="A7044" s="24" t="s">
        <v>22254</v>
      </c>
      <c r="B7044" s="24" t="s">
        <v>22255</v>
      </c>
      <c r="C7044" s="24" t="s">
        <v>22256</v>
      </c>
      <c r="D7044" s="25" t="s">
        <v>22257</v>
      </c>
      <c r="E7044" s="28">
        <v>0.22220</v>
      </c>
      <c r="F7044" s="29">
        <f ca="1">ROUND(7.370,3)</f>
        <v>0</v>
      </c>
      <c r="G7044" s="27">
        <f ca="1">ROUND(E7044*F7044,2)</f>
        <v>0</v>
      </c>
    </row>
    <row r="7045" spans="1:7" ht="30.60" thickBot="1" customHeight="1">
      <c r="A7045" s="24" t="s">
        <v>22258</v>
      </c>
      <c r="B7045" s="24" t="s">
        <v>22259</v>
      </c>
      <c r="C7045" s="24" t="s">
        <v>22260</v>
      </c>
      <c r="D7045" s="25" t="s">
        <v>22261</v>
      </c>
      <c r="E7045" s="28">
        <v>0.30000</v>
      </c>
      <c r="F7045" s="29">
        <f ca="1">ROUND(6.140,3)</f>
        <v>0</v>
      </c>
      <c r="G7045" s="27">
        <f ca="1">ROUND(E7045*F7045,2)</f>
        <v>0</v>
      </c>
    </row>
    <row r="7046" spans="1:7" ht="30.60" thickBot="1" customHeight="1">
      <c r="A7046" s="24" t="s">
        <v>22262</v>
      </c>
      <c r="B7046" s="24" t="s">
        <v>22263</v>
      </c>
      <c r="C7046" s="24" t="s">
        <v>22264</v>
      </c>
      <c r="D7046" s="25" t="s">
        <v>22265</v>
      </c>
      <c r="E7046" s="28">
        <v>0.20000</v>
      </c>
      <c r="F7046" s="29">
        <f ca="1">ROUND(16.810,3)</f>
        <v>0</v>
      </c>
      <c r="G7046" s="27">
        <f ca="1">ROUND(E7046*F7046,2)</f>
        <v>0</v>
      </c>
    </row>
    <row r="7047" spans="1:7" ht="21.36" thickBot="1" customHeight="1">
      <c r="A7047" s="24" t="s">
        <v>22266</v>
      </c>
      <c r="B7047" s="24" t="s">
        <v>22267</v>
      </c>
      <c r="C7047" s="24" t="s">
        <v>22268</v>
      </c>
      <c r="D7047" s="25" t="s">
        <v>22269</v>
      </c>
      <c r="E7047" s="28">
        <v>2.00000</v>
      </c>
      <c r="F7047" s="29">
        <f ca="1">ROUND(2.000,3)</f>
        <v>0</v>
      </c>
      <c r="G7047" s="27">
        <f ca="1">ROUND(E7047*F7047,2)</f>
        <v>0</v>
      </c>
    </row>
    <row r="7048" spans="1:7" ht="30.60" thickBot="1" customHeight="1">
      <c r="A7048" s="24" t="s">
        <v>22270</v>
      </c>
      <c r="B7048" s="24" t="s">
        <v>22271</v>
      </c>
      <c r="C7048" s="24" t="s">
        <v>22272</v>
      </c>
      <c r="D7048" s="25" t="s">
        <v>22273</v>
      </c>
      <c r="E7048" s="28">
        <v>0.15000</v>
      </c>
      <c r="F7048" s="29">
        <f ca="1">ROUND(4.920,3)</f>
        <v>0</v>
      </c>
      <c r="G7048" s="27">
        <f ca="1">ROUND(E7048*F7048,2)</f>
        <v>0</v>
      </c>
    </row>
    <row r="7049" spans="1:7" ht="21.36" thickBot="1" customHeight="1">
      <c r="A7049" s="24" t="s">
        <v>22274</v>
      </c>
      <c r="B7049" s="24" t="s">
        <v>22275</v>
      </c>
      <c r="C7049" s="24" t="s">
        <v>22276</v>
      </c>
      <c r="D7049" s="25" t="s">
        <v>22277</v>
      </c>
      <c r="E7049" s="28">
        <v>8.00000</v>
      </c>
      <c r="F7049" s="29">
        <f ca="1">F7053</f>
        <v>0</v>
      </c>
      <c r="G7049" s="27">
        <f ca="1">ROUND(E7049*F7049,2)</f>
        <v>0</v>
      </c>
    </row>
    <row r="7050" spans="1:7" ht="24.36" thickBot="1" customHeight="1">
      <c r="A7050" s="24" t="s">
        <v>22278</v>
      </c>
      <c r="B7050" s="24" t="s">
        <v>22279</v>
      </c>
      <c r="C7050" s="24" t="s">
        <v>22280</v>
      </c>
      <c r="D7050" s="25" t="s">
        <v>22281</v>
      </c>
      <c r="E7050" s="28">
        <v>1.00000</v>
      </c>
      <c r="F7050" s="29">
        <f ca="1">ROUND(21.000,3)</f>
        <v>0</v>
      </c>
      <c r="G7050" s="27">
        <f ca="1">ROUND(E7050*F7050,2)</f>
        <v>0</v>
      </c>
    </row>
    <row r="7051" spans="1:7" ht="24.36" thickBot="1" customHeight="1">
      <c r="A7051" s="24" t="s">
        <v>22282</v>
      </c>
      <c r="B7051" s="24" t="s">
        <v>22283</v>
      </c>
      <c r="C7051" s="24" t="s">
        <v>22284</v>
      </c>
      <c r="D7051" s="25" t="s">
        <v>22285</v>
      </c>
      <c r="E7051" s="28">
        <v>1.00000</v>
      </c>
      <c r="F7051" s="29">
        <f ca="1">ROUND(19.000,3)</f>
        <v>0</v>
      </c>
      <c r="G7051" s="27">
        <f ca="1">ROUND(E7051*F7051,2)</f>
        <v>0</v>
      </c>
    </row>
    <row r="7052" spans="1:7" ht="24.36" thickBot="1" customHeight="1">
      <c r="A7052" s="24" t="s">
        <v>22286</v>
      </c>
      <c r="B7052" s="24" t="s">
        <v>22287</v>
      </c>
      <c r="C7052" s="24" t="s">
        <v>22288</v>
      </c>
      <c r="D7052" s="25" t="s">
        <v>22289</v>
      </c>
      <c r="E7052" s="28">
        <v>0.20000</v>
      </c>
      <c r="F7052" s="29">
        <f ca="1">ROUND(19.000,3)</f>
        <v>0</v>
      </c>
      <c r="G7052" s="27">
        <f ca="1">ROUND(E7052*F7052,2)</f>
        <v>0</v>
      </c>
    </row>
    <row r="7053" spans="1:7" ht="15.12" thickBot="1" customHeight="1">
      <c r="A7053" s="26"/>
      <c r="B7053" s="26"/>
      <c r="C7053" s="26"/>
      <c r="D7053" s="24" t="s">
        <v>22290</v>
      </c>
      <c r="E7053" s="28">
        <v>8.00000</v>
      </c>
      <c r="F7053" s="29">
        <f ca="1">ROUND((G7050+G7051+G7052),3)</f>
        <v>0</v>
      </c>
      <c r="G7053" s="27">
        <f ca="1">ROUND(E7053*F7053,2)</f>
        <v>0</v>
      </c>
    </row>
    <row r="7054" spans="1:7" ht="15.12" thickBot="1" customHeight="1">
      <c r="A7054" s="24" t="s">
        <v>22291</v>
      </c>
      <c r="B7054" s="24"/>
      <c r="C7054" s="24" t="s">
        <v>22292</v>
      </c>
      <c r="D7054" s="25" t="s">
        <v>22293</v>
      </c>
      <c r="E7054" s="28">
        <v>3.00000</v>
      </c>
      <c r="F7054" s="29">
        <f ca="1">ROUND(350.400,3)</f>
        <v>0</v>
      </c>
      <c r="G7054" s="27">
        <f ca="1">ROUND((E7054*F7054)/100,2)</f>
        <v>0</v>
      </c>
    </row>
    <row r="7055" spans="1:7" ht="25.08" thickBot="1" customHeight="1">
      <c r="A7055" s="30"/>
      <c r="B7055" s="30"/>
      <c r="C7055" s="30"/>
      <c r="D7055" s="31" t="s">
        <v>22294</v>
      </c>
      <c r="E7055" s="30"/>
      <c r="F7055" s="33">
        <f ca="1">ROUND((G7034+G7035+G7036+G7037+G7038+G7044+G7045+G7046+G7047+G7048+G7049+G7054)*(1+G2/100),2)</f>
        <v>0</v>
      </c>
      <c r="G7055" s="30"/>
    </row>
    <row r="7056" spans="1:7" ht="76.80" thickBot="1" customHeight="1">
      <c r="A7056" s="34" t="s">
        <v>22295</v>
      </c>
      <c r="B7056" s="35" t="s">
        <v>22296</v>
      </c>
      <c r="C7056" s="35" t="s">
        <v>22297</v>
      </c>
      <c r="D7056" s="36" t="s">
        <v>22298</v>
      </c>
      <c r="E7056" s="37"/>
      <c r="F7056" s="38">
        <f ca="1">F7079</f>
        <v>0</v>
      </c>
      <c r="G7056" s="37"/>
    </row>
    <row r="7057" spans="1:7" ht="30.60" thickBot="1" customHeight="1">
      <c r="A7057" s="26"/>
      <c r="B7057" s="26"/>
      <c r="C7057" s="26"/>
      <c r="D7057" s="25" t="s">
        <v>22299</v>
      </c>
      <c r="E7057" s="25"/>
      <c r="F7057" s="25"/>
      <c r="G7057" s="25"/>
    </row>
    <row r="7058" spans="1:7" ht="39.84" thickBot="1" customHeight="1">
      <c r="A7058" s="24" t="s">
        <v>22300</v>
      </c>
      <c r="B7058" s="24" t="s">
        <v>22301</v>
      </c>
      <c r="C7058" s="24" t="s">
        <v>22302</v>
      </c>
      <c r="D7058" s="25" t="s">
        <v>22303</v>
      </c>
      <c r="E7058" s="28">
        <v>0.08800</v>
      </c>
      <c r="F7058" s="29">
        <f ca="1">ROUND(22.380,3)</f>
        <v>0</v>
      </c>
      <c r="G7058" s="27">
        <f ca="1">ROUND(E7058*F7058,2)</f>
        <v>0</v>
      </c>
    </row>
    <row r="7059" spans="1:7" ht="30.60" thickBot="1" customHeight="1">
      <c r="A7059" s="24" t="s">
        <v>22304</v>
      </c>
      <c r="B7059" s="24" t="s">
        <v>22305</v>
      </c>
      <c r="C7059" s="24" t="s">
        <v>22306</v>
      </c>
      <c r="D7059" s="25" t="s">
        <v>22307</v>
      </c>
      <c r="E7059" s="28">
        <v>0.02200</v>
      </c>
      <c r="F7059" s="29">
        <f ca="1">ROUND(27.500,3)</f>
        <v>0</v>
      </c>
      <c r="G7059" s="27">
        <f ca="1">ROUND(E7059*F7059,2)</f>
        <v>0</v>
      </c>
    </row>
    <row r="7060" spans="1:7" ht="21.36" thickBot="1" customHeight="1">
      <c r="A7060" s="24" t="s">
        <v>22308</v>
      </c>
      <c r="B7060" s="24" t="s">
        <v>22309</v>
      </c>
      <c r="C7060" s="24" t="s">
        <v>22310</v>
      </c>
      <c r="D7060" s="25" t="s">
        <v>22311</v>
      </c>
      <c r="E7060" s="28">
        <v>1.13400</v>
      </c>
      <c r="F7060" s="29">
        <f ca="1">ROUND(1.620,3)</f>
        <v>0</v>
      </c>
      <c r="G7060" s="27">
        <f ca="1">ROUND(E7060*F7060,2)</f>
        <v>0</v>
      </c>
    </row>
    <row r="7061" spans="1:7" ht="39.84" thickBot="1" customHeight="1">
      <c r="A7061" s="24" t="s">
        <v>22312</v>
      </c>
      <c r="B7061" s="24" t="s">
        <v>22313</v>
      </c>
      <c r="C7061" s="24" t="s">
        <v>22314</v>
      </c>
      <c r="D7061" s="25" t="s">
        <v>22315</v>
      </c>
      <c r="E7061" s="28">
        <v>34.00000</v>
      </c>
      <c r="F7061" s="29">
        <f ca="1">ROUND(0.430,3)</f>
        <v>0</v>
      </c>
      <c r="G7061" s="27">
        <f ca="1">ROUND(E7061*F7061,2)</f>
        <v>0</v>
      </c>
    </row>
    <row r="7062" spans="1:7" ht="39.84" thickBot="1" customHeight="1">
      <c r="A7062" s="24" t="s">
        <v>22316</v>
      </c>
      <c r="B7062" s="24" t="s">
        <v>22317</v>
      </c>
      <c r="C7062" s="24" t="s">
        <v>22318</v>
      </c>
      <c r="D7062" s="25" t="s">
        <v>22319</v>
      </c>
      <c r="E7062" s="28">
        <v>3.00000</v>
      </c>
      <c r="F7062" s="29">
        <f ca="1">F7067</f>
        <v>0</v>
      </c>
      <c r="G7062" s="27">
        <f ca="1">ROUND(E7062*F7062,2)</f>
        <v>0</v>
      </c>
    </row>
    <row r="7063" spans="1:7" ht="21.36" thickBot="1" customHeight="1">
      <c r="A7063" s="24" t="s">
        <v>22320</v>
      </c>
      <c r="B7063" s="24" t="s">
        <v>22321</v>
      </c>
      <c r="C7063" s="24" t="s">
        <v>22322</v>
      </c>
      <c r="D7063" s="25" t="s">
        <v>22323</v>
      </c>
      <c r="E7063" s="28">
        <v>0.20000</v>
      </c>
      <c r="F7063" s="29">
        <f ca="1">ROUND(4.980,3)</f>
        <v>0</v>
      </c>
      <c r="G7063" s="27">
        <f ca="1">ROUND(E7063*F7063,2)</f>
        <v>0</v>
      </c>
    </row>
    <row r="7064" spans="1:7" ht="24.36" thickBot="1" customHeight="1">
      <c r="A7064" s="24" t="s">
        <v>22324</v>
      </c>
      <c r="B7064" s="24" t="s">
        <v>22325</v>
      </c>
      <c r="C7064" s="24" t="s">
        <v>22326</v>
      </c>
      <c r="D7064" s="25" t="s">
        <v>22327</v>
      </c>
      <c r="E7064" s="28">
        <v>0.06667</v>
      </c>
      <c r="F7064" s="29">
        <f ca="1">ROUND(4.880,3)</f>
        <v>0</v>
      </c>
      <c r="G7064" s="27">
        <f ca="1">ROUND(E7064*F7064,2)</f>
        <v>0</v>
      </c>
    </row>
    <row r="7065" spans="1:7" ht="24.36" thickBot="1" customHeight="1">
      <c r="A7065" s="24" t="s">
        <v>22328</v>
      </c>
      <c r="B7065" s="24" t="s">
        <v>22329</v>
      </c>
      <c r="C7065" s="24" t="s">
        <v>22330</v>
      </c>
      <c r="D7065" s="25" t="s">
        <v>22331</v>
      </c>
      <c r="E7065" s="28">
        <v>0.06667</v>
      </c>
      <c r="F7065" s="29">
        <f ca="1">ROUND(19.000,3)</f>
        <v>0</v>
      </c>
      <c r="G7065" s="27">
        <f ca="1">ROUND(E7065*F7065,2)</f>
        <v>0</v>
      </c>
    </row>
    <row r="7066" spans="1:7" ht="15.12" thickBot="1" customHeight="1">
      <c r="A7066" s="24" t="s">
        <v>22332</v>
      </c>
      <c r="B7066" s="24"/>
      <c r="C7066" s="24" t="s">
        <v>22333</v>
      </c>
      <c r="D7066" s="25" t="s">
        <v>22334</v>
      </c>
      <c r="E7066" s="28">
        <v>3.00000</v>
      </c>
      <c r="F7066" s="29">
        <f ca="1">ROUND(1.270,3)</f>
        <v>0</v>
      </c>
      <c r="G7066" s="27">
        <f ca="1">ROUND((E7066*F7066)/100,2)</f>
        <v>0</v>
      </c>
    </row>
    <row r="7067" spans="1:7" ht="15.12" thickBot="1" customHeight="1">
      <c r="A7067" s="26"/>
      <c r="B7067" s="26"/>
      <c r="C7067" s="26"/>
      <c r="D7067" s="24" t="s">
        <v>22335</v>
      </c>
      <c r="E7067" s="28">
        <v>3.00000</v>
      </c>
      <c r="F7067" s="29">
        <f ca="1">ROUND((G7063+G7064+G7065+G7066),3)</f>
        <v>0</v>
      </c>
      <c r="G7067" s="27">
        <f ca="1">ROUND(E7067*F7067,2)</f>
        <v>0</v>
      </c>
    </row>
    <row r="7068" spans="1:7" ht="39.84" thickBot="1" customHeight="1">
      <c r="A7068" s="24" t="s">
        <v>22336</v>
      </c>
      <c r="B7068" s="24" t="s">
        <v>22337</v>
      </c>
      <c r="C7068" s="24" t="s">
        <v>22338</v>
      </c>
      <c r="D7068" s="25" t="s">
        <v>22339</v>
      </c>
      <c r="E7068" s="28">
        <v>0.22220</v>
      </c>
      <c r="F7068" s="29">
        <f ca="1">ROUND(7.370,3)</f>
        <v>0</v>
      </c>
      <c r="G7068" s="27">
        <f ca="1">ROUND(E7068*F7068,2)</f>
        <v>0</v>
      </c>
    </row>
    <row r="7069" spans="1:7" ht="30.60" thickBot="1" customHeight="1">
      <c r="A7069" s="24" t="s">
        <v>22340</v>
      </c>
      <c r="B7069" s="24" t="s">
        <v>22341</v>
      </c>
      <c r="C7069" s="24" t="s">
        <v>22342</v>
      </c>
      <c r="D7069" s="25" t="s">
        <v>22343</v>
      </c>
      <c r="E7069" s="28">
        <v>0.30000</v>
      </c>
      <c r="F7069" s="29">
        <f ca="1">ROUND(6.140,3)</f>
        <v>0</v>
      </c>
      <c r="G7069" s="27">
        <f ca="1">ROUND(E7069*F7069,2)</f>
        <v>0</v>
      </c>
    </row>
    <row r="7070" spans="1:7" ht="30.60" thickBot="1" customHeight="1">
      <c r="A7070" s="24" t="s">
        <v>22344</v>
      </c>
      <c r="B7070" s="24" t="s">
        <v>22345</v>
      </c>
      <c r="C7070" s="24" t="s">
        <v>22346</v>
      </c>
      <c r="D7070" s="25" t="s">
        <v>22347</v>
      </c>
      <c r="E7070" s="28">
        <v>0.20000</v>
      </c>
      <c r="F7070" s="29">
        <f ca="1">ROUND(16.810,3)</f>
        <v>0</v>
      </c>
      <c r="G7070" s="27">
        <f ca="1">ROUND(E7070*F7070,2)</f>
        <v>0</v>
      </c>
    </row>
    <row r="7071" spans="1:7" ht="21.36" thickBot="1" customHeight="1">
      <c r="A7071" s="24" t="s">
        <v>22348</v>
      </c>
      <c r="B7071" s="24" t="s">
        <v>22349</v>
      </c>
      <c r="C7071" s="24" t="s">
        <v>22350</v>
      </c>
      <c r="D7071" s="25" t="s">
        <v>22351</v>
      </c>
      <c r="E7071" s="28">
        <v>2.00000</v>
      </c>
      <c r="F7071" s="29">
        <f ca="1">ROUND(2.000,3)</f>
        <v>0</v>
      </c>
      <c r="G7071" s="27">
        <f ca="1">ROUND(E7071*F7071,2)</f>
        <v>0</v>
      </c>
    </row>
    <row r="7072" spans="1:7" ht="30.60" thickBot="1" customHeight="1">
      <c r="A7072" s="24" t="s">
        <v>22352</v>
      </c>
      <c r="B7072" s="24" t="s">
        <v>22353</v>
      </c>
      <c r="C7072" s="24" t="s">
        <v>22354</v>
      </c>
      <c r="D7072" s="25" t="s">
        <v>22355</v>
      </c>
      <c r="E7072" s="28">
        <v>0.15000</v>
      </c>
      <c r="F7072" s="29">
        <f ca="1">ROUND(4.920,3)</f>
        <v>0</v>
      </c>
      <c r="G7072" s="27">
        <f ca="1">ROUND(E7072*F7072,2)</f>
        <v>0</v>
      </c>
    </row>
    <row r="7073" spans="1:7" ht="21.36" thickBot="1" customHeight="1">
      <c r="A7073" s="24" t="s">
        <v>22356</v>
      </c>
      <c r="B7073" s="24" t="s">
        <v>22357</v>
      </c>
      <c r="C7073" s="24" t="s">
        <v>22358</v>
      </c>
      <c r="D7073" s="25" t="s">
        <v>22359</v>
      </c>
      <c r="E7073" s="28">
        <v>11.00000</v>
      </c>
      <c r="F7073" s="29">
        <f ca="1">F7077</f>
        <v>0</v>
      </c>
      <c r="G7073" s="27">
        <f ca="1">ROUND(E7073*F7073,2)</f>
        <v>0</v>
      </c>
    </row>
    <row r="7074" spans="1:7" ht="24.36" thickBot="1" customHeight="1">
      <c r="A7074" s="24" t="s">
        <v>22360</v>
      </c>
      <c r="B7074" s="24" t="s">
        <v>22361</v>
      </c>
      <c r="C7074" s="24" t="s">
        <v>22362</v>
      </c>
      <c r="D7074" s="25" t="s">
        <v>22363</v>
      </c>
      <c r="E7074" s="28">
        <v>1.00000</v>
      </c>
      <c r="F7074" s="29">
        <f ca="1">ROUND(21.000,3)</f>
        <v>0</v>
      </c>
      <c r="G7074" s="27">
        <f ca="1">ROUND(E7074*F7074,2)</f>
        <v>0</v>
      </c>
    </row>
    <row r="7075" spans="1:7" ht="24.36" thickBot="1" customHeight="1">
      <c r="A7075" s="24" t="s">
        <v>22364</v>
      </c>
      <c r="B7075" s="24" t="s">
        <v>22365</v>
      </c>
      <c r="C7075" s="24" t="s">
        <v>22366</v>
      </c>
      <c r="D7075" s="25" t="s">
        <v>22367</v>
      </c>
      <c r="E7075" s="28">
        <v>1.00000</v>
      </c>
      <c r="F7075" s="29">
        <f ca="1">ROUND(19.000,3)</f>
        <v>0</v>
      </c>
      <c r="G7075" s="27">
        <f ca="1">ROUND(E7075*F7075,2)</f>
        <v>0</v>
      </c>
    </row>
    <row r="7076" spans="1:7" ht="24.36" thickBot="1" customHeight="1">
      <c r="A7076" s="24" t="s">
        <v>22368</v>
      </c>
      <c r="B7076" s="24" t="s">
        <v>22369</v>
      </c>
      <c r="C7076" s="24" t="s">
        <v>22370</v>
      </c>
      <c r="D7076" s="25" t="s">
        <v>22371</v>
      </c>
      <c r="E7076" s="28">
        <v>0.20000</v>
      </c>
      <c r="F7076" s="29">
        <f ca="1">ROUND(19.000,3)</f>
        <v>0</v>
      </c>
      <c r="G7076" s="27">
        <f ca="1">ROUND(E7076*F7076,2)</f>
        <v>0</v>
      </c>
    </row>
    <row r="7077" spans="1:7" ht="15.12" thickBot="1" customHeight="1">
      <c r="A7077" s="26"/>
      <c r="B7077" s="26"/>
      <c r="C7077" s="26"/>
      <c r="D7077" s="24" t="s">
        <v>22372</v>
      </c>
      <c r="E7077" s="28">
        <v>11.00000</v>
      </c>
      <c r="F7077" s="29">
        <f ca="1">ROUND((G7074+G7075+G7076),3)</f>
        <v>0</v>
      </c>
      <c r="G7077" s="27">
        <f ca="1">ROUND(E7077*F7077,2)</f>
        <v>0</v>
      </c>
    </row>
    <row r="7078" spans="1:7" ht="15.12" thickBot="1" customHeight="1">
      <c r="A7078" s="24" t="s">
        <v>22373</v>
      </c>
      <c r="B7078" s="24"/>
      <c r="C7078" s="24" t="s">
        <v>22374</v>
      </c>
      <c r="D7078" s="25" t="s">
        <v>22375</v>
      </c>
      <c r="E7078" s="28">
        <v>3.00000</v>
      </c>
      <c r="F7078" s="29">
        <f ca="1">ROUND(481.800,3)</f>
        <v>0</v>
      </c>
      <c r="G7078" s="27">
        <f ca="1">ROUND((E7078*F7078)/100,2)</f>
        <v>0</v>
      </c>
    </row>
    <row r="7079" spans="1:7" ht="25.08" thickBot="1" customHeight="1">
      <c r="A7079" s="30"/>
      <c r="B7079" s="30"/>
      <c r="C7079" s="30"/>
      <c r="D7079" s="31" t="s">
        <v>22376</v>
      </c>
      <c r="E7079" s="30"/>
      <c r="F7079" s="33">
        <f ca="1">ROUND((G7058+G7059+G7060+G7061+G7062+G7068+G7069+G7070+G7071+G7072+G7073+G7078)*(1+G2/100),2)</f>
        <v>0</v>
      </c>
      <c r="G7079" s="30"/>
    </row>
    <row r="7080" spans="1:7" ht="67.56" thickBot="1" customHeight="1">
      <c r="A7080" s="34" t="s">
        <v>22377</v>
      </c>
      <c r="B7080" s="35" t="s">
        <v>22378</v>
      </c>
      <c r="C7080" s="35" t="s">
        <v>22379</v>
      </c>
      <c r="D7080" s="36" t="s">
        <v>22380</v>
      </c>
      <c r="E7080" s="37"/>
      <c r="F7080" s="38">
        <f ca="1">F7098</f>
        <v>0</v>
      </c>
      <c r="G7080" s="37"/>
    </row>
    <row r="7081" spans="1:7" ht="30.60" thickBot="1" customHeight="1">
      <c r="A7081" s="26"/>
      <c r="B7081" s="26"/>
      <c r="C7081" s="26"/>
      <c r="D7081" s="25" t="s">
        <v>22381</v>
      </c>
      <c r="E7081" s="25"/>
      <c r="F7081" s="25"/>
      <c r="G7081" s="25"/>
    </row>
    <row r="7082" spans="1:7" ht="39.84" thickBot="1" customHeight="1">
      <c r="A7082" s="24" t="s">
        <v>22382</v>
      </c>
      <c r="B7082" s="24" t="s">
        <v>22383</v>
      </c>
      <c r="C7082" s="24" t="s">
        <v>22384</v>
      </c>
      <c r="D7082" s="25" t="s">
        <v>22385</v>
      </c>
      <c r="E7082" s="28">
        <v>0.08800</v>
      </c>
      <c r="F7082" s="29">
        <f ca="1">ROUND(22.380,3)</f>
        <v>0</v>
      </c>
      <c r="G7082" s="27">
        <f ca="1">ROUND(E7082*F7082,2)</f>
        <v>0</v>
      </c>
    </row>
    <row r="7083" spans="1:7" ht="30.60" thickBot="1" customHeight="1">
      <c r="A7083" s="24" t="s">
        <v>22386</v>
      </c>
      <c r="B7083" s="24" t="s">
        <v>22387</v>
      </c>
      <c r="C7083" s="24" t="s">
        <v>22388</v>
      </c>
      <c r="D7083" s="25" t="s">
        <v>22389</v>
      </c>
      <c r="E7083" s="28">
        <v>0.02200</v>
      </c>
      <c r="F7083" s="29">
        <f ca="1">ROUND(27.500,3)</f>
        <v>0</v>
      </c>
      <c r="G7083" s="27">
        <f ca="1">ROUND(E7083*F7083,2)</f>
        <v>0</v>
      </c>
    </row>
    <row r="7084" spans="1:7" ht="21.36" thickBot="1" customHeight="1">
      <c r="A7084" s="24" t="s">
        <v>22390</v>
      </c>
      <c r="B7084" s="24" t="s">
        <v>22391</v>
      </c>
      <c r="C7084" s="24" t="s">
        <v>22392</v>
      </c>
      <c r="D7084" s="25" t="s">
        <v>22393</v>
      </c>
      <c r="E7084" s="28">
        <v>1.13400</v>
      </c>
      <c r="F7084" s="29">
        <f ca="1">ROUND(1.620,3)</f>
        <v>0</v>
      </c>
      <c r="G7084" s="27">
        <f ca="1">ROUND(E7084*F7084,2)</f>
        <v>0</v>
      </c>
    </row>
    <row r="7085" spans="1:7" ht="39.84" thickBot="1" customHeight="1">
      <c r="A7085" s="24" t="s">
        <v>22394</v>
      </c>
      <c r="B7085" s="24" t="s">
        <v>22395</v>
      </c>
      <c r="C7085" s="24" t="s">
        <v>22396</v>
      </c>
      <c r="D7085" s="25" t="s">
        <v>22397</v>
      </c>
      <c r="E7085" s="28">
        <v>34.00000</v>
      </c>
      <c r="F7085" s="29">
        <f ca="1">ROUND(0.430,3)</f>
        <v>0</v>
      </c>
      <c r="G7085" s="27">
        <f ca="1">ROUND(E7085*F7085,2)</f>
        <v>0</v>
      </c>
    </row>
    <row r="7086" spans="1:7" ht="39.84" thickBot="1" customHeight="1">
      <c r="A7086" s="24" t="s">
        <v>22398</v>
      </c>
      <c r="B7086" s="24" t="s">
        <v>22399</v>
      </c>
      <c r="C7086" s="24" t="s">
        <v>22400</v>
      </c>
      <c r="D7086" s="25" t="s">
        <v>22401</v>
      </c>
      <c r="E7086" s="28">
        <v>0.22220</v>
      </c>
      <c r="F7086" s="29">
        <f ca="1">ROUND(7.370,3)</f>
        <v>0</v>
      </c>
      <c r="G7086" s="27">
        <f ca="1">ROUND(E7086*F7086,2)</f>
        <v>0</v>
      </c>
    </row>
    <row r="7087" spans="1:7" ht="30.60" thickBot="1" customHeight="1">
      <c r="A7087" s="24" t="s">
        <v>22402</v>
      </c>
      <c r="B7087" s="24" t="s">
        <v>22403</v>
      </c>
      <c r="C7087" s="24" t="s">
        <v>22404</v>
      </c>
      <c r="D7087" s="25" t="s">
        <v>22405</v>
      </c>
      <c r="E7087" s="28">
        <v>0.30000</v>
      </c>
      <c r="F7087" s="29">
        <f ca="1">ROUND(6.140,3)</f>
        <v>0</v>
      </c>
      <c r="G7087" s="27">
        <f ca="1">ROUND(E7087*F7087,2)</f>
        <v>0</v>
      </c>
    </row>
    <row r="7088" spans="1:7" ht="30.60" thickBot="1" customHeight="1">
      <c r="A7088" s="24" t="s">
        <v>22406</v>
      </c>
      <c r="B7088" s="24" t="s">
        <v>22407</v>
      </c>
      <c r="C7088" s="24" t="s">
        <v>22408</v>
      </c>
      <c r="D7088" s="25" t="s">
        <v>22409</v>
      </c>
      <c r="E7088" s="28">
        <v>3.00000</v>
      </c>
      <c r="F7088" s="29">
        <f ca="1">ROUND(4.960,3)</f>
        <v>0</v>
      </c>
      <c r="G7088" s="27">
        <f ca="1">ROUND(E7088*F7088,2)</f>
        <v>0</v>
      </c>
    </row>
    <row r="7089" spans="1:7" ht="30.60" thickBot="1" customHeight="1">
      <c r="A7089" s="24" t="s">
        <v>22410</v>
      </c>
      <c r="B7089" s="24" t="s">
        <v>22411</v>
      </c>
      <c r="C7089" s="24" t="s">
        <v>22412</v>
      </c>
      <c r="D7089" s="25" t="s">
        <v>22413</v>
      </c>
      <c r="E7089" s="28">
        <v>0.20000</v>
      </c>
      <c r="F7089" s="29">
        <f ca="1">ROUND(16.810,3)</f>
        <v>0</v>
      </c>
      <c r="G7089" s="27">
        <f ca="1">ROUND(E7089*F7089,2)</f>
        <v>0</v>
      </c>
    </row>
    <row r="7090" spans="1:7" ht="21.36" thickBot="1" customHeight="1">
      <c r="A7090" s="24" t="s">
        <v>22414</v>
      </c>
      <c r="B7090" s="24" t="s">
        <v>22415</v>
      </c>
      <c r="C7090" s="24" t="s">
        <v>22416</v>
      </c>
      <c r="D7090" s="25" t="s">
        <v>22417</v>
      </c>
      <c r="E7090" s="28">
        <v>2.00000</v>
      </c>
      <c r="F7090" s="29">
        <f ca="1">ROUND(2.000,3)</f>
        <v>0</v>
      </c>
      <c r="G7090" s="27">
        <f ca="1">ROUND(E7090*F7090,2)</f>
        <v>0</v>
      </c>
    </row>
    <row r="7091" spans="1:7" ht="30.60" thickBot="1" customHeight="1">
      <c r="A7091" s="24" t="s">
        <v>22418</v>
      </c>
      <c r="B7091" s="24" t="s">
        <v>22419</v>
      </c>
      <c r="C7091" s="24" t="s">
        <v>22420</v>
      </c>
      <c r="D7091" s="25" t="s">
        <v>22421</v>
      </c>
      <c r="E7091" s="28">
        <v>0.15000</v>
      </c>
      <c r="F7091" s="29">
        <f ca="1">ROUND(4.920,3)</f>
        <v>0</v>
      </c>
      <c r="G7091" s="27">
        <f ca="1">ROUND(E7091*F7091,2)</f>
        <v>0</v>
      </c>
    </row>
    <row r="7092" spans="1:7" ht="21.36" thickBot="1" customHeight="1">
      <c r="A7092" s="24" t="s">
        <v>22422</v>
      </c>
      <c r="B7092" s="24" t="s">
        <v>22423</v>
      </c>
      <c r="C7092" s="24" t="s">
        <v>22424</v>
      </c>
      <c r="D7092" s="25" t="s">
        <v>22425</v>
      </c>
      <c r="E7092" s="28">
        <v>8.00000</v>
      </c>
      <c r="F7092" s="29">
        <f ca="1">F7096</f>
        <v>0</v>
      </c>
      <c r="G7092" s="27">
        <f ca="1">ROUND(E7092*F7092,2)</f>
        <v>0</v>
      </c>
    </row>
    <row r="7093" spans="1:7" ht="24.36" thickBot="1" customHeight="1">
      <c r="A7093" s="24" t="s">
        <v>22426</v>
      </c>
      <c r="B7093" s="24" t="s">
        <v>22427</v>
      </c>
      <c r="C7093" s="24" t="s">
        <v>22428</v>
      </c>
      <c r="D7093" s="25" t="s">
        <v>22429</v>
      </c>
      <c r="E7093" s="28">
        <v>1.00000</v>
      </c>
      <c r="F7093" s="29">
        <f ca="1">ROUND(21.000,3)</f>
        <v>0</v>
      </c>
      <c r="G7093" s="27">
        <f ca="1">ROUND(E7093*F7093,2)</f>
        <v>0</v>
      </c>
    </row>
    <row r="7094" spans="1:7" ht="24.36" thickBot="1" customHeight="1">
      <c r="A7094" s="24" t="s">
        <v>22430</v>
      </c>
      <c r="B7094" s="24" t="s">
        <v>22431</v>
      </c>
      <c r="C7094" s="24" t="s">
        <v>22432</v>
      </c>
      <c r="D7094" s="25" t="s">
        <v>22433</v>
      </c>
      <c r="E7094" s="28">
        <v>1.00000</v>
      </c>
      <c r="F7094" s="29">
        <f ca="1">ROUND(19.000,3)</f>
        <v>0</v>
      </c>
      <c r="G7094" s="27">
        <f ca="1">ROUND(E7094*F7094,2)</f>
        <v>0</v>
      </c>
    </row>
    <row r="7095" spans="1:7" ht="24.36" thickBot="1" customHeight="1">
      <c r="A7095" s="24" t="s">
        <v>22434</v>
      </c>
      <c r="B7095" s="24" t="s">
        <v>22435</v>
      </c>
      <c r="C7095" s="24" t="s">
        <v>22436</v>
      </c>
      <c r="D7095" s="25" t="s">
        <v>22437</v>
      </c>
      <c r="E7095" s="28">
        <v>0.20000</v>
      </c>
      <c r="F7095" s="29">
        <f ca="1">ROUND(19.000,3)</f>
        <v>0</v>
      </c>
      <c r="G7095" s="27">
        <f ca="1">ROUND(E7095*F7095,2)</f>
        <v>0</v>
      </c>
    </row>
    <row r="7096" spans="1:7" ht="15.12" thickBot="1" customHeight="1">
      <c r="A7096" s="26"/>
      <c r="B7096" s="26"/>
      <c r="C7096" s="26"/>
      <c r="D7096" s="24" t="s">
        <v>22438</v>
      </c>
      <c r="E7096" s="28">
        <v>8.00000</v>
      </c>
      <c r="F7096" s="29">
        <f ca="1">ROUND((G7093+G7094+G7095),3)</f>
        <v>0</v>
      </c>
      <c r="G7096" s="27">
        <f ca="1">ROUND(E7096*F7096,2)</f>
        <v>0</v>
      </c>
    </row>
    <row r="7097" spans="1:7" ht="15.12" thickBot="1" customHeight="1">
      <c r="A7097" s="24" t="s">
        <v>22439</v>
      </c>
      <c r="B7097" s="24"/>
      <c r="C7097" s="24" t="s">
        <v>22440</v>
      </c>
      <c r="D7097" s="25" t="s">
        <v>22441</v>
      </c>
      <c r="E7097" s="28">
        <v>3.00000</v>
      </c>
      <c r="F7097" s="29">
        <f ca="1">ROUND(350.400,3)</f>
        <v>0</v>
      </c>
      <c r="G7097" s="27">
        <f ca="1">ROUND((E7097*F7097)/100,2)</f>
        <v>0</v>
      </c>
    </row>
    <row r="7098" spans="1:7" ht="25.08" thickBot="1" customHeight="1">
      <c r="A7098" s="30"/>
      <c r="B7098" s="30"/>
      <c r="C7098" s="30"/>
      <c r="D7098" s="31" t="s">
        <v>22442</v>
      </c>
      <c r="E7098" s="30"/>
      <c r="F7098" s="33">
        <f ca="1">ROUND((G7082+G7083+G7084+G7085+G7086+G7087+G7088+G7089+G7090+G7091+G7092+G7097)*(1+G2/100),2)</f>
        <v>0</v>
      </c>
      <c r="G7098" s="30"/>
    </row>
    <row r="7099" spans="1:7" ht="67.56" thickBot="1" customHeight="1">
      <c r="A7099" s="34" t="s">
        <v>22443</v>
      </c>
      <c r="B7099" s="35" t="s">
        <v>22444</v>
      </c>
      <c r="C7099" s="35" t="s">
        <v>22445</v>
      </c>
      <c r="D7099" s="36" t="s">
        <v>22446</v>
      </c>
      <c r="E7099" s="37"/>
      <c r="F7099" s="38">
        <f ca="1">F7117</f>
        <v>0</v>
      </c>
      <c r="G7099" s="37"/>
    </row>
    <row r="7100" spans="1:7" ht="30.60" thickBot="1" customHeight="1">
      <c r="A7100" s="26"/>
      <c r="B7100" s="26"/>
      <c r="C7100" s="26"/>
      <c r="D7100" s="25" t="s">
        <v>22447</v>
      </c>
      <c r="E7100" s="25"/>
      <c r="F7100" s="25"/>
      <c r="G7100" s="25"/>
    </row>
    <row r="7101" spans="1:7" ht="39.84" thickBot="1" customHeight="1">
      <c r="A7101" s="24" t="s">
        <v>22448</v>
      </c>
      <c r="B7101" s="24" t="s">
        <v>22449</v>
      </c>
      <c r="C7101" s="24" t="s">
        <v>22450</v>
      </c>
      <c r="D7101" s="25" t="s">
        <v>22451</v>
      </c>
      <c r="E7101" s="28">
        <v>0.08800</v>
      </c>
      <c r="F7101" s="29">
        <f ca="1">ROUND(22.380,3)</f>
        <v>0</v>
      </c>
      <c r="G7101" s="27">
        <f ca="1">ROUND(E7101*F7101,2)</f>
        <v>0</v>
      </c>
    </row>
    <row r="7102" spans="1:7" ht="30.60" thickBot="1" customHeight="1">
      <c r="A7102" s="24" t="s">
        <v>22452</v>
      </c>
      <c r="B7102" s="24" t="s">
        <v>22453</v>
      </c>
      <c r="C7102" s="24" t="s">
        <v>22454</v>
      </c>
      <c r="D7102" s="25" t="s">
        <v>22455</v>
      </c>
      <c r="E7102" s="28">
        <v>0.02200</v>
      </c>
      <c r="F7102" s="29">
        <f ca="1">ROUND(27.500,3)</f>
        <v>0</v>
      </c>
      <c r="G7102" s="27">
        <f ca="1">ROUND(E7102*F7102,2)</f>
        <v>0</v>
      </c>
    </row>
    <row r="7103" spans="1:7" ht="21.36" thickBot="1" customHeight="1">
      <c r="A7103" s="24" t="s">
        <v>22456</v>
      </c>
      <c r="B7103" s="24" t="s">
        <v>22457</v>
      </c>
      <c r="C7103" s="24" t="s">
        <v>22458</v>
      </c>
      <c r="D7103" s="25" t="s">
        <v>22459</v>
      </c>
      <c r="E7103" s="28">
        <v>1.13400</v>
      </c>
      <c r="F7103" s="29">
        <f ca="1">ROUND(1.620,3)</f>
        <v>0</v>
      </c>
      <c r="G7103" s="27">
        <f ca="1">ROUND(E7103*F7103,2)</f>
        <v>0</v>
      </c>
    </row>
    <row r="7104" spans="1:7" ht="39.84" thickBot="1" customHeight="1">
      <c r="A7104" s="24" t="s">
        <v>22460</v>
      </c>
      <c r="B7104" s="24" t="s">
        <v>22461</v>
      </c>
      <c r="C7104" s="24" t="s">
        <v>22462</v>
      </c>
      <c r="D7104" s="25" t="s">
        <v>22463</v>
      </c>
      <c r="E7104" s="28">
        <v>34.00000</v>
      </c>
      <c r="F7104" s="29">
        <f ca="1">ROUND(0.430,3)</f>
        <v>0</v>
      </c>
      <c r="G7104" s="27">
        <f ca="1">ROUND(E7104*F7104,2)</f>
        <v>0</v>
      </c>
    </row>
    <row r="7105" spans="1:7" ht="39.84" thickBot="1" customHeight="1">
      <c r="A7105" s="24" t="s">
        <v>22464</v>
      </c>
      <c r="B7105" s="24" t="s">
        <v>22465</v>
      </c>
      <c r="C7105" s="24" t="s">
        <v>22466</v>
      </c>
      <c r="D7105" s="25" t="s">
        <v>22467</v>
      </c>
      <c r="E7105" s="28">
        <v>0.22220</v>
      </c>
      <c r="F7105" s="29">
        <f ca="1">ROUND(7.370,3)</f>
        <v>0</v>
      </c>
      <c r="G7105" s="27">
        <f ca="1">ROUND(E7105*F7105,2)</f>
        <v>0</v>
      </c>
    </row>
    <row r="7106" spans="1:7" ht="30.60" thickBot="1" customHeight="1">
      <c r="A7106" s="24" t="s">
        <v>22468</v>
      </c>
      <c r="B7106" s="24" t="s">
        <v>22469</v>
      </c>
      <c r="C7106" s="24" t="s">
        <v>22470</v>
      </c>
      <c r="D7106" s="25" t="s">
        <v>22471</v>
      </c>
      <c r="E7106" s="28">
        <v>0.30000</v>
      </c>
      <c r="F7106" s="29">
        <f ca="1">ROUND(6.140,3)</f>
        <v>0</v>
      </c>
      <c r="G7106" s="27">
        <f ca="1">ROUND(E7106*F7106,2)</f>
        <v>0</v>
      </c>
    </row>
    <row r="7107" spans="1:7" ht="30.60" thickBot="1" customHeight="1">
      <c r="A7107" s="24" t="s">
        <v>22472</v>
      </c>
      <c r="B7107" s="24" t="s">
        <v>22473</v>
      </c>
      <c r="C7107" s="24" t="s">
        <v>22474</v>
      </c>
      <c r="D7107" s="25" t="s">
        <v>22475</v>
      </c>
      <c r="E7107" s="28">
        <v>3.00000</v>
      </c>
      <c r="F7107" s="29">
        <f ca="1">ROUND(4.960,3)</f>
        <v>0</v>
      </c>
      <c r="G7107" s="27">
        <f ca="1">ROUND(E7107*F7107,2)</f>
        <v>0</v>
      </c>
    </row>
    <row r="7108" spans="1:7" ht="30.60" thickBot="1" customHeight="1">
      <c r="A7108" s="24" t="s">
        <v>22476</v>
      </c>
      <c r="B7108" s="24" t="s">
        <v>22477</v>
      </c>
      <c r="C7108" s="24" t="s">
        <v>22478</v>
      </c>
      <c r="D7108" s="25" t="s">
        <v>22479</v>
      </c>
      <c r="E7108" s="28">
        <v>0.20000</v>
      </c>
      <c r="F7108" s="29">
        <f ca="1">ROUND(16.810,3)</f>
        <v>0</v>
      </c>
      <c r="G7108" s="27">
        <f ca="1">ROUND(E7108*F7108,2)</f>
        <v>0</v>
      </c>
    </row>
    <row r="7109" spans="1:7" ht="21.36" thickBot="1" customHeight="1">
      <c r="A7109" s="24" t="s">
        <v>22480</v>
      </c>
      <c r="B7109" s="24" t="s">
        <v>22481</v>
      </c>
      <c r="C7109" s="24" t="s">
        <v>22482</v>
      </c>
      <c r="D7109" s="25" t="s">
        <v>22483</v>
      </c>
      <c r="E7109" s="28">
        <v>2.00000</v>
      </c>
      <c r="F7109" s="29">
        <f ca="1">ROUND(2.000,3)</f>
        <v>0</v>
      </c>
      <c r="G7109" s="27">
        <f ca="1">ROUND(E7109*F7109,2)</f>
        <v>0</v>
      </c>
    </row>
    <row r="7110" spans="1:7" ht="30.60" thickBot="1" customHeight="1">
      <c r="A7110" s="24" t="s">
        <v>22484</v>
      </c>
      <c r="B7110" s="24" t="s">
        <v>22485</v>
      </c>
      <c r="C7110" s="24" t="s">
        <v>22486</v>
      </c>
      <c r="D7110" s="25" t="s">
        <v>22487</v>
      </c>
      <c r="E7110" s="28">
        <v>0.15000</v>
      </c>
      <c r="F7110" s="29">
        <f ca="1">ROUND(4.920,3)</f>
        <v>0</v>
      </c>
      <c r="G7110" s="27">
        <f ca="1">ROUND(E7110*F7110,2)</f>
        <v>0</v>
      </c>
    </row>
    <row r="7111" spans="1:7" ht="21.36" thickBot="1" customHeight="1">
      <c r="A7111" s="24" t="s">
        <v>22488</v>
      </c>
      <c r="B7111" s="24" t="s">
        <v>22489</v>
      </c>
      <c r="C7111" s="24" t="s">
        <v>22490</v>
      </c>
      <c r="D7111" s="25" t="s">
        <v>22491</v>
      </c>
      <c r="E7111" s="28">
        <v>11.00000</v>
      </c>
      <c r="F7111" s="29">
        <f ca="1">F7115</f>
        <v>0</v>
      </c>
      <c r="G7111" s="27">
        <f ca="1">ROUND(E7111*F7111,2)</f>
        <v>0</v>
      </c>
    </row>
    <row r="7112" spans="1:7" ht="24.36" thickBot="1" customHeight="1">
      <c r="A7112" s="24" t="s">
        <v>22492</v>
      </c>
      <c r="B7112" s="24" t="s">
        <v>22493</v>
      </c>
      <c r="C7112" s="24" t="s">
        <v>22494</v>
      </c>
      <c r="D7112" s="25" t="s">
        <v>22495</v>
      </c>
      <c r="E7112" s="28">
        <v>1.00000</v>
      </c>
      <c r="F7112" s="29">
        <f ca="1">ROUND(21.000,3)</f>
        <v>0</v>
      </c>
      <c r="G7112" s="27">
        <f ca="1">ROUND(E7112*F7112,2)</f>
        <v>0</v>
      </c>
    </row>
    <row r="7113" spans="1:7" ht="24.36" thickBot="1" customHeight="1">
      <c r="A7113" s="24" t="s">
        <v>22496</v>
      </c>
      <c r="B7113" s="24" t="s">
        <v>22497</v>
      </c>
      <c r="C7113" s="24" t="s">
        <v>22498</v>
      </c>
      <c r="D7113" s="25" t="s">
        <v>22499</v>
      </c>
      <c r="E7113" s="28">
        <v>1.00000</v>
      </c>
      <c r="F7113" s="29">
        <f ca="1">ROUND(19.000,3)</f>
        <v>0</v>
      </c>
      <c r="G7113" s="27">
        <f ca="1">ROUND(E7113*F7113,2)</f>
        <v>0</v>
      </c>
    </row>
    <row r="7114" spans="1:7" ht="24.36" thickBot="1" customHeight="1">
      <c r="A7114" s="24" t="s">
        <v>22500</v>
      </c>
      <c r="B7114" s="24" t="s">
        <v>22501</v>
      </c>
      <c r="C7114" s="24" t="s">
        <v>22502</v>
      </c>
      <c r="D7114" s="25" t="s">
        <v>22503</v>
      </c>
      <c r="E7114" s="28">
        <v>0.20000</v>
      </c>
      <c r="F7114" s="29">
        <f ca="1">ROUND(19.000,3)</f>
        <v>0</v>
      </c>
      <c r="G7114" s="27">
        <f ca="1">ROUND(E7114*F7114,2)</f>
        <v>0</v>
      </c>
    </row>
    <row r="7115" spans="1:7" ht="15.12" thickBot="1" customHeight="1">
      <c r="A7115" s="26"/>
      <c r="B7115" s="26"/>
      <c r="C7115" s="26"/>
      <c r="D7115" s="24" t="s">
        <v>22504</v>
      </c>
      <c r="E7115" s="28">
        <v>11.00000</v>
      </c>
      <c r="F7115" s="29">
        <f ca="1">ROUND((G7112+G7113+G7114),3)</f>
        <v>0</v>
      </c>
      <c r="G7115" s="27">
        <f ca="1">ROUND(E7115*F7115,2)</f>
        <v>0</v>
      </c>
    </row>
    <row r="7116" spans="1:7" ht="15.12" thickBot="1" customHeight="1">
      <c r="A7116" s="24" t="s">
        <v>22505</v>
      </c>
      <c r="B7116" s="24"/>
      <c r="C7116" s="24" t="s">
        <v>22506</v>
      </c>
      <c r="D7116" s="25" t="s">
        <v>22507</v>
      </c>
      <c r="E7116" s="28">
        <v>3.00000</v>
      </c>
      <c r="F7116" s="29">
        <f ca="1">ROUND(481.800,3)</f>
        <v>0</v>
      </c>
      <c r="G7116" s="27">
        <f ca="1">ROUND((E7116*F7116)/100,2)</f>
        <v>0</v>
      </c>
    </row>
    <row r="7117" spans="1:7" ht="25.08" thickBot="1" customHeight="1">
      <c r="A7117" s="30"/>
      <c r="B7117" s="30"/>
      <c r="C7117" s="30"/>
      <c r="D7117" s="31" t="s">
        <v>22508</v>
      </c>
      <c r="E7117" s="30"/>
      <c r="F7117" s="33">
        <f ca="1">ROUND((G7101+G7102+G7103+G7104+G7105+G7106+G7107+G7108+G7109+G7110+G7111+G7116)*(1+G2/100),2)</f>
        <v>0</v>
      </c>
      <c r="G7117" s="30"/>
    </row>
    <row r="7118" spans="1:7" ht="58.32" thickBot="1" customHeight="1">
      <c r="A7118" s="34" t="s">
        <v>22509</v>
      </c>
      <c r="B7118" s="35" t="s">
        <v>22510</v>
      </c>
      <c r="C7118" s="35" t="s">
        <v>22511</v>
      </c>
      <c r="D7118" s="36" t="s">
        <v>22512</v>
      </c>
      <c r="E7118" s="37"/>
      <c r="F7118" s="38">
        <f ca="1">F7130</f>
        <v>0</v>
      </c>
      <c r="G7118" s="37"/>
    </row>
    <row r="7119" spans="1:7" ht="30.60" thickBot="1" customHeight="1">
      <c r="A7119" s="26"/>
      <c r="B7119" s="26"/>
      <c r="C7119" s="26"/>
      <c r="D7119" s="25" t="s">
        <v>22513</v>
      </c>
      <c r="E7119" s="25"/>
      <c r="F7119" s="25"/>
      <c r="G7119" s="25"/>
    </row>
    <row r="7120" spans="1:7" ht="39.84" thickBot="1" customHeight="1">
      <c r="A7120" s="24" t="s">
        <v>22514</v>
      </c>
      <c r="B7120" s="24" t="s">
        <v>22515</v>
      </c>
      <c r="C7120" s="24" t="s">
        <v>22516</v>
      </c>
      <c r="D7120" s="25" t="s">
        <v>22517</v>
      </c>
      <c r="E7120" s="28">
        <v>0.08800</v>
      </c>
      <c r="F7120" s="29">
        <f ca="1">ROUND(22.380,3)</f>
        <v>0</v>
      </c>
      <c r="G7120" s="27">
        <f ca="1">ROUND(E7120*F7120,2)</f>
        <v>0</v>
      </c>
    </row>
    <row r="7121" spans="1:7" ht="30.60" thickBot="1" customHeight="1">
      <c r="A7121" s="24" t="s">
        <v>22518</v>
      </c>
      <c r="B7121" s="24" t="s">
        <v>22519</v>
      </c>
      <c r="C7121" s="24" t="s">
        <v>22520</v>
      </c>
      <c r="D7121" s="25" t="s">
        <v>22521</v>
      </c>
      <c r="E7121" s="28">
        <v>0.02200</v>
      </c>
      <c r="F7121" s="29">
        <f ca="1">ROUND(27.500,3)</f>
        <v>0</v>
      </c>
      <c r="G7121" s="27">
        <f ca="1">ROUND(E7121*F7121,2)</f>
        <v>0</v>
      </c>
    </row>
    <row r="7122" spans="1:7" ht="21.36" thickBot="1" customHeight="1">
      <c r="A7122" s="24" t="s">
        <v>22522</v>
      </c>
      <c r="B7122" s="24" t="s">
        <v>22523</v>
      </c>
      <c r="C7122" s="24" t="s">
        <v>22524</v>
      </c>
      <c r="D7122" s="25" t="s">
        <v>22525</v>
      </c>
      <c r="E7122" s="28">
        <v>1.13400</v>
      </c>
      <c r="F7122" s="29">
        <f ca="1">ROUND(1.620,3)</f>
        <v>0</v>
      </c>
      <c r="G7122" s="27">
        <f ca="1">ROUND(E7122*F7122,2)</f>
        <v>0</v>
      </c>
    </row>
    <row r="7123" spans="1:7" ht="39.84" thickBot="1" customHeight="1">
      <c r="A7123" s="24" t="s">
        <v>22526</v>
      </c>
      <c r="B7123" s="24" t="s">
        <v>22527</v>
      </c>
      <c r="C7123" s="24" t="s">
        <v>22528</v>
      </c>
      <c r="D7123" s="25" t="s">
        <v>22529</v>
      </c>
      <c r="E7123" s="28">
        <v>34.00000</v>
      </c>
      <c r="F7123" s="29">
        <f ca="1">ROUND(0.430,3)</f>
        <v>0</v>
      </c>
      <c r="G7123" s="27">
        <f ca="1">ROUND(E7123*F7123,2)</f>
        <v>0</v>
      </c>
    </row>
    <row r="7124" spans="1:7" ht="21.36" thickBot="1" customHeight="1">
      <c r="A7124" s="24" t="s">
        <v>22530</v>
      </c>
      <c r="B7124" s="24" t="s">
        <v>22531</v>
      </c>
      <c r="C7124" s="24" t="s">
        <v>22532</v>
      </c>
      <c r="D7124" s="25" t="s">
        <v>22533</v>
      </c>
      <c r="E7124" s="28">
        <v>2.00000</v>
      </c>
      <c r="F7124" s="29">
        <f ca="1">F7128</f>
        <v>0</v>
      </c>
      <c r="G7124" s="27">
        <f ca="1">ROUND(E7124*F7124,2)</f>
        <v>0</v>
      </c>
    </row>
    <row r="7125" spans="1:7" ht="24.36" thickBot="1" customHeight="1">
      <c r="A7125" s="24" t="s">
        <v>22534</v>
      </c>
      <c r="B7125" s="24" t="s">
        <v>22535</v>
      </c>
      <c r="C7125" s="24" t="s">
        <v>22536</v>
      </c>
      <c r="D7125" s="25" t="s">
        <v>22537</v>
      </c>
      <c r="E7125" s="28">
        <v>1.00000</v>
      </c>
      <c r="F7125" s="29">
        <f ca="1">ROUND(21.000,3)</f>
        <v>0</v>
      </c>
      <c r="G7125" s="27">
        <f ca="1">ROUND(E7125*F7125,2)</f>
        <v>0</v>
      </c>
    </row>
    <row r="7126" spans="1:7" ht="24.36" thickBot="1" customHeight="1">
      <c r="A7126" s="24" t="s">
        <v>22538</v>
      </c>
      <c r="B7126" s="24" t="s">
        <v>22539</v>
      </c>
      <c r="C7126" s="24" t="s">
        <v>22540</v>
      </c>
      <c r="D7126" s="25" t="s">
        <v>22541</v>
      </c>
      <c r="E7126" s="28">
        <v>1.00000</v>
      </c>
      <c r="F7126" s="29">
        <f ca="1">ROUND(19.000,3)</f>
        <v>0</v>
      </c>
      <c r="G7126" s="27">
        <f ca="1">ROUND(E7126*F7126,2)</f>
        <v>0</v>
      </c>
    </row>
    <row r="7127" spans="1:7" ht="24.36" thickBot="1" customHeight="1">
      <c r="A7127" s="24" t="s">
        <v>22542</v>
      </c>
      <c r="B7127" s="24" t="s">
        <v>22543</v>
      </c>
      <c r="C7127" s="24" t="s">
        <v>22544</v>
      </c>
      <c r="D7127" s="25" t="s">
        <v>22545</v>
      </c>
      <c r="E7127" s="28">
        <v>0.20000</v>
      </c>
      <c r="F7127" s="29">
        <f ca="1">ROUND(19.000,3)</f>
        <v>0</v>
      </c>
      <c r="G7127" s="27">
        <f ca="1">ROUND(E7127*F7127,2)</f>
        <v>0</v>
      </c>
    </row>
    <row r="7128" spans="1:7" ht="15.12" thickBot="1" customHeight="1">
      <c r="A7128" s="26"/>
      <c r="B7128" s="26"/>
      <c r="C7128" s="26"/>
      <c r="D7128" s="24" t="s">
        <v>22546</v>
      </c>
      <c r="E7128" s="28">
        <v>2.00000</v>
      </c>
      <c r="F7128" s="29">
        <f ca="1">ROUND((G7125+G7126+G7127),3)</f>
        <v>0</v>
      </c>
      <c r="G7128" s="27">
        <f ca="1">ROUND(E7128*F7128,2)</f>
        <v>0</v>
      </c>
    </row>
    <row r="7129" spans="1:7" ht="15.12" thickBot="1" customHeight="1">
      <c r="A7129" s="24" t="s">
        <v>22547</v>
      </c>
      <c r="B7129" s="24"/>
      <c r="C7129" s="24" t="s">
        <v>22548</v>
      </c>
      <c r="D7129" s="25" t="s">
        <v>22549</v>
      </c>
      <c r="E7129" s="28">
        <v>3.00000</v>
      </c>
      <c r="F7129" s="29">
        <f ca="1">ROUND(87.600,3)</f>
        <v>0</v>
      </c>
      <c r="G7129" s="27">
        <f ca="1">ROUND((E7129*F7129)/100,2)</f>
        <v>0</v>
      </c>
    </row>
    <row r="7130" spans="1:7" ht="15.48" thickBot="1" customHeight="1">
      <c r="A7130" s="30"/>
      <c r="B7130" s="30"/>
      <c r="C7130" s="30"/>
      <c r="D7130" s="31" t="s">
        <v>22550</v>
      </c>
      <c r="E7130" s="30"/>
      <c r="F7130" s="33">
        <f ca="1">ROUND((G7120+G7121+G7122+G7123+G7124+G7129)*(1+G2/100),2)</f>
        <v>0</v>
      </c>
      <c r="G7130" s="30"/>
    </row>
    <row r="7131" spans="1:7" ht="58.32" thickBot="1" customHeight="1">
      <c r="A7131" s="34" t="s">
        <v>22551</v>
      </c>
      <c r="B7131" s="35" t="s">
        <v>22552</v>
      </c>
      <c r="C7131" s="35" t="s">
        <v>22553</v>
      </c>
      <c r="D7131" s="36" t="s">
        <v>22554</v>
      </c>
      <c r="E7131" s="37"/>
      <c r="F7131" s="38">
        <f ca="1">F7143</f>
        <v>0</v>
      </c>
      <c r="G7131" s="37"/>
    </row>
    <row r="7132" spans="1:7" ht="30.60" thickBot="1" customHeight="1">
      <c r="A7132" s="26"/>
      <c r="B7132" s="26"/>
      <c r="C7132" s="26"/>
      <c r="D7132" s="25" t="s">
        <v>22555</v>
      </c>
      <c r="E7132" s="25"/>
      <c r="F7132" s="25"/>
      <c r="G7132" s="25"/>
    </row>
    <row r="7133" spans="1:7" ht="39.84" thickBot="1" customHeight="1">
      <c r="A7133" s="24" t="s">
        <v>22556</v>
      </c>
      <c r="B7133" s="24" t="s">
        <v>22557</v>
      </c>
      <c r="C7133" s="24" t="s">
        <v>22558</v>
      </c>
      <c r="D7133" s="25" t="s">
        <v>22559</v>
      </c>
      <c r="E7133" s="28">
        <v>0.08800</v>
      </c>
      <c r="F7133" s="29">
        <f ca="1">ROUND(22.380,3)</f>
        <v>0</v>
      </c>
      <c r="G7133" s="27">
        <f ca="1">ROUND(E7133*F7133,2)</f>
        <v>0</v>
      </c>
    </row>
    <row r="7134" spans="1:7" ht="30.60" thickBot="1" customHeight="1">
      <c r="A7134" s="24" t="s">
        <v>22560</v>
      </c>
      <c r="B7134" s="24" t="s">
        <v>22561</v>
      </c>
      <c r="C7134" s="24" t="s">
        <v>22562</v>
      </c>
      <c r="D7134" s="25" t="s">
        <v>22563</v>
      </c>
      <c r="E7134" s="28">
        <v>0.02200</v>
      </c>
      <c r="F7134" s="29">
        <f ca="1">ROUND(27.500,3)</f>
        <v>0</v>
      </c>
      <c r="G7134" s="27">
        <f ca="1">ROUND(E7134*F7134,2)</f>
        <v>0</v>
      </c>
    </row>
    <row r="7135" spans="1:7" ht="21.36" thickBot="1" customHeight="1">
      <c r="A7135" s="24" t="s">
        <v>22564</v>
      </c>
      <c r="B7135" s="24" t="s">
        <v>22565</v>
      </c>
      <c r="C7135" s="24" t="s">
        <v>22566</v>
      </c>
      <c r="D7135" s="25" t="s">
        <v>22567</v>
      </c>
      <c r="E7135" s="28">
        <v>1.13400</v>
      </c>
      <c r="F7135" s="29">
        <f ca="1">ROUND(1.620,3)</f>
        <v>0</v>
      </c>
      <c r="G7135" s="27">
        <f ca="1">ROUND(E7135*F7135,2)</f>
        <v>0</v>
      </c>
    </row>
    <row r="7136" spans="1:7" ht="39.84" thickBot="1" customHeight="1">
      <c r="A7136" s="24" t="s">
        <v>22568</v>
      </c>
      <c r="B7136" s="24" t="s">
        <v>22569</v>
      </c>
      <c r="C7136" s="24" t="s">
        <v>22570</v>
      </c>
      <c r="D7136" s="25" t="s">
        <v>22571</v>
      </c>
      <c r="E7136" s="28">
        <v>34.00000</v>
      </c>
      <c r="F7136" s="29">
        <f ca="1">ROUND(0.430,3)</f>
        <v>0</v>
      </c>
      <c r="G7136" s="27">
        <f ca="1">ROUND(E7136*F7136,2)</f>
        <v>0</v>
      </c>
    </row>
    <row r="7137" spans="1:7" ht="21.36" thickBot="1" customHeight="1">
      <c r="A7137" s="24" t="s">
        <v>22572</v>
      </c>
      <c r="B7137" s="24" t="s">
        <v>22573</v>
      </c>
      <c r="C7137" s="24" t="s">
        <v>22574</v>
      </c>
      <c r="D7137" s="25" t="s">
        <v>22575</v>
      </c>
      <c r="E7137" s="28">
        <v>3.00000</v>
      </c>
      <c r="F7137" s="29">
        <f ca="1">F7141</f>
        <v>0</v>
      </c>
      <c r="G7137" s="27">
        <f ca="1">ROUND(E7137*F7137,2)</f>
        <v>0</v>
      </c>
    </row>
    <row r="7138" spans="1:7" ht="24.36" thickBot="1" customHeight="1">
      <c r="A7138" s="24" t="s">
        <v>22576</v>
      </c>
      <c r="B7138" s="24" t="s">
        <v>22577</v>
      </c>
      <c r="C7138" s="24" t="s">
        <v>22578</v>
      </c>
      <c r="D7138" s="25" t="s">
        <v>22579</v>
      </c>
      <c r="E7138" s="28">
        <v>1.00000</v>
      </c>
      <c r="F7138" s="29">
        <f ca="1">ROUND(21.000,3)</f>
        <v>0</v>
      </c>
      <c r="G7138" s="27">
        <f ca="1">ROUND(E7138*F7138,2)</f>
        <v>0</v>
      </c>
    </row>
    <row r="7139" spans="1:7" ht="24.36" thickBot="1" customHeight="1">
      <c r="A7139" s="24" t="s">
        <v>22580</v>
      </c>
      <c r="B7139" s="24" t="s">
        <v>22581</v>
      </c>
      <c r="C7139" s="24" t="s">
        <v>22582</v>
      </c>
      <c r="D7139" s="25" t="s">
        <v>22583</v>
      </c>
      <c r="E7139" s="28">
        <v>1.00000</v>
      </c>
      <c r="F7139" s="29">
        <f ca="1">ROUND(19.000,3)</f>
        <v>0</v>
      </c>
      <c r="G7139" s="27">
        <f ca="1">ROUND(E7139*F7139,2)</f>
        <v>0</v>
      </c>
    </row>
    <row r="7140" spans="1:7" ht="24.36" thickBot="1" customHeight="1">
      <c r="A7140" s="24" t="s">
        <v>22584</v>
      </c>
      <c r="B7140" s="24" t="s">
        <v>22585</v>
      </c>
      <c r="C7140" s="24" t="s">
        <v>22586</v>
      </c>
      <c r="D7140" s="25" t="s">
        <v>22587</v>
      </c>
      <c r="E7140" s="28">
        <v>0.20000</v>
      </c>
      <c r="F7140" s="29">
        <f ca="1">ROUND(19.000,3)</f>
        <v>0</v>
      </c>
      <c r="G7140" s="27">
        <f ca="1">ROUND(E7140*F7140,2)</f>
        <v>0</v>
      </c>
    </row>
    <row r="7141" spans="1:7" ht="15.12" thickBot="1" customHeight="1">
      <c r="A7141" s="26"/>
      <c r="B7141" s="26"/>
      <c r="C7141" s="26"/>
      <c r="D7141" s="24" t="s">
        <v>22588</v>
      </c>
      <c r="E7141" s="28">
        <v>3.00000</v>
      </c>
      <c r="F7141" s="29">
        <f ca="1">ROUND((G7138+G7139+G7140),3)</f>
        <v>0</v>
      </c>
      <c r="G7141" s="27">
        <f ca="1">ROUND(E7141*F7141,2)</f>
        <v>0</v>
      </c>
    </row>
    <row r="7142" spans="1:7" ht="15.12" thickBot="1" customHeight="1">
      <c r="A7142" s="24" t="s">
        <v>22589</v>
      </c>
      <c r="B7142" s="24"/>
      <c r="C7142" s="24" t="s">
        <v>22590</v>
      </c>
      <c r="D7142" s="25" t="s">
        <v>22591</v>
      </c>
      <c r="E7142" s="28">
        <v>3.00000</v>
      </c>
      <c r="F7142" s="29">
        <f ca="1">ROUND(131.400,3)</f>
        <v>0</v>
      </c>
      <c r="G7142" s="27">
        <f ca="1">ROUND((E7142*F7142)/100,2)</f>
        <v>0</v>
      </c>
    </row>
    <row r="7143" spans="1:7" ht="15.48" thickBot="1" customHeight="1">
      <c r="A7143" s="30"/>
      <c r="B7143" s="30"/>
      <c r="C7143" s="30"/>
      <c r="D7143" s="31" t="s">
        <v>22592</v>
      </c>
      <c r="E7143" s="30"/>
      <c r="F7143" s="33">
        <f ca="1">ROUND((G7133+G7134+G7135+G7136+G7137+G7142)*(1+G2/100),2)</f>
        <v>0</v>
      </c>
      <c r="G7143" s="30"/>
    </row>
    <row r="7144" spans="1:7" ht="30.60" thickBot="1" customHeight="1">
      <c r="A7144" s="34" t="s">
        <v>22593</v>
      </c>
      <c r="B7144" s="35" t="s">
        <v>22594</v>
      </c>
      <c r="C7144" s="35" t="s">
        <v>22595</v>
      </c>
      <c r="D7144" s="36" t="s">
        <v>22596</v>
      </c>
      <c r="E7144" s="37"/>
      <c r="F7144" s="38">
        <f ca="1">F7158</f>
        <v>0</v>
      </c>
      <c r="G7144" s="37"/>
    </row>
    <row r="7145" spans="1:7" ht="21.36" thickBot="1" customHeight="1">
      <c r="A7145" s="26"/>
      <c r="B7145" s="26"/>
      <c r="C7145" s="26"/>
      <c r="D7145" s="25" t="s">
        <v>22597</v>
      </c>
      <c r="E7145" s="25"/>
      <c r="F7145" s="25"/>
      <c r="G7145" s="25"/>
    </row>
    <row r="7146" spans="1:7" ht="24.36" thickBot="1" customHeight="1">
      <c r="A7146" s="24" t="s">
        <v>22598</v>
      </c>
      <c r="B7146" s="24" t="s">
        <v>22599</v>
      </c>
      <c r="C7146" s="24" t="s">
        <v>22600</v>
      </c>
      <c r="D7146" s="25" t="s">
        <v>22601</v>
      </c>
      <c r="E7146" s="28">
        <v>0.30000</v>
      </c>
      <c r="F7146" s="29">
        <f ca="1">F7149</f>
        <v>0</v>
      </c>
      <c r="G7146" s="27">
        <f ca="1">ROUND(E7146*F7146,2)</f>
        <v>0</v>
      </c>
    </row>
    <row r="7147" spans="1:7" ht="21.36" thickBot="1" customHeight="1">
      <c r="A7147" s="24" t="s">
        <v>22602</v>
      </c>
      <c r="B7147" s="24" t="s">
        <v>22603</v>
      </c>
      <c r="C7147" s="24" t="s">
        <v>22604</v>
      </c>
      <c r="D7147" s="25" t="s">
        <v>22605</v>
      </c>
      <c r="E7147" s="28">
        <v>0.26667</v>
      </c>
      <c r="F7147" s="29">
        <f ca="1">ROUND(43.800,3)</f>
        <v>0</v>
      </c>
      <c r="G7147" s="27">
        <f ca="1">ROUND(E7147*F7147,2)</f>
        <v>0</v>
      </c>
    </row>
    <row r="7148" spans="1:7" ht="15.12" thickBot="1" customHeight="1">
      <c r="A7148" s="24" t="s">
        <v>22606</v>
      </c>
      <c r="B7148" s="24"/>
      <c r="C7148" s="24" t="s">
        <v>22607</v>
      </c>
      <c r="D7148" s="25" t="s">
        <v>22608</v>
      </c>
      <c r="E7148" s="28">
        <v>5.00000</v>
      </c>
      <c r="F7148" s="29">
        <f ca="1">ROUND(11.680,3)</f>
        <v>0</v>
      </c>
      <c r="G7148" s="27">
        <f ca="1">ROUND((E7148*F7148)/100,2)</f>
        <v>0</v>
      </c>
    </row>
    <row r="7149" spans="1:7" ht="15.12" thickBot="1" customHeight="1">
      <c r="A7149" s="26"/>
      <c r="B7149" s="26"/>
      <c r="C7149" s="26"/>
      <c r="D7149" s="24" t="s">
        <v>22609</v>
      </c>
      <c r="E7149" s="28">
        <v>0.30000</v>
      </c>
      <c r="F7149" s="29">
        <f ca="1">ROUND((G7147+G7148),3)</f>
        <v>0</v>
      </c>
      <c r="G7149" s="27">
        <f ca="1">ROUND(E7149*F7149,2)</f>
        <v>0</v>
      </c>
    </row>
    <row r="7150" spans="1:7" ht="21.36" thickBot="1" customHeight="1">
      <c r="A7150" s="24" t="s">
        <v>22610</v>
      </c>
      <c r="B7150" s="24" t="s">
        <v>22611</v>
      </c>
      <c r="C7150" s="24" t="s">
        <v>22612</v>
      </c>
      <c r="D7150" s="25" t="s">
        <v>22613</v>
      </c>
      <c r="E7150" s="28">
        <v>0.54000</v>
      </c>
      <c r="F7150" s="29">
        <f ca="1">ROUND(1.620,3)</f>
        <v>0</v>
      </c>
      <c r="G7150" s="27">
        <f ca="1">ROUND(E7150*F7150,2)</f>
        <v>0</v>
      </c>
    </row>
    <row r="7151" spans="1:7" ht="39.84" thickBot="1" customHeight="1">
      <c r="A7151" s="24" t="s">
        <v>22614</v>
      </c>
      <c r="B7151" s="24" t="s">
        <v>22615</v>
      </c>
      <c r="C7151" s="24" t="s">
        <v>22616</v>
      </c>
      <c r="D7151" s="25" t="s">
        <v>22617</v>
      </c>
      <c r="E7151" s="28">
        <v>0.44000</v>
      </c>
      <c r="F7151" s="29">
        <f ca="1">ROUND(2.630,3)</f>
        <v>0</v>
      </c>
      <c r="G7151" s="27">
        <f ca="1">ROUND(E7151*F7151,2)</f>
        <v>0</v>
      </c>
    </row>
    <row r="7152" spans="1:7" ht="21.36" thickBot="1" customHeight="1">
      <c r="A7152" s="24" t="s">
        <v>22618</v>
      </c>
      <c r="B7152" s="24" t="s">
        <v>22619</v>
      </c>
      <c r="C7152" s="24" t="s">
        <v>22620</v>
      </c>
      <c r="D7152" s="25" t="s">
        <v>22621</v>
      </c>
      <c r="E7152" s="28">
        <v>0.20000</v>
      </c>
      <c r="F7152" s="29">
        <f ca="1">F7156</f>
        <v>0</v>
      </c>
      <c r="G7152" s="27">
        <f ca="1">ROUND(E7152*F7152,2)</f>
        <v>0</v>
      </c>
    </row>
    <row r="7153" spans="1:7" ht="24.36" thickBot="1" customHeight="1">
      <c r="A7153" s="24" t="s">
        <v>22622</v>
      </c>
      <c r="B7153" s="24" t="s">
        <v>22623</v>
      </c>
      <c r="C7153" s="24" t="s">
        <v>22624</v>
      </c>
      <c r="D7153" s="25" t="s">
        <v>22625</v>
      </c>
      <c r="E7153" s="28">
        <v>1.00000</v>
      </c>
      <c r="F7153" s="29">
        <f ca="1">ROUND(21.000,3)</f>
        <v>0</v>
      </c>
      <c r="G7153" s="27">
        <f ca="1">ROUND(E7153*F7153,2)</f>
        <v>0</v>
      </c>
    </row>
    <row r="7154" spans="1:7" ht="24.36" thickBot="1" customHeight="1">
      <c r="A7154" s="24" t="s">
        <v>22626</v>
      </c>
      <c r="B7154" s="24" t="s">
        <v>22627</v>
      </c>
      <c r="C7154" s="24" t="s">
        <v>22628</v>
      </c>
      <c r="D7154" s="25" t="s">
        <v>22629</v>
      </c>
      <c r="E7154" s="28">
        <v>1.00000</v>
      </c>
      <c r="F7154" s="29">
        <f ca="1">ROUND(19.000,3)</f>
        <v>0</v>
      </c>
      <c r="G7154" s="27">
        <f ca="1">ROUND(E7154*F7154,2)</f>
        <v>0</v>
      </c>
    </row>
    <row r="7155" spans="1:7" ht="24.36" thickBot="1" customHeight="1">
      <c r="A7155" s="24" t="s">
        <v>22630</v>
      </c>
      <c r="B7155" s="24" t="s">
        <v>22631</v>
      </c>
      <c r="C7155" s="24" t="s">
        <v>22632</v>
      </c>
      <c r="D7155" s="25" t="s">
        <v>22633</v>
      </c>
      <c r="E7155" s="28">
        <v>0.20000</v>
      </c>
      <c r="F7155" s="29">
        <f ca="1">ROUND(19.000,3)</f>
        <v>0</v>
      </c>
      <c r="G7155" s="27">
        <f ca="1">ROUND(E7155*F7155,2)</f>
        <v>0</v>
      </c>
    </row>
    <row r="7156" spans="1:7" ht="15.12" thickBot="1" customHeight="1">
      <c r="A7156" s="26"/>
      <c r="B7156" s="26"/>
      <c r="C7156" s="26"/>
      <c r="D7156" s="24" t="s">
        <v>22634</v>
      </c>
      <c r="E7156" s="28">
        <v>0.20000</v>
      </c>
      <c r="F7156" s="29">
        <f ca="1">ROUND((G7153+G7154+G7155),3)</f>
        <v>0</v>
      </c>
      <c r="G7156" s="27">
        <f ca="1">ROUND(E7156*F7156,2)</f>
        <v>0</v>
      </c>
    </row>
    <row r="7157" spans="1:7" ht="15.12" thickBot="1" customHeight="1">
      <c r="A7157" s="24" t="s">
        <v>22635</v>
      </c>
      <c r="B7157" s="24"/>
      <c r="C7157" s="24" t="s">
        <v>22636</v>
      </c>
      <c r="D7157" s="25" t="s">
        <v>22637</v>
      </c>
      <c r="E7157" s="28">
        <v>5.00000</v>
      </c>
      <c r="F7157" s="29">
        <f ca="1">ROUND(8.760,3)</f>
        <v>0</v>
      </c>
      <c r="G7157" s="27">
        <f ca="1">ROUND((E7157*F7157)/100,2)</f>
        <v>0</v>
      </c>
    </row>
    <row r="7158" spans="1:7" ht="15.48" thickBot="1" customHeight="1">
      <c r="A7158" s="30"/>
      <c r="B7158" s="30"/>
      <c r="C7158" s="30"/>
      <c r="D7158" s="31" t="s">
        <v>22638</v>
      </c>
      <c r="E7158" s="30"/>
      <c r="F7158" s="33">
        <f ca="1">ROUND((G7146+G7150+G7151+G7152+G7157)*(1+G2/100),2)</f>
        <v>0</v>
      </c>
      <c r="G7158" s="30"/>
    </row>
    <row r="7159" spans="1:7" ht="34.68" thickBot="1" customHeight="1">
      <c r="A7159" s="34" t="s">
        <v>22639</v>
      </c>
      <c r="B7159" s="35" t="s">
        <v>22640</v>
      </c>
      <c r="C7159" s="35" t="s">
        <v>22641</v>
      </c>
      <c r="D7159" s="36" t="s">
        <v>22642</v>
      </c>
      <c r="E7159" s="37"/>
      <c r="F7159" s="38">
        <f ca="1">F7171</f>
        <v>0</v>
      </c>
      <c r="G7159" s="37"/>
    </row>
    <row r="7160" spans="1:7" ht="21.36" thickBot="1" customHeight="1">
      <c r="A7160" s="26"/>
      <c r="B7160" s="26"/>
      <c r="C7160" s="26"/>
      <c r="D7160" s="25" t="s">
        <v>22643</v>
      </c>
      <c r="E7160" s="25"/>
      <c r="F7160" s="25"/>
      <c r="G7160" s="25"/>
    </row>
    <row r="7161" spans="1:7" ht="30.60" thickBot="1" customHeight="1">
      <c r="A7161" s="24" t="s">
        <v>22644</v>
      </c>
      <c r="B7161" s="24" t="s">
        <v>22645</v>
      </c>
      <c r="C7161" s="24" t="s">
        <v>22646</v>
      </c>
      <c r="D7161" s="25" t="s">
        <v>22647</v>
      </c>
      <c r="E7161" s="28">
        <v>2.00000</v>
      </c>
      <c r="F7161" s="29">
        <f ca="1">ROUND(3.410,3)</f>
        <v>0</v>
      </c>
      <c r="G7161" s="27">
        <f ca="1">ROUND(E7161*F7161,2)</f>
        <v>0</v>
      </c>
    </row>
    <row r="7162" spans="1:7" ht="21.36" thickBot="1" customHeight="1">
      <c r="A7162" s="24" t="s">
        <v>22648</v>
      </c>
      <c r="B7162" s="24" t="s">
        <v>22649</v>
      </c>
      <c r="C7162" s="24" t="s">
        <v>22650</v>
      </c>
      <c r="D7162" s="25" t="s">
        <v>22651</v>
      </c>
      <c r="E7162" s="28">
        <v>0.04000</v>
      </c>
      <c r="F7162" s="29">
        <f ca="1">ROUND(6.490,3)</f>
        <v>0</v>
      </c>
      <c r="G7162" s="27">
        <f ca="1">ROUND(E7162*F7162,2)</f>
        <v>0</v>
      </c>
    </row>
    <row r="7163" spans="1:7" ht="21.36" thickBot="1" customHeight="1">
      <c r="A7163" s="24" t="s">
        <v>22652</v>
      </c>
      <c r="B7163" s="24" t="s">
        <v>22653</v>
      </c>
      <c r="C7163" s="24" t="s">
        <v>22654</v>
      </c>
      <c r="D7163" s="25" t="s">
        <v>22655</v>
      </c>
      <c r="E7163" s="28">
        <v>0.15000</v>
      </c>
      <c r="F7163" s="29">
        <f ca="1">ROUND(2.000,3)</f>
        <v>0</v>
      </c>
      <c r="G7163" s="27">
        <f ca="1">ROUND(E7163*F7163,2)</f>
        <v>0</v>
      </c>
    </row>
    <row r="7164" spans="1:7" ht="30.60" thickBot="1" customHeight="1">
      <c r="A7164" s="24" t="s">
        <v>22656</v>
      </c>
      <c r="B7164" s="24" t="s">
        <v>22657</v>
      </c>
      <c r="C7164" s="24" t="s">
        <v>22658</v>
      </c>
      <c r="D7164" s="25" t="s">
        <v>22659</v>
      </c>
      <c r="E7164" s="28">
        <v>0.05000</v>
      </c>
      <c r="F7164" s="29">
        <f ca="1">ROUND(4.920,3)</f>
        <v>0</v>
      </c>
      <c r="G7164" s="27">
        <f ca="1">ROUND(E7164*F7164,2)</f>
        <v>0</v>
      </c>
    </row>
    <row r="7165" spans="1:7" ht="21.36" thickBot="1" customHeight="1">
      <c r="A7165" s="24" t="s">
        <v>22660</v>
      </c>
      <c r="B7165" s="24" t="s">
        <v>22661</v>
      </c>
      <c r="C7165" s="24" t="s">
        <v>22662</v>
      </c>
      <c r="D7165" s="25" t="s">
        <v>22663</v>
      </c>
      <c r="E7165" s="28">
        <v>0.20000</v>
      </c>
      <c r="F7165" s="29">
        <f ca="1">F7169</f>
        <v>0</v>
      </c>
      <c r="G7165" s="27">
        <f ca="1">ROUND(E7165*F7165,2)</f>
        <v>0</v>
      </c>
    </row>
    <row r="7166" spans="1:7" ht="24.36" thickBot="1" customHeight="1">
      <c r="A7166" s="24" t="s">
        <v>22664</v>
      </c>
      <c r="B7166" s="24" t="s">
        <v>22665</v>
      </c>
      <c r="C7166" s="24" t="s">
        <v>22666</v>
      </c>
      <c r="D7166" s="25" t="s">
        <v>22667</v>
      </c>
      <c r="E7166" s="28">
        <v>1.00000</v>
      </c>
      <c r="F7166" s="29">
        <f ca="1">ROUND(21.000,3)</f>
        <v>0</v>
      </c>
      <c r="G7166" s="27">
        <f ca="1">ROUND(E7166*F7166,2)</f>
        <v>0</v>
      </c>
    </row>
    <row r="7167" spans="1:7" ht="24.36" thickBot="1" customHeight="1">
      <c r="A7167" s="24" t="s">
        <v>22668</v>
      </c>
      <c r="B7167" s="24" t="s">
        <v>22669</v>
      </c>
      <c r="C7167" s="24" t="s">
        <v>22670</v>
      </c>
      <c r="D7167" s="25" t="s">
        <v>22671</v>
      </c>
      <c r="E7167" s="28">
        <v>1.00000</v>
      </c>
      <c r="F7167" s="29">
        <f ca="1">ROUND(19.000,3)</f>
        <v>0</v>
      </c>
      <c r="G7167" s="27">
        <f ca="1">ROUND(E7167*F7167,2)</f>
        <v>0</v>
      </c>
    </row>
    <row r="7168" spans="1:7" ht="24.36" thickBot="1" customHeight="1">
      <c r="A7168" s="24" t="s">
        <v>22672</v>
      </c>
      <c r="B7168" s="24" t="s">
        <v>22673</v>
      </c>
      <c r="C7168" s="24" t="s">
        <v>22674</v>
      </c>
      <c r="D7168" s="25" t="s">
        <v>22675</v>
      </c>
      <c r="E7168" s="28">
        <v>0.20000</v>
      </c>
      <c r="F7168" s="29">
        <f ca="1">ROUND(19.000,3)</f>
        <v>0</v>
      </c>
      <c r="G7168" s="27">
        <f ca="1">ROUND(E7168*F7168,2)</f>
        <v>0</v>
      </c>
    </row>
    <row r="7169" spans="1:7" ht="15.12" thickBot="1" customHeight="1">
      <c r="A7169" s="26"/>
      <c r="B7169" s="26"/>
      <c r="C7169" s="26"/>
      <c r="D7169" s="24" t="s">
        <v>22676</v>
      </c>
      <c r="E7169" s="28">
        <v>0.20000</v>
      </c>
      <c r="F7169" s="29">
        <f ca="1">ROUND((G7166+G7167+G7168),3)</f>
        <v>0</v>
      </c>
      <c r="G7169" s="27">
        <f ca="1">ROUND(E7169*F7169,2)</f>
        <v>0</v>
      </c>
    </row>
    <row r="7170" spans="1:7" ht="15.12" thickBot="1" customHeight="1">
      <c r="A7170" s="24" t="s">
        <v>22677</v>
      </c>
      <c r="B7170" s="24"/>
      <c r="C7170" s="24" t="s">
        <v>22678</v>
      </c>
      <c r="D7170" s="25" t="s">
        <v>22679</v>
      </c>
      <c r="E7170" s="28">
        <v>5.00000</v>
      </c>
      <c r="F7170" s="29">
        <f ca="1">ROUND(8.760,3)</f>
        <v>0</v>
      </c>
      <c r="G7170" s="27">
        <f ca="1">ROUND((E7170*F7170)/100,2)</f>
        <v>0</v>
      </c>
    </row>
    <row r="7171" spans="1:7" ht="25.08" thickBot="1" customHeight="1">
      <c r="A7171" s="30"/>
      <c r="B7171" s="30"/>
      <c r="C7171" s="30"/>
      <c r="D7171" s="31" t="s">
        <v>22680</v>
      </c>
      <c r="E7171" s="30"/>
      <c r="F7171" s="33">
        <f ca="1">ROUND((G7161+G7162+G7163+G7164+G7165+G7170)*(1+G2/100),2)</f>
        <v>0</v>
      </c>
      <c r="G7171" s="30"/>
    </row>
    <row r="7172" spans="1:7" ht="34.68" thickBot="1" customHeight="1">
      <c r="A7172" s="34" t="s">
        <v>22681</v>
      </c>
      <c r="B7172" s="35" t="s">
        <v>22682</v>
      </c>
      <c r="C7172" s="35" t="s">
        <v>22683</v>
      </c>
      <c r="D7172" s="36" t="s">
        <v>22684</v>
      </c>
      <c r="E7172" s="37"/>
      <c r="F7172" s="38">
        <f ca="1">F7184</f>
        <v>0</v>
      </c>
      <c r="G7172" s="37"/>
    </row>
    <row r="7173" spans="1:7" ht="21.36" thickBot="1" customHeight="1">
      <c r="A7173" s="26"/>
      <c r="B7173" s="26"/>
      <c r="C7173" s="26"/>
      <c r="D7173" s="25" t="s">
        <v>22685</v>
      </c>
      <c r="E7173" s="25"/>
      <c r="F7173" s="25"/>
      <c r="G7173" s="25"/>
    </row>
    <row r="7174" spans="1:7" ht="30.60" thickBot="1" customHeight="1">
      <c r="A7174" s="24" t="s">
        <v>22686</v>
      </c>
      <c r="B7174" s="24" t="s">
        <v>22687</v>
      </c>
      <c r="C7174" s="24" t="s">
        <v>22688</v>
      </c>
      <c r="D7174" s="25" t="s">
        <v>22689</v>
      </c>
      <c r="E7174" s="28">
        <v>4.00000</v>
      </c>
      <c r="F7174" s="29">
        <f ca="1">ROUND(3.410,3)</f>
        <v>0</v>
      </c>
      <c r="G7174" s="27">
        <f ca="1">ROUND(E7174*F7174,2)</f>
        <v>0</v>
      </c>
    </row>
    <row r="7175" spans="1:7" ht="21.36" thickBot="1" customHeight="1">
      <c r="A7175" s="24" t="s">
        <v>22690</v>
      </c>
      <c r="B7175" s="24" t="s">
        <v>22691</v>
      </c>
      <c r="C7175" s="24" t="s">
        <v>22692</v>
      </c>
      <c r="D7175" s="25" t="s">
        <v>22693</v>
      </c>
      <c r="E7175" s="28">
        <v>0.08000</v>
      </c>
      <c r="F7175" s="29">
        <f ca="1">ROUND(6.490,3)</f>
        <v>0</v>
      </c>
      <c r="G7175" s="27">
        <f ca="1">ROUND(E7175*F7175,2)</f>
        <v>0</v>
      </c>
    </row>
    <row r="7176" spans="1:7" ht="21.36" thickBot="1" customHeight="1">
      <c r="A7176" s="24" t="s">
        <v>22694</v>
      </c>
      <c r="B7176" s="24" t="s">
        <v>22695</v>
      </c>
      <c r="C7176" s="24" t="s">
        <v>22696</v>
      </c>
      <c r="D7176" s="25" t="s">
        <v>22697</v>
      </c>
      <c r="E7176" s="28">
        <v>0.20000</v>
      </c>
      <c r="F7176" s="29">
        <f ca="1">ROUND(2.000,3)</f>
        <v>0</v>
      </c>
      <c r="G7176" s="27">
        <f ca="1">ROUND(E7176*F7176,2)</f>
        <v>0</v>
      </c>
    </row>
    <row r="7177" spans="1:7" ht="30.60" thickBot="1" customHeight="1">
      <c r="A7177" s="24" t="s">
        <v>22698</v>
      </c>
      <c r="B7177" s="24" t="s">
        <v>22699</v>
      </c>
      <c r="C7177" s="24" t="s">
        <v>22700</v>
      </c>
      <c r="D7177" s="25" t="s">
        <v>22701</v>
      </c>
      <c r="E7177" s="28">
        <v>0.10000</v>
      </c>
      <c r="F7177" s="29">
        <f ca="1">ROUND(4.920,3)</f>
        <v>0</v>
      </c>
      <c r="G7177" s="27">
        <f ca="1">ROUND(E7177*F7177,2)</f>
        <v>0</v>
      </c>
    </row>
    <row r="7178" spans="1:7" ht="21.36" thickBot="1" customHeight="1">
      <c r="A7178" s="24" t="s">
        <v>22702</v>
      </c>
      <c r="B7178" s="24" t="s">
        <v>22703</v>
      </c>
      <c r="C7178" s="24" t="s">
        <v>22704</v>
      </c>
      <c r="D7178" s="25" t="s">
        <v>22705</v>
      </c>
      <c r="E7178" s="28">
        <v>0.32000</v>
      </c>
      <c r="F7178" s="29">
        <f ca="1">F7182</f>
        <v>0</v>
      </c>
      <c r="G7178" s="27">
        <f ca="1">ROUND(E7178*F7178,2)</f>
        <v>0</v>
      </c>
    </row>
    <row r="7179" spans="1:7" ht="24.36" thickBot="1" customHeight="1">
      <c r="A7179" s="24" t="s">
        <v>22706</v>
      </c>
      <c r="B7179" s="24" t="s">
        <v>22707</v>
      </c>
      <c r="C7179" s="24" t="s">
        <v>22708</v>
      </c>
      <c r="D7179" s="25" t="s">
        <v>22709</v>
      </c>
      <c r="E7179" s="28">
        <v>1.00000</v>
      </c>
      <c r="F7179" s="29">
        <f ca="1">ROUND(21.000,3)</f>
        <v>0</v>
      </c>
      <c r="G7179" s="27">
        <f ca="1">ROUND(E7179*F7179,2)</f>
        <v>0</v>
      </c>
    </row>
    <row r="7180" spans="1:7" ht="24.36" thickBot="1" customHeight="1">
      <c r="A7180" s="24" t="s">
        <v>22710</v>
      </c>
      <c r="B7180" s="24" t="s">
        <v>22711</v>
      </c>
      <c r="C7180" s="24" t="s">
        <v>22712</v>
      </c>
      <c r="D7180" s="25" t="s">
        <v>22713</v>
      </c>
      <c r="E7180" s="28">
        <v>1.00000</v>
      </c>
      <c r="F7180" s="29">
        <f ca="1">ROUND(19.000,3)</f>
        <v>0</v>
      </c>
      <c r="G7180" s="27">
        <f ca="1">ROUND(E7180*F7180,2)</f>
        <v>0</v>
      </c>
    </row>
    <row r="7181" spans="1:7" ht="24.36" thickBot="1" customHeight="1">
      <c r="A7181" s="24" t="s">
        <v>22714</v>
      </c>
      <c r="B7181" s="24" t="s">
        <v>22715</v>
      </c>
      <c r="C7181" s="24" t="s">
        <v>22716</v>
      </c>
      <c r="D7181" s="25" t="s">
        <v>22717</v>
      </c>
      <c r="E7181" s="28">
        <v>0.20000</v>
      </c>
      <c r="F7181" s="29">
        <f ca="1">ROUND(19.000,3)</f>
        <v>0</v>
      </c>
      <c r="G7181" s="27">
        <f ca="1">ROUND(E7181*F7181,2)</f>
        <v>0</v>
      </c>
    </row>
    <row r="7182" spans="1:7" ht="15.12" thickBot="1" customHeight="1">
      <c r="A7182" s="26"/>
      <c r="B7182" s="26"/>
      <c r="C7182" s="26"/>
      <c r="D7182" s="24" t="s">
        <v>22718</v>
      </c>
      <c r="E7182" s="28">
        <v>0.32000</v>
      </c>
      <c r="F7182" s="29">
        <f ca="1">ROUND((G7179+G7180+G7181),3)</f>
        <v>0</v>
      </c>
      <c r="G7182" s="27">
        <f ca="1">ROUND(E7182*F7182,2)</f>
        <v>0</v>
      </c>
    </row>
    <row r="7183" spans="1:7" ht="15.12" thickBot="1" customHeight="1">
      <c r="A7183" s="24" t="s">
        <v>22719</v>
      </c>
      <c r="B7183" s="24"/>
      <c r="C7183" s="24" t="s">
        <v>22720</v>
      </c>
      <c r="D7183" s="25" t="s">
        <v>22721</v>
      </c>
      <c r="E7183" s="28">
        <v>5.00000</v>
      </c>
      <c r="F7183" s="29">
        <f ca="1">ROUND(14.020,3)</f>
        <v>0</v>
      </c>
      <c r="G7183" s="27">
        <f ca="1">ROUND((E7183*F7183)/100,2)</f>
        <v>0</v>
      </c>
    </row>
    <row r="7184" spans="1:7" ht="25.08" thickBot="1" customHeight="1">
      <c r="A7184" s="30"/>
      <c r="B7184" s="30"/>
      <c r="C7184" s="30"/>
      <c r="D7184" s="31" t="s">
        <v>22722</v>
      </c>
      <c r="E7184" s="30"/>
      <c r="F7184" s="33">
        <f ca="1">ROUND((G7174+G7175+G7176+G7177+G7178+G7183)*(1+G2/100),2)</f>
        <v>0</v>
      </c>
      <c r="G7184" s="30"/>
    </row>
    <row r="7185" spans="1:7" ht="25.08" thickBot="1" customHeight="1">
      <c r="A7185" s="34" t="s">
        <v>22723</v>
      </c>
      <c r="B7185" s="35" t="s">
        <v>22724</v>
      </c>
      <c r="C7185" s="35" t="s">
        <v>22725</v>
      </c>
      <c r="D7185" s="36" t="s">
        <v>22726</v>
      </c>
      <c r="E7185" s="37"/>
      <c r="F7185" s="38">
        <f ca="1">F7198</f>
        <v>0</v>
      </c>
      <c r="G7185" s="37"/>
    </row>
    <row r="7186" spans="1:7" ht="12.12" thickBot="1" customHeight="1">
      <c r="A7186" s="26"/>
      <c r="B7186" s="26"/>
      <c r="C7186" s="26"/>
      <c r="D7186" s="25" t="s">
        <v>22727</v>
      </c>
      <c r="E7186" s="25"/>
      <c r="F7186" s="25"/>
      <c r="G7186" s="25"/>
    </row>
    <row r="7187" spans="1:7" ht="30.60" thickBot="1" customHeight="1">
      <c r="A7187" s="24" t="s">
        <v>22728</v>
      </c>
      <c r="B7187" s="24" t="s">
        <v>22729</v>
      </c>
      <c r="C7187" s="24" t="s">
        <v>22730</v>
      </c>
      <c r="D7187" s="25" t="s">
        <v>22731</v>
      </c>
      <c r="E7187" s="28">
        <v>1.00000</v>
      </c>
      <c r="F7187" s="29">
        <f ca="1">ROUND(10.000,3)</f>
        <v>0</v>
      </c>
      <c r="G7187" s="27">
        <f ca="1">ROUND(E7187*F7187,2)</f>
        <v>0</v>
      </c>
    </row>
    <row r="7188" spans="1:7" ht="39.84" thickBot="1" customHeight="1">
      <c r="A7188" s="24" t="s">
        <v>22732</v>
      </c>
      <c r="B7188" s="24" t="s">
        <v>22733</v>
      </c>
      <c r="C7188" s="24" t="s">
        <v>22734</v>
      </c>
      <c r="D7188" s="25" t="s">
        <v>22735</v>
      </c>
      <c r="E7188" s="28">
        <v>0.64000</v>
      </c>
      <c r="F7188" s="29">
        <f ca="1">ROUND(2.600,3)</f>
        <v>0</v>
      </c>
      <c r="G7188" s="27">
        <f ca="1">ROUND(E7188*F7188,2)</f>
        <v>0</v>
      </c>
    </row>
    <row r="7189" spans="1:7" ht="30.60" thickBot="1" customHeight="1">
      <c r="A7189" s="24" t="s">
        <v>22736</v>
      </c>
      <c r="B7189" s="24" t="s">
        <v>22737</v>
      </c>
      <c r="C7189" s="24" t="s">
        <v>22738</v>
      </c>
      <c r="D7189" s="25" t="s">
        <v>22739</v>
      </c>
      <c r="E7189" s="28">
        <v>0.03000</v>
      </c>
      <c r="F7189" s="29">
        <f ca="1">ROUND(11.740,3)</f>
        <v>0</v>
      </c>
      <c r="G7189" s="27">
        <f ca="1">ROUND(E7189*F7189,2)</f>
        <v>0</v>
      </c>
    </row>
    <row r="7190" spans="1:7" ht="39.84" thickBot="1" customHeight="1">
      <c r="A7190" s="24" t="s">
        <v>22740</v>
      </c>
      <c r="B7190" s="24" t="s">
        <v>22741</v>
      </c>
      <c r="C7190" s="24" t="s">
        <v>22742</v>
      </c>
      <c r="D7190" s="25" t="s">
        <v>22743</v>
      </c>
      <c r="E7190" s="28">
        <v>0.25000</v>
      </c>
      <c r="F7190" s="29">
        <f ca="1">ROUND(1.750,3)</f>
        <v>0</v>
      </c>
      <c r="G7190" s="27">
        <f ca="1">ROUND(E7190*F7190,2)</f>
        <v>0</v>
      </c>
    </row>
    <row r="7191" spans="1:7" ht="30.60" thickBot="1" customHeight="1">
      <c r="A7191" s="24" t="s">
        <v>22744</v>
      </c>
      <c r="B7191" s="24" t="s">
        <v>22745</v>
      </c>
      <c r="C7191" s="24" t="s">
        <v>22746</v>
      </c>
      <c r="D7191" s="25" t="s">
        <v>22747</v>
      </c>
      <c r="E7191" s="28">
        <v>0.01667</v>
      </c>
      <c r="F7191" s="29">
        <f ca="1">ROUND(8.810,3)</f>
        <v>0</v>
      </c>
      <c r="G7191" s="27">
        <f ca="1">ROUND(E7191*F7191,2)</f>
        <v>0</v>
      </c>
    </row>
    <row r="7192" spans="1:7" ht="21.36" thickBot="1" customHeight="1">
      <c r="A7192" s="24" t="s">
        <v>22748</v>
      </c>
      <c r="B7192" s="24" t="s">
        <v>22749</v>
      </c>
      <c r="C7192" s="24" t="s">
        <v>22750</v>
      </c>
      <c r="D7192" s="25" t="s">
        <v>22751</v>
      </c>
      <c r="E7192" s="28">
        <v>0.53333</v>
      </c>
      <c r="F7192" s="29">
        <f ca="1">F7196</f>
        <v>0</v>
      </c>
      <c r="G7192" s="27">
        <f ca="1">ROUND(E7192*F7192,2)</f>
        <v>0</v>
      </c>
    </row>
    <row r="7193" spans="1:7" ht="24.36" thickBot="1" customHeight="1">
      <c r="A7193" s="24" t="s">
        <v>22752</v>
      </c>
      <c r="B7193" s="24" t="s">
        <v>22753</v>
      </c>
      <c r="C7193" s="24" t="s">
        <v>22754</v>
      </c>
      <c r="D7193" s="25" t="s">
        <v>22755</v>
      </c>
      <c r="E7193" s="28">
        <v>1.00000</v>
      </c>
      <c r="F7193" s="29">
        <f ca="1">ROUND(21.000,3)</f>
        <v>0</v>
      </c>
      <c r="G7193" s="27">
        <f ca="1">ROUND(E7193*F7193,2)</f>
        <v>0</v>
      </c>
    </row>
    <row r="7194" spans="1:7" ht="24.36" thickBot="1" customHeight="1">
      <c r="A7194" s="24" t="s">
        <v>22756</v>
      </c>
      <c r="B7194" s="24" t="s">
        <v>22757</v>
      </c>
      <c r="C7194" s="24" t="s">
        <v>22758</v>
      </c>
      <c r="D7194" s="25" t="s">
        <v>22759</v>
      </c>
      <c r="E7194" s="28">
        <v>1.00000</v>
      </c>
      <c r="F7194" s="29">
        <f ca="1">ROUND(19.000,3)</f>
        <v>0</v>
      </c>
      <c r="G7194" s="27">
        <f ca="1">ROUND(E7194*F7194,2)</f>
        <v>0</v>
      </c>
    </row>
    <row r="7195" spans="1:7" ht="24.36" thickBot="1" customHeight="1">
      <c r="A7195" s="24" t="s">
        <v>22760</v>
      </c>
      <c r="B7195" s="24" t="s">
        <v>22761</v>
      </c>
      <c r="C7195" s="24" t="s">
        <v>22762</v>
      </c>
      <c r="D7195" s="25" t="s">
        <v>22763</v>
      </c>
      <c r="E7195" s="28">
        <v>0.20000</v>
      </c>
      <c r="F7195" s="29">
        <f ca="1">ROUND(19.000,3)</f>
        <v>0</v>
      </c>
      <c r="G7195" s="27">
        <f ca="1">ROUND(E7195*F7195,2)</f>
        <v>0</v>
      </c>
    </row>
    <row r="7196" spans="1:7" ht="15.12" thickBot="1" customHeight="1">
      <c r="A7196" s="26"/>
      <c r="B7196" s="26"/>
      <c r="C7196" s="26"/>
      <c r="D7196" s="24" t="s">
        <v>22764</v>
      </c>
      <c r="E7196" s="28">
        <v>0.53333</v>
      </c>
      <c r="F7196" s="29">
        <f ca="1">ROUND((G7193+G7194+G7195),3)</f>
        <v>0</v>
      </c>
      <c r="G7196" s="27">
        <f ca="1">ROUND(E7196*F7196,2)</f>
        <v>0</v>
      </c>
    </row>
    <row r="7197" spans="1:7" ht="15.12" thickBot="1" customHeight="1">
      <c r="A7197" s="24" t="s">
        <v>22765</v>
      </c>
      <c r="B7197" s="24"/>
      <c r="C7197" s="24" t="s">
        <v>22766</v>
      </c>
      <c r="D7197" s="25" t="s">
        <v>22767</v>
      </c>
      <c r="E7197" s="28">
        <v>5.00000</v>
      </c>
      <c r="F7197" s="29">
        <f ca="1">ROUND(23.360,3)</f>
        <v>0</v>
      </c>
      <c r="G7197" s="27">
        <f ca="1">ROUND((E7197*F7197)/100,2)</f>
        <v>0</v>
      </c>
    </row>
    <row r="7198" spans="1:7" ht="15.48" thickBot="1" customHeight="1">
      <c r="A7198" s="30"/>
      <c r="B7198" s="30"/>
      <c r="C7198" s="30"/>
      <c r="D7198" s="31" t="s">
        <v>22768</v>
      </c>
      <c r="E7198" s="30"/>
      <c r="F7198" s="33">
        <f ca="1">ROUND((G7187+G7188+G7189+G7190+G7191+G7192+G7197)*(1+G2/100),2)</f>
        <v>0</v>
      </c>
      <c r="G7198" s="30"/>
    </row>
    <row r="7199" spans="1:7" ht="58.32" thickBot="1" customHeight="1">
      <c r="A7199" s="34" t="s">
        <v>22769</v>
      </c>
      <c r="B7199" s="35" t="s">
        <v>22770</v>
      </c>
      <c r="C7199" s="35" t="s">
        <v>22771</v>
      </c>
      <c r="D7199" s="36" t="s">
        <v>22772</v>
      </c>
      <c r="E7199" s="37"/>
      <c r="F7199" s="38">
        <f ca="1">F7212</f>
        <v>0</v>
      </c>
      <c r="G7199" s="37"/>
    </row>
    <row r="7200" spans="1:7" ht="30.60" thickBot="1" customHeight="1">
      <c r="A7200" s="26"/>
      <c r="B7200" s="26"/>
      <c r="C7200" s="26"/>
      <c r="D7200" s="25" t="s">
        <v>22773</v>
      </c>
      <c r="E7200" s="25"/>
      <c r="F7200" s="25"/>
      <c r="G7200" s="25"/>
    </row>
    <row r="7201" spans="1:7" ht="30.60" thickBot="1" customHeight="1">
      <c r="A7201" s="24" t="s">
        <v>22774</v>
      </c>
      <c r="B7201" s="24" t="s">
        <v>22775</v>
      </c>
      <c r="C7201" s="24" t="s">
        <v>22776</v>
      </c>
      <c r="D7201" s="25" t="s">
        <v>22777</v>
      </c>
      <c r="E7201" s="28">
        <v>0.05250</v>
      </c>
      <c r="F7201" s="29">
        <f ca="1">ROUND(6.140,3)</f>
        <v>0</v>
      </c>
      <c r="G7201" s="27">
        <f ca="1">ROUND(E7201*F7201,2)</f>
        <v>0</v>
      </c>
    </row>
    <row r="7202" spans="1:7" ht="39.84" thickBot="1" customHeight="1">
      <c r="A7202" s="24" t="s">
        <v>22778</v>
      </c>
      <c r="B7202" s="24" t="s">
        <v>22779</v>
      </c>
      <c r="C7202" s="24" t="s">
        <v>22780</v>
      </c>
      <c r="D7202" s="25" t="s">
        <v>22781</v>
      </c>
      <c r="E7202" s="28">
        <v>0.11260</v>
      </c>
      <c r="F7202" s="29">
        <f ca="1">ROUND(7.370,3)</f>
        <v>0</v>
      </c>
      <c r="G7202" s="27">
        <f ca="1">ROUND(E7202*F7202,2)</f>
        <v>0</v>
      </c>
    </row>
    <row r="7203" spans="1:7" ht="39.84" thickBot="1" customHeight="1">
      <c r="A7203" s="24" t="s">
        <v>22782</v>
      </c>
      <c r="B7203" s="24" t="s">
        <v>22783</v>
      </c>
      <c r="C7203" s="24" t="s">
        <v>22784</v>
      </c>
      <c r="D7203" s="25" t="s">
        <v>22785</v>
      </c>
      <c r="E7203" s="28">
        <v>0.13125</v>
      </c>
      <c r="F7203" s="29">
        <f ca="1">ROUND(11.380,3)</f>
        <v>0</v>
      </c>
      <c r="G7203" s="27">
        <f ca="1">ROUND(E7203*F7203,2)</f>
        <v>0</v>
      </c>
    </row>
    <row r="7204" spans="1:7" ht="24.36" thickBot="1" customHeight="1">
      <c r="A7204" s="24" t="s">
        <v>22786</v>
      </c>
      <c r="B7204" s="24" t="s">
        <v>22787</v>
      </c>
      <c r="C7204" s="24" t="s">
        <v>22788</v>
      </c>
      <c r="D7204" s="25" t="s">
        <v>22789</v>
      </c>
      <c r="E7204" s="28">
        <v>0.33333</v>
      </c>
      <c r="F7204" s="29">
        <f ca="1">ROUND(4.500,3)</f>
        <v>0</v>
      </c>
      <c r="G7204" s="27">
        <f ca="1">ROUND(E7204*F7204,2)</f>
        <v>0</v>
      </c>
    </row>
    <row r="7205" spans="1:7" ht="30.60" thickBot="1" customHeight="1">
      <c r="A7205" s="24" t="s">
        <v>22790</v>
      </c>
      <c r="B7205" s="24" t="s">
        <v>22791</v>
      </c>
      <c r="C7205" s="24" t="s">
        <v>22792</v>
      </c>
      <c r="D7205" s="25" t="s">
        <v>22793</v>
      </c>
      <c r="E7205" s="28">
        <v>0.03333</v>
      </c>
      <c r="F7205" s="29">
        <f ca="1">ROUND(4.920,3)</f>
        <v>0</v>
      </c>
      <c r="G7205" s="27">
        <f ca="1">ROUND(E7205*F7205,2)</f>
        <v>0</v>
      </c>
    </row>
    <row r="7206" spans="1:7" ht="21.36" thickBot="1" customHeight="1">
      <c r="A7206" s="24" t="s">
        <v>22794</v>
      </c>
      <c r="B7206" s="24" t="s">
        <v>22795</v>
      </c>
      <c r="C7206" s="24" t="s">
        <v>22796</v>
      </c>
      <c r="D7206" s="25" t="s">
        <v>22797</v>
      </c>
      <c r="E7206" s="28">
        <v>0.33333</v>
      </c>
      <c r="F7206" s="29">
        <f ca="1">F7210</f>
        <v>0</v>
      </c>
      <c r="G7206" s="27">
        <f ca="1">ROUND(E7206*F7206,2)</f>
        <v>0</v>
      </c>
    </row>
    <row r="7207" spans="1:7" ht="24.36" thickBot="1" customHeight="1">
      <c r="A7207" s="24" t="s">
        <v>22798</v>
      </c>
      <c r="B7207" s="24" t="s">
        <v>22799</v>
      </c>
      <c r="C7207" s="24" t="s">
        <v>22800</v>
      </c>
      <c r="D7207" s="25" t="s">
        <v>22801</v>
      </c>
      <c r="E7207" s="28">
        <v>1.00000</v>
      </c>
      <c r="F7207" s="29">
        <f ca="1">ROUND(21.000,3)</f>
        <v>0</v>
      </c>
      <c r="G7207" s="27">
        <f ca="1">ROUND(E7207*F7207,2)</f>
        <v>0</v>
      </c>
    </row>
    <row r="7208" spans="1:7" ht="24.36" thickBot="1" customHeight="1">
      <c r="A7208" s="24" t="s">
        <v>22802</v>
      </c>
      <c r="B7208" s="24" t="s">
        <v>22803</v>
      </c>
      <c r="C7208" s="24" t="s">
        <v>22804</v>
      </c>
      <c r="D7208" s="25" t="s">
        <v>22805</v>
      </c>
      <c r="E7208" s="28">
        <v>1.00000</v>
      </c>
      <c r="F7208" s="29">
        <f ca="1">ROUND(19.000,3)</f>
        <v>0</v>
      </c>
      <c r="G7208" s="27">
        <f ca="1">ROUND(E7208*F7208,2)</f>
        <v>0</v>
      </c>
    </row>
    <row r="7209" spans="1:7" ht="24.36" thickBot="1" customHeight="1">
      <c r="A7209" s="24" t="s">
        <v>22806</v>
      </c>
      <c r="B7209" s="24" t="s">
        <v>22807</v>
      </c>
      <c r="C7209" s="24" t="s">
        <v>22808</v>
      </c>
      <c r="D7209" s="25" t="s">
        <v>22809</v>
      </c>
      <c r="E7209" s="28">
        <v>0.20000</v>
      </c>
      <c r="F7209" s="29">
        <f ca="1">ROUND(19.000,3)</f>
        <v>0</v>
      </c>
      <c r="G7209" s="27">
        <f ca="1">ROUND(E7209*F7209,2)</f>
        <v>0</v>
      </c>
    </row>
    <row r="7210" spans="1:7" ht="15.12" thickBot="1" customHeight="1">
      <c r="A7210" s="26"/>
      <c r="B7210" s="26"/>
      <c r="C7210" s="26"/>
      <c r="D7210" s="24" t="s">
        <v>22810</v>
      </c>
      <c r="E7210" s="28">
        <v>0.33333</v>
      </c>
      <c r="F7210" s="29">
        <f ca="1">ROUND((G7207+G7208+G7209),3)</f>
        <v>0</v>
      </c>
      <c r="G7210" s="27">
        <f ca="1">ROUND(E7210*F7210,2)</f>
        <v>0</v>
      </c>
    </row>
    <row r="7211" spans="1:7" ht="15.12" thickBot="1" customHeight="1">
      <c r="A7211" s="24" t="s">
        <v>22811</v>
      </c>
      <c r="B7211" s="24"/>
      <c r="C7211" s="24" t="s">
        <v>22812</v>
      </c>
      <c r="D7211" s="25" t="s">
        <v>22813</v>
      </c>
      <c r="E7211" s="28">
        <v>5.00000</v>
      </c>
      <c r="F7211" s="29">
        <f ca="1">ROUND(14.600,3)</f>
        <v>0</v>
      </c>
      <c r="G7211" s="27">
        <f ca="1">ROUND((E7211*F7211)/100,2)</f>
        <v>0</v>
      </c>
    </row>
    <row r="7212" spans="1:7" ht="25.08" thickBot="1" customHeight="1">
      <c r="A7212" s="30"/>
      <c r="B7212" s="30"/>
      <c r="C7212" s="30"/>
      <c r="D7212" s="31" t="s">
        <v>22814</v>
      </c>
      <c r="E7212" s="30"/>
      <c r="F7212" s="33">
        <f ca="1">ROUND((G7201+G7202+G7203+G7204+G7205+G7206+G7211)*(1+G2/100),2)</f>
        <v>0</v>
      </c>
      <c r="G7212" s="30"/>
    </row>
    <row r="7213" spans="1:7" ht="39.84" thickBot="1" customHeight="1">
      <c r="A7213" s="34" t="s">
        <v>22815</v>
      </c>
      <c r="B7213" s="35" t="s">
        <v>22816</v>
      </c>
      <c r="C7213" s="35" t="s">
        <v>22817</v>
      </c>
      <c r="D7213" s="36" t="s">
        <v>22818</v>
      </c>
      <c r="E7213" s="37"/>
      <c r="F7213" s="38">
        <f ca="1">F7222</f>
        <v>0</v>
      </c>
      <c r="G7213" s="37"/>
    </row>
    <row r="7214" spans="1:7" ht="21.36" thickBot="1" customHeight="1">
      <c r="A7214" s="26"/>
      <c r="B7214" s="26"/>
      <c r="C7214" s="26"/>
      <c r="D7214" s="25" t="s">
        <v>22819</v>
      </c>
      <c r="E7214" s="25"/>
      <c r="F7214" s="25"/>
      <c r="G7214" s="25"/>
    </row>
    <row r="7215" spans="1:7" ht="30.60" thickBot="1" customHeight="1">
      <c r="A7215" s="24" t="s">
        <v>22820</v>
      </c>
      <c r="B7215" s="24" t="s">
        <v>22821</v>
      </c>
      <c r="C7215" s="24" t="s">
        <v>22822</v>
      </c>
      <c r="D7215" s="25" t="s">
        <v>22823</v>
      </c>
      <c r="E7215" s="28">
        <v>1.00000</v>
      </c>
      <c r="F7215" s="29">
        <f ca="1">ROUND(1.470,3)</f>
        <v>0</v>
      </c>
      <c r="G7215" s="27">
        <f ca="1">ROUND(E7215*F7215,2)</f>
        <v>0</v>
      </c>
    </row>
    <row r="7216" spans="1:7" ht="21.36" thickBot="1" customHeight="1">
      <c r="A7216" s="24" t="s">
        <v>22824</v>
      </c>
      <c r="B7216" s="24" t="s">
        <v>22825</v>
      </c>
      <c r="C7216" s="24" t="s">
        <v>22826</v>
      </c>
      <c r="D7216" s="25" t="s">
        <v>22827</v>
      </c>
      <c r="E7216" s="28">
        <v>1.00000</v>
      </c>
      <c r="F7216" s="29">
        <f ca="1">F7220</f>
        <v>0</v>
      </c>
      <c r="G7216" s="27">
        <f ca="1">ROUND(E7216*F7216,2)</f>
        <v>0</v>
      </c>
    </row>
    <row r="7217" spans="1:7" ht="24.36" thickBot="1" customHeight="1">
      <c r="A7217" s="24" t="s">
        <v>22828</v>
      </c>
      <c r="B7217" s="24" t="s">
        <v>22829</v>
      </c>
      <c r="C7217" s="24" t="s">
        <v>22830</v>
      </c>
      <c r="D7217" s="25" t="s">
        <v>22831</v>
      </c>
      <c r="E7217" s="28">
        <v>1.00000</v>
      </c>
      <c r="F7217" s="29">
        <f ca="1">ROUND(21.000,3)</f>
        <v>0</v>
      </c>
      <c r="G7217" s="27">
        <f ca="1">ROUND(E7217*F7217,2)</f>
        <v>0</v>
      </c>
    </row>
    <row r="7218" spans="1:7" ht="24.36" thickBot="1" customHeight="1">
      <c r="A7218" s="24" t="s">
        <v>22832</v>
      </c>
      <c r="B7218" s="24" t="s">
        <v>22833</v>
      </c>
      <c r="C7218" s="24" t="s">
        <v>22834</v>
      </c>
      <c r="D7218" s="25" t="s">
        <v>22835</v>
      </c>
      <c r="E7218" s="28">
        <v>1.00000</v>
      </c>
      <c r="F7218" s="29">
        <f ca="1">ROUND(19.000,3)</f>
        <v>0</v>
      </c>
      <c r="G7218" s="27">
        <f ca="1">ROUND(E7218*F7218,2)</f>
        <v>0</v>
      </c>
    </row>
    <row r="7219" spans="1:7" ht="24.36" thickBot="1" customHeight="1">
      <c r="A7219" s="24" t="s">
        <v>22836</v>
      </c>
      <c r="B7219" s="24" t="s">
        <v>22837</v>
      </c>
      <c r="C7219" s="24" t="s">
        <v>22838</v>
      </c>
      <c r="D7219" s="25" t="s">
        <v>22839</v>
      </c>
      <c r="E7219" s="28">
        <v>0.20000</v>
      </c>
      <c r="F7219" s="29">
        <f ca="1">ROUND(19.000,3)</f>
        <v>0</v>
      </c>
      <c r="G7219" s="27">
        <f ca="1">ROUND(E7219*F7219,2)</f>
        <v>0</v>
      </c>
    </row>
    <row r="7220" spans="1:7" ht="15.12" thickBot="1" customHeight="1">
      <c r="A7220" s="26"/>
      <c r="B7220" s="26"/>
      <c r="C7220" s="26"/>
      <c r="D7220" s="24" t="s">
        <v>22840</v>
      </c>
      <c r="E7220" s="28">
        <v>1.00000</v>
      </c>
      <c r="F7220" s="29">
        <f ca="1">ROUND((G7217+G7218+G7219),3)</f>
        <v>0</v>
      </c>
      <c r="G7220" s="27">
        <f ca="1">ROUND(E7220*F7220,2)</f>
        <v>0</v>
      </c>
    </row>
    <row r="7221" spans="1:7" ht="15.12" thickBot="1" customHeight="1">
      <c r="A7221" s="24" t="s">
        <v>22841</v>
      </c>
      <c r="B7221" s="24"/>
      <c r="C7221" s="24" t="s">
        <v>22842</v>
      </c>
      <c r="D7221" s="25" t="s">
        <v>22843</v>
      </c>
      <c r="E7221" s="28">
        <v>5.00000</v>
      </c>
      <c r="F7221" s="29">
        <f ca="1">ROUND(43.800,3)</f>
        <v>0</v>
      </c>
      <c r="G7221" s="27">
        <f ca="1">ROUND((E7221*F7221)/100,2)</f>
        <v>0</v>
      </c>
    </row>
    <row r="7222" spans="1:7" ht="15.48" thickBot="1" customHeight="1">
      <c r="A7222" s="30"/>
      <c r="B7222" s="30"/>
      <c r="C7222" s="30"/>
      <c r="D7222" s="31" t="s">
        <v>22844</v>
      </c>
      <c r="E7222" s="30"/>
      <c r="F7222" s="33">
        <f ca="1">ROUND((G7215+G7216+G7221)*(1+G2/100),2)</f>
        <v>0</v>
      </c>
      <c r="G7222" s="30"/>
    </row>
    <row r="7223" spans="1:7" ht="49.08" thickBot="1" customHeight="1">
      <c r="A7223" s="34" t="s">
        <v>22845</v>
      </c>
      <c r="B7223" s="35" t="s">
        <v>22846</v>
      </c>
      <c r="C7223" s="35" t="s">
        <v>22847</v>
      </c>
      <c r="D7223" s="36" t="s">
        <v>22848</v>
      </c>
      <c r="E7223" s="37"/>
      <c r="F7223" s="38">
        <f ca="1">F7232</f>
        <v>0</v>
      </c>
      <c r="G7223" s="37"/>
    </row>
    <row r="7224" spans="1:7" ht="21.36" thickBot="1" customHeight="1">
      <c r="A7224" s="26"/>
      <c r="B7224" s="26"/>
      <c r="C7224" s="26"/>
      <c r="D7224" s="25" t="s">
        <v>22849</v>
      </c>
      <c r="E7224" s="25"/>
      <c r="F7224" s="25"/>
      <c r="G7224" s="25"/>
    </row>
    <row r="7225" spans="1:7" ht="30.60" thickBot="1" customHeight="1">
      <c r="A7225" s="24" t="s">
        <v>22850</v>
      </c>
      <c r="B7225" s="24" t="s">
        <v>22851</v>
      </c>
      <c r="C7225" s="24" t="s">
        <v>22852</v>
      </c>
      <c r="D7225" s="25" t="s">
        <v>22853</v>
      </c>
      <c r="E7225" s="28">
        <v>1.00000</v>
      </c>
      <c r="F7225" s="29">
        <f ca="1">ROUND(1.470,3)</f>
        <v>0</v>
      </c>
      <c r="G7225" s="27">
        <f ca="1">ROUND(E7225*F7225,2)</f>
        <v>0</v>
      </c>
    </row>
    <row r="7226" spans="1:7" ht="21.36" thickBot="1" customHeight="1">
      <c r="A7226" s="24" t="s">
        <v>22854</v>
      </c>
      <c r="B7226" s="24" t="s">
        <v>22855</v>
      </c>
      <c r="C7226" s="24" t="s">
        <v>22856</v>
      </c>
      <c r="D7226" s="25" t="s">
        <v>22857</v>
      </c>
      <c r="E7226" s="28">
        <v>1.50000</v>
      </c>
      <c r="F7226" s="29">
        <f ca="1">F7230</f>
        <v>0</v>
      </c>
      <c r="G7226" s="27">
        <f ca="1">ROUND(E7226*F7226,2)</f>
        <v>0</v>
      </c>
    </row>
    <row r="7227" spans="1:7" ht="24.36" thickBot="1" customHeight="1">
      <c r="A7227" s="24" t="s">
        <v>22858</v>
      </c>
      <c r="B7227" s="24" t="s">
        <v>22859</v>
      </c>
      <c r="C7227" s="24" t="s">
        <v>22860</v>
      </c>
      <c r="D7227" s="25" t="s">
        <v>22861</v>
      </c>
      <c r="E7227" s="28">
        <v>1.00000</v>
      </c>
      <c r="F7227" s="29">
        <f ca="1">ROUND(21.000,3)</f>
        <v>0</v>
      </c>
      <c r="G7227" s="27">
        <f ca="1">ROUND(E7227*F7227,2)</f>
        <v>0</v>
      </c>
    </row>
    <row r="7228" spans="1:7" ht="24.36" thickBot="1" customHeight="1">
      <c r="A7228" s="24" t="s">
        <v>22862</v>
      </c>
      <c r="B7228" s="24" t="s">
        <v>22863</v>
      </c>
      <c r="C7228" s="24" t="s">
        <v>22864</v>
      </c>
      <c r="D7228" s="25" t="s">
        <v>22865</v>
      </c>
      <c r="E7228" s="28">
        <v>1.00000</v>
      </c>
      <c r="F7228" s="29">
        <f ca="1">ROUND(19.000,3)</f>
        <v>0</v>
      </c>
      <c r="G7228" s="27">
        <f ca="1">ROUND(E7228*F7228,2)</f>
        <v>0</v>
      </c>
    </row>
    <row r="7229" spans="1:7" ht="24.36" thickBot="1" customHeight="1">
      <c r="A7229" s="24" t="s">
        <v>22866</v>
      </c>
      <c r="B7229" s="24" t="s">
        <v>22867</v>
      </c>
      <c r="C7229" s="24" t="s">
        <v>22868</v>
      </c>
      <c r="D7229" s="25" t="s">
        <v>22869</v>
      </c>
      <c r="E7229" s="28">
        <v>0.20000</v>
      </c>
      <c r="F7229" s="29">
        <f ca="1">ROUND(19.000,3)</f>
        <v>0</v>
      </c>
      <c r="G7229" s="27">
        <f ca="1">ROUND(E7229*F7229,2)</f>
        <v>0</v>
      </c>
    </row>
    <row r="7230" spans="1:7" ht="15.12" thickBot="1" customHeight="1">
      <c r="A7230" s="26"/>
      <c r="B7230" s="26"/>
      <c r="C7230" s="26"/>
      <c r="D7230" s="24" t="s">
        <v>22870</v>
      </c>
      <c r="E7230" s="28">
        <v>1.50000</v>
      </c>
      <c r="F7230" s="29">
        <f ca="1">ROUND((G7227+G7228+G7229),3)</f>
        <v>0</v>
      </c>
      <c r="G7230" s="27">
        <f ca="1">ROUND(E7230*F7230,2)</f>
        <v>0</v>
      </c>
    </row>
    <row r="7231" spans="1:7" ht="15.12" thickBot="1" customHeight="1">
      <c r="A7231" s="24" t="s">
        <v>22871</v>
      </c>
      <c r="B7231" s="24"/>
      <c r="C7231" s="24" t="s">
        <v>22872</v>
      </c>
      <c r="D7231" s="25" t="s">
        <v>22873</v>
      </c>
      <c r="E7231" s="28">
        <v>5.00000</v>
      </c>
      <c r="F7231" s="29">
        <f ca="1">ROUND(65.700,3)</f>
        <v>0</v>
      </c>
      <c r="G7231" s="27">
        <f ca="1">ROUND((E7231*F7231)/100,2)</f>
        <v>0</v>
      </c>
    </row>
    <row r="7232" spans="1:7" ht="15.48" thickBot="1" customHeight="1">
      <c r="A7232" s="30"/>
      <c r="B7232" s="30"/>
      <c r="C7232" s="30"/>
      <c r="D7232" s="31" t="s">
        <v>22874</v>
      </c>
      <c r="E7232" s="30"/>
      <c r="F7232" s="33">
        <f ca="1">ROUND((G7225+G7226+G7231)*(1+G2/100),2)</f>
        <v>0</v>
      </c>
      <c r="G7232" s="30"/>
    </row>
    <row r="7233" spans="1:7" ht="25.08" thickBot="1" customHeight="1">
      <c r="A7233" s="34" t="s">
        <v>22875</v>
      </c>
      <c r="B7233" s="35" t="s">
        <v>22876</v>
      </c>
      <c r="C7233" s="35" t="s">
        <v>22877</v>
      </c>
      <c r="D7233" s="36" t="s">
        <v>22878</v>
      </c>
      <c r="E7233" s="37"/>
      <c r="F7233" s="38">
        <f ca="1">F7240</f>
        <v>0</v>
      </c>
      <c r="G7233" s="37"/>
    </row>
    <row r="7234" spans="1:7" ht="12.12" thickBot="1" customHeight="1">
      <c r="A7234" s="26"/>
      <c r="B7234" s="26"/>
      <c r="C7234" s="26"/>
      <c r="D7234" s="25" t="s">
        <v>22879</v>
      </c>
      <c r="E7234" s="25"/>
      <c r="F7234" s="25"/>
      <c r="G7234" s="25"/>
    </row>
    <row r="7235" spans="1:7" ht="30.60" thickBot="1" customHeight="1">
      <c r="A7235" s="24" t="s">
        <v>22880</v>
      </c>
      <c r="B7235" s="24" t="s">
        <v>22881</v>
      </c>
      <c r="C7235" s="24" t="s">
        <v>22882</v>
      </c>
      <c r="D7235" s="25" t="s">
        <v>22883</v>
      </c>
      <c r="E7235" s="28">
        <v>24.00000</v>
      </c>
      <c r="F7235" s="29">
        <f ca="1">F7238</f>
        <v>0</v>
      </c>
      <c r="G7235" s="27">
        <f ca="1">ROUND(E7235*F7235,2)</f>
        <v>0</v>
      </c>
    </row>
    <row r="7236" spans="1:7" ht="24.36" thickBot="1" customHeight="1">
      <c r="A7236" s="24" t="s">
        <v>22884</v>
      </c>
      <c r="B7236" s="24" t="s">
        <v>22885</v>
      </c>
      <c r="C7236" s="24" t="s">
        <v>22886</v>
      </c>
      <c r="D7236" s="25" t="s">
        <v>22887</v>
      </c>
      <c r="E7236" s="28">
        <v>1.00000</v>
      </c>
      <c r="F7236" s="29">
        <f ca="1">ROUND(21.000,3)</f>
        <v>0</v>
      </c>
      <c r="G7236" s="27">
        <f ca="1">ROUND(E7236*F7236,2)</f>
        <v>0</v>
      </c>
    </row>
    <row r="7237" spans="1:7" ht="24.36" thickBot="1" customHeight="1">
      <c r="A7237" s="24" t="s">
        <v>22888</v>
      </c>
      <c r="B7237" s="24" t="s">
        <v>22889</v>
      </c>
      <c r="C7237" s="24" t="s">
        <v>22890</v>
      </c>
      <c r="D7237" s="25" t="s">
        <v>22891</v>
      </c>
      <c r="E7237" s="28">
        <v>1.00000</v>
      </c>
      <c r="F7237" s="29">
        <f ca="1">ROUND(19.000,3)</f>
        <v>0</v>
      </c>
      <c r="G7237" s="27">
        <f ca="1">ROUND(E7237*F7237,2)</f>
        <v>0</v>
      </c>
    </row>
    <row r="7238" spans="1:7" ht="15.12" thickBot="1" customHeight="1">
      <c r="A7238" s="26"/>
      <c r="B7238" s="26"/>
      <c r="C7238" s="26"/>
      <c r="D7238" s="24" t="s">
        <v>22892</v>
      </c>
      <c r="E7238" s="28">
        <v>24.00000</v>
      </c>
      <c r="F7238" s="29">
        <f ca="1">ROUND((G7236+G7237),3)</f>
        <v>0</v>
      </c>
      <c r="G7238" s="27">
        <f ca="1">ROUND(E7238*F7238,2)</f>
        <v>0</v>
      </c>
    </row>
    <row r="7239" spans="1:7" ht="15.12" thickBot="1" customHeight="1">
      <c r="A7239" s="24" t="s">
        <v>22893</v>
      </c>
      <c r="B7239" s="24"/>
      <c r="C7239" s="24" t="s">
        <v>22894</v>
      </c>
      <c r="D7239" s="25" t="s">
        <v>22895</v>
      </c>
      <c r="E7239" s="28">
        <v>50.00000</v>
      </c>
      <c r="F7239" s="29">
        <f ca="1">ROUND(960.000,3)</f>
        <v>0</v>
      </c>
      <c r="G7239" s="27">
        <f ca="1">ROUND((E7239*F7239)/100,2)</f>
        <v>0</v>
      </c>
    </row>
    <row r="7240" spans="1:7" ht="25.08" thickBot="1" customHeight="1">
      <c r="A7240" s="30"/>
      <c r="B7240" s="30"/>
      <c r="C7240" s="30"/>
      <c r="D7240" s="31" t="s">
        <v>22896</v>
      </c>
      <c r="E7240" s="30"/>
      <c r="F7240" s="33">
        <f ca="1">ROUND((G7235+G7239)*(1+G2/100),2)</f>
        <v>0</v>
      </c>
      <c r="G7240" s="30"/>
    </row>
    <row r="7241" spans="1:7" ht="30.60" thickBot="1" customHeight="1">
      <c r="A7241" s="34" t="s">
        <v>22897</v>
      </c>
      <c r="B7241" s="35" t="s">
        <v>22898</v>
      </c>
      <c r="C7241" s="35" t="s">
        <v>22899</v>
      </c>
      <c r="D7241" s="36" t="s">
        <v>22900</v>
      </c>
      <c r="E7241" s="37"/>
      <c r="F7241" s="38">
        <f ca="1">F7251</f>
        <v>0</v>
      </c>
      <c r="G7241" s="37"/>
    </row>
    <row r="7242" spans="1:7" ht="58.32" thickBot="1" customHeight="1">
      <c r="A7242" s="26"/>
      <c r="B7242" s="26"/>
      <c r="C7242" s="26"/>
      <c r="D7242" s="25" t="s">
        <v>22901</v>
      </c>
      <c r="E7242" s="25"/>
      <c r="F7242" s="25"/>
      <c r="G7242" s="25"/>
    </row>
    <row r="7243" spans="1:7" ht="39.84" thickBot="1" customHeight="1">
      <c r="A7243" s="24" t="s">
        <v>22902</v>
      </c>
      <c r="B7243" s="24" t="s">
        <v>22903</v>
      </c>
      <c r="C7243" s="24" t="s">
        <v>22904</v>
      </c>
      <c r="D7243" s="25" t="s">
        <v>22905</v>
      </c>
      <c r="E7243" s="28">
        <v>2.55500</v>
      </c>
      <c r="F7243" s="29">
        <f ca="1">ROUND(21.490,3)</f>
        <v>0</v>
      </c>
      <c r="G7243" s="27">
        <f ca="1">ROUND(E7243*F7243,2)</f>
        <v>0</v>
      </c>
    </row>
    <row r="7244" spans="1:7" ht="39.84" thickBot="1" customHeight="1">
      <c r="A7244" s="24" t="s">
        <v>22906</v>
      </c>
      <c r="B7244" s="24" t="s">
        <v>22907</v>
      </c>
      <c r="C7244" s="24" t="s">
        <v>22908</v>
      </c>
      <c r="D7244" s="25" t="s">
        <v>22909</v>
      </c>
      <c r="E7244" s="28">
        <v>0.20000</v>
      </c>
      <c r="F7244" s="29">
        <f ca="1">ROUND(1.750,3)</f>
        <v>0</v>
      </c>
      <c r="G7244" s="27">
        <f ca="1">ROUND(E7244*F7244,2)</f>
        <v>0</v>
      </c>
    </row>
    <row r="7245" spans="1:7" ht="39.84" thickBot="1" customHeight="1">
      <c r="A7245" s="24" t="s">
        <v>22910</v>
      </c>
      <c r="B7245" s="24" t="s">
        <v>22911</v>
      </c>
      <c r="C7245" s="24" t="s">
        <v>22912</v>
      </c>
      <c r="D7245" s="25" t="s">
        <v>22913</v>
      </c>
      <c r="E7245" s="28">
        <v>0.30000</v>
      </c>
      <c r="F7245" s="29">
        <f ca="1">ROUND(2.860,3)</f>
        <v>0</v>
      </c>
      <c r="G7245" s="27">
        <f ca="1">ROUND(E7245*F7245,2)</f>
        <v>0</v>
      </c>
    </row>
    <row r="7246" spans="1:7" ht="30.60" thickBot="1" customHeight="1">
      <c r="A7246" s="24" t="s">
        <v>22914</v>
      </c>
      <c r="B7246" s="24" t="s">
        <v>22915</v>
      </c>
      <c r="C7246" s="24" t="s">
        <v>22916</v>
      </c>
      <c r="D7246" s="25" t="s">
        <v>22917</v>
      </c>
      <c r="E7246" s="28">
        <v>0.42000</v>
      </c>
      <c r="F7246" s="29">
        <f ca="1">ROUND(30.450,3)</f>
        <v>0</v>
      </c>
      <c r="G7246" s="27">
        <f ca="1">ROUND(E7246*F7246,2)</f>
        <v>0</v>
      </c>
    </row>
    <row r="7247" spans="1:7" ht="39.84" thickBot="1" customHeight="1">
      <c r="A7247" s="24" t="s">
        <v>22918</v>
      </c>
      <c r="B7247" s="24" t="s">
        <v>22919</v>
      </c>
      <c r="C7247" s="24" t="s">
        <v>22920</v>
      </c>
      <c r="D7247" s="25" t="s">
        <v>22921</v>
      </c>
      <c r="E7247" s="28">
        <v>0.05000</v>
      </c>
      <c r="F7247" s="29">
        <f ca="1">ROUND(53.440,3)</f>
        <v>0</v>
      </c>
      <c r="G7247" s="27">
        <f ca="1">ROUND(E7247*F7247,2)</f>
        <v>0</v>
      </c>
    </row>
    <row r="7248" spans="1:7" ht="30.60" thickBot="1" customHeight="1">
      <c r="A7248" s="24" t="s">
        <v>22922</v>
      </c>
      <c r="B7248" s="24" t="s">
        <v>22923</v>
      </c>
      <c r="C7248" s="24" t="s">
        <v>22924</v>
      </c>
      <c r="D7248" s="25" t="s">
        <v>22925</v>
      </c>
      <c r="E7248" s="28">
        <v>0.72000</v>
      </c>
      <c r="F7248" s="29">
        <f ca="1">F7249</f>
        <v>0</v>
      </c>
      <c r="G7248" s="27">
        <f ca="1">ROUND(E7248*F7248,2)</f>
        <v>0</v>
      </c>
    </row>
    <row r="7249" spans="1:7" ht="15.12" thickBot="1" customHeight="1">
      <c r="A7249" s="26"/>
      <c r="B7249" s="26"/>
      <c r="C7249" s="26"/>
      <c r="D7249" s="24" t="s">
        <v>22926</v>
      </c>
      <c r="E7249" s="28">
        <v>0.72000</v>
      </c>
      <c r="F7249" s="29">
        <f ca="1">ROUND((),3)</f>
        <v>0</v>
      </c>
      <c r="G7249" s="27">
        <f ca="1">ROUND(E7249*F7249,2)</f>
        <v>0</v>
      </c>
    </row>
    <row r="7250" spans="1:7" ht="15.12" thickBot="1" customHeight="1">
      <c r="A7250" s="24" t="s">
        <v>22927</v>
      </c>
      <c r="B7250" s="24"/>
      <c r="C7250" s="24" t="s">
        <v>22928</v>
      </c>
      <c r="D7250" s="25" t="s">
        <v>22929</v>
      </c>
      <c r="E7250" s="28">
        <v>7.00000</v>
      </c>
      <c r="F7250" s="29">
        <f ca="1">ROUND(35.640,3)</f>
        <v>0</v>
      </c>
      <c r="G7250" s="27">
        <f ca="1">ROUND((E7250*F7250)/100,2)</f>
        <v>0</v>
      </c>
    </row>
    <row r="7251" spans="1:7" ht="15.48" thickBot="1" customHeight="1">
      <c r="A7251" s="30"/>
      <c r="B7251" s="30"/>
      <c r="C7251" s="30"/>
      <c r="D7251" s="31" t="s">
        <v>22930</v>
      </c>
      <c r="E7251" s="30"/>
      <c r="F7251" s="33">
        <f ca="1">ROUND((G7243+G7244+G7245+G7246+G7247+G7248+G7250)*(1+G2/100),2)</f>
        <v>0</v>
      </c>
      <c r="G7251" s="30"/>
    </row>
    <row r="7252" spans="1:7" ht="21.36" thickBot="1" customHeight="1">
      <c r="A7252" s="34" t="s">
        <v>22931</v>
      </c>
      <c r="B7252" s="35" t="s">
        <v>22932</v>
      </c>
      <c r="C7252" s="35" t="s">
        <v>22933</v>
      </c>
      <c r="D7252" s="36" t="s">
        <v>22934</v>
      </c>
      <c r="E7252" s="37"/>
      <c r="F7252" s="38">
        <f ca="1">F7261</f>
        <v>0</v>
      </c>
      <c r="G7252" s="37"/>
    </row>
    <row r="7253" spans="1:7" ht="39.84" thickBot="1" customHeight="1">
      <c r="A7253" s="26"/>
      <c r="B7253" s="26"/>
      <c r="C7253" s="26"/>
      <c r="D7253" s="25" t="s">
        <v>22935</v>
      </c>
      <c r="E7253" s="25"/>
      <c r="F7253" s="25"/>
      <c r="G7253" s="25"/>
    </row>
    <row r="7254" spans="1:7" ht="30.60" thickBot="1" customHeight="1">
      <c r="A7254" s="24" t="s">
        <v>22936</v>
      </c>
      <c r="B7254" s="24" t="s">
        <v>22937</v>
      </c>
      <c r="C7254" s="24" t="s">
        <v>22938</v>
      </c>
      <c r="D7254" s="25" t="s">
        <v>22939</v>
      </c>
      <c r="E7254" s="28">
        <v>0.06660</v>
      </c>
      <c r="F7254" s="29">
        <f ca="1">ROUND(110.660,3)</f>
        <v>0</v>
      </c>
      <c r="G7254" s="27">
        <f ca="1">ROUND(E7254*F7254,2)</f>
        <v>0</v>
      </c>
    </row>
    <row r="7255" spans="1:7" ht="24.36" thickBot="1" customHeight="1">
      <c r="A7255" s="24" t="s">
        <v>22940</v>
      </c>
      <c r="B7255" s="24" t="s">
        <v>22941</v>
      </c>
      <c r="C7255" s="24" t="s">
        <v>22942</v>
      </c>
      <c r="D7255" s="25" t="s">
        <v>22943</v>
      </c>
      <c r="E7255" s="28">
        <v>0.11000</v>
      </c>
      <c r="F7255" s="29">
        <f ca="1">ROUND(4.630,3)</f>
        <v>0</v>
      </c>
      <c r="G7255" s="27">
        <f ca="1">ROUND(E7255*F7255,2)</f>
        <v>0</v>
      </c>
    </row>
    <row r="7256" spans="1:7" ht="21.36" thickBot="1" customHeight="1">
      <c r="A7256" s="24" t="s">
        <v>22944</v>
      </c>
      <c r="B7256" s="24" t="s">
        <v>22945</v>
      </c>
      <c r="C7256" s="24" t="s">
        <v>22946</v>
      </c>
      <c r="D7256" s="25" t="s">
        <v>22947</v>
      </c>
      <c r="E7256" s="28">
        <v>0.35000</v>
      </c>
      <c r="F7256" s="29">
        <f ca="1">F7260</f>
        <v>0</v>
      </c>
      <c r="G7256" s="27">
        <f ca="1">ROUND(E7256*F7256,2)</f>
        <v>0</v>
      </c>
    </row>
    <row r="7257" spans="1:7" ht="24.36" thickBot="1" customHeight="1">
      <c r="A7257" s="24" t="s">
        <v>22948</v>
      </c>
      <c r="B7257" s="24" t="s">
        <v>22949</v>
      </c>
      <c r="C7257" s="24" t="s">
        <v>22950</v>
      </c>
      <c r="D7257" s="25" t="s">
        <v>22951</v>
      </c>
      <c r="E7257" s="28">
        <v>1.00000</v>
      </c>
      <c r="F7257" s="29">
        <f ca="1">ROUND(21.000,3)</f>
        <v>0</v>
      </c>
      <c r="G7257" s="27">
        <f ca="1">ROUND(E7257*F7257,2)</f>
        <v>0</v>
      </c>
    </row>
    <row r="7258" spans="1:7" ht="24.36" thickBot="1" customHeight="1">
      <c r="A7258" s="24" t="s">
        <v>22952</v>
      </c>
      <c r="B7258" s="24" t="s">
        <v>22953</v>
      </c>
      <c r="C7258" s="24" t="s">
        <v>22954</v>
      </c>
      <c r="D7258" s="25" t="s">
        <v>22955</v>
      </c>
      <c r="E7258" s="28">
        <v>1.00000</v>
      </c>
      <c r="F7258" s="29">
        <f ca="1">ROUND(19.000,3)</f>
        <v>0</v>
      </c>
      <c r="G7258" s="27">
        <f ca="1">ROUND(E7258*F7258,2)</f>
        <v>0</v>
      </c>
    </row>
    <row r="7259" spans="1:7" ht="24.36" thickBot="1" customHeight="1">
      <c r="A7259" s="24" t="s">
        <v>22956</v>
      </c>
      <c r="B7259" s="24" t="s">
        <v>22957</v>
      </c>
      <c r="C7259" s="24" t="s">
        <v>22958</v>
      </c>
      <c r="D7259" s="25" t="s">
        <v>22959</v>
      </c>
      <c r="E7259" s="28">
        <v>0.20000</v>
      </c>
      <c r="F7259" s="29">
        <f ca="1">ROUND(19.000,3)</f>
        <v>0</v>
      </c>
      <c r="G7259" s="27">
        <f ca="1">ROUND(E7259*F7259,2)</f>
        <v>0</v>
      </c>
    </row>
    <row r="7260" spans="1:7" ht="15.12" thickBot="1" customHeight="1">
      <c r="A7260" s="26"/>
      <c r="B7260" s="26"/>
      <c r="C7260" s="26"/>
      <c r="D7260" s="24" t="s">
        <v>22960</v>
      </c>
      <c r="E7260" s="28">
        <v>0.35000</v>
      </c>
      <c r="F7260" s="29">
        <f ca="1">ROUND((G7257+G7258+G7259),3)</f>
        <v>0</v>
      </c>
      <c r="G7260" s="27">
        <f ca="1">ROUND(E7260*F7260,2)</f>
        <v>0</v>
      </c>
    </row>
    <row r="7261" spans="1:7" ht="15.48" thickBot="1" customHeight="1">
      <c r="A7261" s="30"/>
      <c r="B7261" s="30"/>
      <c r="C7261" s="30"/>
      <c r="D7261" s="31" t="s">
        <v>22961</v>
      </c>
      <c r="E7261" s="30"/>
      <c r="F7261" s="33">
        <f ca="1">ROUND((G7254+G7255+G7256)*(1+G2/100),2)</f>
        <v>0</v>
      </c>
      <c r="G7261" s="30"/>
    </row>
    <row r="7262" spans="1:7" ht="39.84" thickBot="1" customHeight="1">
      <c r="A7262" s="34" t="s">
        <v>22962</v>
      </c>
      <c r="B7262" s="35" t="s">
        <v>22963</v>
      </c>
      <c r="C7262" s="35" t="s">
        <v>22964</v>
      </c>
      <c r="D7262" s="36" t="s">
        <v>22965</v>
      </c>
      <c r="E7262" s="37"/>
      <c r="F7262" s="38">
        <f ca="1">F7269</f>
        <v>0</v>
      </c>
      <c r="G7262" s="37"/>
    </row>
    <row r="7263" spans="1:7" ht="21.36" thickBot="1" customHeight="1">
      <c r="A7263" s="26"/>
      <c r="B7263" s="26"/>
      <c r="C7263" s="26"/>
      <c r="D7263" s="25" t="s">
        <v>22966</v>
      </c>
      <c r="E7263" s="25"/>
      <c r="F7263" s="25"/>
      <c r="G7263" s="25"/>
    </row>
    <row r="7264" spans="1:7" ht="21.36" thickBot="1" customHeight="1">
      <c r="A7264" s="24" t="s">
        <v>22967</v>
      </c>
      <c r="B7264" s="24" t="s">
        <v>22968</v>
      </c>
      <c r="C7264" s="24" t="s">
        <v>22969</v>
      </c>
      <c r="D7264" s="25" t="s">
        <v>22970</v>
      </c>
      <c r="E7264" s="28">
        <v>8.00000</v>
      </c>
      <c r="F7264" s="29">
        <f ca="1">F7267</f>
        <v>0</v>
      </c>
      <c r="G7264" s="27">
        <f ca="1">ROUND(E7264*F7264,2)</f>
        <v>0</v>
      </c>
    </row>
    <row r="7265" spans="1:7" ht="24.36" thickBot="1" customHeight="1">
      <c r="A7265" s="24" t="s">
        <v>22971</v>
      </c>
      <c r="B7265" s="24" t="s">
        <v>22972</v>
      </c>
      <c r="C7265" s="24" t="s">
        <v>22973</v>
      </c>
      <c r="D7265" s="25" t="s">
        <v>22974</v>
      </c>
      <c r="E7265" s="28">
        <v>1.00000</v>
      </c>
      <c r="F7265" s="29">
        <f ca="1">ROUND(21.000,3)</f>
        <v>0</v>
      </c>
      <c r="G7265" s="27">
        <f ca="1">ROUND(E7265*F7265,2)</f>
        <v>0</v>
      </c>
    </row>
    <row r="7266" spans="1:7" ht="24.36" thickBot="1" customHeight="1">
      <c r="A7266" s="24" t="s">
        <v>22975</v>
      </c>
      <c r="B7266" s="24" t="s">
        <v>22976</v>
      </c>
      <c r="C7266" s="24" t="s">
        <v>22977</v>
      </c>
      <c r="D7266" s="25" t="s">
        <v>22978</v>
      </c>
      <c r="E7266" s="28">
        <v>1.00000</v>
      </c>
      <c r="F7266" s="29">
        <f ca="1">ROUND(19.000,3)</f>
        <v>0</v>
      </c>
      <c r="G7266" s="27">
        <f ca="1">ROUND(E7266*F7266,2)</f>
        <v>0</v>
      </c>
    </row>
    <row r="7267" spans="1:7" ht="15.12" thickBot="1" customHeight="1">
      <c r="A7267" s="26"/>
      <c r="B7267" s="26"/>
      <c r="C7267" s="26"/>
      <c r="D7267" s="24" t="s">
        <v>22979</v>
      </c>
      <c r="E7267" s="28">
        <v>8.00000</v>
      </c>
      <c r="F7267" s="29">
        <f ca="1">ROUND((G7265+G7266),3)</f>
        <v>0</v>
      </c>
      <c r="G7267" s="27">
        <f ca="1">ROUND(E7267*F7267,2)</f>
        <v>0</v>
      </c>
    </row>
    <row r="7268" spans="1:7" ht="15.12" thickBot="1" customHeight="1">
      <c r="A7268" s="24" t="s">
        <v>22980</v>
      </c>
      <c r="B7268" s="24"/>
      <c r="C7268" s="24" t="s">
        <v>22981</v>
      </c>
      <c r="D7268" s="25" t="s">
        <v>22982</v>
      </c>
      <c r="E7268" s="28">
        <v>50.00000</v>
      </c>
      <c r="F7268" s="29">
        <f ca="1">ROUND(320.000,3)</f>
        <v>0</v>
      </c>
      <c r="G7268" s="27">
        <f ca="1">ROUND((E7268*F7268)/100,2)</f>
        <v>0</v>
      </c>
    </row>
    <row r="7269" spans="1:7" ht="25.08" thickBot="1" customHeight="1">
      <c r="A7269" s="30"/>
      <c r="B7269" s="30"/>
      <c r="C7269" s="30"/>
      <c r="D7269" s="31" t="s">
        <v>22983</v>
      </c>
      <c r="E7269" s="30"/>
      <c r="F7269" s="33">
        <f ca="1">ROUND((G7264+G7268)*(1+G2/100),2)</f>
        <v>0</v>
      </c>
      <c r="G7269" s="30"/>
    </row>
    <row r="7270" spans="1:7" ht="25.08" thickBot="1" customHeight="1">
      <c r="A7270" s="34" t="s">
        <v>22984</v>
      </c>
      <c r="B7270" s="35" t="s">
        <v>22985</v>
      </c>
      <c r="C7270" s="35" t="s">
        <v>22986</v>
      </c>
      <c r="D7270" s="36" t="s">
        <v>22987</v>
      </c>
      <c r="E7270" s="37"/>
      <c r="F7270" s="38">
        <f ca="1">F7278</f>
        <v>0</v>
      </c>
      <c r="G7270" s="37"/>
    </row>
    <row r="7271" spans="1:7" ht="12.12" thickBot="1" customHeight="1">
      <c r="A7271" s="26"/>
      <c r="B7271" s="26"/>
      <c r="C7271" s="26"/>
      <c r="D7271" s="25" t="s">
        <v>22988</v>
      </c>
      <c r="E7271" s="25"/>
      <c r="F7271" s="25"/>
      <c r="G7271" s="25"/>
    </row>
    <row r="7272" spans="1:7" ht="21.36" thickBot="1" customHeight="1">
      <c r="A7272" s="24" t="s">
        <v>22989</v>
      </c>
      <c r="B7272" s="24" t="s">
        <v>22990</v>
      </c>
      <c r="C7272" s="24" t="s">
        <v>22991</v>
      </c>
      <c r="D7272" s="25" t="s">
        <v>22992</v>
      </c>
      <c r="E7272" s="28">
        <v>8.00000</v>
      </c>
      <c r="F7272" s="29">
        <f ca="1">F7276</f>
        <v>0</v>
      </c>
      <c r="G7272" s="27">
        <f ca="1">ROUND(E7272*F7272,2)</f>
        <v>0</v>
      </c>
    </row>
    <row r="7273" spans="1:7" ht="24.36" thickBot="1" customHeight="1">
      <c r="A7273" s="24" t="s">
        <v>22993</v>
      </c>
      <c r="B7273" s="24" t="s">
        <v>22994</v>
      </c>
      <c r="C7273" s="24" t="s">
        <v>22995</v>
      </c>
      <c r="D7273" s="25" t="s">
        <v>22996</v>
      </c>
      <c r="E7273" s="28">
        <v>1.00000</v>
      </c>
      <c r="F7273" s="29">
        <f ca="1">ROUND(21.000,3)</f>
        <v>0</v>
      </c>
      <c r="G7273" s="27">
        <f ca="1">ROUND(E7273*F7273,2)</f>
        <v>0</v>
      </c>
    </row>
    <row r="7274" spans="1:7" ht="24.36" thickBot="1" customHeight="1">
      <c r="A7274" s="24" t="s">
        <v>22997</v>
      </c>
      <c r="B7274" s="24" t="s">
        <v>22998</v>
      </c>
      <c r="C7274" s="24" t="s">
        <v>22999</v>
      </c>
      <c r="D7274" s="25" t="s">
        <v>23000</v>
      </c>
      <c r="E7274" s="28">
        <v>1.00000</v>
      </c>
      <c r="F7274" s="29">
        <f ca="1">ROUND(19.000,3)</f>
        <v>0</v>
      </c>
      <c r="G7274" s="27">
        <f ca="1">ROUND(E7274*F7274,2)</f>
        <v>0</v>
      </c>
    </row>
    <row r="7275" spans="1:7" ht="24.36" thickBot="1" customHeight="1">
      <c r="A7275" s="24" t="s">
        <v>23001</v>
      </c>
      <c r="B7275" s="24" t="s">
        <v>23002</v>
      </c>
      <c r="C7275" s="24" t="s">
        <v>23003</v>
      </c>
      <c r="D7275" s="25" t="s">
        <v>23004</v>
      </c>
      <c r="E7275" s="28">
        <v>0.20000</v>
      </c>
      <c r="F7275" s="29">
        <f ca="1">ROUND(19.000,3)</f>
        <v>0</v>
      </c>
      <c r="G7275" s="27">
        <f ca="1">ROUND(E7275*F7275,2)</f>
        <v>0</v>
      </c>
    </row>
    <row r="7276" spans="1:7" ht="15.12" thickBot="1" customHeight="1">
      <c r="A7276" s="26"/>
      <c r="B7276" s="26"/>
      <c r="C7276" s="26"/>
      <c r="D7276" s="24" t="s">
        <v>23005</v>
      </c>
      <c r="E7276" s="28">
        <v>8.00000</v>
      </c>
      <c r="F7276" s="29">
        <f ca="1">ROUND((G7273+G7274+G7275),3)</f>
        <v>0</v>
      </c>
      <c r="G7276" s="27">
        <f ca="1">ROUND(E7276*F7276,2)</f>
        <v>0</v>
      </c>
    </row>
    <row r="7277" spans="1:7" ht="15.12" thickBot="1" customHeight="1">
      <c r="A7277" s="24" t="s">
        <v>23006</v>
      </c>
      <c r="B7277" s="24"/>
      <c r="C7277" s="24" t="s">
        <v>23007</v>
      </c>
      <c r="D7277" s="25" t="s">
        <v>23008</v>
      </c>
      <c r="E7277" s="28">
        <v>3.00000</v>
      </c>
      <c r="F7277" s="29">
        <f ca="1">ROUND(350.400,3)</f>
        <v>0</v>
      </c>
      <c r="G7277" s="27">
        <f ca="1">ROUND((E7277*F7277)/100,2)</f>
        <v>0</v>
      </c>
    </row>
    <row r="7278" spans="1:7" ht="15.48" thickBot="1" customHeight="1">
      <c r="A7278" s="30"/>
      <c r="B7278" s="30"/>
      <c r="C7278" s="30"/>
      <c r="D7278" s="31" t="s">
        <v>23009</v>
      </c>
      <c r="E7278" s="30"/>
      <c r="F7278" s="33">
        <f ca="1">ROUND((G7272+G7277)*(1+G2/100),2)</f>
        <v>0</v>
      </c>
      <c r="G7278" s="30"/>
    </row>
    <row r="7279" spans="1:7" ht="34.68" thickBot="1" customHeight="1">
      <c r="A7279" s="34" t="s">
        <v>23010</v>
      </c>
      <c r="B7279" s="35" t="s">
        <v>23011</v>
      </c>
      <c r="C7279" s="35" t="s">
        <v>23012</v>
      </c>
      <c r="D7279" s="36" t="s">
        <v>23013</v>
      </c>
      <c r="E7279" s="37"/>
      <c r="F7279" s="38">
        <f ca="1">F7286</f>
        <v>0</v>
      </c>
      <c r="G7279" s="37"/>
    </row>
    <row r="7280" spans="1:7" ht="21.36" thickBot="1" customHeight="1">
      <c r="A7280" s="26"/>
      <c r="B7280" s="26"/>
      <c r="C7280" s="26"/>
      <c r="D7280" s="25" t="s">
        <v>23014</v>
      </c>
      <c r="E7280" s="25"/>
      <c r="F7280" s="25"/>
      <c r="G7280" s="25"/>
    </row>
    <row r="7281" spans="1:7" ht="21.36" thickBot="1" customHeight="1">
      <c r="A7281" s="24" t="s">
        <v>23015</v>
      </c>
      <c r="B7281" s="24" t="s">
        <v>23016</v>
      </c>
      <c r="C7281" s="24" t="s">
        <v>23017</v>
      </c>
      <c r="D7281" s="25" t="s">
        <v>23018</v>
      </c>
      <c r="E7281" s="28">
        <v>8.00000</v>
      </c>
      <c r="F7281" s="29">
        <f ca="1">F7284</f>
        <v>0</v>
      </c>
      <c r="G7281" s="27">
        <f ca="1">ROUND(E7281*F7281,2)</f>
        <v>0</v>
      </c>
    </row>
    <row r="7282" spans="1:7" ht="24.36" thickBot="1" customHeight="1">
      <c r="A7282" s="24" t="s">
        <v>23019</v>
      </c>
      <c r="B7282" s="24" t="s">
        <v>23020</v>
      </c>
      <c r="C7282" s="24" t="s">
        <v>23021</v>
      </c>
      <c r="D7282" s="25" t="s">
        <v>23022</v>
      </c>
      <c r="E7282" s="28">
        <v>1.00000</v>
      </c>
      <c r="F7282" s="29">
        <f ca="1">ROUND(21.000,3)</f>
        <v>0</v>
      </c>
      <c r="G7282" s="27">
        <f ca="1">ROUND(E7282*F7282,2)</f>
        <v>0</v>
      </c>
    </row>
    <row r="7283" spans="1:7" ht="24.36" thickBot="1" customHeight="1">
      <c r="A7283" s="24" t="s">
        <v>23023</v>
      </c>
      <c r="B7283" s="24" t="s">
        <v>23024</v>
      </c>
      <c r="C7283" s="24" t="s">
        <v>23025</v>
      </c>
      <c r="D7283" s="25" t="s">
        <v>23026</v>
      </c>
      <c r="E7283" s="28">
        <v>1.00000</v>
      </c>
      <c r="F7283" s="29">
        <f ca="1">ROUND(19.000,3)</f>
        <v>0</v>
      </c>
      <c r="G7283" s="27">
        <f ca="1">ROUND(E7283*F7283,2)</f>
        <v>0</v>
      </c>
    </row>
    <row r="7284" spans="1:7" ht="15.12" thickBot="1" customHeight="1">
      <c r="A7284" s="26"/>
      <c r="B7284" s="26"/>
      <c r="C7284" s="26"/>
      <c r="D7284" s="24" t="s">
        <v>23027</v>
      </c>
      <c r="E7284" s="28">
        <v>8.00000</v>
      </c>
      <c r="F7284" s="29">
        <f ca="1">ROUND((G7282+G7283),3)</f>
        <v>0</v>
      </c>
      <c r="G7284" s="27">
        <f ca="1">ROUND(E7284*F7284,2)</f>
        <v>0</v>
      </c>
    </row>
    <row r="7285" spans="1:7" ht="15.12" thickBot="1" customHeight="1">
      <c r="A7285" s="24" t="s">
        <v>23028</v>
      </c>
      <c r="B7285" s="24"/>
      <c r="C7285" s="24" t="s">
        <v>23029</v>
      </c>
      <c r="D7285" s="25" t="s">
        <v>23030</v>
      </c>
      <c r="E7285" s="28">
        <v>50.00000</v>
      </c>
      <c r="F7285" s="29">
        <f ca="1">ROUND(320.000,3)</f>
        <v>0</v>
      </c>
      <c r="G7285" s="27">
        <f ca="1">ROUND((E7285*F7285)/100,2)</f>
        <v>0</v>
      </c>
    </row>
    <row r="7286" spans="1:7" ht="25.08" thickBot="1" customHeight="1">
      <c r="A7286" s="30"/>
      <c r="B7286" s="30"/>
      <c r="C7286" s="30"/>
      <c r="D7286" s="31" t="s">
        <v>23031</v>
      </c>
      <c r="E7286" s="30"/>
      <c r="F7286" s="33">
        <f ca="1">ROUND((G7281+G7285)*(1+G2/100),2)</f>
        <v>0</v>
      </c>
      <c r="G7286" s="30"/>
    </row>
    <row r="7287" spans="1:7" ht="39.84" thickBot="1" customHeight="1">
      <c r="A7287" s="34" t="s">
        <v>23032</v>
      </c>
      <c r="B7287" s="35" t="s">
        <v>23033</v>
      </c>
      <c r="C7287" s="35" t="s">
        <v>23034</v>
      </c>
      <c r="D7287" s="36" t="s">
        <v>23035</v>
      </c>
      <c r="E7287" s="37"/>
      <c r="F7287" s="38">
        <f ca="1">F7294</f>
        <v>0</v>
      </c>
      <c r="G7287" s="37"/>
    </row>
    <row r="7288" spans="1:7" ht="21.36" thickBot="1" customHeight="1">
      <c r="A7288" s="26"/>
      <c r="B7288" s="26"/>
      <c r="C7288" s="26"/>
      <c r="D7288" s="25" t="s">
        <v>23036</v>
      </c>
      <c r="E7288" s="25"/>
      <c r="F7288" s="25"/>
      <c r="G7288" s="25"/>
    </row>
    <row r="7289" spans="1:7" ht="21.36" thickBot="1" customHeight="1">
      <c r="A7289" s="24" t="s">
        <v>23037</v>
      </c>
      <c r="B7289" s="24" t="s">
        <v>23038</v>
      </c>
      <c r="C7289" s="24" t="s">
        <v>23039</v>
      </c>
      <c r="D7289" s="25" t="s">
        <v>23040</v>
      </c>
      <c r="E7289" s="28">
        <v>8.00000</v>
      </c>
      <c r="F7289" s="29">
        <f ca="1">F7292</f>
        <v>0</v>
      </c>
      <c r="G7289" s="27">
        <f ca="1">ROUND(E7289*F7289,2)</f>
        <v>0</v>
      </c>
    </row>
    <row r="7290" spans="1:7" ht="24.36" thickBot="1" customHeight="1">
      <c r="A7290" s="24" t="s">
        <v>23041</v>
      </c>
      <c r="B7290" s="24" t="s">
        <v>23042</v>
      </c>
      <c r="C7290" s="24" t="s">
        <v>23043</v>
      </c>
      <c r="D7290" s="25" t="s">
        <v>23044</v>
      </c>
      <c r="E7290" s="28">
        <v>1.00000</v>
      </c>
      <c r="F7290" s="29">
        <f ca="1">ROUND(21.000,3)</f>
        <v>0</v>
      </c>
      <c r="G7290" s="27">
        <f ca="1">ROUND(E7290*F7290,2)</f>
        <v>0</v>
      </c>
    </row>
    <row r="7291" spans="1:7" ht="24.36" thickBot="1" customHeight="1">
      <c r="A7291" s="24" t="s">
        <v>23045</v>
      </c>
      <c r="B7291" s="24" t="s">
        <v>23046</v>
      </c>
      <c r="C7291" s="24" t="s">
        <v>23047</v>
      </c>
      <c r="D7291" s="25" t="s">
        <v>23048</v>
      </c>
      <c r="E7291" s="28">
        <v>1.00000</v>
      </c>
      <c r="F7291" s="29">
        <f ca="1">ROUND(19.000,3)</f>
        <v>0</v>
      </c>
      <c r="G7291" s="27">
        <f ca="1">ROUND(E7291*F7291,2)</f>
        <v>0</v>
      </c>
    </row>
    <row r="7292" spans="1:7" ht="15.12" thickBot="1" customHeight="1">
      <c r="A7292" s="26"/>
      <c r="B7292" s="26"/>
      <c r="C7292" s="26"/>
      <c r="D7292" s="24" t="s">
        <v>23049</v>
      </c>
      <c r="E7292" s="28">
        <v>8.00000</v>
      </c>
      <c r="F7292" s="29">
        <f ca="1">ROUND((G7290+G7291),3)</f>
        <v>0</v>
      </c>
      <c r="G7292" s="27">
        <f ca="1">ROUND(E7292*F7292,2)</f>
        <v>0</v>
      </c>
    </row>
    <row r="7293" spans="1:7" ht="15.12" thickBot="1" customHeight="1">
      <c r="A7293" s="24" t="s">
        <v>23050</v>
      </c>
      <c r="B7293" s="24"/>
      <c r="C7293" s="24" t="s">
        <v>23051</v>
      </c>
      <c r="D7293" s="25" t="s">
        <v>23052</v>
      </c>
      <c r="E7293" s="28">
        <v>50.00000</v>
      </c>
      <c r="F7293" s="29">
        <f ca="1">ROUND(320.000,3)</f>
        <v>0</v>
      </c>
      <c r="G7293" s="27">
        <f ca="1">ROUND((E7293*F7293)/100,2)</f>
        <v>0</v>
      </c>
    </row>
    <row r="7294" spans="1:7" ht="25.08" thickBot="1" customHeight="1">
      <c r="A7294" s="30"/>
      <c r="B7294" s="30"/>
      <c r="C7294" s="30"/>
      <c r="D7294" s="31" t="s">
        <v>23053</v>
      </c>
      <c r="E7294" s="30"/>
      <c r="F7294" s="33">
        <f ca="1">ROUND((G7289+G7293)*(1+G2/100),2)</f>
        <v>0</v>
      </c>
      <c r="G7294" s="30"/>
    </row>
    <row r="7295" spans="1:7" ht="39.84" thickBot="1" customHeight="1">
      <c r="A7295" s="34" t="s">
        <v>23054</v>
      </c>
      <c r="B7295" s="35" t="s">
        <v>23055</v>
      </c>
      <c r="C7295" s="35" t="s">
        <v>23056</v>
      </c>
      <c r="D7295" s="36" t="s">
        <v>23057</v>
      </c>
      <c r="E7295" s="37"/>
      <c r="F7295" s="38">
        <f ca="1">F7302</f>
        <v>0</v>
      </c>
      <c r="G7295" s="37"/>
    </row>
    <row r="7296" spans="1:7" ht="21.36" thickBot="1" customHeight="1">
      <c r="A7296" s="26"/>
      <c r="B7296" s="26"/>
      <c r="C7296" s="26"/>
      <c r="D7296" s="25" t="s">
        <v>23058</v>
      </c>
      <c r="E7296" s="25"/>
      <c r="F7296" s="25"/>
      <c r="G7296" s="25"/>
    </row>
    <row r="7297" spans="1:7" ht="21.36" thickBot="1" customHeight="1">
      <c r="A7297" s="24" t="s">
        <v>23059</v>
      </c>
      <c r="B7297" s="24" t="s">
        <v>23060</v>
      </c>
      <c r="C7297" s="24" t="s">
        <v>23061</v>
      </c>
      <c r="D7297" s="25" t="s">
        <v>23062</v>
      </c>
      <c r="E7297" s="28">
        <v>8.00000</v>
      </c>
      <c r="F7297" s="29">
        <f ca="1">F7300</f>
        <v>0</v>
      </c>
      <c r="G7297" s="27">
        <f ca="1">ROUND(E7297*F7297,2)</f>
        <v>0</v>
      </c>
    </row>
    <row r="7298" spans="1:7" ht="24.36" thickBot="1" customHeight="1">
      <c r="A7298" s="24" t="s">
        <v>23063</v>
      </c>
      <c r="B7298" s="24" t="s">
        <v>23064</v>
      </c>
      <c r="C7298" s="24" t="s">
        <v>23065</v>
      </c>
      <c r="D7298" s="25" t="s">
        <v>23066</v>
      </c>
      <c r="E7298" s="28">
        <v>1.00000</v>
      </c>
      <c r="F7298" s="29">
        <f ca="1">ROUND(21.000,3)</f>
        <v>0</v>
      </c>
      <c r="G7298" s="27">
        <f ca="1">ROUND(E7298*F7298,2)</f>
        <v>0</v>
      </c>
    </row>
    <row r="7299" spans="1:7" ht="24.36" thickBot="1" customHeight="1">
      <c r="A7299" s="24" t="s">
        <v>23067</v>
      </c>
      <c r="B7299" s="24" t="s">
        <v>23068</v>
      </c>
      <c r="C7299" s="24" t="s">
        <v>23069</v>
      </c>
      <c r="D7299" s="25" t="s">
        <v>23070</v>
      </c>
      <c r="E7299" s="28">
        <v>1.00000</v>
      </c>
      <c r="F7299" s="29">
        <f ca="1">ROUND(19.000,3)</f>
        <v>0</v>
      </c>
      <c r="G7299" s="27">
        <f ca="1">ROUND(E7299*F7299,2)</f>
        <v>0</v>
      </c>
    </row>
    <row r="7300" spans="1:7" ht="15.12" thickBot="1" customHeight="1">
      <c r="A7300" s="26"/>
      <c r="B7300" s="26"/>
      <c r="C7300" s="26"/>
      <c r="D7300" s="24" t="s">
        <v>23071</v>
      </c>
      <c r="E7300" s="28">
        <v>8.00000</v>
      </c>
      <c r="F7300" s="29">
        <f ca="1">ROUND((G7298+G7299),3)</f>
        <v>0</v>
      </c>
      <c r="G7300" s="27">
        <f ca="1">ROUND(E7300*F7300,2)</f>
        <v>0</v>
      </c>
    </row>
    <row r="7301" spans="1:7" ht="15.12" thickBot="1" customHeight="1">
      <c r="A7301" s="24" t="s">
        <v>23072</v>
      </c>
      <c r="B7301" s="24"/>
      <c r="C7301" s="24" t="s">
        <v>23073</v>
      </c>
      <c r="D7301" s="25" t="s">
        <v>23074</v>
      </c>
      <c r="E7301" s="28">
        <v>50.00000</v>
      </c>
      <c r="F7301" s="29">
        <f ca="1">ROUND(320.000,3)</f>
        <v>0</v>
      </c>
      <c r="G7301" s="27">
        <f ca="1">ROUND((E7301*F7301)/100,2)</f>
        <v>0</v>
      </c>
    </row>
    <row r="7302" spans="1:7" ht="25.08" thickBot="1" customHeight="1">
      <c r="A7302" s="30"/>
      <c r="B7302" s="30"/>
      <c r="C7302" s="30"/>
      <c r="D7302" s="31" t="s">
        <v>23075</v>
      </c>
      <c r="E7302" s="30"/>
      <c r="F7302" s="33">
        <f ca="1">ROUND((G7297+G7301)*(1+G2/100),2)</f>
        <v>0</v>
      </c>
      <c r="G7302" s="30"/>
    </row>
    <row r="7303" spans="1:7" ht="15.48" thickBot="1" customHeight="1">
      <c r="A7303" s="39"/>
      <c r="B7303" s="39"/>
      <c r="C7303" s="39"/>
      <c r="D7303" s="55" t="s">
        <v>23076</v>
      </c>
      <c r="E7303" s="56"/>
      <c r="F7303" s="56"/>
      <c r="G7303" s="56"/>
    </row>
    <row r="7304" spans="1:7" ht="15.48" thickBot="1" customHeight="1">
      <c r="A7304" s="57" t="s">
        <v>23077</v>
      </c>
      <c r="B7304" s="57" t="s">
        <v>23078</v>
      </c>
      <c r="C7304" s="58"/>
      <c r="D7304" s="59" t="s">
        <v>23079</v>
      </c>
      <c r="E7304" s="58"/>
      <c r="F7304" s="58"/>
      <c r="G7304" s="58"/>
    </row>
    <row r="7305" spans="1:7" ht="15.48" thickBot="1" customHeight="1">
      <c r="A7305" s="18" t="s">
        <v>23080</v>
      </c>
      <c r="B7305" s="18" t="s">
        <v>23081</v>
      </c>
      <c r="C7305" s="19"/>
      <c r="D7305" s="20" t="s">
        <v>23082</v>
      </c>
      <c r="E7305" s="19"/>
      <c r="F7305" s="19"/>
      <c r="G7305" s="19"/>
    </row>
    <row r="7306" spans="1:7" ht="21.36" thickBot="1" customHeight="1">
      <c r="A7306" s="10" t="s">
        <v>23083</v>
      </c>
      <c r="B7306" s="24" t="s">
        <v>23084</v>
      </c>
      <c r="C7306" s="24" t="s">
        <v>23085</v>
      </c>
      <c r="D7306" s="25" t="s">
        <v>23086</v>
      </c>
      <c r="E7306" s="26"/>
      <c r="F7306" s="27">
        <f ca="1">F7314</f>
        <v>0</v>
      </c>
      <c r="G7306" s="26"/>
    </row>
    <row r="7307" spans="1:7" ht="30.60" thickBot="1" customHeight="1">
      <c r="A7307" s="26"/>
      <c r="B7307" s="26"/>
      <c r="C7307" s="26"/>
      <c r="D7307" s="25" t="s">
        <v>23087</v>
      </c>
      <c r="E7307" s="25"/>
      <c r="F7307" s="25"/>
      <c r="G7307" s="25"/>
    </row>
    <row r="7308" spans="1:7" ht="21.36" thickBot="1" customHeight="1">
      <c r="A7308" s="24" t="s">
        <v>23088</v>
      </c>
      <c r="B7308" s="24" t="s">
        <v>23089</v>
      </c>
      <c r="C7308" s="24" t="s">
        <v>23090</v>
      </c>
      <c r="D7308" s="25" t="s">
        <v>23091</v>
      </c>
      <c r="E7308" s="28">
        <v>0.12900</v>
      </c>
      <c r="F7308" s="29">
        <f ca="1">F7312</f>
        <v>0</v>
      </c>
      <c r="G7308" s="27">
        <f ca="1">ROUND(E7308*F7308,2)</f>
        <v>0</v>
      </c>
    </row>
    <row r="7309" spans="1:7" ht="24.36" thickBot="1" customHeight="1">
      <c r="A7309" s="24" t="s">
        <v>23092</v>
      </c>
      <c r="B7309" s="24" t="s">
        <v>23093</v>
      </c>
      <c r="C7309" s="24" t="s">
        <v>23094</v>
      </c>
      <c r="D7309" s="25" t="s">
        <v>23095</v>
      </c>
      <c r="E7309" s="28">
        <v>1.00000</v>
      </c>
      <c r="F7309" s="29">
        <f ca="1">ROUND(21.000,3)</f>
        <v>0</v>
      </c>
      <c r="G7309" s="27">
        <f ca="1">ROUND(E7309*F7309,2)</f>
        <v>0</v>
      </c>
    </row>
    <row r="7310" spans="1:7" ht="24.36" thickBot="1" customHeight="1">
      <c r="A7310" s="24" t="s">
        <v>23096</v>
      </c>
      <c r="B7310" s="24" t="s">
        <v>23097</v>
      </c>
      <c r="C7310" s="24" t="s">
        <v>23098</v>
      </c>
      <c r="D7310" s="25" t="s">
        <v>23099</v>
      </c>
      <c r="E7310" s="28">
        <v>1.00000</v>
      </c>
      <c r="F7310" s="29">
        <f ca="1">ROUND(19.000,3)</f>
        <v>0</v>
      </c>
      <c r="G7310" s="27">
        <f ca="1">ROUND(E7310*F7310,2)</f>
        <v>0</v>
      </c>
    </row>
    <row r="7311" spans="1:7" ht="24.36" thickBot="1" customHeight="1">
      <c r="A7311" s="24" t="s">
        <v>23100</v>
      </c>
      <c r="B7311" s="24" t="s">
        <v>23101</v>
      </c>
      <c r="C7311" s="24" t="s">
        <v>23102</v>
      </c>
      <c r="D7311" s="25" t="s">
        <v>23103</v>
      </c>
      <c r="E7311" s="28">
        <v>0.20000</v>
      </c>
      <c r="F7311" s="29">
        <f ca="1">ROUND(19.000,3)</f>
        <v>0</v>
      </c>
      <c r="G7311" s="27">
        <f ca="1">ROUND(E7311*F7311,2)</f>
        <v>0</v>
      </c>
    </row>
    <row r="7312" spans="1:7" ht="15.12" thickBot="1" customHeight="1">
      <c r="A7312" s="26"/>
      <c r="B7312" s="26"/>
      <c r="C7312" s="26"/>
      <c r="D7312" s="24" t="s">
        <v>23104</v>
      </c>
      <c r="E7312" s="28">
        <v>0.12900</v>
      </c>
      <c r="F7312" s="29">
        <f ca="1">ROUND((G7309+G7310+G7311),3)</f>
        <v>0</v>
      </c>
      <c r="G7312" s="27">
        <f ca="1">ROUND(E7312*F7312,2)</f>
        <v>0</v>
      </c>
    </row>
    <row r="7313" spans="1:7" ht="15.12" thickBot="1" customHeight="1">
      <c r="A7313" s="24" t="s">
        <v>23105</v>
      </c>
      <c r="B7313" s="24"/>
      <c r="C7313" s="24" t="s">
        <v>23106</v>
      </c>
      <c r="D7313" s="25" t="s">
        <v>23107</v>
      </c>
      <c r="E7313" s="28">
        <v>3.00000</v>
      </c>
      <c r="F7313" s="29">
        <f ca="1">ROUND(5.650,3)</f>
        <v>0</v>
      </c>
      <c r="G7313" s="27">
        <f ca="1">ROUND((E7313*F7313)/100,2)</f>
        <v>0</v>
      </c>
    </row>
    <row r="7314" spans="1:7" ht="15.48" thickBot="1" customHeight="1">
      <c r="A7314" s="30"/>
      <c r="B7314" s="30"/>
      <c r="C7314" s="30"/>
      <c r="D7314" s="31" t="s">
        <v>23108</v>
      </c>
      <c r="E7314" s="30"/>
      <c r="F7314" s="33">
        <f ca="1">ROUND((G7308+G7313)*(1+G2/100),2)</f>
        <v>0</v>
      </c>
      <c r="G7314" s="30"/>
    </row>
    <row r="7315" spans="1:7" ht="30.60" thickBot="1" customHeight="1">
      <c r="A7315" s="34" t="s">
        <v>23109</v>
      </c>
      <c r="B7315" s="35" t="s">
        <v>23110</v>
      </c>
      <c r="C7315" s="35" t="s">
        <v>23111</v>
      </c>
      <c r="D7315" s="36" t="s">
        <v>23112</v>
      </c>
      <c r="E7315" s="37"/>
      <c r="F7315" s="38">
        <f ca="1">F7323</f>
        <v>0</v>
      </c>
      <c r="G7315" s="37"/>
    </row>
    <row r="7316" spans="1:7" ht="30.60" thickBot="1" customHeight="1">
      <c r="A7316" s="26"/>
      <c r="B7316" s="26"/>
      <c r="C7316" s="26"/>
      <c r="D7316" s="25" t="s">
        <v>23113</v>
      </c>
      <c r="E7316" s="25"/>
      <c r="F7316" s="25"/>
      <c r="G7316" s="25"/>
    </row>
    <row r="7317" spans="1:7" ht="21.36" thickBot="1" customHeight="1">
      <c r="A7317" s="24" t="s">
        <v>23114</v>
      </c>
      <c r="B7317" s="24" t="s">
        <v>23115</v>
      </c>
      <c r="C7317" s="24" t="s">
        <v>23116</v>
      </c>
      <c r="D7317" s="25" t="s">
        <v>23117</v>
      </c>
      <c r="E7317" s="28">
        <v>0.20000</v>
      </c>
      <c r="F7317" s="29">
        <f ca="1">F7321</f>
        <v>0</v>
      </c>
      <c r="G7317" s="27">
        <f ca="1">ROUND(E7317*F7317,2)</f>
        <v>0</v>
      </c>
    </row>
    <row r="7318" spans="1:7" ht="24.36" thickBot="1" customHeight="1">
      <c r="A7318" s="24" t="s">
        <v>23118</v>
      </c>
      <c r="B7318" s="24" t="s">
        <v>23119</v>
      </c>
      <c r="C7318" s="24" t="s">
        <v>23120</v>
      </c>
      <c r="D7318" s="25" t="s">
        <v>23121</v>
      </c>
      <c r="E7318" s="28">
        <v>1.00000</v>
      </c>
      <c r="F7318" s="29">
        <f ca="1">ROUND(21.000,3)</f>
        <v>0</v>
      </c>
      <c r="G7318" s="27">
        <f ca="1">ROUND(E7318*F7318,2)</f>
        <v>0</v>
      </c>
    </row>
    <row r="7319" spans="1:7" ht="24.36" thickBot="1" customHeight="1">
      <c r="A7319" s="24" t="s">
        <v>23122</v>
      </c>
      <c r="B7319" s="24" t="s">
        <v>23123</v>
      </c>
      <c r="C7319" s="24" t="s">
        <v>23124</v>
      </c>
      <c r="D7319" s="25" t="s">
        <v>23125</v>
      </c>
      <c r="E7319" s="28">
        <v>1.00000</v>
      </c>
      <c r="F7319" s="29">
        <f ca="1">ROUND(19.000,3)</f>
        <v>0</v>
      </c>
      <c r="G7319" s="27">
        <f ca="1">ROUND(E7319*F7319,2)</f>
        <v>0</v>
      </c>
    </row>
    <row r="7320" spans="1:7" ht="24.36" thickBot="1" customHeight="1">
      <c r="A7320" s="24" t="s">
        <v>23126</v>
      </c>
      <c r="B7320" s="24" t="s">
        <v>23127</v>
      </c>
      <c r="C7320" s="24" t="s">
        <v>23128</v>
      </c>
      <c r="D7320" s="25" t="s">
        <v>23129</v>
      </c>
      <c r="E7320" s="28">
        <v>0.20000</v>
      </c>
      <c r="F7320" s="29">
        <f ca="1">ROUND(19.000,3)</f>
        <v>0</v>
      </c>
      <c r="G7320" s="27">
        <f ca="1">ROUND(E7320*F7320,2)</f>
        <v>0</v>
      </c>
    </row>
    <row r="7321" spans="1:7" ht="15.12" thickBot="1" customHeight="1">
      <c r="A7321" s="26"/>
      <c r="B7321" s="26"/>
      <c r="C7321" s="26"/>
      <c r="D7321" s="24" t="s">
        <v>23130</v>
      </c>
      <c r="E7321" s="28">
        <v>0.20000</v>
      </c>
      <c r="F7321" s="29">
        <f ca="1">ROUND((G7318+G7319+G7320),3)</f>
        <v>0</v>
      </c>
      <c r="G7321" s="27">
        <f ca="1">ROUND(E7321*F7321,2)</f>
        <v>0</v>
      </c>
    </row>
    <row r="7322" spans="1:7" ht="15.12" thickBot="1" customHeight="1">
      <c r="A7322" s="24" t="s">
        <v>23131</v>
      </c>
      <c r="B7322" s="24"/>
      <c r="C7322" s="24" t="s">
        <v>23132</v>
      </c>
      <c r="D7322" s="25" t="s">
        <v>23133</v>
      </c>
      <c r="E7322" s="28">
        <v>3.00000</v>
      </c>
      <c r="F7322" s="29">
        <f ca="1">ROUND(8.760,3)</f>
        <v>0</v>
      </c>
      <c r="G7322" s="27">
        <f ca="1">ROUND((E7322*F7322)/100,2)</f>
        <v>0</v>
      </c>
    </row>
    <row r="7323" spans="1:7" ht="15.48" thickBot="1" customHeight="1">
      <c r="A7323" s="30"/>
      <c r="B7323" s="30"/>
      <c r="C7323" s="30"/>
      <c r="D7323" s="31" t="s">
        <v>23134</v>
      </c>
      <c r="E7323" s="30"/>
      <c r="F7323" s="33">
        <f ca="1">ROUND((G7317+G7322)*(1+G2/100),2)</f>
        <v>0</v>
      </c>
      <c r="G7323" s="30"/>
    </row>
    <row r="7324" spans="1:7" ht="15.48" thickBot="1" customHeight="1">
      <c r="A7324" s="39"/>
      <c r="B7324" s="39"/>
      <c r="C7324" s="39"/>
      <c r="D7324" s="50" t="s">
        <v>23135</v>
      </c>
      <c r="E7324" s="51"/>
      <c r="F7324" s="51"/>
      <c r="G7324" s="51"/>
    </row>
    <row r="7325" spans="1:7" ht="15.48" thickBot="1" customHeight="1">
      <c r="A7325" s="52" t="s">
        <v>23136</v>
      </c>
      <c r="B7325" s="52" t="s">
        <v>23137</v>
      </c>
      <c r="C7325" s="53"/>
      <c r="D7325" s="54" t="s">
        <v>23138</v>
      </c>
      <c r="E7325" s="53"/>
      <c r="F7325" s="53"/>
      <c r="G7325" s="53"/>
    </row>
    <row r="7326" spans="1:7" ht="25.08" thickBot="1" customHeight="1">
      <c r="A7326" s="21" t="s">
        <v>23139</v>
      </c>
      <c r="B7326" s="21" t="s">
        <v>23140</v>
      </c>
      <c r="C7326" s="22"/>
      <c r="D7326" s="23" t="s">
        <v>23141</v>
      </c>
      <c r="E7326" s="22"/>
      <c r="F7326" s="22"/>
      <c r="G7326" s="22"/>
    </row>
    <row r="7327" spans="1:7" ht="39.84" thickBot="1" customHeight="1">
      <c r="A7327" s="10" t="s">
        <v>23142</v>
      </c>
      <c r="B7327" s="24" t="s">
        <v>23143</v>
      </c>
      <c r="C7327" s="24" t="s">
        <v>23144</v>
      </c>
      <c r="D7327" s="25" t="s">
        <v>23145</v>
      </c>
      <c r="E7327" s="26"/>
      <c r="F7327" s="27">
        <f ca="1">F7340</f>
        <v>0</v>
      </c>
      <c r="G7327" s="26"/>
    </row>
    <row r="7328" spans="1:7" ht="39.84" thickBot="1" customHeight="1">
      <c r="A7328" s="26"/>
      <c r="B7328" s="26"/>
      <c r="C7328" s="26"/>
      <c r="D7328" s="25" t="s">
        <v>23146</v>
      </c>
      <c r="E7328" s="25"/>
      <c r="F7328" s="25"/>
      <c r="G7328" s="25"/>
    </row>
    <row r="7329" spans="1:7" ht="21.36" thickBot="1" customHeight="1">
      <c r="A7329" s="24" t="s">
        <v>23147</v>
      </c>
      <c r="B7329" s="24" t="s">
        <v>23148</v>
      </c>
      <c r="C7329" s="24" t="s">
        <v>23149</v>
      </c>
      <c r="D7329" s="25" t="s">
        <v>23150</v>
      </c>
      <c r="E7329" s="28">
        <v>0.55000</v>
      </c>
      <c r="F7329" s="29">
        <f ca="1">ROUND(16.520,3)</f>
        <v>0</v>
      </c>
      <c r="G7329" s="27">
        <f ca="1">ROUND(E7329*F7329,2)</f>
        <v>0</v>
      </c>
    </row>
    <row r="7330" spans="1:7" ht="39.84" thickBot="1" customHeight="1">
      <c r="A7330" s="24" t="s">
        <v>23151</v>
      </c>
      <c r="B7330" s="24" t="s">
        <v>23152</v>
      </c>
      <c r="C7330" s="24" t="s">
        <v>23153</v>
      </c>
      <c r="D7330" s="25" t="s">
        <v>23154</v>
      </c>
      <c r="E7330" s="28">
        <v>0.06667</v>
      </c>
      <c r="F7330" s="29">
        <f ca="1">ROUND(6.890,3)</f>
        <v>0</v>
      </c>
      <c r="G7330" s="27">
        <f ca="1">ROUND(E7330*F7330,2)</f>
        <v>0</v>
      </c>
    </row>
    <row r="7331" spans="1:7" ht="21.36" thickBot="1" customHeight="1">
      <c r="A7331" s="24" t="s">
        <v>23155</v>
      </c>
      <c r="B7331" s="24" t="s">
        <v>23156</v>
      </c>
      <c r="C7331" s="24" t="s">
        <v>23157</v>
      </c>
      <c r="D7331" s="25" t="s">
        <v>23158</v>
      </c>
      <c r="E7331" s="28">
        <v>0.12000</v>
      </c>
      <c r="F7331" s="29">
        <f ca="1">ROUND(6.490,3)</f>
        <v>0</v>
      </c>
      <c r="G7331" s="27">
        <f ca="1">ROUND(E7331*F7331,2)</f>
        <v>0</v>
      </c>
    </row>
    <row r="7332" spans="1:7" ht="21.36" thickBot="1" customHeight="1">
      <c r="A7332" s="24" t="s">
        <v>23159</v>
      </c>
      <c r="B7332" s="24" t="s">
        <v>23160</v>
      </c>
      <c r="C7332" s="24" t="s">
        <v>23161</v>
      </c>
      <c r="D7332" s="25" t="s">
        <v>23162</v>
      </c>
      <c r="E7332" s="28">
        <v>0.11000</v>
      </c>
      <c r="F7332" s="29">
        <f ca="1">ROUND(4.800,3)</f>
        <v>0</v>
      </c>
      <c r="G7332" s="27">
        <f ca="1">ROUND(E7332*F7332,2)</f>
        <v>0</v>
      </c>
    </row>
    <row r="7333" spans="1:7" ht="30.60" thickBot="1" customHeight="1">
      <c r="A7333" s="24" t="s">
        <v>23163</v>
      </c>
      <c r="B7333" s="24" t="s">
        <v>23164</v>
      </c>
      <c r="C7333" s="24" t="s">
        <v>23165</v>
      </c>
      <c r="D7333" s="25" t="s">
        <v>23166</v>
      </c>
      <c r="E7333" s="28">
        <v>0.15000</v>
      </c>
      <c r="F7333" s="29">
        <f ca="1">ROUND(4.920,3)</f>
        <v>0</v>
      </c>
      <c r="G7333" s="27">
        <f ca="1">ROUND(E7333*F7333,2)</f>
        <v>0</v>
      </c>
    </row>
    <row r="7334" spans="1:7" ht="21.36" thickBot="1" customHeight="1">
      <c r="A7334" s="24" t="s">
        <v>23167</v>
      </c>
      <c r="B7334" s="24" t="s">
        <v>23168</v>
      </c>
      <c r="C7334" s="24" t="s">
        <v>23169</v>
      </c>
      <c r="D7334" s="25" t="s">
        <v>23170</v>
      </c>
      <c r="E7334" s="28">
        <v>0.16000</v>
      </c>
      <c r="F7334" s="29">
        <f ca="1">ROUND(2.000,3)</f>
        <v>0</v>
      </c>
      <c r="G7334" s="27">
        <f ca="1">ROUND(E7334*F7334,2)</f>
        <v>0</v>
      </c>
    </row>
    <row r="7335" spans="1:7" ht="30.60" thickBot="1" customHeight="1">
      <c r="A7335" s="24" t="s">
        <v>23171</v>
      </c>
      <c r="B7335" s="24" t="s">
        <v>23172</v>
      </c>
      <c r="C7335" s="24" t="s">
        <v>23173</v>
      </c>
      <c r="D7335" s="25" t="s">
        <v>23174</v>
      </c>
      <c r="E7335" s="28">
        <v>0.16000</v>
      </c>
      <c r="F7335" s="29">
        <f ca="1">F7338</f>
        <v>0</v>
      </c>
      <c r="G7335" s="27">
        <f ca="1">ROUND(E7335*F7335,2)</f>
        <v>0</v>
      </c>
    </row>
    <row r="7336" spans="1:7" ht="24.36" thickBot="1" customHeight="1">
      <c r="A7336" s="24" t="s">
        <v>23175</v>
      </c>
      <c r="B7336" s="24" t="s">
        <v>23176</v>
      </c>
      <c r="C7336" s="24" t="s">
        <v>23177</v>
      </c>
      <c r="D7336" s="25" t="s">
        <v>23178</v>
      </c>
      <c r="E7336" s="28">
        <v>1.00000</v>
      </c>
      <c r="F7336" s="29">
        <f ca="1">ROUND(21.000,3)</f>
        <v>0</v>
      </c>
      <c r="G7336" s="27">
        <f ca="1">ROUND(E7336*F7336,2)</f>
        <v>0</v>
      </c>
    </row>
    <row r="7337" spans="1:7" ht="24.36" thickBot="1" customHeight="1">
      <c r="A7337" s="24" t="s">
        <v>23179</v>
      </c>
      <c r="B7337" s="24" t="s">
        <v>23180</v>
      </c>
      <c r="C7337" s="24" t="s">
        <v>23181</v>
      </c>
      <c r="D7337" s="25" t="s">
        <v>23182</v>
      </c>
      <c r="E7337" s="28">
        <v>1.00000</v>
      </c>
      <c r="F7337" s="29">
        <f ca="1">ROUND(19.000,3)</f>
        <v>0</v>
      </c>
      <c r="G7337" s="27">
        <f ca="1">ROUND(E7337*F7337,2)</f>
        <v>0</v>
      </c>
    </row>
    <row r="7338" spans="1:7" ht="15.12" thickBot="1" customHeight="1">
      <c r="A7338" s="26"/>
      <c r="B7338" s="26"/>
      <c r="C7338" s="26"/>
      <c r="D7338" s="24" t="s">
        <v>23183</v>
      </c>
      <c r="E7338" s="28">
        <v>0.16000</v>
      </c>
      <c r="F7338" s="29">
        <f ca="1">ROUND((G7336+G7337),3)</f>
        <v>0</v>
      </c>
      <c r="G7338" s="27">
        <f ca="1">ROUND(E7338*F7338,2)</f>
        <v>0</v>
      </c>
    </row>
    <row r="7339" spans="1:7" ht="15.12" thickBot="1" customHeight="1">
      <c r="A7339" s="24" t="s">
        <v>23184</v>
      </c>
      <c r="B7339" s="24"/>
      <c r="C7339" s="24" t="s">
        <v>23185</v>
      </c>
      <c r="D7339" s="25" t="s">
        <v>23186</v>
      </c>
      <c r="E7339" s="28">
        <v>3.00000</v>
      </c>
      <c r="F7339" s="29">
        <f ca="1">ROUND(6.400,3)</f>
        <v>0</v>
      </c>
      <c r="G7339" s="27">
        <f ca="1">ROUND((E7339*F7339)/100,2)</f>
        <v>0</v>
      </c>
    </row>
    <row r="7340" spans="1:7" ht="25.08" thickBot="1" customHeight="1">
      <c r="A7340" s="30"/>
      <c r="B7340" s="30"/>
      <c r="C7340" s="30"/>
      <c r="D7340" s="31" t="s">
        <v>23187</v>
      </c>
      <c r="E7340" s="30"/>
      <c r="F7340" s="33">
        <f ca="1">ROUND((G7329+G7330+G7331+G7332+G7333+G7334+G7335+G7339)*(1+G2/100),2)</f>
        <v>0</v>
      </c>
      <c r="G7340" s="30"/>
    </row>
    <row r="7341" spans="1:7" ht="49.08" thickBot="1" customHeight="1">
      <c r="A7341" s="34" t="s">
        <v>23188</v>
      </c>
      <c r="B7341" s="35" t="s">
        <v>23189</v>
      </c>
      <c r="C7341" s="35" t="s">
        <v>23190</v>
      </c>
      <c r="D7341" s="36" t="s">
        <v>23191</v>
      </c>
      <c r="E7341" s="37"/>
      <c r="F7341" s="38">
        <f ca="1">F7354</f>
        <v>0</v>
      </c>
      <c r="G7341" s="37"/>
    </row>
    <row r="7342" spans="1:7" ht="39.84" thickBot="1" customHeight="1">
      <c r="A7342" s="26"/>
      <c r="B7342" s="26"/>
      <c r="C7342" s="26"/>
      <c r="D7342" s="25" t="s">
        <v>23192</v>
      </c>
      <c r="E7342" s="25"/>
      <c r="F7342" s="25"/>
      <c r="G7342" s="25"/>
    </row>
    <row r="7343" spans="1:7" ht="21.36" thickBot="1" customHeight="1">
      <c r="A7343" s="24" t="s">
        <v>23193</v>
      </c>
      <c r="B7343" s="24" t="s">
        <v>23194</v>
      </c>
      <c r="C7343" s="24" t="s">
        <v>23195</v>
      </c>
      <c r="D7343" s="25" t="s">
        <v>23196</v>
      </c>
      <c r="E7343" s="28">
        <v>0.55000</v>
      </c>
      <c r="F7343" s="29">
        <f ca="1">ROUND(16.520,3)</f>
        <v>0</v>
      </c>
      <c r="G7343" s="27">
        <f ca="1">ROUND(E7343*F7343,2)</f>
        <v>0</v>
      </c>
    </row>
    <row r="7344" spans="1:7" ht="39.84" thickBot="1" customHeight="1">
      <c r="A7344" s="24" t="s">
        <v>23197</v>
      </c>
      <c r="B7344" s="24" t="s">
        <v>23198</v>
      </c>
      <c r="C7344" s="24" t="s">
        <v>23199</v>
      </c>
      <c r="D7344" s="25" t="s">
        <v>23200</v>
      </c>
      <c r="E7344" s="28">
        <v>0.06667</v>
      </c>
      <c r="F7344" s="29">
        <f ca="1">ROUND(6.890,3)</f>
        <v>0</v>
      </c>
      <c r="G7344" s="27">
        <f ca="1">ROUND(E7344*F7344,2)</f>
        <v>0</v>
      </c>
    </row>
    <row r="7345" spans="1:7" ht="21.36" thickBot="1" customHeight="1">
      <c r="A7345" s="24" t="s">
        <v>23201</v>
      </c>
      <c r="B7345" s="24" t="s">
        <v>23202</v>
      </c>
      <c r="C7345" s="24" t="s">
        <v>23203</v>
      </c>
      <c r="D7345" s="25" t="s">
        <v>23204</v>
      </c>
      <c r="E7345" s="28">
        <v>0.12000</v>
      </c>
      <c r="F7345" s="29">
        <f ca="1">ROUND(6.490,3)</f>
        <v>0</v>
      </c>
      <c r="G7345" s="27">
        <f ca="1">ROUND(E7345*F7345,2)</f>
        <v>0</v>
      </c>
    </row>
    <row r="7346" spans="1:7" ht="21.36" thickBot="1" customHeight="1">
      <c r="A7346" s="24" t="s">
        <v>23205</v>
      </c>
      <c r="B7346" s="24" t="s">
        <v>23206</v>
      </c>
      <c r="C7346" s="24" t="s">
        <v>23207</v>
      </c>
      <c r="D7346" s="25" t="s">
        <v>23208</v>
      </c>
      <c r="E7346" s="28">
        <v>0.11000</v>
      </c>
      <c r="F7346" s="29">
        <f ca="1">ROUND(4.800,3)</f>
        <v>0</v>
      </c>
      <c r="G7346" s="27">
        <f ca="1">ROUND(E7346*F7346,2)</f>
        <v>0</v>
      </c>
    </row>
    <row r="7347" spans="1:7" ht="30.60" thickBot="1" customHeight="1">
      <c r="A7347" s="24" t="s">
        <v>23209</v>
      </c>
      <c r="B7347" s="24" t="s">
        <v>23210</v>
      </c>
      <c r="C7347" s="24" t="s">
        <v>23211</v>
      </c>
      <c r="D7347" s="25" t="s">
        <v>23212</v>
      </c>
      <c r="E7347" s="28">
        <v>0.15000</v>
      </c>
      <c r="F7347" s="29">
        <f ca="1">ROUND(4.920,3)</f>
        <v>0</v>
      </c>
      <c r="G7347" s="27">
        <f ca="1">ROUND(E7347*F7347,2)</f>
        <v>0</v>
      </c>
    </row>
    <row r="7348" spans="1:7" ht="21.36" thickBot="1" customHeight="1">
      <c r="A7348" s="24" t="s">
        <v>23213</v>
      </c>
      <c r="B7348" s="24" t="s">
        <v>23214</v>
      </c>
      <c r="C7348" s="24" t="s">
        <v>23215</v>
      </c>
      <c r="D7348" s="25" t="s">
        <v>23216</v>
      </c>
      <c r="E7348" s="28">
        <v>0.23000</v>
      </c>
      <c r="F7348" s="29">
        <f ca="1">ROUND(2.000,3)</f>
        <v>0</v>
      </c>
      <c r="G7348" s="27">
        <f ca="1">ROUND(E7348*F7348,2)</f>
        <v>0</v>
      </c>
    </row>
    <row r="7349" spans="1:7" ht="30.60" thickBot="1" customHeight="1">
      <c r="A7349" s="24" t="s">
        <v>23217</v>
      </c>
      <c r="B7349" s="24" t="s">
        <v>23218</v>
      </c>
      <c r="C7349" s="24" t="s">
        <v>23219</v>
      </c>
      <c r="D7349" s="25" t="s">
        <v>23220</v>
      </c>
      <c r="E7349" s="28">
        <v>0.23000</v>
      </c>
      <c r="F7349" s="29">
        <f ca="1">F7352</f>
        <v>0</v>
      </c>
      <c r="G7349" s="27">
        <f ca="1">ROUND(E7349*F7349,2)</f>
        <v>0</v>
      </c>
    </row>
    <row r="7350" spans="1:7" ht="24.36" thickBot="1" customHeight="1">
      <c r="A7350" s="24" t="s">
        <v>23221</v>
      </c>
      <c r="B7350" s="24" t="s">
        <v>23222</v>
      </c>
      <c r="C7350" s="24" t="s">
        <v>23223</v>
      </c>
      <c r="D7350" s="25" t="s">
        <v>23224</v>
      </c>
      <c r="E7350" s="28">
        <v>1.00000</v>
      </c>
      <c r="F7350" s="29">
        <f ca="1">ROUND(21.000,3)</f>
        <v>0</v>
      </c>
      <c r="G7350" s="27">
        <f ca="1">ROUND(E7350*F7350,2)</f>
        <v>0</v>
      </c>
    </row>
    <row r="7351" spans="1:7" ht="24.36" thickBot="1" customHeight="1">
      <c r="A7351" s="24" t="s">
        <v>23225</v>
      </c>
      <c r="B7351" s="24" t="s">
        <v>23226</v>
      </c>
      <c r="C7351" s="24" t="s">
        <v>23227</v>
      </c>
      <c r="D7351" s="25" t="s">
        <v>23228</v>
      </c>
      <c r="E7351" s="28">
        <v>1.00000</v>
      </c>
      <c r="F7351" s="29">
        <f ca="1">ROUND(19.000,3)</f>
        <v>0</v>
      </c>
      <c r="G7351" s="27">
        <f ca="1">ROUND(E7351*F7351,2)</f>
        <v>0</v>
      </c>
    </row>
    <row r="7352" spans="1:7" ht="15.12" thickBot="1" customHeight="1">
      <c r="A7352" s="26"/>
      <c r="B7352" s="26"/>
      <c r="C7352" s="26"/>
      <c r="D7352" s="24" t="s">
        <v>23229</v>
      </c>
      <c r="E7352" s="28">
        <v>0.23000</v>
      </c>
      <c r="F7352" s="29">
        <f ca="1">ROUND((G7350+G7351),3)</f>
        <v>0</v>
      </c>
      <c r="G7352" s="27">
        <f ca="1">ROUND(E7352*F7352,2)</f>
        <v>0</v>
      </c>
    </row>
    <row r="7353" spans="1:7" ht="15.12" thickBot="1" customHeight="1">
      <c r="A7353" s="24" t="s">
        <v>23230</v>
      </c>
      <c r="B7353" s="24"/>
      <c r="C7353" s="24" t="s">
        <v>23231</v>
      </c>
      <c r="D7353" s="25" t="s">
        <v>23232</v>
      </c>
      <c r="E7353" s="28">
        <v>5.00000</v>
      </c>
      <c r="F7353" s="29">
        <f ca="1">ROUND(9.200,3)</f>
        <v>0</v>
      </c>
      <c r="G7353" s="27">
        <f ca="1">ROUND((E7353*F7353)/100,2)</f>
        <v>0</v>
      </c>
    </row>
    <row r="7354" spans="1:7" ht="25.08" thickBot="1" customHeight="1">
      <c r="A7354" s="30"/>
      <c r="B7354" s="30"/>
      <c r="C7354" s="30"/>
      <c r="D7354" s="31" t="s">
        <v>23233</v>
      </c>
      <c r="E7354" s="30"/>
      <c r="F7354" s="33">
        <f ca="1">ROUND((G7343+G7344+G7345+G7346+G7347+G7348+G7349+G7353)*(1+G2/100),2)</f>
        <v>0</v>
      </c>
      <c r="G7354" s="30"/>
    </row>
    <row r="7355" spans="1:7" ht="58.32" thickBot="1" customHeight="1">
      <c r="A7355" s="34" t="s">
        <v>23234</v>
      </c>
      <c r="B7355" s="35" t="s">
        <v>23235</v>
      </c>
      <c r="C7355" s="35" t="s">
        <v>23236</v>
      </c>
      <c r="D7355" s="36" t="s">
        <v>23237</v>
      </c>
      <c r="E7355" s="37"/>
      <c r="F7355" s="38">
        <f ca="1">F7368</f>
        <v>0</v>
      </c>
      <c r="G7355" s="37"/>
    </row>
    <row r="7356" spans="1:7" ht="39.84" thickBot="1" customHeight="1">
      <c r="A7356" s="26"/>
      <c r="B7356" s="26"/>
      <c r="C7356" s="26"/>
      <c r="D7356" s="25" t="s">
        <v>23238</v>
      </c>
      <c r="E7356" s="25"/>
      <c r="F7356" s="25"/>
      <c r="G7356" s="25"/>
    </row>
    <row r="7357" spans="1:7" ht="30.60" thickBot="1" customHeight="1">
      <c r="A7357" s="24" t="s">
        <v>23239</v>
      </c>
      <c r="B7357" s="24" t="s">
        <v>23240</v>
      </c>
      <c r="C7357" s="24" t="s">
        <v>23241</v>
      </c>
      <c r="D7357" s="25" t="s">
        <v>23242</v>
      </c>
      <c r="E7357" s="28">
        <v>0.16500</v>
      </c>
      <c r="F7357" s="29">
        <f ca="1">ROUND(17.990,3)</f>
        <v>0</v>
      </c>
      <c r="G7357" s="27">
        <f ca="1">ROUND(E7357*F7357,2)</f>
        <v>0</v>
      </c>
    </row>
    <row r="7358" spans="1:7" ht="30.60" thickBot="1" customHeight="1">
      <c r="A7358" s="24" t="s">
        <v>23243</v>
      </c>
      <c r="B7358" s="24" t="s">
        <v>23244</v>
      </c>
      <c r="C7358" s="24" t="s">
        <v>23245</v>
      </c>
      <c r="D7358" s="25" t="s">
        <v>23246</v>
      </c>
      <c r="E7358" s="28">
        <v>6.00000</v>
      </c>
      <c r="F7358" s="29">
        <f ca="1">ROUND(0.480,3)</f>
        <v>0</v>
      </c>
      <c r="G7358" s="27">
        <f ca="1">ROUND(E7358*F7358,2)</f>
        <v>0</v>
      </c>
    </row>
    <row r="7359" spans="1:7" ht="21.36" thickBot="1" customHeight="1">
      <c r="A7359" s="24" t="s">
        <v>23247</v>
      </c>
      <c r="B7359" s="24" t="s">
        <v>23248</v>
      </c>
      <c r="C7359" s="24" t="s">
        <v>23249</v>
      </c>
      <c r="D7359" s="25" t="s">
        <v>23250</v>
      </c>
      <c r="E7359" s="28">
        <v>0.12000</v>
      </c>
      <c r="F7359" s="29">
        <f ca="1">ROUND(6.490,3)</f>
        <v>0</v>
      </c>
      <c r="G7359" s="27">
        <f ca="1">ROUND(E7359*F7359,2)</f>
        <v>0</v>
      </c>
    </row>
    <row r="7360" spans="1:7" ht="21.36" thickBot="1" customHeight="1">
      <c r="A7360" s="24" t="s">
        <v>23251</v>
      </c>
      <c r="B7360" s="24" t="s">
        <v>23252</v>
      </c>
      <c r="C7360" s="24" t="s">
        <v>23253</v>
      </c>
      <c r="D7360" s="25" t="s">
        <v>23254</v>
      </c>
      <c r="E7360" s="28">
        <v>0.11000</v>
      </c>
      <c r="F7360" s="29">
        <f ca="1">ROUND(4.800,3)</f>
        <v>0</v>
      </c>
      <c r="G7360" s="27">
        <f ca="1">ROUND(E7360*F7360,2)</f>
        <v>0</v>
      </c>
    </row>
    <row r="7361" spans="1:7" ht="30.60" thickBot="1" customHeight="1">
      <c r="A7361" s="24" t="s">
        <v>23255</v>
      </c>
      <c r="B7361" s="24" t="s">
        <v>23256</v>
      </c>
      <c r="C7361" s="24" t="s">
        <v>23257</v>
      </c>
      <c r="D7361" s="25" t="s">
        <v>23258</v>
      </c>
      <c r="E7361" s="28">
        <v>0.15000</v>
      </c>
      <c r="F7361" s="29">
        <f ca="1">ROUND(4.920,3)</f>
        <v>0</v>
      </c>
      <c r="G7361" s="27">
        <f ca="1">ROUND(E7361*F7361,2)</f>
        <v>0</v>
      </c>
    </row>
    <row r="7362" spans="1:7" ht="21.36" thickBot="1" customHeight="1">
      <c r="A7362" s="24" t="s">
        <v>23259</v>
      </c>
      <c r="B7362" s="24" t="s">
        <v>23260</v>
      </c>
      <c r="C7362" s="24" t="s">
        <v>23261</v>
      </c>
      <c r="D7362" s="25" t="s">
        <v>23262</v>
      </c>
      <c r="E7362" s="28">
        <v>0.16000</v>
      </c>
      <c r="F7362" s="29">
        <f ca="1">ROUND(2.000,3)</f>
        <v>0</v>
      </c>
      <c r="G7362" s="27">
        <f ca="1">ROUND(E7362*F7362,2)</f>
        <v>0</v>
      </c>
    </row>
    <row r="7363" spans="1:7" ht="30.60" thickBot="1" customHeight="1">
      <c r="A7363" s="24" t="s">
        <v>23263</v>
      </c>
      <c r="B7363" s="24" t="s">
        <v>23264</v>
      </c>
      <c r="C7363" s="24" t="s">
        <v>23265</v>
      </c>
      <c r="D7363" s="25" t="s">
        <v>23266</v>
      </c>
      <c r="E7363" s="28">
        <v>0.16000</v>
      </c>
      <c r="F7363" s="29">
        <f ca="1">F7366</f>
        <v>0</v>
      </c>
      <c r="G7363" s="27">
        <f ca="1">ROUND(E7363*F7363,2)</f>
        <v>0</v>
      </c>
    </row>
    <row r="7364" spans="1:7" ht="24.36" thickBot="1" customHeight="1">
      <c r="A7364" s="24" t="s">
        <v>23267</v>
      </c>
      <c r="B7364" s="24" t="s">
        <v>23268</v>
      </c>
      <c r="C7364" s="24" t="s">
        <v>23269</v>
      </c>
      <c r="D7364" s="25" t="s">
        <v>23270</v>
      </c>
      <c r="E7364" s="28">
        <v>1.00000</v>
      </c>
      <c r="F7364" s="29">
        <f ca="1">ROUND(21.000,3)</f>
        <v>0</v>
      </c>
      <c r="G7364" s="27">
        <f ca="1">ROUND(E7364*F7364,2)</f>
        <v>0</v>
      </c>
    </row>
    <row r="7365" spans="1:7" ht="24.36" thickBot="1" customHeight="1">
      <c r="A7365" s="24" t="s">
        <v>23271</v>
      </c>
      <c r="B7365" s="24" t="s">
        <v>23272</v>
      </c>
      <c r="C7365" s="24" t="s">
        <v>23273</v>
      </c>
      <c r="D7365" s="25" t="s">
        <v>23274</v>
      </c>
      <c r="E7365" s="28">
        <v>1.00000</v>
      </c>
      <c r="F7365" s="29">
        <f ca="1">ROUND(19.000,3)</f>
        <v>0</v>
      </c>
      <c r="G7365" s="27">
        <f ca="1">ROUND(E7365*F7365,2)</f>
        <v>0</v>
      </c>
    </row>
    <row r="7366" spans="1:7" ht="15.12" thickBot="1" customHeight="1">
      <c r="A7366" s="26"/>
      <c r="B7366" s="26"/>
      <c r="C7366" s="26"/>
      <c r="D7366" s="24" t="s">
        <v>23275</v>
      </c>
      <c r="E7366" s="28">
        <v>0.16000</v>
      </c>
      <c r="F7366" s="29">
        <f ca="1">ROUND((G7364+G7365),3)</f>
        <v>0</v>
      </c>
      <c r="G7366" s="27">
        <f ca="1">ROUND(E7366*F7366,2)</f>
        <v>0</v>
      </c>
    </row>
    <row r="7367" spans="1:7" ht="15.12" thickBot="1" customHeight="1">
      <c r="A7367" s="24" t="s">
        <v>23276</v>
      </c>
      <c r="B7367" s="24"/>
      <c r="C7367" s="24" t="s">
        <v>23277</v>
      </c>
      <c r="D7367" s="25" t="s">
        <v>23278</v>
      </c>
      <c r="E7367" s="28">
        <v>5.00000</v>
      </c>
      <c r="F7367" s="29">
        <f ca="1">ROUND(6.400,3)</f>
        <v>0</v>
      </c>
      <c r="G7367" s="27">
        <f ca="1">ROUND((E7367*F7367)/100,2)</f>
        <v>0</v>
      </c>
    </row>
    <row r="7368" spans="1:7" ht="25.08" thickBot="1" customHeight="1">
      <c r="A7368" s="30"/>
      <c r="B7368" s="30"/>
      <c r="C7368" s="30"/>
      <c r="D7368" s="31" t="s">
        <v>23279</v>
      </c>
      <c r="E7368" s="30"/>
      <c r="F7368" s="33">
        <f ca="1">ROUND((G7357+G7358+G7359+G7360+G7361+G7362+G7363+G7367)*(1+G2/100),2)</f>
        <v>0</v>
      </c>
      <c r="G7368" s="30"/>
    </row>
    <row r="7369" spans="1:7" ht="58.32" thickBot="1" customHeight="1">
      <c r="A7369" s="34" t="s">
        <v>23280</v>
      </c>
      <c r="B7369" s="35" t="s">
        <v>23281</v>
      </c>
      <c r="C7369" s="35" t="s">
        <v>23282</v>
      </c>
      <c r="D7369" s="36" t="s">
        <v>23283</v>
      </c>
      <c r="E7369" s="37"/>
      <c r="F7369" s="38">
        <f ca="1">F7382</f>
        <v>0</v>
      </c>
      <c r="G7369" s="37"/>
    </row>
    <row r="7370" spans="1:7" ht="39.84" thickBot="1" customHeight="1">
      <c r="A7370" s="26"/>
      <c r="B7370" s="26"/>
      <c r="C7370" s="26"/>
      <c r="D7370" s="25" t="s">
        <v>23284</v>
      </c>
      <c r="E7370" s="25"/>
      <c r="F7370" s="25"/>
      <c r="G7370" s="25"/>
    </row>
    <row r="7371" spans="1:7" ht="30.60" thickBot="1" customHeight="1">
      <c r="A7371" s="24" t="s">
        <v>23285</v>
      </c>
      <c r="B7371" s="24" t="s">
        <v>23286</v>
      </c>
      <c r="C7371" s="24" t="s">
        <v>23287</v>
      </c>
      <c r="D7371" s="25" t="s">
        <v>23288</v>
      </c>
      <c r="E7371" s="28">
        <v>0.16500</v>
      </c>
      <c r="F7371" s="29">
        <f ca="1">ROUND(17.990,3)</f>
        <v>0</v>
      </c>
      <c r="G7371" s="27">
        <f ca="1">ROUND(E7371*F7371,2)</f>
        <v>0</v>
      </c>
    </row>
    <row r="7372" spans="1:7" ht="30.60" thickBot="1" customHeight="1">
      <c r="A7372" s="24" t="s">
        <v>23289</v>
      </c>
      <c r="B7372" s="24" t="s">
        <v>23290</v>
      </c>
      <c r="C7372" s="24" t="s">
        <v>23291</v>
      </c>
      <c r="D7372" s="25" t="s">
        <v>23292</v>
      </c>
      <c r="E7372" s="28">
        <v>6.00000</v>
      </c>
      <c r="F7372" s="29">
        <f ca="1">ROUND(0.480,3)</f>
        <v>0</v>
      </c>
      <c r="G7372" s="27">
        <f ca="1">ROUND(E7372*F7372,2)</f>
        <v>0</v>
      </c>
    </row>
    <row r="7373" spans="1:7" ht="21.36" thickBot="1" customHeight="1">
      <c r="A7373" s="24" t="s">
        <v>23293</v>
      </c>
      <c r="B7373" s="24" t="s">
        <v>23294</v>
      </c>
      <c r="C7373" s="24" t="s">
        <v>23295</v>
      </c>
      <c r="D7373" s="25" t="s">
        <v>23296</v>
      </c>
      <c r="E7373" s="28">
        <v>0.12000</v>
      </c>
      <c r="F7373" s="29">
        <f ca="1">ROUND(6.490,3)</f>
        <v>0</v>
      </c>
      <c r="G7373" s="27">
        <f ca="1">ROUND(E7373*F7373,2)</f>
        <v>0</v>
      </c>
    </row>
    <row r="7374" spans="1:7" ht="21.36" thickBot="1" customHeight="1">
      <c r="A7374" s="24" t="s">
        <v>23297</v>
      </c>
      <c r="B7374" s="24" t="s">
        <v>23298</v>
      </c>
      <c r="C7374" s="24" t="s">
        <v>23299</v>
      </c>
      <c r="D7374" s="25" t="s">
        <v>23300</v>
      </c>
      <c r="E7374" s="28">
        <v>0.11000</v>
      </c>
      <c r="F7374" s="29">
        <f ca="1">ROUND(4.800,3)</f>
        <v>0</v>
      </c>
      <c r="G7374" s="27">
        <f ca="1">ROUND(E7374*F7374,2)</f>
        <v>0</v>
      </c>
    </row>
    <row r="7375" spans="1:7" ht="30.60" thickBot="1" customHeight="1">
      <c r="A7375" s="24" t="s">
        <v>23301</v>
      </c>
      <c r="B7375" s="24" t="s">
        <v>23302</v>
      </c>
      <c r="C7375" s="24" t="s">
        <v>23303</v>
      </c>
      <c r="D7375" s="25" t="s">
        <v>23304</v>
      </c>
      <c r="E7375" s="28">
        <v>0.15000</v>
      </c>
      <c r="F7375" s="29">
        <f ca="1">ROUND(4.920,3)</f>
        <v>0</v>
      </c>
      <c r="G7375" s="27">
        <f ca="1">ROUND(E7375*F7375,2)</f>
        <v>0</v>
      </c>
    </row>
    <row r="7376" spans="1:7" ht="21.36" thickBot="1" customHeight="1">
      <c r="A7376" s="24" t="s">
        <v>23305</v>
      </c>
      <c r="B7376" s="24" t="s">
        <v>23306</v>
      </c>
      <c r="C7376" s="24" t="s">
        <v>23307</v>
      </c>
      <c r="D7376" s="25" t="s">
        <v>23308</v>
      </c>
      <c r="E7376" s="28">
        <v>0.23000</v>
      </c>
      <c r="F7376" s="29">
        <f ca="1">ROUND(2.000,3)</f>
        <v>0</v>
      </c>
      <c r="G7376" s="27">
        <f ca="1">ROUND(E7376*F7376,2)</f>
        <v>0</v>
      </c>
    </row>
    <row r="7377" spans="1:7" ht="30.60" thickBot="1" customHeight="1">
      <c r="A7377" s="24" t="s">
        <v>23309</v>
      </c>
      <c r="B7377" s="24" t="s">
        <v>23310</v>
      </c>
      <c r="C7377" s="24" t="s">
        <v>23311</v>
      </c>
      <c r="D7377" s="25" t="s">
        <v>23312</v>
      </c>
      <c r="E7377" s="28">
        <v>0.23000</v>
      </c>
      <c r="F7377" s="29">
        <f ca="1">F7380</f>
        <v>0</v>
      </c>
      <c r="G7377" s="27">
        <f ca="1">ROUND(E7377*F7377,2)</f>
        <v>0</v>
      </c>
    </row>
    <row r="7378" spans="1:7" ht="24.36" thickBot="1" customHeight="1">
      <c r="A7378" s="24" t="s">
        <v>23313</v>
      </c>
      <c r="B7378" s="24" t="s">
        <v>23314</v>
      </c>
      <c r="C7378" s="24" t="s">
        <v>23315</v>
      </c>
      <c r="D7378" s="25" t="s">
        <v>23316</v>
      </c>
      <c r="E7378" s="28">
        <v>1.00000</v>
      </c>
      <c r="F7378" s="29">
        <f ca="1">ROUND(21.000,3)</f>
        <v>0</v>
      </c>
      <c r="G7378" s="27">
        <f ca="1">ROUND(E7378*F7378,2)</f>
        <v>0</v>
      </c>
    </row>
    <row r="7379" spans="1:7" ht="24.36" thickBot="1" customHeight="1">
      <c r="A7379" s="24" t="s">
        <v>23317</v>
      </c>
      <c r="B7379" s="24" t="s">
        <v>23318</v>
      </c>
      <c r="C7379" s="24" t="s">
        <v>23319</v>
      </c>
      <c r="D7379" s="25" t="s">
        <v>23320</v>
      </c>
      <c r="E7379" s="28">
        <v>1.00000</v>
      </c>
      <c r="F7379" s="29">
        <f ca="1">ROUND(19.000,3)</f>
        <v>0</v>
      </c>
      <c r="G7379" s="27">
        <f ca="1">ROUND(E7379*F7379,2)</f>
        <v>0</v>
      </c>
    </row>
    <row r="7380" spans="1:7" ht="15.12" thickBot="1" customHeight="1">
      <c r="A7380" s="26"/>
      <c r="B7380" s="26"/>
      <c r="C7380" s="26"/>
      <c r="D7380" s="24" t="s">
        <v>23321</v>
      </c>
      <c r="E7380" s="28">
        <v>0.23000</v>
      </c>
      <c r="F7380" s="29">
        <f ca="1">ROUND((G7378+G7379),3)</f>
        <v>0</v>
      </c>
      <c r="G7380" s="27">
        <f ca="1">ROUND(E7380*F7380,2)</f>
        <v>0</v>
      </c>
    </row>
    <row r="7381" spans="1:7" ht="15.12" thickBot="1" customHeight="1">
      <c r="A7381" s="24" t="s">
        <v>23322</v>
      </c>
      <c r="B7381" s="24"/>
      <c r="C7381" s="24" t="s">
        <v>23323</v>
      </c>
      <c r="D7381" s="25" t="s">
        <v>23324</v>
      </c>
      <c r="E7381" s="28">
        <v>3.00000</v>
      </c>
      <c r="F7381" s="29">
        <f ca="1">ROUND(9.200,3)</f>
        <v>0</v>
      </c>
      <c r="G7381" s="27">
        <f ca="1">ROUND((E7381*F7381)/100,2)</f>
        <v>0</v>
      </c>
    </row>
    <row r="7382" spans="1:7" ht="25.08" thickBot="1" customHeight="1">
      <c r="A7382" s="30"/>
      <c r="B7382" s="30"/>
      <c r="C7382" s="30"/>
      <c r="D7382" s="31" t="s">
        <v>23325</v>
      </c>
      <c r="E7382" s="30"/>
      <c r="F7382" s="33">
        <f ca="1">ROUND((G7371+G7372+G7373+G7374+G7375+G7376+G7377+G7381)*(1+G2/100),2)</f>
        <v>0</v>
      </c>
      <c r="G7382" s="30"/>
    </row>
    <row r="7383" spans="1:7" ht="15.48" thickBot="1" customHeight="1">
      <c r="A7383" s="34" t="s">
        <v>23326</v>
      </c>
      <c r="B7383" s="35" t="s">
        <v>23327</v>
      </c>
      <c r="C7383" s="35" t="s">
        <v>23328</v>
      </c>
      <c r="D7383" s="36" t="s">
        <v>23329</v>
      </c>
      <c r="E7383" s="37"/>
      <c r="F7383" s="38">
        <f ca="1">F7393</f>
        <v>0</v>
      </c>
      <c r="G7383" s="37"/>
    </row>
    <row r="7384" spans="1:7" ht="30.60" thickBot="1" customHeight="1">
      <c r="A7384" s="26"/>
      <c r="B7384" s="26"/>
      <c r="C7384" s="26"/>
      <c r="D7384" s="25" t="s">
        <v>23330</v>
      </c>
      <c r="E7384" s="25"/>
      <c r="F7384" s="25"/>
      <c r="G7384" s="25"/>
    </row>
    <row r="7385" spans="1:7" ht="21.36" thickBot="1" customHeight="1">
      <c r="A7385" s="24" t="s">
        <v>23331</v>
      </c>
      <c r="B7385" s="24" t="s">
        <v>23332</v>
      </c>
      <c r="C7385" s="24" t="s">
        <v>23333</v>
      </c>
      <c r="D7385" s="25" t="s">
        <v>23334</v>
      </c>
      <c r="E7385" s="28">
        <v>1.00000</v>
      </c>
      <c r="F7385" s="29">
        <f ca="1">ROUND(0.700,3)</f>
        <v>0</v>
      </c>
      <c r="G7385" s="27">
        <f ca="1">ROUND(E7385*F7385,2)</f>
        <v>0</v>
      </c>
    </row>
    <row r="7386" spans="1:7" ht="21.36" thickBot="1" customHeight="1">
      <c r="A7386" s="24" t="s">
        <v>23335</v>
      </c>
      <c r="B7386" s="24" t="s">
        <v>23336</v>
      </c>
      <c r="C7386" s="24" t="s">
        <v>23337</v>
      </c>
      <c r="D7386" s="25" t="s">
        <v>23338</v>
      </c>
      <c r="E7386" s="28">
        <v>3.00000</v>
      </c>
      <c r="F7386" s="29">
        <f ca="1">ROUND(1.000,3)</f>
        <v>0</v>
      </c>
      <c r="G7386" s="27">
        <f ca="1">ROUND(E7386*F7386,2)</f>
        <v>0</v>
      </c>
    </row>
    <row r="7387" spans="1:7" ht="21.36" thickBot="1" customHeight="1">
      <c r="A7387" s="24" t="s">
        <v>23339</v>
      </c>
      <c r="B7387" s="24" t="s">
        <v>23340</v>
      </c>
      <c r="C7387" s="24" t="s">
        <v>23341</v>
      </c>
      <c r="D7387" s="25" t="s">
        <v>23342</v>
      </c>
      <c r="E7387" s="28">
        <v>0.20000</v>
      </c>
      <c r="F7387" s="29">
        <f ca="1">ROUND(1.510,3)</f>
        <v>0</v>
      </c>
      <c r="G7387" s="27">
        <f ca="1">ROUND(E7387*F7387,2)</f>
        <v>0</v>
      </c>
    </row>
    <row r="7388" spans="1:7" ht="30.60" thickBot="1" customHeight="1">
      <c r="A7388" s="24" t="s">
        <v>23343</v>
      </c>
      <c r="B7388" s="24" t="s">
        <v>23344</v>
      </c>
      <c r="C7388" s="24" t="s">
        <v>23345</v>
      </c>
      <c r="D7388" s="25" t="s">
        <v>23346</v>
      </c>
      <c r="E7388" s="28">
        <v>0.04500</v>
      </c>
      <c r="F7388" s="29">
        <f ca="1">F7391</f>
        <v>0</v>
      </c>
      <c r="G7388" s="27">
        <f ca="1">ROUND(E7388*F7388,2)</f>
        <v>0</v>
      </c>
    </row>
    <row r="7389" spans="1:7" ht="24.36" thickBot="1" customHeight="1">
      <c r="A7389" s="24" t="s">
        <v>23347</v>
      </c>
      <c r="B7389" s="24" t="s">
        <v>23348</v>
      </c>
      <c r="C7389" s="24" t="s">
        <v>23349</v>
      </c>
      <c r="D7389" s="25" t="s">
        <v>23350</v>
      </c>
      <c r="E7389" s="28">
        <v>1.00000</v>
      </c>
      <c r="F7389" s="29">
        <f ca="1">ROUND(21.000,3)</f>
        <v>0</v>
      </c>
      <c r="G7389" s="27">
        <f ca="1">ROUND(E7389*F7389,2)</f>
        <v>0</v>
      </c>
    </row>
    <row r="7390" spans="1:7" ht="24.36" thickBot="1" customHeight="1">
      <c r="A7390" s="24" t="s">
        <v>23351</v>
      </c>
      <c r="B7390" s="24" t="s">
        <v>23352</v>
      </c>
      <c r="C7390" s="24" t="s">
        <v>23353</v>
      </c>
      <c r="D7390" s="25" t="s">
        <v>23354</v>
      </c>
      <c r="E7390" s="28">
        <v>1.00000</v>
      </c>
      <c r="F7390" s="29">
        <f ca="1">ROUND(19.000,3)</f>
        <v>0</v>
      </c>
      <c r="G7390" s="27">
        <f ca="1">ROUND(E7390*F7390,2)</f>
        <v>0</v>
      </c>
    </row>
    <row r="7391" spans="1:7" ht="15.12" thickBot="1" customHeight="1">
      <c r="A7391" s="26"/>
      <c r="B7391" s="26"/>
      <c r="C7391" s="26"/>
      <c r="D7391" s="24" t="s">
        <v>23355</v>
      </c>
      <c r="E7391" s="28">
        <v>0.04500</v>
      </c>
      <c r="F7391" s="29">
        <f ca="1">ROUND((G7389+G7390),3)</f>
        <v>0</v>
      </c>
      <c r="G7391" s="27">
        <f ca="1">ROUND(E7391*F7391,2)</f>
        <v>0</v>
      </c>
    </row>
    <row r="7392" spans="1:7" ht="15.12" thickBot="1" customHeight="1">
      <c r="A7392" s="24" t="s">
        <v>23356</v>
      </c>
      <c r="B7392" s="24"/>
      <c r="C7392" s="24" t="s">
        <v>23357</v>
      </c>
      <c r="D7392" s="25" t="s">
        <v>23358</v>
      </c>
      <c r="E7392" s="28">
        <v>3.00000</v>
      </c>
      <c r="F7392" s="29">
        <f ca="1">ROUND(1.800,3)</f>
        <v>0</v>
      </c>
      <c r="G7392" s="27">
        <f ca="1">ROUND((E7392*F7392)/100,2)</f>
        <v>0</v>
      </c>
    </row>
    <row r="7393" spans="1:7" ht="15.48" thickBot="1" customHeight="1">
      <c r="A7393" s="30"/>
      <c r="B7393" s="30"/>
      <c r="C7393" s="30"/>
      <c r="D7393" s="31" t="s">
        <v>23359</v>
      </c>
      <c r="E7393" s="30"/>
      <c r="F7393" s="33">
        <f ca="1">ROUND((G7385+G7386+G7387+G7388+G7392)*(1+G2/100),2)</f>
        <v>0</v>
      </c>
      <c r="G7393" s="30"/>
    </row>
    <row r="7394" spans="1:7" ht="21.36" thickBot="1" customHeight="1">
      <c r="A7394" s="34" t="s">
        <v>23360</v>
      </c>
      <c r="B7394" s="35" t="s">
        <v>23361</v>
      </c>
      <c r="C7394" s="35" t="s">
        <v>23362</v>
      </c>
      <c r="D7394" s="36" t="s">
        <v>23363</v>
      </c>
      <c r="E7394" s="37"/>
      <c r="F7394" s="38">
        <f ca="1">F7403</f>
        <v>0</v>
      </c>
      <c r="G7394" s="37"/>
    </row>
    <row r="7395" spans="1:7" ht="21.36" thickBot="1" customHeight="1">
      <c r="A7395" s="26"/>
      <c r="B7395" s="26"/>
      <c r="C7395" s="26"/>
      <c r="D7395" s="25" t="s">
        <v>23364</v>
      </c>
      <c r="E7395" s="25"/>
      <c r="F7395" s="25"/>
      <c r="G7395" s="25"/>
    </row>
    <row r="7396" spans="1:7" ht="30.60" thickBot="1" customHeight="1">
      <c r="A7396" s="24" t="s">
        <v>23365</v>
      </c>
      <c r="B7396" s="24" t="s">
        <v>23366</v>
      </c>
      <c r="C7396" s="24" t="s">
        <v>23367</v>
      </c>
      <c r="D7396" s="25" t="s">
        <v>23368</v>
      </c>
      <c r="E7396" s="28">
        <v>0.36000</v>
      </c>
      <c r="F7396" s="29">
        <f ca="1">ROUND(1.470,3)</f>
        <v>0</v>
      </c>
      <c r="G7396" s="27">
        <f ca="1">ROUND(E7396*F7396,2)</f>
        <v>0</v>
      </c>
    </row>
    <row r="7397" spans="1:7" ht="21.36" thickBot="1" customHeight="1">
      <c r="A7397" s="24" t="s">
        <v>23369</v>
      </c>
      <c r="B7397" s="24" t="s">
        <v>23370</v>
      </c>
      <c r="C7397" s="24" t="s">
        <v>23371</v>
      </c>
      <c r="D7397" s="25" t="s">
        <v>23372</v>
      </c>
      <c r="E7397" s="28">
        <v>0.25000</v>
      </c>
      <c r="F7397" s="29">
        <f ca="1">F7401</f>
        <v>0</v>
      </c>
      <c r="G7397" s="27">
        <f ca="1">ROUND(E7397*F7397,2)</f>
        <v>0</v>
      </c>
    </row>
    <row r="7398" spans="1:7" ht="24.36" thickBot="1" customHeight="1">
      <c r="A7398" s="24" t="s">
        <v>23373</v>
      </c>
      <c r="B7398" s="24" t="s">
        <v>23374</v>
      </c>
      <c r="C7398" s="24" t="s">
        <v>23375</v>
      </c>
      <c r="D7398" s="25" t="s">
        <v>23376</v>
      </c>
      <c r="E7398" s="28">
        <v>1.00000</v>
      </c>
      <c r="F7398" s="29">
        <f ca="1">ROUND(21.000,3)</f>
        <v>0</v>
      </c>
      <c r="G7398" s="27">
        <f ca="1">ROUND(E7398*F7398,2)</f>
        <v>0</v>
      </c>
    </row>
    <row r="7399" spans="1:7" ht="24.36" thickBot="1" customHeight="1">
      <c r="A7399" s="24" t="s">
        <v>23377</v>
      </c>
      <c r="B7399" s="24" t="s">
        <v>23378</v>
      </c>
      <c r="C7399" s="24" t="s">
        <v>23379</v>
      </c>
      <c r="D7399" s="25" t="s">
        <v>23380</v>
      </c>
      <c r="E7399" s="28">
        <v>1.00000</v>
      </c>
      <c r="F7399" s="29">
        <f ca="1">ROUND(19.000,3)</f>
        <v>0</v>
      </c>
      <c r="G7399" s="27">
        <f ca="1">ROUND(E7399*F7399,2)</f>
        <v>0</v>
      </c>
    </row>
    <row r="7400" spans="1:7" ht="24.36" thickBot="1" customHeight="1">
      <c r="A7400" s="24" t="s">
        <v>23381</v>
      </c>
      <c r="B7400" s="24" t="s">
        <v>23382</v>
      </c>
      <c r="C7400" s="24" t="s">
        <v>23383</v>
      </c>
      <c r="D7400" s="25" t="s">
        <v>23384</v>
      </c>
      <c r="E7400" s="28">
        <v>0.20000</v>
      </c>
      <c r="F7400" s="29">
        <f ca="1">ROUND(19.000,3)</f>
        <v>0</v>
      </c>
      <c r="G7400" s="27">
        <f ca="1">ROUND(E7400*F7400,2)</f>
        <v>0</v>
      </c>
    </row>
    <row r="7401" spans="1:7" ht="15.12" thickBot="1" customHeight="1">
      <c r="A7401" s="26"/>
      <c r="B7401" s="26"/>
      <c r="C7401" s="26"/>
      <c r="D7401" s="24" t="s">
        <v>23385</v>
      </c>
      <c r="E7401" s="28">
        <v>0.25000</v>
      </c>
      <c r="F7401" s="29">
        <f ca="1">ROUND((G7398+G7399+G7400),3)</f>
        <v>0</v>
      </c>
      <c r="G7401" s="27">
        <f ca="1">ROUND(E7401*F7401,2)</f>
        <v>0</v>
      </c>
    </row>
    <row r="7402" spans="1:7" ht="15.12" thickBot="1" customHeight="1">
      <c r="A7402" s="24" t="s">
        <v>23386</v>
      </c>
      <c r="B7402" s="24"/>
      <c r="C7402" s="24" t="s">
        <v>23387</v>
      </c>
      <c r="D7402" s="25" t="s">
        <v>23388</v>
      </c>
      <c r="E7402" s="28">
        <v>3.00000</v>
      </c>
      <c r="F7402" s="29">
        <f ca="1">ROUND(10.950,3)</f>
        <v>0</v>
      </c>
      <c r="G7402" s="27">
        <f ca="1">ROUND((E7402*F7402)/100,2)</f>
        <v>0</v>
      </c>
    </row>
    <row r="7403" spans="1:7" ht="15.48" thickBot="1" customHeight="1">
      <c r="A7403" s="30"/>
      <c r="B7403" s="30"/>
      <c r="C7403" s="30"/>
      <c r="D7403" s="31" t="s">
        <v>23389</v>
      </c>
      <c r="E7403" s="30"/>
      <c r="F7403" s="33">
        <f ca="1">ROUND((G7396+G7397+G7402)*(1+G2/100),2)</f>
        <v>0</v>
      </c>
      <c r="G7403" s="30"/>
    </row>
    <row r="7404" spans="1:7" ht="15.48" thickBot="1" customHeight="1">
      <c r="A7404" s="34" t="s">
        <v>23390</v>
      </c>
      <c r="B7404" s="35" t="s">
        <v>23391</v>
      </c>
      <c r="C7404" s="35" t="s">
        <v>23392</v>
      </c>
      <c r="D7404" s="36" t="s">
        <v>23393</v>
      </c>
      <c r="E7404" s="37"/>
      <c r="F7404" s="38">
        <f ca="1">F7413</f>
        <v>0</v>
      </c>
      <c r="G7404" s="37"/>
    </row>
    <row r="7405" spans="1:7" ht="12.12" thickBot="1" customHeight="1">
      <c r="A7405" s="26"/>
      <c r="B7405" s="26"/>
      <c r="C7405" s="26"/>
      <c r="D7405" s="25" t="s">
        <v>23394</v>
      </c>
      <c r="E7405" s="25"/>
      <c r="F7405" s="25"/>
      <c r="G7405" s="25"/>
    </row>
    <row r="7406" spans="1:7" ht="30.60" thickBot="1" customHeight="1">
      <c r="A7406" s="24" t="s">
        <v>23395</v>
      </c>
      <c r="B7406" s="24" t="s">
        <v>23396</v>
      </c>
      <c r="C7406" s="24" t="s">
        <v>23397</v>
      </c>
      <c r="D7406" s="25" t="s">
        <v>23398</v>
      </c>
      <c r="E7406" s="28">
        <v>0.01100</v>
      </c>
      <c r="F7406" s="29">
        <f ca="1">ROUND(25.450,3)</f>
        <v>0</v>
      </c>
      <c r="G7406" s="27">
        <f ca="1">ROUND(E7406*F7406,2)</f>
        <v>0</v>
      </c>
    </row>
    <row r="7407" spans="1:7" ht="21.36" thickBot="1" customHeight="1">
      <c r="A7407" s="24" t="s">
        <v>23399</v>
      </c>
      <c r="B7407" s="24" t="s">
        <v>23400</v>
      </c>
      <c r="C7407" s="24" t="s">
        <v>23401</v>
      </c>
      <c r="D7407" s="25" t="s">
        <v>23402</v>
      </c>
      <c r="E7407" s="28">
        <v>0.01000</v>
      </c>
      <c r="F7407" s="29">
        <f ca="1">ROUND(0.700,3)</f>
        <v>0</v>
      </c>
      <c r="G7407" s="27">
        <f ca="1">ROUND(E7407*F7407,2)</f>
        <v>0</v>
      </c>
    </row>
    <row r="7408" spans="1:7" ht="30.60" thickBot="1" customHeight="1">
      <c r="A7408" s="24" t="s">
        <v>23403</v>
      </c>
      <c r="B7408" s="24" t="s">
        <v>23404</v>
      </c>
      <c r="C7408" s="24" t="s">
        <v>23405</v>
      </c>
      <c r="D7408" s="25" t="s">
        <v>23406</v>
      </c>
      <c r="E7408" s="28">
        <v>0.04000</v>
      </c>
      <c r="F7408" s="29">
        <f ca="1">F7411</f>
        <v>0</v>
      </c>
      <c r="G7408" s="27">
        <f ca="1">ROUND(E7408*F7408,2)</f>
        <v>0</v>
      </c>
    </row>
    <row r="7409" spans="1:7" ht="24.36" thickBot="1" customHeight="1">
      <c r="A7409" s="24" t="s">
        <v>23407</v>
      </c>
      <c r="B7409" s="24" t="s">
        <v>23408</v>
      </c>
      <c r="C7409" s="24" t="s">
        <v>23409</v>
      </c>
      <c r="D7409" s="25" t="s">
        <v>23410</v>
      </c>
      <c r="E7409" s="28">
        <v>1.00000</v>
      </c>
      <c r="F7409" s="29">
        <f ca="1">ROUND(21.000,3)</f>
        <v>0</v>
      </c>
      <c r="G7409" s="27">
        <f ca="1">ROUND(E7409*F7409,2)</f>
        <v>0</v>
      </c>
    </row>
    <row r="7410" spans="1:7" ht="24.36" thickBot="1" customHeight="1">
      <c r="A7410" s="24" t="s">
        <v>23411</v>
      </c>
      <c r="B7410" s="24" t="s">
        <v>23412</v>
      </c>
      <c r="C7410" s="24" t="s">
        <v>23413</v>
      </c>
      <c r="D7410" s="25" t="s">
        <v>23414</v>
      </c>
      <c r="E7410" s="28">
        <v>1.00000</v>
      </c>
      <c r="F7410" s="29">
        <f ca="1">ROUND(19.000,3)</f>
        <v>0</v>
      </c>
      <c r="G7410" s="27">
        <f ca="1">ROUND(E7410*F7410,2)</f>
        <v>0</v>
      </c>
    </row>
    <row r="7411" spans="1:7" ht="15.12" thickBot="1" customHeight="1">
      <c r="A7411" s="26"/>
      <c r="B7411" s="26"/>
      <c r="C7411" s="26"/>
      <c r="D7411" s="24" t="s">
        <v>23415</v>
      </c>
      <c r="E7411" s="28">
        <v>0.04000</v>
      </c>
      <c r="F7411" s="29">
        <f ca="1">ROUND((G7409+G7410),3)</f>
        <v>0</v>
      </c>
      <c r="G7411" s="27">
        <f ca="1">ROUND(E7411*F7411,2)</f>
        <v>0</v>
      </c>
    </row>
    <row r="7412" spans="1:7" ht="15.12" thickBot="1" customHeight="1">
      <c r="A7412" s="24" t="s">
        <v>23416</v>
      </c>
      <c r="B7412" s="24"/>
      <c r="C7412" s="24" t="s">
        <v>23417</v>
      </c>
      <c r="D7412" s="25" t="s">
        <v>23418</v>
      </c>
      <c r="E7412" s="28">
        <v>5.00000</v>
      </c>
      <c r="F7412" s="29">
        <f ca="1">ROUND(1.600,3)</f>
        <v>0</v>
      </c>
      <c r="G7412" s="27">
        <f ca="1">ROUND((E7412*F7412)/100,2)</f>
        <v>0</v>
      </c>
    </row>
    <row r="7413" spans="1:7" ht="15.48" thickBot="1" customHeight="1">
      <c r="A7413" s="30"/>
      <c r="B7413" s="30"/>
      <c r="C7413" s="30"/>
      <c r="D7413" s="31" t="s">
        <v>23419</v>
      </c>
      <c r="E7413" s="30"/>
      <c r="F7413" s="33">
        <f ca="1">ROUND((G7406+G7407+G7408+G7412)*(1+G2/100),2)</f>
        <v>0</v>
      </c>
      <c r="G7413" s="30"/>
    </row>
    <row r="7414" spans="1:7" ht="15.48" thickBot="1" customHeight="1">
      <c r="A7414" s="39"/>
      <c r="B7414" s="39"/>
      <c r="C7414" s="39"/>
      <c r="D7414" s="40" t="s">
        <v>23420</v>
      </c>
      <c r="E7414" s="41"/>
      <c r="F7414" s="41"/>
      <c r="G7414" s="41"/>
    </row>
    <row r="7415" spans="1:7" ht="25.08" thickBot="1" customHeight="1">
      <c r="A7415" s="42" t="s">
        <v>23421</v>
      </c>
      <c r="B7415" s="42" t="s">
        <v>23422</v>
      </c>
      <c r="C7415" s="43"/>
      <c r="D7415" s="44" t="s">
        <v>23423</v>
      </c>
      <c r="E7415" s="43"/>
      <c r="F7415" s="43"/>
      <c r="G7415" s="43"/>
    </row>
    <row r="7416" spans="1:7" ht="30.60" thickBot="1" customHeight="1">
      <c r="A7416" s="10" t="s">
        <v>23424</v>
      </c>
      <c r="B7416" s="24" t="s">
        <v>23425</v>
      </c>
      <c r="C7416" s="24" t="s">
        <v>23426</v>
      </c>
      <c r="D7416" s="25" t="s">
        <v>23427</v>
      </c>
      <c r="E7416" s="26"/>
      <c r="F7416" s="27">
        <f ca="1">F7429</f>
        <v>0</v>
      </c>
      <c r="G7416" s="26"/>
    </row>
    <row r="7417" spans="1:7" ht="21.36" thickBot="1" customHeight="1">
      <c r="A7417" s="26"/>
      <c r="B7417" s="26"/>
      <c r="C7417" s="26"/>
      <c r="D7417" s="25" t="s">
        <v>23428</v>
      </c>
      <c r="E7417" s="25"/>
      <c r="F7417" s="25"/>
      <c r="G7417" s="25"/>
    </row>
    <row r="7418" spans="1:7" ht="39.84" thickBot="1" customHeight="1">
      <c r="A7418" s="24" t="s">
        <v>23429</v>
      </c>
      <c r="B7418" s="24" t="s">
        <v>23430</v>
      </c>
      <c r="C7418" s="24" t="s">
        <v>23431</v>
      </c>
      <c r="D7418" s="25" t="s">
        <v>23432</v>
      </c>
      <c r="E7418" s="28">
        <v>1.00000</v>
      </c>
      <c r="F7418" s="29">
        <f ca="1">ROUND(100.830,3)</f>
        <v>0</v>
      </c>
      <c r="G7418" s="27">
        <f ca="1">ROUND(E7418*F7418,2)</f>
        <v>0</v>
      </c>
    </row>
    <row r="7419" spans="1:7" ht="21.36" thickBot="1" customHeight="1">
      <c r="A7419" s="24" t="s">
        <v>23433</v>
      </c>
      <c r="B7419" s="24" t="s">
        <v>23434</v>
      </c>
      <c r="C7419" s="24" t="s">
        <v>23435</v>
      </c>
      <c r="D7419" s="25" t="s">
        <v>23436</v>
      </c>
      <c r="E7419" s="28">
        <v>0.10000</v>
      </c>
      <c r="F7419" s="29">
        <f ca="1">ROUND(6.490,3)</f>
        <v>0</v>
      </c>
      <c r="G7419" s="27">
        <f ca="1">ROUND(E7419*F7419,2)</f>
        <v>0</v>
      </c>
    </row>
    <row r="7420" spans="1:7" ht="30.60" thickBot="1" customHeight="1">
      <c r="A7420" s="24" t="s">
        <v>23437</v>
      </c>
      <c r="B7420" s="24" t="s">
        <v>23438</v>
      </c>
      <c r="C7420" s="24" t="s">
        <v>23439</v>
      </c>
      <c r="D7420" s="25" t="s">
        <v>23440</v>
      </c>
      <c r="E7420" s="28">
        <v>0.50000</v>
      </c>
      <c r="F7420" s="29">
        <f ca="1">ROUND(1.470,3)</f>
        <v>0</v>
      </c>
      <c r="G7420" s="27">
        <f ca="1">ROUND(E7420*F7420,2)</f>
        <v>0</v>
      </c>
    </row>
    <row r="7421" spans="1:7" ht="30.60" thickBot="1" customHeight="1">
      <c r="A7421" s="24" t="s">
        <v>23441</v>
      </c>
      <c r="B7421" s="24" t="s">
        <v>23442</v>
      </c>
      <c r="C7421" s="24" t="s">
        <v>23443</v>
      </c>
      <c r="D7421" s="25" t="s">
        <v>23444</v>
      </c>
      <c r="E7421" s="28">
        <v>0.10000</v>
      </c>
      <c r="F7421" s="29">
        <f ca="1">ROUND(4.920,3)</f>
        <v>0</v>
      </c>
      <c r="G7421" s="27">
        <f ca="1">ROUND(E7421*F7421,2)</f>
        <v>0</v>
      </c>
    </row>
    <row r="7422" spans="1:7" ht="21.36" thickBot="1" customHeight="1">
      <c r="A7422" s="24" t="s">
        <v>23445</v>
      </c>
      <c r="B7422" s="24" t="s">
        <v>23446</v>
      </c>
      <c r="C7422" s="24" t="s">
        <v>23447</v>
      </c>
      <c r="D7422" s="25" t="s">
        <v>23448</v>
      </c>
      <c r="E7422" s="28">
        <v>0.30000</v>
      </c>
      <c r="F7422" s="29">
        <f ca="1">ROUND(2.000,3)</f>
        <v>0</v>
      </c>
      <c r="G7422" s="27">
        <f ca="1">ROUND(E7422*F7422,2)</f>
        <v>0</v>
      </c>
    </row>
    <row r="7423" spans="1:7" ht="21.36" thickBot="1" customHeight="1">
      <c r="A7423" s="24" t="s">
        <v>23449</v>
      </c>
      <c r="B7423" s="24" t="s">
        <v>23450</v>
      </c>
      <c r="C7423" s="24" t="s">
        <v>23451</v>
      </c>
      <c r="D7423" s="25" t="s">
        <v>23452</v>
      </c>
      <c r="E7423" s="28">
        <v>2.00000</v>
      </c>
      <c r="F7423" s="29">
        <f ca="1">F7427</f>
        <v>0</v>
      </c>
      <c r="G7423" s="27">
        <f ca="1">ROUND(E7423*F7423,2)</f>
        <v>0</v>
      </c>
    </row>
    <row r="7424" spans="1:7" ht="24.36" thickBot="1" customHeight="1">
      <c r="A7424" s="24" t="s">
        <v>23453</v>
      </c>
      <c r="B7424" s="24" t="s">
        <v>23454</v>
      </c>
      <c r="C7424" s="24" t="s">
        <v>23455</v>
      </c>
      <c r="D7424" s="25" t="s">
        <v>23456</v>
      </c>
      <c r="E7424" s="28">
        <v>1.00000</v>
      </c>
      <c r="F7424" s="29">
        <f ca="1">ROUND(21.000,3)</f>
        <v>0</v>
      </c>
      <c r="G7424" s="27">
        <f ca="1">ROUND(E7424*F7424,2)</f>
        <v>0</v>
      </c>
    </row>
    <row r="7425" spans="1:7" ht="24.36" thickBot="1" customHeight="1">
      <c r="A7425" s="24" t="s">
        <v>23457</v>
      </c>
      <c r="B7425" s="24" t="s">
        <v>23458</v>
      </c>
      <c r="C7425" s="24" t="s">
        <v>23459</v>
      </c>
      <c r="D7425" s="25" t="s">
        <v>23460</v>
      </c>
      <c r="E7425" s="28">
        <v>1.00000</v>
      </c>
      <c r="F7425" s="29">
        <f ca="1">ROUND(19.000,3)</f>
        <v>0</v>
      </c>
      <c r="G7425" s="27">
        <f ca="1">ROUND(E7425*F7425,2)</f>
        <v>0</v>
      </c>
    </row>
    <row r="7426" spans="1:7" ht="24.36" thickBot="1" customHeight="1">
      <c r="A7426" s="24" t="s">
        <v>23461</v>
      </c>
      <c r="B7426" s="24" t="s">
        <v>23462</v>
      </c>
      <c r="C7426" s="24" t="s">
        <v>23463</v>
      </c>
      <c r="D7426" s="25" t="s">
        <v>23464</v>
      </c>
      <c r="E7426" s="28">
        <v>0.20000</v>
      </c>
      <c r="F7426" s="29">
        <f ca="1">ROUND(19.000,3)</f>
        <v>0</v>
      </c>
      <c r="G7426" s="27">
        <f ca="1">ROUND(E7426*F7426,2)</f>
        <v>0</v>
      </c>
    </row>
    <row r="7427" spans="1:7" ht="15.12" thickBot="1" customHeight="1">
      <c r="A7427" s="26"/>
      <c r="B7427" s="26"/>
      <c r="C7427" s="26"/>
      <c r="D7427" s="24" t="s">
        <v>23465</v>
      </c>
      <c r="E7427" s="28">
        <v>2.00000</v>
      </c>
      <c r="F7427" s="29">
        <f ca="1">ROUND((G7424+G7425+G7426),3)</f>
        <v>0</v>
      </c>
      <c r="G7427" s="27">
        <f ca="1">ROUND(E7427*F7427,2)</f>
        <v>0</v>
      </c>
    </row>
    <row r="7428" spans="1:7" ht="15.12" thickBot="1" customHeight="1">
      <c r="A7428" s="24" t="s">
        <v>23466</v>
      </c>
      <c r="B7428" s="24"/>
      <c r="C7428" s="24" t="s">
        <v>23467</v>
      </c>
      <c r="D7428" s="25" t="s">
        <v>23468</v>
      </c>
      <c r="E7428" s="28">
        <v>5.00000</v>
      </c>
      <c r="F7428" s="29">
        <f ca="1">ROUND(87.600,3)</f>
        <v>0</v>
      </c>
      <c r="G7428" s="27">
        <f ca="1">ROUND((E7428*F7428)/100,2)</f>
        <v>0</v>
      </c>
    </row>
    <row r="7429" spans="1:7" ht="15.48" thickBot="1" customHeight="1">
      <c r="A7429" s="30"/>
      <c r="B7429" s="30"/>
      <c r="C7429" s="30"/>
      <c r="D7429" s="31" t="s">
        <v>23469</v>
      </c>
      <c r="E7429" s="30"/>
      <c r="F7429" s="33">
        <f ca="1">ROUND((G7418+G7419+G7420+G7421+G7422+G7423+G7428)*(1+G2/100),2)</f>
        <v>0</v>
      </c>
      <c r="G7429" s="30"/>
    </row>
    <row r="7430" spans="1:7" ht="15.48" thickBot="1" customHeight="1">
      <c r="A7430" s="39"/>
      <c r="B7430" s="39"/>
      <c r="C7430" s="39"/>
      <c r="D7430" s="40" t="s">
        <v>23470</v>
      </c>
      <c r="E7430" s="41"/>
      <c r="F7430" s="41"/>
      <c r="G7430" s="41"/>
    </row>
    <row r="7431" spans="1:7" ht="25.08" thickBot="1" customHeight="1">
      <c r="A7431" s="42" t="s">
        <v>23471</v>
      </c>
      <c r="B7431" s="42" t="s">
        <v>23472</v>
      </c>
      <c r="C7431" s="43"/>
      <c r="D7431" s="44" t="s">
        <v>23473</v>
      </c>
      <c r="E7431" s="43"/>
      <c r="F7431" s="43"/>
      <c r="G7431" s="43"/>
    </row>
    <row r="7432" spans="1:7" ht="39.84" thickBot="1" customHeight="1">
      <c r="A7432" s="10" t="s">
        <v>23474</v>
      </c>
      <c r="B7432" s="24" t="s">
        <v>23475</v>
      </c>
      <c r="C7432" s="24" t="s">
        <v>23476</v>
      </c>
      <c r="D7432" s="25" t="s">
        <v>23477</v>
      </c>
      <c r="E7432" s="26"/>
      <c r="F7432" s="27">
        <f ca="1">F7444</f>
        <v>0</v>
      </c>
      <c r="G7432" s="26"/>
    </row>
    <row r="7433" spans="1:7" ht="12.12" thickBot="1" customHeight="1">
      <c r="A7433" s="26"/>
      <c r="B7433" s="26"/>
      <c r="C7433" s="26"/>
      <c r="D7433" s="25" t="s">
        <v>23478</v>
      </c>
      <c r="E7433" s="25"/>
      <c r="F7433" s="25"/>
      <c r="G7433" s="25"/>
    </row>
    <row r="7434" spans="1:7" ht="39.84" thickBot="1" customHeight="1">
      <c r="A7434" s="24" t="s">
        <v>23479</v>
      </c>
      <c r="B7434" s="24" t="s">
        <v>23480</v>
      </c>
      <c r="C7434" s="24" t="s">
        <v>23481</v>
      </c>
      <c r="D7434" s="25" t="s">
        <v>23482</v>
      </c>
      <c r="E7434" s="28">
        <v>1.00000</v>
      </c>
      <c r="F7434" s="29">
        <f ca="1">ROUND(29.740,3)</f>
        <v>0</v>
      </c>
      <c r="G7434" s="27">
        <f ca="1">ROUND(E7434*F7434,2)</f>
        <v>0</v>
      </c>
    </row>
    <row r="7435" spans="1:7" ht="21.36" thickBot="1" customHeight="1">
      <c r="A7435" s="24" t="s">
        <v>23483</v>
      </c>
      <c r="B7435" s="24" t="s">
        <v>23484</v>
      </c>
      <c r="C7435" s="24" t="s">
        <v>23485</v>
      </c>
      <c r="D7435" s="25" t="s">
        <v>23486</v>
      </c>
      <c r="E7435" s="28">
        <v>0.06000</v>
      </c>
      <c r="F7435" s="29">
        <f ca="1">ROUND(6.490,3)</f>
        <v>0</v>
      </c>
      <c r="G7435" s="27">
        <f ca="1">ROUND(E7435*F7435,2)</f>
        <v>0</v>
      </c>
    </row>
    <row r="7436" spans="1:7" ht="21.36" thickBot="1" customHeight="1">
      <c r="A7436" s="24" t="s">
        <v>23487</v>
      </c>
      <c r="B7436" s="24" t="s">
        <v>23488</v>
      </c>
      <c r="C7436" s="24" t="s">
        <v>23489</v>
      </c>
      <c r="D7436" s="25" t="s">
        <v>23490</v>
      </c>
      <c r="E7436" s="28">
        <v>0.20000</v>
      </c>
      <c r="F7436" s="29">
        <f ca="1">ROUND(2.000,3)</f>
        <v>0</v>
      </c>
      <c r="G7436" s="27">
        <f ca="1">ROUND(E7436*F7436,2)</f>
        <v>0</v>
      </c>
    </row>
    <row r="7437" spans="1:7" ht="30.60" thickBot="1" customHeight="1">
      <c r="A7437" s="24" t="s">
        <v>23491</v>
      </c>
      <c r="B7437" s="24" t="s">
        <v>23492</v>
      </c>
      <c r="C7437" s="24" t="s">
        <v>23493</v>
      </c>
      <c r="D7437" s="25" t="s">
        <v>23494</v>
      </c>
      <c r="E7437" s="28">
        <v>0.10000</v>
      </c>
      <c r="F7437" s="29">
        <f ca="1">ROUND(4.920,3)</f>
        <v>0</v>
      </c>
      <c r="G7437" s="27">
        <f ca="1">ROUND(E7437*F7437,2)</f>
        <v>0</v>
      </c>
    </row>
    <row r="7438" spans="1:7" ht="21.36" thickBot="1" customHeight="1">
      <c r="A7438" s="24" t="s">
        <v>23495</v>
      </c>
      <c r="B7438" s="24" t="s">
        <v>23496</v>
      </c>
      <c r="C7438" s="24" t="s">
        <v>23497</v>
      </c>
      <c r="D7438" s="25" t="s">
        <v>23498</v>
      </c>
      <c r="E7438" s="28">
        <v>0.40000</v>
      </c>
      <c r="F7438" s="29">
        <f ca="1">F7442</f>
        <v>0</v>
      </c>
      <c r="G7438" s="27">
        <f ca="1">ROUND(E7438*F7438,2)</f>
        <v>0</v>
      </c>
    </row>
    <row r="7439" spans="1:7" ht="24.36" thickBot="1" customHeight="1">
      <c r="A7439" s="24" t="s">
        <v>23499</v>
      </c>
      <c r="B7439" s="24" t="s">
        <v>23500</v>
      </c>
      <c r="C7439" s="24" t="s">
        <v>23501</v>
      </c>
      <c r="D7439" s="25" t="s">
        <v>23502</v>
      </c>
      <c r="E7439" s="28">
        <v>1.00000</v>
      </c>
      <c r="F7439" s="29">
        <f ca="1">ROUND(21.000,3)</f>
        <v>0</v>
      </c>
      <c r="G7439" s="27">
        <f ca="1">ROUND(E7439*F7439,2)</f>
        <v>0</v>
      </c>
    </row>
    <row r="7440" spans="1:7" ht="24.36" thickBot="1" customHeight="1">
      <c r="A7440" s="24" t="s">
        <v>23503</v>
      </c>
      <c r="B7440" s="24" t="s">
        <v>23504</v>
      </c>
      <c r="C7440" s="24" t="s">
        <v>23505</v>
      </c>
      <c r="D7440" s="25" t="s">
        <v>23506</v>
      </c>
      <c r="E7440" s="28">
        <v>1.00000</v>
      </c>
      <c r="F7440" s="29">
        <f ca="1">ROUND(19.000,3)</f>
        <v>0</v>
      </c>
      <c r="G7440" s="27">
        <f ca="1">ROUND(E7440*F7440,2)</f>
        <v>0</v>
      </c>
    </row>
    <row r="7441" spans="1:7" ht="24.36" thickBot="1" customHeight="1">
      <c r="A7441" s="24" t="s">
        <v>23507</v>
      </c>
      <c r="B7441" s="24" t="s">
        <v>23508</v>
      </c>
      <c r="C7441" s="24" t="s">
        <v>23509</v>
      </c>
      <c r="D7441" s="25" t="s">
        <v>23510</v>
      </c>
      <c r="E7441" s="28">
        <v>0.20000</v>
      </c>
      <c r="F7441" s="29">
        <f ca="1">ROUND(19.000,3)</f>
        <v>0</v>
      </c>
      <c r="G7441" s="27">
        <f ca="1">ROUND(E7441*F7441,2)</f>
        <v>0</v>
      </c>
    </row>
    <row r="7442" spans="1:7" ht="15.12" thickBot="1" customHeight="1">
      <c r="A7442" s="26"/>
      <c r="B7442" s="26"/>
      <c r="C7442" s="26"/>
      <c r="D7442" s="24" t="s">
        <v>23511</v>
      </c>
      <c r="E7442" s="28">
        <v>0.40000</v>
      </c>
      <c r="F7442" s="29">
        <f ca="1">ROUND((G7439+G7440+G7441),3)</f>
        <v>0</v>
      </c>
      <c r="G7442" s="27">
        <f ca="1">ROUND(E7442*F7442,2)</f>
        <v>0</v>
      </c>
    </row>
    <row r="7443" spans="1:7" ht="15.12" thickBot="1" customHeight="1">
      <c r="A7443" s="24" t="s">
        <v>23512</v>
      </c>
      <c r="B7443" s="24"/>
      <c r="C7443" s="24" t="s">
        <v>23513</v>
      </c>
      <c r="D7443" s="25" t="s">
        <v>23514</v>
      </c>
      <c r="E7443" s="28">
        <v>5.00000</v>
      </c>
      <c r="F7443" s="29">
        <f ca="1">ROUND(17.520,3)</f>
        <v>0</v>
      </c>
      <c r="G7443" s="27">
        <f ca="1">ROUND((E7443*F7443)/100,2)</f>
        <v>0</v>
      </c>
    </row>
    <row r="7444" spans="1:7" ht="15.48" thickBot="1" customHeight="1">
      <c r="A7444" s="30"/>
      <c r="B7444" s="30"/>
      <c r="C7444" s="30"/>
      <c r="D7444" s="31" t="s">
        <v>23515</v>
      </c>
      <c r="E7444" s="30"/>
      <c r="F7444" s="33">
        <f ca="1">ROUND((G7434+G7435+G7436+G7437+G7438+G7443)*(1+G2/100),2)</f>
        <v>0</v>
      </c>
      <c r="G7444" s="30"/>
    </row>
    <row r="7445" spans="1:7" ht="15.48" thickBot="1" customHeight="1">
      <c r="A7445" s="39"/>
      <c r="B7445" s="39"/>
      <c r="C7445" s="39"/>
      <c r="D7445" s="40" t="s">
        <v>23516</v>
      </c>
      <c r="E7445" s="41"/>
      <c r="F7445" s="41"/>
      <c r="G7445" s="41"/>
    </row>
    <row r="7446" spans="1:7" ht="22.08" thickBot="1" customHeight="1">
      <c r="A7446" s="42" t="s">
        <v>23517</v>
      </c>
      <c r="B7446" s="42" t="s">
        <v>23518</v>
      </c>
      <c r="C7446" s="43"/>
      <c r="D7446" s="44" t="s">
        <v>23519</v>
      </c>
      <c r="E7446" s="43"/>
      <c r="F7446" s="43"/>
      <c r="G7446" s="43"/>
    </row>
    <row r="7447" spans="1:7" ht="15.48" thickBot="1" customHeight="1">
      <c r="A7447" s="10" t="s">
        <v>23520</v>
      </c>
      <c r="B7447" s="24" t="s">
        <v>23521</v>
      </c>
      <c r="C7447" s="24" t="s">
        <v>23522</v>
      </c>
      <c r="D7447" s="25" t="s">
        <v>23523</v>
      </c>
      <c r="E7447" s="26"/>
      <c r="F7447" s="27">
        <f ca="1">F7450</f>
        <v>0</v>
      </c>
      <c r="G7447" s="26"/>
    </row>
    <row r="7448" spans="1:7" ht="49.08" thickBot="1" customHeight="1">
      <c r="A7448" s="26"/>
      <c r="B7448" s="26"/>
      <c r="C7448" s="26"/>
      <c r="D7448" s="25" t="s">
        <v>23524</v>
      </c>
      <c r="E7448" s="25"/>
      <c r="F7448" s="25"/>
      <c r="G7448" s="25"/>
    </row>
    <row r="7449" spans="1:7" ht="15.12" thickBot="1" customHeight="1">
      <c r="A7449" s="24" t="s">
        <v>23525</v>
      </c>
      <c r="B7449" s="24" t="s">
        <v>23526</v>
      </c>
      <c r="C7449" s="24" t="s">
        <v>23527</v>
      </c>
      <c r="D7449" s="25" t="s">
        <v>23528</v>
      </c>
      <c r="E7449" s="28">
        <v>1.00000</v>
      </c>
      <c r="F7449" s="29">
        <f ca="1">ROUND(1186.700,3)</f>
        <v>0</v>
      </c>
      <c r="G7449" s="27">
        <f ca="1">ROUND(E7449*F7449,2)</f>
        <v>0</v>
      </c>
    </row>
    <row r="7450" spans="1:7" ht="15.48" thickBot="1" customHeight="1">
      <c r="A7450" s="30"/>
      <c r="B7450" s="30"/>
      <c r="C7450" s="30"/>
      <c r="D7450" s="31" t="s">
        <v>23529</v>
      </c>
      <c r="E7450" s="30"/>
      <c r="F7450" s="33">
        <f ca="1">ROUND((G7449)*(1+G2/100),2)</f>
        <v>0</v>
      </c>
      <c r="G7450" s="30"/>
    </row>
    <row r="7451" spans="1:7" ht="15.48" thickBot="1" customHeight="1">
      <c r="A7451" s="34" t="s">
        <v>23530</v>
      </c>
      <c r="B7451" s="35" t="s">
        <v>23531</v>
      </c>
      <c r="C7451" s="35" t="s">
        <v>23532</v>
      </c>
      <c r="D7451" s="36" t="s">
        <v>23533</v>
      </c>
      <c r="E7451" s="37"/>
      <c r="F7451" s="38">
        <f ca="1">F7454</f>
        <v>0</v>
      </c>
      <c r="G7451" s="37"/>
    </row>
    <row r="7452" spans="1:7" ht="39.84" thickBot="1" customHeight="1">
      <c r="A7452" s="26"/>
      <c r="B7452" s="26"/>
      <c r="C7452" s="26"/>
      <c r="D7452" s="25" t="s">
        <v>23534</v>
      </c>
      <c r="E7452" s="25"/>
      <c r="F7452" s="25"/>
      <c r="G7452" s="25"/>
    </row>
    <row r="7453" spans="1:7" ht="15.12" thickBot="1" customHeight="1">
      <c r="A7453" s="24" t="s">
        <v>23535</v>
      </c>
      <c r="B7453" s="24" t="s">
        <v>23536</v>
      </c>
      <c r="C7453" s="24" t="s">
        <v>23537</v>
      </c>
      <c r="D7453" s="25" t="s">
        <v>23538</v>
      </c>
      <c r="E7453" s="28">
        <v>1.00000</v>
      </c>
      <c r="F7453" s="29">
        <f ca="1">ROUND(3627.000,3)</f>
        <v>0</v>
      </c>
      <c r="G7453" s="27">
        <f ca="1">ROUND(E7453*F7453,2)</f>
        <v>0</v>
      </c>
    </row>
    <row r="7454" spans="1:7" ht="15.48" thickBot="1" customHeight="1">
      <c r="A7454" s="30"/>
      <c r="B7454" s="30"/>
      <c r="C7454" s="30"/>
      <c r="D7454" s="31" t="s">
        <v>23539</v>
      </c>
      <c r="E7454" s="30"/>
      <c r="F7454" s="33">
        <f ca="1">ROUND((G7453)*(1+G2/100),2)</f>
        <v>0</v>
      </c>
      <c r="G7454" s="30"/>
    </row>
    <row r="7455" spans="1:7" ht="15.48" thickBot="1" customHeight="1">
      <c r="A7455" s="34" t="s">
        <v>23540</v>
      </c>
      <c r="B7455" s="35" t="s">
        <v>23541</v>
      </c>
      <c r="C7455" s="35" t="s">
        <v>23542</v>
      </c>
      <c r="D7455" s="36" t="s">
        <v>23543</v>
      </c>
      <c r="E7455" s="37"/>
      <c r="F7455" s="38">
        <f ca="1">F7458</f>
        <v>0</v>
      </c>
      <c r="G7455" s="37"/>
    </row>
    <row r="7456" spans="1:7" ht="30.60" thickBot="1" customHeight="1">
      <c r="A7456" s="26"/>
      <c r="B7456" s="26"/>
      <c r="C7456" s="26"/>
      <c r="D7456" s="25" t="s">
        <v>23544</v>
      </c>
      <c r="E7456" s="25"/>
      <c r="F7456" s="25"/>
      <c r="G7456" s="25"/>
    </row>
    <row r="7457" spans="1:7" ht="15.12" thickBot="1" customHeight="1">
      <c r="A7457" s="24" t="s">
        <v>23545</v>
      </c>
      <c r="B7457" s="24" t="s">
        <v>23546</v>
      </c>
      <c r="C7457" s="24" t="s">
        <v>23547</v>
      </c>
      <c r="D7457" s="25" t="s">
        <v>23548</v>
      </c>
      <c r="E7457" s="28">
        <v>1.00000</v>
      </c>
      <c r="F7457" s="29">
        <f ca="1">ROUND(1387.000,3)</f>
        <v>0</v>
      </c>
      <c r="G7457" s="27">
        <f ca="1">ROUND(E7457*F7457,2)</f>
        <v>0</v>
      </c>
    </row>
    <row r="7458" spans="1:7" ht="15.48" thickBot="1" customHeight="1">
      <c r="A7458" s="30"/>
      <c r="B7458" s="30"/>
      <c r="C7458" s="30"/>
      <c r="D7458" s="31" t="s">
        <v>23549</v>
      </c>
      <c r="E7458" s="30"/>
      <c r="F7458" s="33">
        <f ca="1">ROUND((G7457)*(1+G2/100),2)</f>
        <v>0</v>
      </c>
      <c r="G7458" s="30"/>
    </row>
    <row r="7459" spans="1:7" ht="15.48" thickBot="1" customHeight="1">
      <c r="A7459" s="34" t="s">
        <v>23550</v>
      </c>
      <c r="B7459" s="35" t="s">
        <v>23551</v>
      </c>
      <c r="C7459" s="35" t="s">
        <v>23552</v>
      </c>
      <c r="D7459" s="36" t="s">
        <v>23553</v>
      </c>
      <c r="E7459" s="37"/>
      <c r="F7459" s="38">
        <f ca="1">F7462</f>
        <v>0</v>
      </c>
      <c r="G7459" s="37"/>
    </row>
    <row r="7460" spans="1:7" ht="49.08" thickBot="1" customHeight="1">
      <c r="A7460" s="26"/>
      <c r="B7460" s="26"/>
      <c r="C7460" s="26"/>
      <c r="D7460" s="25" t="s">
        <v>23554</v>
      </c>
      <c r="E7460" s="25"/>
      <c r="F7460" s="25"/>
      <c r="G7460" s="25"/>
    </row>
    <row r="7461" spans="1:7" ht="15.12" thickBot="1" customHeight="1">
      <c r="A7461" s="24" t="s">
        <v>23555</v>
      </c>
      <c r="B7461" s="24" t="s">
        <v>23556</v>
      </c>
      <c r="C7461" s="24" t="s">
        <v>23557</v>
      </c>
      <c r="D7461" s="25" t="s">
        <v>23558</v>
      </c>
      <c r="E7461" s="28">
        <v>1.00000</v>
      </c>
      <c r="F7461" s="29">
        <f ca="1">ROUND(3259.300,3)</f>
        <v>0</v>
      </c>
      <c r="G7461" s="27">
        <f ca="1">ROUND(E7461*F7461,2)</f>
        <v>0</v>
      </c>
    </row>
    <row r="7462" spans="1:7" ht="15.48" thickBot="1" customHeight="1">
      <c r="A7462" s="30"/>
      <c r="B7462" s="30"/>
      <c r="C7462" s="30"/>
      <c r="D7462" s="31" t="s">
        <v>23559</v>
      </c>
      <c r="E7462" s="30"/>
      <c r="F7462" s="33">
        <f ca="1">ROUND((G7461)*(1+G2/100),2)</f>
        <v>0</v>
      </c>
      <c r="G7462" s="30"/>
    </row>
    <row r="7463" spans="1:7" ht="15.48" thickBot="1" customHeight="1">
      <c r="A7463" s="34" t="s">
        <v>23560</v>
      </c>
      <c r="B7463" s="35" t="s">
        <v>23561</v>
      </c>
      <c r="C7463" s="35" t="s">
        <v>23562</v>
      </c>
      <c r="D7463" s="36" t="s">
        <v>23563</v>
      </c>
      <c r="E7463" s="37"/>
      <c r="F7463" s="38">
        <f ca="1">F7466</f>
        <v>0</v>
      </c>
      <c r="G7463" s="37"/>
    </row>
    <row r="7464" spans="1:7" ht="21.36" thickBot="1" customHeight="1">
      <c r="A7464" s="26"/>
      <c r="B7464" s="26"/>
      <c r="C7464" s="26"/>
      <c r="D7464" s="25" t="s">
        <v>23564</v>
      </c>
      <c r="E7464" s="25"/>
      <c r="F7464" s="25"/>
      <c r="G7464" s="25"/>
    </row>
    <row r="7465" spans="1:7" ht="15.12" thickBot="1" customHeight="1">
      <c r="A7465" s="24" t="s">
        <v>23565</v>
      </c>
      <c r="B7465" s="24" t="s">
        <v>23566</v>
      </c>
      <c r="C7465" s="24" t="s">
        <v>23567</v>
      </c>
      <c r="D7465" s="25" t="s">
        <v>23568</v>
      </c>
      <c r="E7465" s="28">
        <v>1.00000</v>
      </c>
      <c r="F7465" s="29">
        <f ca="1">ROUND(309.000,3)</f>
        <v>0</v>
      </c>
      <c r="G7465" s="27">
        <f ca="1">ROUND(E7465*F7465,2)</f>
        <v>0</v>
      </c>
    </row>
    <row r="7466" spans="1:7" ht="15.48" thickBot="1" customHeight="1">
      <c r="A7466" s="30"/>
      <c r="B7466" s="30"/>
      <c r="C7466" s="30"/>
      <c r="D7466" s="31" t="s">
        <v>23569</v>
      </c>
      <c r="E7466" s="30"/>
      <c r="F7466" s="33">
        <f ca="1">ROUND((G7465)*(1+G2/100),2)</f>
        <v>0</v>
      </c>
      <c r="G7466" s="30"/>
    </row>
    <row r="7467" spans="1:7" ht="15.48" thickBot="1" customHeight="1">
      <c r="A7467" s="34" t="s">
        <v>23570</v>
      </c>
      <c r="B7467" s="35" t="s">
        <v>23571</v>
      </c>
      <c r="C7467" s="35" t="s">
        <v>23572</v>
      </c>
      <c r="D7467" s="36" t="s">
        <v>23573</v>
      </c>
      <c r="E7467" s="37"/>
      <c r="F7467" s="38">
        <f ca="1">F7470</f>
        <v>0</v>
      </c>
      <c r="G7467" s="37"/>
    </row>
    <row r="7468" spans="1:7" ht="12.12" thickBot="1" customHeight="1">
      <c r="A7468" s="26"/>
      <c r="B7468" s="26"/>
      <c r="C7468" s="26"/>
      <c r="D7468" s="25" t="s">
        <v>23574</v>
      </c>
      <c r="E7468" s="25"/>
      <c r="F7468" s="25"/>
      <c r="G7468" s="25"/>
    </row>
    <row r="7469" spans="1:7" ht="15.12" thickBot="1" customHeight="1">
      <c r="A7469" s="24" t="s">
        <v>23575</v>
      </c>
      <c r="B7469" s="24" t="s">
        <v>23576</v>
      </c>
      <c r="C7469" s="24" t="s">
        <v>23577</v>
      </c>
      <c r="D7469" s="25" t="s">
        <v>23578</v>
      </c>
      <c r="E7469" s="28">
        <v>1.00000</v>
      </c>
      <c r="F7469" s="29">
        <f ca="1">ROUND(205.000,3)</f>
        <v>0</v>
      </c>
      <c r="G7469" s="27">
        <f ca="1">ROUND(E7469*F7469,2)</f>
        <v>0</v>
      </c>
    </row>
    <row r="7470" spans="1:7" ht="15.48" thickBot="1" customHeight="1">
      <c r="A7470" s="30"/>
      <c r="B7470" s="30"/>
      <c r="C7470" s="30"/>
      <c r="D7470" s="31" t="s">
        <v>23579</v>
      </c>
      <c r="E7470" s="30"/>
      <c r="F7470" s="33">
        <f ca="1">ROUND((G7469)*(1+G2/100),2)</f>
        <v>0</v>
      </c>
      <c r="G7470" s="30"/>
    </row>
    <row r="7471" spans="1:7" ht="21.36" thickBot="1" customHeight="1">
      <c r="A7471" s="34" t="s">
        <v>23580</v>
      </c>
      <c r="B7471" s="35" t="s">
        <v>23581</v>
      </c>
      <c r="C7471" s="35" t="s">
        <v>23582</v>
      </c>
      <c r="D7471" s="36" t="s">
        <v>23583</v>
      </c>
      <c r="E7471" s="37"/>
      <c r="F7471" s="38">
        <f ca="1">F7474</f>
        <v>0</v>
      </c>
      <c r="G7471" s="37"/>
    </row>
    <row r="7472" spans="1:7" ht="39.84" thickBot="1" customHeight="1">
      <c r="A7472" s="26"/>
      <c r="B7472" s="26"/>
      <c r="C7472" s="26"/>
      <c r="D7472" s="25" t="s">
        <v>23584</v>
      </c>
      <c r="E7472" s="25"/>
      <c r="F7472" s="25"/>
      <c r="G7472" s="25"/>
    </row>
    <row r="7473" spans="1:7" ht="21.36" thickBot="1" customHeight="1">
      <c r="A7473" s="24" t="s">
        <v>23585</v>
      </c>
      <c r="B7473" s="24" t="s">
        <v>23586</v>
      </c>
      <c r="C7473" s="24" t="s">
        <v>23587</v>
      </c>
      <c r="D7473" s="25" t="s">
        <v>23588</v>
      </c>
      <c r="E7473" s="28">
        <v>1.00000</v>
      </c>
      <c r="F7473" s="29">
        <f ca="1">ROUND(970.000,3)</f>
        <v>0</v>
      </c>
      <c r="G7473" s="27">
        <f ca="1">ROUND(E7473*F7473,2)</f>
        <v>0</v>
      </c>
    </row>
    <row r="7474" spans="1:7" ht="15.48" thickBot="1" customHeight="1">
      <c r="A7474" s="30"/>
      <c r="B7474" s="30"/>
      <c r="C7474" s="30"/>
      <c r="D7474" s="31" t="s">
        <v>23589</v>
      </c>
      <c r="E7474" s="30"/>
      <c r="F7474" s="33">
        <f ca="1">ROUND((G7473)*(1+G2/100),2)</f>
        <v>0</v>
      </c>
      <c r="G7474" s="30"/>
    </row>
    <row r="7475" spans="1:7" ht="15.48" thickBot="1" customHeight="1">
      <c r="A7475" s="34" t="s">
        <v>23590</v>
      </c>
      <c r="B7475" s="35" t="s">
        <v>23591</v>
      </c>
      <c r="C7475" s="35" t="s">
        <v>23592</v>
      </c>
      <c r="D7475" s="36" t="s">
        <v>23593</v>
      </c>
      <c r="E7475" s="37"/>
      <c r="F7475" s="38">
        <f ca="1">F7478</f>
        <v>0</v>
      </c>
      <c r="G7475" s="37"/>
    </row>
    <row r="7476" spans="1:7" ht="49.08" thickBot="1" customHeight="1">
      <c r="A7476" s="26"/>
      <c r="B7476" s="26"/>
      <c r="C7476" s="26"/>
      <c r="D7476" s="25" t="s">
        <v>23594</v>
      </c>
      <c r="E7476" s="25"/>
      <c r="F7476" s="25"/>
      <c r="G7476" s="25"/>
    </row>
    <row r="7477" spans="1:7" ht="15.12" thickBot="1" customHeight="1">
      <c r="A7477" s="24" t="s">
        <v>23595</v>
      </c>
      <c r="B7477" s="24" t="s">
        <v>23596</v>
      </c>
      <c r="C7477" s="24" t="s">
        <v>23597</v>
      </c>
      <c r="D7477" s="25" t="s">
        <v>23598</v>
      </c>
      <c r="E7477" s="28">
        <v>1.00000</v>
      </c>
      <c r="F7477" s="29">
        <f ca="1">ROUND(945.000,3)</f>
        <v>0</v>
      </c>
      <c r="G7477" s="27">
        <f ca="1">ROUND(E7477*F7477,2)</f>
        <v>0</v>
      </c>
    </row>
    <row r="7478" spans="1:7" ht="15.48" thickBot="1" customHeight="1">
      <c r="A7478" s="30"/>
      <c r="B7478" s="30"/>
      <c r="C7478" s="30"/>
      <c r="D7478" s="31" t="s">
        <v>23599</v>
      </c>
      <c r="E7478" s="30"/>
      <c r="F7478" s="33">
        <f ca="1">ROUND((G7477)*(1+G2/100),2)</f>
        <v>0</v>
      </c>
      <c r="G7478" s="30"/>
    </row>
    <row r="7479" spans="1:7" ht="15.48" thickBot="1" customHeight="1">
      <c r="A7479" s="34" t="s">
        <v>23600</v>
      </c>
      <c r="B7479" s="35" t="s">
        <v>23601</v>
      </c>
      <c r="C7479" s="35" t="s">
        <v>23602</v>
      </c>
      <c r="D7479" s="36" t="s">
        <v>23603</v>
      </c>
      <c r="E7479" s="37"/>
      <c r="F7479" s="38">
        <f ca="1">F7482</f>
        <v>0</v>
      </c>
      <c r="G7479" s="37"/>
    </row>
    <row r="7480" spans="1:7" ht="30.60" thickBot="1" customHeight="1">
      <c r="A7480" s="26"/>
      <c r="B7480" s="26"/>
      <c r="C7480" s="26"/>
      <c r="D7480" s="25" t="s">
        <v>23604</v>
      </c>
      <c r="E7480" s="25"/>
      <c r="F7480" s="25"/>
      <c r="G7480" s="25"/>
    </row>
    <row r="7481" spans="1:7" ht="15.12" thickBot="1" customHeight="1">
      <c r="A7481" s="24" t="s">
        <v>23605</v>
      </c>
      <c r="B7481" s="24" t="s">
        <v>23606</v>
      </c>
      <c r="C7481" s="24" t="s">
        <v>23607</v>
      </c>
      <c r="D7481" s="25" t="s">
        <v>23608</v>
      </c>
      <c r="E7481" s="28">
        <v>1.00000</v>
      </c>
      <c r="F7481" s="29">
        <f ca="1">ROUND(1005.000,3)</f>
        <v>0</v>
      </c>
      <c r="G7481" s="27">
        <f ca="1">ROUND(E7481*F7481,2)</f>
        <v>0</v>
      </c>
    </row>
    <row r="7482" spans="1:7" ht="15.48" thickBot="1" customHeight="1">
      <c r="A7482" s="30"/>
      <c r="B7482" s="30"/>
      <c r="C7482" s="30"/>
      <c r="D7482" s="31" t="s">
        <v>23609</v>
      </c>
      <c r="E7482" s="30"/>
      <c r="F7482" s="33">
        <f ca="1">ROUND((G7481)*(1+G2/100),2)</f>
        <v>0</v>
      </c>
      <c r="G7482" s="30"/>
    </row>
    <row r="7483" spans="1:7" ht="15.48" thickBot="1" customHeight="1">
      <c r="A7483" s="34" t="s">
        <v>23610</v>
      </c>
      <c r="B7483" s="35" t="s">
        <v>23611</v>
      </c>
      <c r="C7483" s="35" t="s">
        <v>23612</v>
      </c>
      <c r="D7483" s="36" t="s">
        <v>23613</v>
      </c>
      <c r="E7483" s="37"/>
      <c r="F7483" s="38">
        <f ca="1">F7486</f>
        <v>0</v>
      </c>
      <c r="G7483" s="37"/>
    </row>
    <row r="7484" spans="1:7" ht="49.08" thickBot="1" customHeight="1">
      <c r="A7484" s="26"/>
      <c r="B7484" s="26"/>
      <c r="C7484" s="26"/>
      <c r="D7484" s="25" t="s">
        <v>23614</v>
      </c>
      <c r="E7484" s="25"/>
      <c r="F7484" s="25"/>
      <c r="G7484" s="25"/>
    </row>
    <row r="7485" spans="1:7" ht="21.36" thickBot="1" customHeight="1">
      <c r="A7485" s="24" t="s">
        <v>23615</v>
      </c>
      <c r="B7485" s="24" t="s">
        <v>23616</v>
      </c>
      <c r="C7485" s="24" t="s">
        <v>23617</v>
      </c>
      <c r="D7485" s="25" t="s">
        <v>23618</v>
      </c>
      <c r="E7485" s="28">
        <v>1.00000</v>
      </c>
      <c r="F7485" s="29">
        <f ca="1">ROUND(1946.000,3)</f>
        <v>0</v>
      </c>
      <c r="G7485" s="27">
        <f ca="1">ROUND(E7485*F7485,2)</f>
        <v>0</v>
      </c>
    </row>
    <row r="7486" spans="1:7" ht="15.48" thickBot="1" customHeight="1">
      <c r="A7486" s="30"/>
      <c r="B7486" s="30"/>
      <c r="C7486" s="30"/>
      <c r="D7486" s="31" t="s">
        <v>23619</v>
      </c>
      <c r="E7486" s="30"/>
      <c r="F7486" s="33">
        <f ca="1">ROUND((G7485)*(1+G2/100),2)</f>
        <v>0</v>
      </c>
      <c r="G7486" s="30"/>
    </row>
    <row r="7487" spans="1:7" ht="15.48" thickBot="1" customHeight="1">
      <c r="A7487" s="39"/>
      <c r="B7487" s="39"/>
      <c r="C7487" s="39"/>
      <c r="D7487" s="40" t="s">
        <v>23620</v>
      </c>
      <c r="E7487" s="41"/>
      <c r="F7487" s="41"/>
      <c r="G7487" s="41"/>
    </row>
    <row r="7488" spans="1:7" ht="15.48" thickBot="1" customHeight="1">
      <c r="A7488" s="39"/>
      <c r="B7488" s="39"/>
      <c r="C7488" s="39"/>
      <c r="D7488" s="50" t="s">
        <v>23621</v>
      </c>
      <c r="E7488" s="51"/>
      <c r="F7488" s="51"/>
      <c r="G7488" s="51"/>
    </row>
    <row r="7489" spans="1:7" ht="25.08" thickBot="1" customHeight="1">
      <c r="A7489" s="52" t="s">
        <v>23622</v>
      </c>
      <c r="B7489" s="52" t="s">
        <v>23623</v>
      </c>
      <c r="C7489" s="53"/>
      <c r="D7489" s="54" t="s">
        <v>23624</v>
      </c>
      <c r="E7489" s="53"/>
      <c r="F7489" s="53"/>
      <c r="G7489" s="53"/>
    </row>
    <row r="7490" spans="1:7" ht="15.48" thickBot="1" customHeight="1">
      <c r="A7490" s="21" t="s">
        <v>23625</v>
      </c>
      <c r="B7490" s="21" t="s">
        <v>23626</v>
      </c>
      <c r="C7490" s="22"/>
      <c r="D7490" s="23" t="s">
        <v>23627</v>
      </c>
      <c r="E7490" s="22"/>
      <c r="F7490" s="22"/>
      <c r="G7490" s="22"/>
    </row>
    <row r="7491" spans="1:7" ht="39.84" thickBot="1" customHeight="1">
      <c r="A7491" s="10" t="s">
        <v>23628</v>
      </c>
      <c r="B7491" s="24" t="s">
        <v>23629</v>
      </c>
      <c r="C7491" s="24" t="s">
        <v>23630</v>
      </c>
      <c r="D7491" s="25" t="s">
        <v>23631</v>
      </c>
      <c r="E7491" s="26"/>
      <c r="F7491" s="27">
        <f ca="1">F7500</f>
        <v>0</v>
      </c>
      <c r="G7491" s="26"/>
    </row>
    <row r="7492" spans="1:7" ht="21.36" thickBot="1" customHeight="1">
      <c r="A7492" s="26"/>
      <c r="B7492" s="26"/>
      <c r="C7492" s="26"/>
      <c r="D7492" s="25" t="s">
        <v>23632</v>
      </c>
      <c r="E7492" s="25"/>
      <c r="F7492" s="25"/>
      <c r="G7492" s="25"/>
    </row>
    <row r="7493" spans="1:7" ht="30.60" thickBot="1" customHeight="1">
      <c r="A7493" s="24" t="s">
        <v>23633</v>
      </c>
      <c r="B7493" s="24" t="s">
        <v>23634</v>
      </c>
      <c r="C7493" s="24" t="s">
        <v>23635</v>
      </c>
      <c r="D7493" s="25" t="s">
        <v>23636</v>
      </c>
      <c r="E7493" s="28">
        <v>1.00000</v>
      </c>
      <c r="F7493" s="29">
        <f ca="1">ROUND(65.960,3)</f>
        <v>0</v>
      </c>
      <c r="G7493" s="27">
        <f ca="1">ROUND(E7493*F7493,2)</f>
        <v>0</v>
      </c>
    </row>
    <row r="7494" spans="1:7" ht="21.36" thickBot="1" customHeight="1">
      <c r="A7494" s="24" t="s">
        <v>23637</v>
      </c>
      <c r="B7494" s="24" t="s">
        <v>23638</v>
      </c>
      <c r="C7494" s="24" t="s">
        <v>23639</v>
      </c>
      <c r="D7494" s="25" t="s">
        <v>23640</v>
      </c>
      <c r="E7494" s="28">
        <v>0.01200</v>
      </c>
      <c r="F7494" s="29">
        <f ca="1">ROUND(4.950,3)</f>
        <v>0</v>
      </c>
      <c r="G7494" s="27">
        <f ca="1">ROUND(E7494*F7494,2)</f>
        <v>0</v>
      </c>
    </row>
    <row r="7495" spans="1:7" ht="30.60" thickBot="1" customHeight="1">
      <c r="A7495" s="24" t="s">
        <v>23641</v>
      </c>
      <c r="B7495" s="24" t="s">
        <v>23642</v>
      </c>
      <c r="C7495" s="24" t="s">
        <v>23643</v>
      </c>
      <c r="D7495" s="25" t="s">
        <v>23644</v>
      </c>
      <c r="E7495" s="28">
        <v>0.50000</v>
      </c>
      <c r="F7495" s="29">
        <f ca="1">F7498</f>
        <v>0</v>
      </c>
      <c r="G7495" s="27">
        <f ca="1">ROUND(E7495*F7495,2)</f>
        <v>0</v>
      </c>
    </row>
    <row r="7496" spans="1:7" ht="24.36" thickBot="1" customHeight="1">
      <c r="A7496" s="24" t="s">
        <v>23645</v>
      </c>
      <c r="B7496" s="24" t="s">
        <v>23646</v>
      </c>
      <c r="C7496" s="24" t="s">
        <v>23647</v>
      </c>
      <c r="D7496" s="25" t="s">
        <v>23648</v>
      </c>
      <c r="E7496" s="28">
        <v>1.00000</v>
      </c>
      <c r="F7496" s="29">
        <f ca="1">ROUND(24.000,3)</f>
        <v>0</v>
      </c>
      <c r="G7496" s="27">
        <f ca="1">ROUND(E7496*F7496,2)</f>
        <v>0</v>
      </c>
    </row>
    <row r="7497" spans="1:7" ht="24.36" thickBot="1" customHeight="1">
      <c r="A7497" s="24" t="s">
        <v>23649</v>
      </c>
      <c r="B7497" s="24" t="s">
        <v>23650</v>
      </c>
      <c r="C7497" s="24" t="s">
        <v>23651</v>
      </c>
      <c r="D7497" s="25" t="s">
        <v>23652</v>
      </c>
      <c r="E7497" s="28">
        <v>1.00000</v>
      </c>
      <c r="F7497" s="29">
        <f ca="1">ROUND(19.000,3)</f>
        <v>0</v>
      </c>
      <c r="G7497" s="27">
        <f ca="1">ROUND(E7497*F7497,2)</f>
        <v>0</v>
      </c>
    </row>
    <row r="7498" spans="1:7" ht="15.12" thickBot="1" customHeight="1">
      <c r="A7498" s="26"/>
      <c r="B7498" s="26"/>
      <c r="C7498" s="26"/>
      <c r="D7498" s="24" t="s">
        <v>23653</v>
      </c>
      <c r="E7498" s="28">
        <v>0.50000</v>
      </c>
      <c r="F7498" s="29">
        <f ca="1">ROUND((G7496+G7497),3)</f>
        <v>0</v>
      </c>
      <c r="G7498" s="27">
        <f ca="1">ROUND(E7498*F7498,2)</f>
        <v>0</v>
      </c>
    </row>
    <row r="7499" spans="1:7" ht="15.12" thickBot="1" customHeight="1">
      <c r="A7499" s="24" t="s">
        <v>23654</v>
      </c>
      <c r="B7499" s="24"/>
      <c r="C7499" s="24" t="s">
        <v>23655</v>
      </c>
      <c r="D7499" s="25" t="s">
        <v>23656</v>
      </c>
      <c r="E7499" s="28">
        <v>5.00000</v>
      </c>
      <c r="F7499" s="29">
        <f ca="1">ROUND(21.500,3)</f>
        <v>0</v>
      </c>
      <c r="G7499" s="27">
        <f ca="1">ROUND((E7499*F7499)/100,2)</f>
        <v>0</v>
      </c>
    </row>
    <row r="7500" spans="1:7" ht="15.48" thickBot="1" customHeight="1">
      <c r="A7500" s="30"/>
      <c r="B7500" s="30"/>
      <c r="C7500" s="30"/>
      <c r="D7500" s="31" t="s">
        <v>23657</v>
      </c>
      <c r="E7500" s="30"/>
      <c r="F7500" s="33">
        <f ca="1">ROUND((G7493+G7494+G7495+G7499)*(1+G2/100),2)</f>
        <v>0</v>
      </c>
      <c r="G7500" s="30"/>
    </row>
    <row r="7501" spans="1:7" ht="15.48" thickBot="1" customHeight="1">
      <c r="A7501" s="39"/>
      <c r="B7501" s="39"/>
      <c r="C7501" s="39"/>
      <c r="D7501" s="40" t="s">
        <v>23658</v>
      </c>
      <c r="E7501" s="41"/>
      <c r="F7501" s="41"/>
      <c r="G7501" s="41"/>
    </row>
    <row r="7502" spans="1:7" ht="15.48" thickBot="1" customHeight="1">
      <c r="A7502" s="39"/>
      <c r="B7502" s="39"/>
      <c r="C7502" s="39"/>
      <c r="D7502" s="50" t="s">
        <v>23659</v>
      </c>
      <c r="E7502" s="51"/>
      <c r="F7502" s="51"/>
      <c r="G7502" s="51"/>
    </row>
    <row r="7503" spans="1:7" ht="15.48" thickBot="1" customHeight="1">
      <c r="A7503" s="52" t="s">
        <v>23660</v>
      </c>
      <c r="B7503" s="52" t="s">
        <v>23661</v>
      </c>
      <c r="C7503" s="53"/>
      <c r="D7503" s="54" t="s">
        <v>23662</v>
      </c>
      <c r="E7503" s="53"/>
      <c r="F7503" s="53"/>
      <c r="G7503" s="53"/>
    </row>
    <row r="7504" spans="1:7" ht="39.84" thickBot="1" customHeight="1">
      <c r="A7504" s="10" t="s">
        <v>23663</v>
      </c>
      <c r="B7504" s="24" t="s">
        <v>23664</v>
      </c>
      <c r="C7504" s="24" t="s">
        <v>23665</v>
      </c>
      <c r="D7504" s="25" t="s">
        <v>23666</v>
      </c>
      <c r="E7504" s="26"/>
      <c r="F7504" s="27">
        <f ca="1">F7520</f>
        <v>0</v>
      </c>
      <c r="G7504" s="26"/>
    </row>
    <row r="7505" spans="1:7" ht="12.12" thickBot="1" customHeight="1">
      <c r="A7505" s="26"/>
      <c r="B7505" s="26"/>
      <c r="C7505" s="26"/>
      <c r="D7505" s="25" t="s">
        <v>23667</v>
      </c>
      <c r="E7505" s="25"/>
      <c r="F7505" s="25"/>
      <c r="G7505" s="25"/>
    </row>
    <row r="7506" spans="1:7" ht="21.36" thickBot="1" customHeight="1">
      <c r="A7506" s="24" t="s">
        <v>23668</v>
      </c>
      <c r="B7506" s="24" t="s">
        <v>23669</v>
      </c>
      <c r="C7506" s="24" t="s">
        <v>23670</v>
      </c>
      <c r="D7506" s="25" t="s">
        <v>23671</v>
      </c>
      <c r="E7506" s="28">
        <v>0.18333</v>
      </c>
      <c r="F7506" s="29">
        <f ca="1">ROUND(66.100,3)</f>
        <v>0</v>
      </c>
      <c r="G7506" s="27">
        <f ca="1">ROUND(E7506*F7506,2)</f>
        <v>0</v>
      </c>
    </row>
    <row r="7507" spans="1:7" ht="21.36" thickBot="1" customHeight="1">
      <c r="A7507" s="24" t="s">
        <v>23672</v>
      </c>
      <c r="B7507" s="24" t="s">
        <v>23673</v>
      </c>
      <c r="C7507" s="24" t="s">
        <v>23674</v>
      </c>
      <c r="D7507" s="25" t="s">
        <v>23675</v>
      </c>
      <c r="E7507" s="28">
        <v>0.25714</v>
      </c>
      <c r="F7507" s="29">
        <f ca="1">ROUND(3.510,3)</f>
        <v>0</v>
      </c>
      <c r="G7507" s="27">
        <f ca="1">ROUND(E7507*F7507,2)</f>
        <v>0</v>
      </c>
    </row>
    <row r="7508" spans="1:7" ht="21.36" thickBot="1" customHeight="1">
      <c r="A7508" s="24" t="s">
        <v>23676</v>
      </c>
      <c r="B7508" s="24" t="s">
        <v>23677</v>
      </c>
      <c r="C7508" s="24" t="s">
        <v>23678</v>
      </c>
      <c r="D7508" s="25" t="s">
        <v>23679</v>
      </c>
      <c r="E7508" s="28">
        <v>0.27143</v>
      </c>
      <c r="F7508" s="29">
        <f ca="1">ROUND(2.930,3)</f>
        <v>0</v>
      </c>
      <c r="G7508" s="27">
        <f ca="1">ROUND(E7508*F7508,2)</f>
        <v>0</v>
      </c>
    </row>
    <row r="7509" spans="1:7" ht="30.60" thickBot="1" customHeight="1">
      <c r="A7509" s="24" t="s">
        <v>23680</v>
      </c>
      <c r="B7509" s="24" t="s">
        <v>23681</v>
      </c>
      <c r="C7509" s="24" t="s">
        <v>23682</v>
      </c>
      <c r="D7509" s="25" t="s">
        <v>23683</v>
      </c>
      <c r="E7509" s="28">
        <v>0.03143</v>
      </c>
      <c r="F7509" s="29">
        <f ca="1">ROUND(17.990,3)</f>
        <v>0</v>
      </c>
      <c r="G7509" s="27">
        <f ca="1">ROUND(E7509*F7509,2)</f>
        <v>0</v>
      </c>
    </row>
    <row r="7510" spans="1:7" ht="30.60" thickBot="1" customHeight="1">
      <c r="A7510" s="24" t="s">
        <v>23684</v>
      </c>
      <c r="B7510" s="24" t="s">
        <v>23685</v>
      </c>
      <c r="C7510" s="24" t="s">
        <v>23686</v>
      </c>
      <c r="D7510" s="25" t="s">
        <v>23687</v>
      </c>
      <c r="E7510" s="28">
        <v>0.28000</v>
      </c>
      <c r="F7510" s="29">
        <f ca="1">F7512</f>
        <v>0</v>
      </c>
      <c r="G7510" s="27">
        <f ca="1">ROUND(E7510*F7510,2)</f>
        <v>0</v>
      </c>
    </row>
    <row r="7511" spans="1:7" ht="21.36" thickBot="1" customHeight="1">
      <c r="A7511" s="24" t="s">
        <v>23688</v>
      </c>
      <c r="B7511" s="24" t="s">
        <v>23689</v>
      </c>
      <c r="C7511" s="24" t="s">
        <v>23690</v>
      </c>
      <c r="D7511" s="25" t="s">
        <v>23691</v>
      </c>
      <c r="E7511" s="28">
        <v>0.00417</v>
      </c>
      <c r="F7511" s="29">
        <f ca="1">ROUND(188.430,3)</f>
        <v>0</v>
      </c>
      <c r="G7511" s="27">
        <f ca="1">ROUND(E7511*F7511,2)</f>
        <v>0</v>
      </c>
    </row>
    <row r="7512" spans="1:7" ht="15.12" thickBot="1" customHeight="1">
      <c r="A7512" s="26"/>
      <c r="B7512" s="26"/>
      <c r="C7512" s="26"/>
      <c r="D7512" s="24" t="s">
        <v>23692</v>
      </c>
      <c r="E7512" s="28">
        <v>0.28000</v>
      </c>
      <c r="F7512" s="29">
        <f ca="1">ROUND((G7511),3)</f>
        <v>0</v>
      </c>
      <c r="G7512" s="27">
        <f ca="1">ROUND(E7512*F7512,2)</f>
        <v>0</v>
      </c>
    </row>
    <row r="7513" spans="1:7" ht="30.60" thickBot="1" customHeight="1">
      <c r="A7513" s="24" t="s">
        <v>23693</v>
      </c>
      <c r="B7513" s="24" t="s">
        <v>23694</v>
      </c>
      <c r="C7513" s="24" t="s">
        <v>23695</v>
      </c>
      <c r="D7513" s="25" t="s">
        <v>23696</v>
      </c>
      <c r="E7513" s="28">
        <v>0.01100</v>
      </c>
      <c r="F7513" s="29">
        <f ca="1">ROUND(4.920,3)</f>
        <v>0</v>
      </c>
      <c r="G7513" s="27">
        <f ca="1">ROUND(E7513*F7513,2)</f>
        <v>0</v>
      </c>
    </row>
    <row r="7514" spans="1:7" ht="21.36" thickBot="1" customHeight="1">
      <c r="A7514" s="24" t="s">
        <v>23697</v>
      </c>
      <c r="B7514" s="24" t="s">
        <v>23698</v>
      </c>
      <c r="C7514" s="24" t="s">
        <v>23699</v>
      </c>
      <c r="D7514" s="25" t="s">
        <v>23700</v>
      </c>
      <c r="E7514" s="28">
        <v>0.00429</v>
      </c>
      <c r="F7514" s="29">
        <f ca="1">ROUND(6.490,3)</f>
        <v>0</v>
      </c>
      <c r="G7514" s="27">
        <f ca="1">ROUND(E7514*F7514,2)</f>
        <v>0</v>
      </c>
    </row>
    <row r="7515" spans="1:7" ht="30.60" thickBot="1" customHeight="1">
      <c r="A7515" s="24" t="s">
        <v>23701</v>
      </c>
      <c r="B7515" s="24" t="s">
        <v>23702</v>
      </c>
      <c r="C7515" s="24" t="s">
        <v>23703</v>
      </c>
      <c r="D7515" s="25" t="s">
        <v>23704</v>
      </c>
      <c r="E7515" s="28">
        <v>0.54286</v>
      </c>
      <c r="F7515" s="29">
        <f ca="1">ROUND(0.240,3)</f>
        <v>0</v>
      </c>
      <c r="G7515" s="27">
        <f ca="1">ROUND(E7515*F7515,2)</f>
        <v>0</v>
      </c>
    </row>
    <row r="7516" spans="1:7" ht="21.36" thickBot="1" customHeight="1">
      <c r="A7516" s="24" t="s">
        <v>23705</v>
      </c>
      <c r="B7516" s="24" t="s">
        <v>23706</v>
      </c>
      <c r="C7516" s="24" t="s">
        <v>23707</v>
      </c>
      <c r="D7516" s="25" t="s">
        <v>23708</v>
      </c>
      <c r="E7516" s="28">
        <v>0.00500</v>
      </c>
      <c r="F7516" s="29">
        <f ca="1">ROUND(4.950,3)</f>
        <v>0</v>
      </c>
      <c r="G7516" s="27">
        <f ca="1">ROUND(E7516*F7516,2)</f>
        <v>0</v>
      </c>
    </row>
    <row r="7517" spans="1:7" ht="24.36" thickBot="1" customHeight="1">
      <c r="A7517" s="24" t="s">
        <v>23709</v>
      </c>
      <c r="B7517" s="24" t="s">
        <v>23710</v>
      </c>
      <c r="C7517" s="24" t="s">
        <v>23711</v>
      </c>
      <c r="D7517" s="25" t="s">
        <v>23712</v>
      </c>
      <c r="E7517" s="28">
        <v>0.28000</v>
      </c>
      <c r="F7517" s="29">
        <f ca="1">ROUND(24.000,3)</f>
        <v>0</v>
      </c>
      <c r="G7517" s="27">
        <f ca="1">ROUND(E7517*F7517,2)</f>
        <v>0</v>
      </c>
    </row>
    <row r="7518" spans="1:7" ht="24.36" thickBot="1" customHeight="1">
      <c r="A7518" s="24" t="s">
        <v>23713</v>
      </c>
      <c r="B7518" s="24" t="s">
        <v>23714</v>
      </c>
      <c r="C7518" s="24" t="s">
        <v>23715</v>
      </c>
      <c r="D7518" s="25" t="s">
        <v>23716</v>
      </c>
      <c r="E7518" s="28">
        <v>0.28000</v>
      </c>
      <c r="F7518" s="29">
        <f ca="1">ROUND(19.000,3)</f>
        <v>0</v>
      </c>
      <c r="G7518" s="27">
        <f ca="1">ROUND(E7518*F7518,2)</f>
        <v>0</v>
      </c>
    </row>
    <row r="7519" spans="1:7" ht="15.12" thickBot="1" customHeight="1">
      <c r="A7519" s="24" t="s">
        <v>23717</v>
      </c>
      <c r="B7519" s="24"/>
      <c r="C7519" s="24" t="s">
        <v>23718</v>
      </c>
      <c r="D7519" s="25" t="s">
        <v>23719</v>
      </c>
      <c r="E7519" s="28">
        <v>10.00000</v>
      </c>
      <c r="F7519" s="29">
        <f ca="1">ROUND(12.040,3)</f>
        <v>0</v>
      </c>
      <c r="G7519" s="27">
        <f ca="1">ROUND((E7519*F7519)/100,2)</f>
        <v>0</v>
      </c>
    </row>
    <row r="7520" spans="1:7" ht="15.48" thickBot="1" customHeight="1">
      <c r="A7520" s="30"/>
      <c r="B7520" s="30"/>
      <c r="C7520" s="30"/>
      <c r="D7520" s="31" t="s">
        <v>23720</v>
      </c>
      <c r="E7520" s="30"/>
      <c r="F7520" s="33">
        <f ca="1">ROUND((G7506+G7507+G7508+G7509+G7510+G7513+G7514+G7515+G7516+G7517+G7518+G7519)*(1+G2/100),2)</f>
        <v>0</v>
      </c>
      <c r="G7520" s="30"/>
    </row>
    <row r="7521" spans="1:7" ht="30.60" thickBot="1" customHeight="1">
      <c r="A7521" s="34" t="s">
        <v>23721</v>
      </c>
      <c r="B7521" s="35" t="s">
        <v>23722</v>
      </c>
      <c r="C7521" s="35" t="s">
        <v>23723</v>
      </c>
      <c r="D7521" s="36" t="s">
        <v>23724</v>
      </c>
      <c r="E7521" s="37"/>
      <c r="F7521" s="38">
        <f ca="1">F7540</f>
        <v>0</v>
      </c>
      <c r="G7521" s="37"/>
    </row>
    <row r="7522" spans="1:7" ht="76.80" thickBot="1" customHeight="1">
      <c r="A7522" s="26"/>
      <c r="B7522" s="26"/>
      <c r="C7522" s="26"/>
      <c r="D7522" s="25" t="s">
        <v>23725</v>
      </c>
      <c r="E7522" s="25"/>
      <c r="F7522" s="25"/>
      <c r="G7522" s="25"/>
    </row>
    <row r="7523" spans="1:7" ht="30.60" thickBot="1" customHeight="1">
      <c r="A7523" s="24" t="s">
        <v>23726</v>
      </c>
      <c r="B7523" s="24" t="s">
        <v>23727</v>
      </c>
      <c r="C7523" s="24" t="s">
        <v>23728</v>
      </c>
      <c r="D7523" s="25" t="s">
        <v>23729</v>
      </c>
      <c r="E7523" s="28">
        <v>0.44286</v>
      </c>
      <c r="F7523" s="29">
        <f ca="1">ROUND(28.270,3)</f>
        <v>0</v>
      </c>
      <c r="G7523" s="27">
        <f ca="1">ROUND(E7523*F7523,2)</f>
        <v>0</v>
      </c>
    </row>
    <row r="7524" spans="1:7" ht="21.36" thickBot="1" customHeight="1">
      <c r="A7524" s="24" t="s">
        <v>23730</v>
      </c>
      <c r="B7524" s="24" t="s">
        <v>23731</v>
      </c>
      <c r="C7524" s="24" t="s">
        <v>23732</v>
      </c>
      <c r="D7524" s="25" t="s">
        <v>23733</v>
      </c>
      <c r="E7524" s="28">
        <v>0.25714</v>
      </c>
      <c r="F7524" s="29">
        <f ca="1">ROUND(5.420,3)</f>
        <v>0</v>
      </c>
      <c r="G7524" s="27">
        <f ca="1">ROUND(E7524*F7524,2)</f>
        <v>0</v>
      </c>
    </row>
    <row r="7525" spans="1:7" ht="21.36" thickBot="1" customHeight="1">
      <c r="A7525" s="24" t="s">
        <v>23734</v>
      </c>
      <c r="B7525" s="24" t="s">
        <v>23735</v>
      </c>
      <c r="C7525" s="24" t="s">
        <v>23736</v>
      </c>
      <c r="D7525" s="25" t="s">
        <v>23737</v>
      </c>
      <c r="E7525" s="28">
        <v>0.54286</v>
      </c>
      <c r="F7525" s="29">
        <f ca="1">ROUND(2.070,3)</f>
        <v>0</v>
      </c>
      <c r="G7525" s="27">
        <f ca="1">ROUND(E7525*F7525,2)</f>
        <v>0</v>
      </c>
    </row>
    <row r="7526" spans="1:7" ht="30.60" thickBot="1" customHeight="1">
      <c r="A7526" s="24" t="s">
        <v>23738</v>
      </c>
      <c r="B7526" s="24" t="s">
        <v>23739</v>
      </c>
      <c r="C7526" s="24" t="s">
        <v>23740</v>
      </c>
      <c r="D7526" s="25" t="s">
        <v>23741</v>
      </c>
      <c r="E7526" s="28">
        <v>0.03143</v>
      </c>
      <c r="F7526" s="29">
        <f ca="1">ROUND(17.990,3)</f>
        <v>0</v>
      </c>
      <c r="G7526" s="27">
        <f ca="1">ROUND(E7526*F7526,2)</f>
        <v>0</v>
      </c>
    </row>
    <row r="7527" spans="1:7" ht="30.60" thickBot="1" customHeight="1">
      <c r="A7527" s="24" t="s">
        <v>23742</v>
      </c>
      <c r="B7527" s="24" t="s">
        <v>23743</v>
      </c>
      <c r="C7527" s="24" t="s">
        <v>23744</v>
      </c>
      <c r="D7527" s="25" t="s">
        <v>23745</v>
      </c>
      <c r="E7527" s="28">
        <v>0.28000</v>
      </c>
      <c r="F7527" s="29">
        <f ca="1">F7529</f>
        <v>0</v>
      </c>
      <c r="G7527" s="27">
        <f ca="1">ROUND(E7527*F7527,2)</f>
        <v>0</v>
      </c>
    </row>
    <row r="7528" spans="1:7" ht="21.36" thickBot="1" customHeight="1">
      <c r="A7528" s="24" t="s">
        <v>23746</v>
      </c>
      <c r="B7528" s="24" t="s">
        <v>23747</v>
      </c>
      <c r="C7528" s="24" t="s">
        <v>23748</v>
      </c>
      <c r="D7528" s="25" t="s">
        <v>23749</v>
      </c>
      <c r="E7528" s="28">
        <v>0.00417</v>
      </c>
      <c r="F7528" s="29">
        <f ca="1">ROUND(188.430,3)</f>
        <v>0</v>
      </c>
      <c r="G7528" s="27">
        <f ca="1">ROUND(E7528*F7528,2)</f>
        <v>0</v>
      </c>
    </row>
    <row r="7529" spans="1:7" ht="15.12" thickBot="1" customHeight="1">
      <c r="A7529" s="26"/>
      <c r="B7529" s="26"/>
      <c r="C7529" s="26"/>
      <c r="D7529" s="24" t="s">
        <v>23750</v>
      </c>
      <c r="E7529" s="28">
        <v>0.28000</v>
      </c>
      <c r="F7529" s="29">
        <f ca="1">ROUND((G7528),3)</f>
        <v>0</v>
      </c>
      <c r="G7529" s="27">
        <f ca="1">ROUND(E7529*F7529,2)</f>
        <v>0</v>
      </c>
    </row>
    <row r="7530" spans="1:7" ht="30.60" thickBot="1" customHeight="1">
      <c r="A7530" s="24" t="s">
        <v>23751</v>
      </c>
      <c r="B7530" s="24" t="s">
        <v>23752</v>
      </c>
      <c r="C7530" s="24" t="s">
        <v>23753</v>
      </c>
      <c r="D7530" s="25" t="s">
        <v>23754</v>
      </c>
      <c r="E7530" s="28">
        <v>0.01100</v>
      </c>
      <c r="F7530" s="29">
        <f ca="1">ROUND(4.920,3)</f>
        <v>0</v>
      </c>
      <c r="G7530" s="27">
        <f ca="1">ROUND(E7530*F7530,2)</f>
        <v>0</v>
      </c>
    </row>
    <row r="7531" spans="1:7" ht="21.36" thickBot="1" customHeight="1">
      <c r="A7531" s="24" t="s">
        <v>23755</v>
      </c>
      <c r="B7531" s="24" t="s">
        <v>23756</v>
      </c>
      <c r="C7531" s="24" t="s">
        <v>23757</v>
      </c>
      <c r="D7531" s="25" t="s">
        <v>23758</v>
      </c>
      <c r="E7531" s="28">
        <v>0.00429</v>
      </c>
      <c r="F7531" s="29">
        <f ca="1">ROUND(6.490,3)</f>
        <v>0</v>
      </c>
      <c r="G7531" s="27">
        <f ca="1">ROUND(E7531*F7531,2)</f>
        <v>0</v>
      </c>
    </row>
    <row r="7532" spans="1:7" ht="30.60" thickBot="1" customHeight="1">
      <c r="A7532" s="24" t="s">
        <v>23759</v>
      </c>
      <c r="B7532" s="24" t="s">
        <v>23760</v>
      </c>
      <c r="C7532" s="24" t="s">
        <v>23761</v>
      </c>
      <c r="D7532" s="25" t="s">
        <v>23762</v>
      </c>
      <c r="E7532" s="28">
        <v>0.54286</v>
      </c>
      <c r="F7532" s="29">
        <f ca="1">ROUND(0.950,3)</f>
        <v>0</v>
      </c>
      <c r="G7532" s="27">
        <f ca="1">ROUND(E7532*F7532,2)</f>
        <v>0</v>
      </c>
    </row>
    <row r="7533" spans="1:7" ht="30.60" thickBot="1" customHeight="1">
      <c r="A7533" s="24" t="s">
        <v>23763</v>
      </c>
      <c r="B7533" s="24" t="s">
        <v>23764</v>
      </c>
      <c r="C7533" s="24" t="s">
        <v>23765</v>
      </c>
      <c r="D7533" s="25" t="s">
        <v>23766</v>
      </c>
      <c r="E7533" s="28">
        <v>0.00429</v>
      </c>
      <c r="F7533" s="29">
        <f ca="1">ROUND(24.000,3)</f>
        <v>0</v>
      </c>
      <c r="G7533" s="27">
        <f ca="1">ROUND(E7533*F7533,2)</f>
        <v>0</v>
      </c>
    </row>
    <row r="7534" spans="1:7" ht="30.60" thickBot="1" customHeight="1">
      <c r="A7534" s="24" t="s">
        <v>23767</v>
      </c>
      <c r="B7534" s="24" t="s">
        <v>23768</v>
      </c>
      <c r="C7534" s="24" t="s">
        <v>23769</v>
      </c>
      <c r="D7534" s="25" t="s">
        <v>23770</v>
      </c>
      <c r="E7534" s="28">
        <v>0.00857</v>
      </c>
      <c r="F7534" s="29">
        <f ca="1">ROUND(2.900,3)</f>
        <v>0</v>
      </c>
      <c r="G7534" s="27">
        <f ca="1">ROUND(E7534*F7534,2)</f>
        <v>0</v>
      </c>
    </row>
    <row r="7535" spans="1:7" ht="30.60" thickBot="1" customHeight="1">
      <c r="A7535" s="24" t="s">
        <v>23771</v>
      </c>
      <c r="B7535" s="24" t="s">
        <v>23772</v>
      </c>
      <c r="C7535" s="24" t="s">
        <v>23773</v>
      </c>
      <c r="D7535" s="25" t="s">
        <v>23774</v>
      </c>
      <c r="E7535" s="28">
        <v>0.00857</v>
      </c>
      <c r="F7535" s="29">
        <f ca="1">ROUND(46.950,3)</f>
        <v>0</v>
      </c>
      <c r="G7535" s="27">
        <f ca="1">ROUND(E7535*F7535,2)</f>
        <v>0</v>
      </c>
    </row>
    <row r="7536" spans="1:7" ht="39.84" thickBot="1" customHeight="1">
      <c r="A7536" s="24" t="s">
        <v>23775</v>
      </c>
      <c r="B7536" s="24" t="s">
        <v>23776</v>
      </c>
      <c r="C7536" s="24" t="s">
        <v>23777</v>
      </c>
      <c r="D7536" s="25" t="s">
        <v>23778</v>
      </c>
      <c r="E7536" s="28">
        <v>0.00286</v>
      </c>
      <c r="F7536" s="29">
        <f ca="1">ROUND(42.120,3)</f>
        <v>0</v>
      </c>
      <c r="G7536" s="27">
        <f ca="1">ROUND(E7536*F7536,2)</f>
        <v>0</v>
      </c>
    </row>
    <row r="7537" spans="1:7" ht="24.36" thickBot="1" customHeight="1">
      <c r="A7537" s="24" t="s">
        <v>23779</v>
      </c>
      <c r="B7537" s="24" t="s">
        <v>23780</v>
      </c>
      <c r="C7537" s="24" t="s">
        <v>23781</v>
      </c>
      <c r="D7537" s="25" t="s">
        <v>23782</v>
      </c>
      <c r="E7537" s="28">
        <v>0.28000</v>
      </c>
      <c r="F7537" s="29">
        <f ca="1">ROUND(24.000,3)</f>
        <v>0</v>
      </c>
      <c r="G7537" s="27">
        <f ca="1">ROUND(E7537*F7537,2)</f>
        <v>0</v>
      </c>
    </row>
    <row r="7538" spans="1:7" ht="24.36" thickBot="1" customHeight="1">
      <c r="A7538" s="24" t="s">
        <v>23783</v>
      </c>
      <c r="B7538" s="24" t="s">
        <v>23784</v>
      </c>
      <c r="C7538" s="24" t="s">
        <v>23785</v>
      </c>
      <c r="D7538" s="25" t="s">
        <v>23786</v>
      </c>
      <c r="E7538" s="28">
        <v>0.28000</v>
      </c>
      <c r="F7538" s="29">
        <f ca="1">ROUND(19.000,3)</f>
        <v>0</v>
      </c>
      <c r="G7538" s="27">
        <f ca="1">ROUND(E7538*F7538,2)</f>
        <v>0</v>
      </c>
    </row>
    <row r="7539" spans="1:7" ht="15.12" thickBot="1" customHeight="1">
      <c r="A7539" s="24" t="s">
        <v>23787</v>
      </c>
      <c r="B7539" s="24"/>
      <c r="C7539" s="24" t="s">
        <v>23788</v>
      </c>
      <c r="D7539" s="25" t="s">
        <v>23789</v>
      </c>
      <c r="E7539" s="28">
        <v>10.00000</v>
      </c>
      <c r="F7539" s="29">
        <f ca="1">ROUND(12.040,3)</f>
        <v>0</v>
      </c>
      <c r="G7539" s="27">
        <f ca="1">ROUND((E7539*F7539)/100,2)</f>
        <v>0</v>
      </c>
    </row>
    <row r="7540" spans="1:7" ht="15.48" thickBot="1" customHeight="1">
      <c r="A7540" s="30"/>
      <c r="B7540" s="30"/>
      <c r="C7540" s="30"/>
      <c r="D7540" s="31" t="s">
        <v>23790</v>
      </c>
      <c r="E7540" s="30"/>
      <c r="F7540" s="33">
        <f ca="1">ROUND((G7523+G7524+G7525+G7526+G7527+G7530+G7531+G7532+G7533+G7534+G7535+G7536+G7537+G7538+G7539)*(1+G2/100),2)</f>
        <v>0</v>
      </c>
      <c r="G7540" s="30"/>
    </row>
    <row r="7541" spans="1:7" ht="15.48" thickBot="1" customHeight="1">
      <c r="A7541" s="42" t="s">
        <v>23791</v>
      </c>
      <c r="B7541" s="42" t="s">
        <v>23792</v>
      </c>
      <c r="C7541" s="43"/>
      <c r="D7541" s="44" t="s">
        <v>23793</v>
      </c>
      <c r="E7541" s="43"/>
      <c r="F7541" s="43"/>
      <c r="G7541" s="43"/>
    </row>
    <row r="7542" spans="1:7" ht="15.48" thickBot="1" customHeight="1">
      <c r="A7542" s="10" t="s">
        <v>23794</v>
      </c>
      <c r="B7542" s="24" t="s">
        <v>23795</v>
      </c>
      <c r="C7542" s="24" t="s">
        <v>23796</v>
      </c>
      <c r="D7542" s="25" t="s">
        <v>23797</v>
      </c>
      <c r="E7542" s="26"/>
      <c r="F7542" s="27">
        <f ca="1">F7545</f>
        <v>0</v>
      </c>
      <c r="G7542" s="26"/>
    </row>
    <row r="7543" spans="1:7" ht="30.60" thickBot="1" customHeight="1">
      <c r="A7543" s="26"/>
      <c r="B7543" s="26"/>
      <c r="C7543" s="26"/>
      <c r="D7543" s="25" t="s">
        <v>23798</v>
      </c>
      <c r="E7543" s="25"/>
      <c r="F7543" s="25"/>
      <c r="G7543" s="25"/>
    </row>
    <row r="7544" spans="1:7" ht="24.36" thickBot="1" customHeight="1">
      <c r="A7544" s="24" t="s">
        <v>23799</v>
      </c>
      <c r="B7544" s="24" t="s">
        <v>23800</v>
      </c>
      <c r="C7544" s="24" t="s">
        <v>23801</v>
      </c>
      <c r="D7544" s="25" t="s">
        <v>23802</v>
      </c>
      <c r="E7544" s="28">
        <v>8.00000</v>
      </c>
      <c r="F7544" s="29">
        <f ca="1">ROUND(49.500,3)</f>
        <v>0</v>
      </c>
      <c r="G7544" s="27">
        <f ca="1">ROUND(E7544*F7544,2)</f>
        <v>0</v>
      </c>
    </row>
    <row r="7545" spans="1:7" ht="15.48" thickBot="1" customHeight="1">
      <c r="A7545" s="30"/>
      <c r="B7545" s="30"/>
      <c r="C7545" s="30"/>
      <c r="D7545" s="31" t="s">
        <v>23803</v>
      </c>
      <c r="E7545" s="30"/>
      <c r="F7545" s="33">
        <f ca="1">ROUND((G7544)*(1+G2/100),2)</f>
        <v>0</v>
      </c>
      <c r="G7545" s="30"/>
    </row>
    <row r="7546" spans="1:7" ht="21.36" thickBot="1" customHeight="1">
      <c r="A7546" s="34" t="s">
        <v>23804</v>
      </c>
      <c r="B7546" s="35" t="s">
        <v>23805</v>
      </c>
      <c r="C7546" s="35" t="s">
        <v>23806</v>
      </c>
      <c r="D7546" s="36" t="s">
        <v>23807</v>
      </c>
      <c r="E7546" s="37"/>
      <c r="F7546" s="38">
        <f ca="1">F7550</f>
        <v>0</v>
      </c>
      <c r="G7546" s="37"/>
    </row>
    <row r="7547" spans="1:7" ht="30.60" thickBot="1" customHeight="1">
      <c r="A7547" s="26"/>
      <c r="B7547" s="26"/>
      <c r="C7547" s="26"/>
      <c r="D7547" s="25" t="s">
        <v>23808</v>
      </c>
      <c r="E7547" s="25"/>
      <c r="F7547" s="25"/>
      <c r="G7547" s="25"/>
    </row>
    <row r="7548" spans="1:7" ht="30.60" thickBot="1" customHeight="1">
      <c r="A7548" s="24" t="s">
        <v>23809</v>
      </c>
      <c r="B7548" s="24" t="s">
        <v>23810</v>
      </c>
      <c r="C7548" s="24" t="s">
        <v>23811</v>
      </c>
      <c r="D7548" s="25" t="s">
        <v>23812</v>
      </c>
      <c r="E7548" s="28">
        <v>0.04400</v>
      </c>
      <c r="F7548" s="29">
        <f ca="1">ROUND(28.100,3)</f>
        <v>0</v>
      </c>
      <c r="G7548" s="27">
        <f ca="1">ROUND(E7548*F7548,2)</f>
        <v>0</v>
      </c>
    </row>
    <row r="7549" spans="1:7" ht="24.36" thickBot="1" customHeight="1">
      <c r="A7549" s="24" t="s">
        <v>23813</v>
      </c>
      <c r="B7549" s="24" t="s">
        <v>23814</v>
      </c>
      <c r="C7549" s="24" t="s">
        <v>23815</v>
      </c>
      <c r="D7549" s="25" t="s">
        <v>23816</v>
      </c>
      <c r="E7549" s="28">
        <v>0.10000</v>
      </c>
      <c r="F7549" s="29">
        <f ca="1">ROUND(49.500,3)</f>
        <v>0</v>
      </c>
      <c r="G7549" s="27">
        <f ca="1">ROUND(E7549*F7549,2)</f>
        <v>0</v>
      </c>
    </row>
    <row r="7550" spans="1:7" ht="15.48" thickBot="1" customHeight="1">
      <c r="A7550" s="30"/>
      <c r="B7550" s="30"/>
      <c r="C7550" s="30"/>
      <c r="D7550" s="31" t="s">
        <v>23817</v>
      </c>
      <c r="E7550" s="30"/>
      <c r="F7550" s="33">
        <f ca="1">ROUND((G7548+G7549)*(1+G2/100),2)</f>
        <v>0</v>
      </c>
      <c r="G7550" s="30"/>
    </row>
    <row r="7551" spans="1:7" ht="15.48" thickBot="1" customHeight="1">
      <c r="A7551" s="34" t="s">
        <v>23818</v>
      </c>
      <c r="B7551" s="35" t="s">
        <v>23819</v>
      </c>
      <c r="C7551" s="35" t="s">
        <v>23820</v>
      </c>
      <c r="D7551" s="36" t="s">
        <v>23821</v>
      </c>
      <c r="E7551" s="37"/>
      <c r="F7551" s="38">
        <f ca="1">F7558</f>
        <v>0</v>
      </c>
      <c r="G7551" s="37"/>
    </row>
    <row r="7552" spans="1:7" ht="21.36" thickBot="1" customHeight="1">
      <c r="A7552" s="26"/>
      <c r="B7552" s="26"/>
      <c r="C7552" s="26"/>
      <c r="D7552" s="25" t="s">
        <v>23822</v>
      </c>
      <c r="E7552" s="25"/>
      <c r="F7552" s="25"/>
      <c r="G7552" s="25"/>
    </row>
    <row r="7553" spans="1:7" ht="21.36" thickBot="1" customHeight="1">
      <c r="A7553" s="24" t="s">
        <v>23823</v>
      </c>
      <c r="B7553" s="24" t="s">
        <v>23824</v>
      </c>
      <c r="C7553" s="24" t="s">
        <v>23825</v>
      </c>
      <c r="D7553" s="25" t="s">
        <v>23826</v>
      </c>
      <c r="E7553" s="28">
        <v>0.00100</v>
      </c>
      <c r="F7553" s="29">
        <f ca="1">ROUND(7.770,3)</f>
        <v>0</v>
      </c>
      <c r="G7553" s="27">
        <f ca="1">ROUND(E7553*F7553,2)</f>
        <v>0</v>
      </c>
    </row>
    <row r="7554" spans="1:7" ht="24.36" thickBot="1" customHeight="1">
      <c r="A7554" s="24" t="s">
        <v>23827</v>
      </c>
      <c r="B7554" s="24" t="s">
        <v>23828</v>
      </c>
      <c r="C7554" s="24" t="s">
        <v>23829</v>
      </c>
      <c r="D7554" s="25" t="s">
        <v>23830</v>
      </c>
      <c r="E7554" s="28">
        <v>0.05000</v>
      </c>
      <c r="F7554" s="29">
        <f ca="1">ROUND(49.500,3)</f>
        <v>0</v>
      </c>
      <c r="G7554" s="27">
        <f ca="1">ROUND(E7554*F7554,2)</f>
        <v>0</v>
      </c>
    </row>
    <row r="7555" spans="1:7" ht="21.36" thickBot="1" customHeight="1">
      <c r="A7555" s="24" t="s">
        <v>23831</v>
      </c>
      <c r="B7555" s="24" t="s">
        <v>23832</v>
      </c>
      <c r="C7555" s="24" t="s">
        <v>23833</v>
      </c>
      <c r="D7555" s="25" t="s">
        <v>23834</v>
      </c>
      <c r="E7555" s="28">
        <v>0.08000</v>
      </c>
      <c r="F7555" s="29">
        <f ca="1">ROUND(2.400,3)</f>
        <v>0</v>
      </c>
      <c r="G7555" s="27">
        <f ca="1">ROUND(E7555*F7555,2)</f>
        <v>0</v>
      </c>
    </row>
    <row r="7556" spans="1:7" ht="21.36" thickBot="1" customHeight="1">
      <c r="A7556" s="24" t="s">
        <v>23835</v>
      </c>
      <c r="B7556" s="24" t="s">
        <v>23836</v>
      </c>
      <c r="C7556" s="24" t="s">
        <v>23837</v>
      </c>
      <c r="D7556" s="25" t="s">
        <v>23838</v>
      </c>
      <c r="E7556" s="28">
        <v>0.10000</v>
      </c>
      <c r="F7556" s="29">
        <f ca="1">ROUND(3.260,3)</f>
        <v>0</v>
      </c>
      <c r="G7556" s="27">
        <f ca="1">ROUND(E7556*F7556,2)</f>
        <v>0</v>
      </c>
    </row>
    <row r="7557" spans="1:7" ht="21.36" thickBot="1" customHeight="1">
      <c r="A7557" s="24" t="s">
        <v>23839</v>
      </c>
      <c r="B7557" s="24" t="s">
        <v>23840</v>
      </c>
      <c r="C7557" s="24" t="s">
        <v>23841</v>
      </c>
      <c r="D7557" s="25" t="s">
        <v>23842</v>
      </c>
      <c r="E7557" s="28">
        <v>0.10000</v>
      </c>
      <c r="F7557" s="29">
        <f ca="1">ROUND(4.550,3)</f>
        <v>0</v>
      </c>
      <c r="G7557" s="27">
        <f ca="1">ROUND(E7557*F7557,2)</f>
        <v>0</v>
      </c>
    </row>
    <row r="7558" spans="1:7" ht="15.48" thickBot="1" customHeight="1">
      <c r="A7558" s="30"/>
      <c r="B7558" s="30"/>
      <c r="C7558" s="30"/>
      <c r="D7558" s="31" t="s">
        <v>23843</v>
      </c>
      <c r="E7558" s="30"/>
      <c r="F7558" s="33">
        <f ca="1">ROUND((G7553+G7554+G7555+G7556+G7557)*(1+G2/100),2)</f>
        <v>0</v>
      </c>
      <c r="G7558" s="30"/>
    </row>
    <row r="7559" spans="1:7" ht="15.48" thickBot="1" customHeight="1">
      <c r="A7559" s="34" t="s">
        <v>23844</v>
      </c>
      <c r="B7559" s="35" t="s">
        <v>23845</v>
      </c>
      <c r="C7559" s="35" t="s">
        <v>23846</v>
      </c>
      <c r="D7559" s="36" t="s">
        <v>23847</v>
      </c>
      <c r="E7559" s="37"/>
      <c r="F7559" s="38">
        <f ca="1">F7565</f>
        <v>0</v>
      </c>
      <c r="G7559" s="37"/>
    </row>
    <row r="7560" spans="1:7" ht="21.36" thickBot="1" customHeight="1">
      <c r="A7560" s="26"/>
      <c r="B7560" s="26"/>
      <c r="C7560" s="26"/>
      <c r="D7560" s="25" t="s">
        <v>23848</v>
      </c>
      <c r="E7560" s="25"/>
      <c r="F7560" s="25"/>
      <c r="G7560" s="25"/>
    </row>
    <row r="7561" spans="1:7" ht="21.36" thickBot="1" customHeight="1">
      <c r="A7561" s="24" t="s">
        <v>23849</v>
      </c>
      <c r="B7561" s="24" t="s">
        <v>23850</v>
      </c>
      <c r="C7561" s="24" t="s">
        <v>23851</v>
      </c>
      <c r="D7561" s="25" t="s">
        <v>23852</v>
      </c>
      <c r="E7561" s="28">
        <v>16.00000</v>
      </c>
      <c r="F7561" s="29">
        <f ca="1">ROUND(2.840,3)</f>
        <v>0</v>
      </c>
      <c r="G7561" s="27">
        <f ca="1">ROUND(E7561*F7561,2)</f>
        <v>0</v>
      </c>
    </row>
    <row r="7562" spans="1:7" ht="30.60" thickBot="1" customHeight="1">
      <c r="A7562" s="24" t="s">
        <v>23853</v>
      </c>
      <c r="B7562" s="24" t="s">
        <v>23854</v>
      </c>
      <c r="C7562" s="24" t="s">
        <v>23855</v>
      </c>
      <c r="D7562" s="25" t="s">
        <v>23856</v>
      </c>
      <c r="E7562" s="28">
        <v>110.00000</v>
      </c>
      <c r="F7562" s="29">
        <f ca="1">ROUND(0.150,3)</f>
        <v>0</v>
      </c>
      <c r="G7562" s="27">
        <f ca="1">ROUND(E7562*F7562,2)</f>
        <v>0</v>
      </c>
    </row>
    <row r="7563" spans="1:7" ht="21.36" thickBot="1" customHeight="1">
      <c r="A7563" s="24" t="s">
        <v>23857</v>
      </c>
      <c r="B7563" s="24" t="s">
        <v>23858</v>
      </c>
      <c r="C7563" s="24" t="s">
        <v>23859</v>
      </c>
      <c r="D7563" s="25" t="s">
        <v>23860</v>
      </c>
      <c r="E7563" s="28">
        <v>2.00000</v>
      </c>
      <c r="F7563" s="29">
        <f ca="1">ROUND(5.990,3)</f>
        <v>0</v>
      </c>
      <c r="G7563" s="27">
        <f ca="1">ROUND(E7563*F7563,2)</f>
        <v>0</v>
      </c>
    </row>
    <row r="7564" spans="1:7" ht="24.36" thickBot="1" customHeight="1">
      <c r="A7564" s="24" t="s">
        <v>23861</v>
      </c>
      <c r="B7564" s="24" t="s">
        <v>23862</v>
      </c>
      <c r="C7564" s="24" t="s">
        <v>23863</v>
      </c>
      <c r="D7564" s="25" t="s">
        <v>23864</v>
      </c>
      <c r="E7564" s="28">
        <v>4.00000</v>
      </c>
      <c r="F7564" s="29">
        <f ca="1">ROUND(49.500,3)</f>
        <v>0</v>
      </c>
      <c r="G7564" s="27">
        <f ca="1">ROUND(E7564*F7564,2)</f>
        <v>0</v>
      </c>
    </row>
    <row r="7565" spans="1:7" ht="15.48" thickBot="1" customHeight="1">
      <c r="A7565" s="30"/>
      <c r="B7565" s="30"/>
      <c r="C7565" s="30"/>
      <c r="D7565" s="31" t="s">
        <v>23865</v>
      </c>
      <c r="E7565" s="30"/>
      <c r="F7565" s="33">
        <f ca="1">ROUND((G7561+G7562+G7563+G7564)*(1+G2/100),2)</f>
        <v>0</v>
      </c>
      <c r="G7565" s="30"/>
    </row>
    <row r="7566" spans="1:7" ht="21.36" thickBot="1" customHeight="1">
      <c r="A7566" s="34" t="s">
        <v>23866</v>
      </c>
      <c r="B7566" s="35" t="s">
        <v>23867</v>
      </c>
      <c r="C7566" s="35" t="s">
        <v>23868</v>
      </c>
      <c r="D7566" s="36" t="s">
        <v>23869</v>
      </c>
      <c r="E7566" s="37"/>
      <c r="F7566" s="38">
        <f ca="1">F7569</f>
        <v>0</v>
      </c>
      <c r="G7566" s="37"/>
    </row>
    <row r="7567" spans="1:7" ht="49.08" thickBot="1" customHeight="1">
      <c r="A7567" s="26"/>
      <c r="B7567" s="26"/>
      <c r="C7567" s="26"/>
      <c r="D7567" s="25" t="s">
        <v>23870</v>
      </c>
      <c r="E7567" s="25"/>
      <c r="F7567" s="25"/>
      <c r="G7567" s="25"/>
    </row>
    <row r="7568" spans="1:7" ht="24.36" thickBot="1" customHeight="1">
      <c r="A7568" s="24" t="s">
        <v>23871</v>
      </c>
      <c r="B7568" s="24" t="s">
        <v>23872</v>
      </c>
      <c r="C7568" s="24" t="s">
        <v>23873</v>
      </c>
      <c r="D7568" s="25" t="s">
        <v>23874</v>
      </c>
      <c r="E7568" s="28">
        <v>16.00000</v>
      </c>
      <c r="F7568" s="29">
        <f ca="1">ROUND(49.500,3)</f>
        <v>0</v>
      </c>
      <c r="G7568" s="27">
        <f ca="1">ROUND(E7568*F7568,2)</f>
        <v>0</v>
      </c>
    </row>
    <row r="7569" spans="1:7" ht="15.48" thickBot="1" customHeight="1">
      <c r="A7569" s="30"/>
      <c r="B7569" s="30"/>
      <c r="C7569" s="30"/>
      <c r="D7569" s="31" t="s">
        <v>23875</v>
      </c>
      <c r="E7569" s="30"/>
      <c r="F7569" s="33">
        <f ca="1">ROUND((G7568)*(1+G2/100),2)</f>
        <v>0</v>
      </c>
      <c r="G7569" s="30"/>
    </row>
    <row r="7570" spans="1:7" ht="21.36" thickBot="1" customHeight="1">
      <c r="A7570" s="34" t="s">
        <v>23876</v>
      </c>
      <c r="B7570" s="35" t="s">
        <v>23877</v>
      </c>
      <c r="C7570" s="35" t="s">
        <v>23878</v>
      </c>
      <c r="D7570" s="36" t="s">
        <v>23879</v>
      </c>
      <c r="E7570" s="37"/>
      <c r="F7570" s="38">
        <f ca="1">F7578</f>
        <v>0</v>
      </c>
      <c r="G7570" s="37"/>
    </row>
    <row r="7571" spans="1:7" ht="12.12" thickBot="1" customHeight="1">
      <c r="A7571" s="26"/>
      <c r="B7571" s="26"/>
      <c r="C7571" s="26"/>
      <c r="D7571" s="25" t="s">
        <v>23880</v>
      </c>
      <c r="E7571" s="25"/>
      <c r="F7571" s="25"/>
      <c r="G7571" s="25"/>
    </row>
    <row r="7572" spans="1:7" ht="21.36" thickBot="1" customHeight="1">
      <c r="A7572" s="24" t="s">
        <v>23881</v>
      </c>
      <c r="B7572" s="24" t="s">
        <v>23882</v>
      </c>
      <c r="C7572" s="24" t="s">
        <v>23883</v>
      </c>
      <c r="D7572" s="25" t="s">
        <v>23884</v>
      </c>
      <c r="E7572" s="28">
        <v>1.00000</v>
      </c>
      <c r="F7572" s="29">
        <f ca="1">ROUND(91.000,3)</f>
        <v>0</v>
      </c>
      <c r="G7572" s="27">
        <f ca="1">ROUND(E7572*F7572,2)</f>
        <v>0</v>
      </c>
    </row>
    <row r="7573" spans="1:7" ht="21.36" thickBot="1" customHeight="1">
      <c r="A7573" s="24" t="s">
        <v>23885</v>
      </c>
      <c r="B7573" s="24" t="s">
        <v>23886</v>
      </c>
      <c r="C7573" s="24" t="s">
        <v>23887</v>
      </c>
      <c r="D7573" s="25" t="s">
        <v>23888</v>
      </c>
      <c r="E7573" s="28">
        <v>1.00000</v>
      </c>
      <c r="F7573" s="29">
        <f ca="1">F7577</f>
        <v>0</v>
      </c>
      <c r="G7573" s="27">
        <f ca="1">ROUND(E7573*F7573,2)</f>
        <v>0</v>
      </c>
    </row>
    <row r="7574" spans="1:7" ht="24.36" thickBot="1" customHeight="1">
      <c r="A7574" s="24" t="s">
        <v>23889</v>
      </c>
      <c r="B7574" s="24" t="s">
        <v>23890</v>
      </c>
      <c r="C7574" s="24" t="s">
        <v>23891</v>
      </c>
      <c r="D7574" s="25" t="s">
        <v>23892</v>
      </c>
      <c r="E7574" s="28">
        <v>1.00000</v>
      </c>
      <c r="F7574" s="29">
        <f ca="1">ROUND(21.000,3)</f>
        <v>0</v>
      </c>
      <c r="G7574" s="27">
        <f ca="1">ROUND(E7574*F7574,2)</f>
        <v>0</v>
      </c>
    </row>
    <row r="7575" spans="1:7" ht="24.36" thickBot="1" customHeight="1">
      <c r="A7575" s="24" t="s">
        <v>23893</v>
      </c>
      <c r="B7575" s="24" t="s">
        <v>23894</v>
      </c>
      <c r="C7575" s="24" t="s">
        <v>23895</v>
      </c>
      <c r="D7575" s="25" t="s">
        <v>23896</v>
      </c>
      <c r="E7575" s="28">
        <v>1.00000</v>
      </c>
      <c r="F7575" s="29">
        <f ca="1">ROUND(19.000,3)</f>
        <v>0</v>
      </c>
      <c r="G7575" s="27">
        <f ca="1">ROUND(E7575*F7575,2)</f>
        <v>0</v>
      </c>
    </row>
    <row r="7576" spans="1:7" ht="24.36" thickBot="1" customHeight="1">
      <c r="A7576" s="24" t="s">
        <v>23897</v>
      </c>
      <c r="B7576" s="24" t="s">
        <v>23898</v>
      </c>
      <c r="C7576" s="24" t="s">
        <v>23899</v>
      </c>
      <c r="D7576" s="25" t="s">
        <v>23900</v>
      </c>
      <c r="E7576" s="28">
        <v>0.20000</v>
      </c>
      <c r="F7576" s="29">
        <f ca="1">ROUND(19.000,3)</f>
        <v>0</v>
      </c>
      <c r="G7576" s="27">
        <f ca="1">ROUND(E7576*F7576,2)</f>
        <v>0</v>
      </c>
    </row>
    <row r="7577" spans="1:7" ht="15.12" thickBot="1" customHeight="1">
      <c r="A7577" s="26"/>
      <c r="B7577" s="26"/>
      <c r="C7577" s="26"/>
      <c r="D7577" s="24" t="s">
        <v>23901</v>
      </c>
      <c r="E7577" s="28">
        <v>1.00000</v>
      </c>
      <c r="F7577" s="29">
        <f ca="1">ROUND((G7574+G7575+G7576),3)</f>
        <v>0</v>
      </c>
      <c r="G7577" s="27">
        <f ca="1">ROUND(E7577*F7577,2)</f>
        <v>0</v>
      </c>
    </row>
    <row r="7578" spans="1:7" ht="15.48" thickBot="1" customHeight="1">
      <c r="A7578" s="30"/>
      <c r="B7578" s="30"/>
      <c r="C7578" s="30"/>
      <c r="D7578" s="31" t="s">
        <v>23902</v>
      </c>
      <c r="E7578" s="30"/>
      <c r="F7578" s="33">
        <f ca="1">ROUND((G7572+G7573)*(1+G2/100),2)</f>
        <v>0</v>
      </c>
      <c r="G7578" s="30"/>
    </row>
    <row r="7579" spans="1:7" ht="39.84" thickBot="1" customHeight="1">
      <c r="A7579" s="34" t="s">
        <v>23903</v>
      </c>
      <c r="B7579" s="35" t="s">
        <v>23904</v>
      </c>
      <c r="C7579" s="35" t="s">
        <v>23905</v>
      </c>
      <c r="D7579" s="36" t="s">
        <v>23906</v>
      </c>
      <c r="E7579" s="37"/>
      <c r="F7579" s="38">
        <f ca="1">F7592</f>
        <v>0</v>
      </c>
      <c r="G7579" s="37"/>
    </row>
    <row r="7580" spans="1:7" ht="21.36" thickBot="1" customHeight="1">
      <c r="A7580" s="26"/>
      <c r="B7580" s="26"/>
      <c r="C7580" s="26"/>
      <c r="D7580" s="25" t="s">
        <v>23907</v>
      </c>
      <c r="E7580" s="25"/>
      <c r="F7580" s="25"/>
      <c r="G7580" s="25"/>
    </row>
    <row r="7581" spans="1:7" ht="30.60" thickBot="1" customHeight="1">
      <c r="A7581" s="24" t="s">
        <v>23908</v>
      </c>
      <c r="B7581" s="24" t="s">
        <v>23909</v>
      </c>
      <c r="C7581" s="24" t="s">
        <v>23910</v>
      </c>
      <c r="D7581" s="25" t="s">
        <v>23911</v>
      </c>
      <c r="E7581" s="28">
        <v>0.03143</v>
      </c>
      <c r="F7581" s="29">
        <f ca="1">ROUND(17.990,3)</f>
        <v>0</v>
      </c>
      <c r="G7581" s="27">
        <f ca="1">ROUND(E7581*F7581,2)</f>
        <v>0</v>
      </c>
    </row>
    <row r="7582" spans="1:7" ht="30.60" thickBot="1" customHeight="1">
      <c r="A7582" s="24" t="s">
        <v>23912</v>
      </c>
      <c r="B7582" s="24" t="s">
        <v>23913</v>
      </c>
      <c r="C7582" s="24" t="s">
        <v>23914</v>
      </c>
      <c r="D7582" s="25" t="s">
        <v>23915</v>
      </c>
      <c r="E7582" s="28">
        <v>0.28000</v>
      </c>
      <c r="F7582" s="29">
        <f ca="1">F7584</f>
        <v>0</v>
      </c>
      <c r="G7582" s="27">
        <f ca="1">ROUND(E7582*F7582,2)</f>
        <v>0</v>
      </c>
    </row>
    <row r="7583" spans="1:7" ht="21.36" thickBot="1" customHeight="1">
      <c r="A7583" s="24" t="s">
        <v>23916</v>
      </c>
      <c r="B7583" s="24" t="s">
        <v>23917</v>
      </c>
      <c r="C7583" s="24" t="s">
        <v>23918</v>
      </c>
      <c r="D7583" s="25" t="s">
        <v>23919</v>
      </c>
      <c r="E7583" s="28">
        <v>0.00417</v>
      </c>
      <c r="F7583" s="29">
        <f ca="1">ROUND(188.430,3)</f>
        <v>0</v>
      </c>
      <c r="G7583" s="27">
        <f ca="1">ROUND(E7583*F7583,2)</f>
        <v>0</v>
      </c>
    </row>
    <row r="7584" spans="1:7" ht="15.12" thickBot="1" customHeight="1">
      <c r="A7584" s="26"/>
      <c r="B7584" s="26"/>
      <c r="C7584" s="26"/>
      <c r="D7584" s="24" t="s">
        <v>23920</v>
      </c>
      <c r="E7584" s="28">
        <v>0.28000</v>
      </c>
      <c r="F7584" s="29">
        <f ca="1">ROUND((G7583),3)</f>
        <v>0</v>
      </c>
      <c r="G7584" s="27">
        <f ca="1">ROUND(E7584*F7584,2)</f>
        <v>0</v>
      </c>
    </row>
    <row r="7585" spans="1:7" ht="30.60" thickBot="1" customHeight="1">
      <c r="A7585" s="24" t="s">
        <v>23921</v>
      </c>
      <c r="B7585" s="24" t="s">
        <v>23922</v>
      </c>
      <c r="C7585" s="24" t="s">
        <v>23923</v>
      </c>
      <c r="D7585" s="25" t="s">
        <v>23924</v>
      </c>
      <c r="E7585" s="28">
        <v>0.01100</v>
      </c>
      <c r="F7585" s="29">
        <f ca="1">ROUND(4.920,3)</f>
        <v>0</v>
      </c>
      <c r="G7585" s="27">
        <f ca="1">ROUND(E7585*F7585,2)</f>
        <v>0</v>
      </c>
    </row>
    <row r="7586" spans="1:7" ht="21.36" thickBot="1" customHeight="1">
      <c r="A7586" s="24" t="s">
        <v>23925</v>
      </c>
      <c r="B7586" s="24" t="s">
        <v>23926</v>
      </c>
      <c r="C7586" s="24" t="s">
        <v>23927</v>
      </c>
      <c r="D7586" s="25" t="s">
        <v>23928</v>
      </c>
      <c r="E7586" s="28">
        <v>0.00429</v>
      </c>
      <c r="F7586" s="29">
        <f ca="1">ROUND(6.490,3)</f>
        <v>0</v>
      </c>
      <c r="G7586" s="27">
        <f ca="1">ROUND(E7586*F7586,2)</f>
        <v>0</v>
      </c>
    </row>
    <row r="7587" spans="1:7" ht="30.60" thickBot="1" customHeight="1">
      <c r="A7587" s="24" t="s">
        <v>23929</v>
      </c>
      <c r="B7587" s="24" t="s">
        <v>23930</v>
      </c>
      <c r="C7587" s="24" t="s">
        <v>23931</v>
      </c>
      <c r="D7587" s="25" t="s">
        <v>23932</v>
      </c>
      <c r="E7587" s="28">
        <v>0.54286</v>
      </c>
      <c r="F7587" s="29">
        <f ca="1">ROUND(0.240,3)</f>
        <v>0</v>
      </c>
      <c r="G7587" s="27">
        <f ca="1">ROUND(E7587*F7587,2)</f>
        <v>0</v>
      </c>
    </row>
    <row r="7588" spans="1:7" ht="21.36" thickBot="1" customHeight="1">
      <c r="A7588" s="24" t="s">
        <v>23933</v>
      </c>
      <c r="B7588" s="24" t="s">
        <v>23934</v>
      </c>
      <c r="C7588" s="24" t="s">
        <v>23935</v>
      </c>
      <c r="D7588" s="25" t="s">
        <v>23936</v>
      </c>
      <c r="E7588" s="28">
        <v>0.00500</v>
      </c>
      <c r="F7588" s="29">
        <f ca="1">ROUND(4.950,3)</f>
        <v>0</v>
      </c>
      <c r="G7588" s="27">
        <f ca="1">ROUND(E7588*F7588,2)</f>
        <v>0</v>
      </c>
    </row>
    <row r="7589" spans="1:7" ht="24.36" thickBot="1" customHeight="1">
      <c r="A7589" s="24" t="s">
        <v>23937</v>
      </c>
      <c r="B7589" s="24" t="s">
        <v>23938</v>
      </c>
      <c r="C7589" s="24" t="s">
        <v>23939</v>
      </c>
      <c r="D7589" s="25" t="s">
        <v>23940</v>
      </c>
      <c r="E7589" s="28">
        <v>0.28000</v>
      </c>
      <c r="F7589" s="29">
        <f ca="1">ROUND(24.000,3)</f>
        <v>0</v>
      </c>
      <c r="G7589" s="27">
        <f ca="1">ROUND(E7589*F7589,2)</f>
        <v>0</v>
      </c>
    </row>
    <row r="7590" spans="1:7" ht="24.36" thickBot="1" customHeight="1">
      <c r="A7590" s="24" t="s">
        <v>23941</v>
      </c>
      <c r="B7590" s="24" t="s">
        <v>23942</v>
      </c>
      <c r="C7590" s="24" t="s">
        <v>23943</v>
      </c>
      <c r="D7590" s="25" t="s">
        <v>23944</v>
      </c>
      <c r="E7590" s="28">
        <v>0.28000</v>
      </c>
      <c r="F7590" s="29">
        <f ca="1">ROUND(19.000,3)</f>
        <v>0</v>
      </c>
      <c r="G7590" s="27">
        <f ca="1">ROUND(E7590*F7590,2)</f>
        <v>0</v>
      </c>
    </row>
    <row r="7591" spans="1:7" ht="15.12" thickBot="1" customHeight="1">
      <c r="A7591" s="24" t="s">
        <v>23945</v>
      </c>
      <c r="B7591" s="24"/>
      <c r="C7591" s="24" t="s">
        <v>23946</v>
      </c>
      <c r="D7591" s="25" t="s">
        <v>23947</v>
      </c>
      <c r="E7591" s="28">
        <v>10.00000</v>
      </c>
      <c r="F7591" s="29">
        <f ca="1">ROUND(12.040,3)</f>
        <v>0</v>
      </c>
      <c r="G7591" s="27">
        <f ca="1">ROUND((E7591*F7591)/100,2)</f>
        <v>0</v>
      </c>
    </row>
    <row r="7592" spans="1:7" ht="15.48" thickBot="1" customHeight="1">
      <c r="A7592" s="30"/>
      <c r="B7592" s="30"/>
      <c r="C7592" s="30"/>
      <c r="D7592" s="31" t="s">
        <v>23948</v>
      </c>
      <c r="E7592" s="30"/>
      <c r="F7592" s="33">
        <f ca="1">ROUND((G7581+G7582+G7585+G7586+G7587+G7588+G7589+G7590+G7591)*(1+G2/100),2)</f>
        <v>0</v>
      </c>
      <c r="G7592" s="30"/>
    </row>
    <row r="7593" spans="1:7" ht="15.48" thickBot="1" customHeight="1">
      <c r="A7593" s="39"/>
      <c r="B7593" s="39"/>
      <c r="C7593" s="39"/>
      <c r="D7593" s="40" t="s">
        <v>23949</v>
      </c>
      <c r="E7593" s="41"/>
      <c r="F7593" s="41"/>
      <c r="G7593" s="41"/>
    </row>
    <row r="7594" spans="1:7" ht="15.48" thickBot="1" customHeight="1">
      <c r="A7594" s="42" t="s">
        <v>23950</v>
      </c>
      <c r="B7594" s="42" t="s">
        <v>23951</v>
      </c>
      <c r="C7594" s="43"/>
      <c r="D7594" s="44" t="s">
        <v>23952</v>
      </c>
      <c r="E7594" s="43"/>
      <c r="F7594" s="43"/>
      <c r="G7594" s="43"/>
    </row>
    <row r="7595" spans="1:7" ht="15.48" thickBot="1" customHeight="1">
      <c r="A7595" s="10" t="s">
        <v>23953</v>
      </c>
      <c r="B7595" s="24" t="s">
        <v>23954</v>
      </c>
      <c r="C7595" s="24" t="s">
        <v>23955</v>
      </c>
      <c r="D7595" s="25" t="s">
        <v>23956</v>
      </c>
      <c r="E7595" s="26"/>
      <c r="F7595" s="27">
        <f ca="1">F7599</f>
        <v>0</v>
      </c>
      <c r="G7595" s="26"/>
    </row>
    <row r="7596" spans="1:7" ht="21.36" thickBot="1" customHeight="1">
      <c r="A7596" s="26"/>
      <c r="B7596" s="26"/>
      <c r="C7596" s="26"/>
      <c r="D7596" s="25" t="s">
        <v>23957</v>
      </c>
      <c r="E7596" s="25"/>
      <c r="F7596" s="25"/>
      <c r="G7596" s="25"/>
    </row>
    <row r="7597" spans="1:7" ht="21.36" thickBot="1" customHeight="1">
      <c r="A7597" s="24" t="s">
        <v>23958</v>
      </c>
      <c r="B7597" s="24" t="s">
        <v>23959</v>
      </c>
      <c r="C7597" s="24" t="s">
        <v>23960</v>
      </c>
      <c r="D7597" s="25" t="s">
        <v>23961</v>
      </c>
      <c r="E7597" s="28">
        <v>120.00000</v>
      </c>
      <c r="F7597" s="29">
        <f ca="1">ROUND(0.900,3)</f>
        <v>0</v>
      </c>
      <c r="G7597" s="27">
        <f ca="1">ROUND(E7597*F7597,2)</f>
        <v>0</v>
      </c>
    </row>
    <row r="7598" spans="1:7" ht="24.36" thickBot="1" customHeight="1">
      <c r="A7598" s="24" t="s">
        <v>23962</v>
      </c>
      <c r="B7598" s="24" t="s">
        <v>23963</v>
      </c>
      <c r="C7598" s="24" t="s">
        <v>23964</v>
      </c>
      <c r="D7598" s="25" t="s">
        <v>23965</v>
      </c>
      <c r="E7598" s="28">
        <v>3.00000</v>
      </c>
      <c r="F7598" s="29">
        <f ca="1">ROUND(49.500,3)</f>
        <v>0</v>
      </c>
      <c r="G7598" s="27">
        <f ca="1">ROUND(E7598*F7598,2)</f>
        <v>0</v>
      </c>
    </row>
    <row r="7599" spans="1:7" ht="15.48" thickBot="1" customHeight="1">
      <c r="A7599" s="30"/>
      <c r="B7599" s="30"/>
      <c r="C7599" s="30"/>
      <c r="D7599" s="31" t="s">
        <v>23966</v>
      </c>
      <c r="E7599" s="30"/>
      <c r="F7599" s="33">
        <f ca="1">ROUND((G7597+G7598)*(1+G2/100),2)</f>
        <v>0</v>
      </c>
      <c r="G7599" s="30"/>
    </row>
    <row r="7600" spans="1:7" ht="15.48" thickBot="1" customHeight="1">
      <c r="A7600" s="34" t="s">
        <v>23967</v>
      </c>
      <c r="B7600" s="35" t="s">
        <v>23968</v>
      </c>
      <c r="C7600" s="35" t="s">
        <v>23969</v>
      </c>
      <c r="D7600" s="36" t="s">
        <v>23970</v>
      </c>
      <c r="E7600" s="37"/>
      <c r="F7600" s="38">
        <f ca="1">F7606</f>
        <v>0</v>
      </c>
      <c r="G7600" s="37"/>
    </row>
    <row r="7601" spans="1:7" ht="21.36" thickBot="1" customHeight="1">
      <c r="A7601" s="26"/>
      <c r="B7601" s="26"/>
      <c r="C7601" s="26"/>
      <c r="D7601" s="25" t="s">
        <v>23971</v>
      </c>
      <c r="E7601" s="25"/>
      <c r="F7601" s="25"/>
      <c r="G7601" s="25"/>
    </row>
    <row r="7602" spans="1:7" ht="21.36" thickBot="1" customHeight="1">
      <c r="A7602" s="24" t="s">
        <v>23972</v>
      </c>
      <c r="B7602" s="24" t="s">
        <v>23973</v>
      </c>
      <c r="C7602" s="24" t="s">
        <v>23974</v>
      </c>
      <c r="D7602" s="25" t="s">
        <v>23975</v>
      </c>
      <c r="E7602" s="28">
        <v>1.00000</v>
      </c>
      <c r="F7602" s="29">
        <f ca="1">ROUND(0.910,3)</f>
        <v>0</v>
      </c>
      <c r="G7602" s="27">
        <f ca="1">ROUND(E7602*F7602,2)</f>
        <v>0</v>
      </c>
    </row>
    <row r="7603" spans="1:7" ht="21.36" thickBot="1" customHeight="1">
      <c r="A7603" s="24" t="s">
        <v>23976</v>
      </c>
      <c r="B7603" s="24" t="s">
        <v>23977</v>
      </c>
      <c r="C7603" s="24" t="s">
        <v>23978</v>
      </c>
      <c r="D7603" s="25" t="s">
        <v>23979</v>
      </c>
      <c r="E7603" s="28">
        <v>1.00000</v>
      </c>
      <c r="F7603" s="29">
        <f ca="1">ROUND(0.580,3)</f>
        <v>0</v>
      </c>
      <c r="G7603" s="27">
        <f ca="1">ROUND(E7603*F7603,2)</f>
        <v>0</v>
      </c>
    </row>
    <row r="7604" spans="1:7" ht="15.12" thickBot="1" customHeight="1">
      <c r="A7604" s="24" t="s">
        <v>23980</v>
      </c>
      <c r="B7604" s="24" t="s">
        <v>23981</v>
      </c>
      <c r="C7604" s="24" t="s">
        <v>23982</v>
      </c>
      <c r="D7604" s="25" t="s">
        <v>23983</v>
      </c>
      <c r="E7604" s="28">
        <v>1.00000</v>
      </c>
      <c r="F7604" s="29">
        <f ca="1">ROUND(1.680,3)</f>
        <v>0</v>
      </c>
      <c r="G7604" s="27">
        <f ca="1">ROUND(E7604*F7604,2)</f>
        <v>0</v>
      </c>
    </row>
    <row r="7605" spans="1:7" ht="21.36" thickBot="1" customHeight="1">
      <c r="A7605" s="24" t="s">
        <v>23984</v>
      </c>
      <c r="B7605" s="24" t="s">
        <v>23985</v>
      </c>
      <c r="C7605" s="24" t="s">
        <v>23986</v>
      </c>
      <c r="D7605" s="25" t="s">
        <v>23987</v>
      </c>
      <c r="E7605" s="28">
        <v>1.00000</v>
      </c>
      <c r="F7605" s="29">
        <f ca="1">ROUND(20.450,3)</f>
        <v>0</v>
      </c>
      <c r="G7605" s="27">
        <f ca="1">ROUND(E7605*F7605,2)</f>
        <v>0</v>
      </c>
    </row>
    <row r="7606" spans="1:7" ht="15.48" thickBot="1" customHeight="1">
      <c r="A7606" s="30"/>
      <c r="B7606" s="30"/>
      <c r="C7606" s="30"/>
      <c r="D7606" s="31" t="s">
        <v>23988</v>
      </c>
      <c r="E7606" s="30"/>
      <c r="F7606" s="33">
        <f ca="1">ROUND((G7602+G7603+G7604+G7605)*(1+G2/100),2)</f>
        <v>0</v>
      </c>
      <c r="G7606" s="30"/>
    </row>
    <row r="7607" spans="1:7" ht="15.48" thickBot="1" customHeight="1">
      <c r="A7607" s="34" t="s">
        <v>23989</v>
      </c>
      <c r="B7607" s="35" t="s">
        <v>23990</v>
      </c>
      <c r="C7607" s="35" t="s">
        <v>23991</v>
      </c>
      <c r="D7607" s="36" t="s">
        <v>23992</v>
      </c>
      <c r="E7607" s="37"/>
      <c r="F7607" s="38">
        <f ca="1">F7616</f>
        <v>0</v>
      </c>
      <c r="G7607" s="37"/>
    </row>
    <row r="7608" spans="1:7" ht="21.36" thickBot="1" customHeight="1">
      <c r="A7608" s="26"/>
      <c r="B7608" s="26"/>
      <c r="C7608" s="26"/>
      <c r="D7608" s="25" t="s">
        <v>23993</v>
      </c>
      <c r="E7608" s="25"/>
      <c r="F7608" s="25"/>
      <c r="G7608" s="25"/>
    </row>
    <row r="7609" spans="1:7" ht="21.36" thickBot="1" customHeight="1">
      <c r="A7609" s="24" t="s">
        <v>23994</v>
      </c>
      <c r="B7609" s="24" t="s">
        <v>23995</v>
      </c>
      <c r="C7609" s="24" t="s">
        <v>23996</v>
      </c>
      <c r="D7609" s="25" t="s">
        <v>23997</v>
      </c>
      <c r="E7609" s="28">
        <v>1.05000</v>
      </c>
      <c r="F7609" s="29">
        <f ca="1">ROUND(6.000,3)</f>
        <v>0</v>
      </c>
      <c r="G7609" s="27">
        <f ca="1">ROUND(E7609*F7609,2)</f>
        <v>0</v>
      </c>
    </row>
    <row r="7610" spans="1:7" ht="21.36" thickBot="1" customHeight="1">
      <c r="A7610" s="24" t="s">
        <v>23998</v>
      </c>
      <c r="B7610" s="24" t="s">
        <v>23999</v>
      </c>
      <c r="C7610" s="24" t="s">
        <v>24000</v>
      </c>
      <c r="D7610" s="25" t="s">
        <v>24001</v>
      </c>
      <c r="E7610" s="28">
        <v>1.00000</v>
      </c>
      <c r="F7610" s="29">
        <f ca="1">ROUND(0.650,3)</f>
        <v>0</v>
      </c>
      <c r="G7610" s="27">
        <f ca="1">ROUND(E7610*F7610,2)</f>
        <v>0</v>
      </c>
    </row>
    <row r="7611" spans="1:7" ht="21.36" thickBot="1" customHeight="1">
      <c r="A7611" s="24" t="s">
        <v>24002</v>
      </c>
      <c r="B7611" s="24" t="s">
        <v>24003</v>
      </c>
      <c r="C7611" s="24" t="s">
        <v>24004</v>
      </c>
      <c r="D7611" s="25" t="s">
        <v>24005</v>
      </c>
      <c r="E7611" s="28">
        <v>0.28000</v>
      </c>
      <c r="F7611" s="29">
        <f ca="1">F7615</f>
        <v>0</v>
      </c>
      <c r="G7611" s="27">
        <f ca="1">ROUND(E7611*F7611,2)</f>
        <v>0</v>
      </c>
    </row>
    <row r="7612" spans="1:7" ht="24.36" thickBot="1" customHeight="1">
      <c r="A7612" s="24" t="s">
        <v>24006</v>
      </c>
      <c r="B7612" s="24" t="s">
        <v>24007</v>
      </c>
      <c r="C7612" s="24" t="s">
        <v>24008</v>
      </c>
      <c r="D7612" s="25" t="s">
        <v>24009</v>
      </c>
      <c r="E7612" s="28">
        <v>1.00000</v>
      </c>
      <c r="F7612" s="29">
        <f ca="1">ROUND(21.000,3)</f>
        <v>0</v>
      </c>
      <c r="G7612" s="27">
        <f ca="1">ROUND(E7612*F7612,2)</f>
        <v>0</v>
      </c>
    </row>
    <row r="7613" spans="1:7" ht="24.36" thickBot="1" customHeight="1">
      <c r="A7613" s="24" t="s">
        <v>24010</v>
      </c>
      <c r="B7613" s="24" t="s">
        <v>24011</v>
      </c>
      <c r="C7613" s="24" t="s">
        <v>24012</v>
      </c>
      <c r="D7613" s="25" t="s">
        <v>24013</v>
      </c>
      <c r="E7613" s="28">
        <v>1.00000</v>
      </c>
      <c r="F7613" s="29">
        <f ca="1">ROUND(19.000,3)</f>
        <v>0</v>
      </c>
      <c r="G7613" s="27">
        <f ca="1">ROUND(E7613*F7613,2)</f>
        <v>0</v>
      </c>
    </row>
    <row r="7614" spans="1:7" ht="24.36" thickBot="1" customHeight="1">
      <c r="A7614" s="24" t="s">
        <v>24014</v>
      </c>
      <c r="B7614" s="24" t="s">
        <v>24015</v>
      </c>
      <c r="C7614" s="24" t="s">
        <v>24016</v>
      </c>
      <c r="D7614" s="25" t="s">
        <v>24017</v>
      </c>
      <c r="E7614" s="28">
        <v>0.20000</v>
      </c>
      <c r="F7614" s="29">
        <f ca="1">ROUND(19.000,3)</f>
        <v>0</v>
      </c>
      <c r="G7614" s="27">
        <f ca="1">ROUND(E7614*F7614,2)</f>
        <v>0</v>
      </c>
    </row>
    <row r="7615" spans="1:7" ht="15.12" thickBot="1" customHeight="1">
      <c r="A7615" s="26"/>
      <c r="B7615" s="26"/>
      <c r="C7615" s="26"/>
      <c r="D7615" s="24" t="s">
        <v>24018</v>
      </c>
      <c r="E7615" s="28">
        <v>0.28000</v>
      </c>
      <c r="F7615" s="29">
        <f ca="1">ROUND((G7612+G7613+G7614),3)</f>
        <v>0</v>
      </c>
      <c r="G7615" s="27">
        <f ca="1">ROUND(E7615*F7615,2)</f>
        <v>0</v>
      </c>
    </row>
    <row r="7616" spans="1:7" ht="15.48" thickBot="1" customHeight="1">
      <c r="A7616" s="30"/>
      <c r="B7616" s="30"/>
      <c r="C7616" s="30"/>
      <c r="D7616" s="31" t="s">
        <v>24019</v>
      </c>
      <c r="E7616" s="30"/>
      <c r="F7616" s="33">
        <f ca="1">ROUND((G7609+G7610+G7611)*(1+G2/100),2)</f>
        <v>0</v>
      </c>
      <c r="G7616" s="30"/>
    </row>
    <row r="7617" spans="1:7" ht="15.48" thickBot="1" customHeight="1">
      <c r="A7617" s="39"/>
      <c r="B7617" s="39"/>
      <c r="C7617" s="39"/>
      <c r="D7617" s="40" t="s">
        <v>24020</v>
      </c>
      <c r="E7617" s="41"/>
      <c r="F7617" s="41"/>
      <c r="G7617" s="41"/>
    </row>
    <row r="7618" spans="1:7" ht="15.48" thickBot="1" customHeight="1">
      <c r="A7618" s="39"/>
      <c r="B7618" s="39"/>
      <c r="C7618" s="39"/>
      <c r="D7618" s="50" t="s">
        <v>24021</v>
      </c>
      <c r="E7618" s="51"/>
      <c r="F7618" s="51"/>
      <c r="G7618" s="51"/>
    </row>
    <row r="7619" spans="1:7" ht="15.48" thickBot="1" customHeight="1">
      <c r="A7619" s="52" t="s">
        <v>24022</v>
      </c>
      <c r="B7619" s="52" t="s">
        <v>24023</v>
      </c>
      <c r="C7619" s="53"/>
      <c r="D7619" s="54" t="s">
        <v>24024</v>
      </c>
      <c r="E7619" s="53"/>
      <c r="F7619" s="53"/>
      <c r="G7619" s="53"/>
    </row>
    <row r="7620" spans="1:7" ht="21.36" thickBot="1" customHeight="1">
      <c r="A7620" s="10" t="s">
        <v>24025</v>
      </c>
      <c r="B7620" s="24" t="s">
        <v>24026</v>
      </c>
      <c r="C7620" s="24" t="s">
        <v>24027</v>
      </c>
      <c r="D7620" s="25" t="s">
        <v>24028</v>
      </c>
      <c r="E7620" s="26"/>
      <c r="F7620" s="27">
        <f ca="1">F7627</f>
        <v>0</v>
      </c>
      <c r="G7620" s="26"/>
    </row>
    <row r="7621" spans="1:7" ht="12.12" thickBot="1" customHeight="1">
      <c r="A7621" s="26"/>
      <c r="B7621" s="26"/>
      <c r="C7621" s="26"/>
      <c r="D7621" s="25" t="s">
        <v>24029</v>
      </c>
      <c r="E7621" s="25"/>
      <c r="F7621" s="25"/>
      <c r="G7621" s="25"/>
    </row>
    <row r="7622" spans="1:7" ht="21.36" thickBot="1" customHeight="1">
      <c r="A7622" s="24" t="s">
        <v>24030</v>
      </c>
      <c r="B7622" s="24" t="s">
        <v>24031</v>
      </c>
      <c r="C7622" s="24" t="s">
        <v>24032</v>
      </c>
      <c r="D7622" s="25" t="s">
        <v>24033</v>
      </c>
      <c r="E7622" s="28">
        <v>4.00000</v>
      </c>
      <c r="F7622" s="29">
        <f ca="1">F7626</f>
        <v>0</v>
      </c>
      <c r="G7622" s="27">
        <f ca="1">ROUND(E7622*F7622,2)</f>
        <v>0</v>
      </c>
    </row>
    <row r="7623" spans="1:7" ht="24.36" thickBot="1" customHeight="1">
      <c r="A7623" s="24" t="s">
        <v>24034</v>
      </c>
      <c r="B7623" s="24" t="s">
        <v>24035</v>
      </c>
      <c r="C7623" s="24" t="s">
        <v>24036</v>
      </c>
      <c r="D7623" s="25" t="s">
        <v>24037</v>
      </c>
      <c r="E7623" s="28">
        <v>1.00000</v>
      </c>
      <c r="F7623" s="29">
        <f ca="1">ROUND(21.000,3)</f>
        <v>0</v>
      </c>
      <c r="G7623" s="27">
        <f ca="1">ROUND(E7623*F7623,2)</f>
        <v>0</v>
      </c>
    </row>
    <row r="7624" spans="1:7" ht="24.36" thickBot="1" customHeight="1">
      <c r="A7624" s="24" t="s">
        <v>24038</v>
      </c>
      <c r="B7624" s="24" t="s">
        <v>24039</v>
      </c>
      <c r="C7624" s="24" t="s">
        <v>24040</v>
      </c>
      <c r="D7624" s="25" t="s">
        <v>24041</v>
      </c>
      <c r="E7624" s="28">
        <v>1.00000</v>
      </c>
      <c r="F7624" s="29">
        <f ca="1">ROUND(19.000,3)</f>
        <v>0</v>
      </c>
      <c r="G7624" s="27">
        <f ca="1">ROUND(E7624*F7624,2)</f>
        <v>0</v>
      </c>
    </row>
    <row r="7625" spans="1:7" ht="24.36" thickBot="1" customHeight="1">
      <c r="A7625" s="24" t="s">
        <v>24042</v>
      </c>
      <c r="B7625" s="24" t="s">
        <v>24043</v>
      </c>
      <c r="C7625" s="24" t="s">
        <v>24044</v>
      </c>
      <c r="D7625" s="25" t="s">
        <v>24045</v>
      </c>
      <c r="E7625" s="28">
        <v>0.20000</v>
      </c>
      <c r="F7625" s="29">
        <f ca="1">ROUND(19.000,3)</f>
        <v>0</v>
      </c>
      <c r="G7625" s="27">
        <f ca="1">ROUND(E7625*F7625,2)</f>
        <v>0</v>
      </c>
    </row>
    <row r="7626" spans="1:7" ht="15.12" thickBot="1" customHeight="1">
      <c r="A7626" s="26"/>
      <c r="B7626" s="26"/>
      <c r="C7626" s="26"/>
      <c r="D7626" s="24" t="s">
        <v>24046</v>
      </c>
      <c r="E7626" s="28">
        <v>4.00000</v>
      </c>
      <c r="F7626" s="29">
        <f ca="1">ROUND((G7623+G7624+G7625),3)</f>
        <v>0</v>
      </c>
      <c r="G7626" s="27">
        <f ca="1">ROUND(E7626*F7626,2)</f>
        <v>0</v>
      </c>
    </row>
    <row r="7627" spans="1:7" ht="15.48" thickBot="1" customHeight="1">
      <c r="A7627" s="30"/>
      <c r="B7627" s="30"/>
      <c r="C7627" s="30"/>
      <c r="D7627" s="31" t="s">
        <v>24047</v>
      </c>
      <c r="E7627" s="30"/>
      <c r="F7627" s="33">
        <f ca="1">ROUND((G7622)*(1+G2/100),2)</f>
        <v>0</v>
      </c>
      <c r="G7627" s="30"/>
    </row>
    <row r="7628" spans="1:7" ht="15.48" thickBot="1" customHeight="1">
      <c r="A7628" s="34" t="s">
        <v>24048</v>
      </c>
      <c r="B7628" s="35" t="s">
        <v>24049</v>
      </c>
      <c r="C7628" s="35" t="s">
        <v>24050</v>
      </c>
      <c r="D7628" s="36" t="s">
        <v>24051</v>
      </c>
      <c r="E7628" s="37"/>
      <c r="F7628" s="38">
        <f ca="1">F7637</f>
        <v>0</v>
      </c>
      <c r="G7628" s="37"/>
    </row>
    <row r="7629" spans="1:7" ht="30.60" thickBot="1" customHeight="1">
      <c r="A7629" s="26"/>
      <c r="B7629" s="26"/>
      <c r="C7629" s="26"/>
      <c r="D7629" s="25" t="s">
        <v>24052</v>
      </c>
      <c r="E7629" s="25"/>
      <c r="F7629" s="25"/>
      <c r="G7629" s="25"/>
    </row>
    <row r="7630" spans="1:7" ht="30.60" thickBot="1" customHeight="1">
      <c r="A7630" s="24" t="s">
        <v>24053</v>
      </c>
      <c r="B7630" s="24" t="s">
        <v>24054</v>
      </c>
      <c r="C7630" s="24" t="s">
        <v>24055</v>
      </c>
      <c r="D7630" s="25" t="s">
        <v>24056</v>
      </c>
      <c r="E7630" s="28">
        <v>3.00000</v>
      </c>
      <c r="F7630" s="29">
        <f ca="1">ROUND(58.340,3)</f>
        <v>0</v>
      </c>
      <c r="G7630" s="27">
        <f ca="1">ROUND(E7630*F7630,2)</f>
        <v>0</v>
      </c>
    </row>
    <row r="7631" spans="1:7" ht="21.36" thickBot="1" customHeight="1">
      <c r="A7631" s="24" t="s">
        <v>24057</v>
      </c>
      <c r="B7631" s="24" t="s">
        <v>24058</v>
      </c>
      <c r="C7631" s="24" t="s">
        <v>24059</v>
      </c>
      <c r="D7631" s="25" t="s">
        <v>24060</v>
      </c>
      <c r="E7631" s="28">
        <v>3.00000</v>
      </c>
      <c r="F7631" s="29">
        <f ca="1">ROUND(38.940,3)</f>
        <v>0</v>
      </c>
      <c r="G7631" s="27">
        <f ca="1">ROUND(E7631*F7631,2)</f>
        <v>0</v>
      </c>
    </row>
    <row r="7632" spans="1:7" ht="15.12" thickBot="1" customHeight="1">
      <c r="A7632" s="24" t="s">
        <v>24061</v>
      </c>
      <c r="B7632" s="24" t="s">
        <v>24062</v>
      </c>
      <c r="C7632" s="24" t="s">
        <v>24063</v>
      </c>
      <c r="D7632" s="25" t="s">
        <v>24064</v>
      </c>
      <c r="E7632" s="28">
        <v>2.00000</v>
      </c>
      <c r="F7632" s="29">
        <f ca="1">ROUND(2.900,3)</f>
        <v>0</v>
      </c>
      <c r="G7632" s="27">
        <f ca="1">ROUND(E7632*F7632,2)</f>
        <v>0</v>
      </c>
    </row>
    <row r="7633" spans="1:7" ht="30.60" thickBot="1" customHeight="1">
      <c r="A7633" s="24" t="s">
        <v>24065</v>
      </c>
      <c r="B7633" s="24" t="s">
        <v>24066</v>
      </c>
      <c r="C7633" s="24" t="s">
        <v>24067</v>
      </c>
      <c r="D7633" s="25" t="s">
        <v>24068</v>
      </c>
      <c r="E7633" s="28">
        <v>3.00000</v>
      </c>
      <c r="F7633" s="29">
        <f ca="1">ROUND(10.870,3)</f>
        <v>0</v>
      </c>
      <c r="G7633" s="27">
        <f ca="1">ROUND(E7633*F7633,2)</f>
        <v>0</v>
      </c>
    </row>
    <row r="7634" spans="1:7" ht="21.36" thickBot="1" customHeight="1">
      <c r="A7634" s="24" t="s">
        <v>24069</v>
      </c>
      <c r="B7634" s="24" t="s">
        <v>24070</v>
      </c>
      <c r="C7634" s="24" t="s">
        <v>24071</v>
      </c>
      <c r="D7634" s="25" t="s">
        <v>24072</v>
      </c>
      <c r="E7634" s="28">
        <v>3.00000</v>
      </c>
      <c r="F7634" s="29">
        <f ca="1">ROUND(7.680,3)</f>
        <v>0</v>
      </c>
      <c r="G7634" s="27">
        <f ca="1">ROUND(E7634*F7634,2)</f>
        <v>0</v>
      </c>
    </row>
    <row r="7635" spans="1:7" ht="24.36" thickBot="1" customHeight="1">
      <c r="A7635" s="24" t="s">
        <v>24073</v>
      </c>
      <c r="B7635" s="24" t="s">
        <v>24074</v>
      </c>
      <c r="C7635" s="24" t="s">
        <v>24075</v>
      </c>
      <c r="D7635" s="25" t="s">
        <v>24076</v>
      </c>
      <c r="E7635" s="28">
        <v>1.75000</v>
      </c>
      <c r="F7635" s="29">
        <f ca="1">ROUND(75.000,3)</f>
        <v>0</v>
      </c>
      <c r="G7635" s="27">
        <f ca="1">ROUND(E7635*F7635,2)</f>
        <v>0</v>
      </c>
    </row>
    <row r="7636" spans="1:7" ht="15.12" thickBot="1" customHeight="1">
      <c r="A7636" s="24" t="s">
        <v>24077</v>
      </c>
      <c r="B7636" s="24" t="s">
        <v>24078</v>
      </c>
      <c r="C7636" s="24" t="s">
        <v>24079</v>
      </c>
      <c r="D7636" s="25" t="s">
        <v>24080</v>
      </c>
      <c r="E7636" s="28">
        <v>1.00000</v>
      </c>
      <c r="F7636" s="29">
        <f ca="1">ROUND(130.000,3)</f>
        <v>0</v>
      </c>
      <c r="G7636" s="27">
        <f ca="1">ROUND(E7636*F7636,2)</f>
        <v>0</v>
      </c>
    </row>
    <row r="7637" spans="1:7" ht="15.48" thickBot="1" customHeight="1">
      <c r="A7637" s="30"/>
      <c r="B7637" s="30"/>
      <c r="C7637" s="30"/>
      <c r="D7637" s="31" t="s">
        <v>24081</v>
      </c>
      <c r="E7637" s="30"/>
      <c r="F7637" s="33">
        <f ca="1">ROUND((G7630+G7631+G7632+G7633+G7634+G7635+G7636)*(1+G2/100),2)</f>
        <v>0</v>
      </c>
      <c r="G7637" s="30"/>
    </row>
    <row r="7638" spans="1:7" ht="15.48" thickBot="1" customHeight="1">
      <c r="A7638" s="34" t="s">
        <v>24082</v>
      </c>
      <c r="B7638" s="35" t="s">
        <v>24083</v>
      </c>
      <c r="C7638" s="35" t="s">
        <v>24084</v>
      </c>
      <c r="D7638" s="36" t="s">
        <v>24085</v>
      </c>
      <c r="E7638" s="37"/>
      <c r="F7638" s="38">
        <f ca="1">F7646</f>
        <v>0</v>
      </c>
      <c r="G7638" s="37"/>
    </row>
    <row r="7639" spans="1:7" ht="21.36" thickBot="1" customHeight="1">
      <c r="A7639" s="26"/>
      <c r="B7639" s="26"/>
      <c r="C7639" s="26"/>
      <c r="D7639" s="25" t="s">
        <v>24086</v>
      </c>
      <c r="E7639" s="25"/>
      <c r="F7639" s="25"/>
      <c r="G7639" s="25"/>
    </row>
    <row r="7640" spans="1:7" ht="30.60" thickBot="1" customHeight="1">
      <c r="A7640" s="24" t="s">
        <v>24087</v>
      </c>
      <c r="B7640" s="24" t="s">
        <v>24088</v>
      </c>
      <c r="C7640" s="24" t="s">
        <v>24089</v>
      </c>
      <c r="D7640" s="25" t="s">
        <v>24090</v>
      </c>
      <c r="E7640" s="28">
        <v>0.30000</v>
      </c>
      <c r="F7640" s="29">
        <f ca="1">ROUND(18.000,3)</f>
        <v>0</v>
      </c>
      <c r="G7640" s="27">
        <f ca="1">ROUND(E7640*F7640,2)</f>
        <v>0</v>
      </c>
    </row>
    <row r="7641" spans="1:7" ht="30.60" thickBot="1" customHeight="1">
      <c r="A7641" s="24" t="s">
        <v>24091</v>
      </c>
      <c r="B7641" s="24" t="s">
        <v>24092</v>
      </c>
      <c r="C7641" s="24" t="s">
        <v>24093</v>
      </c>
      <c r="D7641" s="25" t="s">
        <v>24094</v>
      </c>
      <c r="E7641" s="28">
        <v>0.30000</v>
      </c>
      <c r="F7641" s="29">
        <f ca="1">ROUND(12.000,3)</f>
        <v>0</v>
      </c>
      <c r="G7641" s="27">
        <f ca="1">ROUND(E7641*F7641,2)</f>
        <v>0</v>
      </c>
    </row>
    <row r="7642" spans="1:7" ht="30.60" thickBot="1" customHeight="1">
      <c r="A7642" s="24" t="s">
        <v>24095</v>
      </c>
      <c r="B7642" s="24" t="s">
        <v>24096</v>
      </c>
      <c r="C7642" s="24" t="s">
        <v>24097</v>
      </c>
      <c r="D7642" s="25" t="s">
        <v>24098</v>
      </c>
      <c r="E7642" s="28">
        <v>0.30000</v>
      </c>
      <c r="F7642" s="29">
        <f ca="1">ROUND(9.900,3)</f>
        <v>0</v>
      </c>
      <c r="G7642" s="27">
        <f ca="1">ROUND(E7642*F7642,2)</f>
        <v>0</v>
      </c>
    </row>
    <row r="7643" spans="1:7" ht="30.60" thickBot="1" customHeight="1">
      <c r="A7643" s="24" t="s">
        <v>24099</v>
      </c>
      <c r="B7643" s="24" t="s">
        <v>24100</v>
      </c>
      <c r="C7643" s="24" t="s">
        <v>24101</v>
      </c>
      <c r="D7643" s="25" t="s">
        <v>24102</v>
      </c>
      <c r="E7643" s="28">
        <v>0.30000</v>
      </c>
      <c r="F7643" s="29">
        <f ca="1">ROUND(7.500,3)</f>
        <v>0</v>
      </c>
      <c r="G7643" s="27">
        <f ca="1">ROUND(E7643*F7643,2)</f>
        <v>0</v>
      </c>
    </row>
    <row r="7644" spans="1:7" ht="39.84" thickBot="1" customHeight="1">
      <c r="A7644" s="24" t="s">
        <v>24103</v>
      </c>
      <c r="B7644" s="24" t="s">
        <v>24104</v>
      </c>
      <c r="C7644" s="24" t="s">
        <v>24105</v>
      </c>
      <c r="D7644" s="25" t="s">
        <v>24106</v>
      </c>
      <c r="E7644" s="28">
        <v>0.30000</v>
      </c>
      <c r="F7644" s="29">
        <f ca="1">ROUND(9.900,3)</f>
        <v>0</v>
      </c>
      <c r="G7644" s="27">
        <f ca="1">ROUND(E7644*F7644,2)</f>
        <v>0</v>
      </c>
    </row>
    <row r="7645" spans="1:7" ht="24.36" thickBot="1" customHeight="1">
      <c r="A7645" s="24" t="s">
        <v>24107</v>
      </c>
      <c r="B7645" s="24" t="s">
        <v>24108</v>
      </c>
      <c r="C7645" s="24" t="s">
        <v>24109</v>
      </c>
      <c r="D7645" s="25" t="s">
        <v>24110</v>
      </c>
      <c r="E7645" s="28">
        <v>0.50000</v>
      </c>
      <c r="F7645" s="29">
        <f ca="1">ROUND(75.000,3)</f>
        <v>0</v>
      </c>
      <c r="G7645" s="27">
        <f ca="1">ROUND(E7645*F7645,2)</f>
        <v>0</v>
      </c>
    </row>
    <row r="7646" spans="1:7" ht="15.48" thickBot="1" customHeight="1">
      <c r="A7646" s="30"/>
      <c r="B7646" s="30"/>
      <c r="C7646" s="30"/>
      <c r="D7646" s="31" t="s">
        <v>24111</v>
      </c>
      <c r="E7646" s="30"/>
      <c r="F7646" s="33">
        <f ca="1">ROUND((G7640+G7641+G7642+G7643+G7644+G7645)*(1+G2/100),2)</f>
        <v>0</v>
      </c>
      <c r="G7646" s="30"/>
    </row>
    <row r="7647" spans="1:7" ht="21.36" thickBot="1" customHeight="1">
      <c r="A7647" s="34" t="s">
        <v>24112</v>
      </c>
      <c r="B7647" s="35" t="s">
        <v>24113</v>
      </c>
      <c r="C7647" s="35" t="s">
        <v>24114</v>
      </c>
      <c r="D7647" s="36" t="s">
        <v>24115</v>
      </c>
      <c r="E7647" s="37"/>
      <c r="F7647" s="38">
        <f ca="1">F7654</f>
        <v>0</v>
      </c>
      <c r="G7647" s="37"/>
    </row>
    <row r="7648" spans="1:7" ht="39.84" thickBot="1" customHeight="1">
      <c r="A7648" s="26"/>
      <c r="B7648" s="26"/>
      <c r="C7648" s="26"/>
      <c r="D7648" s="25" t="s">
        <v>24116</v>
      </c>
      <c r="E7648" s="25"/>
      <c r="F7648" s="25"/>
      <c r="G7648" s="25"/>
    </row>
    <row r="7649" spans="1:7" ht="21.36" thickBot="1" customHeight="1">
      <c r="A7649" s="24" t="s">
        <v>24117</v>
      </c>
      <c r="B7649" s="24" t="s">
        <v>24118</v>
      </c>
      <c r="C7649" s="24" t="s">
        <v>24119</v>
      </c>
      <c r="D7649" s="25" t="s">
        <v>24120</v>
      </c>
      <c r="E7649" s="28">
        <v>3.00000</v>
      </c>
      <c r="F7649" s="29">
        <f ca="1">ROUND(8.990,3)</f>
        <v>0</v>
      </c>
      <c r="G7649" s="27">
        <f ca="1">ROUND(E7649*F7649,2)</f>
        <v>0</v>
      </c>
    </row>
    <row r="7650" spans="1:7" ht="15.12" thickBot="1" customHeight="1">
      <c r="A7650" s="24" t="s">
        <v>24121</v>
      </c>
      <c r="B7650" s="24" t="s">
        <v>24122</v>
      </c>
      <c r="C7650" s="24" t="s">
        <v>24123</v>
      </c>
      <c r="D7650" s="25" t="s">
        <v>24124</v>
      </c>
      <c r="E7650" s="28">
        <v>3.00000</v>
      </c>
      <c r="F7650" s="29">
        <f ca="1">ROUND(2.210,3)</f>
        <v>0</v>
      </c>
      <c r="G7650" s="27">
        <f ca="1">ROUND(E7650*F7650,2)</f>
        <v>0</v>
      </c>
    </row>
    <row r="7651" spans="1:7" ht="15.12" thickBot="1" customHeight="1">
      <c r="A7651" s="24" t="s">
        <v>24125</v>
      </c>
      <c r="B7651" s="24" t="s">
        <v>24126</v>
      </c>
      <c r="C7651" s="24" t="s">
        <v>24127</v>
      </c>
      <c r="D7651" s="25" t="s">
        <v>24128</v>
      </c>
      <c r="E7651" s="28">
        <v>3.00000</v>
      </c>
      <c r="F7651" s="29">
        <f ca="1">ROUND(3.180,3)</f>
        <v>0</v>
      </c>
      <c r="G7651" s="27">
        <f ca="1">ROUND(E7651*F7651,2)</f>
        <v>0</v>
      </c>
    </row>
    <row r="7652" spans="1:7" ht="15.12" thickBot="1" customHeight="1">
      <c r="A7652" s="24" t="s">
        <v>24129</v>
      </c>
      <c r="B7652" s="24" t="s">
        <v>24130</v>
      </c>
      <c r="C7652" s="24" t="s">
        <v>24131</v>
      </c>
      <c r="D7652" s="25" t="s">
        <v>24132</v>
      </c>
      <c r="E7652" s="28">
        <v>3.00000</v>
      </c>
      <c r="F7652" s="29">
        <f ca="1">ROUND(1.500,3)</f>
        <v>0</v>
      </c>
      <c r="G7652" s="27">
        <f ca="1">ROUND(E7652*F7652,2)</f>
        <v>0</v>
      </c>
    </row>
    <row r="7653" spans="1:7" ht="21.36" thickBot="1" customHeight="1">
      <c r="A7653" s="24" t="s">
        <v>24133</v>
      </c>
      <c r="B7653" s="24" t="s">
        <v>24134</v>
      </c>
      <c r="C7653" s="24" t="s">
        <v>24135</v>
      </c>
      <c r="D7653" s="25" t="s">
        <v>24136</v>
      </c>
      <c r="E7653" s="28">
        <v>3.00000</v>
      </c>
      <c r="F7653" s="29">
        <f ca="1">ROUND(3.000,3)</f>
        <v>0</v>
      </c>
      <c r="G7653" s="27">
        <f ca="1">ROUND(E7653*F7653,2)</f>
        <v>0</v>
      </c>
    </row>
    <row r="7654" spans="1:7" ht="15.48" thickBot="1" customHeight="1">
      <c r="A7654" s="30"/>
      <c r="B7654" s="30"/>
      <c r="C7654" s="30"/>
      <c r="D7654" s="31" t="s">
        <v>24137</v>
      </c>
      <c r="E7654" s="30"/>
      <c r="F7654" s="33">
        <f ca="1">ROUND((G7649+G7650+G7651+G7652+G7653)*(1+G2/100),2)</f>
        <v>0</v>
      </c>
      <c r="G7654" s="30"/>
    </row>
    <row r="7655" spans="1:7" ht="15.48" thickBot="1" customHeight="1">
      <c r="A7655" s="34" t="s">
        <v>24138</v>
      </c>
      <c r="B7655" s="35" t="s">
        <v>24139</v>
      </c>
      <c r="C7655" s="35" t="s">
        <v>24140</v>
      </c>
      <c r="D7655" s="36" t="s">
        <v>24141</v>
      </c>
      <c r="E7655" s="37"/>
      <c r="F7655" s="38">
        <f ca="1">F7659</f>
        <v>0</v>
      </c>
      <c r="G7655" s="37"/>
    </row>
    <row r="7656" spans="1:7" ht="30.60" thickBot="1" customHeight="1">
      <c r="A7656" s="26"/>
      <c r="B7656" s="26"/>
      <c r="C7656" s="26"/>
      <c r="D7656" s="25" t="s">
        <v>24142</v>
      </c>
      <c r="E7656" s="25"/>
      <c r="F7656" s="25"/>
      <c r="G7656" s="25"/>
    </row>
    <row r="7657" spans="1:7" ht="21.36" thickBot="1" customHeight="1">
      <c r="A7657" s="24" t="s">
        <v>24143</v>
      </c>
      <c r="B7657" s="24" t="s">
        <v>24144</v>
      </c>
      <c r="C7657" s="24" t="s">
        <v>24145</v>
      </c>
      <c r="D7657" s="25" t="s">
        <v>24146</v>
      </c>
      <c r="E7657" s="28">
        <v>1.00000</v>
      </c>
      <c r="F7657" s="29">
        <f ca="1">ROUND(48.000,3)</f>
        <v>0</v>
      </c>
      <c r="G7657" s="27">
        <f ca="1">ROUND(E7657*F7657,2)</f>
        <v>0</v>
      </c>
    </row>
    <row r="7658" spans="1:7" ht="24.36" thickBot="1" customHeight="1">
      <c r="A7658" s="24" t="s">
        <v>24147</v>
      </c>
      <c r="B7658" s="24" t="s">
        <v>24148</v>
      </c>
      <c r="C7658" s="24" t="s">
        <v>24149</v>
      </c>
      <c r="D7658" s="25" t="s">
        <v>24150</v>
      </c>
      <c r="E7658" s="28">
        <v>1.00000</v>
      </c>
      <c r="F7658" s="29">
        <f ca="1">ROUND(75.000,3)</f>
        <v>0</v>
      </c>
      <c r="G7658" s="27">
        <f ca="1">ROUND(E7658*F7658,2)</f>
        <v>0</v>
      </c>
    </row>
    <row r="7659" spans="1:7" ht="15.48" thickBot="1" customHeight="1">
      <c r="A7659" s="30"/>
      <c r="B7659" s="30"/>
      <c r="C7659" s="30"/>
      <c r="D7659" s="31" t="s">
        <v>24151</v>
      </c>
      <c r="E7659" s="30"/>
      <c r="F7659" s="33">
        <f ca="1">ROUND((G7657+G7658)*(1+G2/100),2)</f>
        <v>0</v>
      </c>
      <c r="G7659" s="30"/>
    </row>
    <row r="7660" spans="1:7" ht="21.36" thickBot="1" customHeight="1">
      <c r="A7660" s="34" t="s">
        <v>24152</v>
      </c>
      <c r="B7660" s="35" t="s">
        <v>24153</v>
      </c>
      <c r="C7660" s="35" t="s">
        <v>24154</v>
      </c>
      <c r="D7660" s="36" t="s">
        <v>24155</v>
      </c>
      <c r="E7660" s="37"/>
      <c r="F7660" s="38">
        <f ca="1">F7663</f>
        <v>0</v>
      </c>
      <c r="G7660" s="37"/>
    </row>
    <row r="7661" spans="1:7" ht="49.08" thickBot="1" customHeight="1">
      <c r="A7661" s="26"/>
      <c r="B7661" s="26"/>
      <c r="C7661" s="26"/>
      <c r="D7661" s="25" t="s">
        <v>24156</v>
      </c>
      <c r="E7661" s="25"/>
      <c r="F7661" s="25"/>
      <c r="G7661" s="25"/>
    </row>
    <row r="7662" spans="1:7" ht="24.36" thickBot="1" customHeight="1">
      <c r="A7662" s="24" t="s">
        <v>24157</v>
      </c>
      <c r="B7662" s="24" t="s">
        <v>24158</v>
      </c>
      <c r="C7662" s="24" t="s">
        <v>24159</v>
      </c>
      <c r="D7662" s="25" t="s">
        <v>24160</v>
      </c>
      <c r="E7662" s="28">
        <v>8.05000</v>
      </c>
      <c r="F7662" s="29">
        <f ca="1">ROUND(75.000,3)</f>
        <v>0</v>
      </c>
      <c r="G7662" s="27">
        <f ca="1">ROUND(E7662*F7662,2)</f>
        <v>0</v>
      </c>
    </row>
    <row r="7663" spans="1:7" ht="15.48" thickBot="1" customHeight="1">
      <c r="A7663" s="30"/>
      <c r="B7663" s="30"/>
      <c r="C7663" s="30"/>
      <c r="D7663" s="31" t="s">
        <v>24161</v>
      </c>
      <c r="E7663" s="30"/>
      <c r="F7663" s="33">
        <f ca="1">ROUND((G7662)*(1+G2/100),2)</f>
        <v>0</v>
      </c>
      <c r="G7663" s="30"/>
    </row>
    <row r="7664" spans="1:7" ht="15.48" thickBot="1" customHeight="1">
      <c r="A7664" s="34" t="s">
        <v>24162</v>
      </c>
      <c r="B7664" s="35" t="s">
        <v>24163</v>
      </c>
      <c r="C7664" s="35" t="s">
        <v>24164</v>
      </c>
      <c r="D7664" s="36" t="s">
        <v>24165</v>
      </c>
      <c r="E7664" s="37"/>
      <c r="F7664" s="38">
        <f ca="1">F7670</f>
        <v>0</v>
      </c>
      <c r="G7664" s="37"/>
    </row>
    <row r="7665" spans="1:7" ht="21.36" thickBot="1" customHeight="1">
      <c r="A7665" s="26"/>
      <c r="B7665" s="26"/>
      <c r="C7665" s="26"/>
      <c r="D7665" s="25" t="s">
        <v>24166</v>
      </c>
      <c r="E7665" s="25"/>
      <c r="F7665" s="25"/>
      <c r="G7665" s="25"/>
    </row>
    <row r="7666" spans="1:7" ht="21.36" thickBot="1" customHeight="1">
      <c r="A7666" s="24" t="s">
        <v>24167</v>
      </c>
      <c r="B7666" s="24" t="s">
        <v>24168</v>
      </c>
      <c r="C7666" s="24" t="s">
        <v>24169</v>
      </c>
      <c r="D7666" s="25" t="s">
        <v>24170</v>
      </c>
      <c r="E7666" s="28">
        <v>1.00000</v>
      </c>
      <c r="F7666" s="29">
        <f ca="1">ROUND(50.000,3)</f>
        <v>0</v>
      </c>
      <c r="G7666" s="27">
        <f ca="1">ROUND(E7666*F7666,2)</f>
        <v>0</v>
      </c>
    </row>
    <row r="7667" spans="1:7" ht="21.36" thickBot="1" customHeight="1">
      <c r="A7667" s="24" t="s">
        <v>24171</v>
      </c>
      <c r="B7667" s="24" t="s">
        <v>24172</v>
      </c>
      <c r="C7667" s="24" t="s">
        <v>24173</v>
      </c>
      <c r="D7667" s="25" t="s">
        <v>24174</v>
      </c>
      <c r="E7667" s="28">
        <v>0.10000</v>
      </c>
      <c r="F7667" s="29">
        <f ca="1">ROUND(98.000,3)</f>
        <v>0</v>
      </c>
      <c r="G7667" s="27">
        <f ca="1">ROUND(E7667*F7667,2)</f>
        <v>0</v>
      </c>
    </row>
    <row r="7668" spans="1:7" ht="21.36" thickBot="1" customHeight="1">
      <c r="A7668" s="24" t="s">
        <v>24175</v>
      </c>
      <c r="B7668" s="24" t="s">
        <v>24176</v>
      </c>
      <c r="C7668" s="24" t="s">
        <v>24177</v>
      </c>
      <c r="D7668" s="25" t="s">
        <v>24178</v>
      </c>
      <c r="E7668" s="28">
        <v>0.10000</v>
      </c>
      <c r="F7668" s="29">
        <f ca="1">ROUND(38.000,3)</f>
        <v>0</v>
      </c>
      <c r="G7668" s="27">
        <f ca="1">ROUND(E7668*F7668,2)</f>
        <v>0</v>
      </c>
    </row>
    <row r="7669" spans="1:7" ht="24.36" thickBot="1" customHeight="1">
      <c r="A7669" s="24" t="s">
        <v>24179</v>
      </c>
      <c r="B7669" s="24" t="s">
        <v>24180</v>
      </c>
      <c r="C7669" s="24" t="s">
        <v>24181</v>
      </c>
      <c r="D7669" s="25" t="s">
        <v>24182</v>
      </c>
      <c r="E7669" s="28">
        <v>1.00000</v>
      </c>
      <c r="F7669" s="29">
        <f ca="1">ROUND(75.000,3)</f>
        <v>0</v>
      </c>
      <c r="G7669" s="27">
        <f ca="1">ROUND(E7669*F7669,2)</f>
        <v>0</v>
      </c>
    </row>
    <row r="7670" spans="1:7" ht="15.48" thickBot="1" customHeight="1">
      <c r="A7670" s="30"/>
      <c r="B7670" s="30"/>
      <c r="C7670" s="30"/>
      <c r="D7670" s="31" t="s">
        <v>24183</v>
      </c>
      <c r="E7670" s="30"/>
      <c r="F7670" s="33">
        <f ca="1">ROUND((G7666+G7667+G7668+G7669)*(1+G2/100),2)</f>
        <v>0</v>
      </c>
      <c r="G7670" s="30"/>
    </row>
    <row r="7671" spans="1:7" ht="21.36" thickBot="1" customHeight="1">
      <c r="A7671" s="34" t="s">
        <v>24184</v>
      </c>
      <c r="B7671" s="35" t="s">
        <v>24185</v>
      </c>
      <c r="C7671" s="35" t="s">
        <v>24186</v>
      </c>
      <c r="D7671" s="36" t="s">
        <v>24187</v>
      </c>
      <c r="E7671" s="37"/>
      <c r="F7671" s="38">
        <f ca="1">F7678</f>
        <v>0</v>
      </c>
      <c r="G7671" s="37"/>
    </row>
    <row r="7672" spans="1:7" ht="30.60" thickBot="1" customHeight="1">
      <c r="A7672" s="26"/>
      <c r="B7672" s="26"/>
      <c r="C7672" s="26"/>
      <c r="D7672" s="25" t="s">
        <v>24188</v>
      </c>
      <c r="E7672" s="25"/>
      <c r="F7672" s="25"/>
      <c r="G7672" s="25"/>
    </row>
    <row r="7673" spans="1:7" ht="30.60" thickBot="1" customHeight="1">
      <c r="A7673" s="24" t="s">
        <v>24189</v>
      </c>
      <c r="B7673" s="24" t="s">
        <v>24190</v>
      </c>
      <c r="C7673" s="24" t="s">
        <v>24191</v>
      </c>
      <c r="D7673" s="25" t="s">
        <v>24192</v>
      </c>
      <c r="E7673" s="28">
        <v>0.50000</v>
      </c>
      <c r="F7673" s="29">
        <f ca="1">ROUND(12.000,3)</f>
        <v>0</v>
      </c>
      <c r="G7673" s="27">
        <f ca="1">ROUND(E7673*F7673,2)</f>
        <v>0</v>
      </c>
    </row>
    <row r="7674" spans="1:7" ht="21.36" thickBot="1" customHeight="1">
      <c r="A7674" s="24" t="s">
        <v>24193</v>
      </c>
      <c r="B7674" s="24" t="s">
        <v>24194</v>
      </c>
      <c r="C7674" s="24" t="s">
        <v>24195</v>
      </c>
      <c r="D7674" s="25" t="s">
        <v>24196</v>
      </c>
      <c r="E7674" s="28">
        <v>0.50000</v>
      </c>
      <c r="F7674" s="29">
        <f ca="1">ROUND(12.000,3)</f>
        <v>0</v>
      </c>
      <c r="G7674" s="27">
        <f ca="1">ROUND(E7674*F7674,2)</f>
        <v>0</v>
      </c>
    </row>
    <row r="7675" spans="1:7" ht="21.36" thickBot="1" customHeight="1">
      <c r="A7675" s="24" t="s">
        <v>24197</v>
      </c>
      <c r="B7675" s="24" t="s">
        <v>24198</v>
      </c>
      <c r="C7675" s="24" t="s">
        <v>24199</v>
      </c>
      <c r="D7675" s="25" t="s">
        <v>24200</v>
      </c>
      <c r="E7675" s="28">
        <v>0.50000</v>
      </c>
      <c r="F7675" s="29">
        <f ca="1">ROUND(9.900,3)</f>
        <v>0</v>
      </c>
      <c r="G7675" s="27">
        <f ca="1">ROUND(E7675*F7675,2)</f>
        <v>0</v>
      </c>
    </row>
    <row r="7676" spans="1:7" ht="21.36" thickBot="1" customHeight="1">
      <c r="A7676" s="24" t="s">
        <v>24201</v>
      </c>
      <c r="B7676" s="24" t="s">
        <v>24202</v>
      </c>
      <c r="C7676" s="24" t="s">
        <v>24203</v>
      </c>
      <c r="D7676" s="25" t="s">
        <v>24204</v>
      </c>
      <c r="E7676" s="28">
        <v>0.30000</v>
      </c>
      <c r="F7676" s="29">
        <f ca="1">ROUND(67.000,3)</f>
        <v>0</v>
      </c>
      <c r="G7676" s="27">
        <f ca="1">ROUND(E7676*F7676,2)</f>
        <v>0</v>
      </c>
    </row>
    <row r="7677" spans="1:7" ht="24.36" thickBot="1" customHeight="1">
      <c r="A7677" s="24" t="s">
        <v>24205</v>
      </c>
      <c r="B7677" s="24" t="s">
        <v>24206</v>
      </c>
      <c r="C7677" s="24" t="s">
        <v>24207</v>
      </c>
      <c r="D7677" s="25" t="s">
        <v>24208</v>
      </c>
      <c r="E7677" s="28">
        <v>2.00000</v>
      </c>
      <c r="F7677" s="29">
        <f ca="1">ROUND(75.000,3)</f>
        <v>0</v>
      </c>
      <c r="G7677" s="27">
        <f ca="1">ROUND(E7677*F7677,2)</f>
        <v>0</v>
      </c>
    </row>
    <row r="7678" spans="1:7" ht="15.48" thickBot="1" customHeight="1">
      <c r="A7678" s="30"/>
      <c r="B7678" s="30"/>
      <c r="C7678" s="30"/>
      <c r="D7678" s="31" t="s">
        <v>24209</v>
      </c>
      <c r="E7678" s="30"/>
      <c r="F7678" s="33">
        <f ca="1">ROUND((G7673+G7674+G7675+G7676+G7677)*(1+G2/100),2)</f>
        <v>0</v>
      </c>
      <c r="G7678" s="30"/>
    </row>
    <row r="7679" spans="1:7" ht="21.36" thickBot="1" customHeight="1">
      <c r="A7679" s="34" t="s">
        <v>24210</v>
      </c>
      <c r="B7679" s="35" t="s">
        <v>24211</v>
      </c>
      <c r="C7679" s="35" t="s">
        <v>24212</v>
      </c>
      <c r="D7679" s="36" t="s">
        <v>24213</v>
      </c>
      <c r="E7679" s="37"/>
      <c r="F7679" s="38">
        <f ca="1">F7682</f>
        <v>0</v>
      </c>
      <c r="G7679" s="37"/>
    </row>
    <row r="7680" spans="1:7" ht="58.32" thickBot="1" customHeight="1">
      <c r="A7680" s="26"/>
      <c r="B7680" s="26"/>
      <c r="C7680" s="26"/>
      <c r="D7680" s="25" t="s">
        <v>24214</v>
      </c>
      <c r="E7680" s="25"/>
      <c r="F7680" s="25"/>
      <c r="G7680" s="25"/>
    </row>
    <row r="7681" spans="1:7" ht="21.36" thickBot="1" customHeight="1">
      <c r="A7681" s="24" t="s">
        <v>24215</v>
      </c>
      <c r="B7681" s="24" t="s">
        <v>24216</v>
      </c>
      <c r="C7681" s="24" t="s">
        <v>24217</v>
      </c>
      <c r="D7681" s="25" t="s">
        <v>24218</v>
      </c>
      <c r="E7681" s="28">
        <v>1.00000</v>
      </c>
      <c r="F7681" s="29">
        <f ca="1">ROUND(337.540,3)</f>
        <v>0</v>
      </c>
      <c r="G7681" s="27">
        <f ca="1">ROUND(E7681*F7681,2)</f>
        <v>0</v>
      </c>
    </row>
    <row r="7682" spans="1:7" ht="15.48" thickBot="1" customHeight="1">
      <c r="A7682" s="30"/>
      <c r="B7682" s="30"/>
      <c r="C7682" s="30"/>
      <c r="D7682" s="31" t="s">
        <v>24219</v>
      </c>
      <c r="E7682" s="30"/>
      <c r="F7682" s="33">
        <f ca="1">ROUND((G7681)*(1+G2/100),2)</f>
        <v>0</v>
      </c>
      <c r="G7682" s="30"/>
    </row>
    <row r="7683" spans="1:7" ht="21.36" thickBot="1" customHeight="1">
      <c r="A7683" s="34" t="s">
        <v>24220</v>
      </c>
      <c r="B7683" s="35" t="s">
        <v>24221</v>
      </c>
      <c r="C7683" s="35" t="s">
        <v>24222</v>
      </c>
      <c r="D7683" s="36" t="s">
        <v>24223</v>
      </c>
      <c r="E7683" s="37"/>
      <c r="F7683" s="38">
        <f ca="1">F7694</f>
        <v>0</v>
      </c>
      <c r="G7683" s="37"/>
    </row>
    <row r="7684" spans="1:7" ht="67.56" thickBot="1" customHeight="1">
      <c r="A7684" s="26"/>
      <c r="B7684" s="26"/>
      <c r="C7684" s="26"/>
      <c r="D7684" s="25" t="s">
        <v>24224</v>
      </c>
      <c r="E7684" s="25"/>
      <c r="F7684" s="25"/>
      <c r="G7684" s="25"/>
    </row>
    <row r="7685" spans="1:7" ht="21.36" thickBot="1" customHeight="1">
      <c r="A7685" s="24" t="s">
        <v>24225</v>
      </c>
      <c r="B7685" s="24" t="s">
        <v>24226</v>
      </c>
      <c r="C7685" s="24" t="s">
        <v>24227</v>
      </c>
      <c r="D7685" s="25" t="s">
        <v>24228</v>
      </c>
      <c r="E7685" s="28">
        <v>0.00000</v>
      </c>
      <c r="F7685" s="29">
        <f ca="1">ROUND(12.000,3)</f>
        <v>0</v>
      </c>
      <c r="G7685" s="27">
        <f ca="1">ROUND(E7685*F7685,2)</f>
        <v>0</v>
      </c>
    </row>
    <row r="7686" spans="1:7" ht="21.36" thickBot="1" customHeight="1">
      <c r="A7686" s="24" t="s">
        <v>24229</v>
      </c>
      <c r="B7686" s="24" t="s">
        <v>24230</v>
      </c>
      <c r="C7686" s="24" t="s">
        <v>24231</v>
      </c>
      <c r="D7686" s="25" t="s">
        <v>24232</v>
      </c>
      <c r="E7686" s="28">
        <v>0.00000</v>
      </c>
      <c r="F7686" s="29">
        <f ca="1">ROUND(19.900,3)</f>
        <v>0</v>
      </c>
      <c r="G7686" s="27">
        <f ca="1">ROUND(E7686*F7686,2)</f>
        <v>0</v>
      </c>
    </row>
    <row r="7687" spans="1:7" ht="21.36" thickBot="1" customHeight="1">
      <c r="A7687" s="24" t="s">
        <v>24233</v>
      </c>
      <c r="B7687" s="24" t="s">
        <v>24234</v>
      </c>
      <c r="C7687" s="24" t="s">
        <v>24235</v>
      </c>
      <c r="D7687" s="25" t="s">
        <v>24236</v>
      </c>
      <c r="E7687" s="28">
        <v>1.00000</v>
      </c>
      <c r="F7687" s="29">
        <f ca="1">ROUND(20.000,3)</f>
        <v>0</v>
      </c>
      <c r="G7687" s="27">
        <f ca="1">ROUND(E7687*F7687,2)</f>
        <v>0</v>
      </c>
    </row>
    <row r="7688" spans="1:7" ht="21.36" thickBot="1" customHeight="1">
      <c r="A7688" s="24" t="s">
        <v>24237</v>
      </c>
      <c r="B7688" s="24" t="s">
        <v>24238</v>
      </c>
      <c r="C7688" s="24" t="s">
        <v>24239</v>
      </c>
      <c r="D7688" s="25" t="s">
        <v>24240</v>
      </c>
      <c r="E7688" s="28">
        <v>0.00000</v>
      </c>
      <c r="F7688" s="29">
        <f ca="1">ROUND(22.500,3)</f>
        <v>0</v>
      </c>
      <c r="G7688" s="27">
        <f ca="1">ROUND(E7688*F7688,2)</f>
        <v>0</v>
      </c>
    </row>
    <row r="7689" spans="1:7" ht="15.12" thickBot="1" customHeight="1">
      <c r="A7689" s="24" t="s">
        <v>24241</v>
      </c>
      <c r="B7689" s="24" t="s">
        <v>24242</v>
      </c>
      <c r="C7689" s="24" t="s">
        <v>24243</v>
      </c>
      <c r="D7689" s="25" t="s">
        <v>24244</v>
      </c>
      <c r="E7689" s="28">
        <v>1.00000</v>
      </c>
      <c r="F7689" s="29">
        <f ca="1">ROUND(20.000,3)</f>
        <v>0</v>
      </c>
      <c r="G7689" s="27">
        <f ca="1">ROUND(E7689*F7689,2)</f>
        <v>0</v>
      </c>
    </row>
    <row r="7690" spans="1:7" ht="30.60" thickBot="1" customHeight="1">
      <c r="A7690" s="24" t="s">
        <v>24245</v>
      </c>
      <c r="B7690" s="24" t="s">
        <v>24246</v>
      </c>
      <c r="C7690" s="24" t="s">
        <v>24247</v>
      </c>
      <c r="D7690" s="25" t="s">
        <v>24248</v>
      </c>
      <c r="E7690" s="28">
        <v>1.00000</v>
      </c>
      <c r="F7690" s="29">
        <f ca="1">ROUND(260.000,3)</f>
        <v>0</v>
      </c>
      <c r="G7690" s="27">
        <f ca="1">ROUND(E7690*F7690,2)</f>
        <v>0</v>
      </c>
    </row>
    <row r="7691" spans="1:7" ht="21.36" thickBot="1" customHeight="1">
      <c r="A7691" s="24" t="s">
        <v>24249</v>
      </c>
      <c r="B7691" s="24" t="s">
        <v>24250</v>
      </c>
      <c r="C7691" s="24" t="s">
        <v>24251</v>
      </c>
      <c r="D7691" s="25" t="s">
        <v>24252</v>
      </c>
      <c r="E7691" s="28">
        <v>1.00000</v>
      </c>
      <c r="F7691" s="29">
        <f ca="1">ROUND(11.520,3)</f>
        <v>0</v>
      </c>
      <c r="G7691" s="27">
        <f ca="1">ROUND(E7691*F7691,2)</f>
        <v>0</v>
      </c>
    </row>
    <row r="7692" spans="1:7" ht="15.12" thickBot="1" customHeight="1">
      <c r="A7692" s="24" t="s">
        <v>24253</v>
      </c>
      <c r="B7692" s="24" t="s">
        <v>24254</v>
      </c>
      <c r="C7692" s="24" t="s">
        <v>24255</v>
      </c>
      <c r="D7692" s="25" t="s">
        <v>24256</v>
      </c>
      <c r="E7692" s="28">
        <v>1.00000</v>
      </c>
      <c r="F7692" s="29">
        <f ca="1">ROUND(6.240,3)</f>
        <v>0</v>
      </c>
      <c r="G7692" s="27">
        <f ca="1">ROUND(E7692*F7692,2)</f>
        <v>0</v>
      </c>
    </row>
    <row r="7693" spans="1:7" ht="21.36" thickBot="1" customHeight="1">
      <c r="A7693" s="24" t="s">
        <v>24257</v>
      </c>
      <c r="B7693" s="24" t="s">
        <v>24258</v>
      </c>
      <c r="C7693" s="24" t="s">
        <v>24259</v>
      </c>
      <c r="D7693" s="25" t="s">
        <v>24260</v>
      </c>
      <c r="E7693" s="28">
        <v>1.00000</v>
      </c>
      <c r="F7693" s="29">
        <f ca="1">ROUND(260.000,3)</f>
        <v>0</v>
      </c>
      <c r="G7693" s="27">
        <f ca="1">ROUND(E7693*F7693,2)</f>
        <v>0</v>
      </c>
    </row>
    <row r="7694" spans="1:7" ht="15.48" thickBot="1" customHeight="1">
      <c r="A7694" s="30"/>
      <c r="B7694" s="30"/>
      <c r="C7694" s="30"/>
      <c r="D7694" s="31" t="s">
        <v>24261</v>
      </c>
      <c r="E7694" s="30"/>
      <c r="F7694" s="33">
        <f ca="1">ROUND((G7685+G7686+G7687+G7688+G7689+G7690+G7691+G7692+G7693)*(1+G2/100),2)</f>
        <v>0</v>
      </c>
      <c r="G7694" s="30"/>
    </row>
    <row r="7695" spans="1:7" ht="21.36" thickBot="1" customHeight="1">
      <c r="A7695" s="34" t="s">
        <v>24262</v>
      </c>
      <c r="B7695" s="35" t="s">
        <v>24263</v>
      </c>
      <c r="C7695" s="35" t="s">
        <v>24264</v>
      </c>
      <c r="D7695" s="36" t="s">
        <v>24265</v>
      </c>
      <c r="E7695" s="37"/>
      <c r="F7695" s="38">
        <f ca="1">F7700</f>
        <v>0</v>
      </c>
      <c r="G7695" s="37"/>
    </row>
    <row r="7696" spans="1:7" ht="49.08" thickBot="1" customHeight="1">
      <c r="A7696" s="26"/>
      <c r="B7696" s="26"/>
      <c r="C7696" s="26"/>
      <c r="D7696" s="25" t="s">
        <v>24266</v>
      </c>
      <c r="E7696" s="25"/>
      <c r="F7696" s="25"/>
      <c r="G7696" s="25"/>
    </row>
    <row r="7697" spans="1:7" ht="21.36" thickBot="1" customHeight="1">
      <c r="A7697" s="24" t="s">
        <v>24267</v>
      </c>
      <c r="B7697" s="24" t="s">
        <v>24268</v>
      </c>
      <c r="C7697" s="24" t="s">
        <v>24269</v>
      </c>
      <c r="D7697" s="25" t="s">
        <v>24270</v>
      </c>
      <c r="E7697" s="28">
        <v>1.00000</v>
      </c>
      <c r="F7697" s="29">
        <f ca="1">F7699</f>
        <v>0</v>
      </c>
      <c r="G7697" s="27">
        <f ca="1">ROUND(E7697*F7697,2)</f>
        <v>0</v>
      </c>
    </row>
    <row r="7698" spans="1:7" ht="24.36" thickBot="1" customHeight="1">
      <c r="A7698" s="24" t="s">
        <v>24271</v>
      </c>
      <c r="B7698" s="24" t="s">
        <v>24272</v>
      </c>
      <c r="C7698" s="24" t="s">
        <v>24273</v>
      </c>
      <c r="D7698" s="25" t="s">
        <v>24274</v>
      </c>
      <c r="E7698" s="28">
        <v>0.60000</v>
      </c>
      <c r="F7698" s="29">
        <f ca="1">ROUND(75.000,3)</f>
        <v>0</v>
      </c>
      <c r="G7698" s="27">
        <f ca="1">ROUND(E7698*F7698,2)</f>
        <v>0</v>
      </c>
    </row>
    <row r="7699" spans="1:7" ht="15.12" thickBot="1" customHeight="1">
      <c r="A7699" s="26"/>
      <c r="B7699" s="26"/>
      <c r="C7699" s="26"/>
      <c r="D7699" s="24" t="s">
        <v>24275</v>
      </c>
      <c r="E7699" s="28">
        <v>1.00000</v>
      </c>
      <c r="F7699" s="29">
        <f ca="1">ROUND((G7698),3)</f>
        <v>0</v>
      </c>
      <c r="G7699" s="27">
        <f ca="1">ROUND(E7699*F7699,2)</f>
        <v>0</v>
      </c>
    </row>
    <row r="7700" spans="1:7" ht="15.48" thickBot="1" customHeight="1">
      <c r="A7700" s="30"/>
      <c r="B7700" s="30"/>
      <c r="C7700" s="30"/>
      <c r="D7700" s="31" t="s">
        <v>24276</v>
      </c>
      <c r="E7700" s="30"/>
      <c r="F7700" s="33">
        <f ca="1">ROUND((G7697)*(1+G2/100),2)</f>
        <v>0</v>
      </c>
      <c r="G7700" s="30"/>
    </row>
    <row r="7701" spans="1:7" ht="21.36" thickBot="1" customHeight="1">
      <c r="A7701" s="34" t="s">
        <v>24277</v>
      </c>
      <c r="B7701" s="35" t="s">
        <v>24278</v>
      </c>
      <c r="C7701" s="35" t="s">
        <v>24279</v>
      </c>
      <c r="D7701" s="36" t="s">
        <v>24280</v>
      </c>
      <c r="E7701" s="37"/>
      <c r="F7701" s="38">
        <f ca="1">F7706</f>
        <v>0</v>
      </c>
      <c r="G7701" s="37"/>
    </row>
    <row r="7702" spans="1:7" ht="12.12" thickBot="1" customHeight="1">
      <c r="A7702" s="26"/>
      <c r="B7702" s="26"/>
      <c r="C7702" s="26"/>
      <c r="D7702" s="25" t="s">
        <v>24281</v>
      </c>
      <c r="E7702" s="25"/>
      <c r="F7702" s="25"/>
      <c r="G7702" s="25"/>
    </row>
    <row r="7703" spans="1:7" ht="30.60" thickBot="1" customHeight="1">
      <c r="A7703" s="24" t="s">
        <v>24282</v>
      </c>
      <c r="B7703" s="24" t="s">
        <v>24283</v>
      </c>
      <c r="C7703" s="24" t="s">
        <v>24284</v>
      </c>
      <c r="D7703" s="25" t="s">
        <v>24285</v>
      </c>
      <c r="E7703" s="28">
        <v>1.00000</v>
      </c>
      <c r="F7703" s="29">
        <f ca="1">ROUND(150.000,3)</f>
        <v>0</v>
      </c>
      <c r="G7703" s="27">
        <f ca="1">ROUND(E7703*F7703,2)</f>
        <v>0</v>
      </c>
    </row>
    <row r="7704" spans="1:7" ht="15.12" thickBot="1" customHeight="1">
      <c r="A7704" s="24" t="s">
        <v>24286</v>
      </c>
      <c r="B7704" s="24" t="s">
        <v>24287</v>
      </c>
      <c r="C7704" s="24" t="s">
        <v>24288</v>
      </c>
      <c r="D7704" s="25" t="s">
        <v>24289</v>
      </c>
      <c r="E7704" s="28">
        <v>3.00000</v>
      </c>
      <c r="F7704" s="29">
        <f ca="1">ROUND(50.000,3)</f>
        <v>0</v>
      </c>
      <c r="G7704" s="27">
        <f ca="1">ROUND(E7704*F7704,2)</f>
        <v>0</v>
      </c>
    </row>
    <row r="7705" spans="1:7" ht="24.36" thickBot="1" customHeight="1">
      <c r="A7705" s="24" t="s">
        <v>24290</v>
      </c>
      <c r="B7705" s="24" t="s">
        <v>24291</v>
      </c>
      <c r="C7705" s="24" t="s">
        <v>24292</v>
      </c>
      <c r="D7705" s="25" t="s">
        <v>24293</v>
      </c>
      <c r="E7705" s="28">
        <v>1.00000</v>
      </c>
      <c r="F7705" s="29">
        <f ca="1">ROUND(150.000,3)</f>
        <v>0</v>
      </c>
      <c r="G7705" s="27">
        <f ca="1">ROUND(E7705*F7705,2)</f>
        <v>0</v>
      </c>
    </row>
    <row r="7706" spans="1:7" ht="15.48" thickBot="1" customHeight="1">
      <c r="A7706" s="30"/>
      <c r="B7706" s="30"/>
      <c r="C7706" s="30"/>
      <c r="D7706" s="31" t="s">
        <v>24294</v>
      </c>
      <c r="E7706" s="30"/>
      <c r="F7706" s="33">
        <f ca="1">ROUND((G7703+G7704+G7705)*(1+G2/100),2)</f>
        <v>0</v>
      </c>
      <c r="G7706" s="30"/>
    </row>
    <row r="7707" spans="1:7" ht="15.48" thickBot="1" customHeight="1">
      <c r="A7707" s="34" t="s">
        <v>24295</v>
      </c>
      <c r="B7707" s="35" t="s">
        <v>24296</v>
      </c>
      <c r="C7707" s="35" t="s">
        <v>24297</v>
      </c>
      <c r="D7707" s="36" t="s">
        <v>24298</v>
      </c>
      <c r="E7707" s="37"/>
      <c r="F7707" s="38">
        <f ca="1">F7710</f>
        <v>0</v>
      </c>
      <c r="G7707" s="37"/>
    </row>
    <row r="7708" spans="1:7" ht="39.84" thickBot="1" customHeight="1">
      <c r="A7708" s="26"/>
      <c r="B7708" s="26"/>
      <c r="C7708" s="26"/>
      <c r="D7708" s="25" t="s">
        <v>24299</v>
      </c>
      <c r="E7708" s="25"/>
      <c r="F7708" s="25"/>
      <c r="G7708" s="25"/>
    </row>
    <row r="7709" spans="1:7" ht="24.36" thickBot="1" customHeight="1">
      <c r="A7709" s="24" t="s">
        <v>24300</v>
      </c>
      <c r="B7709" s="24" t="s">
        <v>24301</v>
      </c>
      <c r="C7709" s="24" t="s">
        <v>24302</v>
      </c>
      <c r="D7709" s="25" t="s">
        <v>24303</v>
      </c>
      <c r="E7709" s="28">
        <v>1.00000</v>
      </c>
      <c r="F7709" s="29">
        <f ca="1">ROUND(500.000,3)</f>
        <v>0</v>
      </c>
      <c r="G7709" s="27">
        <f ca="1">ROUND(E7709*F7709,2)</f>
        <v>0</v>
      </c>
    </row>
    <row r="7710" spans="1:7" ht="15.48" thickBot="1" customHeight="1">
      <c r="A7710" s="30"/>
      <c r="B7710" s="30"/>
      <c r="C7710" s="30"/>
      <c r="D7710" s="31" t="s">
        <v>24304</v>
      </c>
      <c r="E7710" s="30"/>
      <c r="F7710" s="33">
        <f ca="1">ROUND((G7709)*(1+G2/100),2)</f>
        <v>0</v>
      </c>
      <c r="G7710" s="30"/>
    </row>
    <row r="7711" spans="1:7" ht="15.48" thickBot="1" customHeight="1">
      <c r="A7711" s="39"/>
      <c r="B7711" s="39"/>
      <c r="C7711" s="39"/>
      <c r="D7711" s="50" t="s">
        <v>24305</v>
      </c>
      <c r="E7711" s="51"/>
      <c r="F7711" s="51"/>
      <c r="G7711" s="51"/>
    </row>
    <row r="7712" spans="1:7" ht="15.48" thickBot="1" customHeight="1">
      <c r="A7712" s="52" t="s">
        <v>24306</v>
      </c>
      <c r="B7712" s="52" t="s">
        <v>24307</v>
      </c>
      <c r="C7712" s="53"/>
      <c r="D7712" s="54" t="s">
        <v>24308</v>
      </c>
      <c r="E7712" s="53"/>
      <c r="F7712" s="53"/>
      <c r="G7712" s="53"/>
    </row>
    <row r="7713" spans="1:7" ht="21.36" thickBot="1" customHeight="1">
      <c r="A7713" s="10" t="s">
        <v>24309</v>
      </c>
      <c r="B7713" s="24" t="s">
        <v>24310</v>
      </c>
      <c r="C7713" s="24" t="s">
        <v>24311</v>
      </c>
      <c r="D7713" s="25" t="s">
        <v>24312</v>
      </c>
      <c r="E7713" s="26"/>
      <c r="F7713" s="27">
        <f ca="1">F7721</f>
        <v>0</v>
      </c>
      <c r="G7713" s="26"/>
    </row>
    <row r="7714" spans="1:7" ht="21.36" thickBot="1" customHeight="1">
      <c r="A7714" s="26"/>
      <c r="B7714" s="26"/>
      <c r="C7714" s="26"/>
      <c r="D7714" s="25" t="s">
        <v>24313</v>
      </c>
      <c r="E7714" s="25"/>
      <c r="F7714" s="25"/>
      <c r="G7714" s="25"/>
    </row>
    <row r="7715" spans="1:7" ht="21.36" thickBot="1" customHeight="1">
      <c r="A7715" s="24" t="s">
        <v>24314</v>
      </c>
      <c r="B7715" s="24" t="s">
        <v>24315</v>
      </c>
      <c r="C7715" s="24" t="s">
        <v>24316</v>
      </c>
      <c r="D7715" s="25" t="s">
        <v>24317</v>
      </c>
      <c r="E7715" s="28">
        <v>0.56000</v>
      </c>
      <c r="F7715" s="29">
        <f ca="1">F7719</f>
        <v>0</v>
      </c>
      <c r="G7715" s="27">
        <f ca="1">ROUND(E7715*F7715,2)</f>
        <v>0</v>
      </c>
    </row>
    <row r="7716" spans="1:7" ht="24.36" thickBot="1" customHeight="1">
      <c r="A7716" s="24" t="s">
        <v>24318</v>
      </c>
      <c r="B7716" s="24" t="s">
        <v>24319</v>
      </c>
      <c r="C7716" s="24" t="s">
        <v>24320</v>
      </c>
      <c r="D7716" s="25" t="s">
        <v>24321</v>
      </c>
      <c r="E7716" s="28">
        <v>1.00000</v>
      </c>
      <c r="F7716" s="29">
        <f ca="1">ROUND(21.000,3)</f>
        <v>0</v>
      </c>
      <c r="G7716" s="27">
        <f ca="1">ROUND(E7716*F7716,2)</f>
        <v>0</v>
      </c>
    </row>
    <row r="7717" spans="1:7" ht="24.36" thickBot="1" customHeight="1">
      <c r="A7717" s="24" t="s">
        <v>24322</v>
      </c>
      <c r="B7717" s="24" t="s">
        <v>24323</v>
      </c>
      <c r="C7717" s="24" t="s">
        <v>24324</v>
      </c>
      <c r="D7717" s="25" t="s">
        <v>24325</v>
      </c>
      <c r="E7717" s="28">
        <v>1.00000</v>
      </c>
      <c r="F7717" s="29">
        <f ca="1">ROUND(19.000,3)</f>
        <v>0</v>
      </c>
      <c r="G7717" s="27">
        <f ca="1">ROUND(E7717*F7717,2)</f>
        <v>0</v>
      </c>
    </row>
    <row r="7718" spans="1:7" ht="24.36" thickBot="1" customHeight="1">
      <c r="A7718" s="24" t="s">
        <v>24326</v>
      </c>
      <c r="B7718" s="24" t="s">
        <v>24327</v>
      </c>
      <c r="C7718" s="24" t="s">
        <v>24328</v>
      </c>
      <c r="D7718" s="25" t="s">
        <v>24329</v>
      </c>
      <c r="E7718" s="28">
        <v>0.20000</v>
      </c>
      <c r="F7718" s="29">
        <f ca="1">ROUND(19.000,3)</f>
        <v>0</v>
      </c>
      <c r="G7718" s="27">
        <f ca="1">ROUND(E7718*F7718,2)</f>
        <v>0</v>
      </c>
    </row>
    <row r="7719" spans="1:7" ht="15.12" thickBot="1" customHeight="1">
      <c r="A7719" s="26"/>
      <c r="B7719" s="26"/>
      <c r="C7719" s="26"/>
      <c r="D7719" s="24" t="s">
        <v>24330</v>
      </c>
      <c r="E7719" s="28">
        <v>0.56000</v>
      </c>
      <c r="F7719" s="29">
        <f ca="1">ROUND((G7716+G7717+G7718),3)</f>
        <v>0</v>
      </c>
      <c r="G7719" s="27">
        <f ca="1">ROUND(E7719*F7719,2)</f>
        <v>0</v>
      </c>
    </row>
    <row r="7720" spans="1:7" ht="15.12" thickBot="1" customHeight="1">
      <c r="A7720" s="24" t="s">
        <v>24331</v>
      </c>
      <c r="B7720" s="24"/>
      <c r="C7720" s="24" t="s">
        <v>24332</v>
      </c>
      <c r="D7720" s="25" t="s">
        <v>24333</v>
      </c>
      <c r="E7720" s="28">
        <v>3.00000</v>
      </c>
      <c r="F7720" s="29">
        <f ca="1">ROUND(24.530,3)</f>
        <v>0</v>
      </c>
      <c r="G7720" s="27">
        <f ca="1">ROUND((E7720*F7720)/100,2)</f>
        <v>0</v>
      </c>
    </row>
    <row r="7721" spans="1:7" ht="15.48" thickBot="1" customHeight="1">
      <c r="A7721" s="30"/>
      <c r="B7721" s="30"/>
      <c r="C7721" s="30"/>
      <c r="D7721" s="31" t="s">
        <v>24334</v>
      </c>
      <c r="E7721" s="30"/>
      <c r="F7721" s="33">
        <f ca="1">ROUND((G7715+G7720)*(1+G2/100),2)</f>
        <v>0</v>
      </c>
      <c r="G7721" s="30"/>
    </row>
    <row r="7722" spans="1:7" ht="21.36" thickBot="1" customHeight="1">
      <c r="A7722" s="34" t="s">
        <v>24335</v>
      </c>
      <c r="B7722" s="35" t="s">
        <v>24336</v>
      </c>
      <c r="C7722" s="35" t="s">
        <v>24337</v>
      </c>
      <c r="D7722" s="36" t="s">
        <v>24338</v>
      </c>
      <c r="E7722" s="37"/>
      <c r="F7722" s="38">
        <f ca="1">F7730</f>
        <v>0</v>
      </c>
      <c r="G7722" s="37"/>
    </row>
    <row r="7723" spans="1:7" ht="30.60" thickBot="1" customHeight="1">
      <c r="A7723" s="26"/>
      <c r="B7723" s="26"/>
      <c r="C7723" s="26"/>
      <c r="D7723" s="25" t="s">
        <v>24339</v>
      </c>
      <c r="E7723" s="25"/>
      <c r="F7723" s="25"/>
      <c r="G7723" s="25"/>
    </row>
    <row r="7724" spans="1:7" ht="21.36" thickBot="1" customHeight="1">
      <c r="A7724" s="24" t="s">
        <v>24340</v>
      </c>
      <c r="B7724" s="24" t="s">
        <v>24341</v>
      </c>
      <c r="C7724" s="24" t="s">
        <v>24342</v>
      </c>
      <c r="D7724" s="25" t="s">
        <v>24343</v>
      </c>
      <c r="E7724" s="28">
        <v>0.40000</v>
      </c>
      <c r="F7724" s="29">
        <f ca="1">F7728</f>
        <v>0</v>
      </c>
      <c r="G7724" s="27">
        <f ca="1">ROUND(E7724*F7724,2)</f>
        <v>0</v>
      </c>
    </row>
    <row r="7725" spans="1:7" ht="24.36" thickBot="1" customHeight="1">
      <c r="A7725" s="24" t="s">
        <v>24344</v>
      </c>
      <c r="B7725" s="24" t="s">
        <v>24345</v>
      </c>
      <c r="C7725" s="24" t="s">
        <v>24346</v>
      </c>
      <c r="D7725" s="25" t="s">
        <v>24347</v>
      </c>
      <c r="E7725" s="28">
        <v>1.00000</v>
      </c>
      <c r="F7725" s="29">
        <f ca="1">ROUND(21.000,3)</f>
        <v>0</v>
      </c>
      <c r="G7725" s="27">
        <f ca="1">ROUND(E7725*F7725,2)</f>
        <v>0</v>
      </c>
    </row>
    <row r="7726" spans="1:7" ht="24.36" thickBot="1" customHeight="1">
      <c r="A7726" s="24" t="s">
        <v>24348</v>
      </c>
      <c r="B7726" s="24" t="s">
        <v>24349</v>
      </c>
      <c r="C7726" s="24" t="s">
        <v>24350</v>
      </c>
      <c r="D7726" s="25" t="s">
        <v>24351</v>
      </c>
      <c r="E7726" s="28">
        <v>1.00000</v>
      </c>
      <c r="F7726" s="29">
        <f ca="1">ROUND(19.000,3)</f>
        <v>0</v>
      </c>
      <c r="G7726" s="27">
        <f ca="1">ROUND(E7726*F7726,2)</f>
        <v>0</v>
      </c>
    </row>
    <row r="7727" spans="1:7" ht="24.36" thickBot="1" customHeight="1">
      <c r="A7727" s="24" t="s">
        <v>24352</v>
      </c>
      <c r="B7727" s="24" t="s">
        <v>24353</v>
      </c>
      <c r="C7727" s="24" t="s">
        <v>24354</v>
      </c>
      <c r="D7727" s="25" t="s">
        <v>24355</v>
      </c>
      <c r="E7727" s="28">
        <v>0.20000</v>
      </c>
      <c r="F7727" s="29">
        <f ca="1">ROUND(19.000,3)</f>
        <v>0</v>
      </c>
      <c r="G7727" s="27">
        <f ca="1">ROUND(E7727*F7727,2)</f>
        <v>0</v>
      </c>
    </row>
    <row r="7728" spans="1:7" ht="15.12" thickBot="1" customHeight="1">
      <c r="A7728" s="26"/>
      <c r="B7728" s="26"/>
      <c r="C7728" s="26"/>
      <c r="D7728" s="24" t="s">
        <v>24356</v>
      </c>
      <c r="E7728" s="28">
        <v>0.40000</v>
      </c>
      <c r="F7728" s="29">
        <f ca="1">ROUND((G7725+G7726+G7727),3)</f>
        <v>0</v>
      </c>
      <c r="G7728" s="27">
        <f ca="1">ROUND(E7728*F7728,2)</f>
        <v>0</v>
      </c>
    </row>
    <row r="7729" spans="1:7" ht="15.12" thickBot="1" customHeight="1">
      <c r="A7729" s="24" t="s">
        <v>24357</v>
      </c>
      <c r="B7729" s="24"/>
      <c r="C7729" s="24" t="s">
        <v>24358</v>
      </c>
      <c r="D7729" s="25" t="s">
        <v>24359</v>
      </c>
      <c r="E7729" s="28">
        <v>3.00000</v>
      </c>
      <c r="F7729" s="29">
        <f ca="1">ROUND(17.520,3)</f>
        <v>0</v>
      </c>
      <c r="G7729" s="27">
        <f ca="1">ROUND((E7729*F7729)/100,2)</f>
        <v>0</v>
      </c>
    </row>
    <row r="7730" spans="1:7" ht="15.48" thickBot="1" customHeight="1">
      <c r="A7730" s="30"/>
      <c r="B7730" s="30"/>
      <c r="C7730" s="30"/>
      <c r="D7730" s="31" t="s">
        <v>24360</v>
      </c>
      <c r="E7730" s="30"/>
      <c r="F7730" s="33">
        <f ca="1">ROUND((G7724+G7729)*(1+G2/100),2)</f>
        <v>0</v>
      </c>
      <c r="G7730" s="30"/>
    </row>
    <row r="7731" spans="1:7" ht="21.36" thickBot="1" customHeight="1">
      <c r="A7731" s="34" t="s">
        <v>24361</v>
      </c>
      <c r="B7731" s="35" t="s">
        <v>24362</v>
      </c>
      <c r="C7731" s="35" t="s">
        <v>24363</v>
      </c>
      <c r="D7731" s="36" t="s">
        <v>24364</v>
      </c>
      <c r="E7731" s="37"/>
      <c r="F7731" s="38">
        <f ca="1">F7739</f>
        <v>0</v>
      </c>
      <c r="G7731" s="37"/>
    </row>
    <row r="7732" spans="1:7" ht="39.84" thickBot="1" customHeight="1">
      <c r="A7732" s="26"/>
      <c r="B7732" s="26"/>
      <c r="C7732" s="26"/>
      <c r="D7732" s="25" t="s">
        <v>24365</v>
      </c>
      <c r="E7732" s="25"/>
      <c r="F7732" s="25"/>
      <c r="G7732" s="25"/>
    </row>
    <row r="7733" spans="1:7" ht="24.36" thickBot="1" customHeight="1">
      <c r="A7733" s="24" t="s">
        <v>24366</v>
      </c>
      <c r="B7733" s="24" t="s">
        <v>24367</v>
      </c>
      <c r="C7733" s="24" t="s">
        <v>24368</v>
      </c>
      <c r="D7733" s="25" t="s">
        <v>24369</v>
      </c>
      <c r="E7733" s="28">
        <v>0.60000</v>
      </c>
      <c r="F7733" s="29">
        <f ca="1">F7737</f>
        <v>0</v>
      </c>
      <c r="G7733" s="27">
        <f ca="1">ROUND(E7733*F7733,2)</f>
        <v>0</v>
      </c>
    </row>
    <row r="7734" spans="1:7" ht="24.36" thickBot="1" customHeight="1">
      <c r="A7734" s="24" t="s">
        <v>24370</v>
      </c>
      <c r="B7734" s="24" t="s">
        <v>24371</v>
      </c>
      <c r="C7734" s="24" t="s">
        <v>24372</v>
      </c>
      <c r="D7734" s="25" t="s">
        <v>24373</v>
      </c>
      <c r="E7734" s="28">
        <v>1.00000</v>
      </c>
      <c r="F7734" s="29">
        <f ca="1">ROUND(21.000,3)</f>
        <v>0</v>
      </c>
      <c r="G7734" s="27">
        <f ca="1">ROUND(E7734*F7734,2)</f>
        <v>0</v>
      </c>
    </row>
    <row r="7735" spans="1:7" ht="24.36" thickBot="1" customHeight="1">
      <c r="A7735" s="24" t="s">
        <v>24374</v>
      </c>
      <c r="B7735" s="24" t="s">
        <v>24375</v>
      </c>
      <c r="C7735" s="24" t="s">
        <v>24376</v>
      </c>
      <c r="D7735" s="25" t="s">
        <v>24377</v>
      </c>
      <c r="E7735" s="28">
        <v>1.00000</v>
      </c>
      <c r="F7735" s="29">
        <f ca="1">ROUND(19.000,3)</f>
        <v>0</v>
      </c>
      <c r="G7735" s="27">
        <f ca="1">ROUND(E7735*F7735,2)</f>
        <v>0</v>
      </c>
    </row>
    <row r="7736" spans="1:7" ht="24.36" thickBot="1" customHeight="1">
      <c r="A7736" s="24" t="s">
        <v>24378</v>
      </c>
      <c r="B7736" s="24" t="s">
        <v>24379</v>
      </c>
      <c r="C7736" s="24" t="s">
        <v>24380</v>
      </c>
      <c r="D7736" s="25" t="s">
        <v>24381</v>
      </c>
      <c r="E7736" s="28">
        <v>0.50000</v>
      </c>
      <c r="F7736" s="29">
        <f ca="1">ROUND(19.000,3)</f>
        <v>0</v>
      </c>
      <c r="G7736" s="27">
        <f ca="1">ROUND(E7736*F7736,2)</f>
        <v>0</v>
      </c>
    </row>
    <row r="7737" spans="1:7" ht="15.12" thickBot="1" customHeight="1">
      <c r="A7737" s="26"/>
      <c r="B7737" s="26"/>
      <c r="C7737" s="26"/>
      <c r="D7737" s="24" t="s">
        <v>24382</v>
      </c>
      <c r="E7737" s="28">
        <v>0.60000</v>
      </c>
      <c r="F7737" s="29">
        <f ca="1">ROUND((G7734+G7735+G7736),3)</f>
        <v>0</v>
      </c>
      <c r="G7737" s="27">
        <f ca="1">ROUND(E7737*F7737,2)</f>
        <v>0</v>
      </c>
    </row>
    <row r="7738" spans="1:7" ht="15.12" thickBot="1" customHeight="1">
      <c r="A7738" s="24" t="s">
        <v>24383</v>
      </c>
      <c r="B7738" s="24"/>
      <c r="C7738" s="24" t="s">
        <v>24384</v>
      </c>
      <c r="D7738" s="25" t="s">
        <v>24385</v>
      </c>
      <c r="E7738" s="28">
        <v>3.00000</v>
      </c>
      <c r="F7738" s="29">
        <f ca="1">ROUND(29.700,3)</f>
        <v>0</v>
      </c>
      <c r="G7738" s="27">
        <f ca="1">ROUND((E7738*F7738)/100,2)</f>
        <v>0</v>
      </c>
    </row>
    <row r="7739" spans="1:7" ht="15.48" thickBot="1" customHeight="1">
      <c r="A7739" s="30"/>
      <c r="B7739" s="30"/>
      <c r="C7739" s="30"/>
      <c r="D7739" s="31" t="s">
        <v>24386</v>
      </c>
      <c r="E7739" s="30"/>
      <c r="F7739" s="33">
        <f ca="1">ROUND((G7733+G7738)*(1+G2/100),2)</f>
        <v>0</v>
      </c>
      <c r="G7739" s="30"/>
    </row>
    <row r="7740" spans="1:7" ht="30.60" thickBot="1" customHeight="1">
      <c r="A7740" s="34" t="s">
        <v>24387</v>
      </c>
      <c r="B7740" s="35" t="s">
        <v>24388</v>
      </c>
      <c r="C7740" s="35" t="s">
        <v>24389</v>
      </c>
      <c r="D7740" s="36" t="s">
        <v>24390</v>
      </c>
      <c r="E7740" s="37"/>
      <c r="F7740" s="38">
        <f ca="1">F7759</f>
        <v>0</v>
      </c>
      <c r="G7740" s="37"/>
    </row>
    <row r="7741" spans="1:7" ht="39.84" thickBot="1" customHeight="1">
      <c r="A7741" s="26"/>
      <c r="B7741" s="26"/>
      <c r="C7741" s="26"/>
      <c r="D7741" s="25" t="s">
        <v>24391</v>
      </c>
      <c r="E7741" s="25"/>
      <c r="F7741" s="25"/>
      <c r="G7741" s="25"/>
    </row>
    <row r="7742" spans="1:7" ht="30.60" thickBot="1" customHeight="1">
      <c r="A7742" s="24" t="s">
        <v>24392</v>
      </c>
      <c r="B7742" s="24" t="s">
        <v>24393</v>
      </c>
      <c r="C7742" s="24" t="s">
        <v>24394</v>
      </c>
      <c r="D7742" s="25" t="s">
        <v>24395</v>
      </c>
      <c r="E7742" s="28">
        <v>0.36667</v>
      </c>
      <c r="F7742" s="29">
        <f ca="1">ROUND(10.740,3)</f>
        <v>0</v>
      </c>
      <c r="G7742" s="27">
        <f ca="1">ROUND(E7742*F7742,2)</f>
        <v>0</v>
      </c>
    </row>
    <row r="7743" spans="1:7" ht="30.60" thickBot="1" customHeight="1">
      <c r="A7743" s="24" t="s">
        <v>24396</v>
      </c>
      <c r="B7743" s="24" t="s">
        <v>24397</v>
      </c>
      <c r="C7743" s="24" t="s">
        <v>24398</v>
      </c>
      <c r="D7743" s="25" t="s">
        <v>24399</v>
      </c>
      <c r="E7743" s="28">
        <v>0.33333</v>
      </c>
      <c r="F7743" s="29">
        <f ca="1">ROUND(11.050,3)</f>
        <v>0</v>
      </c>
      <c r="G7743" s="27">
        <f ca="1">ROUND(E7743*F7743,2)</f>
        <v>0</v>
      </c>
    </row>
    <row r="7744" spans="1:7" ht="21.36" thickBot="1" customHeight="1">
      <c r="A7744" s="24" t="s">
        <v>24400</v>
      </c>
      <c r="B7744" s="24" t="s">
        <v>24401</v>
      </c>
      <c r="C7744" s="24" t="s">
        <v>24402</v>
      </c>
      <c r="D7744" s="25" t="s">
        <v>24403</v>
      </c>
      <c r="E7744" s="28">
        <v>0.33333</v>
      </c>
      <c r="F7744" s="29">
        <f ca="1">ROUND(1.290,3)</f>
        <v>0</v>
      </c>
      <c r="G7744" s="27">
        <f ca="1">ROUND(E7744*F7744,2)</f>
        <v>0</v>
      </c>
    </row>
    <row r="7745" spans="1:7" ht="30.60" thickBot="1" customHeight="1">
      <c r="A7745" s="24" t="s">
        <v>24404</v>
      </c>
      <c r="B7745" s="24" t="s">
        <v>24405</v>
      </c>
      <c r="C7745" s="24" t="s">
        <v>24406</v>
      </c>
      <c r="D7745" s="25" t="s">
        <v>24407</v>
      </c>
      <c r="E7745" s="28">
        <v>0.21000</v>
      </c>
      <c r="F7745" s="29">
        <f ca="1">ROUND(4.580,3)</f>
        <v>0</v>
      </c>
      <c r="G7745" s="27">
        <f ca="1">ROUND(E7745*F7745,2)</f>
        <v>0</v>
      </c>
    </row>
    <row r="7746" spans="1:7" ht="30.60" thickBot="1" customHeight="1">
      <c r="A7746" s="24" t="s">
        <v>24408</v>
      </c>
      <c r="B7746" s="24" t="s">
        <v>24409</v>
      </c>
      <c r="C7746" s="24" t="s">
        <v>24410</v>
      </c>
      <c r="D7746" s="25" t="s">
        <v>24411</v>
      </c>
      <c r="E7746" s="28">
        <v>0.05300</v>
      </c>
      <c r="F7746" s="29">
        <f ca="1">ROUND(6.090,3)</f>
        <v>0</v>
      </c>
      <c r="G7746" s="27">
        <f ca="1">ROUND(E7746*F7746,2)</f>
        <v>0</v>
      </c>
    </row>
    <row r="7747" spans="1:7" ht="30.60" thickBot="1" customHeight="1">
      <c r="A7747" s="24" t="s">
        <v>24412</v>
      </c>
      <c r="B7747" s="24" t="s">
        <v>24413</v>
      </c>
      <c r="C7747" s="24" t="s">
        <v>24414</v>
      </c>
      <c r="D7747" s="25" t="s">
        <v>24415</v>
      </c>
      <c r="E7747" s="28">
        <v>0.66667</v>
      </c>
      <c r="F7747" s="29">
        <f ca="1">ROUND(1.630,3)</f>
        <v>0</v>
      </c>
      <c r="G7747" s="27">
        <f ca="1">ROUND(E7747*F7747,2)</f>
        <v>0</v>
      </c>
    </row>
    <row r="7748" spans="1:7" ht="39.84" thickBot="1" customHeight="1">
      <c r="A7748" s="24" t="s">
        <v>24416</v>
      </c>
      <c r="B7748" s="24" t="s">
        <v>24417</v>
      </c>
      <c r="C7748" s="24" t="s">
        <v>24418</v>
      </c>
      <c r="D7748" s="25" t="s">
        <v>24419</v>
      </c>
      <c r="E7748" s="28">
        <v>0.05632</v>
      </c>
      <c r="F7748" s="29">
        <f ca="1">ROUND(7.370,3)</f>
        <v>0</v>
      </c>
      <c r="G7748" s="27">
        <f ca="1">ROUND(E7748*F7748,2)</f>
        <v>0</v>
      </c>
    </row>
    <row r="7749" spans="1:7" ht="30.60" thickBot="1" customHeight="1">
      <c r="A7749" s="24" t="s">
        <v>24420</v>
      </c>
      <c r="B7749" s="24" t="s">
        <v>24421</v>
      </c>
      <c r="C7749" s="24" t="s">
        <v>24422</v>
      </c>
      <c r="D7749" s="25" t="s">
        <v>24423</v>
      </c>
      <c r="E7749" s="28">
        <v>0.03333</v>
      </c>
      <c r="F7749" s="29">
        <f ca="1">ROUND(6.140,3)</f>
        <v>0</v>
      </c>
      <c r="G7749" s="27">
        <f ca="1">ROUND(E7749*F7749,2)</f>
        <v>0</v>
      </c>
    </row>
    <row r="7750" spans="1:7" ht="30.60" thickBot="1" customHeight="1">
      <c r="A7750" s="24" t="s">
        <v>24424</v>
      </c>
      <c r="B7750" s="24" t="s">
        <v>24425</v>
      </c>
      <c r="C7750" s="24" t="s">
        <v>24426</v>
      </c>
      <c r="D7750" s="25" t="s">
        <v>24427</v>
      </c>
      <c r="E7750" s="28">
        <v>0.08333</v>
      </c>
      <c r="F7750" s="29">
        <f ca="1">ROUND(7.930,3)</f>
        <v>0</v>
      </c>
      <c r="G7750" s="27">
        <f ca="1">ROUND(E7750*F7750,2)</f>
        <v>0</v>
      </c>
    </row>
    <row r="7751" spans="1:7" ht="21.36" thickBot="1" customHeight="1">
      <c r="A7751" s="24" t="s">
        <v>24428</v>
      </c>
      <c r="B7751" s="24" t="s">
        <v>24429</v>
      </c>
      <c r="C7751" s="24" t="s">
        <v>24430</v>
      </c>
      <c r="D7751" s="25" t="s">
        <v>24431</v>
      </c>
      <c r="E7751" s="28">
        <v>0.30000</v>
      </c>
      <c r="F7751" s="29">
        <f ca="1">ROUND(2.000,3)</f>
        <v>0</v>
      </c>
      <c r="G7751" s="27">
        <f ca="1">ROUND(E7751*F7751,2)</f>
        <v>0</v>
      </c>
    </row>
    <row r="7752" spans="1:7" ht="30.60" thickBot="1" customHeight="1">
      <c r="A7752" s="24" t="s">
        <v>24432</v>
      </c>
      <c r="B7752" s="24" t="s">
        <v>24433</v>
      </c>
      <c r="C7752" s="24" t="s">
        <v>24434</v>
      </c>
      <c r="D7752" s="25" t="s">
        <v>24435</v>
      </c>
      <c r="E7752" s="28">
        <v>0.10000</v>
      </c>
      <c r="F7752" s="29">
        <f ca="1">ROUND(4.920,3)</f>
        <v>0</v>
      </c>
      <c r="G7752" s="27">
        <f ca="1">ROUND(E7752*F7752,2)</f>
        <v>0</v>
      </c>
    </row>
    <row r="7753" spans="1:7" ht="21.36" thickBot="1" customHeight="1">
      <c r="A7753" s="24" t="s">
        <v>24436</v>
      </c>
      <c r="B7753" s="24" t="s">
        <v>24437</v>
      </c>
      <c r="C7753" s="24" t="s">
        <v>24438</v>
      </c>
      <c r="D7753" s="25" t="s">
        <v>24439</v>
      </c>
      <c r="E7753" s="28">
        <v>0.53333</v>
      </c>
      <c r="F7753" s="29">
        <f ca="1">F7757</f>
        <v>0</v>
      </c>
      <c r="G7753" s="27">
        <f ca="1">ROUND(E7753*F7753,2)</f>
        <v>0</v>
      </c>
    </row>
    <row r="7754" spans="1:7" ht="24.36" thickBot="1" customHeight="1">
      <c r="A7754" s="24" t="s">
        <v>24440</v>
      </c>
      <c r="B7754" s="24" t="s">
        <v>24441</v>
      </c>
      <c r="C7754" s="24" t="s">
        <v>24442</v>
      </c>
      <c r="D7754" s="25" t="s">
        <v>24443</v>
      </c>
      <c r="E7754" s="28">
        <v>1.00000</v>
      </c>
      <c r="F7754" s="29">
        <f ca="1">ROUND(21.000,3)</f>
        <v>0</v>
      </c>
      <c r="G7754" s="27">
        <f ca="1">ROUND(E7754*F7754,2)</f>
        <v>0</v>
      </c>
    </row>
    <row r="7755" spans="1:7" ht="24.36" thickBot="1" customHeight="1">
      <c r="A7755" s="24" t="s">
        <v>24444</v>
      </c>
      <c r="B7755" s="24" t="s">
        <v>24445</v>
      </c>
      <c r="C7755" s="24" t="s">
        <v>24446</v>
      </c>
      <c r="D7755" s="25" t="s">
        <v>24447</v>
      </c>
      <c r="E7755" s="28">
        <v>1.00000</v>
      </c>
      <c r="F7755" s="29">
        <f ca="1">ROUND(19.000,3)</f>
        <v>0</v>
      </c>
      <c r="G7755" s="27">
        <f ca="1">ROUND(E7755*F7755,2)</f>
        <v>0</v>
      </c>
    </row>
    <row r="7756" spans="1:7" ht="24.36" thickBot="1" customHeight="1">
      <c r="A7756" s="24" t="s">
        <v>24448</v>
      </c>
      <c r="B7756" s="24" t="s">
        <v>24449</v>
      </c>
      <c r="C7756" s="24" t="s">
        <v>24450</v>
      </c>
      <c r="D7756" s="25" t="s">
        <v>24451</v>
      </c>
      <c r="E7756" s="28">
        <v>0.20000</v>
      </c>
      <c r="F7756" s="29">
        <f ca="1">ROUND(19.000,3)</f>
        <v>0</v>
      </c>
      <c r="G7756" s="27">
        <f ca="1">ROUND(E7756*F7756,2)</f>
        <v>0</v>
      </c>
    </row>
    <row r="7757" spans="1:7" ht="15.12" thickBot="1" customHeight="1">
      <c r="A7757" s="26"/>
      <c r="B7757" s="26"/>
      <c r="C7757" s="26"/>
      <c r="D7757" s="24" t="s">
        <v>24452</v>
      </c>
      <c r="E7757" s="28">
        <v>0.53333</v>
      </c>
      <c r="F7757" s="29">
        <f ca="1">ROUND((G7754+G7755+G7756),3)</f>
        <v>0</v>
      </c>
      <c r="G7757" s="27">
        <f ca="1">ROUND(E7757*F7757,2)</f>
        <v>0</v>
      </c>
    </row>
    <row r="7758" spans="1:7" ht="15.12" thickBot="1" customHeight="1">
      <c r="A7758" s="24" t="s">
        <v>24453</v>
      </c>
      <c r="B7758" s="24"/>
      <c r="C7758" s="24" t="s">
        <v>24454</v>
      </c>
      <c r="D7758" s="25" t="s">
        <v>24455</v>
      </c>
      <c r="E7758" s="28">
        <v>5.00000</v>
      </c>
      <c r="F7758" s="29">
        <f ca="1">ROUND(23.360,3)</f>
        <v>0</v>
      </c>
      <c r="G7758" s="27">
        <f ca="1">ROUND((E7758*F7758)/100,2)</f>
        <v>0</v>
      </c>
    </row>
    <row r="7759" spans="1:7" ht="15.48" thickBot="1" customHeight="1">
      <c r="A7759" s="30"/>
      <c r="B7759" s="30"/>
      <c r="C7759" s="30"/>
      <c r="D7759" s="31" t="s">
        <v>24456</v>
      </c>
      <c r="E7759" s="30"/>
      <c r="F7759" s="33">
        <f ca="1">ROUND((G7742+G7743+G7744+G7745+G7746+G7747+G7748+G7749+G7750+G7751+G7752+G7753+G7758)*(1+G2/100),2)</f>
        <v>0</v>
      </c>
      <c r="G7759" s="30"/>
    </row>
    <row r="7760" spans="1:7" ht="39.84" thickBot="1" customHeight="1">
      <c r="A7760" s="34" t="s">
        <v>24457</v>
      </c>
      <c r="B7760" s="35" t="s">
        <v>24458</v>
      </c>
      <c r="C7760" s="35" t="s">
        <v>24459</v>
      </c>
      <c r="D7760" s="36" t="s">
        <v>24460</v>
      </c>
      <c r="E7760" s="37"/>
      <c r="F7760" s="38">
        <f ca="1">F7779</f>
        <v>0</v>
      </c>
      <c r="G7760" s="37"/>
    </row>
    <row r="7761" spans="1:7" ht="39.84" thickBot="1" customHeight="1">
      <c r="A7761" s="26"/>
      <c r="B7761" s="26"/>
      <c r="C7761" s="26"/>
      <c r="D7761" s="25" t="s">
        <v>24461</v>
      </c>
      <c r="E7761" s="25"/>
      <c r="F7761" s="25"/>
      <c r="G7761" s="25"/>
    </row>
    <row r="7762" spans="1:7" ht="30.60" thickBot="1" customHeight="1">
      <c r="A7762" s="24" t="s">
        <v>24462</v>
      </c>
      <c r="B7762" s="24" t="s">
        <v>24463</v>
      </c>
      <c r="C7762" s="24" t="s">
        <v>24464</v>
      </c>
      <c r="D7762" s="25" t="s">
        <v>24465</v>
      </c>
      <c r="E7762" s="28">
        <v>0.36667</v>
      </c>
      <c r="F7762" s="29">
        <f ca="1">ROUND(10.740,3)</f>
        <v>0</v>
      </c>
      <c r="G7762" s="27">
        <f ca="1">ROUND(E7762*F7762,2)</f>
        <v>0</v>
      </c>
    </row>
    <row r="7763" spans="1:7" ht="30.60" thickBot="1" customHeight="1">
      <c r="A7763" s="24" t="s">
        <v>24466</v>
      </c>
      <c r="B7763" s="24" t="s">
        <v>24467</v>
      </c>
      <c r="C7763" s="24" t="s">
        <v>24468</v>
      </c>
      <c r="D7763" s="25" t="s">
        <v>24469</v>
      </c>
      <c r="E7763" s="28">
        <v>0.30000</v>
      </c>
      <c r="F7763" s="29">
        <f ca="1">ROUND(11.050,3)</f>
        <v>0</v>
      </c>
      <c r="G7763" s="27">
        <f ca="1">ROUND(E7763*F7763,2)</f>
        <v>0</v>
      </c>
    </row>
    <row r="7764" spans="1:7" ht="21.36" thickBot="1" customHeight="1">
      <c r="A7764" s="24" t="s">
        <v>24470</v>
      </c>
      <c r="B7764" s="24" t="s">
        <v>24471</v>
      </c>
      <c r="C7764" s="24" t="s">
        <v>24472</v>
      </c>
      <c r="D7764" s="25" t="s">
        <v>24473</v>
      </c>
      <c r="E7764" s="28">
        <v>0.30000</v>
      </c>
      <c r="F7764" s="29">
        <f ca="1">ROUND(1.290,3)</f>
        <v>0</v>
      </c>
      <c r="G7764" s="27">
        <f ca="1">ROUND(E7764*F7764,2)</f>
        <v>0</v>
      </c>
    </row>
    <row r="7765" spans="1:7" ht="30.60" thickBot="1" customHeight="1">
      <c r="A7765" s="24" t="s">
        <v>24474</v>
      </c>
      <c r="B7765" s="24" t="s">
        <v>24475</v>
      </c>
      <c r="C7765" s="24" t="s">
        <v>24476</v>
      </c>
      <c r="D7765" s="25" t="s">
        <v>24477</v>
      </c>
      <c r="E7765" s="28">
        <v>0.21000</v>
      </c>
      <c r="F7765" s="29">
        <f ca="1">ROUND(4.580,3)</f>
        <v>0</v>
      </c>
      <c r="G7765" s="27">
        <f ca="1">ROUND(E7765*F7765,2)</f>
        <v>0</v>
      </c>
    </row>
    <row r="7766" spans="1:7" ht="30.60" thickBot="1" customHeight="1">
      <c r="A7766" s="24" t="s">
        <v>24478</v>
      </c>
      <c r="B7766" s="24" t="s">
        <v>24479</v>
      </c>
      <c r="C7766" s="24" t="s">
        <v>24480</v>
      </c>
      <c r="D7766" s="25" t="s">
        <v>24481</v>
      </c>
      <c r="E7766" s="28">
        <v>0.05300</v>
      </c>
      <c r="F7766" s="29">
        <f ca="1">ROUND(6.090,3)</f>
        <v>0</v>
      </c>
      <c r="G7766" s="27">
        <f ca="1">ROUND(E7766*F7766,2)</f>
        <v>0</v>
      </c>
    </row>
    <row r="7767" spans="1:7" ht="30.60" thickBot="1" customHeight="1">
      <c r="A7767" s="24" t="s">
        <v>24482</v>
      </c>
      <c r="B7767" s="24" t="s">
        <v>24483</v>
      </c>
      <c r="C7767" s="24" t="s">
        <v>24484</v>
      </c>
      <c r="D7767" s="25" t="s">
        <v>24485</v>
      </c>
      <c r="E7767" s="28">
        <v>0.66667</v>
      </c>
      <c r="F7767" s="29">
        <f ca="1">ROUND(1.630,3)</f>
        <v>0</v>
      </c>
      <c r="G7767" s="27">
        <f ca="1">ROUND(E7767*F7767,2)</f>
        <v>0</v>
      </c>
    </row>
    <row r="7768" spans="1:7" ht="39.84" thickBot="1" customHeight="1">
      <c r="A7768" s="24" t="s">
        <v>24486</v>
      </c>
      <c r="B7768" s="24" t="s">
        <v>24487</v>
      </c>
      <c r="C7768" s="24" t="s">
        <v>24488</v>
      </c>
      <c r="D7768" s="25" t="s">
        <v>24489</v>
      </c>
      <c r="E7768" s="28">
        <v>0.05632</v>
      </c>
      <c r="F7768" s="29">
        <f ca="1">ROUND(7.370,3)</f>
        <v>0</v>
      </c>
      <c r="G7768" s="27">
        <f ca="1">ROUND(E7768*F7768,2)</f>
        <v>0</v>
      </c>
    </row>
    <row r="7769" spans="1:7" ht="30.60" thickBot="1" customHeight="1">
      <c r="A7769" s="24" t="s">
        <v>24490</v>
      </c>
      <c r="B7769" s="24" t="s">
        <v>24491</v>
      </c>
      <c r="C7769" s="24" t="s">
        <v>24492</v>
      </c>
      <c r="D7769" s="25" t="s">
        <v>24493</v>
      </c>
      <c r="E7769" s="28">
        <v>0.03333</v>
      </c>
      <c r="F7769" s="29">
        <f ca="1">ROUND(6.140,3)</f>
        <v>0</v>
      </c>
      <c r="G7769" s="27">
        <f ca="1">ROUND(E7769*F7769,2)</f>
        <v>0</v>
      </c>
    </row>
    <row r="7770" spans="1:7" ht="30.60" thickBot="1" customHeight="1">
      <c r="A7770" s="24" t="s">
        <v>24494</v>
      </c>
      <c r="B7770" s="24" t="s">
        <v>24495</v>
      </c>
      <c r="C7770" s="24" t="s">
        <v>24496</v>
      </c>
      <c r="D7770" s="25" t="s">
        <v>24497</v>
      </c>
      <c r="E7770" s="28">
        <v>0.08333</v>
      </c>
      <c r="F7770" s="29">
        <f ca="1">ROUND(7.930,3)</f>
        <v>0</v>
      </c>
      <c r="G7770" s="27">
        <f ca="1">ROUND(E7770*F7770,2)</f>
        <v>0</v>
      </c>
    </row>
    <row r="7771" spans="1:7" ht="21.36" thickBot="1" customHeight="1">
      <c r="A7771" s="24" t="s">
        <v>24498</v>
      </c>
      <c r="B7771" s="24" t="s">
        <v>24499</v>
      </c>
      <c r="C7771" s="24" t="s">
        <v>24500</v>
      </c>
      <c r="D7771" s="25" t="s">
        <v>24501</v>
      </c>
      <c r="E7771" s="28">
        <v>0.30000</v>
      </c>
      <c r="F7771" s="29">
        <f ca="1">ROUND(2.000,3)</f>
        <v>0</v>
      </c>
      <c r="G7771" s="27">
        <f ca="1">ROUND(E7771*F7771,2)</f>
        <v>0</v>
      </c>
    </row>
    <row r="7772" spans="1:7" ht="30.60" thickBot="1" customHeight="1">
      <c r="A7772" s="24" t="s">
        <v>24502</v>
      </c>
      <c r="B7772" s="24" t="s">
        <v>24503</v>
      </c>
      <c r="C7772" s="24" t="s">
        <v>24504</v>
      </c>
      <c r="D7772" s="25" t="s">
        <v>24505</v>
      </c>
      <c r="E7772" s="28">
        <v>0.10000</v>
      </c>
      <c r="F7772" s="29">
        <f ca="1">ROUND(4.920,3)</f>
        <v>0</v>
      </c>
      <c r="G7772" s="27">
        <f ca="1">ROUND(E7772*F7772,2)</f>
        <v>0</v>
      </c>
    </row>
    <row r="7773" spans="1:7" ht="24.36" thickBot="1" customHeight="1">
      <c r="A7773" s="24" t="s">
        <v>24506</v>
      </c>
      <c r="B7773" s="24" t="s">
        <v>24507</v>
      </c>
      <c r="C7773" s="24" t="s">
        <v>24508</v>
      </c>
      <c r="D7773" s="25" t="s">
        <v>24509</v>
      </c>
      <c r="E7773" s="28">
        <v>0.90000</v>
      </c>
      <c r="F7773" s="29">
        <f ca="1">F7777</f>
        <v>0</v>
      </c>
      <c r="G7773" s="27">
        <f ca="1">ROUND(E7773*F7773,2)</f>
        <v>0</v>
      </c>
    </row>
    <row r="7774" spans="1:7" ht="24.36" thickBot="1" customHeight="1">
      <c r="A7774" s="24" t="s">
        <v>24510</v>
      </c>
      <c r="B7774" s="24" t="s">
        <v>24511</v>
      </c>
      <c r="C7774" s="24" t="s">
        <v>24512</v>
      </c>
      <c r="D7774" s="25" t="s">
        <v>24513</v>
      </c>
      <c r="E7774" s="28">
        <v>1.00000</v>
      </c>
      <c r="F7774" s="29">
        <f ca="1">ROUND(21.000,3)</f>
        <v>0</v>
      </c>
      <c r="G7774" s="27">
        <f ca="1">ROUND(E7774*F7774,2)</f>
        <v>0</v>
      </c>
    </row>
    <row r="7775" spans="1:7" ht="24.36" thickBot="1" customHeight="1">
      <c r="A7775" s="24" t="s">
        <v>24514</v>
      </c>
      <c r="B7775" s="24" t="s">
        <v>24515</v>
      </c>
      <c r="C7775" s="24" t="s">
        <v>24516</v>
      </c>
      <c r="D7775" s="25" t="s">
        <v>24517</v>
      </c>
      <c r="E7775" s="28">
        <v>1.00000</v>
      </c>
      <c r="F7775" s="29">
        <f ca="1">ROUND(19.000,3)</f>
        <v>0</v>
      </c>
      <c r="G7775" s="27">
        <f ca="1">ROUND(E7775*F7775,2)</f>
        <v>0</v>
      </c>
    </row>
    <row r="7776" spans="1:7" ht="24.36" thickBot="1" customHeight="1">
      <c r="A7776" s="24" t="s">
        <v>24518</v>
      </c>
      <c r="B7776" s="24" t="s">
        <v>24519</v>
      </c>
      <c r="C7776" s="24" t="s">
        <v>24520</v>
      </c>
      <c r="D7776" s="25" t="s">
        <v>24521</v>
      </c>
      <c r="E7776" s="28">
        <v>0.50000</v>
      </c>
      <c r="F7776" s="29">
        <f ca="1">ROUND(19.000,3)</f>
        <v>0</v>
      </c>
      <c r="G7776" s="27">
        <f ca="1">ROUND(E7776*F7776,2)</f>
        <v>0</v>
      </c>
    </row>
    <row r="7777" spans="1:7" ht="15.12" thickBot="1" customHeight="1">
      <c r="A7777" s="26"/>
      <c r="B7777" s="26"/>
      <c r="C7777" s="26"/>
      <c r="D7777" s="24" t="s">
        <v>24522</v>
      </c>
      <c r="E7777" s="28">
        <v>0.90000</v>
      </c>
      <c r="F7777" s="29">
        <f ca="1">ROUND((G7774+G7775+G7776),3)</f>
        <v>0</v>
      </c>
      <c r="G7777" s="27">
        <f ca="1">ROUND(E7777*F7777,2)</f>
        <v>0</v>
      </c>
    </row>
    <row r="7778" spans="1:7" ht="15.12" thickBot="1" customHeight="1">
      <c r="A7778" s="24" t="s">
        <v>24523</v>
      </c>
      <c r="B7778" s="24"/>
      <c r="C7778" s="24" t="s">
        <v>24524</v>
      </c>
      <c r="D7778" s="25" t="s">
        <v>24525</v>
      </c>
      <c r="E7778" s="28">
        <v>3.00000</v>
      </c>
      <c r="F7778" s="29">
        <f ca="1">ROUND(44.550,3)</f>
        <v>0</v>
      </c>
      <c r="G7778" s="27">
        <f ca="1">ROUND((E7778*F7778)/100,2)</f>
        <v>0</v>
      </c>
    </row>
    <row r="7779" spans="1:7" ht="15.48" thickBot="1" customHeight="1">
      <c r="A7779" s="30"/>
      <c r="B7779" s="30"/>
      <c r="C7779" s="30"/>
      <c r="D7779" s="31" t="s">
        <v>24526</v>
      </c>
      <c r="E7779" s="30"/>
      <c r="F7779" s="33">
        <f ca="1">ROUND((G7762+G7763+G7764+G7765+G7766+G7767+G7768+G7769+G7770+G7771+G7772+G7773+G7778)*(1+G2/100),2)</f>
        <v>0</v>
      </c>
      <c r="G7779" s="30"/>
    </row>
    <row r="7780" spans="1:7" ht="30.60" thickBot="1" customHeight="1">
      <c r="A7780" s="34" t="s">
        <v>24527</v>
      </c>
      <c r="B7780" s="35" t="s">
        <v>24528</v>
      </c>
      <c r="C7780" s="35" t="s">
        <v>24529</v>
      </c>
      <c r="D7780" s="36" t="s">
        <v>24530</v>
      </c>
      <c r="E7780" s="37"/>
      <c r="F7780" s="38">
        <f ca="1">F7799</f>
        <v>0</v>
      </c>
      <c r="G7780" s="37"/>
    </row>
    <row r="7781" spans="1:7" ht="39.84" thickBot="1" customHeight="1">
      <c r="A7781" s="26"/>
      <c r="B7781" s="26"/>
      <c r="C7781" s="26"/>
      <c r="D7781" s="25" t="s">
        <v>24531</v>
      </c>
      <c r="E7781" s="25"/>
      <c r="F7781" s="25"/>
      <c r="G7781" s="25"/>
    </row>
    <row r="7782" spans="1:7" ht="30.60" thickBot="1" customHeight="1">
      <c r="A7782" s="24" t="s">
        <v>24532</v>
      </c>
      <c r="B7782" s="24" t="s">
        <v>24533</v>
      </c>
      <c r="C7782" s="24" t="s">
        <v>24534</v>
      </c>
      <c r="D7782" s="25" t="s">
        <v>24535</v>
      </c>
      <c r="E7782" s="28">
        <v>0.36667</v>
      </c>
      <c r="F7782" s="29">
        <f ca="1">ROUND(12.750,3)</f>
        <v>0</v>
      </c>
      <c r="G7782" s="27">
        <f ca="1">ROUND(E7782*F7782,2)</f>
        <v>0</v>
      </c>
    </row>
    <row r="7783" spans="1:7" ht="30.60" thickBot="1" customHeight="1">
      <c r="A7783" s="24" t="s">
        <v>24536</v>
      </c>
      <c r="B7783" s="24" t="s">
        <v>24537</v>
      </c>
      <c r="C7783" s="24" t="s">
        <v>24538</v>
      </c>
      <c r="D7783" s="25" t="s">
        <v>24539</v>
      </c>
      <c r="E7783" s="28">
        <v>0.30000</v>
      </c>
      <c r="F7783" s="29">
        <f ca="1">ROUND(11.050,3)</f>
        <v>0</v>
      </c>
      <c r="G7783" s="27">
        <f ca="1">ROUND(E7783*F7783,2)</f>
        <v>0</v>
      </c>
    </row>
    <row r="7784" spans="1:7" ht="21.36" thickBot="1" customHeight="1">
      <c r="A7784" s="24" t="s">
        <v>24540</v>
      </c>
      <c r="B7784" s="24" t="s">
        <v>24541</v>
      </c>
      <c r="C7784" s="24" t="s">
        <v>24542</v>
      </c>
      <c r="D7784" s="25" t="s">
        <v>24543</v>
      </c>
      <c r="E7784" s="28">
        <v>0.30000</v>
      </c>
      <c r="F7784" s="29">
        <f ca="1">ROUND(1.590,3)</f>
        <v>0</v>
      </c>
      <c r="G7784" s="27">
        <f ca="1">ROUND(E7784*F7784,2)</f>
        <v>0</v>
      </c>
    </row>
    <row r="7785" spans="1:7" ht="30.60" thickBot="1" customHeight="1">
      <c r="A7785" s="24" t="s">
        <v>24544</v>
      </c>
      <c r="B7785" s="24" t="s">
        <v>24545</v>
      </c>
      <c r="C7785" s="24" t="s">
        <v>24546</v>
      </c>
      <c r="D7785" s="25" t="s">
        <v>24547</v>
      </c>
      <c r="E7785" s="28">
        <v>0.34666</v>
      </c>
      <c r="F7785" s="29">
        <f ca="1">ROUND(4.580,3)</f>
        <v>0</v>
      </c>
      <c r="G7785" s="27">
        <f ca="1">ROUND(E7785*F7785,2)</f>
        <v>0</v>
      </c>
    </row>
    <row r="7786" spans="1:7" ht="30.60" thickBot="1" customHeight="1">
      <c r="A7786" s="24" t="s">
        <v>24548</v>
      </c>
      <c r="B7786" s="24" t="s">
        <v>24549</v>
      </c>
      <c r="C7786" s="24" t="s">
        <v>24550</v>
      </c>
      <c r="D7786" s="25" t="s">
        <v>24551</v>
      </c>
      <c r="E7786" s="28">
        <v>0.06000</v>
      </c>
      <c r="F7786" s="29">
        <f ca="1">ROUND(6.090,3)</f>
        <v>0</v>
      </c>
      <c r="G7786" s="27">
        <f ca="1">ROUND(E7786*F7786,2)</f>
        <v>0</v>
      </c>
    </row>
    <row r="7787" spans="1:7" ht="30.60" thickBot="1" customHeight="1">
      <c r="A7787" s="24" t="s">
        <v>24552</v>
      </c>
      <c r="B7787" s="24" t="s">
        <v>24553</v>
      </c>
      <c r="C7787" s="24" t="s">
        <v>24554</v>
      </c>
      <c r="D7787" s="25" t="s">
        <v>24555</v>
      </c>
      <c r="E7787" s="28">
        <v>0.66667</v>
      </c>
      <c r="F7787" s="29">
        <f ca="1">ROUND(1.730,3)</f>
        <v>0</v>
      </c>
      <c r="G7787" s="27">
        <f ca="1">ROUND(E7787*F7787,2)</f>
        <v>0</v>
      </c>
    </row>
    <row r="7788" spans="1:7" ht="39.84" thickBot="1" customHeight="1">
      <c r="A7788" s="24" t="s">
        <v>24556</v>
      </c>
      <c r="B7788" s="24" t="s">
        <v>24557</v>
      </c>
      <c r="C7788" s="24" t="s">
        <v>24558</v>
      </c>
      <c r="D7788" s="25" t="s">
        <v>24559</v>
      </c>
      <c r="E7788" s="28">
        <v>0.05632</v>
      </c>
      <c r="F7788" s="29">
        <f ca="1">ROUND(7.370,3)</f>
        <v>0</v>
      </c>
      <c r="G7788" s="27">
        <f ca="1">ROUND(E7788*F7788,2)</f>
        <v>0</v>
      </c>
    </row>
    <row r="7789" spans="1:7" ht="30.60" thickBot="1" customHeight="1">
      <c r="A7789" s="24" t="s">
        <v>24560</v>
      </c>
      <c r="B7789" s="24" t="s">
        <v>24561</v>
      </c>
      <c r="C7789" s="24" t="s">
        <v>24562</v>
      </c>
      <c r="D7789" s="25" t="s">
        <v>24563</v>
      </c>
      <c r="E7789" s="28">
        <v>0.03333</v>
      </c>
      <c r="F7789" s="29">
        <f ca="1">ROUND(6.140,3)</f>
        <v>0</v>
      </c>
      <c r="G7789" s="27">
        <f ca="1">ROUND(E7789*F7789,2)</f>
        <v>0</v>
      </c>
    </row>
    <row r="7790" spans="1:7" ht="30.60" thickBot="1" customHeight="1">
      <c r="A7790" s="24" t="s">
        <v>24564</v>
      </c>
      <c r="B7790" s="24" t="s">
        <v>24565</v>
      </c>
      <c r="C7790" s="24" t="s">
        <v>24566</v>
      </c>
      <c r="D7790" s="25" t="s">
        <v>24567</v>
      </c>
      <c r="E7790" s="28">
        <v>0.08333</v>
      </c>
      <c r="F7790" s="29">
        <f ca="1">ROUND(7.930,3)</f>
        <v>0</v>
      </c>
      <c r="G7790" s="27">
        <f ca="1">ROUND(E7790*F7790,2)</f>
        <v>0</v>
      </c>
    </row>
    <row r="7791" spans="1:7" ht="21.36" thickBot="1" customHeight="1">
      <c r="A7791" s="24" t="s">
        <v>24568</v>
      </c>
      <c r="B7791" s="24" t="s">
        <v>24569</v>
      </c>
      <c r="C7791" s="24" t="s">
        <v>24570</v>
      </c>
      <c r="D7791" s="25" t="s">
        <v>24571</v>
      </c>
      <c r="E7791" s="28">
        <v>0.30000</v>
      </c>
      <c r="F7791" s="29">
        <f ca="1">ROUND(2.000,3)</f>
        <v>0</v>
      </c>
      <c r="G7791" s="27">
        <f ca="1">ROUND(E7791*F7791,2)</f>
        <v>0</v>
      </c>
    </row>
    <row r="7792" spans="1:7" ht="30.60" thickBot="1" customHeight="1">
      <c r="A7792" s="24" t="s">
        <v>24572</v>
      </c>
      <c r="B7792" s="24" t="s">
        <v>24573</v>
      </c>
      <c r="C7792" s="24" t="s">
        <v>24574</v>
      </c>
      <c r="D7792" s="25" t="s">
        <v>24575</v>
      </c>
      <c r="E7792" s="28">
        <v>0.10000</v>
      </c>
      <c r="F7792" s="29">
        <f ca="1">ROUND(4.920,3)</f>
        <v>0</v>
      </c>
      <c r="G7792" s="27">
        <f ca="1">ROUND(E7792*F7792,2)</f>
        <v>0</v>
      </c>
    </row>
    <row r="7793" spans="1:7" ht="21.36" thickBot="1" customHeight="1">
      <c r="A7793" s="24" t="s">
        <v>24576</v>
      </c>
      <c r="B7793" s="24" t="s">
        <v>24577</v>
      </c>
      <c r="C7793" s="24" t="s">
        <v>24578</v>
      </c>
      <c r="D7793" s="25" t="s">
        <v>24579</v>
      </c>
      <c r="E7793" s="28">
        <v>0.66667</v>
      </c>
      <c r="F7793" s="29">
        <f ca="1">F7797</f>
        <v>0</v>
      </c>
      <c r="G7793" s="27">
        <f ca="1">ROUND(E7793*F7793,2)</f>
        <v>0</v>
      </c>
    </row>
    <row r="7794" spans="1:7" ht="24.36" thickBot="1" customHeight="1">
      <c r="A7794" s="24" t="s">
        <v>24580</v>
      </c>
      <c r="B7794" s="24" t="s">
        <v>24581</v>
      </c>
      <c r="C7794" s="24" t="s">
        <v>24582</v>
      </c>
      <c r="D7794" s="25" t="s">
        <v>24583</v>
      </c>
      <c r="E7794" s="28">
        <v>1.00000</v>
      </c>
      <c r="F7794" s="29">
        <f ca="1">ROUND(21.000,3)</f>
        <v>0</v>
      </c>
      <c r="G7794" s="27">
        <f ca="1">ROUND(E7794*F7794,2)</f>
        <v>0</v>
      </c>
    </row>
    <row r="7795" spans="1:7" ht="24.36" thickBot="1" customHeight="1">
      <c r="A7795" s="24" t="s">
        <v>24584</v>
      </c>
      <c r="B7795" s="24" t="s">
        <v>24585</v>
      </c>
      <c r="C7795" s="24" t="s">
        <v>24586</v>
      </c>
      <c r="D7795" s="25" t="s">
        <v>24587</v>
      </c>
      <c r="E7795" s="28">
        <v>1.00000</v>
      </c>
      <c r="F7795" s="29">
        <f ca="1">ROUND(19.000,3)</f>
        <v>0</v>
      </c>
      <c r="G7795" s="27">
        <f ca="1">ROUND(E7795*F7795,2)</f>
        <v>0</v>
      </c>
    </row>
    <row r="7796" spans="1:7" ht="24.36" thickBot="1" customHeight="1">
      <c r="A7796" s="24" t="s">
        <v>24588</v>
      </c>
      <c r="B7796" s="24" t="s">
        <v>24589</v>
      </c>
      <c r="C7796" s="24" t="s">
        <v>24590</v>
      </c>
      <c r="D7796" s="25" t="s">
        <v>24591</v>
      </c>
      <c r="E7796" s="28">
        <v>0.20000</v>
      </c>
      <c r="F7796" s="29">
        <f ca="1">ROUND(19.000,3)</f>
        <v>0</v>
      </c>
      <c r="G7796" s="27">
        <f ca="1">ROUND(E7796*F7796,2)</f>
        <v>0</v>
      </c>
    </row>
    <row r="7797" spans="1:7" ht="15.12" thickBot="1" customHeight="1">
      <c r="A7797" s="26"/>
      <c r="B7797" s="26"/>
      <c r="C7797" s="26"/>
      <c r="D7797" s="24" t="s">
        <v>24592</v>
      </c>
      <c r="E7797" s="28">
        <v>0.66667</v>
      </c>
      <c r="F7797" s="29">
        <f ca="1">ROUND((G7794+G7795+G7796),3)</f>
        <v>0</v>
      </c>
      <c r="G7797" s="27">
        <f ca="1">ROUND(E7797*F7797,2)</f>
        <v>0</v>
      </c>
    </row>
    <row r="7798" spans="1:7" ht="15.12" thickBot="1" customHeight="1">
      <c r="A7798" s="24" t="s">
        <v>24593</v>
      </c>
      <c r="B7798" s="24"/>
      <c r="C7798" s="24" t="s">
        <v>24594</v>
      </c>
      <c r="D7798" s="25" t="s">
        <v>24595</v>
      </c>
      <c r="E7798" s="28">
        <v>3.00000</v>
      </c>
      <c r="F7798" s="29">
        <f ca="1">ROUND(29.200,3)</f>
        <v>0</v>
      </c>
      <c r="G7798" s="27">
        <f ca="1">ROUND((E7798*F7798)/100,2)</f>
        <v>0</v>
      </c>
    </row>
    <row r="7799" spans="1:7" ht="15.48" thickBot="1" customHeight="1">
      <c r="A7799" s="30"/>
      <c r="B7799" s="30"/>
      <c r="C7799" s="30"/>
      <c r="D7799" s="31" t="s">
        <v>24596</v>
      </c>
      <c r="E7799" s="30"/>
      <c r="F7799" s="33">
        <f ca="1">ROUND((G7782+G7783+G7784+G7785+G7786+G7787+G7788+G7789+G7790+G7791+G7792+G7793+G7798)*(1+G2/100),2)</f>
        <v>0</v>
      </c>
      <c r="G7799" s="30"/>
    </row>
    <row r="7800" spans="1:7" ht="39.84" thickBot="1" customHeight="1">
      <c r="A7800" s="34" t="s">
        <v>24597</v>
      </c>
      <c r="B7800" s="35" t="s">
        <v>24598</v>
      </c>
      <c r="C7800" s="35" t="s">
        <v>24599</v>
      </c>
      <c r="D7800" s="36" t="s">
        <v>24600</v>
      </c>
      <c r="E7800" s="37"/>
      <c r="F7800" s="38">
        <f ca="1">F7819</f>
        <v>0</v>
      </c>
      <c r="G7800" s="37"/>
    </row>
    <row r="7801" spans="1:7" ht="39.84" thickBot="1" customHeight="1">
      <c r="A7801" s="26"/>
      <c r="B7801" s="26"/>
      <c r="C7801" s="26"/>
      <c r="D7801" s="25" t="s">
        <v>24601</v>
      </c>
      <c r="E7801" s="25"/>
      <c r="F7801" s="25"/>
      <c r="G7801" s="25"/>
    </row>
    <row r="7802" spans="1:7" ht="30.60" thickBot="1" customHeight="1">
      <c r="A7802" s="24" t="s">
        <v>24602</v>
      </c>
      <c r="B7802" s="24" t="s">
        <v>24603</v>
      </c>
      <c r="C7802" s="24" t="s">
        <v>24604</v>
      </c>
      <c r="D7802" s="25" t="s">
        <v>24605</v>
      </c>
      <c r="E7802" s="28">
        <v>0.36667</v>
      </c>
      <c r="F7802" s="29">
        <f ca="1">ROUND(12.750,3)</f>
        <v>0</v>
      </c>
      <c r="G7802" s="27">
        <f ca="1">ROUND(E7802*F7802,2)</f>
        <v>0</v>
      </c>
    </row>
    <row r="7803" spans="1:7" ht="30.60" thickBot="1" customHeight="1">
      <c r="A7803" s="24" t="s">
        <v>24606</v>
      </c>
      <c r="B7803" s="24" t="s">
        <v>24607</v>
      </c>
      <c r="C7803" s="24" t="s">
        <v>24608</v>
      </c>
      <c r="D7803" s="25" t="s">
        <v>24609</v>
      </c>
      <c r="E7803" s="28">
        <v>0.30000</v>
      </c>
      <c r="F7803" s="29">
        <f ca="1">ROUND(11.050,3)</f>
        <v>0</v>
      </c>
      <c r="G7803" s="27">
        <f ca="1">ROUND(E7803*F7803,2)</f>
        <v>0</v>
      </c>
    </row>
    <row r="7804" spans="1:7" ht="21.36" thickBot="1" customHeight="1">
      <c r="A7804" s="24" t="s">
        <v>24610</v>
      </c>
      <c r="B7804" s="24" t="s">
        <v>24611</v>
      </c>
      <c r="C7804" s="24" t="s">
        <v>24612</v>
      </c>
      <c r="D7804" s="25" t="s">
        <v>24613</v>
      </c>
      <c r="E7804" s="28">
        <v>0.30000</v>
      </c>
      <c r="F7804" s="29">
        <f ca="1">ROUND(1.590,3)</f>
        <v>0</v>
      </c>
      <c r="G7804" s="27">
        <f ca="1">ROUND(E7804*F7804,2)</f>
        <v>0</v>
      </c>
    </row>
    <row r="7805" spans="1:7" ht="30.60" thickBot="1" customHeight="1">
      <c r="A7805" s="24" t="s">
        <v>24614</v>
      </c>
      <c r="B7805" s="24" t="s">
        <v>24615</v>
      </c>
      <c r="C7805" s="24" t="s">
        <v>24616</v>
      </c>
      <c r="D7805" s="25" t="s">
        <v>24617</v>
      </c>
      <c r="E7805" s="28">
        <v>0.34666</v>
      </c>
      <c r="F7805" s="29">
        <f ca="1">ROUND(4.580,3)</f>
        <v>0</v>
      </c>
      <c r="G7805" s="27">
        <f ca="1">ROUND(E7805*F7805,2)</f>
        <v>0</v>
      </c>
    </row>
    <row r="7806" spans="1:7" ht="30.60" thickBot="1" customHeight="1">
      <c r="A7806" s="24" t="s">
        <v>24618</v>
      </c>
      <c r="B7806" s="24" t="s">
        <v>24619</v>
      </c>
      <c r="C7806" s="24" t="s">
        <v>24620</v>
      </c>
      <c r="D7806" s="25" t="s">
        <v>24621</v>
      </c>
      <c r="E7806" s="28">
        <v>0.06000</v>
      </c>
      <c r="F7806" s="29">
        <f ca="1">ROUND(6.090,3)</f>
        <v>0</v>
      </c>
      <c r="G7806" s="27">
        <f ca="1">ROUND(E7806*F7806,2)</f>
        <v>0</v>
      </c>
    </row>
    <row r="7807" spans="1:7" ht="30.60" thickBot="1" customHeight="1">
      <c r="A7807" s="24" t="s">
        <v>24622</v>
      </c>
      <c r="B7807" s="24" t="s">
        <v>24623</v>
      </c>
      <c r="C7807" s="24" t="s">
        <v>24624</v>
      </c>
      <c r="D7807" s="25" t="s">
        <v>24625</v>
      </c>
      <c r="E7807" s="28">
        <v>0.66667</v>
      </c>
      <c r="F7807" s="29">
        <f ca="1">ROUND(1.730,3)</f>
        <v>0</v>
      </c>
      <c r="G7807" s="27">
        <f ca="1">ROUND(E7807*F7807,2)</f>
        <v>0</v>
      </c>
    </row>
    <row r="7808" spans="1:7" ht="39.84" thickBot="1" customHeight="1">
      <c r="A7808" s="24" t="s">
        <v>24626</v>
      </c>
      <c r="B7808" s="24" t="s">
        <v>24627</v>
      </c>
      <c r="C7808" s="24" t="s">
        <v>24628</v>
      </c>
      <c r="D7808" s="25" t="s">
        <v>24629</v>
      </c>
      <c r="E7808" s="28">
        <v>0.05632</v>
      </c>
      <c r="F7808" s="29">
        <f ca="1">ROUND(7.370,3)</f>
        <v>0</v>
      </c>
      <c r="G7808" s="27">
        <f ca="1">ROUND(E7808*F7808,2)</f>
        <v>0</v>
      </c>
    </row>
    <row r="7809" spans="1:7" ht="30.60" thickBot="1" customHeight="1">
      <c r="A7809" s="24" t="s">
        <v>24630</v>
      </c>
      <c r="B7809" s="24" t="s">
        <v>24631</v>
      </c>
      <c r="C7809" s="24" t="s">
        <v>24632</v>
      </c>
      <c r="D7809" s="25" t="s">
        <v>24633</v>
      </c>
      <c r="E7809" s="28">
        <v>0.03333</v>
      </c>
      <c r="F7809" s="29">
        <f ca="1">ROUND(6.140,3)</f>
        <v>0</v>
      </c>
      <c r="G7809" s="27">
        <f ca="1">ROUND(E7809*F7809,2)</f>
        <v>0</v>
      </c>
    </row>
    <row r="7810" spans="1:7" ht="30.60" thickBot="1" customHeight="1">
      <c r="A7810" s="24" t="s">
        <v>24634</v>
      </c>
      <c r="B7810" s="24" t="s">
        <v>24635</v>
      </c>
      <c r="C7810" s="24" t="s">
        <v>24636</v>
      </c>
      <c r="D7810" s="25" t="s">
        <v>24637</v>
      </c>
      <c r="E7810" s="28">
        <v>0.08333</v>
      </c>
      <c r="F7810" s="29">
        <f ca="1">ROUND(7.930,3)</f>
        <v>0</v>
      </c>
      <c r="G7810" s="27">
        <f ca="1">ROUND(E7810*F7810,2)</f>
        <v>0</v>
      </c>
    </row>
    <row r="7811" spans="1:7" ht="21.36" thickBot="1" customHeight="1">
      <c r="A7811" s="24" t="s">
        <v>24638</v>
      </c>
      <c r="B7811" s="24" t="s">
        <v>24639</v>
      </c>
      <c r="C7811" s="24" t="s">
        <v>24640</v>
      </c>
      <c r="D7811" s="25" t="s">
        <v>24641</v>
      </c>
      <c r="E7811" s="28">
        <v>0.30000</v>
      </c>
      <c r="F7811" s="29">
        <f ca="1">ROUND(2.000,3)</f>
        <v>0</v>
      </c>
      <c r="G7811" s="27">
        <f ca="1">ROUND(E7811*F7811,2)</f>
        <v>0</v>
      </c>
    </row>
    <row r="7812" spans="1:7" ht="30.60" thickBot="1" customHeight="1">
      <c r="A7812" s="24" t="s">
        <v>24642</v>
      </c>
      <c r="B7812" s="24" t="s">
        <v>24643</v>
      </c>
      <c r="C7812" s="24" t="s">
        <v>24644</v>
      </c>
      <c r="D7812" s="25" t="s">
        <v>24645</v>
      </c>
      <c r="E7812" s="28">
        <v>0.10000</v>
      </c>
      <c r="F7812" s="29">
        <f ca="1">ROUND(4.920,3)</f>
        <v>0</v>
      </c>
      <c r="G7812" s="27">
        <f ca="1">ROUND(E7812*F7812,2)</f>
        <v>0</v>
      </c>
    </row>
    <row r="7813" spans="1:7" ht="24.36" thickBot="1" customHeight="1">
      <c r="A7813" s="24" t="s">
        <v>24646</v>
      </c>
      <c r="B7813" s="24" t="s">
        <v>24647</v>
      </c>
      <c r="C7813" s="24" t="s">
        <v>24648</v>
      </c>
      <c r="D7813" s="25" t="s">
        <v>24649</v>
      </c>
      <c r="E7813" s="28">
        <v>1.00000</v>
      </c>
      <c r="F7813" s="29">
        <f ca="1">F7817</f>
        <v>0</v>
      </c>
      <c r="G7813" s="27">
        <f ca="1">ROUND(E7813*F7813,2)</f>
        <v>0</v>
      </c>
    </row>
    <row r="7814" spans="1:7" ht="24.36" thickBot="1" customHeight="1">
      <c r="A7814" s="24" t="s">
        <v>24650</v>
      </c>
      <c r="B7814" s="24" t="s">
        <v>24651</v>
      </c>
      <c r="C7814" s="24" t="s">
        <v>24652</v>
      </c>
      <c r="D7814" s="25" t="s">
        <v>24653</v>
      </c>
      <c r="E7814" s="28">
        <v>1.00000</v>
      </c>
      <c r="F7814" s="29">
        <f ca="1">ROUND(21.000,3)</f>
        <v>0</v>
      </c>
      <c r="G7814" s="27">
        <f ca="1">ROUND(E7814*F7814,2)</f>
        <v>0</v>
      </c>
    </row>
    <row r="7815" spans="1:7" ht="24.36" thickBot="1" customHeight="1">
      <c r="A7815" s="24" t="s">
        <v>24654</v>
      </c>
      <c r="B7815" s="24" t="s">
        <v>24655</v>
      </c>
      <c r="C7815" s="24" t="s">
        <v>24656</v>
      </c>
      <c r="D7815" s="25" t="s">
        <v>24657</v>
      </c>
      <c r="E7815" s="28">
        <v>1.00000</v>
      </c>
      <c r="F7815" s="29">
        <f ca="1">ROUND(19.000,3)</f>
        <v>0</v>
      </c>
      <c r="G7815" s="27">
        <f ca="1">ROUND(E7815*F7815,2)</f>
        <v>0</v>
      </c>
    </row>
    <row r="7816" spans="1:7" ht="24.36" thickBot="1" customHeight="1">
      <c r="A7816" s="24" t="s">
        <v>24658</v>
      </c>
      <c r="B7816" s="24" t="s">
        <v>24659</v>
      </c>
      <c r="C7816" s="24" t="s">
        <v>24660</v>
      </c>
      <c r="D7816" s="25" t="s">
        <v>24661</v>
      </c>
      <c r="E7816" s="28">
        <v>0.50000</v>
      </c>
      <c r="F7816" s="29">
        <f ca="1">ROUND(19.000,3)</f>
        <v>0</v>
      </c>
      <c r="G7816" s="27">
        <f ca="1">ROUND(E7816*F7816,2)</f>
        <v>0</v>
      </c>
    </row>
    <row r="7817" spans="1:7" ht="15.12" thickBot="1" customHeight="1">
      <c r="A7817" s="26"/>
      <c r="B7817" s="26"/>
      <c r="C7817" s="26"/>
      <c r="D7817" s="24" t="s">
        <v>24662</v>
      </c>
      <c r="E7817" s="28">
        <v>1.00000</v>
      </c>
      <c r="F7817" s="29">
        <f ca="1">ROUND((G7814+G7815+G7816),3)</f>
        <v>0</v>
      </c>
      <c r="G7817" s="27">
        <f ca="1">ROUND(E7817*F7817,2)</f>
        <v>0</v>
      </c>
    </row>
    <row r="7818" spans="1:7" ht="15.12" thickBot="1" customHeight="1">
      <c r="A7818" s="24" t="s">
        <v>24663</v>
      </c>
      <c r="B7818" s="24"/>
      <c r="C7818" s="24" t="s">
        <v>24664</v>
      </c>
      <c r="D7818" s="25" t="s">
        <v>24665</v>
      </c>
      <c r="E7818" s="28">
        <v>3.00000</v>
      </c>
      <c r="F7818" s="29">
        <f ca="1">ROUND(49.500,3)</f>
        <v>0</v>
      </c>
      <c r="G7818" s="27">
        <f ca="1">ROUND((E7818*F7818)/100,2)</f>
        <v>0</v>
      </c>
    </row>
    <row r="7819" spans="1:7" ht="15.48" thickBot="1" customHeight="1">
      <c r="A7819" s="30"/>
      <c r="B7819" s="30"/>
      <c r="C7819" s="30"/>
      <c r="D7819" s="31" t="s">
        <v>24666</v>
      </c>
      <c r="E7819" s="30"/>
      <c r="F7819" s="33">
        <f ca="1">ROUND((G7802+G7803+G7804+G7805+G7806+G7807+G7808+G7809+G7810+G7811+G7812+G7813+G7818)*(1+G2/100),2)</f>
        <v>0</v>
      </c>
      <c r="G7819" s="30"/>
    </row>
    <row r="7820" spans="1:7" ht="30.60" thickBot="1" customHeight="1">
      <c r="A7820" s="34" t="s">
        <v>24667</v>
      </c>
      <c r="B7820" s="35" t="s">
        <v>24668</v>
      </c>
      <c r="C7820" s="35" t="s">
        <v>24669</v>
      </c>
      <c r="D7820" s="36" t="s">
        <v>24670</v>
      </c>
      <c r="E7820" s="37"/>
      <c r="F7820" s="38">
        <f ca="1">F7843</f>
        <v>0</v>
      </c>
      <c r="G7820" s="37"/>
    </row>
    <row r="7821" spans="1:7" ht="39.84" thickBot="1" customHeight="1">
      <c r="A7821" s="26"/>
      <c r="B7821" s="26"/>
      <c r="C7821" s="26"/>
      <c r="D7821" s="25" t="s">
        <v>24671</v>
      </c>
      <c r="E7821" s="25"/>
      <c r="F7821" s="25"/>
      <c r="G7821" s="25"/>
    </row>
    <row r="7822" spans="1:7" ht="30.60" thickBot="1" customHeight="1">
      <c r="A7822" s="24" t="s">
        <v>24672</v>
      </c>
      <c r="B7822" s="24" t="s">
        <v>24673</v>
      </c>
      <c r="C7822" s="24" t="s">
        <v>24674</v>
      </c>
      <c r="D7822" s="25" t="s">
        <v>24675</v>
      </c>
      <c r="E7822" s="28">
        <v>0.36667</v>
      </c>
      <c r="F7822" s="29">
        <f ca="1">ROUND(45.350,3)</f>
        <v>0</v>
      </c>
      <c r="G7822" s="27">
        <f ca="1">ROUND(E7822*F7822,2)</f>
        <v>0</v>
      </c>
    </row>
    <row r="7823" spans="1:7" ht="21.36" thickBot="1" customHeight="1">
      <c r="A7823" s="24" t="s">
        <v>24676</v>
      </c>
      <c r="B7823" s="24" t="s">
        <v>24677</v>
      </c>
      <c r="C7823" s="24" t="s">
        <v>24678</v>
      </c>
      <c r="D7823" s="25" t="s">
        <v>24679</v>
      </c>
      <c r="E7823" s="28">
        <v>0.33333</v>
      </c>
      <c r="F7823" s="29">
        <f ca="1">ROUND(42.790,3)</f>
        <v>0</v>
      </c>
      <c r="G7823" s="27">
        <f ca="1">ROUND(E7823*F7823,2)</f>
        <v>0</v>
      </c>
    </row>
    <row r="7824" spans="1:7" ht="21.36" thickBot="1" customHeight="1">
      <c r="A7824" s="24" t="s">
        <v>24680</v>
      </c>
      <c r="B7824" s="24" t="s">
        <v>24681</v>
      </c>
      <c r="C7824" s="24" t="s">
        <v>24682</v>
      </c>
      <c r="D7824" s="25" t="s">
        <v>24683</v>
      </c>
      <c r="E7824" s="28">
        <v>0.33333</v>
      </c>
      <c r="F7824" s="29">
        <f ca="1">ROUND(8.580,3)</f>
        <v>0</v>
      </c>
      <c r="G7824" s="27">
        <f ca="1">ROUND(E7824*F7824,2)</f>
        <v>0</v>
      </c>
    </row>
    <row r="7825" spans="1:7" ht="21.36" thickBot="1" customHeight="1">
      <c r="A7825" s="24" t="s">
        <v>24684</v>
      </c>
      <c r="B7825" s="24" t="s">
        <v>24685</v>
      </c>
      <c r="C7825" s="24" t="s">
        <v>24686</v>
      </c>
      <c r="D7825" s="25" t="s">
        <v>24687</v>
      </c>
      <c r="E7825" s="28">
        <v>0.33333</v>
      </c>
      <c r="F7825" s="29">
        <f ca="1">ROUND(8.840,3)</f>
        <v>0</v>
      </c>
      <c r="G7825" s="27">
        <f ca="1">ROUND(E7825*F7825,2)</f>
        <v>0</v>
      </c>
    </row>
    <row r="7826" spans="1:7" ht="21.36" thickBot="1" customHeight="1">
      <c r="A7826" s="24" t="s">
        <v>24688</v>
      </c>
      <c r="B7826" s="24" t="s">
        <v>24689</v>
      </c>
      <c r="C7826" s="24" t="s">
        <v>24690</v>
      </c>
      <c r="D7826" s="25" t="s">
        <v>24691</v>
      </c>
      <c r="E7826" s="28">
        <v>0.11111</v>
      </c>
      <c r="F7826" s="29">
        <f ca="1">ROUND(16.740,3)</f>
        <v>0</v>
      </c>
      <c r="G7826" s="27">
        <f ca="1">ROUND(E7826*F7826,2)</f>
        <v>0</v>
      </c>
    </row>
    <row r="7827" spans="1:7" ht="30.60" thickBot="1" customHeight="1">
      <c r="A7827" s="24" t="s">
        <v>24692</v>
      </c>
      <c r="B7827" s="24" t="s">
        <v>24693</v>
      </c>
      <c r="C7827" s="24" t="s">
        <v>24694</v>
      </c>
      <c r="D7827" s="25" t="s">
        <v>24695</v>
      </c>
      <c r="E7827" s="28">
        <v>0.66667</v>
      </c>
      <c r="F7827" s="29">
        <f ca="1">ROUND(3.490,3)</f>
        <v>0</v>
      </c>
      <c r="G7827" s="27">
        <f ca="1">ROUND(E7827*F7827,2)</f>
        <v>0</v>
      </c>
    </row>
    <row r="7828" spans="1:7" ht="39.84" thickBot="1" customHeight="1">
      <c r="A7828" s="24" t="s">
        <v>24696</v>
      </c>
      <c r="B7828" s="24" t="s">
        <v>24697</v>
      </c>
      <c r="C7828" s="24" t="s">
        <v>24698</v>
      </c>
      <c r="D7828" s="25" t="s">
        <v>24699</v>
      </c>
      <c r="E7828" s="28">
        <v>0.06667</v>
      </c>
      <c r="F7828" s="29">
        <f ca="1">ROUND(19.710,3)</f>
        <v>0</v>
      </c>
      <c r="G7828" s="27">
        <f ca="1">ROUND(E7828*F7828,2)</f>
        <v>0</v>
      </c>
    </row>
    <row r="7829" spans="1:7" ht="30.60" thickBot="1" customHeight="1">
      <c r="A7829" s="24" t="s">
        <v>24700</v>
      </c>
      <c r="B7829" s="24" t="s">
        <v>24701</v>
      </c>
      <c r="C7829" s="24" t="s">
        <v>24702</v>
      </c>
      <c r="D7829" s="25" t="s">
        <v>24703</v>
      </c>
      <c r="E7829" s="28">
        <v>0.66667</v>
      </c>
      <c r="F7829" s="29">
        <f ca="1">ROUND(3.270,3)</f>
        <v>0</v>
      </c>
      <c r="G7829" s="27">
        <f ca="1">ROUND(E7829*F7829,2)</f>
        <v>0</v>
      </c>
    </row>
    <row r="7830" spans="1:7" ht="30.60" thickBot="1" customHeight="1">
      <c r="A7830" s="24" t="s">
        <v>24704</v>
      </c>
      <c r="B7830" s="24" t="s">
        <v>24705</v>
      </c>
      <c r="C7830" s="24" t="s">
        <v>24706</v>
      </c>
      <c r="D7830" s="25" t="s">
        <v>24707</v>
      </c>
      <c r="E7830" s="28">
        <v>0.11000</v>
      </c>
      <c r="F7830" s="29">
        <f ca="1">ROUND(4.580,3)</f>
        <v>0</v>
      </c>
      <c r="G7830" s="27">
        <f ca="1">ROUND(E7830*F7830,2)</f>
        <v>0</v>
      </c>
    </row>
    <row r="7831" spans="1:7" ht="30.60" thickBot="1" customHeight="1">
      <c r="A7831" s="24" t="s">
        <v>24708</v>
      </c>
      <c r="B7831" s="24" t="s">
        <v>24709</v>
      </c>
      <c r="C7831" s="24" t="s">
        <v>24710</v>
      </c>
      <c r="D7831" s="25" t="s">
        <v>24711</v>
      </c>
      <c r="E7831" s="28">
        <v>0.15000</v>
      </c>
      <c r="F7831" s="29">
        <f ca="1">ROUND(6.090,3)</f>
        <v>0</v>
      </c>
      <c r="G7831" s="27">
        <f ca="1">ROUND(E7831*F7831,2)</f>
        <v>0</v>
      </c>
    </row>
    <row r="7832" spans="1:7" ht="39.84" thickBot="1" customHeight="1">
      <c r="A7832" s="24" t="s">
        <v>24712</v>
      </c>
      <c r="B7832" s="24" t="s">
        <v>24713</v>
      </c>
      <c r="C7832" s="24" t="s">
        <v>24714</v>
      </c>
      <c r="D7832" s="25" t="s">
        <v>24715</v>
      </c>
      <c r="E7832" s="28">
        <v>0.12500</v>
      </c>
      <c r="F7832" s="29">
        <f ca="1">ROUND(7.370,3)</f>
        <v>0</v>
      </c>
      <c r="G7832" s="27">
        <f ca="1">ROUND(E7832*F7832,2)</f>
        <v>0</v>
      </c>
    </row>
    <row r="7833" spans="1:7" ht="30.60" thickBot="1" customHeight="1">
      <c r="A7833" s="24" t="s">
        <v>24716</v>
      </c>
      <c r="B7833" s="24" t="s">
        <v>24717</v>
      </c>
      <c r="C7833" s="24" t="s">
        <v>24718</v>
      </c>
      <c r="D7833" s="25" t="s">
        <v>24719</v>
      </c>
      <c r="E7833" s="28">
        <v>0.06650</v>
      </c>
      <c r="F7833" s="29">
        <f ca="1">ROUND(6.140,3)</f>
        <v>0</v>
      </c>
      <c r="G7833" s="27">
        <f ca="1">ROUND(E7833*F7833,2)</f>
        <v>0</v>
      </c>
    </row>
    <row r="7834" spans="1:7" ht="30.60" thickBot="1" customHeight="1">
      <c r="A7834" s="24" t="s">
        <v>24720</v>
      </c>
      <c r="B7834" s="24" t="s">
        <v>24721</v>
      </c>
      <c r="C7834" s="24" t="s">
        <v>24722</v>
      </c>
      <c r="D7834" s="25" t="s">
        <v>24723</v>
      </c>
      <c r="E7834" s="28">
        <v>0.16625</v>
      </c>
      <c r="F7834" s="29">
        <f ca="1">ROUND(7.930,3)</f>
        <v>0</v>
      </c>
      <c r="G7834" s="27">
        <f ca="1">ROUND(E7834*F7834,2)</f>
        <v>0</v>
      </c>
    </row>
    <row r="7835" spans="1:7" ht="21.36" thickBot="1" customHeight="1">
      <c r="A7835" s="24" t="s">
        <v>24724</v>
      </c>
      <c r="B7835" s="24" t="s">
        <v>24725</v>
      </c>
      <c r="C7835" s="24" t="s">
        <v>24726</v>
      </c>
      <c r="D7835" s="25" t="s">
        <v>24727</v>
      </c>
      <c r="E7835" s="28">
        <v>0.50000</v>
      </c>
      <c r="F7835" s="29">
        <f ca="1">ROUND(2.000,3)</f>
        <v>0</v>
      </c>
      <c r="G7835" s="27">
        <f ca="1">ROUND(E7835*F7835,2)</f>
        <v>0</v>
      </c>
    </row>
    <row r="7836" spans="1:7" ht="30.60" thickBot="1" customHeight="1">
      <c r="A7836" s="24" t="s">
        <v>24728</v>
      </c>
      <c r="B7836" s="24" t="s">
        <v>24729</v>
      </c>
      <c r="C7836" s="24" t="s">
        <v>24730</v>
      </c>
      <c r="D7836" s="25" t="s">
        <v>24731</v>
      </c>
      <c r="E7836" s="28">
        <v>0.03300</v>
      </c>
      <c r="F7836" s="29">
        <f ca="1">ROUND(4.920,3)</f>
        <v>0</v>
      </c>
      <c r="G7836" s="27">
        <f ca="1">ROUND(E7836*F7836,2)</f>
        <v>0</v>
      </c>
    </row>
    <row r="7837" spans="1:7" ht="21.36" thickBot="1" customHeight="1">
      <c r="A7837" s="24" t="s">
        <v>24732</v>
      </c>
      <c r="B7837" s="24" t="s">
        <v>24733</v>
      </c>
      <c r="C7837" s="24" t="s">
        <v>24734</v>
      </c>
      <c r="D7837" s="25" t="s">
        <v>24735</v>
      </c>
      <c r="E7837" s="28">
        <v>0.85000</v>
      </c>
      <c r="F7837" s="29">
        <f ca="1">F7841</f>
        <v>0</v>
      </c>
      <c r="G7837" s="27">
        <f ca="1">ROUND(E7837*F7837,2)</f>
        <v>0</v>
      </c>
    </row>
    <row r="7838" spans="1:7" ht="24.36" thickBot="1" customHeight="1">
      <c r="A7838" s="24" t="s">
        <v>24736</v>
      </c>
      <c r="B7838" s="24" t="s">
        <v>24737</v>
      </c>
      <c r="C7838" s="24" t="s">
        <v>24738</v>
      </c>
      <c r="D7838" s="25" t="s">
        <v>24739</v>
      </c>
      <c r="E7838" s="28">
        <v>1.00000</v>
      </c>
      <c r="F7838" s="29">
        <f ca="1">ROUND(21.000,3)</f>
        <v>0</v>
      </c>
      <c r="G7838" s="27">
        <f ca="1">ROUND(E7838*F7838,2)</f>
        <v>0</v>
      </c>
    </row>
    <row r="7839" spans="1:7" ht="24.36" thickBot="1" customHeight="1">
      <c r="A7839" s="24" t="s">
        <v>24740</v>
      </c>
      <c r="B7839" s="24" t="s">
        <v>24741</v>
      </c>
      <c r="C7839" s="24" t="s">
        <v>24742</v>
      </c>
      <c r="D7839" s="25" t="s">
        <v>24743</v>
      </c>
      <c r="E7839" s="28">
        <v>1.00000</v>
      </c>
      <c r="F7839" s="29">
        <f ca="1">ROUND(19.000,3)</f>
        <v>0</v>
      </c>
      <c r="G7839" s="27">
        <f ca="1">ROUND(E7839*F7839,2)</f>
        <v>0</v>
      </c>
    </row>
    <row r="7840" spans="1:7" ht="24.36" thickBot="1" customHeight="1">
      <c r="A7840" s="24" t="s">
        <v>24744</v>
      </c>
      <c r="B7840" s="24" t="s">
        <v>24745</v>
      </c>
      <c r="C7840" s="24" t="s">
        <v>24746</v>
      </c>
      <c r="D7840" s="25" t="s">
        <v>24747</v>
      </c>
      <c r="E7840" s="28">
        <v>0.20000</v>
      </c>
      <c r="F7840" s="29">
        <f ca="1">ROUND(19.000,3)</f>
        <v>0</v>
      </c>
      <c r="G7840" s="27">
        <f ca="1">ROUND(E7840*F7840,2)</f>
        <v>0</v>
      </c>
    </row>
    <row r="7841" spans="1:7" ht="15.12" thickBot="1" customHeight="1">
      <c r="A7841" s="26"/>
      <c r="B7841" s="26"/>
      <c r="C7841" s="26"/>
      <c r="D7841" s="24" t="s">
        <v>24748</v>
      </c>
      <c r="E7841" s="28">
        <v>0.85000</v>
      </c>
      <c r="F7841" s="29">
        <f ca="1">ROUND((G7838+G7839+G7840),3)</f>
        <v>0</v>
      </c>
      <c r="G7841" s="27">
        <f ca="1">ROUND(E7841*F7841,2)</f>
        <v>0</v>
      </c>
    </row>
    <row r="7842" spans="1:7" ht="15.12" thickBot="1" customHeight="1">
      <c r="A7842" s="24" t="s">
        <v>24749</v>
      </c>
      <c r="B7842" s="24"/>
      <c r="C7842" s="24" t="s">
        <v>24750</v>
      </c>
      <c r="D7842" s="25" t="s">
        <v>24751</v>
      </c>
      <c r="E7842" s="28">
        <v>3.00000</v>
      </c>
      <c r="F7842" s="29">
        <f ca="1">ROUND(37.230,3)</f>
        <v>0</v>
      </c>
      <c r="G7842" s="27">
        <f ca="1">ROUND((E7842*F7842)/100,2)</f>
        <v>0</v>
      </c>
    </row>
    <row r="7843" spans="1:7" ht="15.48" thickBot="1" customHeight="1">
      <c r="A7843" s="30"/>
      <c r="B7843" s="30"/>
      <c r="C7843" s="30"/>
      <c r="D7843" s="31" t="s">
        <v>24752</v>
      </c>
      <c r="E7843" s="30"/>
      <c r="F7843" s="33">
        <f ca="1">ROUND((G7822+G7823+G7824+G7825+G7826+G7827+G7828+G7829+G7830+G7831+G7832+G7833+G7834+G7835+G7836+G7837+G7842)*(1+G2/100),2)</f>
        <v>0</v>
      </c>
      <c r="G7843" s="30"/>
    </row>
    <row r="7844" spans="1:7" ht="39.84" thickBot="1" customHeight="1">
      <c r="A7844" s="34" t="s">
        <v>24753</v>
      </c>
      <c r="B7844" s="35" t="s">
        <v>24754</v>
      </c>
      <c r="C7844" s="35" t="s">
        <v>24755</v>
      </c>
      <c r="D7844" s="36" t="s">
        <v>24756</v>
      </c>
      <c r="E7844" s="37"/>
      <c r="F7844" s="38">
        <f ca="1">F7867</f>
        <v>0</v>
      </c>
      <c r="G7844" s="37"/>
    </row>
    <row r="7845" spans="1:7" ht="39.84" thickBot="1" customHeight="1">
      <c r="A7845" s="26"/>
      <c r="B7845" s="26"/>
      <c r="C7845" s="26"/>
      <c r="D7845" s="25" t="s">
        <v>24757</v>
      </c>
      <c r="E7845" s="25"/>
      <c r="F7845" s="25"/>
      <c r="G7845" s="25"/>
    </row>
    <row r="7846" spans="1:7" ht="30.60" thickBot="1" customHeight="1">
      <c r="A7846" s="24" t="s">
        <v>24758</v>
      </c>
      <c r="B7846" s="24" t="s">
        <v>24759</v>
      </c>
      <c r="C7846" s="24" t="s">
        <v>24760</v>
      </c>
      <c r="D7846" s="25" t="s">
        <v>24761</v>
      </c>
      <c r="E7846" s="28">
        <v>0.36667</v>
      </c>
      <c r="F7846" s="29">
        <f ca="1">ROUND(45.350,3)</f>
        <v>0</v>
      </c>
      <c r="G7846" s="27">
        <f ca="1">ROUND(E7846*F7846,2)</f>
        <v>0</v>
      </c>
    </row>
    <row r="7847" spans="1:7" ht="21.36" thickBot="1" customHeight="1">
      <c r="A7847" s="24" t="s">
        <v>24762</v>
      </c>
      <c r="B7847" s="24" t="s">
        <v>24763</v>
      </c>
      <c r="C7847" s="24" t="s">
        <v>24764</v>
      </c>
      <c r="D7847" s="25" t="s">
        <v>24765</v>
      </c>
      <c r="E7847" s="28">
        <v>0.33333</v>
      </c>
      <c r="F7847" s="29">
        <f ca="1">ROUND(42.790,3)</f>
        <v>0</v>
      </c>
      <c r="G7847" s="27">
        <f ca="1">ROUND(E7847*F7847,2)</f>
        <v>0</v>
      </c>
    </row>
    <row r="7848" spans="1:7" ht="30.60" thickBot="1" customHeight="1">
      <c r="A7848" s="24" t="s">
        <v>24766</v>
      </c>
      <c r="B7848" s="24" t="s">
        <v>24767</v>
      </c>
      <c r="C7848" s="24" t="s">
        <v>24768</v>
      </c>
      <c r="D7848" s="25" t="s">
        <v>24769</v>
      </c>
      <c r="E7848" s="28">
        <v>0.03300</v>
      </c>
      <c r="F7848" s="29">
        <f ca="1">ROUND(4.920,3)</f>
        <v>0</v>
      </c>
      <c r="G7848" s="27">
        <f ca="1">ROUND(E7848*F7848,2)</f>
        <v>0</v>
      </c>
    </row>
    <row r="7849" spans="1:7" ht="21.36" thickBot="1" customHeight="1">
      <c r="A7849" s="24" t="s">
        <v>24770</v>
      </c>
      <c r="B7849" s="24" t="s">
        <v>24771</v>
      </c>
      <c r="C7849" s="24" t="s">
        <v>24772</v>
      </c>
      <c r="D7849" s="25" t="s">
        <v>24773</v>
      </c>
      <c r="E7849" s="28">
        <v>0.33333</v>
      </c>
      <c r="F7849" s="29">
        <f ca="1">ROUND(8.580,3)</f>
        <v>0</v>
      </c>
      <c r="G7849" s="27">
        <f ca="1">ROUND(E7849*F7849,2)</f>
        <v>0</v>
      </c>
    </row>
    <row r="7850" spans="1:7" ht="21.36" thickBot="1" customHeight="1">
      <c r="A7850" s="24" t="s">
        <v>24774</v>
      </c>
      <c r="B7850" s="24" t="s">
        <v>24775</v>
      </c>
      <c r="C7850" s="24" t="s">
        <v>24776</v>
      </c>
      <c r="D7850" s="25" t="s">
        <v>24777</v>
      </c>
      <c r="E7850" s="28">
        <v>0.33333</v>
      </c>
      <c r="F7850" s="29">
        <f ca="1">ROUND(8.840,3)</f>
        <v>0</v>
      </c>
      <c r="G7850" s="27">
        <f ca="1">ROUND(E7850*F7850,2)</f>
        <v>0</v>
      </c>
    </row>
    <row r="7851" spans="1:7" ht="21.36" thickBot="1" customHeight="1">
      <c r="A7851" s="24" t="s">
        <v>24778</v>
      </c>
      <c r="B7851" s="24" t="s">
        <v>24779</v>
      </c>
      <c r="C7851" s="24" t="s">
        <v>24780</v>
      </c>
      <c r="D7851" s="25" t="s">
        <v>24781</v>
      </c>
      <c r="E7851" s="28">
        <v>0.11111</v>
      </c>
      <c r="F7851" s="29">
        <f ca="1">ROUND(16.740,3)</f>
        <v>0</v>
      </c>
      <c r="G7851" s="27">
        <f ca="1">ROUND(E7851*F7851,2)</f>
        <v>0</v>
      </c>
    </row>
    <row r="7852" spans="1:7" ht="30.60" thickBot="1" customHeight="1">
      <c r="A7852" s="24" t="s">
        <v>24782</v>
      </c>
      <c r="B7852" s="24" t="s">
        <v>24783</v>
      </c>
      <c r="C7852" s="24" t="s">
        <v>24784</v>
      </c>
      <c r="D7852" s="25" t="s">
        <v>24785</v>
      </c>
      <c r="E7852" s="28">
        <v>0.66667</v>
      </c>
      <c r="F7852" s="29">
        <f ca="1">ROUND(3.490,3)</f>
        <v>0</v>
      </c>
      <c r="G7852" s="27">
        <f ca="1">ROUND(E7852*F7852,2)</f>
        <v>0</v>
      </c>
    </row>
    <row r="7853" spans="1:7" ht="39.84" thickBot="1" customHeight="1">
      <c r="A7853" s="24" t="s">
        <v>24786</v>
      </c>
      <c r="B7853" s="24" t="s">
        <v>24787</v>
      </c>
      <c r="C7853" s="24" t="s">
        <v>24788</v>
      </c>
      <c r="D7853" s="25" t="s">
        <v>24789</v>
      </c>
      <c r="E7853" s="28">
        <v>0.06667</v>
      </c>
      <c r="F7853" s="29">
        <f ca="1">ROUND(19.710,3)</f>
        <v>0</v>
      </c>
      <c r="G7853" s="27">
        <f ca="1">ROUND(E7853*F7853,2)</f>
        <v>0</v>
      </c>
    </row>
    <row r="7854" spans="1:7" ht="30.60" thickBot="1" customHeight="1">
      <c r="A7854" s="24" t="s">
        <v>24790</v>
      </c>
      <c r="B7854" s="24" t="s">
        <v>24791</v>
      </c>
      <c r="C7854" s="24" t="s">
        <v>24792</v>
      </c>
      <c r="D7854" s="25" t="s">
        <v>24793</v>
      </c>
      <c r="E7854" s="28">
        <v>0.66667</v>
      </c>
      <c r="F7854" s="29">
        <f ca="1">ROUND(3.270,3)</f>
        <v>0</v>
      </c>
      <c r="G7854" s="27">
        <f ca="1">ROUND(E7854*F7854,2)</f>
        <v>0</v>
      </c>
    </row>
    <row r="7855" spans="1:7" ht="30.60" thickBot="1" customHeight="1">
      <c r="A7855" s="24" t="s">
        <v>24794</v>
      </c>
      <c r="B7855" s="24" t="s">
        <v>24795</v>
      </c>
      <c r="C7855" s="24" t="s">
        <v>24796</v>
      </c>
      <c r="D7855" s="25" t="s">
        <v>24797</v>
      </c>
      <c r="E7855" s="28">
        <v>0.11000</v>
      </c>
      <c r="F7855" s="29">
        <f ca="1">ROUND(4.580,3)</f>
        <v>0</v>
      </c>
      <c r="G7855" s="27">
        <f ca="1">ROUND(E7855*F7855,2)</f>
        <v>0</v>
      </c>
    </row>
    <row r="7856" spans="1:7" ht="30.60" thickBot="1" customHeight="1">
      <c r="A7856" s="24" t="s">
        <v>24798</v>
      </c>
      <c r="B7856" s="24" t="s">
        <v>24799</v>
      </c>
      <c r="C7856" s="24" t="s">
        <v>24800</v>
      </c>
      <c r="D7856" s="25" t="s">
        <v>24801</v>
      </c>
      <c r="E7856" s="28">
        <v>0.15000</v>
      </c>
      <c r="F7856" s="29">
        <f ca="1">ROUND(6.090,3)</f>
        <v>0</v>
      </c>
      <c r="G7856" s="27">
        <f ca="1">ROUND(E7856*F7856,2)</f>
        <v>0</v>
      </c>
    </row>
    <row r="7857" spans="1:7" ht="39.84" thickBot="1" customHeight="1">
      <c r="A7857" s="24" t="s">
        <v>24802</v>
      </c>
      <c r="B7857" s="24" t="s">
        <v>24803</v>
      </c>
      <c r="C7857" s="24" t="s">
        <v>24804</v>
      </c>
      <c r="D7857" s="25" t="s">
        <v>24805</v>
      </c>
      <c r="E7857" s="28">
        <v>0.12500</v>
      </c>
      <c r="F7857" s="29">
        <f ca="1">ROUND(7.370,3)</f>
        <v>0</v>
      </c>
      <c r="G7857" s="27">
        <f ca="1">ROUND(E7857*F7857,2)</f>
        <v>0</v>
      </c>
    </row>
    <row r="7858" spans="1:7" ht="30.60" thickBot="1" customHeight="1">
      <c r="A7858" s="24" t="s">
        <v>24806</v>
      </c>
      <c r="B7858" s="24" t="s">
        <v>24807</v>
      </c>
      <c r="C7858" s="24" t="s">
        <v>24808</v>
      </c>
      <c r="D7858" s="25" t="s">
        <v>24809</v>
      </c>
      <c r="E7858" s="28">
        <v>0.06650</v>
      </c>
      <c r="F7858" s="29">
        <f ca="1">ROUND(6.140,3)</f>
        <v>0</v>
      </c>
      <c r="G7858" s="27">
        <f ca="1">ROUND(E7858*F7858,2)</f>
        <v>0</v>
      </c>
    </row>
    <row r="7859" spans="1:7" ht="30.60" thickBot="1" customHeight="1">
      <c r="A7859" s="24" t="s">
        <v>24810</v>
      </c>
      <c r="B7859" s="24" t="s">
        <v>24811</v>
      </c>
      <c r="C7859" s="24" t="s">
        <v>24812</v>
      </c>
      <c r="D7859" s="25" t="s">
        <v>24813</v>
      </c>
      <c r="E7859" s="28">
        <v>0.16625</v>
      </c>
      <c r="F7859" s="29">
        <f ca="1">ROUND(7.930,3)</f>
        <v>0</v>
      </c>
      <c r="G7859" s="27">
        <f ca="1">ROUND(E7859*F7859,2)</f>
        <v>0</v>
      </c>
    </row>
    <row r="7860" spans="1:7" ht="21.36" thickBot="1" customHeight="1">
      <c r="A7860" s="24" t="s">
        <v>24814</v>
      </c>
      <c r="B7860" s="24" t="s">
        <v>24815</v>
      </c>
      <c r="C7860" s="24" t="s">
        <v>24816</v>
      </c>
      <c r="D7860" s="25" t="s">
        <v>24817</v>
      </c>
      <c r="E7860" s="28">
        <v>0.50000</v>
      </c>
      <c r="F7860" s="29">
        <f ca="1">ROUND(2.000,3)</f>
        <v>0</v>
      </c>
      <c r="G7860" s="27">
        <f ca="1">ROUND(E7860*F7860,2)</f>
        <v>0</v>
      </c>
    </row>
    <row r="7861" spans="1:7" ht="24.36" thickBot="1" customHeight="1">
      <c r="A7861" s="24" t="s">
        <v>24818</v>
      </c>
      <c r="B7861" s="24" t="s">
        <v>24819</v>
      </c>
      <c r="C7861" s="24" t="s">
        <v>24820</v>
      </c>
      <c r="D7861" s="25" t="s">
        <v>24821</v>
      </c>
      <c r="E7861" s="28">
        <v>1.27500</v>
      </c>
      <c r="F7861" s="29">
        <f ca="1">F7865</f>
        <v>0</v>
      </c>
      <c r="G7861" s="27">
        <f ca="1">ROUND(E7861*F7861,2)</f>
        <v>0</v>
      </c>
    </row>
    <row r="7862" spans="1:7" ht="24.36" thickBot="1" customHeight="1">
      <c r="A7862" s="24" t="s">
        <v>24822</v>
      </c>
      <c r="B7862" s="24" t="s">
        <v>24823</v>
      </c>
      <c r="C7862" s="24" t="s">
        <v>24824</v>
      </c>
      <c r="D7862" s="25" t="s">
        <v>24825</v>
      </c>
      <c r="E7862" s="28">
        <v>1.00000</v>
      </c>
      <c r="F7862" s="29">
        <f ca="1">ROUND(21.000,3)</f>
        <v>0</v>
      </c>
      <c r="G7862" s="27">
        <f ca="1">ROUND(E7862*F7862,2)</f>
        <v>0</v>
      </c>
    </row>
    <row r="7863" spans="1:7" ht="24.36" thickBot="1" customHeight="1">
      <c r="A7863" s="24" t="s">
        <v>24826</v>
      </c>
      <c r="B7863" s="24" t="s">
        <v>24827</v>
      </c>
      <c r="C7863" s="24" t="s">
        <v>24828</v>
      </c>
      <c r="D7863" s="25" t="s">
        <v>24829</v>
      </c>
      <c r="E7863" s="28">
        <v>1.00000</v>
      </c>
      <c r="F7863" s="29">
        <f ca="1">ROUND(19.000,3)</f>
        <v>0</v>
      </c>
      <c r="G7863" s="27">
        <f ca="1">ROUND(E7863*F7863,2)</f>
        <v>0</v>
      </c>
    </row>
    <row r="7864" spans="1:7" ht="24.36" thickBot="1" customHeight="1">
      <c r="A7864" s="24" t="s">
        <v>24830</v>
      </c>
      <c r="B7864" s="24" t="s">
        <v>24831</v>
      </c>
      <c r="C7864" s="24" t="s">
        <v>24832</v>
      </c>
      <c r="D7864" s="25" t="s">
        <v>24833</v>
      </c>
      <c r="E7864" s="28">
        <v>0.50000</v>
      </c>
      <c r="F7864" s="29">
        <f ca="1">ROUND(19.000,3)</f>
        <v>0</v>
      </c>
      <c r="G7864" s="27">
        <f ca="1">ROUND(E7864*F7864,2)</f>
        <v>0</v>
      </c>
    </row>
    <row r="7865" spans="1:7" ht="15.12" thickBot="1" customHeight="1">
      <c r="A7865" s="26"/>
      <c r="B7865" s="26"/>
      <c r="C7865" s="26"/>
      <c r="D7865" s="24" t="s">
        <v>24834</v>
      </c>
      <c r="E7865" s="28">
        <v>1.27500</v>
      </c>
      <c r="F7865" s="29">
        <f ca="1">ROUND((G7862+G7863+G7864),3)</f>
        <v>0</v>
      </c>
      <c r="G7865" s="27">
        <f ca="1">ROUND(E7865*F7865,2)</f>
        <v>0</v>
      </c>
    </row>
    <row r="7866" spans="1:7" ht="15.12" thickBot="1" customHeight="1">
      <c r="A7866" s="24" t="s">
        <v>24835</v>
      </c>
      <c r="B7866" s="24"/>
      <c r="C7866" s="24" t="s">
        <v>24836</v>
      </c>
      <c r="D7866" s="25" t="s">
        <v>24837</v>
      </c>
      <c r="E7866" s="28">
        <v>3.00000</v>
      </c>
      <c r="F7866" s="29">
        <f ca="1">ROUND(63.110,3)</f>
        <v>0</v>
      </c>
      <c r="G7866" s="27">
        <f ca="1">ROUND((E7866*F7866)/100,2)</f>
        <v>0</v>
      </c>
    </row>
    <row r="7867" spans="1:7" ht="15.48" thickBot="1" customHeight="1">
      <c r="A7867" s="30"/>
      <c r="B7867" s="30"/>
      <c r="C7867" s="30"/>
      <c r="D7867" s="31" t="s">
        <v>24838</v>
      </c>
      <c r="E7867" s="30"/>
      <c r="F7867" s="33">
        <f ca="1">ROUND((G7846+G7847+G7848+G7849+G7850+G7851+G7852+G7853+G7854+G7855+G7856+G7857+G7858+G7859+G7860+G7861+G7866)*(1+G2/100),2)</f>
        <v>0</v>
      </c>
      <c r="G7867" s="30"/>
    </row>
    <row r="7868" spans="1:7" ht="30.60" thickBot="1" customHeight="1">
      <c r="A7868" s="34" t="s">
        <v>24839</v>
      </c>
      <c r="B7868" s="35" t="s">
        <v>24840</v>
      </c>
      <c r="C7868" s="35" t="s">
        <v>24841</v>
      </c>
      <c r="D7868" s="36" t="s">
        <v>24842</v>
      </c>
      <c r="E7868" s="37"/>
      <c r="F7868" s="38">
        <f ca="1">F7891</f>
        <v>0</v>
      </c>
      <c r="G7868" s="37"/>
    </row>
    <row r="7869" spans="1:7" ht="39.84" thickBot="1" customHeight="1">
      <c r="A7869" s="26"/>
      <c r="B7869" s="26"/>
      <c r="C7869" s="26"/>
      <c r="D7869" s="25" t="s">
        <v>24843</v>
      </c>
      <c r="E7869" s="25"/>
      <c r="F7869" s="25"/>
      <c r="G7869" s="25"/>
    </row>
    <row r="7870" spans="1:7" ht="30.60" thickBot="1" customHeight="1">
      <c r="A7870" s="24" t="s">
        <v>24844</v>
      </c>
      <c r="B7870" s="24" t="s">
        <v>24845</v>
      </c>
      <c r="C7870" s="24" t="s">
        <v>24846</v>
      </c>
      <c r="D7870" s="25" t="s">
        <v>24847</v>
      </c>
      <c r="E7870" s="28">
        <v>0.36667</v>
      </c>
      <c r="F7870" s="29">
        <f ca="1">ROUND(115.260,3)</f>
        <v>0</v>
      </c>
      <c r="G7870" s="27">
        <f ca="1">ROUND(E7870*F7870,2)</f>
        <v>0</v>
      </c>
    </row>
    <row r="7871" spans="1:7" ht="21.36" thickBot="1" customHeight="1">
      <c r="A7871" s="24" t="s">
        <v>24848</v>
      </c>
      <c r="B7871" s="24" t="s">
        <v>24849</v>
      </c>
      <c r="C7871" s="24" t="s">
        <v>24850</v>
      </c>
      <c r="D7871" s="25" t="s">
        <v>24851</v>
      </c>
      <c r="E7871" s="28">
        <v>0.33333</v>
      </c>
      <c r="F7871" s="29">
        <f ca="1">ROUND(270.870,3)</f>
        <v>0</v>
      </c>
      <c r="G7871" s="27">
        <f ca="1">ROUND(E7871*F7871,2)</f>
        <v>0</v>
      </c>
    </row>
    <row r="7872" spans="1:7" ht="21.36" thickBot="1" customHeight="1">
      <c r="A7872" s="24" t="s">
        <v>24852</v>
      </c>
      <c r="B7872" s="24" t="s">
        <v>24853</v>
      </c>
      <c r="C7872" s="24" t="s">
        <v>24854</v>
      </c>
      <c r="D7872" s="25" t="s">
        <v>24855</v>
      </c>
      <c r="E7872" s="28">
        <v>0.33333</v>
      </c>
      <c r="F7872" s="29">
        <f ca="1">ROUND(29.950,3)</f>
        <v>0</v>
      </c>
      <c r="G7872" s="27">
        <f ca="1">ROUND(E7872*F7872,2)</f>
        <v>0</v>
      </c>
    </row>
    <row r="7873" spans="1:7" ht="21.36" thickBot="1" customHeight="1">
      <c r="A7873" s="24" t="s">
        <v>24856</v>
      </c>
      <c r="B7873" s="24" t="s">
        <v>24857</v>
      </c>
      <c r="C7873" s="24" t="s">
        <v>24858</v>
      </c>
      <c r="D7873" s="25" t="s">
        <v>24859</v>
      </c>
      <c r="E7873" s="28">
        <v>0.33333</v>
      </c>
      <c r="F7873" s="29">
        <f ca="1">ROUND(42.080,3)</f>
        <v>0</v>
      </c>
      <c r="G7873" s="27">
        <f ca="1">ROUND(E7873*F7873,2)</f>
        <v>0</v>
      </c>
    </row>
    <row r="7874" spans="1:7" ht="21.36" thickBot="1" customHeight="1">
      <c r="A7874" s="24" t="s">
        <v>24860</v>
      </c>
      <c r="B7874" s="24" t="s">
        <v>24861</v>
      </c>
      <c r="C7874" s="24" t="s">
        <v>24862</v>
      </c>
      <c r="D7874" s="25" t="s">
        <v>24863</v>
      </c>
      <c r="E7874" s="28">
        <v>0.11111</v>
      </c>
      <c r="F7874" s="29">
        <f ca="1">ROUND(36.780,3)</f>
        <v>0</v>
      </c>
      <c r="G7874" s="27">
        <f ca="1">ROUND(E7874*F7874,2)</f>
        <v>0</v>
      </c>
    </row>
    <row r="7875" spans="1:7" ht="30.60" thickBot="1" customHeight="1">
      <c r="A7875" s="24" t="s">
        <v>24864</v>
      </c>
      <c r="B7875" s="24" t="s">
        <v>24865</v>
      </c>
      <c r="C7875" s="24" t="s">
        <v>24866</v>
      </c>
      <c r="D7875" s="25" t="s">
        <v>24867</v>
      </c>
      <c r="E7875" s="28">
        <v>0.66667</v>
      </c>
      <c r="F7875" s="29">
        <f ca="1">ROUND(4.840,3)</f>
        <v>0</v>
      </c>
      <c r="G7875" s="27">
        <f ca="1">ROUND(E7875*F7875,2)</f>
        <v>0</v>
      </c>
    </row>
    <row r="7876" spans="1:7" ht="39.84" thickBot="1" customHeight="1">
      <c r="A7876" s="24" t="s">
        <v>24868</v>
      </c>
      <c r="B7876" s="24" t="s">
        <v>24869</v>
      </c>
      <c r="C7876" s="24" t="s">
        <v>24870</v>
      </c>
      <c r="D7876" s="25" t="s">
        <v>24871</v>
      </c>
      <c r="E7876" s="28">
        <v>0.06667</v>
      </c>
      <c r="F7876" s="29">
        <f ca="1">ROUND(19.710,3)</f>
        <v>0</v>
      </c>
      <c r="G7876" s="27">
        <f ca="1">ROUND(E7876*F7876,2)</f>
        <v>0</v>
      </c>
    </row>
    <row r="7877" spans="1:7" ht="30.60" thickBot="1" customHeight="1">
      <c r="A7877" s="24" t="s">
        <v>24872</v>
      </c>
      <c r="B7877" s="24" t="s">
        <v>24873</v>
      </c>
      <c r="C7877" s="24" t="s">
        <v>24874</v>
      </c>
      <c r="D7877" s="25" t="s">
        <v>24875</v>
      </c>
      <c r="E7877" s="28">
        <v>0.66667</v>
      </c>
      <c r="F7877" s="29">
        <f ca="1">ROUND(3.270,3)</f>
        <v>0</v>
      </c>
      <c r="G7877" s="27">
        <f ca="1">ROUND(E7877*F7877,2)</f>
        <v>0</v>
      </c>
    </row>
    <row r="7878" spans="1:7" ht="30.60" thickBot="1" customHeight="1">
      <c r="A7878" s="24" t="s">
        <v>24876</v>
      </c>
      <c r="B7878" s="24" t="s">
        <v>24877</v>
      </c>
      <c r="C7878" s="24" t="s">
        <v>24878</v>
      </c>
      <c r="D7878" s="25" t="s">
        <v>24879</v>
      </c>
      <c r="E7878" s="28">
        <v>0.16000</v>
      </c>
      <c r="F7878" s="29">
        <f ca="1">ROUND(4.580,3)</f>
        <v>0</v>
      </c>
      <c r="G7878" s="27">
        <f ca="1">ROUND(E7878*F7878,2)</f>
        <v>0</v>
      </c>
    </row>
    <row r="7879" spans="1:7" ht="30.60" thickBot="1" customHeight="1">
      <c r="A7879" s="24" t="s">
        <v>24880</v>
      </c>
      <c r="B7879" s="24" t="s">
        <v>24881</v>
      </c>
      <c r="C7879" s="24" t="s">
        <v>24882</v>
      </c>
      <c r="D7879" s="25" t="s">
        <v>24883</v>
      </c>
      <c r="E7879" s="28">
        <v>0.28600</v>
      </c>
      <c r="F7879" s="29">
        <f ca="1">ROUND(6.090,3)</f>
        <v>0</v>
      </c>
      <c r="G7879" s="27">
        <f ca="1">ROUND(E7879*F7879,2)</f>
        <v>0</v>
      </c>
    </row>
    <row r="7880" spans="1:7" ht="39.84" thickBot="1" customHeight="1">
      <c r="A7880" s="24" t="s">
        <v>24884</v>
      </c>
      <c r="B7880" s="24" t="s">
        <v>24885</v>
      </c>
      <c r="C7880" s="24" t="s">
        <v>24886</v>
      </c>
      <c r="D7880" s="25" t="s">
        <v>24887</v>
      </c>
      <c r="E7880" s="28">
        <v>0.12500</v>
      </c>
      <c r="F7880" s="29">
        <f ca="1">ROUND(7.370,3)</f>
        <v>0</v>
      </c>
      <c r="G7880" s="27">
        <f ca="1">ROUND(E7880*F7880,2)</f>
        <v>0</v>
      </c>
    </row>
    <row r="7881" spans="1:7" ht="30.60" thickBot="1" customHeight="1">
      <c r="A7881" s="24" t="s">
        <v>24888</v>
      </c>
      <c r="B7881" s="24" t="s">
        <v>24889</v>
      </c>
      <c r="C7881" s="24" t="s">
        <v>24890</v>
      </c>
      <c r="D7881" s="25" t="s">
        <v>24891</v>
      </c>
      <c r="E7881" s="28">
        <v>0.06650</v>
      </c>
      <c r="F7881" s="29">
        <f ca="1">ROUND(6.140,3)</f>
        <v>0</v>
      </c>
      <c r="G7881" s="27">
        <f ca="1">ROUND(E7881*F7881,2)</f>
        <v>0</v>
      </c>
    </row>
    <row r="7882" spans="1:7" ht="30.60" thickBot="1" customHeight="1">
      <c r="A7882" s="24" t="s">
        <v>24892</v>
      </c>
      <c r="B7882" s="24" t="s">
        <v>24893</v>
      </c>
      <c r="C7882" s="24" t="s">
        <v>24894</v>
      </c>
      <c r="D7882" s="25" t="s">
        <v>24895</v>
      </c>
      <c r="E7882" s="28">
        <v>0.16625</v>
      </c>
      <c r="F7882" s="29">
        <f ca="1">ROUND(7.930,3)</f>
        <v>0</v>
      </c>
      <c r="G7882" s="27">
        <f ca="1">ROUND(E7882*F7882,2)</f>
        <v>0</v>
      </c>
    </row>
    <row r="7883" spans="1:7" ht="21.36" thickBot="1" customHeight="1">
      <c r="A7883" s="24" t="s">
        <v>24896</v>
      </c>
      <c r="B7883" s="24" t="s">
        <v>24897</v>
      </c>
      <c r="C7883" s="24" t="s">
        <v>24898</v>
      </c>
      <c r="D7883" s="25" t="s">
        <v>24899</v>
      </c>
      <c r="E7883" s="28">
        <v>0.50000</v>
      </c>
      <c r="F7883" s="29">
        <f ca="1">ROUND(2.000,3)</f>
        <v>0</v>
      </c>
      <c r="G7883" s="27">
        <f ca="1">ROUND(E7883*F7883,2)</f>
        <v>0</v>
      </c>
    </row>
    <row r="7884" spans="1:7" ht="30.60" thickBot="1" customHeight="1">
      <c r="A7884" s="24" t="s">
        <v>24900</v>
      </c>
      <c r="B7884" s="24" t="s">
        <v>24901</v>
      </c>
      <c r="C7884" s="24" t="s">
        <v>24902</v>
      </c>
      <c r="D7884" s="25" t="s">
        <v>24903</v>
      </c>
      <c r="E7884" s="28">
        <v>0.03300</v>
      </c>
      <c r="F7884" s="29">
        <f ca="1">ROUND(4.920,3)</f>
        <v>0</v>
      </c>
      <c r="G7884" s="27">
        <f ca="1">ROUND(E7884*F7884,2)</f>
        <v>0</v>
      </c>
    </row>
    <row r="7885" spans="1:7" ht="21.36" thickBot="1" customHeight="1">
      <c r="A7885" s="24" t="s">
        <v>24904</v>
      </c>
      <c r="B7885" s="24" t="s">
        <v>24905</v>
      </c>
      <c r="C7885" s="24" t="s">
        <v>24906</v>
      </c>
      <c r="D7885" s="25" t="s">
        <v>24907</v>
      </c>
      <c r="E7885" s="28">
        <v>1.20000</v>
      </c>
      <c r="F7885" s="29">
        <f ca="1">F7889</f>
        <v>0</v>
      </c>
      <c r="G7885" s="27">
        <f ca="1">ROUND(E7885*F7885,2)</f>
        <v>0</v>
      </c>
    </row>
    <row r="7886" spans="1:7" ht="24.36" thickBot="1" customHeight="1">
      <c r="A7886" s="24" t="s">
        <v>24908</v>
      </c>
      <c r="B7886" s="24" t="s">
        <v>24909</v>
      </c>
      <c r="C7886" s="24" t="s">
        <v>24910</v>
      </c>
      <c r="D7886" s="25" t="s">
        <v>24911</v>
      </c>
      <c r="E7886" s="28">
        <v>1.00000</v>
      </c>
      <c r="F7886" s="29">
        <f ca="1">ROUND(21.000,3)</f>
        <v>0</v>
      </c>
      <c r="G7886" s="27">
        <f ca="1">ROUND(E7886*F7886,2)</f>
        <v>0</v>
      </c>
    </row>
    <row r="7887" spans="1:7" ht="24.36" thickBot="1" customHeight="1">
      <c r="A7887" s="24" t="s">
        <v>24912</v>
      </c>
      <c r="B7887" s="24" t="s">
        <v>24913</v>
      </c>
      <c r="C7887" s="24" t="s">
        <v>24914</v>
      </c>
      <c r="D7887" s="25" t="s">
        <v>24915</v>
      </c>
      <c r="E7887" s="28">
        <v>1.00000</v>
      </c>
      <c r="F7887" s="29">
        <f ca="1">ROUND(19.000,3)</f>
        <v>0</v>
      </c>
      <c r="G7887" s="27">
        <f ca="1">ROUND(E7887*F7887,2)</f>
        <v>0</v>
      </c>
    </row>
    <row r="7888" spans="1:7" ht="24.36" thickBot="1" customHeight="1">
      <c r="A7888" s="24" t="s">
        <v>24916</v>
      </c>
      <c r="B7888" s="24" t="s">
        <v>24917</v>
      </c>
      <c r="C7888" s="24" t="s">
        <v>24918</v>
      </c>
      <c r="D7888" s="25" t="s">
        <v>24919</v>
      </c>
      <c r="E7888" s="28">
        <v>0.20000</v>
      </c>
      <c r="F7888" s="29">
        <f ca="1">ROUND(19.000,3)</f>
        <v>0</v>
      </c>
      <c r="G7888" s="27">
        <f ca="1">ROUND(E7888*F7888,2)</f>
        <v>0</v>
      </c>
    </row>
    <row r="7889" spans="1:7" ht="15.12" thickBot="1" customHeight="1">
      <c r="A7889" s="26"/>
      <c r="B7889" s="26"/>
      <c r="C7889" s="26"/>
      <c r="D7889" s="24" t="s">
        <v>24920</v>
      </c>
      <c r="E7889" s="28">
        <v>1.20000</v>
      </c>
      <c r="F7889" s="29">
        <f ca="1">ROUND((G7886+G7887+G7888),3)</f>
        <v>0</v>
      </c>
      <c r="G7889" s="27">
        <f ca="1">ROUND(E7889*F7889,2)</f>
        <v>0</v>
      </c>
    </row>
    <row r="7890" spans="1:7" ht="15.12" thickBot="1" customHeight="1">
      <c r="A7890" s="24" t="s">
        <v>24921</v>
      </c>
      <c r="B7890" s="24"/>
      <c r="C7890" s="24" t="s">
        <v>24922</v>
      </c>
      <c r="D7890" s="25" t="s">
        <v>24923</v>
      </c>
      <c r="E7890" s="28">
        <v>3.00000</v>
      </c>
      <c r="F7890" s="29">
        <f ca="1">ROUND(52.560,3)</f>
        <v>0</v>
      </c>
      <c r="G7890" s="27">
        <f ca="1">ROUND((E7890*F7890)/100,2)</f>
        <v>0</v>
      </c>
    </row>
    <row r="7891" spans="1:7" ht="15.48" thickBot="1" customHeight="1">
      <c r="A7891" s="30"/>
      <c r="B7891" s="30"/>
      <c r="C7891" s="30"/>
      <c r="D7891" s="31" t="s">
        <v>24924</v>
      </c>
      <c r="E7891" s="30"/>
      <c r="F7891" s="33">
        <f ca="1">ROUND((G7870+G7871+G7872+G7873+G7874+G7875+G7876+G7877+G7878+G7879+G7880+G7881+G7882+G7883+G7884+G7885+G7890)*(1+G2/100),2)</f>
        <v>0</v>
      </c>
      <c r="G7891" s="30"/>
    </row>
    <row r="7892" spans="1:7" ht="39.84" thickBot="1" customHeight="1">
      <c r="A7892" s="34" t="s">
        <v>24925</v>
      </c>
      <c r="B7892" s="35" t="s">
        <v>24926</v>
      </c>
      <c r="C7892" s="35" t="s">
        <v>24927</v>
      </c>
      <c r="D7892" s="36" t="s">
        <v>24928</v>
      </c>
      <c r="E7892" s="37"/>
      <c r="F7892" s="38">
        <f ca="1">F7903</f>
        <v>0</v>
      </c>
      <c r="G7892" s="37"/>
    </row>
    <row r="7893" spans="1:7" ht="39.84" thickBot="1" customHeight="1">
      <c r="A7893" s="26"/>
      <c r="B7893" s="26"/>
      <c r="C7893" s="26"/>
      <c r="D7893" s="25" t="s">
        <v>24929</v>
      </c>
      <c r="E7893" s="25"/>
      <c r="F7893" s="25"/>
      <c r="G7893" s="25"/>
    </row>
    <row r="7894" spans="1:7" ht="21.36" thickBot="1" customHeight="1">
      <c r="A7894" s="24" t="s">
        <v>24930</v>
      </c>
      <c r="B7894" s="24" t="s">
        <v>24931</v>
      </c>
      <c r="C7894" s="24" t="s">
        <v>24932</v>
      </c>
      <c r="D7894" s="25" t="s">
        <v>24933</v>
      </c>
      <c r="E7894" s="28">
        <v>1.00000</v>
      </c>
      <c r="F7894" s="29">
        <f ca="1">ROUND(18.000,3)</f>
        <v>0</v>
      </c>
      <c r="G7894" s="27">
        <f ca="1">ROUND(E7894*F7894,2)</f>
        <v>0</v>
      </c>
    </row>
    <row r="7895" spans="1:7" ht="30.60" thickBot="1" customHeight="1">
      <c r="A7895" s="24" t="s">
        <v>24934</v>
      </c>
      <c r="B7895" s="24" t="s">
        <v>24935</v>
      </c>
      <c r="C7895" s="24" t="s">
        <v>24936</v>
      </c>
      <c r="D7895" s="25" t="s">
        <v>24937</v>
      </c>
      <c r="E7895" s="28">
        <v>0.10000</v>
      </c>
      <c r="F7895" s="29">
        <f ca="1">ROUND(6.090,3)</f>
        <v>0</v>
      </c>
      <c r="G7895" s="27">
        <f ca="1">ROUND(E7895*F7895,2)</f>
        <v>0</v>
      </c>
    </row>
    <row r="7896" spans="1:7" ht="30.60" thickBot="1" customHeight="1">
      <c r="A7896" s="24" t="s">
        <v>24938</v>
      </c>
      <c r="B7896" s="24" t="s">
        <v>24939</v>
      </c>
      <c r="C7896" s="24" t="s">
        <v>24940</v>
      </c>
      <c r="D7896" s="25" t="s">
        <v>24941</v>
      </c>
      <c r="E7896" s="28">
        <v>0.10000</v>
      </c>
      <c r="F7896" s="29">
        <f ca="1">ROUND(4.580,3)</f>
        <v>0</v>
      </c>
      <c r="G7896" s="27">
        <f ca="1">ROUND(E7896*F7896,2)</f>
        <v>0</v>
      </c>
    </row>
    <row r="7897" spans="1:7" ht="21.36" thickBot="1" customHeight="1">
      <c r="A7897" s="24" t="s">
        <v>24942</v>
      </c>
      <c r="B7897" s="24" t="s">
        <v>24943</v>
      </c>
      <c r="C7897" s="24" t="s">
        <v>24944</v>
      </c>
      <c r="D7897" s="25" t="s">
        <v>24945</v>
      </c>
      <c r="E7897" s="28">
        <v>1.00000</v>
      </c>
      <c r="F7897" s="29">
        <f ca="1">F7901</f>
        <v>0</v>
      </c>
      <c r="G7897" s="27">
        <f ca="1">ROUND(E7897*F7897,2)</f>
        <v>0</v>
      </c>
    </row>
    <row r="7898" spans="1:7" ht="24.36" thickBot="1" customHeight="1">
      <c r="A7898" s="24" t="s">
        <v>24946</v>
      </c>
      <c r="B7898" s="24" t="s">
        <v>24947</v>
      </c>
      <c r="C7898" s="24" t="s">
        <v>24948</v>
      </c>
      <c r="D7898" s="25" t="s">
        <v>24949</v>
      </c>
      <c r="E7898" s="28">
        <v>1.00000</v>
      </c>
      <c r="F7898" s="29">
        <f ca="1">ROUND(21.000,3)</f>
        <v>0</v>
      </c>
      <c r="G7898" s="27">
        <f ca="1">ROUND(E7898*F7898,2)</f>
        <v>0</v>
      </c>
    </row>
    <row r="7899" spans="1:7" ht="24.36" thickBot="1" customHeight="1">
      <c r="A7899" s="24" t="s">
        <v>24950</v>
      </c>
      <c r="B7899" s="24" t="s">
        <v>24951</v>
      </c>
      <c r="C7899" s="24" t="s">
        <v>24952</v>
      </c>
      <c r="D7899" s="25" t="s">
        <v>24953</v>
      </c>
      <c r="E7899" s="28">
        <v>1.00000</v>
      </c>
      <c r="F7899" s="29">
        <f ca="1">ROUND(19.000,3)</f>
        <v>0</v>
      </c>
      <c r="G7899" s="27">
        <f ca="1">ROUND(E7899*F7899,2)</f>
        <v>0</v>
      </c>
    </row>
    <row r="7900" spans="1:7" ht="24.36" thickBot="1" customHeight="1">
      <c r="A7900" s="24" t="s">
        <v>24954</v>
      </c>
      <c r="B7900" s="24" t="s">
        <v>24955</v>
      </c>
      <c r="C7900" s="24" t="s">
        <v>24956</v>
      </c>
      <c r="D7900" s="25" t="s">
        <v>24957</v>
      </c>
      <c r="E7900" s="28">
        <v>0.20000</v>
      </c>
      <c r="F7900" s="29">
        <f ca="1">ROUND(19.000,3)</f>
        <v>0</v>
      </c>
      <c r="G7900" s="27">
        <f ca="1">ROUND(E7900*F7900,2)</f>
        <v>0</v>
      </c>
    </row>
    <row r="7901" spans="1:7" ht="15.12" thickBot="1" customHeight="1">
      <c r="A7901" s="26"/>
      <c r="B7901" s="26"/>
      <c r="C7901" s="26"/>
      <c r="D7901" s="24" t="s">
        <v>24958</v>
      </c>
      <c r="E7901" s="28">
        <v>1.00000</v>
      </c>
      <c r="F7901" s="29">
        <f ca="1">ROUND((G7898+G7899+G7900),3)</f>
        <v>0</v>
      </c>
      <c r="G7901" s="27">
        <f ca="1">ROUND(E7901*F7901,2)</f>
        <v>0</v>
      </c>
    </row>
    <row r="7902" spans="1:7" ht="15.12" thickBot="1" customHeight="1">
      <c r="A7902" s="24" t="s">
        <v>24959</v>
      </c>
      <c r="B7902" s="24"/>
      <c r="C7902" s="24" t="s">
        <v>24960</v>
      </c>
      <c r="D7902" s="25" t="s">
        <v>24961</v>
      </c>
      <c r="E7902" s="28">
        <v>3.00000</v>
      </c>
      <c r="F7902" s="29">
        <f ca="1">ROUND(43.800,3)</f>
        <v>0</v>
      </c>
      <c r="G7902" s="27">
        <f ca="1">ROUND((E7902*F7902)/100,2)</f>
        <v>0</v>
      </c>
    </row>
    <row r="7903" spans="1:7" ht="15.48" thickBot="1" customHeight="1">
      <c r="A7903" s="30"/>
      <c r="B7903" s="30"/>
      <c r="C7903" s="30"/>
      <c r="D7903" s="31" t="s">
        <v>24962</v>
      </c>
      <c r="E7903" s="30"/>
      <c r="F7903" s="33">
        <f ca="1">ROUND((G7894+G7895+G7896+G7897+G7902)*(1+G2/100),2)</f>
        <v>0</v>
      </c>
      <c r="G7903" s="30"/>
    </row>
    <row r="7904" spans="1:7" ht="49.08" thickBot="1" customHeight="1">
      <c r="A7904" s="34" t="s">
        <v>24963</v>
      </c>
      <c r="B7904" s="35" t="s">
        <v>24964</v>
      </c>
      <c r="C7904" s="35" t="s">
        <v>24965</v>
      </c>
      <c r="D7904" s="36" t="s">
        <v>24966</v>
      </c>
      <c r="E7904" s="37"/>
      <c r="F7904" s="38">
        <f ca="1">F7915</f>
        <v>0</v>
      </c>
      <c r="G7904" s="37"/>
    </row>
    <row r="7905" spans="1:7" ht="49.08" thickBot="1" customHeight="1">
      <c r="A7905" s="26"/>
      <c r="B7905" s="26"/>
      <c r="C7905" s="26"/>
      <c r="D7905" s="25" t="s">
        <v>24967</v>
      </c>
      <c r="E7905" s="25"/>
      <c r="F7905" s="25"/>
      <c r="G7905" s="25"/>
    </row>
    <row r="7906" spans="1:7" ht="21.36" thickBot="1" customHeight="1">
      <c r="A7906" s="24" t="s">
        <v>24968</v>
      </c>
      <c r="B7906" s="24" t="s">
        <v>24969</v>
      </c>
      <c r="C7906" s="24" t="s">
        <v>24970</v>
      </c>
      <c r="D7906" s="25" t="s">
        <v>24971</v>
      </c>
      <c r="E7906" s="28">
        <v>1.00000</v>
      </c>
      <c r="F7906" s="29">
        <f ca="1">ROUND(18.000,3)</f>
        <v>0</v>
      </c>
      <c r="G7906" s="27">
        <f ca="1">ROUND(E7906*F7906,2)</f>
        <v>0</v>
      </c>
    </row>
    <row r="7907" spans="1:7" ht="30.60" thickBot="1" customHeight="1">
      <c r="A7907" s="24" t="s">
        <v>24972</v>
      </c>
      <c r="B7907" s="24" t="s">
        <v>24973</v>
      </c>
      <c r="C7907" s="24" t="s">
        <v>24974</v>
      </c>
      <c r="D7907" s="25" t="s">
        <v>24975</v>
      </c>
      <c r="E7907" s="28">
        <v>0.10000</v>
      </c>
      <c r="F7907" s="29">
        <f ca="1">ROUND(6.090,3)</f>
        <v>0</v>
      </c>
      <c r="G7907" s="27">
        <f ca="1">ROUND(E7907*F7907,2)</f>
        <v>0</v>
      </c>
    </row>
    <row r="7908" spans="1:7" ht="30.60" thickBot="1" customHeight="1">
      <c r="A7908" s="24" t="s">
        <v>24976</v>
      </c>
      <c r="B7908" s="24" t="s">
        <v>24977</v>
      </c>
      <c r="C7908" s="24" t="s">
        <v>24978</v>
      </c>
      <c r="D7908" s="25" t="s">
        <v>24979</v>
      </c>
      <c r="E7908" s="28">
        <v>0.10000</v>
      </c>
      <c r="F7908" s="29">
        <f ca="1">ROUND(4.580,3)</f>
        <v>0</v>
      </c>
      <c r="G7908" s="27">
        <f ca="1">ROUND(E7908*F7908,2)</f>
        <v>0</v>
      </c>
    </row>
    <row r="7909" spans="1:7" ht="24.36" thickBot="1" customHeight="1">
      <c r="A7909" s="24" t="s">
        <v>24980</v>
      </c>
      <c r="B7909" s="24" t="s">
        <v>24981</v>
      </c>
      <c r="C7909" s="24" t="s">
        <v>24982</v>
      </c>
      <c r="D7909" s="25" t="s">
        <v>24983</v>
      </c>
      <c r="E7909" s="28">
        <v>1.00000</v>
      </c>
      <c r="F7909" s="29">
        <f ca="1">F7913</f>
        <v>0</v>
      </c>
      <c r="G7909" s="27">
        <f ca="1">ROUND(E7909*F7909,2)</f>
        <v>0</v>
      </c>
    </row>
    <row r="7910" spans="1:7" ht="24.36" thickBot="1" customHeight="1">
      <c r="A7910" s="24" t="s">
        <v>24984</v>
      </c>
      <c r="B7910" s="24" t="s">
        <v>24985</v>
      </c>
      <c r="C7910" s="24" t="s">
        <v>24986</v>
      </c>
      <c r="D7910" s="25" t="s">
        <v>24987</v>
      </c>
      <c r="E7910" s="28">
        <v>1.00000</v>
      </c>
      <c r="F7910" s="29">
        <f ca="1">ROUND(21.000,3)</f>
        <v>0</v>
      </c>
      <c r="G7910" s="27">
        <f ca="1">ROUND(E7910*F7910,2)</f>
        <v>0</v>
      </c>
    </row>
    <row r="7911" spans="1:7" ht="24.36" thickBot="1" customHeight="1">
      <c r="A7911" s="24" t="s">
        <v>24988</v>
      </c>
      <c r="B7911" s="24" t="s">
        <v>24989</v>
      </c>
      <c r="C7911" s="24" t="s">
        <v>24990</v>
      </c>
      <c r="D7911" s="25" t="s">
        <v>24991</v>
      </c>
      <c r="E7911" s="28">
        <v>1.00000</v>
      </c>
      <c r="F7911" s="29">
        <f ca="1">ROUND(19.000,3)</f>
        <v>0</v>
      </c>
      <c r="G7911" s="27">
        <f ca="1">ROUND(E7911*F7911,2)</f>
        <v>0</v>
      </c>
    </row>
    <row r="7912" spans="1:7" ht="24.36" thickBot="1" customHeight="1">
      <c r="A7912" s="24" t="s">
        <v>24992</v>
      </c>
      <c r="B7912" s="24" t="s">
        <v>24993</v>
      </c>
      <c r="C7912" s="24" t="s">
        <v>24994</v>
      </c>
      <c r="D7912" s="25" t="s">
        <v>24995</v>
      </c>
      <c r="E7912" s="28">
        <v>0.50000</v>
      </c>
      <c r="F7912" s="29">
        <f ca="1">ROUND(19.000,3)</f>
        <v>0</v>
      </c>
      <c r="G7912" s="27">
        <f ca="1">ROUND(E7912*F7912,2)</f>
        <v>0</v>
      </c>
    </row>
    <row r="7913" spans="1:7" ht="15.12" thickBot="1" customHeight="1">
      <c r="A7913" s="26"/>
      <c r="B7913" s="26"/>
      <c r="C7913" s="26"/>
      <c r="D7913" s="24" t="s">
        <v>24996</v>
      </c>
      <c r="E7913" s="28">
        <v>1.00000</v>
      </c>
      <c r="F7913" s="29">
        <f ca="1">ROUND((G7910+G7911+G7912),3)</f>
        <v>0</v>
      </c>
      <c r="G7913" s="27">
        <f ca="1">ROUND(E7913*F7913,2)</f>
        <v>0</v>
      </c>
    </row>
    <row r="7914" spans="1:7" ht="15.12" thickBot="1" customHeight="1">
      <c r="A7914" s="24" t="s">
        <v>24997</v>
      </c>
      <c r="B7914" s="24"/>
      <c r="C7914" s="24" t="s">
        <v>24998</v>
      </c>
      <c r="D7914" s="25" t="s">
        <v>24999</v>
      </c>
      <c r="E7914" s="28">
        <v>3.00000</v>
      </c>
      <c r="F7914" s="29">
        <f ca="1">ROUND(49.500,3)</f>
        <v>0</v>
      </c>
      <c r="G7914" s="27">
        <f ca="1">ROUND((E7914*F7914)/100,2)</f>
        <v>0</v>
      </c>
    </row>
    <row r="7915" spans="1:7" ht="15.48" thickBot="1" customHeight="1">
      <c r="A7915" s="30"/>
      <c r="B7915" s="30"/>
      <c r="C7915" s="30"/>
      <c r="D7915" s="31" t="s">
        <v>25000</v>
      </c>
      <c r="E7915" s="30"/>
      <c r="F7915" s="33">
        <f ca="1">ROUND((G7906+G7907+G7908+G7909+G7914)*(1+G2/100),2)</f>
        <v>0</v>
      </c>
      <c r="G7915" s="30"/>
    </row>
    <row r="7916" spans="1:7" ht="21.36" thickBot="1" customHeight="1">
      <c r="A7916" s="34" t="s">
        <v>25001</v>
      </c>
      <c r="B7916" s="35" t="s">
        <v>25002</v>
      </c>
      <c r="C7916" s="35" t="s">
        <v>25003</v>
      </c>
      <c r="D7916" s="36" t="s">
        <v>25004</v>
      </c>
      <c r="E7916" s="37"/>
      <c r="F7916" s="38">
        <f ca="1">F7926</f>
        <v>0</v>
      </c>
      <c r="G7916" s="37"/>
    </row>
    <row r="7917" spans="1:7" ht="30.60" thickBot="1" customHeight="1">
      <c r="A7917" s="26"/>
      <c r="B7917" s="26"/>
      <c r="C7917" s="26"/>
      <c r="D7917" s="25" t="s">
        <v>25005</v>
      </c>
      <c r="E7917" s="25"/>
      <c r="F7917" s="25"/>
      <c r="G7917" s="25"/>
    </row>
    <row r="7918" spans="1:7" ht="30.60" thickBot="1" customHeight="1">
      <c r="A7918" s="24" t="s">
        <v>25006</v>
      </c>
      <c r="B7918" s="24" t="s">
        <v>25007</v>
      </c>
      <c r="C7918" s="24" t="s">
        <v>25008</v>
      </c>
      <c r="D7918" s="25" t="s">
        <v>25009</v>
      </c>
      <c r="E7918" s="28">
        <v>13.00000</v>
      </c>
      <c r="F7918" s="29">
        <f ca="1">ROUND(0.470,3)</f>
        <v>0</v>
      </c>
      <c r="G7918" s="27">
        <f ca="1">ROUND(E7918*F7918,2)</f>
        <v>0</v>
      </c>
    </row>
    <row r="7919" spans="1:7" ht="30.60" thickBot="1" customHeight="1">
      <c r="A7919" s="24" t="s">
        <v>25010</v>
      </c>
      <c r="B7919" s="24" t="s">
        <v>25011</v>
      </c>
      <c r="C7919" s="24" t="s">
        <v>25012</v>
      </c>
      <c r="D7919" s="25" t="s">
        <v>25013</v>
      </c>
      <c r="E7919" s="28">
        <v>1.00000</v>
      </c>
      <c r="F7919" s="29">
        <f ca="1">ROUND(1.470,3)</f>
        <v>0</v>
      </c>
      <c r="G7919" s="27">
        <f ca="1">ROUND(E7919*F7919,2)</f>
        <v>0</v>
      </c>
    </row>
    <row r="7920" spans="1:7" ht="21.36" thickBot="1" customHeight="1">
      <c r="A7920" s="24" t="s">
        <v>25014</v>
      </c>
      <c r="B7920" s="24" t="s">
        <v>25015</v>
      </c>
      <c r="C7920" s="24" t="s">
        <v>25016</v>
      </c>
      <c r="D7920" s="25" t="s">
        <v>25017</v>
      </c>
      <c r="E7920" s="28">
        <v>1.10000</v>
      </c>
      <c r="F7920" s="29">
        <f ca="1">F7924</f>
        <v>0</v>
      </c>
      <c r="G7920" s="27">
        <f ca="1">ROUND(E7920*F7920,2)</f>
        <v>0</v>
      </c>
    </row>
    <row r="7921" spans="1:7" ht="24.36" thickBot="1" customHeight="1">
      <c r="A7921" s="24" t="s">
        <v>25018</v>
      </c>
      <c r="B7921" s="24" t="s">
        <v>25019</v>
      </c>
      <c r="C7921" s="24" t="s">
        <v>25020</v>
      </c>
      <c r="D7921" s="25" t="s">
        <v>25021</v>
      </c>
      <c r="E7921" s="28">
        <v>1.00000</v>
      </c>
      <c r="F7921" s="29">
        <f ca="1">ROUND(21.000,3)</f>
        <v>0</v>
      </c>
      <c r="G7921" s="27">
        <f ca="1">ROUND(E7921*F7921,2)</f>
        <v>0</v>
      </c>
    </row>
    <row r="7922" spans="1:7" ht="24.36" thickBot="1" customHeight="1">
      <c r="A7922" s="24" t="s">
        <v>25022</v>
      </c>
      <c r="B7922" s="24" t="s">
        <v>25023</v>
      </c>
      <c r="C7922" s="24" t="s">
        <v>25024</v>
      </c>
      <c r="D7922" s="25" t="s">
        <v>25025</v>
      </c>
      <c r="E7922" s="28">
        <v>1.00000</v>
      </c>
      <c r="F7922" s="29">
        <f ca="1">ROUND(19.000,3)</f>
        <v>0</v>
      </c>
      <c r="G7922" s="27">
        <f ca="1">ROUND(E7922*F7922,2)</f>
        <v>0</v>
      </c>
    </row>
    <row r="7923" spans="1:7" ht="24.36" thickBot="1" customHeight="1">
      <c r="A7923" s="24" t="s">
        <v>25026</v>
      </c>
      <c r="B7923" s="24" t="s">
        <v>25027</v>
      </c>
      <c r="C7923" s="24" t="s">
        <v>25028</v>
      </c>
      <c r="D7923" s="25" t="s">
        <v>25029</v>
      </c>
      <c r="E7923" s="28">
        <v>0.20000</v>
      </c>
      <c r="F7923" s="29">
        <f ca="1">ROUND(19.000,3)</f>
        <v>0</v>
      </c>
      <c r="G7923" s="27">
        <f ca="1">ROUND(E7923*F7923,2)</f>
        <v>0</v>
      </c>
    </row>
    <row r="7924" spans="1:7" ht="15.12" thickBot="1" customHeight="1">
      <c r="A7924" s="26"/>
      <c r="B7924" s="26"/>
      <c r="C7924" s="26"/>
      <c r="D7924" s="24" t="s">
        <v>25030</v>
      </c>
      <c r="E7924" s="28">
        <v>1.10000</v>
      </c>
      <c r="F7924" s="29">
        <f ca="1">ROUND((G7921+G7922+G7923),3)</f>
        <v>0</v>
      </c>
      <c r="G7924" s="27">
        <f ca="1">ROUND(E7924*F7924,2)</f>
        <v>0</v>
      </c>
    </row>
    <row r="7925" spans="1:7" ht="15.12" thickBot="1" customHeight="1">
      <c r="A7925" s="24" t="s">
        <v>25031</v>
      </c>
      <c r="B7925" s="24"/>
      <c r="C7925" s="24" t="s">
        <v>25032</v>
      </c>
      <c r="D7925" s="25" t="s">
        <v>25033</v>
      </c>
      <c r="E7925" s="28">
        <v>3.00000</v>
      </c>
      <c r="F7925" s="29">
        <f ca="1">ROUND(48.180,3)</f>
        <v>0</v>
      </c>
      <c r="G7925" s="27">
        <f ca="1">ROUND((E7925*F7925)/100,2)</f>
        <v>0</v>
      </c>
    </row>
    <row r="7926" spans="1:7" ht="15.48" thickBot="1" customHeight="1">
      <c r="A7926" s="30"/>
      <c r="B7926" s="30"/>
      <c r="C7926" s="30"/>
      <c r="D7926" s="31" t="s">
        <v>25034</v>
      </c>
      <c r="E7926" s="30"/>
      <c r="F7926" s="33">
        <f ca="1">ROUND((G7918+G7919+G7920+G7925)*(1+G2/100),2)</f>
        <v>0</v>
      </c>
      <c r="G7926" s="30"/>
    </row>
    <row r="7927" spans="1:7" ht="21.36" thickBot="1" customHeight="1">
      <c r="A7927" s="34" t="s">
        <v>25035</v>
      </c>
      <c r="B7927" s="35" t="s">
        <v>25036</v>
      </c>
      <c r="C7927" s="35" t="s">
        <v>25037</v>
      </c>
      <c r="D7927" s="36" t="s">
        <v>25038</v>
      </c>
      <c r="E7927" s="37"/>
      <c r="F7927" s="38">
        <f ca="1">F7945</f>
        <v>0</v>
      </c>
      <c r="G7927" s="37"/>
    </row>
    <row r="7928" spans="1:7" ht="95.28" thickBot="1" customHeight="1">
      <c r="A7928" s="26"/>
      <c r="B7928" s="26"/>
      <c r="C7928" s="26"/>
      <c r="D7928" s="25" t="s">
        <v>25039</v>
      </c>
      <c r="E7928" s="25"/>
      <c r="F7928" s="25"/>
      <c r="G7928" s="25"/>
    </row>
    <row r="7929" spans="1:7" ht="21.36" thickBot="1" customHeight="1">
      <c r="A7929" s="24" t="s">
        <v>25040</v>
      </c>
      <c r="B7929" s="24" t="s">
        <v>25041</v>
      </c>
      <c r="C7929" s="24" t="s">
        <v>25042</v>
      </c>
      <c r="D7929" s="25" t="s">
        <v>25043</v>
      </c>
      <c r="E7929" s="28">
        <v>3.20000</v>
      </c>
      <c r="F7929" s="29">
        <f ca="1">ROUND(0.060,3)</f>
        <v>0</v>
      </c>
      <c r="G7929" s="27">
        <f ca="1">ROUND(E7929*F7929,2)</f>
        <v>0</v>
      </c>
    </row>
    <row r="7930" spans="1:7" ht="58.32" thickBot="1" customHeight="1">
      <c r="A7930" s="24" t="s">
        <v>25044</v>
      </c>
      <c r="B7930" s="24" t="s">
        <v>25045</v>
      </c>
      <c r="C7930" s="24" t="s">
        <v>25046</v>
      </c>
      <c r="D7930" s="25" t="s">
        <v>25047</v>
      </c>
      <c r="E7930" s="28">
        <v>0.45000</v>
      </c>
      <c r="F7930" s="29">
        <f ca="1">ROUND(0.380,3)</f>
        <v>0</v>
      </c>
      <c r="G7930" s="27">
        <f ca="1">ROUND(E7930*F7930,2)</f>
        <v>0</v>
      </c>
    </row>
    <row r="7931" spans="1:7" ht="30.60" thickBot="1" customHeight="1">
      <c r="A7931" s="24" t="s">
        <v>25048</v>
      </c>
      <c r="B7931" s="24" t="s">
        <v>25049</v>
      </c>
      <c r="C7931" s="24" t="s">
        <v>25050</v>
      </c>
      <c r="D7931" s="25" t="s">
        <v>25051</v>
      </c>
      <c r="E7931" s="28">
        <v>0.90000</v>
      </c>
      <c r="F7931" s="29">
        <f ca="1">ROUND(1.650,3)</f>
        <v>0</v>
      </c>
      <c r="G7931" s="27">
        <f ca="1">ROUND(E7931*F7931,2)</f>
        <v>0</v>
      </c>
    </row>
    <row r="7932" spans="1:7" ht="30.60" thickBot="1" customHeight="1">
      <c r="A7932" s="24" t="s">
        <v>25052</v>
      </c>
      <c r="B7932" s="24" t="s">
        <v>25053</v>
      </c>
      <c r="C7932" s="24" t="s">
        <v>25054</v>
      </c>
      <c r="D7932" s="25" t="s">
        <v>25055</v>
      </c>
      <c r="E7932" s="28">
        <v>4.00000</v>
      </c>
      <c r="F7932" s="29">
        <f ca="1">ROUND(2.040,3)</f>
        <v>0</v>
      </c>
      <c r="G7932" s="27">
        <f ca="1">ROUND(E7932*F7932,2)</f>
        <v>0</v>
      </c>
    </row>
    <row r="7933" spans="1:7" ht="49.08" thickBot="1" customHeight="1">
      <c r="A7933" s="24" t="s">
        <v>25056</v>
      </c>
      <c r="B7933" s="24" t="s">
        <v>25057</v>
      </c>
      <c r="C7933" s="24" t="s">
        <v>25058</v>
      </c>
      <c r="D7933" s="25" t="s">
        <v>25059</v>
      </c>
      <c r="E7933" s="28">
        <v>2.10000</v>
      </c>
      <c r="F7933" s="29">
        <f ca="1">ROUND(8.440,3)</f>
        <v>0</v>
      </c>
      <c r="G7933" s="27">
        <f ca="1">ROUND(E7933*F7933,2)</f>
        <v>0</v>
      </c>
    </row>
    <row r="7934" spans="1:7" ht="15.12" thickBot="1" customHeight="1">
      <c r="A7934" s="24" t="s">
        <v>25060</v>
      </c>
      <c r="B7934" s="24" t="s">
        <v>25061</v>
      </c>
      <c r="C7934" s="24" t="s">
        <v>25062</v>
      </c>
      <c r="D7934" s="25" t="s">
        <v>25063</v>
      </c>
      <c r="E7934" s="28">
        <v>16.65000</v>
      </c>
      <c r="F7934" s="29">
        <f ca="1">ROUND(0.010,3)</f>
        <v>0</v>
      </c>
      <c r="G7934" s="27">
        <f ca="1">ROUND(E7934*F7934,2)</f>
        <v>0</v>
      </c>
    </row>
    <row r="7935" spans="1:7" ht="15.12" thickBot="1" customHeight="1">
      <c r="A7935" s="24" t="s">
        <v>25064</v>
      </c>
      <c r="B7935" s="24" t="s">
        <v>25065</v>
      </c>
      <c r="C7935" s="24" t="s">
        <v>25066</v>
      </c>
      <c r="D7935" s="25" t="s">
        <v>25067</v>
      </c>
      <c r="E7935" s="28">
        <v>16.65000</v>
      </c>
      <c r="F7935" s="29">
        <f ca="1">ROUND(0.010,3)</f>
        <v>0</v>
      </c>
      <c r="G7935" s="27">
        <f ca="1">ROUND(E7935*F7935,2)</f>
        <v>0</v>
      </c>
    </row>
    <row r="7936" spans="1:7" ht="39.84" thickBot="1" customHeight="1">
      <c r="A7936" s="24" t="s">
        <v>25068</v>
      </c>
      <c r="B7936" s="24" t="s">
        <v>25069</v>
      </c>
      <c r="C7936" s="24" t="s">
        <v>25070</v>
      </c>
      <c r="D7936" s="25" t="s">
        <v>25071</v>
      </c>
      <c r="E7936" s="28">
        <v>1.05000</v>
      </c>
      <c r="F7936" s="29">
        <f ca="1">ROUND(4.210,3)</f>
        <v>0</v>
      </c>
      <c r="G7936" s="27">
        <f ca="1">ROUND(E7936*F7936,2)</f>
        <v>0</v>
      </c>
    </row>
    <row r="7937" spans="1:7" ht="21.36" thickBot="1" customHeight="1">
      <c r="A7937" s="24" t="s">
        <v>25072</v>
      </c>
      <c r="B7937" s="24" t="s">
        <v>25073</v>
      </c>
      <c r="C7937" s="24" t="s">
        <v>25074</v>
      </c>
      <c r="D7937" s="25" t="s">
        <v>25075</v>
      </c>
      <c r="E7937" s="28">
        <v>0.60000</v>
      </c>
      <c r="F7937" s="29">
        <f ca="1">ROUND(1.150,3)</f>
        <v>0</v>
      </c>
      <c r="G7937" s="27">
        <f ca="1">ROUND(E7937*F7937,2)</f>
        <v>0</v>
      </c>
    </row>
    <row r="7938" spans="1:7" ht="21.36" thickBot="1" customHeight="1">
      <c r="A7938" s="24" t="s">
        <v>25076</v>
      </c>
      <c r="B7938" s="24" t="s">
        <v>25077</v>
      </c>
      <c r="C7938" s="24" t="s">
        <v>25078</v>
      </c>
      <c r="D7938" s="25" t="s">
        <v>25079</v>
      </c>
      <c r="E7938" s="28">
        <v>3.20000</v>
      </c>
      <c r="F7938" s="29">
        <f ca="1">ROUND(0.040,3)</f>
        <v>0</v>
      </c>
      <c r="G7938" s="27">
        <f ca="1">ROUND(E7938*F7938,2)</f>
        <v>0</v>
      </c>
    </row>
    <row r="7939" spans="1:7" ht="21.36" thickBot="1" customHeight="1">
      <c r="A7939" s="24" t="s">
        <v>25080</v>
      </c>
      <c r="B7939" s="24" t="s">
        <v>25081</v>
      </c>
      <c r="C7939" s="24" t="s">
        <v>25082</v>
      </c>
      <c r="D7939" s="25" t="s">
        <v>25083</v>
      </c>
      <c r="E7939" s="28">
        <v>0.70000</v>
      </c>
      <c r="F7939" s="29">
        <f ca="1">F7943</f>
        <v>0</v>
      </c>
      <c r="G7939" s="27">
        <f ca="1">ROUND(E7939*F7939,2)</f>
        <v>0</v>
      </c>
    </row>
    <row r="7940" spans="1:7" ht="24.36" thickBot="1" customHeight="1">
      <c r="A7940" s="24" t="s">
        <v>25084</v>
      </c>
      <c r="B7940" s="24" t="s">
        <v>25085</v>
      </c>
      <c r="C7940" s="24" t="s">
        <v>25086</v>
      </c>
      <c r="D7940" s="25" t="s">
        <v>25087</v>
      </c>
      <c r="E7940" s="28">
        <v>1.00000</v>
      </c>
      <c r="F7940" s="29">
        <f ca="1">ROUND(21.000,3)</f>
        <v>0</v>
      </c>
      <c r="G7940" s="27">
        <f ca="1">ROUND(E7940*F7940,2)</f>
        <v>0</v>
      </c>
    </row>
    <row r="7941" spans="1:7" ht="24.36" thickBot="1" customHeight="1">
      <c r="A7941" s="24" t="s">
        <v>25088</v>
      </c>
      <c r="B7941" s="24" t="s">
        <v>25089</v>
      </c>
      <c r="C7941" s="24" t="s">
        <v>25090</v>
      </c>
      <c r="D7941" s="25" t="s">
        <v>25091</v>
      </c>
      <c r="E7941" s="28">
        <v>1.00000</v>
      </c>
      <c r="F7941" s="29">
        <f ca="1">ROUND(19.000,3)</f>
        <v>0</v>
      </c>
      <c r="G7941" s="27">
        <f ca="1">ROUND(E7941*F7941,2)</f>
        <v>0</v>
      </c>
    </row>
    <row r="7942" spans="1:7" ht="24.36" thickBot="1" customHeight="1">
      <c r="A7942" s="24" t="s">
        <v>25092</v>
      </c>
      <c r="B7942" s="24" t="s">
        <v>25093</v>
      </c>
      <c r="C7942" s="24" t="s">
        <v>25094</v>
      </c>
      <c r="D7942" s="25" t="s">
        <v>25095</v>
      </c>
      <c r="E7942" s="28">
        <v>0.20000</v>
      </c>
      <c r="F7942" s="29">
        <f ca="1">ROUND(19.000,3)</f>
        <v>0</v>
      </c>
      <c r="G7942" s="27">
        <f ca="1">ROUND(E7942*F7942,2)</f>
        <v>0</v>
      </c>
    </row>
    <row r="7943" spans="1:7" ht="15.12" thickBot="1" customHeight="1">
      <c r="A7943" s="26"/>
      <c r="B7943" s="26"/>
      <c r="C7943" s="26"/>
      <c r="D7943" s="24" t="s">
        <v>25096</v>
      </c>
      <c r="E7943" s="28">
        <v>0.70000</v>
      </c>
      <c r="F7943" s="29">
        <f ca="1">ROUND((G7940+G7941+G7942),3)</f>
        <v>0</v>
      </c>
      <c r="G7943" s="27">
        <f ca="1">ROUND(E7943*F7943,2)</f>
        <v>0</v>
      </c>
    </row>
    <row r="7944" spans="1:7" ht="15.12" thickBot="1" customHeight="1">
      <c r="A7944" s="24" t="s">
        <v>25097</v>
      </c>
      <c r="B7944" s="24"/>
      <c r="C7944" s="24" t="s">
        <v>25098</v>
      </c>
      <c r="D7944" s="25" t="s">
        <v>25099</v>
      </c>
      <c r="E7944" s="28">
        <v>3.00000</v>
      </c>
      <c r="F7944" s="29">
        <f ca="1">ROUND(30.660,3)</f>
        <v>0</v>
      </c>
      <c r="G7944" s="27">
        <f ca="1">ROUND((E7944*F7944)/100,2)</f>
        <v>0</v>
      </c>
    </row>
    <row r="7945" spans="1:7" ht="15.48" thickBot="1" customHeight="1">
      <c r="A7945" s="30"/>
      <c r="B7945" s="30"/>
      <c r="C7945" s="30"/>
      <c r="D7945" s="31" t="s">
        <v>25100</v>
      </c>
      <c r="E7945" s="30"/>
      <c r="F7945" s="33">
        <f ca="1">ROUND((G7929+G7930+G7931+G7932+G7933+G7934+G7935+G7936+G7937+G7938+G7939+G7944)*(1+G2/100),2)</f>
        <v>0</v>
      </c>
      <c r="G7945" s="30"/>
    </row>
    <row r="7946" spans="1:7" ht="15.48" thickBot="1" customHeight="1">
      <c r="A7946" s="34" t="s">
        <v>25101</v>
      </c>
      <c r="B7946" s="35" t="s">
        <v>25102</v>
      </c>
      <c r="C7946" s="35" t="s">
        <v>25103</v>
      </c>
      <c r="D7946" s="36" t="s">
        <v>25104</v>
      </c>
      <c r="E7946" s="37"/>
      <c r="F7946" s="38">
        <f ca="1">F7955</f>
        <v>0</v>
      </c>
      <c r="G7946" s="37"/>
    </row>
    <row r="7947" spans="1:7" ht="12.12" thickBot="1" customHeight="1">
      <c r="A7947" s="26"/>
      <c r="B7947" s="26"/>
      <c r="C7947" s="26"/>
      <c r="D7947" s="25" t="s">
        <v>25105</v>
      </c>
      <c r="E7947" s="25"/>
      <c r="F7947" s="25"/>
      <c r="G7947" s="25"/>
    </row>
    <row r="7948" spans="1:7" ht="21.36" thickBot="1" customHeight="1">
      <c r="A7948" s="24" t="s">
        <v>25106</v>
      </c>
      <c r="B7948" s="24" t="s">
        <v>25107</v>
      </c>
      <c r="C7948" s="24" t="s">
        <v>25108</v>
      </c>
      <c r="D7948" s="25" t="s">
        <v>25109</v>
      </c>
      <c r="E7948" s="28">
        <v>1.00000</v>
      </c>
      <c r="F7948" s="29">
        <f ca="1">ROUND(95.000,3)</f>
        <v>0</v>
      </c>
      <c r="G7948" s="27">
        <f ca="1">ROUND(E7948*F7948,2)</f>
        <v>0</v>
      </c>
    </row>
    <row r="7949" spans="1:7" ht="21.36" thickBot="1" customHeight="1">
      <c r="A7949" s="24" t="s">
        <v>25110</v>
      </c>
      <c r="B7949" s="24" t="s">
        <v>25111</v>
      </c>
      <c r="C7949" s="24" t="s">
        <v>25112</v>
      </c>
      <c r="D7949" s="25" t="s">
        <v>25113</v>
      </c>
      <c r="E7949" s="28">
        <v>1.50000</v>
      </c>
      <c r="F7949" s="29">
        <f ca="1">F7953</f>
        <v>0</v>
      </c>
      <c r="G7949" s="27">
        <f ca="1">ROUND(E7949*F7949,2)</f>
        <v>0</v>
      </c>
    </row>
    <row r="7950" spans="1:7" ht="24.36" thickBot="1" customHeight="1">
      <c r="A7950" s="24" t="s">
        <v>25114</v>
      </c>
      <c r="B7950" s="24" t="s">
        <v>25115</v>
      </c>
      <c r="C7950" s="24" t="s">
        <v>25116</v>
      </c>
      <c r="D7950" s="25" t="s">
        <v>25117</v>
      </c>
      <c r="E7950" s="28">
        <v>1.00000</v>
      </c>
      <c r="F7950" s="29">
        <f ca="1">ROUND(21.000,3)</f>
        <v>0</v>
      </c>
      <c r="G7950" s="27">
        <f ca="1">ROUND(E7950*F7950,2)</f>
        <v>0</v>
      </c>
    </row>
    <row r="7951" spans="1:7" ht="24.36" thickBot="1" customHeight="1">
      <c r="A7951" s="24" t="s">
        <v>25118</v>
      </c>
      <c r="B7951" s="24" t="s">
        <v>25119</v>
      </c>
      <c r="C7951" s="24" t="s">
        <v>25120</v>
      </c>
      <c r="D7951" s="25" t="s">
        <v>25121</v>
      </c>
      <c r="E7951" s="28">
        <v>1.00000</v>
      </c>
      <c r="F7951" s="29">
        <f ca="1">ROUND(19.000,3)</f>
        <v>0</v>
      </c>
      <c r="G7951" s="27">
        <f ca="1">ROUND(E7951*F7951,2)</f>
        <v>0</v>
      </c>
    </row>
    <row r="7952" spans="1:7" ht="24.36" thickBot="1" customHeight="1">
      <c r="A7952" s="24" t="s">
        <v>25122</v>
      </c>
      <c r="B7952" s="24" t="s">
        <v>25123</v>
      </c>
      <c r="C7952" s="24" t="s">
        <v>25124</v>
      </c>
      <c r="D7952" s="25" t="s">
        <v>25125</v>
      </c>
      <c r="E7952" s="28">
        <v>0.20000</v>
      </c>
      <c r="F7952" s="29">
        <f ca="1">ROUND(19.000,3)</f>
        <v>0</v>
      </c>
      <c r="G7952" s="27">
        <f ca="1">ROUND(E7952*F7952,2)</f>
        <v>0</v>
      </c>
    </row>
    <row r="7953" spans="1:7" ht="15.12" thickBot="1" customHeight="1">
      <c r="A7953" s="26"/>
      <c r="B7953" s="26"/>
      <c r="C7953" s="26"/>
      <c r="D7953" s="24" t="s">
        <v>25126</v>
      </c>
      <c r="E7953" s="28">
        <v>1.50000</v>
      </c>
      <c r="F7953" s="29">
        <f ca="1">ROUND((G7950+G7951+G7952),3)</f>
        <v>0</v>
      </c>
      <c r="G7953" s="27">
        <f ca="1">ROUND(E7953*F7953,2)</f>
        <v>0</v>
      </c>
    </row>
    <row r="7954" spans="1:7" ht="15.12" thickBot="1" customHeight="1">
      <c r="A7954" s="24" t="s">
        <v>25127</v>
      </c>
      <c r="B7954" s="24"/>
      <c r="C7954" s="24" t="s">
        <v>25128</v>
      </c>
      <c r="D7954" s="25" t="s">
        <v>25129</v>
      </c>
      <c r="E7954" s="28">
        <v>3.00000</v>
      </c>
      <c r="F7954" s="29">
        <f ca="1">ROUND(65.700,3)</f>
        <v>0</v>
      </c>
      <c r="G7954" s="27">
        <f ca="1">ROUND((E7954*F7954)/100,2)</f>
        <v>0</v>
      </c>
    </row>
    <row r="7955" spans="1:7" ht="15.48" thickBot="1" customHeight="1">
      <c r="A7955" s="30"/>
      <c r="B7955" s="30"/>
      <c r="C7955" s="30"/>
      <c r="D7955" s="31" t="s">
        <v>25130</v>
      </c>
      <c r="E7955" s="30"/>
      <c r="F7955" s="33">
        <f ca="1">ROUND((G7948+G7949+G7954)*(1+G2/100),2)</f>
        <v>0</v>
      </c>
      <c r="G7955" s="30"/>
    </row>
    <row r="7956" spans="1:7" ht="30.60" thickBot="1" customHeight="1">
      <c r="A7956" s="34" t="s">
        <v>25131</v>
      </c>
      <c r="B7956" s="35" t="s">
        <v>25132</v>
      </c>
      <c r="C7956" s="35" t="s">
        <v>25133</v>
      </c>
      <c r="D7956" s="36" t="s">
        <v>25134</v>
      </c>
      <c r="E7956" s="37"/>
      <c r="F7956" s="38">
        <f ca="1">F7962</f>
        <v>0</v>
      </c>
      <c r="G7956" s="37"/>
    </row>
    <row r="7957" spans="1:7" ht="39.84" thickBot="1" customHeight="1">
      <c r="A7957" s="26"/>
      <c r="B7957" s="26"/>
      <c r="C7957" s="26"/>
      <c r="D7957" s="25" t="s">
        <v>25135</v>
      </c>
      <c r="E7957" s="25"/>
      <c r="F7957" s="25"/>
      <c r="G7957" s="25"/>
    </row>
    <row r="7958" spans="1:7" ht="21.36" thickBot="1" customHeight="1">
      <c r="A7958" s="24" t="s">
        <v>25136</v>
      </c>
      <c r="B7958" s="24" t="s">
        <v>25137</v>
      </c>
      <c r="C7958" s="24" t="s">
        <v>25138</v>
      </c>
      <c r="D7958" s="25" t="s">
        <v>25139</v>
      </c>
      <c r="E7958" s="28">
        <v>1.05000</v>
      </c>
      <c r="F7958" s="29">
        <f ca="1">ROUND(3.600,3)</f>
        <v>0</v>
      </c>
      <c r="G7958" s="27">
        <f ca="1">ROUND(E7958*F7958,2)</f>
        <v>0</v>
      </c>
    </row>
    <row r="7959" spans="1:7" ht="21.36" thickBot="1" customHeight="1">
      <c r="A7959" s="24" t="s">
        <v>25140</v>
      </c>
      <c r="B7959" s="24" t="s">
        <v>25141</v>
      </c>
      <c r="C7959" s="24" t="s">
        <v>25142</v>
      </c>
      <c r="D7959" s="25" t="s">
        <v>25143</v>
      </c>
      <c r="E7959" s="28">
        <v>0.03200</v>
      </c>
      <c r="F7959" s="29">
        <f ca="1">ROUND(8.110,3)</f>
        <v>0</v>
      </c>
      <c r="G7959" s="27">
        <f ca="1">ROUND(E7959*F7959,2)</f>
        <v>0</v>
      </c>
    </row>
    <row r="7960" spans="1:7" ht="21.36" thickBot="1" customHeight="1">
      <c r="A7960" s="24" t="s">
        <v>25144</v>
      </c>
      <c r="B7960" s="24" t="s">
        <v>25145</v>
      </c>
      <c r="C7960" s="24" t="s">
        <v>25146</v>
      </c>
      <c r="D7960" s="25" t="s">
        <v>25147</v>
      </c>
      <c r="E7960" s="28">
        <v>0.01600</v>
      </c>
      <c r="F7960" s="29">
        <f ca="1">ROUND(12.140,3)</f>
        <v>0</v>
      </c>
      <c r="G7960" s="27">
        <f ca="1">ROUND(E7960*F7960,2)</f>
        <v>0</v>
      </c>
    </row>
    <row r="7961" spans="1:7" ht="24.36" thickBot="1" customHeight="1">
      <c r="A7961" s="24" t="s">
        <v>25148</v>
      </c>
      <c r="B7961" s="24" t="s">
        <v>25149</v>
      </c>
      <c r="C7961" s="24" t="s">
        <v>25150</v>
      </c>
      <c r="D7961" s="25" t="s">
        <v>25151</v>
      </c>
      <c r="E7961" s="28">
        <v>0.75000</v>
      </c>
      <c r="F7961" s="29">
        <f ca="1">ROUND(49.500,3)</f>
        <v>0</v>
      </c>
      <c r="G7961" s="27">
        <f ca="1">ROUND(E7961*F7961,2)</f>
        <v>0</v>
      </c>
    </row>
    <row r="7962" spans="1:7" ht="15.48" thickBot="1" customHeight="1">
      <c r="A7962" s="30"/>
      <c r="B7962" s="30"/>
      <c r="C7962" s="30"/>
      <c r="D7962" s="31" t="s">
        <v>25152</v>
      </c>
      <c r="E7962" s="30"/>
      <c r="F7962" s="33">
        <f ca="1">ROUND((G7958+G7959+G7960+G7961)*(1+G2/100),2)</f>
        <v>0</v>
      </c>
      <c r="G7962" s="30"/>
    </row>
    <row r="7963" spans="1:7" ht="15.48" thickBot="1" customHeight="1">
      <c r="A7963" s="39"/>
      <c r="B7963" s="39"/>
      <c r="C7963" s="39"/>
      <c r="D7963" s="50" t="s">
        <v>25153</v>
      </c>
      <c r="E7963" s="51"/>
      <c r="F7963" s="51"/>
      <c r="G7963" s="51"/>
    </row>
    <row r="7964" spans="1:7" ht="15.48" thickBot="1" customHeight="1">
      <c r="A7964" s="52" t="s">
        <v>25154</v>
      </c>
      <c r="B7964" s="52" t="s">
        <v>25155</v>
      </c>
      <c r="C7964" s="53"/>
      <c r="D7964" s="54" t="s">
        <v>25156</v>
      </c>
      <c r="E7964" s="53"/>
      <c r="F7964" s="53"/>
      <c r="G7964" s="53"/>
    </row>
    <row r="7965" spans="1:7" ht="30.60" thickBot="1" customHeight="1">
      <c r="A7965" s="10" t="s">
        <v>25157</v>
      </c>
      <c r="B7965" s="24" t="s">
        <v>25158</v>
      </c>
      <c r="C7965" s="24" t="s">
        <v>25159</v>
      </c>
      <c r="D7965" s="25" t="s">
        <v>25160</v>
      </c>
      <c r="E7965" s="26"/>
      <c r="F7965" s="27">
        <f ca="1">F7990</f>
        <v>0</v>
      </c>
      <c r="G7965" s="26"/>
    </row>
    <row r="7966" spans="1:7" ht="49.08" thickBot="1" customHeight="1">
      <c r="A7966" s="26"/>
      <c r="B7966" s="26"/>
      <c r="C7966" s="26"/>
      <c r="D7966" s="25" t="s">
        <v>25161</v>
      </c>
      <c r="E7966" s="25"/>
      <c r="F7966" s="25"/>
      <c r="G7966" s="25"/>
    </row>
    <row r="7967" spans="1:7" ht="30.60" thickBot="1" customHeight="1">
      <c r="A7967" s="24" t="s">
        <v>25162</v>
      </c>
      <c r="B7967" s="24" t="s">
        <v>25163</v>
      </c>
      <c r="C7967" s="24" t="s">
        <v>25164</v>
      </c>
      <c r="D7967" s="25" t="s">
        <v>25165</v>
      </c>
      <c r="E7967" s="28">
        <v>1.00000</v>
      </c>
      <c r="F7967" s="29">
        <f ca="1">ROUND(322.990,3)</f>
        <v>0</v>
      </c>
      <c r="G7967" s="27">
        <f ca="1">ROUND(E7967*F7967,2)</f>
        <v>0</v>
      </c>
    </row>
    <row r="7968" spans="1:7" ht="30.60" thickBot="1" customHeight="1">
      <c r="A7968" s="24" t="s">
        <v>25166</v>
      </c>
      <c r="B7968" s="24" t="s">
        <v>25167</v>
      </c>
      <c r="C7968" s="24" t="s">
        <v>25168</v>
      </c>
      <c r="D7968" s="25" t="s">
        <v>25169</v>
      </c>
      <c r="E7968" s="28">
        <v>1.00000</v>
      </c>
      <c r="F7968" s="29">
        <f ca="1">ROUND(11.780,3)</f>
        <v>0</v>
      </c>
      <c r="G7968" s="27">
        <f ca="1">ROUND(E7968*F7968,2)</f>
        <v>0</v>
      </c>
    </row>
    <row r="7969" spans="1:7" ht="30.60" thickBot="1" customHeight="1">
      <c r="A7969" s="24" t="s">
        <v>25170</v>
      </c>
      <c r="B7969" s="24" t="s">
        <v>25171</v>
      </c>
      <c r="C7969" s="24" t="s">
        <v>25172</v>
      </c>
      <c r="D7969" s="25" t="s">
        <v>25173</v>
      </c>
      <c r="E7969" s="28">
        <v>1.00000</v>
      </c>
      <c r="F7969" s="29">
        <f ca="1">ROUND(4.820,3)</f>
        <v>0</v>
      </c>
      <c r="G7969" s="27">
        <f ca="1">ROUND(E7969*F7969,2)</f>
        <v>0</v>
      </c>
    </row>
    <row r="7970" spans="1:7" ht="30.60" thickBot="1" customHeight="1">
      <c r="A7970" s="24" t="s">
        <v>25174</v>
      </c>
      <c r="B7970" s="24" t="s">
        <v>25175</v>
      </c>
      <c r="C7970" s="24" t="s">
        <v>25176</v>
      </c>
      <c r="D7970" s="25" t="s">
        <v>25177</v>
      </c>
      <c r="E7970" s="28">
        <v>1.00000</v>
      </c>
      <c r="F7970" s="29">
        <f ca="1">ROUND(0.800,3)</f>
        <v>0</v>
      </c>
      <c r="G7970" s="27">
        <f ca="1">ROUND(E7970*F7970,2)</f>
        <v>0</v>
      </c>
    </row>
    <row r="7971" spans="1:7" ht="30.60" thickBot="1" customHeight="1">
      <c r="A7971" s="24" t="s">
        <v>25178</v>
      </c>
      <c r="B7971" s="24" t="s">
        <v>25179</v>
      </c>
      <c r="C7971" s="24" t="s">
        <v>25180</v>
      </c>
      <c r="D7971" s="25" t="s">
        <v>25181</v>
      </c>
      <c r="E7971" s="28">
        <v>0.25000</v>
      </c>
      <c r="F7971" s="29">
        <f ca="1">F7973</f>
        <v>0</v>
      </c>
      <c r="G7971" s="27">
        <f ca="1">ROUND(E7971*F7971,2)</f>
        <v>0</v>
      </c>
    </row>
    <row r="7972" spans="1:7" ht="21.36" thickBot="1" customHeight="1">
      <c r="A7972" s="24" t="s">
        <v>25182</v>
      </c>
      <c r="B7972" s="24" t="s">
        <v>25183</v>
      </c>
      <c r="C7972" s="24" t="s">
        <v>25184</v>
      </c>
      <c r="D7972" s="25" t="s">
        <v>25185</v>
      </c>
      <c r="E7972" s="28">
        <v>0.00417</v>
      </c>
      <c r="F7972" s="29">
        <f ca="1">ROUND(188.430,3)</f>
        <v>0</v>
      </c>
      <c r="G7972" s="27">
        <f ca="1">ROUND(E7972*F7972,2)</f>
        <v>0</v>
      </c>
    </row>
    <row r="7973" spans="1:7" ht="15.12" thickBot="1" customHeight="1">
      <c r="A7973" s="26"/>
      <c r="B7973" s="26"/>
      <c r="C7973" s="26"/>
      <c r="D7973" s="24" t="s">
        <v>25186</v>
      </c>
      <c r="E7973" s="28">
        <v>0.25000</v>
      </c>
      <c r="F7973" s="29">
        <f ca="1">ROUND((G7972),3)</f>
        <v>0</v>
      </c>
      <c r="G7973" s="27">
        <f ca="1">ROUND(E7973*F7973,2)</f>
        <v>0</v>
      </c>
    </row>
    <row r="7974" spans="1:7" ht="30.60" thickBot="1" customHeight="1">
      <c r="A7974" s="24" t="s">
        <v>25187</v>
      </c>
      <c r="B7974" s="24" t="s">
        <v>25188</v>
      </c>
      <c r="C7974" s="24" t="s">
        <v>25189</v>
      </c>
      <c r="D7974" s="25" t="s">
        <v>25190</v>
      </c>
      <c r="E7974" s="28">
        <v>0.20000</v>
      </c>
      <c r="F7974" s="29">
        <f ca="1">ROUND(4.920,3)</f>
        <v>0</v>
      </c>
      <c r="G7974" s="27">
        <f ca="1">ROUND(E7974*F7974,2)</f>
        <v>0</v>
      </c>
    </row>
    <row r="7975" spans="1:7" ht="21.36" thickBot="1" customHeight="1">
      <c r="A7975" s="24" t="s">
        <v>25191</v>
      </c>
      <c r="B7975" s="24" t="s">
        <v>25192</v>
      </c>
      <c r="C7975" s="24" t="s">
        <v>25193</v>
      </c>
      <c r="D7975" s="25" t="s">
        <v>25194</v>
      </c>
      <c r="E7975" s="28">
        <v>1.00000</v>
      </c>
      <c r="F7975" s="29">
        <f ca="1">ROUND(97.520,3)</f>
        <v>0</v>
      </c>
      <c r="G7975" s="27">
        <f ca="1">ROUND(E7975*F7975,2)</f>
        <v>0</v>
      </c>
    </row>
    <row r="7976" spans="1:7" ht="30.60" thickBot="1" customHeight="1">
      <c r="A7976" s="24" t="s">
        <v>25195</v>
      </c>
      <c r="B7976" s="24" t="s">
        <v>25196</v>
      </c>
      <c r="C7976" s="24" t="s">
        <v>25197</v>
      </c>
      <c r="D7976" s="25" t="s">
        <v>25198</v>
      </c>
      <c r="E7976" s="28">
        <v>0.10000</v>
      </c>
      <c r="F7976" s="29">
        <f ca="1">ROUND(6.140,3)</f>
        <v>0</v>
      </c>
      <c r="G7976" s="27">
        <f ca="1">ROUND(E7976*F7976,2)</f>
        <v>0</v>
      </c>
    </row>
    <row r="7977" spans="1:7" ht="39.84" thickBot="1" customHeight="1">
      <c r="A7977" s="24" t="s">
        <v>25199</v>
      </c>
      <c r="B7977" s="24" t="s">
        <v>25200</v>
      </c>
      <c r="C7977" s="24" t="s">
        <v>25201</v>
      </c>
      <c r="D7977" s="25" t="s">
        <v>25202</v>
      </c>
      <c r="E7977" s="28">
        <v>0.36413</v>
      </c>
      <c r="F7977" s="29">
        <f ca="1">ROUND(7.370,3)</f>
        <v>0</v>
      </c>
      <c r="G7977" s="27">
        <f ca="1">ROUND(E7977*F7977,2)</f>
        <v>0</v>
      </c>
    </row>
    <row r="7978" spans="1:7" ht="30.60" thickBot="1" customHeight="1">
      <c r="A7978" s="24" t="s">
        <v>25203</v>
      </c>
      <c r="B7978" s="24" t="s">
        <v>25204</v>
      </c>
      <c r="C7978" s="24" t="s">
        <v>25205</v>
      </c>
      <c r="D7978" s="25" t="s">
        <v>25206</v>
      </c>
      <c r="E7978" s="28">
        <v>0.25000</v>
      </c>
      <c r="F7978" s="29">
        <f ca="1">ROUND(7.930,3)</f>
        <v>0</v>
      </c>
      <c r="G7978" s="27">
        <f ca="1">ROUND(E7978*F7978,2)</f>
        <v>0</v>
      </c>
    </row>
    <row r="7979" spans="1:7" ht="49.08" thickBot="1" customHeight="1">
      <c r="A7979" s="24" t="s">
        <v>25207</v>
      </c>
      <c r="B7979" s="24" t="s">
        <v>25208</v>
      </c>
      <c r="C7979" s="24" t="s">
        <v>25209</v>
      </c>
      <c r="D7979" s="25" t="s">
        <v>25210</v>
      </c>
      <c r="E7979" s="28">
        <v>15.00000</v>
      </c>
      <c r="F7979" s="29">
        <f ca="1">ROUND(25.890,3)</f>
        <v>0</v>
      </c>
      <c r="G7979" s="27">
        <f ca="1">ROUND(E7979*F7979,2)</f>
        <v>0</v>
      </c>
    </row>
    <row r="7980" spans="1:7" ht="49.08" thickBot="1" customHeight="1">
      <c r="A7980" s="24" t="s">
        <v>25211</v>
      </c>
      <c r="B7980" s="24" t="s">
        <v>25212</v>
      </c>
      <c r="C7980" s="24" t="s">
        <v>25213</v>
      </c>
      <c r="D7980" s="25" t="s">
        <v>25214</v>
      </c>
      <c r="E7980" s="28">
        <v>15.00000</v>
      </c>
      <c r="F7980" s="29">
        <f ca="1">ROUND(17.440,3)</f>
        <v>0</v>
      </c>
      <c r="G7980" s="27">
        <f ca="1">ROUND(E7980*F7980,2)</f>
        <v>0</v>
      </c>
    </row>
    <row r="7981" spans="1:7" ht="30.60" thickBot="1" customHeight="1">
      <c r="A7981" s="24" t="s">
        <v>25215</v>
      </c>
      <c r="B7981" s="24" t="s">
        <v>25216</v>
      </c>
      <c r="C7981" s="24" t="s">
        <v>25217</v>
      </c>
      <c r="D7981" s="25" t="s">
        <v>25218</v>
      </c>
      <c r="E7981" s="28">
        <v>15.00000</v>
      </c>
      <c r="F7981" s="29">
        <f ca="1">ROUND(15.090,3)</f>
        <v>0</v>
      </c>
      <c r="G7981" s="27">
        <f ca="1">ROUND(E7981*F7981,2)</f>
        <v>0</v>
      </c>
    </row>
    <row r="7982" spans="1:7" ht="39.84" thickBot="1" customHeight="1">
      <c r="A7982" s="24" t="s">
        <v>25219</v>
      </c>
      <c r="B7982" s="24" t="s">
        <v>25220</v>
      </c>
      <c r="C7982" s="24" t="s">
        <v>25221</v>
      </c>
      <c r="D7982" s="25" t="s">
        <v>25222</v>
      </c>
      <c r="E7982" s="28">
        <v>15.00000</v>
      </c>
      <c r="F7982" s="29">
        <f ca="1">ROUND(15.930,3)</f>
        <v>0</v>
      </c>
      <c r="G7982" s="27">
        <f ca="1">ROUND(E7982*F7982,2)</f>
        <v>0</v>
      </c>
    </row>
    <row r="7983" spans="1:7" ht="39.84" thickBot="1" customHeight="1">
      <c r="A7983" s="24" t="s">
        <v>25223</v>
      </c>
      <c r="B7983" s="24" t="s">
        <v>25224</v>
      </c>
      <c r="C7983" s="24" t="s">
        <v>25225</v>
      </c>
      <c r="D7983" s="25" t="s">
        <v>25226</v>
      </c>
      <c r="E7983" s="28">
        <v>15.00000</v>
      </c>
      <c r="F7983" s="29">
        <f ca="1">ROUND(32.000,3)</f>
        <v>0</v>
      </c>
      <c r="G7983" s="27">
        <f ca="1">ROUND(E7983*F7983,2)</f>
        <v>0</v>
      </c>
    </row>
    <row r="7984" spans="1:7" ht="21.36" thickBot="1" customHeight="1">
      <c r="A7984" s="24" t="s">
        <v>25227</v>
      </c>
      <c r="B7984" s="24" t="s">
        <v>25228</v>
      </c>
      <c r="C7984" s="24" t="s">
        <v>25229</v>
      </c>
      <c r="D7984" s="25" t="s">
        <v>25230</v>
      </c>
      <c r="E7984" s="28">
        <v>15.00000</v>
      </c>
      <c r="F7984" s="29">
        <f ca="1">ROUND(5.500,3)</f>
        <v>0</v>
      </c>
      <c r="G7984" s="27">
        <f ca="1">ROUND(E7984*F7984,2)</f>
        <v>0</v>
      </c>
    </row>
    <row r="7985" spans="1:7" ht="21.36" thickBot="1" customHeight="1">
      <c r="A7985" s="24" t="s">
        <v>25231</v>
      </c>
      <c r="B7985" s="24" t="s">
        <v>25232</v>
      </c>
      <c r="C7985" s="24" t="s">
        <v>25233</v>
      </c>
      <c r="D7985" s="25" t="s">
        <v>25234</v>
      </c>
      <c r="E7985" s="28">
        <v>15.00000</v>
      </c>
      <c r="F7985" s="29">
        <f ca="1">ROUND(6.600,3)</f>
        <v>0</v>
      </c>
      <c r="G7985" s="27">
        <f ca="1">ROUND(E7985*F7985,2)</f>
        <v>0</v>
      </c>
    </row>
    <row r="7986" spans="1:7" ht="21.36" thickBot="1" customHeight="1">
      <c r="A7986" s="24" t="s">
        <v>25235</v>
      </c>
      <c r="B7986" s="24" t="s">
        <v>25236</v>
      </c>
      <c r="C7986" s="24" t="s">
        <v>25237</v>
      </c>
      <c r="D7986" s="25" t="s">
        <v>25238</v>
      </c>
      <c r="E7986" s="28">
        <v>0.50000</v>
      </c>
      <c r="F7986" s="29">
        <f ca="1">ROUND(3.990,3)</f>
        <v>0</v>
      </c>
      <c r="G7986" s="27">
        <f ca="1">ROUND(E7986*F7986,2)</f>
        <v>0</v>
      </c>
    </row>
    <row r="7987" spans="1:7" ht="24.36" thickBot="1" customHeight="1">
      <c r="A7987" s="24" t="s">
        <v>25239</v>
      </c>
      <c r="B7987" s="24" t="s">
        <v>25240</v>
      </c>
      <c r="C7987" s="24" t="s">
        <v>25241</v>
      </c>
      <c r="D7987" s="25" t="s">
        <v>25242</v>
      </c>
      <c r="E7987" s="28">
        <v>24.00000</v>
      </c>
      <c r="F7987" s="29">
        <f ca="1">ROUND(24.000,3)</f>
        <v>0</v>
      </c>
      <c r="G7987" s="27">
        <f ca="1">ROUND(E7987*F7987,2)</f>
        <v>0</v>
      </c>
    </row>
    <row r="7988" spans="1:7" ht="24.36" thickBot="1" customHeight="1">
      <c r="A7988" s="24" t="s">
        <v>25243</v>
      </c>
      <c r="B7988" s="24" t="s">
        <v>25244</v>
      </c>
      <c r="C7988" s="24" t="s">
        <v>25245</v>
      </c>
      <c r="D7988" s="25" t="s">
        <v>25246</v>
      </c>
      <c r="E7988" s="28">
        <v>24.00000</v>
      </c>
      <c r="F7988" s="29">
        <f ca="1">ROUND(19.000,3)</f>
        <v>0</v>
      </c>
      <c r="G7988" s="27">
        <f ca="1">ROUND(E7988*F7988,2)</f>
        <v>0</v>
      </c>
    </row>
    <row r="7989" spans="1:7" ht="15.12" thickBot="1" customHeight="1">
      <c r="A7989" s="24" t="s">
        <v>25247</v>
      </c>
      <c r="B7989" s="24"/>
      <c r="C7989" s="24" t="s">
        <v>25248</v>
      </c>
      <c r="D7989" s="25" t="s">
        <v>25249</v>
      </c>
      <c r="E7989" s="28">
        <v>10.00000</v>
      </c>
      <c r="F7989" s="29">
        <f ca="1">ROUND(1032.000,3)</f>
        <v>0</v>
      </c>
      <c r="G7989" s="27">
        <f ca="1">ROUND((E7989*F7989)/100,2)</f>
        <v>0</v>
      </c>
    </row>
    <row r="7990" spans="1:7" ht="15.48" thickBot="1" customHeight="1">
      <c r="A7990" s="30"/>
      <c r="B7990" s="30"/>
      <c r="C7990" s="30"/>
      <c r="D7990" s="31" t="s">
        <v>25250</v>
      </c>
      <c r="E7990" s="30"/>
      <c r="F7990" s="33">
        <f ca="1">ROUND((G7967+G7968+G7969+G7970+G7971+G7974+G7975+G7976+G7977+G7978+G7979+G7980+G7981+G7982+G7983+G7984+G7985+G7986+G7987+G7988+G7989)*(1+G2/100),2)</f>
        <v>0</v>
      </c>
      <c r="G7990" s="30"/>
    </row>
    <row r="7991" spans="1:7" ht="30.60" thickBot="1" customHeight="1">
      <c r="A7991" s="34" t="s">
        <v>25251</v>
      </c>
      <c r="B7991" s="35" t="s">
        <v>25252</v>
      </c>
      <c r="C7991" s="35" t="s">
        <v>25253</v>
      </c>
      <c r="D7991" s="36" t="s">
        <v>25254</v>
      </c>
      <c r="E7991" s="37"/>
      <c r="F7991" s="38">
        <f ca="1">F8016</f>
        <v>0</v>
      </c>
      <c r="G7991" s="37"/>
    </row>
    <row r="7992" spans="1:7" ht="12.12" thickBot="1" customHeight="1">
      <c r="A7992" s="26"/>
      <c r="B7992" s="26"/>
      <c r="C7992" s="26"/>
      <c r="D7992" s="25" t="s">
        <v>25255</v>
      </c>
      <c r="E7992" s="25"/>
      <c r="F7992" s="25"/>
      <c r="G7992" s="25"/>
    </row>
    <row r="7993" spans="1:7" ht="30.60" thickBot="1" customHeight="1">
      <c r="A7993" s="24" t="s">
        <v>25256</v>
      </c>
      <c r="B7993" s="24" t="s">
        <v>25257</v>
      </c>
      <c r="C7993" s="24" t="s">
        <v>25258</v>
      </c>
      <c r="D7993" s="25" t="s">
        <v>25259</v>
      </c>
      <c r="E7993" s="28">
        <v>1.00000</v>
      </c>
      <c r="F7993" s="29">
        <f ca="1">ROUND(378.220,3)</f>
        <v>0</v>
      </c>
      <c r="G7993" s="27">
        <f ca="1">ROUND(E7993*F7993,2)</f>
        <v>0</v>
      </c>
    </row>
    <row r="7994" spans="1:7" ht="30.60" thickBot="1" customHeight="1">
      <c r="A7994" s="24" t="s">
        <v>25260</v>
      </c>
      <c r="B7994" s="24" t="s">
        <v>25261</v>
      </c>
      <c r="C7994" s="24" t="s">
        <v>25262</v>
      </c>
      <c r="D7994" s="25" t="s">
        <v>25263</v>
      </c>
      <c r="E7994" s="28">
        <v>1.00000</v>
      </c>
      <c r="F7994" s="29">
        <f ca="1">ROUND(11.780,3)</f>
        <v>0</v>
      </c>
      <c r="G7994" s="27">
        <f ca="1">ROUND(E7994*F7994,2)</f>
        <v>0</v>
      </c>
    </row>
    <row r="7995" spans="1:7" ht="30.60" thickBot="1" customHeight="1">
      <c r="A7995" s="24" t="s">
        <v>25264</v>
      </c>
      <c r="B7995" s="24" t="s">
        <v>25265</v>
      </c>
      <c r="C7995" s="24" t="s">
        <v>25266</v>
      </c>
      <c r="D7995" s="25" t="s">
        <v>25267</v>
      </c>
      <c r="E7995" s="28">
        <v>1.00000</v>
      </c>
      <c r="F7995" s="29">
        <f ca="1">ROUND(4.820,3)</f>
        <v>0</v>
      </c>
      <c r="G7995" s="27">
        <f ca="1">ROUND(E7995*F7995,2)</f>
        <v>0</v>
      </c>
    </row>
    <row r="7996" spans="1:7" ht="30.60" thickBot="1" customHeight="1">
      <c r="A7996" s="24" t="s">
        <v>25268</v>
      </c>
      <c r="B7996" s="24" t="s">
        <v>25269</v>
      </c>
      <c r="C7996" s="24" t="s">
        <v>25270</v>
      </c>
      <c r="D7996" s="25" t="s">
        <v>25271</v>
      </c>
      <c r="E7996" s="28">
        <v>1.00000</v>
      </c>
      <c r="F7996" s="29">
        <f ca="1">ROUND(0.800,3)</f>
        <v>0</v>
      </c>
      <c r="G7996" s="27">
        <f ca="1">ROUND(E7996*F7996,2)</f>
        <v>0</v>
      </c>
    </row>
    <row r="7997" spans="1:7" ht="30.60" thickBot="1" customHeight="1">
      <c r="A7997" s="24" t="s">
        <v>25272</v>
      </c>
      <c r="B7997" s="24" t="s">
        <v>25273</v>
      </c>
      <c r="C7997" s="24" t="s">
        <v>25274</v>
      </c>
      <c r="D7997" s="25" t="s">
        <v>25275</v>
      </c>
      <c r="E7997" s="28">
        <v>0.25000</v>
      </c>
      <c r="F7997" s="29">
        <f ca="1">F7999</f>
        <v>0</v>
      </c>
      <c r="G7997" s="27">
        <f ca="1">ROUND(E7997*F7997,2)</f>
        <v>0</v>
      </c>
    </row>
    <row r="7998" spans="1:7" ht="21.36" thickBot="1" customHeight="1">
      <c r="A7998" s="24" t="s">
        <v>25276</v>
      </c>
      <c r="B7998" s="24" t="s">
        <v>25277</v>
      </c>
      <c r="C7998" s="24" t="s">
        <v>25278</v>
      </c>
      <c r="D7998" s="25" t="s">
        <v>25279</v>
      </c>
      <c r="E7998" s="28">
        <v>0.00417</v>
      </c>
      <c r="F7998" s="29">
        <f ca="1">ROUND(188.430,3)</f>
        <v>0</v>
      </c>
      <c r="G7998" s="27">
        <f ca="1">ROUND(E7998*F7998,2)</f>
        <v>0</v>
      </c>
    </row>
    <row r="7999" spans="1:7" ht="15.12" thickBot="1" customHeight="1">
      <c r="A7999" s="26"/>
      <c r="B7999" s="26"/>
      <c r="C7999" s="26"/>
      <c r="D7999" s="24" t="s">
        <v>25280</v>
      </c>
      <c r="E7999" s="28">
        <v>0.25000</v>
      </c>
      <c r="F7999" s="29">
        <f ca="1">ROUND((G7998),3)</f>
        <v>0</v>
      </c>
      <c r="G7999" s="27">
        <f ca="1">ROUND(E7999*F7999,2)</f>
        <v>0</v>
      </c>
    </row>
    <row r="8000" spans="1:7" ht="30.60" thickBot="1" customHeight="1">
      <c r="A8000" s="24" t="s">
        <v>25281</v>
      </c>
      <c r="B8000" s="24" t="s">
        <v>25282</v>
      </c>
      <c r="C8000" s="24" t="s">
        <v>25283</v>
      </c>
      <c r="D8000" s="25" t="s">
        <v>25284</v>
      </c>
      <c r="E8000" s="28">
        <v>0.20000</v>
      </c>
      <c r="F8000" s="29">
        <f ca="1">ROUND(4.920,3)</f>
        <v>0</v>
      </c>
      <c r="G8000" s="27">
        <f ca="1">ROUND(E8000*F8000,2)</f>
        <v>0</v>
      </c>
    </row>
    <row r="8001" spans="1:7" ht="21.36" thickBot="1" customHeight="1">
      <c r="A8001" s="24" t="s">
        <v>25285</v>
      </c>
      <c r="B8001" s="24" t="s">
        <v>25286</v>
      </c>
      <c r="C8001" s="24" t="s">
        <v>25287</v>
      </c>
      <c r="D8001" s="25" t="s">
        <v>25288</v>
      </c>
      <c r="E8001" s="28">
        <v>1.00000</v>
      </c>
      <c r="F8001" s="29">
        <f ca="1">ROUND(97.520,3)</f>
        <v>0</v>
      </c>
      <c r="G8001" s="27">
        <f ca="1">ROUND(E8001*F8001,2)</f>
        <v>0</v>
      </c>
    </row>
    <row r="8002" spans="1:7" ht="30.60" thickBot="1" customHeight="1">
      <c r="A8002" s="24" t="s">
        <v>25289</v>
      </c>
      <c r="B8002" s="24" t="s">
        <v>25290</v>
      </c>
      <c r="C8002" s="24" t="s">
        <v>25291</v>
      </c>
      <c r="D8002" s="25" t="s">
        <v>25292</v>
      </c>
      <c r="E8002" s="28">
        <v>0.10000</v>
      </c>
      <c r="F8002" s="29">
        <f ca="1">ROUND(6.140,3)</f>
        <v>0</v>
      </c>
      <c r="G8002" s="27">
        <f ca="1">ROUND(E8002*F8002,2)</f>
        <v>0</v>
      </c>
    </row>
    <row r="8003" spans="1:7" ht="39.84" thickBot="1" customHeight="1">
      <c r="A8003" s="24" t="s">
        <v>25293</v>
      </c>
      <c r="B8003" s="24" t="s">
        <v>25294</v>
      </c>
      <c r="C8003" s="24" t="s">
        <v>25295</v>
      </c>
      <c r="D8003" s="25" t="s">
        <v>25296</v>
      </c>
      <c r="E8003" s="28">
        <v>0.36413</v>
      </c>
      <c r="F8003" s="29">
        <f ca="1">ROUND(7.370,3)</f>
        <v>0</v>
      </c>
      <c r="G8003" s="27">
        <f ca="1">ROUND(E8003*F8003,2)</f>
        <v>0</v>
      </c>
    </row>
    <row r="8004" spans="1:7" ht="30.60" thickBot="1" customHeight="1">
      <c r="A8004" s="24" t="s">
        <v>25297</v>
      </c>
      <c r="B8004" s="24" t="s">
        <v>25298</v>
      </c>
      <c r="C8004" s="24" t="s">
        <v>25299</v>
      </c>
      <c r="D8004" s="25" t="s">
        <v>25300</v>
      </c>
      <c r="E8004" s="28">
        <v>0.25000</v>
      </c>
      <c r="F8004" s="29">
        <f ca="1">ROUND(7.930,3)</f>
        <v>0</v>
      </c>
      <c r="G8004" s="27">
        <f ca="1">ROUND(E8004*F8004,2)</f>
        <v>0</v>
      </c>
    </row>
    <row r="8005" spans="1:7" ht="49.08" thickBot="1" customHeight="1">
      <c r="A8005" s="24" t="s">
        <v>25301</v>
      </c>
      <c r="B8005" s="24" t="s">
        <v>25302</v>
      </c>
      <c r="C8005" s="24" t="s">
        <v>25303</v>
      </c>
      <c r="D8005" s="25" t="s">
        <v>25304</v>
      </c>
      <c r="E8005" s="28">
        <v>21.00000</v>
      </c>
      <c r="F8005" s="29">
        <f ca="1">ROUND(25.890,3)</f>
        <v>0</v>
      </c>
      <c r="G8005" s="27">
        <f ca="1">ROUND(E8005*F8005,2)</f>
        <v>0</v>
      </c>
    </row>
    <row r="8006" spans="1:7" ht="49.08" thickBot="1" customHeight="1">
      <c r="A8006" s="24" t="s">
        <v>25305</v>
      </c>
      <c r="B8006" s="24" t="s">
        <v>25306</v>
      </c>
      <c r="C8006" s="24" t="s">
        <v>25307</v>
      </c>
      <c r="D8006" s="25" t="s">
        <v>25308</v>
      </c>
      <c r="E8006" s="28">
        <v>21.00000</v>
      </c>
      <c r="F8006" s="29">
        <f ca="1">ROUND(17.440,3)</f>
        <v>0</v>
      </c>
      <c r="G8006" s="27">
        <f ca="1">ROUND(E8006*F8006,2)</f>
        <v>0</v>
      </c>
    </row>
    <row r="8007" spans="1:7" ht="30.60" thickBot="1" customHeight="1">
      <c r="A8007" s="24" t="s">
        <v>25309</v>
      </c>
      <c r="B8007" s="24" t="s">
        <v>25310</v>
      </c>
      <c r="C8007" s="24" t="s">
        <v>25311</v>
      </c>
      <c r="D8007" s="25" t="s">
        <v>25312</v>
      </c>
      <c r="E8007" s="28">
        <v>21.00000</v>
      </c>
      <c r="F8007" s="29">
        <f ca="1">ROUND(15.090,3)</f>
        <v>0</v>
      </c>
      <c r="G8007" s="27">
        <f ca="1">ROUND(E8007*F8007,2)</f>
        <v>0</v>
      </c>
    </row>
    <row r="8008" spans="1:7" ht="39.84" thickBot="1" customHeight="1">
      <c r="A8008" s="24" t="s">
        <v>25313</v>
      </c>
      <c r="B8008" s="24" t="s">
        <v>25314</v>
      </c>
      <c r="C8008" s="24" t="s">
        <v>25315</v>
      </c>
      <c r="D8008" s="25" t="s">
        <v>25316</v>
      </c>
      <c r="E8008" s="28">
        <v>21.00000</v>
      </c>
      <c r="F8008" s="29">
        <f ca="1">ROUND(15.930,3)</f>
        <v>0</v>
      </c>
      <c r="G8008" s="27">
        <f ca="1">ROUND(E8008*F8008,2)</f>
        <v>0</v>
      </c>
    </row>
    <row r="8009" spans="1:7" ht="39.84" thickBot="1" customHeight="1">
      <c r="A8009" s="24" t="s">
        <v>25317</v>
      </c>
      <c r="B8009" s="24" t="s">
        <v>25318</v>
      </c>
      <c r="C8009" s="24" t="s">
        <v>25319</v>
      </c>
      <c r="D8009" s="25" t="s">
        <v>25320</v>
      </c>
      <c r="E8009" s="28">
        <v>21.00000</v>
      </c>
      <c r="F8009" s="29">
        <f ca="1">ROUND(32.000,3)</f>
        <v>0</v>
      </c>
      <c r="G8009" s="27">
        <f ca="1">ROUND(E8009*F8009,2)</f>
        <v>0</v>
      </c>
    </row>
    <row r="8010" spans="1:7" ht="21.36" thickBot="1" customHeight="1">
      <c r="A8010" s="24" t="s">
        <v>25321</v>
      </c>
      <c r="B8010" s="24" t="s">
        <v>25322</v>
      </c>
      <c r="C8010" s="24" t="s">
        <v>25323</v>
      </c>
      <c r="D8010" s="25" t="s">
        <v>25324</v>
      </c>
      <c r="E8010" s="28">
        <v>21.00000</v>
      </c>
      <c r="F8010" s="29">
        <f ca="1">ROUND(5.500,3)</f>
        <v>0</v>
      </c>
      <c r="G8010" s="27">
        <f ca="1">ROUND(E8010*F8010,2)</f>
        <v>0</v>
      </c>
    </row>
    <row r="8011" spans="1:7" ht="21.36" thickBot="1" customHeight="1">
      <c r="A8011" s="24" t="s">
        <v>25325</v>
      </c>
      <c r="B8011" s="24" t="s">
        <v>25326</v>
      </c>
      <c r="C8011" s="24" t="s">
        <v>25327</v>
      </c>
      <c r="D8011" s="25" t="s">
        <v>25328</v>
      </c>
      <c r="E8011" s="28">
        <v>21.00000</v>
      </c>
      <c r="F8011" s="29">
        <f ca="1">ROUND(6.600,3)</f>
        <v>0</v>
      </c>
      <c r="G8011" s="27">
        <f ca="1">ROUND(E8011*F8011,2)</f>
        <v>0</v>
      </c>
    </row>
    <row r="8012" spans="1:7" ht="21.36" thickBot="1" customHeight="1">
      <c r="A8012" s="24" t="s">
        <v>25329</v>
      </c>
      <c r="B8012" s="24" t="s">
        <v>25330</v>
      </c>
      <c r="C8012" s="24" t="s">
        <v>25331</v>
      </c>
      <c r="D8012" s="25" t="s">
        <v>25332</v>
      </c>
      <c r="E8012" s="28">
        <v>1.00000</v>
      </c>
      <c r="F8012" s="29">
        <f ca="1">ROUND(3.990,3)</f>
        <v>0</v>
      </c>
      <c r="G8012" s="27">
        <f ca="1">ROUND(E8012*F8012,2)</f>
        <v>0</v>
      </c>
    </row>
    <row r="8013" spans="1:7" ht="24.36" thickBot="1" customHeight="1">
      <c r="A8013" s="24" t="s">
        <v>25333</v>
      </c>
      <c r="B8013" s="24" t="s">
        <v>25334</v>
      </c>
      <c r="C8013" s="24" t="s">
        <v>25335</v>
      </c>
      <c r="D8013" s="25" t="s">
        <v>25336</v>
      </c>
      <c r="E8013" s="28">
        <v>36.00000</v>
      </c>
      <c r="F8013" s="29">
        <f ca="1">ROUND(24.000,3)</f>
        <v>0</v>
      </c>
      <c r="G8013" s="27">
        <f ca="1">ROUND(E8013*F8013,2)</f>
        <v>0</v>
      </c>
    </row>
    <row r="8014" spans="1:7" ht="24.36" thickBot="1" customHeight="1">
      <c r="A8014" s="24" t="s">
        <v>25337</v>
      </c>
      <c r="B8014" s="24" t="s">
        <v>25338</v>
      </c>
      <c r="C8014" s="24" t="s">
        <v>25339</v>
      </c>
      <c r="D8014" s="25" t="s">
        <v>25340</v>
      </c>
      <c r="E8014" s="28">
        <v>36.00000</v>
      </c>
      <c r="F8014" s="29">
        <f ca="1">ROUND(19.000,3)</f>
        <v>0</v>
      </c>
      <c r="G8014" s="27">
        <f ca="1">ROUND(E8014*F8014,2)</f>
        <v>0</v>
      </c>
    </row>
    <row r="8015" spans="1:7" ht="15.12" thickBot="1" customHeight="1">
      <c r="A8015" s="24" t="s">
        <v>25341</v>
      </c>
      <c r="B8015" s="24"/>
      <c r="C8015" s="24" t="s">
        <v>25342</v>
      </c>
      <c r="D8015" s="25" t="s">
        <v>25343</v>
      </c>
      <c r="E8015" s="28">
        <v>10.00000</v>
      </c>
      <c r="F8015" s="29">
        <f ca="1">ROUND(1548.000,3)</f>
        <v>0</v>
      </c>
      <c r="G8015" s="27">
        <f ca="1">ROUND((E8015*F8015)/100,2)</f>
        <v>0</v>
      </c>
    </row>
    <row r="8016" spans="1:7" ht="15.48" thickBot="1" customHeight="1">
      <c r="A8016" s="30"/>
      <c r="B8016" s="30"/>
      <c r="C8016" s="30"/>
      <c r="D8016" s="31" t="s">
        <v>25344</v>
      </c>
      <c r="E8016" s="30"/>
      <c r="F8016" s="33">
        <f ca="1">ROUND((G7993+G7994+G7995+G7996+G7997+G8000+G8001+G8002+G8003+G8004+G8005+G8006+G8007+G8008+G8009+G8010+G8011+G8012+G8013+G8014+G8015)*(1+G2/100),2)</f>
        <v>0</v>
      </c>
      <c r="G8016" s="30"/>
    </row>
    <row r="8017" spans="1:7" ht="15.48" thickBot="1" customHeight="1">
      <c r="A8017" s="34" t="s">
        <v>25345</v>
      </c>
      <c r="B8017" s="35" t="s">
        <v>25346</v>
      </c>
      <c r="C8017" s="35" t="s">
        <v>25347</v>
      </c>
      <c r="D8017" s="36" t="s">
        <v>25348</v>
      </c>
      <c r="E8017" s="37"/>
      <c r="F8017" s="38">
        <f ca="1">F8027</f>
        <v>0</v>
      </c>
      <c r="G8017" s="37"/>
    </row>
    <row r="8018" spans="1:7" ht="30.60" thickBot="1" customHeight="1">
      <c r="A8018" s="26"/>
      <c r="B8018" s="26"/>
      <c r="C8018" s="26"/>
      <c r="D8018" s="25" t="s">
        <v>25349</v>
      </c>
      <c r="E8018" s="25"/>
      <c r="F8018" s="25"/>
      <c r="G8018" s="25"/>
    </row>
    <row r="8019" spans="1:7" ht="30.60" thickBot="1" customHeight="1">
      <c r="A8019" s="24" t="s">
        <v>25350</v>
      </c>
      <c r="B8019" s="24" t="s">
        <v>25351</v>
      </c>
      <c r="C8019" s="24" t="s">
        <v>25352</v>
      </c>
      <c r="D8019" s="25" t="s">
        <v>25353</v>
      </c>
      <c r="E8019" s="28">
        <v>1.00000</v>
      </c>
      <c r="F8019" s="29">
        <f ca="1">ROUND(372.260,3)</f>
        <v>0</v>
      </c>
      <c r="G8019" s="27">
        <f ca="1">ROUND(E8019*F8019,2)</f>
        <v>0</v>
      </c>
    </row>
    <row r="8020" spans="1:7" ht="21.36" thickBot="1" customHeight="1">
      <c r="A8020" s="24" t="s">
        <v>25354</v>
      </c>
      <c r="B8020" s="24" t="s">
        <v>25355</v>
      </c>
      <c r="C8020" s="24" t="s">
        <v>25356</v>
      </c>
      <c r="D8020" s="25" t="s">
        <v>25357</v>
      </c>
      <c r="E8020" s="28">
        <v>15.00000</v>
      </c>
      <c r="F8020" s="29">
        <f ca="1">ROUND(27.000,3)</f>
        <v>0</v>
      </c>
      <c r="G8020" s="27">
        <f ca="1">ROUND(E8020*F8020,2)</f>
        <v>0</v>
      </c>
    </row>
    <row r="8021" spans="1:7" ht="21.36" thickBot="1" customHeight="1">
      <c r="A8021" s="24" t="s">
        <v>25358</v>
      </c>
      <c r="B8021" s="24" t="s">
        <v>25359</v>
      </c>
      <c r="C8021" s="24" t="s">
        <v>25360</v>
      </c>
      <c r="D8021" s="25" t="s">
        <v>25361</v>
      </c>
      <c r="E8021" s="28">
        <v>15.00000</v>
      </c>
      <c r="F8021" s="29">
        <f ca="1">ROUND(17.000,3)</f>
        <v>0</v>
      </c>
      <c r="G8021" s="27">
        <f ca="1">ROUND(E8021*F8021,2)</f>
        <v>0</v>
      </c>
    </row>
    <row r="8022" spans="1:7" ht="21.36" thickBot="1" customHeight="1">
      <c r="A8022" s="24" t="s">
        <v>25362</v>
      </c>
      <c r="B8022" s="24" t="s">
        <v>25363</v>
      </c>
      <c r="C8022" s="24" t="s">
        <v>25364</v>
      </c>
      <c r="D8022" s="25" t="s">
        <v>25365</v>
      </c>
      <c r="E8022" s="28">
        <v>30.00000</v>
      </c>
      <c r="F8022" s="29">
        <f ca="1">ROUND(3.000,3)</f>
        <v>0</v>
      </c>
      <c r="G8022" s="27">
        <f ca="1">ROUND(E8022*F8022,2)</f>
        <v>0</v>
      </c>
    </row>
    <row r="8023" spans="1:7" ht="21.36" thickBot="1" customHeight="1">
      <c r="A8023" s="24" t="s">
        <v>25366</v>
      </c>
      <c r="B8023" s="24" t="s">
        <v>25367</v>
      </c>
      <c r="C8023" s="24" t="s">
        <v>25368</v>
      </c>
      <c r="D8023" s="25" t="s">
        <v>25369</v>
      </c>
      <c r="E8023" s="28">
        <v>1.00000</v>
      </c>
      <c r="F8023" s="29">
        <f ca="1">ROUND(25.000,3)</f>
        <v>0</v>
      </c>
      <c r="G8023" s="27">
        <f ca="1">ROUND(E8023*F8023,2)</f>
        <v>0</v>
      </c>
    </row>
    <row r="8024" spans="1:7" ht="21.36" thickBot="1" customHeight="1">
      <c r="A8024" s="24" t="s">
        <v>25370</v>
      </c>
      <c r="B8024" s="24" t="s">
        <v>25371</v>
      </c>
      <c r="C8024" s="24" t="s">
        <v>25372</v>
      </c>
      <c r="D8024" s="25" t="s">
        <v>25373</v>
      </c>
      <c r="E8024" s="28">
        <v>15.00000</v>
      </c>
      <c r="F8024" s="29">
        <f ca="1">ROUND(25.000,3)</f>
        <v>0</v>
      </c>
      <c r="G8024" s="27">
        <f ca="1">ROUND(E8024*F8024,2)</f>
        <v>0</v>
      </c>
    </row>
    <row r="8025" spans="1:7" ht="15.12" thickBot="1" customHeight="1">
      <c r="A8025" s="24" t="s">
        <v>25374</v>
      </c>
      <c r="B8025" s="24" t="s">
        <v>25375</v>
      </c>
      <c r="C8025" s="24" t="s">
        <v>25376</v>
      </c>
      <c r="D8025" s="25" t="s">
        <v>25377</v>
      </c>
      <c r="E8025" s="28">
        <v>1.00000</v>
      </c>
      <c r="F8025" s="29">
        <f ca="1">ROUND(35.000,3)</f>
        <v>0</v>
      </c>
      <c r="G8025" s="27">
        <f ca="1">ROUND(E8025*F8025,2)</f>
        <v>0</v>
      </c>
    </row>
    <row r="8026" spans="1:7" ht="24.36" thickBot="1" customHeight="1">
      <c r="A8026" s="24" t="s">
        <v>25378</v>
      </c>
      <c r="B8026" s="24" t="s">
        <v>25379</v>
      </c>
      <c r="C8026" s="24" t="s">
        <v>25380</v>
      </c>
      <c r="D8026" s="25" t="s">
        <v>25381</v>
      </c>
      <c r="E8026" s="28">
        <v>16.00000</v>
      </c>
      <c r="F8026" s="29">
        <f ca="1">ROUND(49.500,3)</f>
        <v>0</v>
      </c>
      <c r="G8026" s="27">
        <f ca="1">ROUND(E8026*F8026,2)</f>
        <v>0</v>
      </c>
    </row>
    <row r="8027" spans="1:7" ht="15.48" thickBot="1" customHeight="1">
      <c r="A8027" s="30"/>
      <c r="B8027" s="30"/>
      <c r="C8027" s="30"/>
      <c r="D8027" s="31" t="s">
        <v>25382</v>
      </c>
      <c r="E8027" s="30"/>
      <c r="F8027" s="33">
        <f ca="1">ROUND((G8019+G8020+G8021+G8022+G8023+G8024+G8025+G8026)*(1+G2/100),2)</f>
        <v>0</v>
      </c>
      <c r="G8027" s="30"/>
    </row>
    <row r="8028" spans="1:7" ht="15.48" thickBot="1" customHeight="1">
      <c r="A8028" s="39"/>
      <c r="B8028" s="39"/>
      <c r="C8028" s="39"/>
      <c r="D8028" s="50" t="s">
        <v>25383</v>
      </c>
      <c r="E8028" s="51"/>
      <c r="F8028" s="51"/>
      <c r="G8028" s="51"/>
    </row>
    <row r="8029" spans="1:7" ht="31.68" thickBot="1" customHeight="1">
      <c r="A8029" s="52" t="s">
        <v>25384</v>
      </c>
      <c r="B8029" s="52" t="s">
        <v>25385</v>
      </c>
      <c r="C8029" s="53"/>
      <c r="D8029" s="54" t="s">
        <v>25386</v>
      </c>
      <c r="E8029" s="53"/>
      <c r="F8029" s="53"/>
      <c r="G8029" s="53"/>
    </row>
    <row r="8030" spans="1:7" ht="15.48" thickBot="1" customHeight="1">
      <c r="A8030" s="10" t="s">
        <v>25387</v>
      </c>
      <c r="B8030" s="24" t="s">
        <v>25388</v>
      </c>
      <c r="C8030" s="24" t="s">
        <v>25389</v>
      </c>
      <c r="D8030" s="25" t="s">
        <v>25390</v>
      </c>
      <c r="E8030" s="26"/>
      <c r="F8030" s="27">
        <f ca="1">F8041</f>
        <v>0</v>
      </c>
      <c r="G8030" s="26"/>
    </row>
    <row r="8031" spans="1:7" ht="76.80" thickBot="1" customHeight="1">
      <c r="A8031" s="26"/>
      <c r="B8031" s="26"/>
      <c r="C8031" s="26"/>
      <c r="D8031" s="25" t="s">
        <v>25391</v>
      </c>
      <c r="E8031" s="25"/>
      <c r="F8031" s="25"/>
      <c r="G8031" s="25"/>
    </row>
    <row r="8032" spans="1:7" ht="30.60" thickBot="1" customHeight="1">
      <c r="A8032" s="24" t="s">
        <v>25392</v>
      </c>
      <c r="B8032" s="24" t="s">
        <v>25393</v>
      </c>
      <c r="C8032" s="24" t="s">
        <v>25394</v>
      </c>
      <c r="D8032" s="25" t="s">
        <v>25395</v>
      </c>
      <c r="E8032" s="28">
        <v>0.50000</v>
      </c>
      <c r="F8032" s="29">
        <f ca="1">ROUND(1.875,3)</f>
        <v>0</v>
      </c>
      <c r="G8032" s="27">
        <f ca="1">ROUND(E8032*F8032,2)</f>
        <v>0</v>
      </c>
    </row>
    <row r="8033" spans="1:7" ht="39.84" thickBot="1" customHeight="1">
      <c r="A8033" s="24" t="s">
        <v>25396</v>
      </c>
      <c r="B8033" s="24" t="s">
        <v>25397</v>
      </c>
      <c r="C8033" s="24" t="s">
        <v>25398</v>
      </c>
      <c r="D8033" s="25" t="s">
        <v>25399</v>
      </c>
      <c r="E8033" s="28">
        <v>0.50000</v>
      </c>
      <c r="F8033" s="29">
        <f ca="1">ROUND(2.000,3)</f>
        <v>0</v>
      </c>
      <c r="G8033" s="27">
        <f ca="1">ROUND(E8033*F8033,2)</f>
        <v>0</v>
      </c>
    </row>
    <row r="8034" spans="1:7" ht="39.84" thickBot="1" customHeight="1">
      <c r="A8034" s="24" t="s">
        <v>25400</v>
      </c>
      <c r="B8034" s="24" t="s">
        <v>25401</v>
      </c>
      <c r="C8034" s="24" t="s">
        <v>25402</v>
      </c>
      <c r="D8034" s="25" t="s">
        <v>25403</v>
      </c>
      <c r="E8034" s="28">
        <v>0.50000</v>
      </c>
      <c r="F8034" s="29">
        <f ca="1">ROUND(7.565,3)</f>
        <v>0</v>
      </c>
      <c r="G8034" s="27">
        <f ca="1">ROUND(E8034*F8034,2)</f>
        <v>0</v>
      </c>
    </row>
    <row r="8035" spans="1:7" ht="21.36" thickBot="1" customHeight="1">
      <c r="A8035" s="24" t="s">
        <v>25404</v>
      </c>
      <c r="B8035" s="24" t="s">
        <v>25405</v>
      </c>
      <c r="C8035" s="24" t="s">
        <v>25406</v>
      </c>
      <c r="D8035" s="25" t="s">
        <v>25407</v>
      </c>
      <c r="E8035" s="28">
        <v>0.50000</v>
      </c>
      <c r="F8035" s="29">
        <f ca="1">F8039</f>
        <v>0</v>
      </c>
      <c r="G8035" s="27">
        <f ca="1">ROUND(E8035*F8035,2)</f>
        <v>0</v>
      </c>
    </row>
    <row r="8036" spans="1:7" ht="24.36" thickBot="1" customHeight="1">
      <c r="A8036" s="24" t="s">
        <v>25408</v>
      </c>
      <c r="B8036" s="24" t="s">
        <v>25409</v>
      </c>
      <c r="C8036" s="24" t="s">
        <v>25410</v>
      </c>
      <c r="D8036" s="25" t="s">
        <v>25411</v>
      </c>
      <c r="E8036" s="28">
        <v>1.00000</v>
      </c>
      <c r="F8036" s="29">
        <f ca="1">ROUND(21.000,3)</f>
        <v>0</v>
      </c>
      <c r="G8036" s="27">
        <f ca="1">ROUND(E8036*F8036,2)</f>
        <v>0</v>
      </c>
    </row>
    <row r="8037" spans="1:7" ht="24.36" thickBot="1" customHeight="1">
      <c r="A8037" s="24" t="s">
        <v>25412</v>
      </c>
      <c r="B8037" s="24" t="s">
        <v>25413</v>
      </c>
      <c r="C8037" s="24" t="s">
        <v>25414</v>
      </c>
      <c r="D8037" s="25" t="s">
        <v>25415</v>
      </c>
      <c r="E8037" s="28">
        <v>1.00000</v>
      </c>
      <c r="F8037" s="29">
        <f ca="1">ROUND(19.000,3)</f>
        <v>0</v>
      </c>
      <c r="G8037" s="27">
        <f ca="1">ROUND(E8037*F8037,2)</f>
        <v>0</v>
      </c>
    </row>
    <row r="8038" spans="1:7" ht="24.36" thickBot="1" customHeight="1">
      <c r="A8038" s="24" t="s">
        <v>25416</v>
      </c>
      <c r="B8038" s="24" t="s">
        <v>25417</v>
      </c>
      <c r="C8038" s="24" t="s">
        <v>25418</v>
      </c>
      <c r="D8038" s="25" t="s">
        <v>25419</v>
      </c>
      <c r="E8038" s="28">
        <v>0.20000</v>
      </c>
      <c r="F8038" s="29">
        <f ca="1">ROUND(19.000,3)</f>
        <v>0</v>
      </c>
      <c r="G8038" s="27">
        <f ca="1">ROUND(E8038*F8038,2)</f>
        <v>0</v>
      </c>
    </row>
    <row r="8039" spans="1:7" ht="15.12" thickBot="1" customHeight="1">
      <c r="A8039" s="26"/>
      <c r="B8039" s="26"/>
      <c r="C8039" s="26"/>
      <c r="D8039" s="24" t="s">
        <v>25420</v>
      </c>
      <c r="E8039" s="28">
        <v>0.50000</v>
      </c>
      <c r="F8039" s="29">
        <f ca="1">ROUND((G8036+G8037+G8038),3)</f>
        <v>0</v>
      </c>
      <c r="G8039" s="27">
        <f ca="1">ROUND(E8039*F8039,2)</f>
        <v>0</v>
      </c>
    </row>
    <row r="8040" spans="1:7" ht="15.12" thickBot="1" customHeight="1">
      <c r="A8040" s="24" t="s">
        <v>25421</v>
      </c>
      <c r="B8040" s="24"/>
      <c r="C8040" s="24" t="s">
        <v>25422</v>
      </c>
      <c r="D8040" s="25" t="s">
        <v>25423</v>
      </c>
      <c r="E8040" s="28">
        <v>3.00000</v>
      </c>
      <c r="F8040" s="29">
        <f ca="1">ROUND(21.900,3)</f>
        <v>0</v>
      </c>
      <c r="G8040" s="27">
        <f ca="1">ROUND((E8040*F8040)/100,2)</f>
        <v>0</v>
      </c>
    </row>
    <row r="8041" spans="1:7" ht="15.48" thickBot="1" customHeight="1">
      <c r="A8041" s="30"/>
      <c r="B8041" s="30"/>
      <c r="C8041" s="30"/>
      <c r="D8041" s="31" t="s">
        <v>25424</v>
      </c>
      <c r="E8041" s="30"/>
      <c r="F8041" s="33">
        <f ca="1">ROUND((G8032+G8033+G8034+G8035+G8040)*(1+G2/100),2)</f>
        <v>0</v>
      </c>
      <c r="G8041" s="30"/>
    </row>
    <row r="8042" spans="1:7" ht="21.36" thickBot="1" customHeight="1">
      <c r="A8042" s="34" t="s">
        <v>25425</v>
      </c>
      <c r="B8042" s="35" t="s">
        <v>25426</v>
      </c>
      <c r="C8042" s="35" t="s">
        <v>25427</v>
      </c>
      <c r="D8042" s="36" t="s">
        <v>25428</v>
      </c>
      <c r="E8042" s="37"/>
      <c r="F8042" s="38">
        <f ca="1">F8051</f>
        <v>0</v>
      </c>
      <c r="G8042" s="37"/>
    </row>
    <row r="8043" spans="1:7" ht="39.84" thickBot="1" customHeight="1">
      <c r="A8043" s="26"/>
      <c r="B8043" s="26"/>
      <c r="C8043" s="26"/>
      <c r="D8043" s="25" t="s">
        <v>25429</v>
      </c>
      <c r="E8043" s="25"/>
      <c r="F8043" s="25"/>
      <c r="G8043" s="25"/>
    </row>
    <row r="8044" spans="1:7" ht="30.60" thickBot="1" customHeight="1">
      <c r="A8044" s="24" t="s">
        <v>25430</v>
      </c>
      <c r="B8044" s="24" t="s">
        <v>25431</v>
      </c>
      <c r="C8044" s="24" t="s">
        <v>25432</v>
      </c>
      <c r="D8044" s="25" t="s">
        <v>25433</v>
      </c>
      <c r="E8044" s="28">
        <v>0.08900</v>
      </c>
      <c r="F8044" s="29">
        <f ca="1">ROUND(2.510,3)</f>
        <v>0</v>
      </c>
      <c r="G8044" s="27">
        <f ca="1">ROUND(E8044*F8044,2)</f>
        <v>0</v>
      </c>
    </row>
    <row r="8045" spans="1:7" ht="21.36" thickBot="1" customHeight="1">
      <c r="A8045" s="24" t="s">
        <v>25434</v>
      </c>
      <c r="B8045" s="24" t="s">
        <v>25435</v>
      </c>
      <c r="C8045" s="24" t="s">
        <v>25436</v>
      </c>
      <c r="D8045" s="25" t="s">
        <v>25437</v>
      </c>
      <c r="E8045" s="28">
        <v>1.45000</v>
      </c>
      <c r="F8045" s="29">
        <f ca="1">F8049</f>
        <v>0</v>
      </c>
      <c r="G8045" s="27">
        <f ca="1">ROUND(E8045*F8045,2)</f>
        <v>0</v>
      </c>
    </row>
    <row r="8046" spans="1:7" ht="24.36" thickBot="1" customHeight="1">
      <c r="A8046" s="24" t="s">
        <v>25438</v>
      </c>
      <c r="B8046" s="24" t="s">
        <v>25439</v>
      </c>
      <c r="C8046" s="24" t="s">
        <v>25440</v>
      </c>
      <c r="D8046" s="25" t="s">
        <v>25441</v>
      </c>
      <c r="E8046" s="28">
        <v>1.00000</v>
      </c>
      <c r="F8046" s="29">
        <f ca="1">ROUND(21.000,3)</f>
        <v>0</v>
      </c>
      <c r="G8046" s="27">
        <f ca="1">ROUND(E8046*F8046,2)</f>
        <v>0</v>
      </c>
    </row>
    <row r="8047" spans="1:7" ht="24.36" thickBot="1" customHeight="1">
      <c r="A8047" s="24" t="s">
        <v>25442</v>
      </c>
      <c r="B8047" s="24" t="s">
        <v>25443</v>
      </c>
      <c r="C8047" s="24" t="s">
        <v>25444</v>
      </c>
      <c r="D8047" s="25" t="s">
        <v>25445</v>
      </c>
      <c r="E8047" s="28">
        <v>1.00000</v>
      </c>
      <c r="F8047" s="29">
        <f ca="1">ROUND(19.000,3)</f>
        <v>0</v>
      </c>
      <c r="G8047" s="27">
        <f ca="1">ROUND(E8047*F8047,2)</f>
        <v>0</v>
      </c>
    </row>
    <row r="8048" spans="1:7" ht="24.36" thickBot="1" customHeight="1">
      <c r="A8048" s="24" t="s">
        <v>25446</v>
      </c>
      <c r="B8048" s="24" t="s">
        <v>25447</v>
      </c>
      <c r="C8048" s="24" t="s">
        <v>25448</v>
      </c>
      <c r="D8048" s="25" t="s">
        <v>25449</v>
      </c>
      <c r="E8048" s="28">
        <v>0.20000</v>
      </c>
      <c r="F8048" s="29">
        <f ca="1">ROUND(19.000,3)</f>
        <v>0</v>
      </c>
      <c r="G8048" s="27">
        <f ca="1">ROUND(E8048*F8048,2)</f>
        <v>0</v>
      </c>
    </row>
    <row r="8049" spans="1:7" ht="15.12" thickBot="1" customHeight="1">
      <c r="A8049" s="26"/>
      <c r="B8049" s="26"/>
      <c r="C8049" s="26"/>
      <c r="D8049" s="24" t="s">
        <v>25450</v>
      </c>
      <c r="E8049" s="28">
        <v>1.45000</v>
      </c>
      <c r="F8049" s="29">
        <f ca="1">ROUND((G8046+G8047+G8048),3)</f>
        <v>0</v>
      </c>
      <c r="G8049" s="27">
        <f ca="1">ROUND(E8049*F8049,2)</f>
        <v>0</v>
      </c>
    </row>
    <row r="8050" spans="1:7" ht="15.12" thickBot="1" customHeight="1">
      <c r="A8050" s="24" t="s">
        <v>25451</v>
      </c>
      <c r="B8050" s="24"/>
      <c r="C8050" s="24" t="s">
        <v>25452</v>
      </c>
      <c r="D8050" s="25" t="s">
        <v>25453</v>
      </c>
      <c r="E8050" s="28">
        <v>3.00000</v>
      </c>
      <c r="F8050" s="29">
        <f ca="1">ROUND(63.510,3)</f>
        <v>0</v>
      </c>
      <c r="G8050" s="27">
        <f ca="1">ROUND((E8050*F8050)/100,2)</f>
        <v>0</v>
      </c>
    </row>
    <row r="8051" spans="1:7" ht="15.48" thickBot="1" customHeight="1">
      <c r="A8051" s="30"/>
      <c r="B8051" s="30"/>
      <c r="C8051" s="30"/>
      <c r="D8051" s="31" t="s">
        <v>25454</v>
      </c>
      <c r="E8051" s="30"/>
      <c r="F8051" s="33">
        <f ca="1">ROUND((G8044+G8045+G8050)*(1+G2/100),2)</f>
        <v>0</v>
      </c>
      <c r="G8051" s="30"/>
    </row>
    <row r="8052" spans="1:7" ht="15.48" thickBot="1" customHeight="1">
      <c r="A8052" s="34" t="s">
        <v>25455</v>
      </c>
      <c r="B8052" s="35" t="s">
        <v>25456</v>
      </c>
      <c r="C8052" s="35" t="s">
        <v>25457</v>
      </c>
      <c r="D8052" s="36" t="s">
        <v>25458</v>
      </c>
      <c r="E8052" s="37"/>
      <c r="F8052" s="38">
        <f ca="1">F8057</f>
        <v>0</v>
      </c>
      <c r="G8052" s="37"/>
    </row>
    <row r="8053" spans="1:7" ht="30.60" thickBot="1" customHeight="1">
      <c r="A8053" s="26"/>
      <c r="B8053" s="26"/>
      <c r="C8053" s="26"/>
      <c r="D8053" s="25" t="s">
        <v>25459</v>
      </c>
      <c r="E8053" s="25"/>
      <c r="F8053" s="25"/>
      <c r="G8053" s="25"/>
    </row>
    <row r="8054" spans="1:7" ht="21.36" thickBot="1" customHeight="1">
      <c r="A8054" s="24" t="s">
        <v>25460</v>
      </c>
      <c r="B8054" s="24" t="s">
        <v>25461</v>
      </c>
      <c r="C8054" s="24" t="s">
        <v>25462</v>
      </c>
      <c r="D8054" s="25" t="s">
        <v>25463</v>
      </c>
      <c r="E8054" s="28">
        <v>0.13000</v>
      </c>
      <c r="F8054" s="29">
        <f ca="1">ROUND(39.650,3)</f>
        <v>0</v>
      </c>
      <c r="G8054" s="27">
        <f ca="1">ROUND(E8054*F8054,2)</f>
        <v>0</v>
      </c>
    </row>
    <row r="8055" spans="1:7" ht="21.36" thickBot="1" customHeight="1">
      <c r="A8055" s="24" t="s">
        <v>25464</v>
      </c>
      <c r="B8055" s="24" t="s">
        <v>25465</v>
      </c>
      <c r="C8055" s="24" t="s">
        <v>25466</v>
      </c>
      <c r="D8055" s="25" t="s">
        <v>25467</v>
      </c>
      <c r="E8055" s="28">
        <v>1.05000</v>
      </c>
      <c r="F8055" s="29">
        <f ca="1">ROUND(10.330,3)</f>
        <v>0</v>
      </c>
      <c r="G8055" s="27">
        <f ca="1">ROUND(E8055*F8055,2)</f>
        <v>0</v>
      </c>
    </row>
    <row r="8056" spans="1:7" ht="24.36" thickBot="1" customHeight="1">
      <c r="A8056" s="24" t="s">
        <v>25468</v>
      </c>
      <c r="B8056" s="24" t="s">
        <v>25469</v>
      </c>
      <c r="C8056" s="24" t="s">
        <v>25470</v>
      </c>
      <c r="D8056" s="25" t="s">
        <v>25471</v>
      </c>
      <c r="E8056" s="28">
        <v>1.20000</v>
      </c>
      <c r="F8056" s="29">
        <f ca="1">ROUND(49.500,3)</f>
        <v>0</v>
      </c>
      <c r="G8056" s="27">
        <f ca="1">ROUND(E8056*F8056,2)</f>
        <v>0</v>
      </c>
    </row>
    <row r="8057" spans="1:7" ht="15.48" thickBot="1" customHeight="1">
      <c r="A8057" s="30"/>
      <c r="B8057" s="30"/>
      <c r="C8057" s="30"/>
      <c r="D8057" s="31" t="s">
        <v>25472</v>
      </c>
      <c r="E8057" s="30"/>
      <c r="F8057" s="33">
        <f ca="1">ROUND((G8054+G8055+G8056)*(1+G2/100),2)</f>
        <v>0</v>
      </c>
      <c r="G8057" s="30"/>
    </row>
    <row r="8058" spans="1:7" ht="15.48" thickBot="1" customHeight="1">
      <c r="A8058" s="34" t="s">
        <v>25473</v>
      </c>
      <c r="B8058" s="35" t="s">
        <v>25474</v>
      </c>
      <c r="C8058" s="35" t="s">
        <v>25475</v>
      </c>
      <c r="D8058" s="36" t="s">
        <v>25476</v>
      </c>
      <c r="E8058" s="37"/>
      <c r="F8058" s="38">
        <f ca="1">F8062</f>
        <v>0</v>
      </c>
      <c r="G8058" s="37"/>
    </row>
    <row r="8059" spans="1:7" ht="21.36" thickBot="1" customHeight="1">
      <c r="A8059" s="26"/>
      <c r="B8059" s="26"/>
      <c r="C8059" s="26"/>
      <c r="D8059" s="25" t="s">
        <v>25477</v>
      </c>
      <c r="E8059" s="25"/>
      <c r="F8059" s="25"/>
      <c r="G8059" s="25"/>
    </row>
    <row r="8060" spans="1:7" ht="21.36" thickBot="1" customHeight="1">
      <c r="A8060" s="24" t="s">
        <v>25478</v>
      </c>
      <c r="B8060" s="24" t="s">
        <v>25479</v>
      </c>
      <c r="C8060" s="24" t="s">
        <v>25480</v>
      </c>
      <c r="D8060" s="25" t="s">
        <v>25481</v>
      </c>
      <c r="E8060" s="28">
        <v>6.00000</v>
      </c>
      <c r="F8060" s="29">
        <f ca="1">ROUND(22.800,3)</f>
        <v>0</v>
      </c>
      <c r="G8060" s="27">
        <f ca="1">ROUND(E8060*F8060,2)</f>
        <v>0</v>
      </c>
    </row>
    <row r="8061" spans="1:7" ht="24.36" thickBot="1" customHeight="1">
      <c r="A8061" s="24" t="s">
        <v>25482</v>
      </c>
      <c r="B8061" s="24" t="s">
        <v>25483</v>
      </c>
      <c r="C8061" s="24" t="s">
        <v>25484</v>
      </c>
      <c r="D8061" s="25" t="s">
        <v>25485</v>
      </c>
      <c r="E8061" s="28">
        <v>4.00000</v>
      </c>
      <c r="F8061" s="29">
        <f ca="1">ROUND(49.500,3)</f>
        <v>0</v>
      </c>
      <c r="G8061" s="27">
        <f ca="1">ROUND(E8061*F8061,2)</f>
        <v>0</v>
      </c>
    </row>
    <row r="8062" spans="1:7" ht="15.48" thickBot="1" customHeight="1">
      <c r="A8062" s="30"/>
      <c r="B8062" s="30"/>
      <c r="C8062" s="30"/>
      <c r="D8062" s="31" t="s">
        <v>25486</v>
      </c>
      <c r="E8062" s="30"/>
      <c r="F8062" s="33">
        <f ca="1">ROUND((G8060+G8061)*(1+G2/100),2)</f>
        <v>0</v>
      </c>
      <c r="G8062" s="30"/>
    </row>
    <row r="8063" spans="1:7" ht="21.36" thickBot="1" customHeight="1">
      <c r="A8063" s="34" t="s">
        <v>25487</v>
      </c>
      <c r="B8063" s="35" t="s">
        <v>25488</v>
      </c>
      <c r="C8063" s="35" t="s">
        <v>25489</v>
      </c>
      <c r="D8063" s="36" t="s">
        <v>25490</v>
      </c>
      <c r="E8063" s="37"/>
      <c r="F8063" s="38">
        <f ca="1">F8068</f>
        <v>0</v>
      </c>
      <c r="G8063" s="37"/>
    </row>
    <row r="8064" spans="1:7" ht="21.36" thickBot="1" customHeight="1">
      <c r="A8064" s="26"/>
      <c r="B8064" s="26"/>
      <c r="C8064" s="26"/>
      <c r="D8064" s="25" t="s">
        <v>25491</v>
      </c>
      <c r="E8064" s="25"/>
      <c r="F8064" s="25"/>
      <c r="G8064" s="25"/>
    </row>
    <row r="8065" spans="1:7" ht="39.84" thickBot="1" customHeight="1">
      <c r="A8065" s="24" t="s">
        <v>25492</v>
      </c>
      <c r="B8065" s="24" t="s">
        <v>25493</v>
      </c>
      <c r="C8065" s="24" t="s">
        <v>25494</v>
      </c>
      <c r="D8065" s="25" t="s">
        <v>25495</v>
      </c>
      <c r="E8065" s="28">
        <v>1.00000</v>
      </c>
      <c r="F8065" s="29">
        <f ca="1">ROUND(20.130,3)</f>
        <v>0</v>
      </c>
      <c r="G8065" s="27">
        <f ca="1">ROUND(E8065*F8065,2)</f>
        <v>0</v>
      </c>
    </row>
    <row r="8066" spans="1:7" ht="21.36" thickBot="1" customHeight="1">
      <c r="A8066" s="24" t="s">
        <v>25496</v>
      </c>
      <c r="B8066" s="24" t="s">
        <v>25497</v>
      </c>
      <c r="C8066" s="24" t="s">
        <v>25498</v>
      </c>
      <c r="D8066" s="25" t="s">
        <v>25499</v>
      </c>
      <c r="E8066" s="28">
        <v>96.00000</v>
      </c>
      <c r="F8066" s="29">
        <f ca="1">ROUND(2.400,3)</f>
        <v>0</v>
      </c>
      <c r="G8066" s="27">
        <f ca="1">ROUND(E8066*F8066,2)</f>
        <v>0</v>
      </c>
    </row>
    <row r="8067" spans="1:7" ht="24.36" thickBot="1" customHeight="1">
      <c r="A8067" s="24" t="s">
        <v>25500</v>
      </c>
      <c r="B8067" s="24" t="s">
        <v>25501</v>
      </c>
      <c r="C8067" s="24" t="s">
        <v>25502</v>
      </c>
      <c r="D8067" s="25" t="s">
        <v>25503</v>
      </c>
      <c r="E8067" s="28">
        <v>3.00000</v>
      </c>
      <c r="F8067" s="29">
        <f ca="1">ROUND(49.500,3)</f>
        <v>0</v>
      </c>
      <c r="G8067" s="27">
        <f ca="1">ROUND(E8067*F8067,2)</f>
        <v>0</v>
      </c>
    </row>
    <row r="8068" spans="1:7" ht="15.48" thickBot="1" customHeight="1">
      <c r="A8068" s="30"/>
      <c r="B8068" s="30"/>
      <c r="C8068" s="30"/>
      <c r="D8068" s="31" t="s">
        <v>25504</v>
      </c>
      <c r="E8068" s="30"/>
      <c r="F8068" s="33">
        <f ca="1">ROUND((G8065+G8066+G8067)*(1+G2/100),2)</f>
        <v>0</v>
      </c>
      <c r="G8068" s="30"/>
    </row>
    <row r="8069" spans="1:7" ht="15.48" thickBot="1" customHeight="1">
      <c r="A8069" s="34" t="s">
        <v>25505</v>
      </c>
      <c r="B8069" s="35" t="s">
        <v>25506</v>
      </c>
      <c r="C8069" s="35" t="s">
        <v>25507</v>
      </c>
      <c r="D8069" s="36" t="s">
        <v>25508</v>
      </c>
      <c r="E8069" s="37"/>
      <c r="F8069" s="38">
        <f ca="1">F8076</f>
        <v>0</v>
      </c>
      <c r="G8069" s="37"/>
    </row>
    <row r="8070" spans="1:7" ht="58.32" thickBot="1" customHeight="1">
      <c r="A8070" s="26"/>
      <c r="B8070" s="26"/>
      <c r="C8070" s="26"/>
      <c r="D8070" s="25" t="s">
        <v>25509</v>
      </c>
      <c r="E8070" s="25"/>
      <c r="F8070" s="25"/>
      <c r="G8070" s="25"/>
    </row>
    <row r="8071" spans="1:7" ht="15.12" thickBot="1" customHeight="1">
      <c r="A8071" s="24" t="s">
        <v>25510</v>
      </c>
      <c r="B8071" s="24" t="s">
        <v>25511</v>
      </c>
      <c r="C8071" s="24" t="s">
        <v>25512</v>
      </c>
      <c r="D8071" s="25" t="s">
        <v>25513</v>
      </c>
      <c r="E8071" s="28">
        <v>2.00000</v>
      </c>
      <c r="F8071" s="29">
        <f ca="1">ROUND(0.050,3)</f>
        <v>0</v>
      </c>
      <c r="G8071" s="27">
        <f ca="1">ROUND(E8071*F8071,2)</f>
        <v>0</v>
      </c>
    </row>
    <row r="8072" spans="1:7" ht="39.84" thickBot="1" customHeight="1">
      <c r="A8072" s="24" t="s">
        <v>25514</v>
      </c>
      <c r="B8072" s="24" t="s">
        <v>25515</v>
      </c>
      <c r="C8072" s="24" t="s">
        <v>25516</v>
      </c>
      <c r="D8072" s="25" t="s">
        <v>25517</v>
      </c>
      <c r="E8072" s="28">
        <v>0.16000</v>
      </c>
      <c r="F8072" s="29">
        <f ca="1">ROUND(20.130,3)</f>
        <v>0</v>
      </c>
      <c r="G8072" s="27">
        <f ca="1">ROUND(E8072*F8072,2)</f>
        <v>0</v>
      </c>
    </row>
    <row r="8073" spans="1:7" ht="21.36" thickBot="1" customHeight="1">
      <c r="A8073" s="24" t="s">
        <v>25518</v>
      </c>
      <c r="B8073" s="24" t="s">
        <v>25519</v>
      </c>
      <c r="C8073" s="24" t="s">
        <v>25520</v>
      </c>
      <c r="D8073" s="25" t="s">
        <v>25521</v>
      </c>
      <c r="E8073" s="28">
        <v>8.00000</v>
      </c>
      <c r="F8073" s="29">
        <f ca="1">ROUND(2.400,3)</f>
        <v>0</v>
      </c>
      <c r="G8073" s="27">
        <f ca="1">ROUND(E8073*F8073,2)</f>
        <v>0</v>
      </c>
    </row>
    <row r="8074" spans="1:7" ht="21.36" thickBot="1" customHeight="1">
      <c r="A8074" s="24" t="s">
        <v>25522</v>
      </c>
      <c r="B8074" s="24" t="s">
        <v>25523</v>
      </c>
      <c r="C8074" s="24" t="s">
        <v>25524</v>
      </c>
      <c r="D8074" s="25" t="s">
        <v>25525</v>
      </c>
      <c r="E8074" s="28">
        <v>0.05000</v>
      </c>
      <c r="F8074" s="29">
        <f ca="1">ROUND(5.160,3)</f>
        <v>0</v>
      </c>
      <c r="G8074" s="27">
        <f ca="1">ROUND(E8074*F8074,2)</f>
        <v>0</v>
      </c>
    </row>
    <row r="8075" spans="1:7" ht="24.36" thickBot="1" customHeight="1">
      <c r="A8075" s="24" t="s">
        <v>25526</v>
      </c>
      <c r="B8075" s="24" t="s">
        <v>25527</v>
      </c>
      <c r="C8075" s="24" t="s">
        <v>25528</v>
      </c>
      <c r="D8075" s="25" t="s">
        <v>25529</v>
      </c>
      <c r="E8075" s="28">
        <v>0.28000</v>
      </c>
      <c r="F8075" s="29">
        <f ca="1">ROUND(49.500,3)</f>
        <v>0</v>
      </c>
      <c r="G8075" s="27">
        <f ca="1">ROUND(E8075*F8075,2)</f>
        <v>0</v>
      </c>
    </row>
    <row r="8076" spans="1:7" ht="15.48" thickBot="1" customHeight="1">
      <c r="A8076" s="30"/>
      <c r="B8076" s="30"/>
      <c r="C8076" s="30"/>
      <c r="D8076" s="31" t="s">
        <v>25530</v>
      </c>
      <c r="E8076" s="30"/>
      <c r="F8076" s="33">
        <f ca="1">ROUND((G8071+G8072+G8073+G8074+G8075)*(1+G2/100),2)</f>
        <v>0</v>
      </c>
      <c r="G8076" s="30"/>
    </row>
    <row r="8077" spans="1:7" ht="21.36" thickBot="1" customHeight="1">
      <c r="A8077" s="34" t="s">
        <v>25531</v>
      </c>
      <c r="B8077" s="35" t="s">
        <v>25532</v>
      </c>
      <c r="C8077" s="35" t="s">
        <v>25533</v>
      </c>
      <c r="D8077" s="36" t="s">
        <v>25534</v>
      </c>
      <c r="E8077" s="37"/>
      <c r="F8077" s="38">
        <f ca="1">F8091</f>
        <v>0</v>
      </c>
      <c r="G8077" s="37"/>
    </row>
    <row r="8078" spans="1:7" ht="30.60" thickBot="1" customHeight="1">
      <c r="A8078" s="26"/>
      <c r="B8078" s="26"/>
      <c r="C8078" s="26"/>
      <c r="D8078" s="25" t="s">
        <v>25535</v>
      </c>
      <c r="E8078" s="25"/>
      <c r="F8078" s="25"/>
      <c r="G8078" s="25"/>
    </row>
    <row r="8079" spans="1:7" ht="21.36" thickBot="1" customHeight="1">
      <c r="A8079" s="24" t="s">
        <v>25536</v>
      </c>
      <c r="B8079" s="24" t="s">
        <v>25537</v>
      </c>
      <c r="C8079" s="24" t="s">
        <v>25538</v>
      </c>
      <c r="D8079" s="25" t="s">
        <v>25539</v>
      </c>
      <c r="E8079" s="28">
        <v>1.05000</v>
      </c>
      <c r="F8079" s="29">
        <f ca="1">ROUND(22.860,3)</f>
        <v>0</v>
      </c>
      <c r="G8079" s="27">
        <f ca="1">ROUND(E8079*F8079,2)</f>
        <v>0</v>
      </c>
    </row>
    <row r="8080" spans="1:7" ht="49.08" thickBot="1" customHeight="1">
      <c r="A8080" s="24" t="s">
        <v>25540</v>
      </c>
      <c r="B8080" s="24" t="s">
        <v>25541</v>
      </c>
      <c r="C8080" s="24" t="s">
        <v>25542</v>
      </c>
      <c r="D8080" s="25" t="s">
        <v>25543</v>
      </c>
      <c r="E8080" s="28">
        <v>0.25200</v>
      </c>
      <c r="F8080" s="29">
        <f ca="1">ROUND(10.250,3)</f>
        <v>0</v>
      </c>
      <c r="G8080" s="27">
        <f ca="1">ROUND(E8080*F8080,2)</f>
        <v>0</v>
      </c>
    </row>
    <row r="8081" spans="1:7" ht="30.60" thickBot="1" customHeight="1">
      <c r="A8081" s="24" t="s">
        <v>25544</v>
      </c>
      <c r="B8081" s="24" t="s">
        <v>25545</v>
      </c>
      <c r="C8081" s="24" t="s">
        <v>25546</v>
      </c>
      <c r="D8081" s="25" t="s">
        <v>25547</v>
      </c>
      <c r="E8081" s="28">
        <v>0.50000</v>
      </c>
      <c r="F8081" s="29">
        <f ca="1">ROUND(11.000,3)</f>
        <v>0</v>
      </c>
      <c r="G8081" s="27">
        <f ca="1">ROUND(E8081*F8081,2)</f>
        <v>0</v>
      </c>
    </row>
    <row r="8082" spans="1:7" ht="39.84" thickBot="1" customHeight="1">
      <c r="A8082" s="24" t="s">
        <v>25548</v>
      </c>
      <c r="B8082" s="24" t="s">
        <v>25549</v>
      </c>
      <c r="C8082" s="24" t="s">
        <v>25550</v>
      </c>
      <c r="D8082" s="25" t="s">
        <v>25551</v>
      </c>
      <c r="E8082" s="28">
        <v>0.05000</v>
      </c>
      <c r="F8082" s="29">
        <f ca="1">ROUND(27.850,3)</f>
        <v>0</v>
      </c>
      <c r="G8082" s="27">
        <f ca="1">ROUND(E8082*F8082,2)</f>
        <v>0</v>
      </c>
    </row>
    <row r="8083" spans="1:7" ht="39.84" thickBot="1" customHeight="1">
      <c r="A8083" s="24" t="s">
        <v>25552</v>
      </c>
      <c r="B8083" s="24" t="s">
        <v>25553</v>
      </c>
      <c r="C8083" s="24" t="s">
        <v>25554</v>
      </c>
      <c r="D8083" s="25" t="s">
        <v>25555</v>
      </c>
      <c r="E8083" s="28">
        <v>0.05000</v>
      </c>
      <c r="F8083" s="29">
        <f ca="1">ROUND(18.800,3)</f>
        <v>0</v>
      </c>
      <c r="G8083" s="27">
        <f ca="1">ROUND(E8083*F8083,2)</f>
        <v>0</v>
      </c>
    </row>
    <row r="8084" spans="1:7" ht="30.60" thickBot="1" customHeight="1">
      <c r="A8084" s="24" t="s">
        <v>25556</v>
      </c>
      <c r="B8084" s="24" t="s">
        <v>25557</v>
      </c>
      <c r="C8084" s="24" t="s">
        <v>25558</v>
      </c>
      <c r="D8084" s="25" t="s">
        <v>25559</v>
      </c>
      <c r="E8084" s="28">
        <v>0.05000</v>
      </c>
      <c r="F8084" s="29">
        <f ca="1">ROUND(15.400,3)</f>
        <v>0</v>
      </c>
      <c r="G8084" s="27">
        <f ca="1">ROUND(E8084*F8084,2)</f>
        <v>0</v>
      </c>
    </row>
    <row r="8085" spans="1:7" ht="21.36" thickBot="1" customHeight="1">
      <c r="A8085" s="24" t="s">
        <v>25560</v>
      </c>
      <c r="B8085" s="24" t="s">
        <v>25561</v>
      </c>
      <c r="C8085" s="24" t="s">
        <v>25562</v>
      </c>
      <c r="D8085" s="25" t="s">
        <v>25563</v>
      </c>
      <c r="E8085" s="28">
        <v>0.50000</v>
      </c>
      <c r="F8085" s="29">
        <f ca="1">F8089</f>
        <v>0</v>
      </c>
      <c r="G8085" s="27">
        <f ca="1">ROUND(E8085*F8085,2)</f>
        <v>0</v>
      </c>
    </row>
    <row r="8086" spans="1:7" ht="24.36" thickBot="1" customHeight="1">
      <c r="A8086" s="24" t="s">
        <v>25564</v>
      </c>
      <c r="B8086" s="24" t="s">
        <v>25565</v>
      </c>
      <c r="C8086" s="24" t="s">
        <v>25566</v>
      </c>
      <c r="D8086" s="25" t="s">
        <v>25567</v>
      </c>
      <c r="E8086" s="28">
        <v>1.00000</v>
      </c>
      <c r="F8086" s="29">
        <f ca="1">ROUND(21.000,3)</f>
        <v>0</v>
      </c>
      <c r="G8086" s="27">
        <f ca="1">ROUND(E8086*F8086,2)</f>
        <v>0</v>
      </c>
    </row>
    <row r="8087" spans="1:7" ht="24.36" thickBot="1" customHeight="1">
      <c r="A8087" s="24" t="s">
        <v>25568</v>
      </c>
      <c r="B8087" s="24" t="s">
        <v>25569</v>
      </c>
      <c r="C8087" s="24" t="s">
        <v>25570</v>
      </c>
      <c r="D8087" s="25" t="s">
        <v>25571</v>
      </c>
      <c r="E8087" s="28">
        <v>1.00000</v>
      </c>
      <c r="F8087" s="29">
        <f ca="1">ROUND(19.000,3)</f>
        <v>0</v>
      </c>
      <c r="G8087" s="27">
        <f ca="1">ROUND(E8087*F8087,2)</f>
        <v>0</v>
      </c>
    </row>
    <row r="8088" spans="1:7" ht="24.36" thickBot="1" customHeight="1">
      <c r="A8088" s="24" t="s">
        <v>25572</v>
      </c>
      <c r="B8088" s="24" t="s">
        <v>25573</v>
      </c>
      <c r="C8088" s="24" t="s">
        <v>25574</v>
      </c>
      <c r="D8088" s="25" t="s">
        <v>25575</v>
      </c>
      <c r="E8088" s="28">
        <v>0.20000</v>
      </c>
      <c r="F8088" s="29">
        <f ca="1">ROUND(19.000,3)</f>
        <v>0</v>
      </c>
      <c r="G8088" s="27">
        <f ca="1">ROUND(E8088*F8088,2)</f>
        <v>0</v>
      </c>
    </row>
    <row r="8089" spans="1:7" ht="15.12" thickBot="1" customHeight="1">
      <c r="A8089" s="26"/>
      <c r="B8089" s="26"/>
      <c r="C8089" s="26"/>
      <c r="D8089" s="24" t="s">
        <v>25576</v>
      </c>
      <c r="E8089" s="28">
        <v>0.50000</v>
      </c>
      <c r="F8089" s="29">
        <f ca="1">ROUND((G8086+G8087+G8088),3)</f>
        <v>0</v>
      </c>
      <c r="G8089" s="27">
        <f ca="1">ROUND(E8089*F8089,2)</f>
        <v>0</v>
      </c>
    </row>
    <row r="8090" spans="1:7" ht="15.12" thickBot="1" customHeight="1">
      <c r="A8090" s="24" t="s">
        <v>25577</v>
      </c>
      <c r="B8090" s="24"/>
      <c r="C8090" s="24" t="s">
        <v>25578</v>
      </c>
      <c r="D8090" s="25" t="s">
        <v>25579</v>
      </c>
      <c r="E8090" s="28">
        <v>3.00000</v>
      </c>
      <c r="F8090" s="29">
        <f ca="1">ROUND(21.900,3)</f>
        <v>0</v>
      </c>
      <c r="G8090" s="27">
        <f ca="1">ROUND((E8090*F8090)/100,2)</f>
        <v>0</v>
      </c>
    </row>
    <row r="8091" spans="1:7" ht="15.48" thickBot="1" customHeight="1">
      <c r="A8091" s="30"/>
      <c r="B8091" s="30"/>
      <c r="C8091" s="30"/>
      <c r="D8091" s="31" t="s">
        <v>25580</v>
      </c>
      <c r="E8091" s="30"/>
      <c r="F8091" s="33">
        <f ca="1">ROUND((G8079+G8080+G8081+G8082+G8083+G8084+G8085+G8090)*(1+G2/100),2)</f>
        <v>0</v>
      </c>
      <c r="G8091" s="30"/>
    </row>
    <row r="8092" spans="1:7" ht="15.48" thickBot="1" customHeight="1">
      <c r="A8092" s="34" t="s">
        <v>25581</v>
      </c>
      <c r="B8092" s="35" t="s">
        <v>25582</v>
      </c>
      <c r="C8092" s="35" t="s">
        <v>25583</v>
      </c>
      <c r="D8092" s="36" t="s">
        <v>25584</v>
      </c>
      <c r="E8092" s="37"/>
      <c r="F8092" s="38">
        <f ca="1">F8102</f>
        <v>0</v>
      </c>
      <c r="G8092" s="37"/>
    </row>
    <row r="8093" spans="1:7" ht="39.84" thickBot="1" customHeight="1">
      <c r="A8093" s="26"/>
      <c r="B8093" s="26"/>
      <c r="C8093" s="26"/>
      <c r="D8093" s="25" t="s">
        <v>25585</v>
      </c>
      <c r="E8093" s="25"/>
      <c r="F8093" s="25"/>
      <c r="G8093" s="25"/>
    </row>
    <row r="8094" spans="1:7" ht="15.12" thickBot="1" customHeight="1">
      <c r="A8094" s="24" t="s">
        <v>25586</v>
      </c>
      <c r="B8094" s="24" t="s">
        <v>25587</v>
      </c>
      <c r="C8094" s="24" t="s">
        <v>25588</v>
      </c>
      <c r="D8094" s="25" t="s">
        <v>25589</v>
      </c>
      <c r="E8094" s="28">
        <v>1.00000</v>
      </c>
      <c r="F8094" s="29">
        <f ca="1">ROUND(32.000,3)</f>
        <v>0</v>
      </c>
      <c r="G8094" s="27">
        <f ca="1">ROUND(E8094*F8094,2)</f>
        <v>0</v>
      </c>
    </row>
    <row r="8095" spans="1:7" ht="30.60" thickBot="1" customHeight="1">
      <c r="A8095" s="24" t="s">
        <v>25590</v>
      </c>
      <c r="B8095" s="24" t="s">
        <v>25591</v>
      </c>
      <c r="C8095" s="24" t="s">
        <v>25592</v>
      </c>
      <c r="D8095" s="25" t="s">
        <v>25593</v>
      </c>
      <c r="E8095" s="28">
        <v>5.00000</v>
      </c>
      <c r="F8095" s="29">
        <f ca="1">ROUND(0.170,3)</f>
        <v>0</v>
      </c>
      <c r="G8095" s="27">
        <f ca="1">ROUND(E8095*F8095,2)</f>
        <v>0</v>
      </c>
    </row>
    <row r="8096" spans="1:7" ht="15.12" thickBot="1" customHeight="1">
      <c r="A8096" s="24" t="s">
        <v>25594</v>
      </c>
      <c r="B8096" s="24" t="s">
        <v>25595</v>
      </c>
      <c r="C8096" s="24" t="s">
        <v>25596</v>
      </c>
      <c r="D8096" s="25" t="s">
        <v>25597</v>
      </c>
      <c r="E8096" s="28">
        <v>0.00100</v>
      </c>
      <c r="F8096" s="29">
        <f ca="1">ROUND(88.000,3)</f>
        <v>0</v>
      </c>
      <c r="G8096" s="27">
        <f ca="1">ROUND(E8096*F8096,2)</f>
        <v>0</v>
      </c>
    </row>
    <row r="8097" spans="1:7" ht="21.36" thickBot="1" customHeight="1">
      <c r="A8097" s="24" t="s">
        <v>25598</v>
      </c>
      <c r="B8097" s="24" t="s">
        <v>25599</v>
      </c>
      <c r="C8097" s="24" t="s">
        <v>25600</v>
      </c>
      <c r="D8097" s="25" t="s">
        <v>25601</v>
      </c>
      <c r="E8097" s="28">
        <v>0.45000</v>
      </c>
      <c r="F8097" s="29">
        <f ca="1">F8101</f>
        <v>0</v>
      </c>
      <c r="G8097" s="27">
        <f ca="1">ROUND(E8097*F8097,2)</f>
        <v>0</v>
      </c>
    </row>
    <row r="8098" spans="1:7" ht="24.36" thickBot="1" customHeight="1">
      <c r="A8098" s="24" t="s">
        <v>25602</v>
      </c>
      <c r="B8098" s="24" t="s">
        <v>25603</v>
      </c>
      <c r="C8098" s="24" t="s">
        <v>25604</v>
      </c>
      <c r="D8098" s="25" t="s">
        <v>25605</v>
      </c>
      <c r="E8098" s="28">
        <v>1.00000</v>
      </c>
      <c r="F8098" s="29">
        <f ca="1">ROUND(21.000,3)</f>
        <v>0</v>
      </c>
      <c r="G8098" s="27">
        <f ca="1">ROUND(E8098*F8098,2)</f>
        <v>0</v>
      </c>
    </row>
    <row r="8099" spans="1:7" ht="24.36" thickBot="1" customHeight="1">
      <c r="A8099" s="24" t="s">
        <v>25606</v>
      </c>
      <c r="B8099" s="24" t="s">
        <v>25607</v>
      </c>
      <c r="C8099" s="24" t="s">
        <v>25608</v>
      </c>
      <c r="D8099" s="25" t="s">
        <v>25609</v>
      </c>
      <c r="E8099" s="28">
        <v>1.00000</v>
      </c>
      <c r="F8099" s="29">
        <f ca="1">ROUND(19.000,3)</f>
        <v>0</v>
      </c>
      <c r="G8099" s="27">
        <f ca="1">ROUND(E8099*F8099,2)</f>
        <v>0</v>
      </c>
    </row>
    <row r="8100" spans="1:7" ht="24.36" thickBot="1" customHeight="1">
      <c r="A8100" s="24" t="s">
        <v>25610</v>
      </c>
      <c r="B8100" s="24" t="s">
        <v>25611</v>
      </c>
      <c r="C8100" s="24" t="s">
        <v>25612</v>
      </c>
      <c r="D8100" s="25" t="s">
        <v>25613</v>
      </c>
      <c r="E8100" s="28">
        <v>0.20000</v>
      </c>
      <c r="F8100" s="29">
        <f ca="1">ROUND(19.000,3)</f>
        <v>0</v>
      </c>
      <c r="G8100" s="27">
        <f ca="1">ROUND(E8100*F8100,2)</f>
        <v>0</v>
      </c>
    </row>
    <row r="8101" spans="1:7" ht="15.12" thickBot="1" customHeight="1">
      <c r="A8101" s="26"/>
      <c r="B8101" s="26"/>
      <c r="C8101" s="26"/>
      <c r="D8101" s="24" t="s">
        <v>25614</v>
      </c>
      <c r="E8101" s="28">
        <v>0.45000</v>
      </c>
      <c r="F8101" s="29">
        <f ca="1">ROUND((G8098+G8099+G8100),3)</f>
        <v>0</v>
      </c>
      <c r="G8101" s="27">
        <f ca="1">ROUND(E8101*F8101,2)</f>
        <v>0</v>
      </c>
    </row>
    <row r="8102" spans="1:7" ht="15.48" thickBot="1" customHeight="1">
      <c r="A8102" s="30"/>
      <c r="B8102" s="30"/>
      <c r="C8102" s="30"/>
      <c r="D8102" s="31" t="s">
        <v>25615</v>
      </c>
      <c r="E8102" s="30"/>
      <c r="F8102" s="33">
        <f ca="1">ROUND((G8094+G8095+G8096+G8097)*(1+G2/100),2)</f>
        <v>0</v>
      </c>
      <c r="G8102" s="30"/>
    </row>
    <row r="8103" spans="1:7" ht="21.36" thickBot="1" customHeight="1">
      <c r="A8103" s="34" t="s">
        <v>25616</v>
      </c>
      <c r="B8103" s="35" t="s">
        <v>25617</v>
      </c>
      <c r="C8103" s="35" t="s">
        <v>25618</v>
      </c>
      <c r="D8103" s="36" t="s">
        <v>25619</v>
      </c>
      <c r="E8103" s="37"/>
      <c r="F8103" s="38">
        <f ca="1">F8110</f>
        <v>0</v>
      </c>
      <c r="G8103" s="37"/>
    </row>
    <row r="8104" spans="1:7" ht="39.84" thickBot="1" customHeight="1">
      <c r="A8104" s="26"/>
      <c r="B8104" s="26"/>
      <c r="C8104" s="26"/>
      <c r="D8104" s="25" t="s">
        <v>25620</v>
      </c>
      <c r="E8104" s="25"/>
      <c r="F8104" s="25"/>
      <c r="G8104" s="25"/>
    </row>
    <row r="8105" spans="1:7" ht="21.36" thickBot="1" customHeight="1">
      <c r="A8105" s="24" t="s">
        <v>25621</v>
      </c>
      <c r="B8105" s="24" t="s">
        <v>25622</v>
      </c>
      <c r="C8105" s="24" t="s">
        <v>25623</v>
      </c>
      <c r="D8105" s="25" t="s">
        <v>25624</v>
      </c>
      <c r="E8105" s="28">
        <v>0.35000</v>
      </c>
      <c r="F8105" s="29">
        <f ca="1">F8109</f>
        <v>0</v>
      </c>
      <c r="G8105" s="27">
        <f ca="1">ROUND(E8105*F8105,2)</f>
        <v>0</v>
      </c>
    </row>
    <row r="8106" spans="1:7" ht="24.36" thickBot="1" customHeight="1">
      <c r="A8106" s="24" t="s">
        <v>25625</v>
      </c>
      <c r="B8106" s="24" t="s">
        <v>25626</v>
      </c>
      <c r="C8106" s="24" t="s">
        <v>25627</v>
      </c>
      <c r="D8106" s="25" t="s">
        <v>25628</v>
      </c>
      <c r="E8106" s="28">
        <v>1.00000</v>
      </c>
      <c r="F8106" s="29">
        <f ca="1">ROUND(21.000,3)</f>
        <v>0</v>
      </c>
      <c r="G8106" s="27">
        <f ca="1">ROUND(E8106*F8106,2)</f>
        <v>0</v>
      </c>
    </row>
    <row r="8107" spans="1:7" ht="24.36" thickBot="1" customHeight="1">
      <c r="A8107" s="24" t="s">
        <v>25629</v>
      </c>
      <c r="B8107" s="24" t="s">
        <v>25630</v>
      </c>
      <c r="C8107" s="24" t="s">
        <v>25631</v>
      </c>
      <c r="D8107" s="25" t="s">
        <v>25632</v>
      </c>
      <c r="E8107" s="28">
        <v>1.00000</v>
      </c>
      <c r="F8107" s="29">
        <f ca="1">ROUND(19.000,3)</f>
        <v>0</v>
      </c>
      <c r="G8107" s="27">
        <f ca="1">ROUND(E8107*F8107,2)</f>
        <v>0</v>
      </c>
    </row>
    <row r="8108" spans="1:7" ht="24.36" thickBot="1" customHeight="1">
      <c r="A8108" s="24" t="s">
        <v>25633</v>
      </c>
      <c r="B8108" s="24" t="s">
        <v>25634</v>
      </c>
      <c r="C8108" s="24" t="s">
        <v>25635</v>
      </c>
      <c r="D8108" s="25" t="s">
        <v>25636</v>
      </c>
      <c r="E8108" s="28">
        <v>0.20000</v>
      </c>
      <c r="F8108" s="29">
        <f ca="1">ROUND(19.000,3)</f>
        <v>0</v>
      </c>
      <c r="G8108" s="27">
        <f ca="1">ROUND(E8108*F8108,2)</f>
        <v>0</v>
      </c>
    </row>
    <row r="8109" spans="1:7" ht="15.12" thickBot="1" customHeight="1">
      <c r="A8109" s="26"/>
      <c r="B8109" s="26"/>
      <c r="C8109" s="26"/>
      <c r="D8109" s="24" t="s">
        <v>25637</v>
      </c>
      <c r="E8109" s="28">
        <v>0.35000</v>
      </c>
      <c r="F8109" s="29">
        <f ca="1">ROUND((G8106+G8107+G8108),3)</f>
        <v>0</v>
      </c>
      <c r="G8109" s="27">
        <f ca="1">ROUND(E8109*F8109,2)</f>
        <v>0</v>
      </c>
    </row>
    <row r="8110" spans="1:7" ht="15.48" thickBot="1" customHeight="1">
      <c r="A8110" s="30"/>
      <c r="B8110" s="30"/>
      <c r="C8110" s="30"/>
      <c r="D8110" s="31" t="s">
        <v>25638</v>
      </c>
      <c r="E8110" s="30"/>
      <c r="F8110" s="33">
        <f ca="1">ROUND((G8105)*(1+G2/100),2)</f>
        <v>0</v>
      </c>
      <c r="G8110" s="30"/>
    </row>
    <row r="8111" spans="1:7" ht="15.48" thickBot="1" customHeight="1">
      <c r="A8111" s="39"/>
      <c r="B8111" s="39"/>
      <c r="C8111" s="39"/>
      <c r="D8111" s="50" t="s">
        <v>25639</v>
      </c>
      <c r="E8111" s="51"/>
      <c r="F8111" s="51"/>
      <c r="G8111" s="51"/>
    </row>
    <row r="8112" spans="1:7" ht="15.48" thickBot="1" customHeight="1">
      <c r="A8112" s="52" t="s">
        <v>25640</v>
      </c>
      <c r="B8112" s="52" t="s">
        <v>25641</v>
      </c>
      <c r="C8112" s="53"/>
      <c r="D8112" s="54" t="s">
        <v>25642</v>
      </c>
      <c r="E8112" s="53"/>
      <c r="F8112" s="53"/>
      <c r="G8112" s="53"/>
    </row>
    <row r="8113" spans="1:7" ht="39.84" thickBot="1" customHeight="1">
      <c r="A8113" s="10" t="s">
        <v>25643</v>
      </c>
      <c r="B8113" s="24" t="s">
        <v>25644</v>
      </c>
      <c r="C8113" s="24" t="s">
        <v>25645</v>
      </c>
      <c r="D8113" s="25" t="s">
        <v>25646</v>
      </c>
      <c r="E8113" s="26"/>
      <c r="F8113" s="27">
        <f ca="1">F8134</f>
        <v>0</v>
      </c>
      <c r="G8113" s="26"/>
    </row>
    <row r="8114" spans="1:7" ht="21.36" thickBot="1" customHeight="1">
      <c r="A8114" s="26"/>
      <c r="B8114" s="26"/>
      <c r="C8114" s="26"/>
      <c r="D8114" s="25" t="s">
        <v>25647</v>
      </c>
      <c r="E8114" s="25"/>
      <c r="F8114" s="25"/>
      <c r="G8114" s="25"/>
    </row>
    <row r="8115" spans="1:7" ht="21.36" thickBot="1" customHeight="1">
      <c r="A8115" s="24" t="s">
        <v>25648</v>
      </c>
      <c r="B8115" s="24" t="s">
        <v>25649</v>
      </c>
      <c r="C8115" s="24" t="s">
        <v>25650</v>
      </c>
      <c r="D8115" s="25" t="s">
        <v>25651</v>
      </c>
      <c r="E8115" s="28">
        <v>1.05000</v>
      </c>
      <c r="F8115" s="29">
        <f ca="1">ROUND(9.090,3)</f>
        <v>0</v>
      </c>
      <c r="G8115" s="27">
        <f ca="1">ROUND(E8115*F8115,2)</f>
        <v>0</v>
      </c>
    </row>
    <row r="8116" spans="1:7" ht="21.36" thickBot="1" customHeight="1">
      <c r="A8116" s="24" t="s">
        <v>25652</v>
      </c>
      <c r="B8116" s="24" t="s">
        <v>25653</v>
      </c>
      <c r="C8116" s="24" t="s">
        <v>25654</v>
      </c>
      <c r="D8116" s="25" t="s">
        <v>25655</v>
      </c>
      <c r="E8116" s="28">
        <v>0.33300</v>
      </c>
      <c r="F8116" s="29">
        <f ca="1">ROUND(1.530,3)</f>
        <v>0</v>
      </c>
      <c r="G8116" s="27">
        <f ca="1">ROUND(E8116*F8116,2)</f>
        <v>0</v>
      </c>
    </row>
    <row r="8117" spans="1:7" ht="21.36" thickBot="1" customHeight="1">
      <c r="A8117" s="24" t="s">
        <v>25656</v>
      </c>
      <c r="B8117" s="24" t="s">
        <v>25657</v>
      </c>
      <c r="C8117" s="24" t="s">
        <v>25658</v>
      </c>
      <c r="D8117" s="25" t="s">
        <v>25659</v>
      </c>
      <c r="E8117" s="28">
        <v>1.66667</v>
      </c>
      <c r="F8117" s="29">
        <f ca="1">ROUND(1.030,3)</f>
        <v>0</v>
      </c>
      <c r="G8117" s="27">
        <f ca="1">ROUND(E8117*F8117,2)</f>
        <v>0</v>
      </c>
    </row>
    <row r="8118" spans="1:7" ht="21.36" thickBot="1" customHeight="1">
      <c r="A8118" s="24" t="s">
        <v>25660</v>
      </c>
      <c r="B8118" s="24" t="s">
        <v>25661</v>
      </c>
      <c r="C8118" s="24" t="s">
        <v>25662</v>
      </c>
      <c r="D8118" s="25" t="s">
        <v>25663</v>
      </c>
      <c r="E8118" s="28">
        <v>0.05000</v>
      </c>
      <c r="F8118" s="29">
        <f ca="1">ROUND(2.930,3)</f>
        <v>0</v>
      </c>
      <c r="G8118" s="27">
        <f ca="1">ROUND(E8118*F8118,2)</f>
        <v>0</v>
      </c>
    </row>
    <row r="8119" spans="1:7" ht="21.36" thickBot="1" customHeight="1">
      <c r="A8119" s="24" t="s">
        <v>25664</v>
      </c>
      <c r="B8119" s="24" t="s">
        <v>25665</v>
      </c>
      <c r="C8119" s="24" t="s">
        <v>25666</v>
      </c>
      <c r="D8119" s="25" t="s">
        <v>25667</v>
      </c>
      <c r="E8119" s="28">
        <v>0.20000</v>
      </c>
      <c r="F8119" s="29">
        <f ca="1">ROUND(1.120,3)</f>
        <v>0</v>
      </c>
      <c r="G8119" s="27">
        <f ca="1">ROUND(E8119*F8119,2)</f>
        <v>0</v>
      </c>
    </row>
    <row r="8120" spans="1:7" ht="21.36" thickBot="1" customHeight="1">
      <c r="A8120" s="24" t="s">
        <v>25668</v>
      </c>
      <c r="B8120" s="24" t="s">
        <v>25669</v>
      </c>
      <c r="C8120" s="24" t="s">
        <v>25670</v>
      </c>
      <c r="D8120" s="25" t="s">
        <v>25671</v>
      </c>
      <c r="E8120" s="28">
        <v>0.10000</v>
      </c>
      <c r="F8120" s="29">
        <f ca="1">ROUND(3.430,3)</f>
        <v>0</v>
      </c>
      <c r="G8120" s="27">
        <f ca="1">ROUND(E8120*F8120,2)</f>
        <v>0</v>
      </c>
    </row>
    <row r="8121" spans="1:7" ht="30.60" thickBot="1" customHeight="1">
      <c r="A8121" s="24" t="s">
        <v>25672</v>
      </c>
      <c r="B8121" s="24" t="s">
        <v>25673</v>
      </c>
      <c r="C8121" s="24" t="s">
        <v>25674</v>
      </c>
      <c r="D8121" s="25" t="s">
        <v>25675</v>
      </c>
      <c r="E8121" s="28">
        <v>0.31000</v>
      </c>
      <c r="F8121" s="29">
        <f ca="1">ROUND(4.580,3)</f>
        <v>0</v>
      </c>
      <c r="G8121" s="27">
        <f ca="1">ROUND(E8121*F8121,2)</f>
        <v>0</v>
      </c>
    </row>
    <row r="8122" spans="1:7" ht="30.60" thickBot="1" customHeight="1">
      <c r="A8122" s="24" t="s">
        <v>25676</v>
      </c>
      <c r="B8122" s="24" t="s">
        <v>25677</v>
      </c>
      <c r="C8122" s="24" t="s">
        <v>25678</v>
      </c>
      <c r="D8122" s="25" t="s">
        <v>25679</v>
      </c>
      <c r="E8122" s="28">
        <v>0.05500</v>
      </c>
      <c r="F8122" s="29">
        <f ca="1">ROUND(6.090,3)</f>
        <v>0</v>
      </c>
      <c r="G8122" s="27">
        <f ca="1">ROUND(E8122*F8122,2)</f>
        <v>0</v>
      </c>
    </row>
    <row r="8123" spans="1:7" ht="21.36" thickBot="1" customHeight="1">
      <c r="A8123" s="24" t="s">
        <v>25680</v>
      </c>
      <c r="B8123" s="24" t="s">
        <v>25681</v>
      </c>
      <c r="C8123" s="24" t="s">
        <v>25682</v>
      </c>
      <c r="D8123" s="25" t="s">
        <v>25683</v>
      </c>
      <c r="E8123" s="28">
        <v>0.10000</v>
      </c>
      <c r="F8123" s="29">
        <f ca="1">ROUND(6.490,3)</f>
        <v>0</v>
      </c>
      <c r="G8123" s="27">
        <f ca="1">ROUND(E8123*F8123,2)</f>
        <v>0</v>
      </c>
    </row>
    <row r="8124" spans="1:7" ht="30.60" thickBot="1" customHeight="1">
      <c r="A8124" s="24" t="s">
        <v>25684</v>
      </c>
      <c r="B8124" s="24" t="s">
        <v>25685</v>
      </c>
      <c r="C8124" s="24" t="s">
        <v>25686</v>
      </c>
      <c r="D8124" s="25" t="s">
        <v>25687</v>
      </c>
      <c r="E8124" s="28">
        <v>0.40000</v>
      </c>
      <c r="F8124" s="29">
        <f ca="1">F8126</f>
        <v>0</v>
      </c>
      <c r="G8124" s="27">
        <f ca="1">ROUND(E8124*F8124,2)</f>
        <v>0</v>
      </c>
    </row>
    <row r="8125" spans="1:7" ht="21.36" thickBot="1" customHeight="1">
      <c r="A8125" s="24" t="s">
        <v>25688</v>
      </c>
      <c r="B8125" s="24" t="s">
        <v>25689</v>
      </c>
      <c r="C8125" s="24" t="s">
        <v>25690</v>
      </c>
      <c r="D8125" s="25" t="s">
        <v>25691</v>
      </c>
      <c r="E8125" s="28">
        <v>0.00417</v>
      </c>
      <c r="F8125" s="29">
        <f ca="1">ROUND(188.430,3)</f>
        <v>0</v>
      </c>
      <c r="G8125" s="27">
        <f ca="1">ROUND(E8125*F8125,2)</f>
        <v>0</v>
      </c>
    </row>
    <row r="8126" spans="1:7" ht="15.12" thickBot="1" customHeight="1">
      <c r="A8126" s="26"/>
      <c r="B8126" s="26"/>
      <c r="C8126" s="26"/>
      <c r="D8126" s="24" t="s">
        <v>25692</v>
      </c>
      <c r="E8126" s="28">
        <v>0.40000</v>
      </c>
      <c r="F8126" s="29">
        <f ca="1">ROUND((G8125),3)</f>
        <v>0</v>
      </c>
      <c r="G8126" s="27">
        <f ca="1">ROUND(E8126*F8126,2)</f>
        <v>0</v>
      </c>
    </row>
    <row r="8127" spans="1:7" ht="30.60" thickBot="1" customHeight="1">
      <c r="A8127" s="24" t="s">
        <v>25693</v>
      </c>
      <c r="B8127" s="24" t="s">
        <v>25694</v>
      </c>
      <c r="C8127" s="24" t="s">
        <v>25695</v>
      </c>
      <c r="D8127" s="25" t="s">
        <v>25696</v>
      </c>
      <c r="E8127" s="28">
        <v>0.20000</v>
      </c>
      <c r="F8127" s="29">
        <f ca="1">ROUND(4.920,3)</f>
        <v>0</v>
      </c>
      <c r="G8127" s="27">
        <f ca="1">ROUND(E8127*F8127,2)</f>
        <v>0</v>
      </c>
    </row>
    <row r="8128" spans="1:7" ht="21.36" thickBot="1" customHeight="1">
      <c r="A8128" s="24" t="s">
        <v>25697</v>
      </c>
      <c r="B8128" s="24" t="s">
        <v>25698</v>
      </c>
      <c r="C8128" s="24" t="s">
        <v>25699</v>
      </c>
      <c r="D8128" s="25" t="s">
        <v>25700</v>
      </c>
      <c r="E8128" s="28">
        <v>0.80000</v>
      </c>
      <c r="F8128" s="29">
        <f ca="1">F8132</f>
        <v>0</v>
      </c>
      <c r="G8128" s="27">
        <f ca="1">ROUND(E8128*F8128,2)</f>
        <v>0</v>
      </c>
    </row>
    <row r="8129" spans="1:7" ht="24.36" thickBot="1" customHeight="1">
      <c r="A8129" s="24" t="s">
        <v>25701</v>
      </c>
      <c r="B8129" s="24" t="s">
        <v>25702</v>
      </c>
      <c r="C8129" s="24" t="s">
        <v>25703</v>
      </c>
      <c r="D8129" s="25" t="s">
        <v>25704</v>
      </c>
      <c r="E8129" s="28">
        <v>1.00000</v>
      </c>
      <c r="F8129" s="29">
        <f ca="1">ROUND(21.000,3)</f>
        <v>0</v>
      </c>
      <c r="G8129" s="27">
        <f ca="1">ROUND(E8129*F8129,2)</f>
        <v>0</v>
      </c>
    </row>
    <row r="8130" spans="1:7" ht="24.36" thickBot="1" customHeight="1">
      <c r="A8130" s="24" t="s">
        <v>25705</v>
      </c>
      <c r="B8130" s="24" t="s">
        <v>25706</v>
      </c>
      <c r="C8130" s="24" t="s">
        <v>25707</v>
      </c>
      <c r="D8130" s="25" t="s">
        <v>25708</v>
      </c>
      <c r="E8130" s="28">
        <v>1.00000</v>
      </c>
      <c r="F8130" s="29">
        <f ca="1">ROUND(19.000,3)</f>
        <v>0</v>
      </c>
      <c r="G8130" s="27">
        <f ca="1">ROUND(E8130*F8130,2)</f>
        <v>0</v>
      </c>
    </row>
    <row r="8131" spans="1:7" ht="24.36" thickBot="1" customHeight="1">
      <c r="A8131" s="24" t="s">
        <v>25709</v>
      </c>
      <c r="B8131" s="24" t="s">
        <v>25710</v>
      </c>
      <c r="C8131" s="24" t="s">
        <v>25711</v>
      </c>
      <c r="D8131" s="25" t="s">
        <v>25712</v>
      </c>
      <c r="E8131" s="28">
        <v>0.20000</v>
      </c>
      <c r="F8131" s="29">
        <f ca="1">ROUND(19.000,3)</f>
        <v>0</v>
      </c>
      <c r="G8131" s="27">
        <f ca="1">ROUND(E8131*F8131,2)</f>
        <v>0</v>
      </c>
    </row>
    <row r="8132" spans="1:7" ht="15.12" thickBot="1" customHeight="1">
      <c r="A8132" s="26"/>
      <c r="B8132" s="26"/>
      <c r="C8132" s="26"/>
      <c r="D8132" s="24" t="s">
        <v>25713</v>
      </c>
      <c r="E8132" s="28">
        <v>0.80000</v>
      </c>
      <c r="F8132" s="29">
        <f ca="1">ROUND((G8129+G8130+G8131),3)</f>
        <v>0</v>
      </c>
      <c r="G8132" s="27">
        <f ca="1">ROUND(E8132*F8132,2)</f>
        <v>0</v>
      </c>
    </row>
    <row r="8133" spans="1:7" ht="15.12" thickBot="1" customHeight="1">
      <c r="A8133" s="24" t="s">
        <v>25714</v>
      </c>
      <c r="B8133" s="24"/>
      <c r="C8133" s="24" t="s">
        <v>25715</v>
      </c>
      <c r="D8133" s="25" t="s">
        <v>25716</v>
      </c>
      <c r="E8133" s="28">
        <v>5.00000</v>
      </c>
      <c r="F8133" s="29">
        <f ca="1">ROUND(35.040,3)</f>
        <v>0</v>
      </c>
      <c r="G8133" s="27">
        <f ca="1">ROUND((E8133*F8133)/100,2)</f>
        <v>0</v>
      </c>
    </row>
    <row r="8134" spans="1:7" ht="25.08" thickBot="1" customHeight="1">
      <c r="A8134" s="30"/>
      <c r="B8134" s="30"/>
      <c r="C8134" s="30"/>
      <c r="D8134" s="31" t="s">
        <v>25717</v>
      </c>
      <c r="E8134" s="30"/>
      <c r="F8134" s="33">
        <f ca="1">ROUND((G8115+G8116+G8117+G8118+G8119+G8120+G8121+G8122+G8123+G8124+G8127+G8128+G8133)*(1+G2/100),2)</f>
        <v>0</v>
      </c>
      <c r="G8134" s="30"/>
    </row>
    <row r="8135" spans="1:7" ht="39.84" thickBot="1" customHeight="1">
      <c r="A8135" s="34" t="s">
        <v>25718</v>
      </c>
      <c r="B8135" s="35" t="s">
        <v>25719</v>
      </c>
      <c r="C8135" s="35" t="s">
        <v>25720</v>
      </c>
      <c r="D8135" s="36" t="s">
        <v>25721</v>
      </c>
      <c r="E8135" s="37"/>
      <c r="F8135" s="38">
        <f ca="1">F8155</f>
        <v>0</v>
      </c>
      <c r="G8135" s="37"/>
    </row>
    <row r="8136" spans="1:7" ht="21.36" thickBot="1" customHeight="1">
      <c r="A8136" s="26"/>
      <c r="B8136" s="26"/>
      <c r="C8136" s="26"/>
      <c r="D8136" s="25" t="s">
        <v>25722</v>
      </c>
      <c r="E8136" s="25"/>
      <c r="F8136" s="25"/>
      <c r="G8136" s="25"/>
    </row>
    <row r="8137" spans="1:7" ht="30.60" thickBot="1" customHeight="1">
      <c r="A8137" s="24" t="s">
        <v>25723</v>
      </c>
      <c r="B8137" s="24" t="s">
        <v>25724</v>
      </c>
      <c r="C8137" s="24" t="s">
        <v>25725</v>
      </c>
      <c r="D8137" s="25" t="s">
        <v>25726</v>
      </c>
      <c r="E8137" s="28">
        <v>1.05000</v>
      </c>
      <c r="F8137" s="29">
        <f ca="1">ROUND(6.570,3)</f>
        <v>0</v>
      </c>
      <c r="G8137" s="27">
        <f ca="1">ROUND(E8137*F8137,2)</f>
        <v>0</v>
      </c>
    </row>
    <row r="8138" spans="1:7" ht="30.60" thickBot="1" customHeight="1">
      <c r="A8138" s="24" t="s">
        <v>25727</v>
      </c>
      <c r="B8138" s="24" t="s">
        <v>25728</v>
      </c>
      <c r="C8138" s="24" t="s">
        <v>25729</v>
      </c>
      <c r="D8138" s="25" t="s">
        <v>25730</v>
      </c>
      <c r="E8138" s="28">
        <v>0.50000</v>
      </c>
      <c r="F8138" s="29">
        <f ca="1">ROUND(1.740,3)</f>
        <v>0</v>
      </c>
      <c r="G8138" s="27">
        <f ca="1">ROUND(E8138*F8138,2)</f>
        <v>0</v>
      </c>
    </row>
    <row r="8139" spans="1:7" ht="30.60" thickBot="1" customHeight="1">
      <c r="A8139" s="24" t="s">
        <v>25731</v>
      </c>
      <c r="B8139" s="24" t="s">
        <v>25732</v>
      </c>
      <c r="C8139" s="24" t="s">
        <v>25733</v>
      </c>
      <c r="D8139" s="25" t="s">
        <v>25734</v>
      </c>
      <c r="E8139" s="28">
        <v>1.00000</v>
      </c>
      <c r="F8139" s="29">
        <f ca="1">ROUND(1.280,3)</f>
        <v>0</v>
      </c>
      <c r="G8139" s="27">
        <f ca="1">ROUND(E8139*F8139,2)</f>
        <v>0</v>
      </c>
    </row>
    <row r="8140" spans="1:7" ht="30.60" thickBot="1" customHeight="1">
      <c r="A8140" s="24" t="s">
        <v>25735</v>
      </c>
      <c r="B8140" s="24" t="s">
        <v>25736</v>
      </c>
      <c r="C8140" s="24" t="s">
        <v>25737</v>
      </c>
      <c r="D8140" s="25" t="s">
        <v>25738</v>
      </c>
      <c r="E8140" s="28">
        <v>0.20000</v>
      </c>
      <c r="F8140" s="29">
        <f ca="1">ROUND(2.070,3)</f>
        <v>0</v>
      </c>
      <c r="G8140" s="27">
        <f ca="1">ROUND(E8140*F8140,2)</f>
        <v>0</v>
      </c>
    </row>
    <row r="8141" spans="1:7" ht="30.60" thickBot="1" customHeight="1">
      <c r="A8141" s="24" t="s">
        <v>25739</v>
      </c>
      <c r="B8141" s="24" t="s">
        <v>25740</v>
      </c>
      <c r="C8141" s="24" t="s">
        <v>25741</v>
      </c>
      <c r="D8141" s="25" t="s">
        <v>25742</v>
      </c>
      <c r="E8141" s="28">
        <v>0.10000</v>
      </c>
      <c r="F8141" s="29">
        <f ca="1">ROUND(3.100,3)</f>
        <v>0</v>
      </c>
      <c r="G8141" s="27">
        <f ca="1">ROUND(E8141*F8141,2)</f>
        <v>0</v>
      </c>
    </row>
    <row r="8142" spans="1:7" ht="30.60" thickBot="1" customHeight="1">
      <c r="A8142" s="24" t="s">
        <v>25743</v>
      </c>
      <c r="B8142" s="24" t="s">
        <v>25744</v>
      </c>
      <c r="C8142" s="24" t="s">
        <v>25745</v>
      </c>
      <c r="D8142" s="25" t="s">
        <v>25746</v>
      </c>
      <c r="E8142" s="28">
        <v>0.26000</v>
      </c>
      <c r="F8142" s="29">
        <f ca="1">ROUND(4.580,3)</f>
        <v>0</v>
      </c>
      <c r="G8142" s="27">
        <f ca="1">ROUND(E8142*F8142,2)</f>
        <v>0</v>
      </c>
    </row>
    <row r="8143" spans="1:7" ht="30.60" thickBot="1" customHeight="1">
      <c r="A8143" s="24" t="s">
        <v>25747</v>
      </c>
      <c r="B8143" s="24" t="s">
        <v>25748</v>
      </c>
      <c r="C8143" s="24" t="s">
        <v>25749</v>
      </c>
      <c r="D8143" s="25" t="s">
        <v>25750</v>
      </c>
      <c r="E8143" s="28">
        <v>0.04620</v>
      </c>
      <c r="F8143" s="29">
        <f ca="1">ROUND(6.090,3)</f>
        <v>0</v>
      </c>
      <c r="G8143" s="27">
        <f ca="1">ROUND(E8143*F8143,2)</f>
        <v>0</v>
      </c>
    </row>
    <row r="8144" spans="1:7" ht="21.36" thickBot="1" customHeight="1">
      <c r="A8144" s="24" t="s">
        <v>25751</v>
      </c>
      <c r="B8144" s="24" t="s">
        <v>25752</v>
      </c>
      <c r="C8144" s="24" t="s">
        <v>25753</v>
      </c>
      <c r="D8144" s="25" t="s">
        <v>25754</v>
      </c>
      <c r="E8144" s="28">
        <v>0.06000</v>
      </c>
      <c r="F8144" s="29">
        <f ca="1">ROUND(6.490,3)</f>
        <v>0</v>
      </c>
      <c r="G8144" s="27">
        <f ca="1">ROUND(E8144*F8144,2)</f>
        <v>0</v>
      </c>
    </row>
    <row r="8145" spans="1:7" ht="30.60" thickBot="1" customHeight="1">
      <c r="A8145" s="24" t="s">
        <v>25755</v>
      </c>
      <c r="B8145" s="24" t="s">
        <v>25756</v>
      </c>
      <c r="C8145" s="24" t="s">
        <v>25757</v>
      </c>
      <c r="D8145" s="25" t="s">
        <v>25758</v>
      </c>
      <c r="E8145" s="28">
        <v>0.30000</v>
      </c>
      <c r="F8145" s="29">
        <f ca="1">F8147</f>
        <v>0</v>
      </c>
      <c r="G8145" s="27">
        <f ca="1">ROUND(E8145*F8145,2)</f>
        <v>0</v>
      </c>
    </row>
    <row r="8146" spans="1:7" ht="21.36" thickBot="1" customHeight="1">
      <c r="A8146" s="24" t="s">
        <v>25759</v>
      </c>
      <c r="B8146" s="24" t="s">
        <v>25760</v>
      </c>
      <c r="C8146" s="24" t="s">
        <v>25761</v>
      </c>
      <c r="D8146" s="25" t="s">
        <v>25762</v>
      </c>
      <c r="E8146" s="28">
        <v>0.00417</v>
      </c>
      <c r="F8146" s="29">
        <f ca="1">ROUND(188.430,3)</f>
        <v>0</v>
      </c>
      <c r="G8146" s="27">
        <f ca="1">ROUND(E8146*F8146,2)</f>
        <v>0</v>
      </c>
    </row>
    <row r="8147" spans="1:7" ht="15.12" thickBot="1" customHeight="1">
      <c r="A8147" s="26"/>
      <c r="B8147" s="26"/>
      <c r="C8147" s="26"/>
      <c r="D8147" s="24" t="s">
        <v>25763</v>
      </c>
      <c r="E8147" s="28">
        <v>0.30000</v>
      </c>
      <c r="F8147" s="29">
        <f ca="1">ROUND((G8146),3)</f>
        <v>0</v>
      </c>
      <c r="G8147" s="27">
        <f ca="1">ROUND(E8147*F8147,2)</f>
        <v>0</v>
      </c>
    </row>
    <row r="8148" spans="1:7" ht="30.60" thickBot="1" customHeight="1">
      <c r="A8148" s="24" t="s">
        <v>25764</v>
      </c>
      <c r="B8148" s="24" t="s">
        <v>25765</v>
      </c>
      <c r="C8148" s="24" t="s">
        <v>25766</v>
      </c>
      <c r="D8148" s="25" t="s">
        <v>25767</v>
      </c>
      <c r="E8148" s="28">
        <v>0.15000</v>
      </c>
      <c r="F8148" s="29">
        <f ca="1">ROUND(4.920,3)</f>
        <v>0</v>
      </c>
      <c r="G8148" s="27">
        <f ca="1">ROUND(E8148*F8148,2)</f>
        <v>0</v>
      </c>
    </row>
    <row r="8149" spans="1:7" ht="21.36" thickBot="1" customHeight="1">
      <c r="A8149" s="24" t="s">
        <v>25768</v>
      </c>
      <c r="B8149" s="24" t="s">
        <v>25769</v>
      </c>
      <c r="C8149" s="24" t="s">
        <v>25770</v>
      </c>
      <c r="D8149" s="25" t="s">
        <v>25771</v>
      </c>
      <c r="E8149" s="28">
        <v>0.60000</v>
      </c>
      <c r="F8149" s="29">
        <f ca="1">F8153</f>
        <v>0</v>
      </c>
      <c r="G8149" s="27">
        <f ca="1">ROUND(E8149*F8149,2)</f>
        <v>0</v>
      </c>
    </row>
    <row r="8150" spans="1:7" ht="24.36" thickBot="1" customHeight="1">
      <c r="A8150" s="24" t="s">
        <v>25772</v>
      </c>
      <c r="B8150" s="24" t="s">
        <v>25773</v>
      </c>
      <c r="C8150" s="24" t="s">
        <v>25774</v>
      </c>
      <c r="D8150" s="25" t="s">
        <v>25775</v>
      </c>
      <c r="E8150" s="28">
        <v>1.00000</v>
      </c>
      <c r="F8150" s="29">
        <f ca="1">ROUND(21.000,3)</f>
        <v>0</v>
      </c>
      <c r="G8150" s="27">
        <f ca="1">ROUND(E8150*F8150,2)</f>
        <v>0</v>
      </c>
    </row>
    <row r="8151" spans="1:7" ht="24.36" thickBot="1" customHeight="1">
      <c r="A8151" s="24" t="s">
        <v>25776</v>
      </c>
      <c r="B8151" s="24" t="s">
        <v>25777</v>
      </c>
      <c r="C8151" s="24" t="s">
        <v>25778</v>
      </c>
      <c r="D8151" s="25" t="s">
        <v>25779</v>
      </c>
      <c r="E8151" s="28">
        <v>1.00000</v>
      </c>
      <c r="F8151" s="29">
        <f ca="1">ROUND(19.000,3)</f>
        <v>0</v>
      </c>
      <c r="G8151" s="27">
        <f ca="1">ROUND(E8151*F8151,2)</f>
        <v>0</v>
      </c>
    </row>
    <row r="8152" spans="1:7" ht="24.36" thickBot="1" customHeight="1">
      <c r="A8152" s="24" t="s">
        <v>25780</v>
      </c>
      <c r="B8152" s="24" t="s">
        <v>25781</v>
      </c>
      <c r="C8152" s="24" t="s">
        <v>25782</v>
      </c>
      <c r="D8152" s="25" t="s">
        <v>25783</v>
      </c>
      <c r="E8152" s="28">
        <v>0.20000</v>
      </c>
      <c r="F8152" s="29">
        <f ca="1">ROUND(19.000,3)</f>
        <v>0</v>
      </c>
      <c r="G8152" s="27">
        <f ca="1">ROUND(E8152*F8152,2)</f>
        <v>0</v>
      </c>
    </row>
    <row r="8153" spans="1:7" ht="15.12" thickBot="1" customHeight="1">
      <c r="A8153" s="26"/>
      <c r="B8153" s="26"/>
      <c r="C8153" s="26"/>
      <c r="D8153" s="24" t="s">
        <v>25784</v>
      </c>
      <c r="E8153" s="28">
        <v>0.60000</v>
      </c>
      <c r="F8153" s="29">
        <f ca="1">ROUND((G8150+G8151+G8152),3)</f>
        <v>0</v>
      </c>
      <c r="G8153" s="27">
        <f ca="1">ROUND(E8153*F8153,2)</f>
        <v>0</v>
      </c>
    </row>
    <row r="8154" spans="1:7" ht="15.12" thickBot="1" customHeight="1">
      <c r="A8154" s="24" t="s">
        <v>25785</v>
      </c>
      <c r="B8154" s="24"/>
      <c r="C8154" s="24" t="s">
        <v>25786</v>
      </c>
      <c r="D8154" s="25" t="s">
        <v>25787</v>
      </c>
      <c r="E8154" s="28">
        <v>5.00000</v>
      </c>
      <c r="F8154" s="29">
        <f ca="1">ROUND(26.280,3)</f>
        <v>0</v>
      </c>
      <c r="G8154" s="27">
        <f ca="1">ROUND((E8154*F8154)/100,2)</f>
        <v>0</v>
      </c>
    </row>
    <row r="8155" spans="1:7" ht="25.08" thickBot="1" customHeight="1">
      <c r="A8155" s="30"/>
      <c r="B8155" s="30"/>
      <c r="C8155" s="30"/>
      <c r="D8155" s="31" t="s">
        <v>25788</v>
      </c>
      <c r="E8155" s="30"/>
      <c r="F8155" s="33">
        <f ca="1">ROUND((G8137+G8138+G8139+G8140+G8141+G8142+G8143+G8144+G8145+G8148+G8149+G8154)*(1+G2/100),2)</f>
        <v>0</v>
      </c>
      <c r="G8155" s="30"/>
    </row>
    <row r="8156" spans="1:7" ht="15.48" thickBot="1" customHeight="1">
      <c r="A8156" s="42" t="s">
        <v>25789</v>
      </c>
      <c r="B8156" s="42" t="s">
        <v>25790</v>
      </c>
      <c r="C8156" s="43"/>
      <c r="D8156" s="44" t="s">
        <v>25791</v>
      </c>
      <c r="E8156" s="43"/>
      <c r="F8156" s="43"/>
      <c r="G8156" s="43"/>
    </row>
    <row r="8157" spans="1:7" ht="25.08" thickBot="1" customHeight="1">
      <c r="A8157" s="45" t="s">
        <v>25792</v>
      </c>
      <c r="B8157" s="45" t="s">
        <v>25793</v>
      </c>
      <c r="C8157" s="46"/>
      <c r="D8157" s="47" t="s">
        <v>25794</v>
      </c>
      <c r="E8157" s="46"/>
      <c r="F8157" s="46"/>
      <c r="G8157" s="46"/>
    </row>
    <row r="8158" spans="1:7" ht="39.84" thickBot="1" customHeight="1">
      <c r="A8158" s="10" t="s">
        <v>25795</v>
      </c>
      <c r="B8158" s="24" t="s">
        <v>25796</v>
      </c>
      <c r="C8158" s="24" t="s">
        <v>25797</v>
      </c>
      <c r="D8158" s="25" t="s">
        <v>25798</v>
      </c>
      <c r="E8158" s="26"/>
      <c r="F8158" s="27">
        <f ca="1">F8192</f>
        <v>0</v>
      </c>
      <c r="G8158" s="26"/>
    </row>
    <row r="8159" spans="1:7" ht="141.48" thickBot="1" customHeight="1">
      <c r="A8159" s="26"/>
      <c r="B8159" s="26"/>
      <c r="C8159" s="26"/>
      <c r="D8159" s="25" t="s">
        <v>25799</v>
      </c>
      <c r="E8159" s="25"/>
      <c r="F8159" s="25"/>
      <c r="G8159" s="25"/>
    </row>
    <row r="8160" spans="1:7" ht="30.60" thickBot="1" customHeight="1">
      <c r="A8160" s="24" t="s">
        <v>25800</v>
      </c>
      <c r="B8160" s="24" t="s">
        <v>25801</v>
      </c>
      <c r="C8160" s="24" t="s">
        <v>25802</v>
      </c>
      <c r="D8160" s="25" t="s">
        <v>25803</v>
      </c>
      <c r="E8160" s="28">
        <v>1.20000</v>
      </c>
      <c r="F8160" s="29">
        <f ca="1">F8163</f>
        <v>0</v>
      </c>
      <c r="G8160" s="27">
        <f ca="1">ROUND(E8160*F8160,2)</f>
        <v>0</v>
      </c>
    </row>
    <row r="8161" spans="1:7" ht="21.36" thickBot="1" customHeight="1">
      <c r="A8161" s="24" t="s">
        <v>25804</v>
      </c>
      <c r="B8161" s="24" t="s">
        <v>25805</v>
      </c>
      <c r="C8161" s="24" t="s">
        <v>25806</v>
      </c>
      <c r="D8161" s="25" t="s">
        <v>25807</v>
      </c>
      <c r="E8161" s="28">
        <v>0.30000</v>
      </c>
      <c r="F8161" s="29">
        <f ca="1">ROUND(43.800,3)</f>
        <v>0</v>
      </c>
      <c r="G8161" s="27">
        <f ca="1">ROUND(E8161*F8161,2)</f>
        <v>0</v>
      </c>
    </row>
    <row r="8162" spans="1:7" ht="15.12" thickBot="1" customHeight="1">
      <c r="A8162" s="24" t="s">
        <v>25808</v>
      </c>
      <c r="B8162" s="24"/>
      <c r="C8162" s="24" t="s">
        <v>25809</v>
      </c>
      <c r="D8162" s="25" t="s">
        <v>25810</v>
      </c>
      <c r="E8162" s="28">
        <v>3.00000</v>
      </c>
      <c r="F8162" s="29">
        <f ca="1">ROUND(13.140,3)</f>
        <v>0</v>
      </c>
      <c r="G8162" s="27">
        <f ca="1">ROUND((E8162*F8162)/100,2)</f>
        <v>0</v>
      </c>
    </row>
    <row r="8163" spans="1:7" ht="15.12" thickBot="1" customHeight="1">
      <c r="A8163" s="26"/>
      <c r="B8163" s="26"/>
      <c r="C8163" s="26"/>
      <c r="D8163" s="24" t="s">
        <v>25811</v>
      </c>
      <c r="E8163" s="28">
        <v>1.20000</v>
      </c>
      <c r="F8163" s="29">
        <f ca="1">ROUND((G8161+G8162),3)</f>
        <v>0</v>
      </c>
      <c r="G8163" s="27">
        <f ca="1">ROUND(E8163*F8163,2)</f>
        <v>0</v>
      </c>
    </row>
    <row r="8164" spans="1:7" ht="24.36" thickBot="1" customHeight="1">
      <c r="A8164" s="24" t="s">
        <v>25812</v>
      </c>
      <c r="B8164" s="24" t="s">
        <v>25813</v>
      </c>
      <c r="C8164" s="24" t="s">
        <v>25814</v>
      </c>
      <c r="D8164" s="25" t="s">
        <v>25815</v>
      </c>
      <c r="E8164" s="28">
        <v>1.20000</v>
      </c>
      <c r="F8164" s="29">
        <f ca="1">F8169</f>
        <v>0</v>
      </c>
      <c r="G8164" s="27">
        <f ca="1">ROUND(E8164*F8164,2)</f>
        <v>0</v>
      </c>
    </row>
    <row r="8165" spans="1:7" ht="39.84" thickBot="1" customHeight="1">
      <c r="A8165" s="24" t="s">
        <v>25816</v>
      </c>
      <c r="B8165" s="24" t="s">
        <v>25817</v>
      </c>
      <c r="C8165" s="24" t="s">
        <v>25818</v>
      </c>
      <c r="D8165" s="25" t="s">
        <v>25819</v>
      </c>
      <c r="E8165" s="28">
        <v>0.02000</v>
      </c>
      <c r="F8165" s="29">
        <f ca="1">ROUND(9.130,3)</f>
        <v>0</v>
      </c>
      <c r="G8165" s="27">
        <f ca="1">ROUND(E8165*F8165,2)</f>
        <v>0</v>
      </c>
    </row>
    <row r="8166" spans="1:7" ht="24.36" thickBot="1" customHeight="1">
      <c r="A8166" s="24" t="s">
        <v>25820</v>
      </c>
      <c r="B8166" s="24" t="s">
        <v>25821</v>
      </c>
      <c r="C8166" s="24" t="s">
        <v>25822</v>
      </c>
      <c r="D8166" s="25" t="s">
        <v>25823</v>
      </c>
      <c r="E8166" s="28">
        <v>0.16000</v>
      </c>
      <c r="F8166" s="29">
        <f ca="1">ROUND(7.526,3)</f>
        <v>0</v>
      </c>
      <c r="G8166" s="27">
        <f ca="1">ROUND(E8166*F8166,2)</f>
        <v>0</v>
      </c>
    </row>
    <row r="8167" spans="1:7" ht="21.36" thickBot="1" customHeight="1">
      <c r="A8167" s="24" t="s">
        <v>25824</v>
      </c>
      <c r="B8167" s="24" t="s">
        <v>25825</v>
      </c>
      <c r="C8167" s="24" t="s">
        <v>25826</v>
      </c>
      <c r="D8167" s="25" t="s">
        <v>25827</v>
      </c>
      <c r="E8167" s="28">
        <v>0.30000</v>
      </c>
      <c r="F8167" s="29">
        <f ca="1">ROUND(43.800,3)</f>
        <v>0</v>
      </c>
      <c r="G8167" s="27">
        <f ca="1">ROUND(E8167*F8167,2)</f>
        <v>0</v>
      </c>
    </row>
    <row r="8168" spans="1:7" ht="15.12" thickBot="1" customHeight="1">
      <c r="A8168" s="24" t="s">
        <v>25828</v>
      </c>
      <c r="B8168" s="24"/>
      <c r="C8168" s="24" t="s">
        <v>25829</v>
      </c>
      <c r="D8168" s="25" t="s">
        <v>25830</v>
      </c>
      <c r="E8168" s="28">
        <v>5.00000</v>
      </c>
      <c r="F8168" s="29">
        <f ca="1">ROUND(13.140,3)</f>
        <v>0</v>
      </c>
      <c r="G8168" s="27">
        <f ca="1">ROUND((E8168*F8168)/100,2)</f>
        <v>0</v>
      </c>
    </row>
    <row r="8169" spans="1:7" ht="15.12" thickBot="1" customHeight="1">
      <c r="A8169" s="26"/>
      <c r="B8169" s="26"/>
      <c r="C8169" s="26"/>
      <c r="D8169" s="24" t="s">
        <v>25831</v>
      </c>
      <c r="E8169" s="28">
        <v>1.20000</v>
      </c>
      <c r="F8169" s="29">
        <f ca="1">ROUND((G8165+G8166+G8167+G8168),3)</f>
        <v>0</v>
      </c>
      <c r="G8169" s="27">
        <f ca="1">ROUND(E8169*F8169,2)</f>
        <v>0</v>
      </c>
    </row>
    <row r="8170" spans="1:7" ht="49.08" thickBot="1" customHeight="1">
      <c r="A8170" s="24" t="s">
        <v>25832</v>
      </c>
      <c r="B8170" s="24" t="s">
        <v>25833</v>
      </c>
      <c r="C8170" s="24" t="s">
        <v>25834</v>
      </c>
      <c r="D8170" s="25" t="s">
        <v>25835</v>
      </c>
      <c r="E8170" s="28">
        <v>1.20000</v>
      </c>
      <c r="F8170" s="29">
        <f ca="1">F8175</f>
        <v>0</v>
      </c>
      <c r="G8170" s="27">
        <f ca="1">ROUND(E8170*F8170,2)</f>
        <v>0</v>
      </c>
    </row>
    <row r="8171" spans="1:7" ht="49.08" thickBot="1" customHeight="1">
      <c r="A8171" s="24" t="s">
        <v>25836</v>
      </c>
      <c r="B8171" s="24" t="s">
        <v>25837</v>
      </c>
      <c r="C8171" s="24" t="s">
        <v>25838</v>
      </c>
      <c r="D8171" s="25" t="s">
        <v>25839</v>
      </c>
      <c r="E8171" s="28">
        <v>0.17733</v>
      </c>
      <c r="F8171" s="29">
        <f ca="1">ROUND(37.920,3)</f>
        <v>0</v>
      </c>
      <c r="G8171" s="27">
        <f ca="1">ROUND(E8171*F8171,2)</f>
        <v>0</v>
      </c>
    </row>
    <row r="8172" spans="1:7" ht="39.84" thickBot="1" customHeight="1">
      <c r="A8172" s="24" t="s">
        <v>25840</v>
      </c>
      <c r="B8172" s="24" t="s">
        <v>25841</v>
      </c>
      <c r="C8172" s="24" t="s">
        <v>25842</v>
      </c>
      <c r="D8172" s="25" t="s">
        <v>25843</v>
      </c>
      <c r="E8172" s="28">
        <v>0.04433</v>
      </c>
      <c r="F8172" s="29">
        <f ca="1">ROUND(28.950,3)</f>
        <v>0</v>
      </c>
      <c r="G8172" s="27">
        <f ca="1">ROUND(E8172*F8172,2)</f>
        <v>0</v>
      </c>
    </row>
    <row r="8173" spans="1:7" ht="21.36" thickBot="1" customHeight="1">
      <c r="A8173" s="24" t="s">
        <v>25844</v>
      </c>
      <c r="B8173" s="24" t="s">
        <v>25845</v>
      </c>
      <c r="C8173" s="24" t="s">
        <v>25846</v>
      </c>
      <c r="D8173" s="25" t="s">
        <v>25847</v>
      </c>
      <c r="E8173" s="28">
        <v>0.44444</v>
      </c>
      <c r="F8173" s="29">
        <f ca="1">ROUND(43.800,3)</f>
        <v>0</v>
      </c>
      <c r="G8173" s="27">
        <f ca="1">ROUND(E8173*F8173,2)</f>
        <v>0</v>
      </c>
    </row>
    <row r="8174" spans="1:7" ht="15.12" thickBot="1" customHeight="1">
      <c r="A8174" s="24" t="s">
        <v>25848</v>
      </c>
      <c r="B8174" s="24"/>
      <c r="C8174" s="24" t="s">
        <v>25849</v>
      </c>
      <c r="D8174" s="25" t="s">
        <v>25850</v>
      </c>
      <c r="E8174" s="28">
        <v>7.00000</v>
      </c>
      <c r="F8174" s="29">
        <f ca="1">ROUND(19.470,3)</f>
        <v>0</v>
      </c>
      <c r="G8174" s="27">
        <f ca="1">ROUND((E8174*F8174)/100,2)</f>
        <v>0</v>
      </c>
    </row>
    <row r="8175" spans="1:7" ht="15.12" thickBot="1" customHeight="1">
      <c r="A8175" s="26"/>
      <c r="B8175" s="26"/>
      <c r="C8175" s="26"/>
      <c r="D8175" s="24" t="s">
        <v>25851</v>
      </c>
      <c r="E8175" s="28">
        <v>1.20000</v>
      </c>
      <c r="F8175" s="29">
        <f ca="1">ROUND((G8171+G8172+G8173+G8174),3)</f>
        <v>0</v>
      </c>
      <c r="G8175" s="27">
        <f ca="1">ROUND(E8175*F8175,2)</f>
        <v>0</v>
      </c>
    </row>
    <row r="8176" spans="1:7" ht="30.60" thickBot="1" customHeight="1">
      <c r="A8176" s="24" t="s">
        <v>25852</v>
      </c>
      <c r="B8176" s="24" t="s">
        <v>25853</v>
      </c>
      <c r="C8176" s="24" t="s">
        <v>25854</v>
      </c>
      <c r="D8176" s="25" t="s">
        <v>25855</v>
      </c>
      <c r="E8176" s="28">
        <v>1.20000</v>
      </c>
      <c r="F8176" s="29">
        <f ca="1">F8182</f>
        <v>0</v>
      </c>
      <c r="G8176" s="27">
        <f ca="1">ROUND(E8176*F8176,2)</f>
        <v>0</v>
      </c>
    </row>
    <row r="8177" spans="1:7" ht="30.60" thickBot="1" customHeight="1">
      <c r="A8177" s="24" t="s">
        <v>25856</v>
      </c>
      <c r="B8177" s="24" t="s">
        <v>25857</v>
      </c>
      <c r="C8177" s="24" t="s">
        <v>25858</v>
      </c>
      <c r="D8177" s="25" t="s">
        <v>25859</v>
      </c>
      <c r="E8177" s="28">
        <v>28.00000</v>
      </c>
      <c r="F8177" s="29">
        <f ca="1">ROUND(0.400,3)</f>
        <v>0</v>
      </c>
      <c r="G8177" s="27">
        <f ca="1">ROUND(E8177*F8177,2)</f>
        <v>0</v>
      </c>
    </row>
    <row r="8178" spans="1:7" ht="49.08" thickBot="1" customHeight="1">
      <c r="A8178" s="24" t="s">
        <v>25860</v>
      </c>
      <c r="B8178" s="24" t="s">
        <v>25861</v>
      </c>
      <c r="C8178" s="24" t="s">
        <v>25862</v>
      </c>
      <c r="D8178" s="25" t="s">
        <v>25863</v>
      </c>
      <c r="E8178" s="28">
        <v>0.44000</v>
      </c>
      <c r="F8178" s="29">
        <f ca="1">ROUND(10.250,3)</f>
        <v>0</v>
      </c>
      <c r="G8178" s="27">
        <f ca="1">ROUND(E8178*F8178,2)</f>
        <v>0</v>
      </c>
    </row>
    <row r="8179" spans="1:7" ht="30.60" thickBot="1" customHeight="1">
      <c r="A8179" s="24" t="s">
        <v>25864</v>
      </c>
      <c r="B8179" s="24" t="s">
        <v>25865</v>
      </c>
      <c r="C8179" s="24" t="s">
        <v>25866</v>
      </c>
      <c r="D8179" s="25" t="s">
        <v>25867</v>
      </c>
      <c r="E8179" s="28">
        <v>0.22000</v>
      </c>
      <c r="F8179" s="29">
        <f ca="1">ROUND(11.000,3)</f>
        <v>0</v>
      </c>
      <c r="G8179" s="27">
        <f ca="1">ROUND(E8179*F8179,2)</f>
        <v>0</v>
      </c>
    </row>
    <row r="8180" spans="1:7" ht="21.36" thickBot="1" customHeight="1">
      <c r="A8180" s="24" t="s">
        <v>25868</v>
      </c>
      <c r="B8180" s="24" t="s">
        <v>25869</v>
      </c>
      <c r="C8180" s="24" t="s">
        <v>25870</v>
      </c>
      <c r="D8180" s="25" t="s">
        <v>25871</v>
      </c>
      <c r="E8180" s="28">
        <v>0.60000</v>
      </c>
      <c r="F8180" s="29">
        <f ca="1">ROUND(43.800,3)</f>
        <v>0</v>
      </c>
      <c r="G8180" s="27">
        <f ca="1">ROUND(E8180*F8180,2)</f>
        <v>0</v>
      </c>
    </row>
    <row r="8181" spans="1:7" ht="15.12" thickBot="1" customHeight="1">
      <c r="A8181" s="24" t="s">
        <v>25872</v>
      </c>
      <c r="B8181" s="24"/>
      <c r="C8181" s="24" t="s">
        <v>25873</v>
      </c>
      <c r="D8181" s="25" t="s">
        <v>25874</v>
      </c>
      <c r="E8181" s="28">
        <v>5.00000</v>
      </c>
      <c r="F8181" s="29">
        <f ca="1">ROUND(26.280,3)</f>
        <v>0</v>
      </c>
      <c r="G8181" s="27">
        <f ca="1">ROUND((E8181*F8181)/100,2)</f>
        <v>0</v>
      </c>
    </row>
    <row r="8182" spans="1:7" ht="15.12" thickBot="1" customHeight="1">
      <c r="A8182" s="26"/>
      <c r="B8182" s="26"/>
      <c r="C8182" s="26"/>
      <c r="D8182" s="24" t="s">
        <v>25875</v>
      </c>
      <c r="E8182" s="28">
        <v>1.20000</v>
      </c>
      <c r="F8182" s="29">
        <f ca="1">ROUND((G8177+G8178+G8179+G8180+G8181),3)</f>
        <v>0</v>
      </c>
      <c r="G8182" s="27">
        <f ca="1">ROUND(E8182*F8182,2)</f>
        <v>0</v>
      </c>
    </row>
    <row r="8183" spans="1:7" ht="30.60" thickBot="1" customHeight="1">
      <c r="A8183" s="24" t="s">
        <v>25876</v>
      </c>
      <c r="B8183" s="24" t="s">
        <v>25877</v>
      </c>
      <c r="C8183" s="24" t="s">
        <v>25878</v>
      </c>
      <c r="D8183" s="25" t="s">
        <v>25879</v>
      </c>
      <c r="E8183" s="28">
        <v>0.20000</v>
      </c>
      <c r="F8183" s="29">
        <f ca="1">ROUND(3.700,3)</f>
        <v>0</v>
      </c>
      <c r="G8183" s="27">
        <f ca="1">ROUND(E8183*F8183,2)</f>
        <v>0</v>
      </c>
    </row>
    <row r="8184" spans="1:7" ht="30.60" thickBot="1" customHeight="1">
      <c r="A8184" s="24" t="s">
        <v>25880</v>
      </c>
      <c r="B8184" s="24" t="s">
        <v>25881</v>
      </c>
      <c r="C8184" s="24" t="s">
        <v>25882</v>
      </c>
      <c r="D8184" s="25" t="s">
        <v>25883</v>
      </c>
      <c r="E8184" s="28">
        <v>0.50000</v>
      </c>
      <c r="F8184" s="29">
        <f ca="1">ROUND(4.580,3)</f>
        <v>0</v>
      </c>
      <c r="G8184" s="27">
        <f ca="1">ROUND(E8184*F8184,2)</f>
        <v>0</v>
      </c>
    </row>
    <row r="8185" spans="1:7" ht="21.36" thickBot="1" customHeight="1">
      <c r="A8185" s="24" t="s">
        <v>25884</v>
      </c>
      <c r="B8185" s="24" t="s">
        <v>25885</v>
      </c>
      <c r="C8185" s="24" t="s">
        <v>25886</v>
      </c>
      <c r="D8185" s="25" t="s">
        <v>25887</v>
      </c>
      <c r="E8185" s="28">
        <v>0.20000</v>
      </c>
      <c r="F8185" s="29">
        <f ca="1">ROUND(1.320,3)</f>
        <v>0</v>
      </c>
      <c r="G8185" s="27">
        <f ca="1">ROUND(E8185*F8185,2)</f>
        <v>0</v>
      </c>
    </row>
    <row r="8186" spans="1:7" ht="21.36" thickBot="1" customHeight="1">
      <c r="A8186" s="24" t="s">
        <v>25888</v>
      </c>
      <c r="B8186" s="24" t="s">
        <v>25889</v>
      </c>
      <c r="C8186" s="24" t="s">
        <v>25890</v>
      </c>
      <c r="D8186" s="25" t="s">
        <v>25891</v>
      </c>
      <c r="E8186" s="28">
        <v>3.00000</v>
      </c>
      <c r="F8186" s="29">
        <f ca="1">F8190</f>
        <v>0</v>
      </c>
      <c r="G8186" s="27">
        <f ca="1">ROUND(E8186*F8186,2)</f>
        <v>0</v>
      </c>
    </row>
    <row r="8187" spans="1:7" ht="24.36" thickBot="1" customHeight="1">
      <c r="A8187" s="24" t="s">
        <v>25892</v>
      </c>
      <c r="B8187" s="24" t="s">
        <v>25893</v>
      </c>
      <c r="C8187" s="24" t="s">
        <v>25894</v>
      </c>
      <c r="D8187" s="25" t="s">
        <v>25895</v>
      </c>
      <c r="E8187" s="28">
        <v>1.00000</v>
      </c>
      <c r="F8187" s="29">
        <f ca="1">ROUND(21.000,3)</f>
        <v>0</v>
      </c>
      <c r="G8187" s="27">
        <f ca="1">ROUND(E8187*F8187,2)</f>
        <v>0</v>
      </c>
    </row>
    <row r="8188" spans="1:7" ht="24.36" thickBot="1" customHeight="1">
      <c r="A8188" s="24" t="s">
        <v>25896</v>
      </c>
      <c r="B8188" s="24" t="s">
        <v>25897</v>
      </c>
      <c r="C8188" s="24" t="s">
        <v>25898</v>
      </c>
      <c r="D8188" s="25" t="s">
        <v>25899</v>
      </c>
      <c r="E8188" s="28">
        <v>1.00000</v>
      </c>
      <c r="F8188" s="29">
        <f ca="1">ROUND(19.000,3)</f>
        <v>0</v>
      </c>
      <c r="G8188" s="27">
        <f ca="1">ROUND(E8188*F8188,2)</f>
        <v>0</v>
      </c>
    </row>
    <row r="8189" spans="1:7" ht="24.36" thickBot="1" customHeight="1">
      <c r="A8189" s="24" t="s">
        <v>25900</v>
      </c>
      <c r="B8189" s="24" t="s">
        <v>25901</v>
      </c>
      <c r="C8189" s="24" t="s">
        <v>25902</v>
      </c>
      <c r="D8189" s="25" t="s">
        <v>25903</v>
      </c>
      <c r="E8189" s="28">
        <v>0.20000</v>
      </c>
      <c r="F8189" s="29">
        <f ca="1">ROUND(19.000,3)</f>
        <v>0</v>
      </c>
      <c r="G8189" s="27">
        <f ca="1">ROUND(E8189*F8189,2)</f>
        <v>0</v>
      </c>
    </row>
    <row r="8190" spans="1:7" ht="15.12" thickBot="1" customHeight="1">
      <c r="A8190" s="26"/>
      <c r="B8190" s="26"/>
      <c r="C8190" s="26"/>
      <c r="D8190" s="24" t="s">
        <v>25904</v>
      </c>
      <c r="E8190" s="28">
        <v>3.00000</v>
      </c>
      <c r="F8190" s="29">
        <f ca="1">ROUND((G8187+G8188+G8189),3)</f>
        <v>0</v>
      </c>
      <c r="G8190" s="27">
        <f ca="1">ROUND(E8190*F8190,2)</f>
        <v>0</v>
      </c>
    </row>
    <row r="8191" spans="1:7" ht="15.12" thickBot="1" customHeight="1">
      <c r="A8191" s="24" t="s">
        <v>25905</v>
      </c>
      <c r="B8191" s="24"/>
      <c r="C8191" s="24" t="s">
        <v>25906</v>
      </c>
      <c r="D8191" s="25" t="s">
        <v>25907</v>
      </c>
      <c r="E8191" s="28">
        <v>5.00000</v>
      </c>
      <c r="F8191" s="29">
        <f ca="1">ROUND(131.400,3)</f>
        <v>0</v>
      </c>
      <c r="G8191" s="27">
        <f ca="1">ROUND((E8191*F8191)/100,2)</f>
        <v>0</v>
      </c>
    </row>
    <row r="8192" spans="1:7" ht="15.48" thickBot="1" customHeight="1">
      <c r="A8192" s="30"/>
      <c r="B8192" s="30"/>
      <c r="C8192" s="30"/>
      <c r="D8192" s="31" t="s">
        <v>25908</v>
      </c>
      <c r="E8192" s="30"/>
      <c r="F8192" s="33">
        <f ca="1">ROUND((G8160+G8164+G8170+G8176+G8183+G8184+G8185+G8186+G8191)*(1+G2/100),2)</f>
        <v>0</v>
      </c>
      <c r="G8192" s="30"/>
    </row>
    <row r="8193" spans="1:7" ht="39.84" thickBot="1" customHeight="1">
      <c r="A8193" s="34" t="s">
        <v>25909</v>
      </c>
      <c r="B8193" s="35" t="s">
        <v>25910</v>
      </c>
      <c r="C8193" s="35" t="s">
        <v>25911</v>
      </c>
      <c r="D8193" s="36" t="s">
        <v>25912</v>
      </c>
      <c r="E8193" s="37"/>
      <c r="F8193" s="38">
        <f ca="1">F8221</f>
        <v>0</v>
      </c>
      <c r="G8193" s="37"/>
    </row>
    <row r="8194" spans="1:7" ht="113.76" thickBot="1" customHeight="1">
      <c r="A8194" s="26"/>
      <c r="B8194" s="26"/>
      <c r="C8194" s="26"/>
      <c r="D8194" s="25" t="s">
        <v>25913</v>
      </c>
      <c r="E8194" s="25"/>
      <c r="F8194" s="25"/>
      <c r="G8194" s="25"/>
    </row>
    <row r="8195" spans="1:7" ht="30.60" thickBot="1" customHeight="1">
      <c r="A8195" s="24" t="s">
        <v>25914</v>
      </c>
      <c r="B8195" s="24" t="s">
        <v>25915</v>
      </c>
      <c r="C8195" s="24" t="s">
        <v>25916</v>
      </c>
      <c r="D8195" s="25" t="s">
        <v>25917</v>
      </c>
      <c r="E8195" s="28">
        <v>1.00000</v>
      </c>
      <c r="F8195" s="29">
        <f ca="1">F8198</f>
        <v>0</v>
      </c>
      <c r="G8195" s="27">
        <f ca="1">ROUND(E8195*F8195,2)</f>
        <v>0</v>
      </c>
    </row>
    <row r="8196" spans="1:7" ht="21.36" thickBot="1" customHeight="1">
      <c r="A8196" s="24" t="s">
        <v>25918</v>
      </c>
      <c r="B8196" s="24" t="s">
        <v>25919</v>
      </c>
      <c r="C8196" s="24" t="s">
        <v>25920</v>
      </c>
      <c r="D8196" s="25" t="s">
        <v>25921</v>
      </c>
      <c r="E8196" s="28">
        <v>0.30000</v>
      </c>
      <c r="F8196" s="29">
        <f ca="1">ROUND(43.800,3)</f>
        <v>0</v>
      </c>
      <c r="G8196" s="27">
        <f ca="1">ROUND(E8196*F8196,2)</f>
        <v>0</v>
      </c>
    </row>
    <row r="8197" spans="1:7" ht="15.12" thickBot="1" customHeight="1">
      <c r="A8197" s="24" t="s">
        <v>25922</v>
      </c>
      <c r="B8197" s="24"/>
      <c r="C8197" s="24" t="s">
        <v>25923</v>
      </c>
      <c r="D8197" s="25" t="s">
        <v>25924</v>
      </c>
      <c r="E8197" s="28">
        <v>3.00000</v>
      </c>
      <c r="F8197" s="29">
        <f ca="1">ROUND(13.140,3)</f>
        <v>0</v>
      </c>
      <c r="G8197" s="27">
        <f ca="1">ROUND((E8197*F8197)/100,2)</f>
        <v>0</v>
      </c>
    </row>
    <row r="8198" spans="1:7" ht="15.12" thickBot="1" customHeight="1">
      <c r="A8198" s="26"/>
      <c r="B8198" s="26"/>
      <c r="C8198" s="26"/>
      <c r="D8198" s="24" t="s">
        <v>25925</v>
      </c>
      <c r="E8198" s="28">
        <v>1.00000</v>
      </c>
      <c r="F8198" s="29">
        <f ca="1">ROUND((G8196+G8197),3)</f>
        <v>0</v>
      </c>
      <c r="G8198" s="27">
        <f ca="1">ROUND(E8198*F8198,2)</f>
        <v>0</v>
      </c>
    </row>
    <row r="8199" spans="1:7" ht="24.36" thickBot="1" customHeight="1">
      <c r="A8199" s="24" t="s">
        <v>25926</v>
      </c>
      <c r="B8199" s="24" t="s">
        <v>25927</v>
      </c>
      <c r="C8199" s="24" t="s">
        <v>25928</v>
      </c>
      <c r="D8199" s="25" t="s">
        <v>25929</v>
      </c>
      <c r="E8199" s="28">
        <v>1.00000</v>
      </c>
      <c r="F8199" s="29">
        <f ca="1">F8204</f>
        <v>0</v>
      </c>
      <c r="G8199" s="27">
        <f ca="1">ROUND(E8199*F8199,2)</f>
        <v>0</v>
      </c>
    </row>
    <row r="8200" spans="1:7" ht="39.84" thickBot="1" customHeight="1">
      <c r="A8200" s="24" t="s">
        <v>25930</v>
      </c>
      <c r="B8200" s="24" t="s">
        <v>25931</v>
      </c>
      <c r="C8200" s="24" t="s">
        <v>25932</v>
      </c>
      <c r="D8200" s="25" t="s">
        <v>25933</v>
      </c>
      <c r="E8200" s="28">
        <v>0.02000</v>
      </c>
      <c r="F8200" s="29">
        <f ca="1">ROUND(9.130,3)</f>
        <v>0</v>
      </c>
      <c r="G8200" s="27">
        <f ca="1">ROUND(E8200*F8200,2)</f>
        <v>0</v>
      </c>
    </row>
    <row r="8201" spans="1:7" ht="24.36" thickBot="1" customHeight="1">
      <c r="A8201" s="24" t="s">
        <v>25934</v>
      </c>
      <c r="B8201" s="24" t="s">
        <v>25935</v>
      </c>
      <c r="C8201" s="24" t="s">
        <v>25936</v>
      </c>
      <c r="D8201" s="25" t="s">
        <v>25937</v>
      </c>
      <c r="E8201" s="28">
        <v>0.16000</v>
      </c>
      <c r="F8201" s="29">
        <f ca="1">ROUND(7.526,3)</f>
        <v>0</v>
      </c>
      <c r="G8201" s="27">
        <f ca="1">ROUND(E8201*F8201,2)</f>
        <v>0</v>
      </c>
    </row>
    <row r="8202" spans="1:7" ht="21.36" thickBot="1" customHeight="1">
      <c r="A8202" s="24" t="s">
        <v>25938</v>
      </c>
      <c r="B8202" s="24" t="s">
        <v>25939</v>
      </c>
      <c r="C8202" s="24" t="s">
        <v>25940</v>
      </c>
      <c r="D8202" s="25" t="s">
        <v>25941</v>
      </c>
      <c r="E8202" s="28">
        <v>0.30000</v>
      </c>
      <c r="F8202" s="29">
        <f ca="1">ROUND(43.800,3)</f>
        <v>0</v>
      </c>
      <c r="G8202" s="27">
        <f ca="1">ROUND(E8202*F8202,2)</f>
        <v>0</v>
      </c>
    </row>
    <row r="8203" spans="1:7" ht="15.12" thickBot="1" customHeight="1">
      <c r="A8203" s="24" t="s">
        <v>25942</v>
      </c>
      <c r="B8203" s="24"/>
      <c r="C8203" s="24" t="s">
        <v>25943</v>
      </c>
      <c r="D8203" s="25" t="s">
        <v>25944</v>
      </c>
      <c r="E8203" s="28">
        <v>5.00000</v>
      </c>
      <c r="F8203" s="29">
        <f ca="1">ROUND(13.140,3)</f>
        <v>0</v>
      </c>
      <c r="G8203" s="27">
        <f ca="1">ROUND((E8203*F8203)/100,2)</f>
        <v>0</v>
      </c>
    </row>
    <row r="8204" spans="1:7" ht="15.12" thickBot="1" customHeight="1">
      <c r="A8204" s="26"/>
      <c r="B8204" s="26"/>
      <c r="C8204" s="26"/>
      <c r="D8204" s="24" t="s">
        <v>25945</v>
      </c>
      <c r="E8204" s="28">
        <v>1.00000</v>
      </c>
      <c r="F8204" s="29">
        <f ca="1">ROUND((G8200+G8201+G8202+G8203),3)</f>
        <v>0</v>
      </c>
      <c r="G8204" s="27">
        <f ca="1">ROUND(E8204*F8204,2)</f>
        <v>0</v>
      </c>
    </row>
    <row r="8205" spans="1:7" ht="30.60" thickBot="1" customHeight="1">
      <c r="A8205" s="24" t="s">
        <v>25946</v>
      </c>
      <c r="B8205" s="24" t="s">
        <v>25947</v>
      </c>
      <c r="C8205" s="24" t="s">
        <v>25948</v>
      </c>
      <c r="D8205" s="25" t="s">
        <v>25949</v>
      </c>
      <c r="E8205" s="28">
        <v>1.00000</v>
      </c>
      <c r="F8205" s="29">
        <f ca="1">F8211</f>
        <v>0</v>
      </c>
      <c r="G8205" s="27">
        <f ca="1">ROUND(E8205*F8205,2)</f>
        <v>0</v>
      </c>
    </row>
    <row r="8206" spans="1:7" ht="30.60" thickBot="1" customHeight="1">
      <c r="A8206" s="24" t="s">
        <v>25950</v>
      </c>
      <c r="B8206" s="24" t="s">
        <v>25951</v>
      </c>
      <c r="C8206" s="24" t="s">
        <v>25952</v>
      </c>
      <c r="D8206" s="25" t="s">
        <v>25953</v>
      </c>
      <c r="E8206" s="28">
        <v>28.00000</v>
      </c>
      <c r="F8206" s="29">
        <f ca="1">ROUND(0.400,3)</f>
        <v>0</v>
      </c>
      <c r="G8206" s="27">
        <f ca="1">ROUND(E8206*F8206,2)</f>
        <v>0</v>
      </c>
    </row>
    <row r="8207" spans="1:7" ht="49.08" thickBot="1" customHeight="1">
      <c r="A8207" s="24" t="s">
        <v>25954</v>
      </c>
      <c r="B8207" s="24" t="s">
        <v>25955</v>
      </c>
      <c r="C8207" s="24" t="s">
        <v>25956</v>
      </c>
      <c r="D8207" s="25" t="s">
        <v>25957</v>
      </c>
      <c r="E8207" s="28">
        <v>0.44000</v>
      </c>
      <c r="F8207" s="29">
        <f ca="1">ROUND(10.250,3)</f>
        <v>0</v>
      </c>
      <c r="G8207" s="27">
        <f ca="1">ROUND(E8207*F8207,2)</f>
        <v>0</v>
      </c>
    </row>
    <row r="8208" spans="1:7" ht="30.60" thickBot="1" customHeight="1">
      <c r="A8208" s="24" t="s">
        <v>25958</v>
      </c>
      <c r="B8208" s="24" t="s">
        <v>25959</v>
      </c>
      <c r="C8208" s="24" t="s">
        <v>25960</v>
      </c>
      <c r="D8208" s="25" t="s">
        <v>25961</v>
      </c>
      <c r="E8208" s="28">
        <v>0.22000</v>
      </c>
      <c r="F8208" s="29">
        <f ca="1">ROUND(11.000,3)</f>
        <v>0</v>
      </c>
      <c r="G8208" s="27">
        <f ca="1">ROUND(E8208*F8208,2)</f>
        <v>0</v>
      </c>
    </row>
    <row r="8209" spans="1:7" ht="21.36" thickBot="1" customHeight="1">
      <c r="A8209" s="24" t="s">
        <v>25962</v>
      </c>
      <c r="B8209" s="24" t="s">
        <v>25963</v>
      </c>
      <c r="C8209" s="24" t="s">
        <v>25964</v>
      </c>
      <c r="D8209" s="25" t="s">
        <v>25965</v>
      </c>
      <c r="E8209" s="28">
        <v>0.60000</v>
      </c>
      <c r="F8209" s="29">
        <f ca="1">ROUND(43.800,3)</f>
        <v>0</v>
      </c>
      <c r="G8209" s="27">
        <f ca="1">ROUND(E8209*F8209,2)</f>
        <v>0</v>
      </c>
    </row>
    <row r="8210" spans="1:7" ht="15.12" thickBot="1" customHeight="1">
      <c r="A8210" s="24" t="s">
        <v>25966</v>
      </c>
      <c r="B8210" s="24"/>
      <c r="C8210" s="24" t="s">
        <v>25967</v>
      </c>
      <c r="D8210" s="25" t="s">
        <v>25968</v>
      </c>
      <c r="E8210" s="28">
        <v>5.00000</v>
      </c>
      <c r="F8210" s="29">
        <f ca="1">ROUND(26.280,3)</f>
        <v>0</v>
      </c>
      <c r="G8210" s="27">
        <f ca="1">ROUND((E8210*F8210)/100,2)</f>
        <v>0</v>
      </c>
    </row>
    <row r="8211" spans="1:7" ht="15.12" thickBot="1" customHeight="1">
      <c r="A8211" s="26"/>
      <c r="B8211" s="26"/>
      <c r="C8211" s="26"/>
      <c r="D8211" s="24" t="s">
        <v>25969</v>
      </c>
      <c r="E8211" s="28">
        <v>1.00000</v>
      </c>
      <c r="F8211" s="29">
        <f ca="1">ROUND((G8206+G8207+G8208+G8209+G8210),3)</f>
        <v>0</v>
      </c>
      <c r="G8211" s="27">
        <f ca="1">ROUND(E8211*F8211,2)</f>
        <v>0</v>
      </c>
    </row>
    <row r="8212" spans="1:7" ht="30.60" thickBot="1" customHeight="1">
      <c r="A8212" s="24" t="s">
        <v>25970</v>
      </c>
      <c r="B8212" s="24" t="s">
        <v>25971</v>
      </c>
      <c r="C8212" s="24" t="s">
        <v>25972</v>
      </c>
      <c r="D8212" s="25" t="s">
        <v>25973</v>
      </c>
      <c r="E8212" s="28">
        <v>0.20000</v>
      </c>
      <c r="F8212" s="29">
        <f ca="1">ROUND(3.700,3)</f>
        <v>0</v>
      </c>
      <c r="G8212" s="27">
        <f ca="1">ROUND(E8212*F8212,2)</f>
        <v>0</v>
      </c>
    </row>
    <row r="8213" spans="1:7" ht="30.60" thickBot="1" customHeight="1">
      <c r="A8213" s="24" t="s">
        <v>25974</v>
      </c>
      <c r="B8213" s="24" t="s">
        <v>25975</v>
      </c>
      <c r="C8213" s="24" t="s">
        <v>25976</v>
      </c>
      <c r="D8213" s="25" t="s">
        <v>25977</v>
      </c>
      <c r="E8213" s="28">
        <v>0.50000</v>
      </c>
      <c r="F8213" s="29">
        <f ca="1">ROUND(4.580,3)</f>
        <v>0</v>
      </c>
      <c r="G8213" s="27">
        <f ca="1">ROUND(E8213*F8213,2)</f>
        <v>0</v>
      </c>
    </row>
    <row r="8214" spans="1:7" ht="21.36" thickBot="1" customHeight="1">
      <c r="A8214" s="24" t="s">
        <v>25978</v>
      </c>
      <c r="B8214" s="24" t="s">
        <v>25979</v>
      </c>
      <c r="C8214" s="24" t="s">
        <v>25980</v>
      </c>
      <c r="D8214" s="25" t="s">
        <v>25981</v>
      </c>
      <c r="E8214" s="28">
        <v>0.20000</v>
      </c>
      <c r="F8214" s="29">
        <f ca="1">ROUND(1.320,3)</f>
        <v>0</v>
      </c>
      <c r="G8214" s="27">
        <f ca="1">ROUND(E8214*F8214,2)</f>
        <v>0</v>
      </c>
    </row>
    <row r="8215" spans="1:7" ht="21.36" thickBot="1" customHeight="1">
      <c r="A8215" s="24" t="s">
        <v>25982</v>
      </c>
      <c r="B8215" s="24" t="s">
        <v>25983</v>
      </c>
      <c r="C8215" s="24" t="s">
        <v>25984</v>
      </c>
      <c r="D8215" s="25" t="s">
        <v>25985</v>
      </c>
      <c r="E8215" s="28">
        <v>1.50000</v>
      </c>
      <c r="F8215" s="29">
        <f ca="1">F8219</f>
        <v>0</v>
      </c>
      <c r="G8215" s="27">
        <f ca="1">ROUND(E8215*F8215,2)</f>
        <v>0</v>
      </c>
    </row>
    <row r="8216" spans="1:7" ht="24.36" thickBot="1" customHeight="1">
      <c r="A8216" s="24" t="s">
        <v>25986</v>
      </c>
      <c r="B8216" s="24" t="s">
        <v>25987</v>
      </c>
      <c r="C8216" s="24" t="s">
        <v>25988</v>
      </c>
      <c r="D8216" s="25" t="s">
        <v>25989</v>
      </c>
      <c r="E8216" s="28">
        <v>1.00000</v>
      </c>
      <c r="F8216" s="29">
        <f ca="1">ROUND(21.000,3)</f>
        <v>0</v>
      </c>
      <c r="G8216" s="27">
        <f ca="1">ROUND(E8216*F8216,2)</f>
        <v>0</v>
      </c>
    </row>
    <row r="8217" spans="1:7" ht="24.36" thickBot="1" customHeight="1">
      <c r="A8217" s="24" t="s">
        <v>25990</v>
      </c>
      <c r="B8217" s="24" t="s">
        <v>25991</v>
      </c>
      <c r="C8217" s="24" t="s">
        <v>25992</v>
      </c>
      <c r="D8217" s="25" t="s">
        <v>25993</v>
      </c>
      <c r="E8217" s="28">
        <v>1.00000</v>
      </c>
      <c r="F8217" s="29">
        <f ca="1">ROUND(19.000,3)</f>
        <v>0</v>
      </c>
      <c r="G8217" s="27">
        <f ca="1">ROUND(E8217*F8217,2)</f>
        <v>0</v>
      </c>
    </row>
    <row r="8218" spans="1:7" ht="24.36" thickBot="1" customHeight="1">
      <c r="A8218" s="24" t="s">
        <v>25994</v>
      </c>
      <c r="B8218" s="24" t="s">
        <v>25995</v>
      </c>
      <c r="C8218" s="24" t="s">
        <v>25996</v>
      </c>
      <c r="D8218" s="25" t="s">
        <v>25997</v>
      </c>
      <c r="E8218" s="28">
        <v>0.20000</v>
      </c>
      <c r="F8218" s="29">
        <f ca="1">ROUND(19.000,3)</f>
        <v>0</v>
      </c>
      <c r="G8218" s="27">
        <f ca="1">ROUND(E8218*F8218,2)</f>
        <v>0</v>
      </c>
    </row>
    <row r="8219" spans="1:7" ht="15.12" thickBot="1" customHeight="1">
      <c r="A8219" s="26"/>
      <c r="B8219" s="26"/>
      <c r="C8219" s="26"/>
      <c r="D8219" s="24" t="s">
        <v>25998</v>
      </c>
      <c r="E8219" s="28">
        <v>1.50000</v>
      </c>
      <c r="F8219" s="29">
        <f ca="1">ROUND((G8216+G8217+G8218),3)</f>
        <v>0</v>
      </c>
      <c r="G8219" s="27">
        <f ca="1">ROUND(E8219*F8219,2)</f>
        <v>0</v>
      </c>
    </row>
    <row r="8220" spans="1:7" ht="15.12" thickBot="1" customHeight="1">
      <c r="A8220" s="24" t="s">
        <v>25999</v>
      </c>
      <c r="B8220" s="24"/>
      <c r="C8220" s="24" t="s">
        <v>26000</v>
      </c>
      <c r="D8220" s="25" t="s">
        <v>26001</v>
      </c>
      <c r="E8220" s="28">
        <v>5.00000</v>
      </c>
      <c r="F8220" s="29">
        <f ca="1">ROUND(65.700,3)</f>
        <v>0</v>
      </c>
      <c r="G8220" s="27">
        <f ca="1">ROUND((E8220*F8220)/100,2)</f>
        <v>0</v>
      </c>
    </row>
    <row r="8221" spans="1:7" ht="15.48" thickBot="1" customHeight="1">
      <c r="A8221" s="30"/>
      <c r="B8221" s="30"/>
      <c r="C8221" s="30"/>
      <c r="D8221" s="31" t="s">
        <v>26002</v>
      </c>
      <c r="E8221" s="30"/>
      <c r="F8221" s="33">
        <f ca="1">ROUND((G8195+G8199+G8205+G8212+G8213+G8214+G8215+G8220)*(1+G2/100),2)</f>
        <v>0</v>
      </c>
      <c r="G8221" s="30"/>
    </row>
    <row r="8222" spans="1:7" ht="15.48" thickBot="1" customHeight="1">
      <c r="A8222" s="39"/>
      <c r="B8222" s="39"/>
      <c r="C8222" s="39"/>
      <c r="D8222" s="48" t="s">
        <v>26003</v>
      </c>
      <c r="E8222" s="49"/>
      <c r="F8222" s="49"/>
      <c r="G8222" s="49"/>
    </row>
    <row r="8223" spans="1:7" ht="15.48" thickBot="1" customHeight="1">
      <c r="A8223" s="39"/>
      <c r="B8223" s="39"/>
      <c r="C8223" s="39"/>
      <c r="D8223" s="40" t="s">
        <v>26004</v>
      </c>
      <c r="E8223" s="41"/>
      <c r="F8223" s="41"/>
      <c r="G8223" s="41"/>
    </row>
    <row r="8224" spans="1:7" ht="15.48" thickBot="1" customHeight="1">
      <c r="A8224" s="39"/>
      <c r="B8224" s="39"/>
      <c r="C8224" s="39"/>
      <c r="D8224" s="50" t="s">
        <v>26005</v>
      </c>
      <c r="E8224" s="51"/>
      <c r="F8224" s="51"/>
      <c r="G8224" s="51"/>
    </row>
    <row r="8225" spans="1:7" ht="15.48" thickBot="1" customHeight="1">
      <c r="A8225" s="52" t="s">
        <v>26006</v>
      </c>
      <c r="B8225" s="52" t="s">
        <v>26007</v>
      </c>
      <c r="C8225" s="53"/>
      <c r="D8225" s="54" t="s">
        <v>26008</v>
      </c>
      <c r="E8225" s="53"/>
      <c r="F8225" s="53"/>
      <c r="G8225" s="53"/>
    </row>
    <row r="8226" spans="1:7" ht="15.48" thickBot="1" customHeight="1">
      <c r="A8226" s="10" t="s">
        <v>26009</v>
      </c>
      <c r="B8226" s="24" t="s">
        <v>26010</v>
      </c>
      <c r="C8226" s="24" t="s">
        <v>26011</v>
      </c>
      <c r="D8226" s="25" t="s">
        <v>26012</v>
      </c>
      <c r="E8226" s="26"/>
      <c r="F8226" s="27">
        <f ca="1">F8237</f>
        <v>0</v>
      </c>
      <c r="G8226" s="26"/>
    </row>
    <row r="8227" spans="1:7" ht="76.80" thickBot="1" customHeight="1">
      <c r="A8227" s="26"/>
      <c r="B8227" s="26"/>
      <c r="C8227" s="26"/>
      <c r="D8227" s="25" t="s">
        <v>26013</v>
      </c>
      <c r="E8227" s="25"/>
      <c r="F8227" s="25"/>
      <c r="G8227" s="25"/>
    </row>
    <row r="8228" spans="1:7" ht="30.60" thickBot="1" customHeight="1">
      <c r="A8228" s="24" t="s">
        <v>26014</v>
      </c>
      <c r="B8228" s="24" t="s">
        <v>26015</v>
      </c>
      <c r="C8228" s="24" t="s">
        <v>26016</v>
      </c>
      <c r="D8228" s="25" t="s">
        <v>26017</v>
      </c>
      <c r="E8228" s="28">
        <v>0.50000</v>
      </c>
      <c r="F8228" s="29">
        <f ca="1">ROUND(1.875,3)</f>
        <v>0</v>
      </c>
      <c r="G8228" s="27">
        <f ca="1">ROUND(E8228*F8228,2)</f>
        <v>0</v>
      </c>
    </row>
    <row r="8229" spans="1:7" ht="39.84" thickBot="1" customHeight="1">
      <c r="A8229" s="24" t="s">
        <v>26018</v>
      </c>
      <c r="B8229" s="24" t="s">
        <v>26019</v>
      </c>
      <c r="C8229" s="24" t="s">
        <v>26020</v>
      </c>
      <c r="D8229" s="25" t="s">
        <v>26021</v>
      </c>
      <c r="E8229" s="28">
        <v>0.50000</v>
      </c>
      <c r="F8229" s="29">
        <f ca="1">ROUND(2.000,3)</f>
        <v>0</v>
      </c>
      <c r="G8229" s="27">
        <f ca="1">ROUND(E8229*F8229,2)</f>
        <v>0</v>
      </c>
    </row>
    <row r="8230" spans="1:7" ht="39.84" thickBot="1" customHeight="1">
      <c r="A8230" s="24" t="s">
        <v>26022</v>
      </c>
      <c r="B8230" s="24" t="s">
        <v>26023</v>
      </c>
      <c r="C8230" s="24" t="s">
        <v>26024</v>
      </c>
      <c r="D8230" s="25" t="s">
        <v>26025</v>
      </c>
      <c r="E8230" s="28">
        <v>0.50000</v>
      </c>
      <c r="F8230" s="29">
        <f ca="1">ROUND(7.565,3)</f>
        <v>0</v>
      </c>
      <c r="G8230" s="27">
        <f ca="1">ROUND(E8230*F8230,2)</f>
        <v>0</v>
      </c>
    </row>
    <row r="8231" spans="1:7" ht="21.36" thickBot="1" customHeight="1">
      <c r="A8231" s="24" t="s">
        <v>26026</v>
      </c>
      <c r="B8231" s="24" t="s">
        <v>26027</v>
      </c>
      <c r="C8231" s="24" t="s">
        <v>26028</v>
      </c>
      <c r="D8231" s="25" t="s">
        <v>26029</v>
      </c>
      <c r="E8231" s="28">
        <v>0.50000</v>
      </c>
      <c r="F8231" s="29">
        <f ca="1">F8235</f>
        <v>0</v>
      </c>
      <c r="G8231" s="27">
        <f ca="1">ROUND(E8231*F8231,2)</f>
        <v>0</v>
      </c>
    </row>
    <row r="8232" spans="1:7" ht="24.36" thickBot="1" customHeight="1">
      <c r="A8232" s="24" t="s">
        <v>26030</v>
      </c>
      <c r="B8232" s="24" t="s">
        <v>26031</v>
      </c>
      <c r="C8232" s="24" t="s">
        <v>26032</v>
      </c>
      <c r="D8232" s="25" t="s">
        <v>26033</v>
      </c>
      <c r="E8232" s="28">
        <v>1.00000</v>
      </c>
      <c r="F8232" s="29">
        <f ca="1">ROUND(21.000,3)</f>
        <v>0</v>
      </c>
      <c r="G8232" s="27">
        <f ca="1">ROUND(E8232*F8232,2)</f>
        <v>0</v>
      </c>
    </row>
    <row r="8233" spans="1:7" ht="24.36" thickBot="1" customHeight="1">
      <c r="A8233" s="24" t="s">
        <v>26034</v>
      </c>
      <c r="B8233" s="24" t="s">
        <v>26035</v>
      </c>
      <c r="C8233" s="24" t="s">
        <v>26036</v>
      </c>
      <c r="D8233" s="25" t="s">
        <v>26037</v>
      </c>
      <c r="E8233" s="28">
        <v>1.00000</v>
      </c>
      <c r="F8233" s="29">
        <f ca="1">ROUND(19.000,3)</f>
        <v>0</v>
      </c>
      <c r="G8233" s="27">
        <f ca="1">ROUND(E8233*F8233,2)</f>
        <v>0</v>
      </c>
    </row>
    <row r="8234" spans="1:7" ht="24.36" thickBot="1" customHeight="1">
      <c r="A8234" s="24" t="s">
        <v>26038</v>
      </c>
      <c r="B8234" s="24" t="s">
        <v>26039</v>
      </c>
      <c r="C8234" s="24" t="s">
        <v>26040</v>
      </c>
      <c r="D8234" s="25" t="s">
        <v>26041</v>
      </c>
      <c r="E8234" s="28">
        <v>0.20000</v>
      </c>
      <c r="F8234" s="29">
        <f ca="1">ROUND(19.000,3)</f>
        <v>0</v>
      </c>
      <c r="G8234" s="27">
        <f ca="1">ROUND(E8234*F8234,2)</f>
        <v>0</v>
      </c>
    </row>
    <row r="8235" spans="1:7" ht="15.12" thickBot="1" customHeight="1">
      <c r="A8235" s="26"/>
      <c r="B8235" s="26"/>
      <c r="C8235" s="26"/>
      <c r="D8235" s="24" t="s">
        <v>26042</v>
      </c>
      <c r="E8235" s="28">
        <v>0.50000</v>
      </c>
      <c r="F8235" s="29">
        <f ca="1">ROUND((G8232+G8233+G8234),3)</f>
        <v>0</v>
      </c>
      <c r="G8235" s="27">
        <f ca="1">ROUND(E8235*F8235,2)</f>
        <v>0</v>
      </c>
    </row>
    <row r="8236" spans="1:7" ht="15.12" thickBot="1" customHeight="1">
      <c r="A8236" s="24" t="s">
        <v>26043</v>
      </c>
      <c r="B8236" s="24"/>
      <c r="C8236" s="24" t="s">
        <v>26044</v>
      </c>
      <c r="D8236" s="25" t="s">
        <v>26045</v>
      </c>
      <c r="E8236" s="28">
        <v>3.00000</v>
      </c>
      <c r="F8236" s="29">
        <f ca="1">ROUND(21.900,3)</f>
        <v>0</v>
      </c>
      <c r="G8236" s="27">
        <f ca="1">ROUND((E8236*F8236)/100,2)</f>
        <v>0</v>
      </c>
    </row>
    <row r="8237" spans="1:7" ht="15.48" thickBot="1" customHeight="1">
      <c r="A8237" s="30"/>
      <c r="B8237" s="30"/>
      <c r="C8237" s="30"/>
      <c r="D8237" s="31" t="s">
        <v>26046</v>
      </c>
      <c r="E8237" s="30"/>
      <c r="F8237" s="33">
        <f ca="1">ROUND((G8228+G8229+G8230+G8231+G8236)*(1+G2/100),2)</f>
        <v>0</v>
      </c>
      <c r="G8237" s="30"/>
    </row>
    <row r="8238" spans="1:7" ht="21.36" thickBot="1" customHeight="1">
      <c r="A8238" s="34" t="s">
        <v>26047</v>
      </c>
      <c r="B8238" s="35" t="s">
        <v>26048</v>
      </c>
      <c r="C8238" s="35" t="s">
        <v>26049</v>
      </c>
      <c r="D8238" s="36" t="s">
        <v>26050</v>
      </c>
      <c r="E8238" s="37"/>
      <c r="F8238" s="38">
        <f ca="1">F8247</f>
        <v>0</v>
      </c>
      <c r="G8238" s="37"/>
    </row>
    <row r="8239" spans="1:7" ht="39.84" thickBot="1" customHeight="1">
      <c r="A8239" s="26"/>
      <c r="B8239" s="26"/>
      <c r="C8239" s="26"/>
      <c r="D8239" s="25" t="s">
        <v>26051</v>
      </c>
      <c r="E8239" s="25"/>
      <c r="F8239" s="25"/>
      <c r="G8239" s="25"/>
    </row>
    <row r="8240" spans="1:7" ht="30.60" thickBot="1" customHeight="1">
      <c r="A8240" s="24" t="s">
        <v>26052</v>
      </c>
      <c r="B8240" s="24" t="s">
        <v>26053</v>
      </c>
      <c r="C8240" s="24" t="s">
        <v>26054</v>
      </c>
      <c r="D8240" s="25" t="s">
        <v>26055</v>
      </c>
      <c r="E8240" s="28">
        <v>0.08900</v>
      </c>
      <c r="F8240" s="29">
        <f ca="1">ROUND(2.510,3)</f>
        <v>0</v>
      </c>
      <c r="G8240" s="27">
        <f ca="1">ROUND(E8240*F8240,2)</f>
        <v>0</v>
      </c>
    </row>
    <row r="8241" spans="1:7" ht="21.36" thickBot="1" customHeight="1">
      <c r="A8241" s="24" t="s">
        <v>26056</v>
      </c>
      <c r="B8241" s="24" t="s">
        <v>26057</v>
      </c>
      <c r="C8241" s="24" t="s">
        <v>26058</v>
      </c>
      <c r="D8241" s="25" t="s">
        <v>26059</v>
      </c>
      <c r="E8241" s="28">
        <v>1.45000</v>
      </c>
      <c r="F8241" s="29">
        <f ca="1">F8245</f>
        <v>0</v>
      </c>
      <c r="G8241" s="27">
        <f ca="1">ROUND(E8241*F8241,2)</f>
        <v>0</v>
      </c>
    </row>
    <row r="8242" spans="1:7" ht="24.36" thickBot="1" customHeight="1">
      <c r="A8242" s="24" t="s">
        <v>26060</v>
      </c>
      <c r="B8242" s="24" t="s">
        <v>26061</v>
      </c>
      <c r="C8242" s="24" t="s">
        <v>26062</v>
      </c>
      <c r="D8242" s="25" t="s">
        <v>26063</v>
      </c>
      <c r="E8242" s="28">
        <v>1.00000</v>
      </c>
      <c r="F8242" s="29">
        <f ca="1">ROUND(21.000,3)</f>
        <v>0</v>
      </c>
      <c r="G8242" s="27">
        <f ca="1">ROUND(E8242*F8242,2)</f>
        <v>0</v>
      </c>
    </row>
    <row r="8243" spans="1:7" ht="24.36" thickBot="1" customHeight="1">
      <c r="A8243" s="24" t="s">
        <v>26064</v>
      </c>
      <c r="B8243" s="24" t="s">
        <v>26065</v>
      </c>
      <c r="C8243" s="24" t="s">
        <v>26066</v>
      </c>
      <c r="D8243" s="25" t="s">
        <v>26067</v>
      </c>
      <c r="E8243" s="28">
        <v>1.00000</v>
      </c>
      <c r="F8243" s="29">
        <f ca="1">ROUND(19.000,3)</f>
        <v>0</v>
      </c>
      <c r="G8243" s="27">
        <f ca="1">ROUND(E8243*F8243,2)</f>
        <v>0</v>
      </c>
    </row>
    <row r="8244" spans="1:7" ht="24.36" thickBot="1" customHeight="1">
      <c r="A8244" s="24" t="s">
        <v>26068</v>
      </c>
      <c r="B8244" s="24" t="s">
        <v>26069</v>
      </c>
      <c r="C8244" s="24" t="s">
        <v>26070</v>
      </c>
      <c r="D8244" s="25" t="s">
        <v>26071</v>
      </c>
      <c r="E8244" s="28">
        <v>0.20000</v>
      </c>
      <c r="F8244" s="29">
        <f ca="1">ROUND(19.000,3)</f>
        <v>0</v>
      </c>
      <c r="G8244" s="27">
        <f ca="1">ROUND(E8244*F8244,2)</f>
        <v>0</v>
      </c>
    </row>
    <row r="8245" spans="1:7" ht="15.12" thickBot="1" customHeight="1">
      <c r="A8245" s="26"/>
      <c r="B8245" s="26"/>
      <c r="C8245" s="26"/>
      <c r="D8245" s="24" t="s">
        <v>26072</v>
      </c>
      <c r="E8245" s="28">
        <v>1.45000</v>
      </c>
      <c r="F8245" s="29">
        <f ca="1">ROUND((G8242+G8243+G8244),3)</f>
        <v>0</v>
      </c>
      <c r="G8245" s="27">
        <f ca="1">ROUND(E8245*F8245,2)</f>
        <v>0</v>
      </c>
    </row>
    <row r="8246" spans="1:7" ht="15.12" thickBot="1" customHeight="1">
      <c r="A8246" s="24" t="s">
        <v>26073</v>
      </c>
      <c r="B8246" s="24"/>
      <c r="C8246" s="24" t="s">
        <v>26074</v>
      </c>
      <c r="D8246" s="25" t="s">
        <v>26075</v>
      </c>
      <c r="E8246" s="28">
        <v>3.00000</v>
      </c>
      <c r="F8246" s="29">
        <f ca="1">ROUND(63.510,3)</f>
        <v>0</v>
      </c>
      <c r="G8246" s="27">
        <f ca="1">ROUND((E8246*F8246)/100,2)</f>
        <v>0</v>
      </c>
    </row>
    <row r="8247" spans="1:7" ht="15.48" thickBot="1" customHeight="1">
      <c r="A8247" s="30"/>
      <c r="B8247" s="30"/>
      <c r="C8247" s="30"/>
      <c r="D8247" s="31" t="s">
        <v>26076</v>
      </c>
      <c r="E8247" s="30"/>
      <c r="F8247" s="33">
        <f ca="1">ROUND((G8240+G8241+G8246)*(1+G2/100),2)</f>
        <v>0</v>
      </c>
      <c r="G8247" s="30"/>
    </row>
    <row r="8248" spans="1:7" ht="15.48" thickBot="1" customHeight="1">
      <c r="A8248" s="34" t="s">
        <v>26077</v>
      </c>
      <c r="B8248" s="35" t="s">
        <v>26078</v>
      </c>
      <c r="C8248" s="35" t="s">
        <v>26079</v>
      </c>
      <c r="D8248" s="36" t="s">
        <v>26080</v>
      </c>
      <c r="E8248" s="37"/>
      <c r="F8248" s="38">
        <f ca="1">F8256</f>
        <v>0</v>
      </c>
      <c r="G8248" s="37"/>
    </row>
    <row r="8249" spans="1:7" ht="30.60" thickBot="1" customHeight="1">
      <c r="A8249" s="26"/>
      <c r="B8249" s="26"/>
      <c r="C8249" s="26"/>
      <c r="D8249" s="25" t="s">
        <v>26081</v>
      </c>
      <c r="E8249" s="25"/>
      <c r="F8249" s="25"/>
      <c r="G8249" s="25"/>
    </row>
    <row r="8250" spans="1:7" ht="21.36" thickBot="1" customHeight="1">
      <c r="A8250" s="24" t="s">
        <v>26082</v>
      </c>
      <c r="B8250" s="24" t="s">
        <v>26083</v>
      </c>
      <c r="C8250" s="24" t="s">
        <v>26084</v>
      </c>
      <c r="D8250" s="25" t="s">
        <v>26085</v>
      </c>
      <c r="E8250" s="28">
        <v>1.22700</v>
      </c>
      <c r="F8250" s="29">
        <f ca="1">F8254</f>
        <v>0</v>
      </c>
      <c r="G8250" s="27">
        <f ca="1">ROUND(E8250*F8250,2)</f>
        <v>0</v>
      </c>
    </row>
    <row r="8251" spans="1:7" ht="24.36" thickBot="1" customHeight="1">
      <c r="A8251" s="24" t="s">
        <v>26086</v>
      </c>
      <c r="B8251" s="24" t="s">
        <v>26087</v>
      </c>
      <c r="C8251" s="24" t="s">
        <v>26088</v>
      </c>
      <c r="D8251" s="25" t="s">
        <v>26089</v>
      </c>
      <c r="E8251" s="28">
        <v>1.00000</v>
      </c>
      <c r="F8251" s="29">
        <f ca="1">ROUND(21.000,3)</f>
        <v>0</v>
      </c>
      <c r="G8251" s="27">
        <f ca="1">ROUND(E8251*F8251,2)</f>
        <v>0</v>
      </c>
    </row>
    <row r="8252" spans="1:7" ht="24.36" thickBot="1" customHeight="1">
      <c r="A8252" s="24" t="s">
        <v>26090</v>
      </c>
      <c r="B8252" s="24" t="s">
        <v>26091</v>
      </c>
      <c r="C8252" s="24" t="s">
        <v>26092</v>
      </c>
      <c r="D8252" s="25" t="s">
        <v>26093</v>
      </c>
      <c r="E8252" s="28">
        <v>1.00000</v>
      </c>
      <c r="F8252" s="29">
        <f ca="1">ROUND(19.000,3)</f>
        <v>0</v>
      </c>
      <c r="G8252" s="27">
        <f ca="1">ROUND(E8252*F8252,2)</f>
        <v>0</v>
      </c>
    </row>
    <row r="8253" spans="1:7" ht="24.36" thickBot="1" customHeight="1">
      <c r="A8253" s="24" t="s">
        <v>26094</v>
      </c>
      <c r="B8253" s="24" t="s">
        <v>26095</v>
      </c>
      <c r="C8253" s="24" t="s">
        <v>26096</v>
      </c>
      <c r="D8253" s="25" t="s">
        <v>26097</v>
      </c>
      <c r="E8253" s="28">
        <v>0.20000</v>
      </c>
      <c r="F8253" s="29">
        <f ca="1">ROUND(19.000,3)</f>
        <v>0</v>
      </c>
      <c r="G8253" s="27">
        <f ca="1">ROUND(E8253*F8253,2)</f>
        <v>0</v>
      </c>
    </row>
    <row r="8254" spans="1:7" ht="15.12" thickBot="1" customHeight="1">
      <c r="A8254" s="26"/>
      <c r="B8254" s="26"/>
      <c r="C8254" s="26"/>
      <c r="D8254" s="24" t="s">
        <v>26098</v>
      </c>
      <c r="E8254" s="28">
        <v>1.22700</v>
      </c>
      <c r="F8254" s="29">
        <f ca="1">ROUND((G8251+G8252+G8253),3)</f>
        <v>0</v>
      </c>
      <c r="G8254" s="27">
        <f ca="1">ROUND(E8254*F8254,2)</f>
        <v>0</v>
      </c>
    </row>
    <row r="8255" spans="1:7" ht="15.12" thickBot="1" customHeight="1">
      <c r="A8255" s="24" t="s">
        <v>26099</v>
      </c>
      <c r="B8255" s="24"/>
      <c r="C8255" s="24" t="s">
        <v>26100</v>
      </c>
      <c r="D8255" s="25" t="s">
        <v>26101</v>
      </c>
      <c r="E8255" s="28">
        <v>3.00000</v>
      </c>
      <c r="F8255" s="29">
        <f ca="1">ROUND(53.740,3)</f>
        <v>0</v>
      </c>
      <c r="G8255" s="27">
        <f ca="1">ROUND((E8255*F8255)/100,2)</f>
        <v>0</v>
      </c>
    </row>
    <row r="8256" spans="1:7" ht="15.48" thickBot="1" customHeight="1">
      <c r="A8256" s="30"/>
      <c r="B8256" s="30"/>
      <c r="C8256" s="30"/>
      <c r="D8256" s="31" t="s">
        <v>26102</v>
      </c>
      <c r="E8256" s="30"/>
      <c r="F8256" s="33">
        <f ca="1">ROUND((G8250+G8255)*(1+G2/100),2)</f>
        <v>0</v>
      </c>
      <c r="G8256" s="30"/>
    </row>
    <row r="8257" spans="1:7" ht="21.36" thickBot="1" customHeight="1">
      <c r="A8257" s="34" t="s">
        <v>26103</v>
      </c>
      <c r="B8257" s="35" t="s">
        <v>26104</v>
      </c>
      <c r="C8257" s="35" t="s">
        <v>26105</v>
      </c>
      <c r="D8257" s="36" t="s">
        <v>26106</v>
      </c>
      <c r="E8257" s="37"/>
      <c r="F8257" s="38">
        <f ca="1">F8265</f>
        <v>0</v>
      </c>
      <c r="G8257" s="37"/>
    </row>
    <row r="8258" spans="1:7" ht="49.08" thickBot="1" customHeight="1">
      <c r="A8258" s="26"/>
      <c r="B8258" s="26"/>
      <c r="C8258" s="26"/>
      <c r="D8258" s="25" t="s">
        <v>26107</v>
      </c>
      <c r="E8258" s="25"/>
      <c r="F8258" s="25"/>
      <c r="G8258" s="25"/>
    </row>
    <row r="8259" spans="1:7" ht="21.36" thickBot="1" customHeight="1">
      <c r="A8259" s="24" t="s">
        <v>26108</v>
      </c>
      <c r="B8259" s="24" t="s">
        <v>26109</v>
      </c>
      <c r="C8259" s="24" t="s">
        <v>26110</v>
      </c>
      <c r="D8259" s="25" t="s">
        <v>26111</v>
      </c>
      <c r="E8259" s="28">
        <v>4.15000</v>
      </c>
      <c r="F8259" s="29">
        <f ca="1">F8263</f>
        <v>0</v>
      </c>
      <c r="G8259" s="27">
        <f ca="1">ROUND(E8259*F8259,2)</f>
        <v>0</v>
      </c>
    </row>
    <row r="8260" spans="1:7" ht="24.36" thickBot="1" customHeight="1">
      <c r="A8260" s="24" t="s">
        <v>26112</v>
      </c>
      <c r="B8260" s="24" t="s">
        <v>26113</v>
      </c>
      <c r="C8260" s="24" t="s">
        <v>26114</v>
      </c>
      <c r="D8260" s="25" t="s">
        <v>26115</v>
      </c>
      <c r="E8260" s="28">
        <v>1.00000</v>
      </c>
      <c r="F8260" s="29">
        <f ca="1">ROUND(21.000,3)</f>
        <v>0</v>
      </c>
      <c r="G8260" s="27">
        <f ca="1">ROUND(E8260*F8260,2)</f>
        <v>0</v>
      </c>
    </row>
    <row r="8261" spans="1:7" ht="24.36" thickBot="1" customHeight="1">
      <c r="A8261" s="24" t="s">
        <v>26116</v>
      </c>
      <c r="B8261" s="24" t="s">
        <v>26117</v>
      </c>
      <c r="C8261" s="24" t="s">
        <v>26118</v>
      </c>
      <c r="D8261" s="25" t="s">
        <v>26119</v>
      </c>
      <c r="E8261" s="28">
        <v>1.00000</v>
      </c>
      <c r="F8261" s="29">
        <f ca="1">ROUND(19.000,3)</f>
        <v>0</v>
      </c>
      <c r="G8261" s="27">
        <f ca="1">ROUND(E8261*F8261,2)</f>
        <v>0</v>
      </c>
    </row>
    <row r="8262" spans="1:7" ht="24.36" thickBot="1" customHeight="1">
      <c r="A8262" s="24" t="s">
        <v>26120</v>
      </c>
      <c r="B8262" s="24" t="s">
        <v>26121</v>
      </c>
      <c r="C8262" s="24" t="s">
        <v>26122</v>
      </c>
      <c r="D8262" s="25" t="s">
        <v>26123</v>
      </c>
      <c r="E8262" s="28">
        <v>0.20000</v>
      </c>
      <c r="F8262" s="29">
        <f ca="1">ROUND(19.000,3)</f>
        <v>0</v>
      </c>
      <c r="G8262" s="27">
        <f ca="1">ROUND(E8262*F8262,2)</f>
        <v>0</v>
      </c>
    </row>
    <row r="8263" spans="1:7" ht="15.12" thickBot="1" customHeight="1">
      <c r="A8263" s="26"/>
      <c r="B8263" s="26"/>
      <c r="C8263" s="26"/>
      <c r="D8263" s="24" t="s">
        <v>26124</v>
      </c>
      <c r="E8263" s="28">
        <v>4.15000</v>
      </c>
      <c r="F8263" s="29">
        <f ca="1">ROUND((G8260+G8261+G8262),3)</f>
        <v>0</v>
      </c>
      <c r="G8263" s="27">
        <f ca="1">ROUND(E8263*F8263,2)</f>
        <v>0</v>
      </c>
    </row>
    <row r="8264" spans="1:7" ht="15.12" thickBot="1" customHeight="1">
      <c r="A8264" s="24" t="s">
        <v>26125</v>
      </c>
      <c r="B8264" s="24"/>
      <c r="C8264" s="24" t="s">
        <v>26126</v>
      </c>
      <c r="D8264" s="25" t="s">
        <v>26127</v>
      </c>
      <c r="E8264" s="28">
        <v>3.00000</v>
      </c>
      <c r="F8264" s="29">
        <f ca="1">ROUND(181.770,3)</f>
        <v>0</v>
      </c>
      <c r="G8264" s="27">
        <f ca="1">ROUND((E8264*F8264)/100,2)</f>
        <v>0</v>
      </c>
    </row>
    <row r="8265" spans="1:7" ht="15.48" thickBot="1" customHeight="1">
      <c r="A8265" s="30"/>
      <c r="B8265" s="30"/>
      <c r="C8265" s="30"/>
      <c r="D8265" s="31" t="s">
        <v>26128</v>
      </c>
      <c r="E8265" s="30"/>
      <c r="F8265" s="33">
        <f ca="1">ROUND((G8259+G8264)*(1+G2/100),2)</f>
        <v>0</v>
      </c>
      <c r="G8265" s="30"/>
    </row>
    <row r="8266" spans="1:7" ht="21.36" thickBot="1" customHeight="1">
      <c r="A8266" s="34" t="s">
        <v>26129</v>
      </c>
      <c r="B8266" s="35" t="s">
        <v>26130</v>
      </c>
      <c r="C8266" s="35" t="s">
        <v>26131</v>
      </c>
      <c r="D8266" s="36" t="s">
        <v>26132</v>
      </c>
      <c r="E8266" s="37"/>
      <c r="F8266" s="38">
        <f ca="1">F8274</f>
        <v>0</v>
      </c>
      <c r="G8266" s="37"/>
    </row>
    <row r="8267" spans="1:7" ht="30.60" thickBot="1" customHeight="1">
      <c r="A8267" s="26"/>
      <c r="B8267" s="26"/>
      <c r="C8267" s="26"/>
      <c r="D8267" s="25" t="s">
        <v>26133</v>
      </c>
      <c r="E8267" s="25"/>
      <c r="F8267" s="25"/>
      <c r="G8267" s="25"/>
    </row>
    <row r="8268" spans="1:7" ht="21.36" thickBot="1" customHeight="1">
      <c r="A8268" s="24" t="s">
        <v>26134</v>
      </c>
      <c r="B8268" s="24" t="s">
        <v>26135</v>
      </c>
      <c r="C8268" s="24" t="s">
        <v>26136</v>
      </c>
      <c r="D8268" s="25" t="s">
        <v>26137</v>
      </c>
      <c r="E8268" s="28">
        <v>1.60000</v>
      </c>
      <c r="F8268" s="29">
        <f ca="1">F8272</f>
        <v>0</v>
      </c>
      <c r="G8268" s="27">
        <f ca="1">ROUND(E8268*F8268,2)</f>
        <v>0</v>
      </c>
    </row>
    <row r="8269" spans="1:7" ht="24.36" thickBot="1" customHeight="1">
      <c r="A8269" s="24" t="s">
        <v>26138</v>
      </c>
      <c r="B8269" s="24" t="s">
        <v>26139</v>
      </c>
      <c r="C8269" s="24" t="s">
        <v>26140</v>
      </c>
      <c r="D8269" s="25" t="s">
        <v>26141</v>
      </c>
      <c r="E8269" s="28">
        <v>1.00000</v>
      </c>
      <c r="F8269" s="29">
        <f ca="1">ROUND(21.000,3)</f>
        <v>0</v>
      </c>
      <c r="G8269" s="27">
        <f ca="1">ROUND(E8269*F8269,2)</f>
        <v>0</v>
      </c>
    </row>
    <row r="8270" spans="1:7" ht="24.36" thickBot="1" customHeight="1">
      <c r="A8270" s="24" t="s">
        <v>26142</v>
      </c>
      <c r="B8270" s="24" t="s">
        <v>26143</v>
      </c>
      <c r="C8270" s="24" t="s">
        <v>26144</v>
      </c>
      <c r="D8270" s="25" t="s">
        <v>26145</v>
      </c>
      <c r="E8270" s="28">
        <v>1.00000</v>
      </c>
      <c r="F8270" s="29">
        <f ca="1">ROUND(19.000,3)</f>
        <v>0</v>
      </c>
      <c r="G8270" s="27">
        <f ca="1">ROUND(E8270*F8270,2)</f>
        <v>0</v>
      </c>
    </row>
    <row r="8271" spans="1:7" ht="24.36" thickBot="1" customHeight="1">
      <c r="A8271" s="24" t="s">
        <v>26146</v>
      </c>
      <c r="B8271" s="24" t="s">
        <v>26147</v>
      </c>
      <c r="C8271" s="24" t="s">
        <v>26148</v>
      </c>
      <c r="D8271" s="25" t="s">
        <v>26149</v>
      </c>
      <c r="E8271" s="28">
        <v>0.20000</v>
      </c>
      <c r="F8271" s="29">
        <f ca="1">ROUND(19.000,3)</f>
        <v>0</v>
      </c>
      <c r="G8271" s="27">
        <f ca="1">ROUND(E8271*F8271,2)</f>
        <v>0</v>
      </c>
    </row>
    <row r="8272" spans="1:7" ht="15.12" thickBot="1" customHeight="1">
      <c r="A8272" s="26"/>
      <c r="B8272" s="26"/>
      <c r="C8272" s="26"/>
      <c r="D8272" s="24" t="s">
        <v>26150</v>
      </c>
      <c r="E8272" s="28">
        <v>1.60000</v>
      </c>
      <c r="F8272" s="29">
        <f ca="1">ROUND((G8269+G8270+G8271),3)</f>
        <v>0</v>
      </c>
      <c r="G8272" s="27">
        <f ca="1">ROUND(E8272*F8272,2)</f>
        <v>0</v>
      </c>
    </row>
    <row r="8273" spans="1:7" ht="15.12" thickBot="1" customHeight="1">
      <c r="A8273" s="24" t="s">
        <v>26151</v>
      </c>
      <c r="B8273" s="24"/>
      <c r="C8273" s="24" t="s">
        <v>26152</v>
      </c>
      <c r="D8273" s="25" t="s">
        <v>26153</v>
      </c>
      <c r="E8273" s="28">
        <v>3.00000</v>
      </c>
      <c r="F8273" s="29">
        <f ca="1">ROUND(70.080,3)</f>
        <v>0</v>
      </c>
      <c r="G8273" s="27">
        <f ca="1">ROUND((E8273*F8273)/100,2)</f>
        <v>0</v>
      </c>
    </row>
    <row r="8274" spans="1:7" ht="15.48" thickBot="1" customHeight="1">
      <c r="A8274" s="30"/>
      <c r="B8274" s="30"/>
      <c r="C8274" s="30"/>
      <c r="D8274" s="31" t="s">
        <v>26154</v>
      </c>
      <c r="E8274" s="30"/>
      <c r="F8274" s="33">
        <f ca="1">ROUND((G8268+G8273)*(1+G2/100),2)</f>
        <v>0</v>
      </c>
      <c r="G8274" s="30"/>
    </row>
    <row r="8275" spans="1:7" ht="21.36" thickBot="1" customHeight="1">
      <c r="A8275" s="34" t="s">
        <v>26155</v>
      </c>
      <c r="B8275" s="35" t="s">
        <v>26156</v>
      </c>
      <c r="C8275" s="35" t="s">
        <v>26157</v>
      </c>
      <c r="D8275" s="36" t="s">
        <v>26158</v>
      </c>
      <c r="E8275" s="37"/>
      <c r="F8275" s="38">
        <f ca="1">F8294</f>
        <v>0</v>
      </c>
      <c r="G8275" s="37"/>
    </row>
    <row r="8276" spans="1:7" ht="39.84" thickBot="1" customHeight="1">
      <c r="A8276" s="26"/>
      <c r="B8276" s="26"/>
      <c r="C8276" s="26"/>
      <c r="D8276" s="25" t="s">
        <v>26159</v>
      </c>
      <c r="E8276" s="25"/>
      <c r="F8276" s="25"/>
      <c r="G8276" s="25"/>
    </row>
    <row r="8277" spans="1:7" ht="21.36" thickBot="1" customHeight="1">
      <c r="A8277" s="24" t="s">
        <v>26160</v>
      </c>
      <c r="B8277" s="24" t="s">
        <v>26161</v>
      </c>
      <c r="C8277" s="24" t="s">
        <v>26162</v>
      </c>
      <c r="D8277" s="25" t="s">
        <v>26163</v>
      </c>
      <c r="E8277" s="28">
        <v>0.12500</v>
      </c>
      <c r="F8277" s="29">
        <f ca="1">ROUND(8.110,3)</f>
        <v>0</v>
      </c>
      <c r="G8277" s="27">
        <f ca="1">ROUND(E8277*F8277,2)</f>
        <v>0</v>
      </c>
    </row>
    <row r="8278" spans="1:7" ht="21.36" thickBot="1" customHeight="1">
      <c r="A8278" s="24" t="s">
        <v>26164</v>
      </c>
      <c r="B8278" s="24" t="s">
        <v>26165</v>
      </c>
      <c r="C8278" s="24" t="s">
        <v>26166</v>
      </c>
      <c r="D8278" s="25" t="s">
        <v>26167</v>
      </c>
      <c r="E8278" s="28">
        <v>0.15000</v>
      </c>
      <c r="F8278" s="29">
        <f ca="1">ROUND(39.650,3)</f>
        <v>0</v>
      </c>
      <c r="G8278" s="27">
        <f ca="1">ROUND(E8278*F8278,2)</f>
        <v>0</v>
      </c>
    </row>
    <row r="8279" spans="1:7" ht="21.36" thickBot="1" customHeight="1">
      <c r="A8279" s="24" t="s">
        <v>26168</v>
      </c>
      <c r="B8279" s="24" t="s">
        <v>26169</v>
      </c>
      <c r="C8279" s="24" t="s">
        <v>26170</v>
      </c>
      <c r="D8279" s="25" t="s">
        <v>26171</v>
      </c>
      <c r="E8279" s="28">
        <v>0.08000</v>
      </c>
      <c r="F8279" s="29">
        <f ca="1">ROUND(12.140,3)</f>
        <v>0</v>
      </c>
      <c r="G8279" s="27">
        <f ca="1">ROUND(E8279*F8279,2)</f>
        <v>0</v>
      </c>
    </row>
    <row r="8280" spans="1:7" ht="30.60" thickBot="1" customHeight="1">
      <c r="A8280" s="24" t="s">
        <v>26172</v>
      </c>
      <c r="B8280" s="24" t="s">
        <v>26173</v>
      </c>
      <c r="C8280" s="24" t="s">
        <v>26174</v>
      </c>
      <c r="D8280" s="25" t="s">
        <v>26175</v>
      </c>
      <c r="E8280" s="28">
        <v>0.20000</v>
      </c>
      <c r="F8280" s="29">
        <f ca="1">ROUND(108.360,3)</f>
        <v>0</v>
      </c>
      <c r="G8280" s="27">
        <f ca="1">ROUND(E8280*F8280,2)</f>
        <v>0</v>
      </c>
    </row>
    <row r="8281" spans="1:7" ht="15.12" thickBot="1" customHeight="1">
      <c r="A8281" s="24" t="s">
        <v>26176</v>
      </c>
      <c r="B8281" s="24" t="s">
        <v>26177</v>
      </c>
      <c r="C8281" s="24" t="s">
        <v>26178</v>
      </c>
      <c r="D8281" s="25" t="s">
        <v>26179</v>
      </c>
      <c r="E8281" s="28">
        <v>1.00000</v>
      </c>
      <c r="F8281" s="29">
        <f ca="1">F8287</f>
        <v>0</v>
      </c>
      <c r="G8281" s="27">
        <f ca="1">ROUND(E8281*F8281,2)</f>
        <v>0</v>
      </c>
    </row>
    <row r="8282" spans="1:7" ht="30.60" thickBot="1" customHeight="1">
      <c r="A8282" s="24" t="s">
        <v>26180</v>
      </c>
      <c r="B8282" s="24" t="s">
        <v>26181</v>
      </c>
      <c r="C8282" s="24" t="s">
        <v>26182</v>
      </c>
      <c r="D8282" s="25" t="s">
        <v>26183</v>
      </c>
      <c r="E8282" s="28">
        <v>1.00000</v>
      </c>
      <c r="F8282" s="29">
        <f ca="1">ROUND(0.300,3)</f>
        <v>0</v>
      </c>
      <c r="G8282" s="27">
        <f ca="1">ROUND(E8282*F8282,2)</f>
        <v>0</v>
      </c>
    </row>
    <row r="8283" spans="1:7" ht="30.60" thickBot="1" customHeight="1">
      <c r="A8283" s="24" t="s">
        <v>26184</v>
      </c>
      <c r="B8283" s="24" t="s">
        <v>26185</v>
      </c>
      <c r="C8283" s="24" t="s">
        <v>26186</v>
      </c>
      <c r="D8283" s="25" t="s">
        <v>26187</v>
      </c>
      <c r="E8283" s="28">
        <v>4.00000</v>
      </c>
      <c r="F8283" s="29">
        <f ca="1">ROUND(1.470,3)</f>
        <v>0</v>
      </c>
      <c r="G8283" s="27">
        <f ca="1">ROUND(E8283*F8283,2)</f>
        <v>0</v>
      </c>
    </row>
    <row r="8284" spans="1:7" ht="39.84" thickBot="1" customHeight="1">
      <c r="A8284" s="24" t="s">
        <v>26188</v>
      </c>
      <c r="B8284" s="24" t="s">
        <v>26189</v>
      </c>
      <c r="C8284" s="24" t="s">
        <v>26190</v>
      </c>
      <c r="D8284" s="25" t="s">
        <v>26191</v>
      </c>
      <c r="E8284" s="28">
        <v>0.15000</v>
      </c>
      <c r="F8284" s="29">
        <f ca="1">ROUND(20.130,3)</f>
        <v>0</v>
      </c>
      <c r="G8284" s="27">
        <f ca="1">ROUND(E8284*F8284,2)</f>
        <v>0</v>
      </c>
    </row>
    <row r="8285" spans="1:7" ht="21.36" thickBot="1" customHeight="1">
      <c r="A8285" s="24" t="s">
        <v>26192</v>
      </c>
      <c r="B8285" s="24" t="s">
        <v>26193</v>
      </c>
      <c r="C8285" s="24" t="s">
        <v>26194</v>
      </c>
      <c r="D8285" s="25" t="s">
        <v>26195</v>
      </c>
      <c r="E8285" s="28">
        <v>0.30000</v>
      </c>
      <c r="F8285" s="29">
        <f ca="1">ROUND(43.800,3)</f>
        <v>0</v>
      </c>
      <c r="G8285" s="27">
        <f ca="1">ROUND(E8285*F8285,2)</f>
        <v>0</v>
      </c>
    </row>
    <row r="8286" spans="1:7" ht="15.12" thickBot="1" customHeight="1">
      <c r="A8286" s="24" t="s">
        <v>26196</v>
      </c>
      <c r="B8286" s="24"/>
      <c r="C8286" s="24" t="s">
        <v>26197</v>
      </c>
      <c r="D8286" s="25" t="s">
        <v>26198</v>
      </c>
      <c r="E8286" s="28">
        <v>3.00000</v>
      </c>
      <c r="F8286" s="29">
        <f ca="1">ROUND(13.140,3)</f>
        <v>0</v>
      </c>
      <c r="G8286" s="27">
        <f ca="1">ROUND((E8286*F8286)/100,2)</f>
        <v>0</v>
      </c>
    </row>
    <row r="8287" spans="1:7" ht="15.12" thickBot="1" customHeight="1">
      <c r="A8287" s="26"/>
      <c r="B8287" s="26"/>
      <c r="C8287" s="26"/>
      <c r="D8287" s="24" t="s">
        <v>26199</v>
      </c>
      <c r="E8287" s="28">
        <v>1.00000</v>
      </c>
      <c r="F8287" s="29">
        <f ca="1">ROUND((G8282+G8283+G8284+G8285+G8286),3)</f>
        <v>0</v>
      </c>
      <c r="G8287" s="27">
        <f ca="1">ROUND(E8287*F8287,2)</f>
        <v>0</v>
      </c>
    </row>
    <row r="8288" spans="1:7" ht="21.36" thickBot="1" customHeight="1">
      <c r="A8288" s="24" t="s">
        <v>26200</v>
      </c>
      <c r="B8288" s="24" t="s">
        <v>26201</v>
      </c>
      <c r="C8288" s="24" t="s">
        <v>26202</v>
      </c>
      <c r="D8288" s="25" t="s">
        <v>26203</v>
      </c>
      <c r="E8288" s="28">
        <v>1.00000</v>
      </c>
      <c r="F8288" s="29">
        <f ca="1">F8292</f>
        <v>0</v>
      </c>
      <c r="G8288" s="27">
        <f ca="1">ROUND(E8288*F8288,2)</f>
        <v>0</v>
      </c>
    </row>
    <row r="8289" spans="1:7" ht="24.36" thickBot="1" customHeight="1">
      <c r="A8289" s="24" t="s">
        <v>26204</v>
      </c>
      <c r="B8289" s="24" t="s">
        <v>26205</v>
      </c>
      <c r="C8289" s="24" t="s">
        <v>26206</v>
      </c>
      <c r="D8289" s="25" t="s">
        <v>26207</v>
      </c>
      <c r="E8289" s="28">
        <v>1.00000</v>
      </c>
      <c r="F8289" s="29">
        <f ca="1">ROUND(21.000,3)</f>
        <v>0</v>
      </c>
      <c r="G8289" s="27">
        <f ca="1">ROUND(E8289*F8289,2)</f>
        <v>0</v>
      </c>
    </row>
    <row r="8290" spans="1:7" ht="24.36" thickBot="1" customHeight="1">
      <c r="A8290" s="24" t="s">
        <v>26208</v>
      </c>
      <c r="B8290" s="24" t="s">
        <v>26209</v>
      </c>
      <c r="C8290" s="24" t="s">
        <v>26210</v>
      </c>
      <c r="D8290" s="25" t="s">
        <v>26211</v>
      </c>
      <c r="E8290" s="28">
        <v>1.00000</v>
      </c>
      <c r="F8290" s="29">
        <f ca="1">ROUND(19.000,3)</f>
        <v>0</v>
      </c>
      <c r="G8290" s="27">
        <f ca="1">ROUND(E8290*F8290,2)</f>
        <v>0</v>
      </c>
    </row>
    <row r="8291" spans="1:7" ht="24.36" thickBot="1" customHeight="1">
      <c r="A8291" s="24" t="s">
        <v>26212</v>
      </c>
      <c r="B8291" s="24" t="s">
        <v>26213</v>
      </c>
      <c r="C8291" s="24" t="s">
        <v>26214</v>
      </c>
      <c r="D8291" s="25" t="s">
        <v>26215</v>
      </c>
      <c r="E8291" s="28">
        <v>0.20000</v>
      </c>
      <c r="F8291" s="29">
        <f ca="1">ROUND(19.000,3)</f>
        <v>0</v>
      </c>
      <c r="G8291" s="27">
        <f ca="1">ROUND(E8291*F8291,2)</f>
        <v>0</v>
      </c>
    </row>
    <row r="8292" spans="1:7" ht="15.12" thickBot="1" customHeight="1">
      <c r="A8292" s="26"/>
      <c r="B8292" s="26"/>
      <c r="C8292" s="26"/>
      <c r="D8292" s="24" t="s">
        <v>26216</v>
      </c>
      <c r="E8292" s="28">
        <v>1.00000</v>
      </c>
      <c r="F8292" s="29">
        <f ca="1">ROUND((G8289+G8290+G8291),3)</f>
        <v>0</v>
      </c>
      <c r="G8292" s="27">
        <f ca="1">ROUND(E8292*F8292,2)</f>
        <v>0</v>
      </c>
    </row>
    <row r="8293" spans="1:7" ht="15.12" thickBot="1" customHeight="1">
      <c r="A8293" s="24" t="s">
        <v>26217</v>
      </c>
      <c r="B8293" s="24"/>
      <c r="C8293" s="24" t="s">
        <v>26218</v>
      </c>
      <c r="D8293" s="25" t="s">
        <v>26219</v>
      </c>
      <c r="E8293" s="28">
        <v>3.00000</v>
      </c>
      <c r="F8293" s="29">
        <f ca="1">ROUND(43.800,3)</f>
        <v>0</v>
      </c>
      <c r="G8293" s="27">
        <f ca="1">ROUND((E8293*F8293)/100,2)</f>
        <v>0</v>
      </c>
    </row>
    <row r="8294" spans="1:7" ht="15.48" thickBot="1" customHeight="1">
      <c r="A8294" s="30"/>
      <c r="B8294" s="30"/>
      <c r="C8294" s="30"/>
      <c r="D8294" s="31" t="s">
        <v>26220</v>
      </c>
      <c r="E8294" s="30"/>
      <c r="F8294" s="33">
        <f ca="1">ROUND((G8277+G8278+G8279+G8280+G8281+G8288+G8293)*(1+G2/100),2)</f>
        <v>0</v>
      </c>
      <c r="G8294" s="30"/>
    </row>
    <row r="8295" spans="1:7" ht="21.36" thickBot="1" customHeight="1">
      <c r="A8295" s="34" t="s">
        <v>26221</v>
      </c>
      <c r="B8295" s="35" t="s">
        <v>26222</v>
      </c>
      <c r="C8295" s="35" t="s">
        <v>26223</v>
      </c>
      <c r="D8295" s="36" t="s">
        <v>26224</v>
      </c>
      <c r="E8295" s="37"/>
      <c r="F8295" s="38">
        <f ca="1">F8314</f>
        <v>0</v>
      </c>
      <c r="G8295" s="37"/>
    </row>
    <row r="8296" spans="1:7" ht="39.84" thickBot="1" customHeight="1">
      <c r="A8296" s="26"/>
      <c r="B8296" s="26"/>
      <c r="C8296" s="26"/>
      <c r="D8296" s="25" t="s">
        <v>26225</v>
      </c>
      <c r="E8296" s="25"/>
      <c r="F8296" s="25"/>
      <c r="G8296" s="25"/>
    </row>
    <row r="8297" spans="1:7" ht="21.36" thickBot="1" customHeight="1">
      <c r="A8297" s="24" t="s">
        <v>26226</v>
      </c>
      <c r="B8297" s="24" t="s">
        <v>26227</v>
      </c>
      <c r="C8297" s="24" t="s">
        <v>26228</v>
      </c>
      <c r="D8297" s="25" t="s">
        <v>26229</v>
      </c>
      <c r="E8297" s="28">
        <v>0.12500</v>
      </c>
      <c r="F8297" s="29">
        <f ca="1">ROUND(8.110,3)</f>
        <v>0</v>
      </c>
      <c r="G8297" s="27">
        <f ca="1">ROUND(E8297*F8297,2)</f>
        <v>0</v>
      </c>
    </row>
    <row r="8298" spans="1:7" ht="21.36" thickBot="1" customHeight="1">
      <c r="A8298" s="24" t="s">
        <v>26230</v>
      </c>
      <c r="B8298" s="24" t="s">
        <v>26231</v>
      </c>
      <c r="C8298" s="24" t="s">
        <v>26232</v>
      </c>
      <c r="D8298" s="25" t="s">
        <v>26233</v>
      </c>
      <c r="E8298" s="28">
        <v>0.15000</v>
      </c>
      <c r="F8298" s="29">
        <f ca="1">ROUND(39.650,3)</f>
        <v>0</v>
      </c>
      <c r="G8298" s="27">
        <f ca="1">ROUND(E8298*F8298,2)</f>
        <v>0</v>
      </c>
    </row>
    <row r="8299" spans="1:7" ht="21.36" thickBot="1" customHeight="1">
      <c r="A8299" s="24" t="s">
        <v>26234</v>
      </c>
      <c r="B8299" s="24" t="s">
        <v>26235</v>
      </c>
      <c r="C8299" s="24" t="s">
        <v>26236</v>
      </c>
      <c r="D8299" s="25" t="s">
        <v>26237</v>
      </c>
      <c r="E8299" s="28">
        <v>0.08000</v>
      </c>
      <c r="F8299" s="29">
        <f ca="1">ROUND(12.140,3)</f>
        <v>0</v>
      </c>
      <c r="G8299" s="27">
        <f ca="1">ROUND(E8299*F8299,2)</f>
        <v>0</v>
      </c>
    </row>
    <row r="8300" spans="1:7" ht="30.60" thickBot="1" customHeight="1">
      <c r="A8300" s="24" t="s">
        <v>26238</v>
      </c>
      <c r="B8300" s="24" t="s">
        <v>26239</v>
      </c>
      <c r="C8300" s="24" t="s">
        <v>26240</v>
      </c>
      <c r="D8300" s="25" t="s">
        <v>26241</v>
      </c>
      <c r="E8300" s="28">
        <v>0.20000</v>
      </c>
      <c r="F8300" s="29">
        <f ca="1">ROUND(261.660,3)</f>
        <v>0</v>
      </c>
      <c r="G8300" s="27">
        <f ca="1">ROUND(E8300*F8300,2)</f>
        <v>0</v>
      </c>
    </row>
    <row r="8301" spans="1:7" ht="15.12" thickBot="1" customHeight="1">
      <c r="A8301" s="24" t="s">
        <v>26242</v>
      </c>
      <c r="B8301" s="24" t="s">
        <v>26243</v>
      </c>
      <c r="C8301" s="24" t="s">
        <v>26244</v>
      </c>
      <c r="D8301" s="25" t="s">
        <v>26245</v>
      </c>
      <c r="E8301" s="28">
        <v>1.00000</v>
      </c>
      <c r="F8301" s="29">
        <f ca="1">F8307</f>
        <v>0</v>
      </c>
      <c r="G8301" s="27">
        <f ca="1">ROUND(E8301*F8301,2)</f>
        <v>0</v>
      </c>
    </row>
    <row r="8302" spans="1:7" ht="30.60" thickBot="1" customHeight="1">
      <c r="A8302" s="24" t="s">
        <v>26246</v>
      </c>
      <c r="B8302" s="24" t="s">
        <v>26247</v>
      </c>
      <c r="C8302" s="24" t="s">
        <v>26248</v>
      </c>
      <c r="D8302" s="25" t="s">
        <v>26249</v>
      </c>
      <c r="E8302" s="28">
        <v>1.00000</v>
      </c>
      <c r="F8302" s="29">
        <f ca="1">ROUND(0.300,3)</f>
        <v>0</v>
      </c>
      <c r="G8302" s="27">
        <f ca="1">ROUND(E8302*F8302,2)</f>
        <v>0</v>
      </c>
    </row>
    <row r="8303" spans="1:7" ht="30.60" thickBot="1" customHeight="1">
      <c r="A8303" s="24" t="s">
        <v>26250</v>
      </c>
      <c r="B8303" s="24" t="s">
        <v>26251</v>
      </c>
      <c r="C8303" s="24" t="s">
        <v>26252</v>
      </c>
      <c r="D8303" s="25" t="s">
        <v>26253</v>
      </c>
      <c r="E8303" s="28">
        <v>4.00000</v>
      </c>
      <c r="F8303" s="29">
        <f ca="1">ROUND(1.470,3)</f>
        <v>0</v>
      </c>
      <c r="G8303" s="27">
        <f ca="1">ROUND(E8303*F8303,2)</f>
        <v>0</v>
      </c>
    </row>
    <row r="8304" spans="1:7" ht="39.84" thickBot="1" customHeight="1">
      <c r="A8304" s="24" t="s">
        <v>26254</v>
      </c>
      <c r="B8304" s="24" t="s">
        <v>26255</v>
      </c>
      <c r="C8304" s="24" t="s">
        <v>26256</v>
      </c>
      <c r="D8304" s="25" t="s">
        <v>26257</v>
      </c>
      <c r="E8304" s="28">
        <v>0.15000</v>
      </c>
      <c r="F8304" s="29">
        <f ca="1">ROUND(20.130,3)</f>
        <v>0</v>
      </c>
      <c r="G8304" s="27">
        <f ca="1">ROUND(E8304*F8304,2)</f>
        <v>0</v>
      </c>
    </row>
    <row r="8305" spans="1:7" ht="21.36" thickBot="1" customHeight="1">
      <c r="A8305" s="24" t="s">
        <v>26258</v>
      </c>
      <c r="B8305" s="24" t="s">
        <v>26259</v>
      </c>
      <c r="C8305" s="24" t="s">
        <v>26260</v>
      </c>
      <c r="D8305" s="25" t="s">
        <v>26261</v>
      </c>
      <c r="E8305" s="28">
        <v>0.30000</v>
      </c>
      <c r="F8305" s="29">
        <f ca="1">ROUND(43.800,3)</f>
        <v>0</v>
      </c>
      <c r="G8305" s="27">
        <f ca="1">ROUND(E8305*F8305,2)</f>
        <v>0</v>
      </c>
    </row>
    <row r="8306" spans="1:7" ht="15.12" thickBot="1" customHeight="1">
      <c r="A8306" s="24" t="s">
        <v>26262</v>
      </c>
      <c r="B8306" s="24"/>
      <c r="C8306" s="24" t="s">
        <v>26263</v>
      </c>
      <c r="D8306" s="25" t="s">
        <v>26264</v>
      </c>
      <c r="E8306" s="28">
        <v>3.00000</v>
      </c>
      <c r="F8306" s="29">
        <f ca="1">ROUND(13.140,3)</f>
        <v>0</v>
      </c>
      <c r="G8306" s="27">
        <f ca="1">ROUND((E8306*F8306)/100,2)</f>
        <v>0</v>
      </c>
    </row>
    <row r="8307" spans="1:7" ht="15.12" thickBot="1" customHeight="1">
      <c r="A8307" s="26"/>
      <c r="B8307" s="26"/>
      <c r="C8307" s="26"/>
      <c r="D8307" s="24" t="s">
        <v>26265</v>
      </c>
      <c r="E8307" s="28">
        <v>1.00000</v>
      </c>
      <c r="F8307" s="29">
        <f ca="1">ROUND((G8302+G8303+G8304+G8305+G8306),3)</f>
        <v>0</v>
      </c>
      <c r="G8307" s="27">
        <f ca="1">ROUND(E8307*F8307,2)</f>
        <v>0</v>
      </c>
    </row>
    <row r="8308" spans="1:7" ht="21.36" thickBot="1" customHeight="1">
      <c r="A8308" s="24" t="s">
        <v>26266</v>
      </c>
      <c r="B8308" s="24" t="s">
        <v>26267</v>
      </c>
      <c r="C8308" s="24" t="s">
        <v>26268</v>
      </c>
      <c r="D8308" s="25" t="s">
        <v>26269</v>
      </c>
      <c r="E8308" s="28">
        <v>1.00000</v>
      </c>
      <c r="F8308" s="29">
        <f ca="1">F8312</f>
        <v>0</v>
      </c>
      <c r="G8308" s="27">
        <f ca="1">ROUND(E8308*F8308,2)</f>
        <v>0</v>
      </c>
    </row>
    <row r="8309" spans="1:7" ht="24.36" thickBot="1" customHeight="1">
      <c r="A8309" s="24" t="s">
        <v>26270</v>
      </c>
      <c r="B8309" s="24" t="s">
        <v>26271</v>
      </c>
      <c r="C8309" s="24" t="s">
        <v>26272</v>
      </c>
      <c r="D8309" s="25" t="s">
        <v>26273</v>
      </c>
      <c r="E8309" s="28">
        <v>1.00000</v>
      </c>
      <c r="F8309" s="29">
        <f ca="1">ROUND(21.000,3)</f>
        <v>0</v>
      </c>
      <c r="G8309" s="27">
        <f ca="1">ROUND(E8309*F8309,2)</f>
        <v>0</v>
      </c>
    </row>
    <row r="8310" spans="1:7" ht="24.36" thickBot="1" customHeight="1">
      <c r="A8310" s="24" t="s">
        <v>26274</v>
      </c>
      <c r="B8310" s="24" t="s">
        <v>26275</v>
      </c>
      <c r="C8310" s="24" t="s">
        <v>26276</v>
      </c>
      <c r="D8310" s="25" t="s">
        <v>26277</v>
      </c>
      <c r="E8310" s="28">
        <v>1.00000</v>
      </c>
      <c r="F8310" s="29">
        <f ca="1">ROUND(19.000,3)</f>
        <v>0</v>
      </c>
      <c r="G8310" s="27">
        <f ca="1">ROUND(E8310*F8310,2)</f>
        <v>0</v>
      </c>
    </row>
    <row r="8311" spans="1:7" ht="24.36" thickBot="1" customHeight="1">
      <c r="A8311" s="24" t="s">
        <v>26278</v>
      </c>
      <c r="B8311" s="24" t="s">
        <v>26279</v>
      </c>
      <c r="C8311" s="24" t="s">
        <v>26280</v>
      </c>
      <c r="D8311" s="25" t="s">
        <v>26281</v>
      </c>
      <c r="E8311" s="28">
        <v>0.20000</v>
      </c>
      <c r="F8311" s="29">
        <f ca="1">ROUND(19.000,3)</f>
        <v>0</v>
      </c>
      <c r="G8311" s="27">
        <f ca="1">ROUND(E8311*F8311,2)</f>
        <v>0</v>
      </c>
    </row>
    <row r="8312" spans="1:7" ht="15.12" thickBot="1" customHeight="1">
      <c r="A8312" s="26"/>
      <c r="B8312" s="26"/>
      <c r="C8312" s="26"/>
      <c r="D8312" s="24" t="s">
        <v>26282</v>
      </c>
      <c r="E8312" s="28">
        <v>1.00000</v>
      </c>
      <c r="F8312" s="29">
        <f ca="1">ROUND((G8309+G8310+G8311),3)</f>
        <v>0</v>
      </c>
      <c r="G8312" s="27">
        <f ca="1">ROUND(E8312*F8312,2)</f>
        <v>0</v>
      </c>
    </row>
    <row r="8313" spans="1:7" ht="15.12" thickBot="1" customHeight="1">
      <c r="A8313" s="24" t="s">
        <v>26283</v>
      </c>
      <c r="B8313" s="24"/>
      <c r="C8313" s="24" t="s">
        <v>26284</v>
      </c>
      <c r="D8313" s="25" t="s">
        <v>26285</v>
      </c>
      <c r="E8313" s="28">
        <v>3.00000</v>
      </c>
      <c r="F8313" s="29">
        <f ca="1">ROUND(43.800,3)</f>
        <v>0</v>
      </c>
      <c r="G8313" s="27">
        <f ca="1">ROUND((E8313*F8313)/100,2)</f>
        <v>0</v>
      </c>
    </row>
    <row r="8314" spans="1:7" ht="15.48" thickBot="1" customHeight="1">
      <c r="A8314" s="30"/>
      <c r="B8314" s="30"/>
      <c r="C8314" s="30"/>
      <c r="D8314" s="31" t="s">
        <v>26286</v>
      </c>
      <c r="E8314" s="30"/>
      <c r="F8314" s="33">
        <f ca="1">ROUND((G8297+G8298+G8299+G8300+G8301+G8308+G8313)*(1+G2/100),2)</f>
        <v>0</v>
      </c>
      <c r="G8314" s="30"/>
    </row>
    <row r="8315" spans="1:7" ht="21.36" thickBot="1" customHeight="1">
      <c r="A8315" s="34" t="s">
        <v>26287</v>
      </c>
      <c r="B8315" s="35" t="s">
        <v>26288</v>
      </c>
      <c r="C8315" s="35" t="s">
        <v>26289</v>
      </c>
      <c r="D8315" s="36" t="s">
        <v>26290</v>
      </c>
      <c r="E8315" s="37"/>
      <c r="F8315" s="38">
        <f ca="1">F8334</f>
        <v>0</v>
      </c>
      <c r="G8315" s="37"/>
    </row>
    <row r="8316" spans="1:7" ht="39.84" thickBot="1" customHeight="1">
      <c r="A8316" s="26"/>
      <c r="B8316" s="26"/>
      <c r="C8316" s="26"/>
      <c r="D8316" s="25" t="s">
        <v>26291</v>
      </c>
      <c r="E8316" s="25"/>
      <c r="F8316" s="25"/>
      <c r="G8316" s="25"/>
    </row>
    <row r="8317" spans="1:7" ht="21.36" thickBot="1" customHeight="1">
      <c r="A8317" s="24" t="s">
        <v>26292</v>
      </c>
      <c r="B8317" s="24" t="s">
        <v>26293</v>
      </c>
      <c r="C8317" s="24" t="s">
        <v>26294</v>
      </c>
      <c r="D8317" s="25" t="s">
        <v>26295</v>
      </c>
      <c r="E8317" s="28">
        <v>0.12500</v>
      </c>
      <c r="F8317" s="29">
        <f ca="1">ROUND(8.110,3)</f>
        <v>0</v>
      </c>
      <c r="G8317" s="27">
        <f ca="1">ROUND(E8317*F8317,2)</f>
        <v>0</v>
      </c>
    </row>
    <row r="8318" spans="1:7" ht="21.36" thickBot="1" customHeight="1">
      <c r="A8318" s="24" t="s">
        <v>26296</v>
      </c>
      <c r="B8318" s="24" t="s">
        <v>26297</v>
      </c>
      <c r="C8318" s="24" t="s">
        <v>26298</v>
      </c>
      <c r="D8318" s="25" t="s">
        <v>26299</v>
      </c>
      <c r="E8318" s="28">
        <v>0.15000</v>
      </c>
      <c r="F8318" s="29">
        <f ca="1">ROUND(39.650,3)</f>
        <v>0</v>
      </c>
      <c r="G8318" s="27">
        <f ca="1">ROUND(E8318*F8318,2)</f>
        <v>0</v>
      </c>
    </row>
    <row r="8319" spans="1:7" ht="21.36" thickBot="1" customHeight="1">
      <c r="A8319" s="24" t="s">
        <v>26300</v>
      </c>
      <c r="B8319" s="24" t="s">
        <v>26301</v>
      </c>
      <c r="C8319" s="24" t="s">
        <v>26302</v>
      </c>
      <c r="D8319" s="25" t="s">
        <v>26303</v>
      </c>
      <c r="E8319" s="28">
        <v>0.08000</v>
      </c>
      <c r="F8319" s="29">
        <f ca="1">ROUND(12.140,3)</f>
        <v>0</v>
      </c>
      <c r="G8319" s="27">
        <f ca="1">ROUND(E8319*F8319,2)</f>
        <v>0</v>
      </c>
    </row>
    <row r="8320" spans="1:7" ht="30.60" thickBot="1" customHeight="1">
      <c r="A8320" s="24" t="s">
        <v>26304</v>
      </c>
      <c r="B8320" s="24" t="s">
        <v>26305</v>
      </c>
      <c r="C8320" s="24" t="s">
        <v>26306</v>
      </c>
      <c r="D8320" s="25" t="s">
        <v>26307</v>
      </c>
      <c r="E8320" s="28">
        <v>0.20000</v>
      </c>
      <c r="F8320" s="29">
        <f ca="1">ROUND(403.200,3)</f>
        <v>0</v>
      </c>
      <c r="G8320" s="27">
        <f ca="1">ROUND(E8320*F8320,2)</f>
        <v>0</v>
      </c>
    </row>
    <row r="8321" spans="1:7" ht="15.12" thickBot="1" customHeight="1">
      <c r="A8321" s="24" t="s">
        <v>26308</v>
      </c>
      <c r="B8321" s="24" t="s">
        <v>26309</v>
      </c>
      <c r="C8321" s="24" t="s">
        <v>26310</v>
      </c>
      <c r="D8321" s="25" t="s">
        <v>26311</v>
      </c>
      <c r="E8321" s="28">
        <v>1.00000</v>
      </c>
      <c r="F8321" s="29">
        <f ca="1">F8327</f>
        <v>0</v>
      </c>
      <c r="G8321" s="27">
        <f ca="1">ROUND(E8321*F8321,2)</f>
        <v>0</v>
      </c>
    </row>
    <row r="8322" spans="1:7" ht="30.60" thickBot="1" customHeight="1">
      <c r="A8322" s="24" t="s">
        <v>26312</v>
      </c>
      <c r="B8322" s="24" t="s">
        <v>26313</v>
      </c>
      <c r="C8322" s="24" t="s">
        <v>26314</v>
      </c>
      <c r="D8322" s="25" t="s">
        <v>26315</v>
      </c>
      <c r="E8322" s="28">
        <v>1.00000</v>
      </c>
      <c r="F8322" s="29">
        <f ca="1">ROUND(0.300,3)</f>
        <v>0</v>
      </c>
      <c r="G8322" s="27">
        <f ca="1">ROUND(E8322*F8322,2)</f>
        <v>0</v>
      </c>
    </row>
    <row r="8323" spans="1:7" ht="30.60" thickBot="1" customHeight="1">
      <c r="A8323" s="24" t="s">
        <v>26316</v>
      </c>
      <c r="B8323" s="24" t="s">
        <v>26317</v>
      </c>
      <c r="C8323" s="24" t="s">
        <v>26318</v>
      </c>
      <c r="D8323" s="25" t="s">
        <v>26319</v>
      </c>
      <c r="E8323" s="28">
        <v>4.00000</v>
      </c>
      <c r="F8323" s="29">
        <f ca="1">ROUND(1.470,3)</f>
        <v>0</v>
      </c>
      <c r="G8323" s="27">
        <f ca="1">ROUND(E8323*F8323,2)</f>
        <v>0</v>
      </c>
    </row>
    <row r="8324" spans="1:7" ht="39.84" thickBot="1" customHeight="1">
      <c r="A8324" s="24" t="s">
        <v>26320</v>
      </c>
      <c r="B8324" s="24" t="s">
        <v>26321</v>
      </c>
      <c r="C8324" s="24" t="s">
        <v>26322</v>
      </c>
      <c r="D8324" s="25" t="s">
        <v>26323</v>
      </c>
      <c r="E8324" s="28">
        <v>0.15000</v>
      </c>
      <c r="F8324" s="29">
        <f ca="1">ROUND(20.130,3)</f>
        <v>0</v>
      </c>
      <c r="G8324" s="27">
        <f ca="1">ROUND(E8324*F8324,2)</f>
        <v>0</v>
      </c>
    </row>
    <row r="8325" spans="1:7" ht="21.36" thickBot="1" customHeight="1">
      <c r="A8325" s="24" t="s">
        <v>26324</v>
      </c>
      <c r="B8325" s="24" t="s">
        <v>26325</v>
      </c>
      <c r="C8325" s="24" t="s">
        <v>26326</v>
      </c>
      <c r="D8325" s="25" t="s">
        <v>26327</v>
      </c>
      <c r="E8325" s="28">
        <v>0.30000</v>
      </c>
      <c r="F8325" s="29">
        <f ca="1">ROUND(43.800,3)</f>
        <v>0</v>
      </c>
      <c r="G8325" s="27">
        <f ca="1">ROUND(E8325*F8325,2)</f>
        <v>0</v>
      </c>
    </row>
    <row r="8326" spans="1:7" ht="15.12" thickBot="1" customHeight="1">
      <c r="A8326" s="24" t="s">
        <v>26328</v>
      </c>
      <c r="B8326" s="24"/>
      <c r="C8326" s="24" t="s">
        <v>26329</v>
      </c>
      <c r="D8326" s="25" t="s">
        <v>26330</v>
      </c>
      <c r="E8326" s="28">
        <v>3.00000</v>
      </c>
      <c r="F8326" s="29">
        <f ca="1">ROUND(13.140,3)</f>
        <v>0</v>
      </c>
      <c r="G8326" s="27">
        <f ca="1">ROUND((E8326*F8326)/100,2)</f>
        <v>0</v>
      </c>
    </row>
    <row r="8327" spans="1:7" ht="15.12" thickBot="1" customHeight="1">
      <c r="A8327" s="26"/>
      <c r="B8327" s="26"/>
      <c r="C8327" s="26"/>
      <c r="D8327" s="24" t="s">
        <v>26331</v>
      </c>
      <c r="E8327" s="28">
        <v>1.00000</v>
      </c>
      <c r="F8327" s="29">
        <f ca="1">ROUND((G8322+G8323+G8324+G8325+G8326),3)</f>
        <v>0</v>
      </c>
      <c r="G8327" s="27">
        <f ca="1">ROUND(E8327*F8327,2)</f>
        <v>0</v>
      </c>
    </row>
    <row r="8328" spans="1:7" ht="21.36" thickBot="1" customHeight="1">
      <c r="A8328" s="24" t="s">
        <v>26332</v>
      </c>
      <c r="B8328" s="24" t="s">
        <v>26333</v>
      </c>
      <c r="C8328" s="24" t="s">
        <v>26334</v>
      </c>
      <c r="D8328" s="25" t="s">
        <v>26335</v>
      </c>
      <c r="E8328" s="28">
        <v>1.00000</v>
      </c>
      <c r="F8328" s="29">
        <f ca="1">F8332</f>
        <v>0</v>
      </c>
      <c r="G8328" s="27">
        <f ca="1">ROUND(E8328*F8328,2)</f>
        <v>0</v>
      </c>
    </row>
    <row r="8329" spans="1:7" ht="24.36" thickBot="1" customHeight="1">
      <c r="A8329" s="24" t="s">
        <v>26336</v>
      </c>
      <c r="B8329" s="24" t="s">
        <v>26337</v>
      </c>
      <c r="C8329" s="24" t="s">
        <v>26338</v>
      </c>
      <c r="D8329" s="25" t="s">
        <v>26339</v>
      </c>
      <c r="E8329" s="28">
        <v>1.00000</v>
      </c>
      <c r="F8329" s="29">
        <f ca="1">ROUND(21.000,3)</f>
        <v>0</v>
      </c>
      <c r="G8329" s="27">
        <f ca="1">ROUND(E8329*F8329,2)</f>
        <v>0</v>
      </c>
    </row>
    <row r="8330" spans="1:7" ht="24.36" thickBot="1" customHeight="1">
      <c r="A8330" s="24" t="s">
        <v>26340</v>
      </c>
      <c r="B8330" s="24" t="s">
        <v>26341</v>
      </c>
      <c r="C8330" s="24" t="s">
        <v>26342</v>
      </c>
      <c r="D8330" s="25" t="s">
        <v>26343</v>
      </c>
      <c r="E8330" s="28">
        <v>1.00000</v>
      </c>
      <c r="F8330" s="29">
        <f ca="1">ROUND(19.000,3)</f>
        <v>0</v>
      </c>
      <c r="G8330" s="27">
        <f ca="1">ROUND(E8330*F8330,2)</f>
        <v>0</v>
      </c>
    </row>
    <row r="8331" spans="1:7" ht="24.36" thickBot="1" customHeight="1">
      <c r="A8331" s="24" t="s">
        <v>26344</v>
      </c>
      <c r="B8331" s="24" t="s">
        <v>26345</v>
      </c>
      <c r="C8331" s="24" t="s">
        <v>26346</v>
      </c>
      <c r="D8331" s="25" t="s">
        <v>26347</v>
      </c>
      <c r="E8331" s="28">
        <v>0.20000</v>
      </c>
      <c r="F8331" s="29">
        <f ca="1">ROUND(19.000,3)</f>
        <v>0</v>
      </c>
      <c r="G8331" s="27">
        <f ca="1">ROUND(E8331*F8331,2)</f>
        <v>0</v>
      </c>
    </row>
    <row r="8332" spans="1:7" ht="15.12" thickBot="1" customHeight="1">
      <c r="A8332" s="26"/>
      <c r="B8332" s="26"/>
      <c r="C8332" s="26"/>
      <c r="D8332" s="24" t="s">
        <v>26348</v>
      </c>
      <c r="E8332" s="28">
        <v>1.00000</v>
      </c>
      <c r="F8332" s="29">
        <f ca="1">ROUND((G8329+G8330+G8331),3)</f>
        <v>0</v>
      </c>
      <c r="G8332" s="27">
        <f ca="1">ROUND(E8332*F8332,2)</f>
        <v>0</v>
      </c>
    </row>
    <row r="8333" spans="1:7" ht="15.12" thickBot="1" customHeight="1">
      <c r="A8333" s="24" t="s">
        <v>26349</v>
      </c>
      <c r="B8333" s="24"/>
      <c r="C8333" s="24" t="s">
        <v>26350</v>
      </c>
      <c r="D8333" s="25" t="s">
        <v>26351</v>
      </c>
      <c r="E8333" s="28">
        <v>3.00000</v>
      </c>
      <c r="F8333" s="29">
        <f ca="1">ROUND(43.800,3)</f>
        <v>0</v>
      </c>
      <c r="G8333" s="27">
        <f ca="1">ROUND((E8333*F8333)/100,2)</f>
        <v>0</v>
      </c>
    </row>
    <row r="8334" spans="1:7" ht="15.48" thickBot="1" customHeight="1">
      <c r="A8334" s="30"/>
      <c r="B8334" s="30"/>
      <c r="C8334" s="30"/>
      <c r="D8334" s="31" t="s">
        <v>26352</v>
      </c>
      <c r="E8334" s="30"/>
      <c r="F8334" s="33">
        <f ca="1">ROUND((G8317+G8318+G8319+G8320+G8321+G8328+G8333)*(1+G2/100),2)</f>
        <v>0</v>
      </c>
      <c r="G8334" s="30"/>
    </row>
    <row r="8335" spans="1:7" ht="30.60" thickBot="1" customHeight="1">
      <c r="A8335" s="34" t="s">
        <v>26353</v>
      </c>
      <c r="B8335" s="35" t="s">
        <v>26354</v>
      </c>
      <c r="C8335" s="35" t="s">
        <v>26355</v>
      </c>
      <c r="D8335" s="36" t="s">
        <v>26356</v>
      </c>
      <c r="E8335" s="37"/>
      <c r="F8335" s="38">
        <f ca="1">F8350</f>
        <v>0</v>
      </c>
      <c r="G8335" s="37"/>
    </row>
    <row r="8336" spans="1:7" ht="104.52" thickBot="1" customHeight="1">
      <c r="A8336" s="26"/>
      <c r="B8336" s="26"/>
      <c r="C8336" s="26"/>
      <c r="D8336" s="25" t="s">
        <v>26357</v>
      </c>
      <c r="E8336" s="25"/>
      <c r="F8336" s="25"/>
      <c r="G8336" s="25"/>
    </row>
    <row r="8337" spans="1:7" ht="21.36" thickBot="1" customHeight="1">
      <c r="A8337" s="24" t="s">
        <v>26358</v>
      </c>
      <c r="B8337" s="24" t="s">
        <v>26359</v>
      </c>
      <c r="C8337" s="24" t="s">
        <v>26360</v>
      </c>
      <c r="D8337" s="25" t="s">
        <v>26361</v>
      </c>
      <c r="E8337" s="28">
        <v>20.60000</v>
      </c>
      <c r="F8337" s="29">
        <f ca="1">ROUND(2.280,3)</f>
        <v>0</v>
      </c>
      <c r="G8337" s="27">
        <f ca="1">ROUND(E8337*F8337,2)</f>
        <v>0</v>
      </c>
    </row>
    <row r="8338" spans="1:7" ht="30.60" thickBot="1" customHeight="1">
      <c r="A8338" s="24" t="s">
        <v>26362</v>
      </c>
      <c r="B8338" s="24" t="s">
        <v>26363</v>
      </c>
      <c r="C8338" s="24" t="s">
        <v>26364</v>
      </c>
      <c r="D8338" s="25" t="s">
        <v>26365</v>
      </c>
      <c r="E8338" s="28">
        <v>370.00000</v>
      </c>
      <c r="F8338" s="29">
        <f ca="1">ROUND(0.470,3)</f>
        <v>0</v>
      </c>
      <c r="G8338" s="27">
        <f ca="1">ROUND(E8338*F8338,2)</f>
        <v>0</v>
      </c>
    </row>
    <row r="8339" spans="1:7" ht="21.36" thickBot="1" customHeight="1">
      <c r="A8339" s="24" t="s">
        <v>26366</v>
      </c>
      <c r="B8339" s="24" t="s">
        <v>26367</v>
      </c>
      <c r="C8339" s="24" t="s">
        <v>26368</v>
      </c>
      <c r="D8339" s="25" t="s">
        <v>26369</v>
      </c>
      <c r="E8339" s="28">
        <v>14.00000</v>
      </c>
      <c r="F8339" s="29">
        <f ca="1">ROUND(1.620,3)</f>
        <v>0</v>
      </c>
      <c r="G8339" s="27">
        <f ca="1">ROUND(E8339*F8339,2)</f>
        <v>0</v>
      </c>
    </row>
    <row r="8340" spans="1:7" ht="30.60" thickBot="1" customHeight="1">
      <c r="A8340" s="24" t="s">
        <v>26370</v>
      </c>
      <c r="B8340" s="24" t="s">
        <v>26371</v>
      </c>
      <c r="C8340" s="24" t="s">
        <v>26372</v>
      </c>
      <c r="D8340" s="25" t="s">
        <v>26373</v>
      </c>
      <c r="E8340" s="28">
        <v>1.00000</v>
      </c>
      <c r="F8340" s="29">
        <f ca="1">ROUND(6.040,3)</f>
        <v>0</v>
      </c>
      <c r="G8340" s="27">
        <f ca="1">ROUND(E8340*F8340,2)</f>
        <v>0</v>
      </c>
    </row>
    <row r="8341" spans="1:7" ht="30.60" thickBot="1" customHeight="1">
      <c r="A8341" s="24" t="s">
        <v>26374</v>
      </c>
      <c r="B8341" s="24" t="s">
        <v>26375</v>
      </c>
      <c r="C8341" s="24" t="s">
        <v>26376</v>
      </c>
      <c r="D8341" s="25" t="s">
        <v>26377</v>
      </c>
      <c r="E8341" s="28">
        <v>7.00000</v>
      </c>
      <c r="F8341" s="29">
        <f ca="1">ROUND(1.470,3)</f>
        <v>0</v>
      </c>
      <c r="G8341" s="27">
        <f ca="1">ROUND(E8341*F8341,2)</f>
        <v>0</v>
      </c>
    </row>
    <row r="8342" spans="1:7" ht="30.60" thickBot="1" customHeight="1">
      <c r="A8342" s="24" t="s">
        <v>26378</v>
      </c>
      <c r="B8342" s="24" t="s">
        <v>26379</v>
      </c>
      <c r="C8342" s="24" t="s">
        <v>26380</v>
      </c>
      <c r="D8342" s="25" t="s">
        <v>26381</v>
      </c>
      <c r="E8342" s="28">
        <v>8.00000</v>
      </c>
      <c r="F8342" s="29">
        <f ca="1">ROUND(0.430,3)</f>
        <v>0</v>
      </c>
      <c r="G8342" s="27">
        <f ca="1">ROUND(E8342*F8342,2)</f>
        <v>0</v>
      </c>
    </row>
    <row r="8343" spans="1:7" ht="39.84" thickBot="1" customHeight="1">
      <c r="A8343" s="24" t="s">
        <v>26382</v>
      </c>
      <c r="B8343" s="24" t="s">
        <v>26383</v>
      </c>
      <c r="C8343" s="24" t="s">
        <v>26384</v>
      </c>
      <c r="D8343" s="25" t="s">
        <v>26385</v>
      </c>
      <c r="E8343" s="28">
        <v>0.20000</v>
      </c>
      <c r="F8343" s="29">
        <f ca="1">ROUND(20.130,3)</f>
        <v>0</v>
      </c>
      <c r="G8343" s="27">
        <f ca="1">ROUND(E8343*F8343,2)</f>
        <v>0</v>
      </c>
    </row>
    <row r="8344" spans="1:7" ht="21.36" thickBot="1" customHeight="1">
      <c r="A8344" s="24" t="s">
        <v>26386</v>
      </c>
      <c r="B8344" s="24" t="s">
        <v>26387</v>
      </c>
      <c r="C8344" s="24" t="s">
        <v>26388</v>
      </c>
      <c r="D8344" s="25" t="s">
        <v>26389</v>
      </c>
      <c r="E8344" s="28">
        <v>5.14500</v>
      </c>
      <c r="F8344" s="29">
        <f ca="1">F8348</f>
        <v>0</v>
      </c>
      <c r="G8344" s="27">
        <f ca="1">ROUND(E8344*F8344,2)</f>
        <v>0</v>
      </c>
    </row>
    <row r="8345" spans="1:7" ht="24.36" thickBot="1" customHeight="1">
      <c r="A8345" s="24" t="s">
        <v>26390</v>
      </c>
      <c r="B8345" s="24" t="s">
        <v>26391</v>
      </c>
      <c r="C8345" s="24" t="s">
        <v>26392</v>
      </c>
      <c r="D8345" s="25" t="s">
        <v>26393</v>
      </c>
      <c r="E8345" s="28">
        <v>1.00000</v>
      </c>
      <c r="F8345" s="29">
        <f ca="1">ROUND(21.000,3)</f>
        <v>0</v>
      </c>
      <c r="G8345" s="27">
        <f ca="1">ROUND(E8345*F8345,2)</f>
        <v>0</v>
      </c>
    </row>
    <row r="8346" spans="1:7" ht="24.36" thickBot="1" customHeight="1">
      <c r="A8346" s="24" t="s">
        <v>26394</v>
      </c>
      <c r="B8346" s="24" t="s">
        <v>26395</v>
      </c>
      <c r="C8346" s="24" t="s">
        <v>26396</v>
      </c>
      <c r="D8346" s="25" t="s">
        <v>26397</v>
      </c>
      <c r="E8346" s="28">
        <v>1.00000</v>
      </c>
      <c r="F8346" s="29">
        <f ca="1">ROUND(19.000,3)</f>
        <v>0</v>
      </c>
      <c r="G8346" s="27">
        <f ca="1">ROUND(E8346*F8346,2)</f>
        <v>0</v>
      </c>
    </row>
    <row r="8347" spans="1:7" ht="24.36" thickBot="1" customHeight="1">
      <c r="A8347" s="24" t="s">
        <v>26398</v>
      </c>
      <c r="B8347" s="24" t="s">
        <v>26399</v>
      </c>
      <c r="C8347" s="24" t="s">
        <v>26400</v>
      </c>
      <c r="D8347" s="25" t="s">
        <v>26401</v>
      </c>
      <c r="E8347" s="28">
        <v>0.20000</v>
      </c>
      <c r="F8347" s="29">
        <f ca="1">ROUND(19.000,3)</f>
        <v>0</v>
      </c>
      <c r="G8347" s="27">
        <f ca="1">ROUND(E8347*F8347,2)</f>
        <v>0</v>
      </c>
    </row>
    <row r="8348" spans="1:7" ht="15.12" thickBot="1" customHeight="1">
      <c r="A8348" s="26"/>
      <c r="B8348" s="26"/>
      <c r="C8348" s="26"/>
      <c r="D8348" s="24" t="s">
        <v>26402</v>
      </c>
      <c r="E8348" s="28">
        <v>5.14500</v>
      </c>
      <c r="F8348" s="29">
        <f ca="1">ROUND((G8345+G8346+G8347),3)</f>
        <v>0</v>
      </c>
      <c r="G8348" s="27">
        <f ca="1">ROUND(E8348*F8348,2)</f>
        <v>0</v>
      </c>
    </row>
    <row r="8349" spans="1:7" ht="15.12" thickBot="1" customHeight="1">
      <c r="A8349" s="24" t="s">
        <v>26403</v>
      </c>
      <c r="B8349" s="24"/>
      <c r="C8349" s="24" t="s">
        <v>26404</v>
      </c>
      <c r="D8349" s="25" t="s">
        <v>26405</v>
      </c>
      <c r="E8349" s="28">
        <v>3.00000</v>
      </c>
      <c r="F8349" s="29">
        <f ca="1">ROUND(225.350,3)</f>
        <v>0</v>
      </c>
      <c r="G8349" s="27">
        <f ca="1">ROUND((E8349*F8349)/100,2)</f>
        <v>0</v>
      </c>
    </row>
    <row r="8350" spans="1:7" ht="15.48" thickBot="1" customHeight="1">
      <c r="A8350" s="30"/>
      <c r="B8350" s="30"/>
      <c r="C8350" s="30"/>
      <c r="D8350" s="31" t="s">
        <v>26406</v>
      </c>
      <c r="E8350" s="30"/>
      <c r="F8350" s="33">
        <f ca="1">ROUND((G8337+G8338+G8339+G8340+G8341+G8342+G8343+G8344+G8349)*(1+G2/100),2)</f>
        <v>0</v>
      </c>
      <c r="G8350" s="30"/>
    </row>
    <row r="8351" spans="1:7" ht="30.60" thickBot="1" customHeight="1">
      <c r="A8351" s="34" t="s">
        <v>26407</v>
      </c>
      <c r="B8351" s="35" t="s">
        <v>26408</v>
      </c>
      <c r="C8351" s="35" t="s">
        <v>26409</v>
      </c>
      <c r="D8351" s="36" t="s">
        <v>26410</v>
      </c>
      <c r="E8351" s="37"/>
      <c r="F8351" s="38">
        <f ca="1">F8366</f>
        <v>0</v>
      </c>
      <c r="G8351" s="37"/>
    </row>
    <row r="8352" spans="1:7" ht="95.28" thickBot="1" customHeight="1">
      <c r="A8352" s="26"/>
      <c r="B8352" s="26"/>
      <c r="C8352" s="26"/>
      <c r="D8352" s="25" t="s">
        <v>26411</v>
      </c>
      <c r="E8352" s="25"/>
      <c r="F8352" s="25"/>
      <c r="G8352" s="25"/>
    </row>
    <row r="8353" spans="1:7" ht="21.36" thickBot="1" customHeight="1">
      <c r="A8353" s="24" t="s">
        <v>26412</v>
      </c>
      <c r="B8353" s="24" t="s">
        <v>26413</v>
      </c>
      <c r="C8353" s="24" t="s">
        <v>26414</v>
      </c>
      <c r="D8353" s="25" t="s">
        <v>26415</v>
      </c>
      <c r="E8353" s="28">
        <v>13.00000</v>
      </c>
      <c r="F8353" s="29">
        <f ca="1">ROUND(2.280,3)</f>
        <v>0</v>
      </c>
      <c r="G8353" s="27">
        <f ca="1">ROUND(E8353*F8353,2)</f>
        <v>0</v>
      </c>
    </row>
    <row r="8354" spans="1:7" ht="30.60" thickBot="1" customHeight="1">
      <c r="A8354" s="24" t="s">
        <v>26416</v>
      </c>
      <c r="B8354" s="24" t="s">
        <v>26417</v>
      </c>
      <c r="C8354" s="24" t="s">
        <v>26418</v>
      </c>
      <c r="D8354" s="25" t="s">
        <v>26419</v>
      </c>
      <c r="E8354" s="28">
        <v>119.00000</v>
      </c>
      <c r="F8354" s="29">
        <f ca="1">ROUND(0.470,3)</f>
        <v>0</v>
      </c>
      <c r="G8354" s="27">
        <f ca="1">ROUND(E8354*F8354,2)</f>
        <v>0</v>
      </c>
    </row>
    <row r="8355" spans="1:7" ht="21.36" thickBot="1" customHeight="1">
      <c r="A8355" s="24" t="s">
        <v>26420</v>
      </c>
      <c r="B8355" s="24" t="s">
        <v>26421</v>
      </c>
      <c r="C8355" s="24" t="s">
        <v>26422</v>
      </c>
      <c r="D8355" s="25" t="s">
        <v>26423</v>
      </c>
      <c r="E8355" s="28">
        <v>5.00000</v>
      </c>
      <c r="F8355" s="29">
        <f ca="1">ROUND(1.620,3)</f>
        <v>0</v>
      </c>
      <c r="G8355" s="27">
        <f ca="1">ROUND(E8355*F8355,2)</f>
        <v>0</v>
      </c>
    </row>
    <row r="8356" spans="1:7" ht="30.60" thickBot="1" customHeight="1">
      <c r="A8356" s="24" t="s">
        <v>26424</v>
      </c>
      <c r="B8356" s="24" t="s">
        <v>26425</v>
      </c>
      <c r="C8356" s="24" t="s">
        <v>26426</v>
      </c>
      <c r="D8356" s="25" t="s">
        <v>26427</v>
      </c>
      <c r="E8356" s="28">
        <v>1.00000</v>
      </c>
      <c r="F8356" s="29">
        <f ca="1">ROUND(38.040,3)</f>
        <v>0</v>
      </c>
      <c r="G8356" s="27">
        <f ca="1">ROUND(E8356*F8356,2)</f>
        <v>0</v>
      </c>
    </row>
    <row r="8357" spans="1:7" ht="30.60" thickBot="1" customHeight="1">
      <c r="A8357" s="24" t="s">
        <v>26428</v>
      </c>
      <c r="B8357" s="24" t="s">
        <v>26429</v>
      </c>
      <c r="C8357" s="24" t="s">
        <v>26430</v>
      </c>
      <c r="D8357" s="25" t="s">
        <v>26431</v>
      </c>
      <c r="E8357" s="28">
        <v>5.00000</v>
      </c>
      <c r="F8357" s="29">
        <f ca="1">ROUND(1.470,3)</f>
        <v>0</v>
      </c>
      <c r="G8357" s="27">
        <f ca="1">ROUND(E8357*F8357,2)</f>
        <v>0</v>
      </c>
    </row>
    <row r="8358" spans="1:7" ht="76.80" thickBot="1" customHeight="1">
      <c r="A8358" s="24" t="s">
        <v>26432</v>
      </c>
      <c r="B8358" s="24" t="s">
        <v>26433</v>
      </c>
      <c r="C8358" s="24" t="s">
        <v>26434</v>
      </c>
      <c r="D8358" s="25" t="s">
        <v>26435</v>
      </c>
      <c r="E8358" s="28">
        <v>1.00000</v>
      </c>
      <c r="F8358" s="29">
        <f ca="1">ROUND(8.370,3)</f>
        <v>0</v>
      </c>
      <c r="G8358" s="27">
        <f ca="1">ROUND(E8358*F8358,2)</f>
        <v>0</v>
      </c>
    </row>
    <row r="8359" spans="1:7" ht="21.36" thickBot="1" customHeight="1">
      <c r="A8359" s="24" t="s">
        <v>26436</v>
      </c>
      <c r="B8359" s="24" t="s">
        <v>26437</v>
      </c>
      <c r="C8359" s="24" t="s">
        <v>26438</v>
      </c>
      <c r="D8359" s="25" t="s">
        <v>26439</v>
      </c>
      <c r="E8359" s="28">
        <v>1.00000</v>
      </c>
      <c r="F8359" s="29">
        <f ca="1">ROUND(32.610,3)</f>
        <v>0</v>
      </c>
      <c r="G8359" s="27">
        <f ca="1">ROUND(E8359*F8359,2)</f>
        <v>0</v>
      </c>
    </row>
    <row r="8360" spans="1:7" ht="21.36" thickBot="1" customHeight="1">
      <c r="A8360" s="24" t="s">
        <v>26440</v>
      </c>
      <c r="B8360" s="24" t="s">
        <v>26441</v>
      </c>
      <c r="C8360" s="24" t="s">
        <v>26442</v>
      </c>
      <c r="D8360" s="25" t="s">
        <v>26443</v>
      </c>
      <c r="E8360" s="28">
        <v>4.22000</v>
      </c>
      <c r="F8360" s="29">
        <f ca="1">F8364</f>
        <v>0</v>
      </c>
      <c r="G8360" s="27">
        <f ca="1">ROUND(E8360*F8360,2)</f>
        <v>0</v>
      </c>
    </row>
    <row r="8361" spans="1:7" ht="24.36" thickBot="1" customHeight="1">
      <c r="A8361" s="24" t="s">
        <v>26444</v>
      </c>
      <c r="B8361" s="24" t="s">
        <v>26445</v>
      </c>
      <c r="C8361" s="24" t="s">
        <v>26446</v>
      </c>
      <c r="D8361" s="25" t="s">
        <v>26447</v>
      </c>
      <c r="E8361" s="28">
        <v>1.00000</v>
      </c>
      <c r="F8361" s="29">
        <f ca="1">ROUND(21.000,3)</f>
        <v>0</v>
      </c>
      <c r="G8361" s="27">
        <f ca="1">ROUND(E8361*F8361,2)</f>
        <v>0</v>
      </c>
    </row>
    <row r="8362" spans="1:7" ht="24.36" thickBot="1" customHeight="1">
      <c r="A8362" s="24" t="s">
        <v>26448</v>
      </c>
      <c r="B8362" s="24" t="s">
        <v>26449</v>
      </c>
      <c r="C8362" s="24" t="s">
        <v>26450</v>
      </c>
      <c r="D8362" s="25" t="s">
        <v>26451</v>
      </c>
      <c r="E8362" s="28">
        <v>1.00000</v>
      </c>
      <c r="F8362" s="29">
        <f ca="1">ROUND(19.000,3)</f>
        <v>0</v>
      </c>
      <c r="G8362" s="27">
        <f ca="1">ROUND(E8362*F8362,2)</f>
        <v>0</v>
      </c>
    </row>
    <row r="8363" spans="1:7" ht="24.36" thickBot="1" customHeight="1">
      <c r="A8363" s="24" t="s">
        <v>26452</v>
      </c>
      <c r="B8363" s="24" t="s">
        <v>26453</v>
      </c>
      <c r="C8363" s="24" t="s">
        <v>26454</v>
      </c>
      <c r="D8363" s="25" t="s">
        <v>26455</v>
      </c>
      <c r="E8363" s="28">
        <v>0.20000</v>
      </c>
      <c r="F8363" s="29">
        <f ca="1">ROUND(19.000,3)</f>
        <v>0</v>
      </c>
      <c r="G8363" s="27">
        <f ca="1">ROUND(E8363*F8363,2)</f>
        <v>0</v>
      </c>
    </row>
    <row r="8364" spans="1:7" ht="15.12" thickBot="1" customHeight="1">
      <c r="A8364" s="26"/>
      <c r="B8364" s="26"/>
      <c r="C8364" s="26"/>
      <c r="D8364" s="24" t="s">
        <v>26456</v>
      </c>
      <c r="E8364" s="28">
        <v>4.22000</v>
      </c>
      <c r="F8364" s="29">
        <f ca="1">ROUND((G8361+G8362+G8363),3)</f>
        <v>0</v>
      </c>
      <c r="G8364" s="27">
        <f ca="1">ROUND(E8364*F8364,2)</f>
        <v>0</v>
      </c>
    </row>
    <row r="8365" spans="1:7" ht="15.12" thickBot="1" customHeight="1">
      <c r="A8365" s="24" t="s">
        <v>26457</v>
      </c>
      <c r="B8365" s="24"/>
      <c r="C8365" s="24" t="s">
        <v>26458</v>
      </c>
      <c r="D8365" s="25" t="s">
        <v>26459</v>
      </c>
      <c r="E8365" s="28">
        <v>3.00000</v>
      </c>
      <c r="F8365" s="29">
        <f ca="1">ROUND(184.840,3)</f>
        <v>0</v>
      </c>
      <c r="G8365" s="27">
        <f ca="1">ROUND((E8365*F8365)/100,2)</f>
        <v>0</v>
      </c>
    </row>
    <row r="8366" spans="1:7" ht="15.48" thickBot="1" customHeight="1">
      <c r="A8366" s="30"/>
      <c r="B8366" s="30"/>
      <c r="C8366" s="30"/>
      <c r="D8366" s="31" t="s">
        <v>26460</v>
      </c>
      <c r="E8366" s="30"/>
      <c r="F8366" s="33">
        <f ca="1">ROUND((G8353+G8354+G8355+G8356+G8357+G8358+G8359+G8360+G8365)*(1+G2/100),2)</f>
        <v>0</v>
      </c>
      <c r="G8366" s="30"/>
    </row>
    <row r="8367" spans="1:7" ht="30.60" thickBot="1" customHeight="1">
      <c r="A8367" s="34" t="s">
        <v>26461</v>
      </c>
      <c r="B8367" s="35" t="s">
        <v>26462</v>
      </c>
      <c r="C8367" s="35" t="s">
        <v>26463</v>
      </c>
      <c r="D8367" s="36" t="s">
        <v>26464</v>
      </c>
      <c r="E8367" s="37"/>
      <c r="F8367" s="38">
        <f ca="1">F8382</f>
        <v>0</v>
      </c>
      <c r="G8367" s="37"/>
    </row>
    <row r="8368" spans="1:7" ht="104.52" thickBot="1" customHeight="1">
      <c r="A8368" s="26"/>
      <c r="B8368" s="26"/>
      <c r="C8368" s="26"/>
      <c r="D8368" s="25" t="s">
        <v>26465</v>
      </c>
      <c r="E8368" s="25"/>
      <c r="F8368" s="25"/>
      <c r="G8368" s="25"/>
    </row>
    <row r="8369" spans="1:7" ht="21.36" thickBot="1" customHeight="1">
      <c r="A8369" s="24" t="s">
        <v>26466</v>
      </c>
      <c r="B8369" s="24" t="s">
        <v>26467</v>
      </c>
      <c r="C8369" s="24" t="s">
        <v>26468</v>
      </c>
      <c r="D8369" s="25" t="s">
        <v>26469</v>
      </c>
      <c r="E8369" s="28">
        <v>14.00000</v>
      </c>
      <c r="F8369" s="29">
        <f ca="1">ROUND(2.280,3)</f>
        <v>0</v>
      </c>
      <c r="G8369" s="27">
        <f ca="1">ROUND(E8369*F8369,2)</f>
        <v>0</v>
      </c>
    </row>
    <row r="8370" spans="1:7" ht="30.60" thickBot="1" customHeight="1">
      <c r="A8370" s="24" t="s">
        <v>26470</v>
      </c>
      <c r="B8370" s="24" t="s">
        <v>26471</v>
      </c>
      <c r="C8370" s="24" t="s">
        <v>26472</v>
      </c>
      <c r="D8370" s="25" t="s">
        <v>26473</v>
      </c>
      <c r="E8370" s="28">
        <v>199.00000</v>
      </c>
      <c r="F8370" s="29">
        <f ca="1">ROUND(0.470,3)</f>
        <v>0</v>
      </c>
      <c r="G8370" s="27">
        <f ca="1">ROUND(E8370*F8370,2)</f>
        <v>0</v>
      </c>
    </row>
    <row r="8371" spans="1:7" ht="21.36" thickBot="1" customHeight="1">
      <c r="A8371" s="24" t="s">
        <v>26474</v>
      </c>
      <c r="B8371" s="24" t="s">
        <v>26475</v>
      </c>
      <c r="C8371" s="24" t="s">
        <v>26476</v>
      </c>
      <c r="D8371" s="25" t="s">
        <v>26477</v>
      </c>
      <c r="E8371" s="28">
        <v>8.00000</v>
      </c>
      <c r="F8371" s="29">
        <f ca="1">ROUND(1.620,3)</f>
        <v>0</v>
      </c>
      <c r="G8371" s="27">
        <f ca="1">ROUND(E8371*F8371,2)</f>
        <v>0</v>
      </c>
    </row>
    <row r="8372" spans="1:7" ht="21.36" thickBot="1" customHeight="1">
      <c r="A8372" s="24" t="s">
        <v>26478</v>
      </c>
      <c r="B8372" s="24" t="s">
        <v>26479</v>
      </c>
      <c r="C8372" s="24" t="s">
        <v>26480</v>
      </c>
      <c r="D8372" s="25" t="s">
        <v>26481</v>
      </c>
      <c r="E8372" s="28">
        <v>1.00000</v>
      </c>
      <c r="F8372" s="29">
        <f ca="1">ROUND(1.590,3)</f>
        <v>0</v>
      </c>
      <c r="G8372" s="27">
        <f ca="1">ROUND(E8372*F8372,2)</f>
        <v>0</v>
      </c>
    </row>
    <row r="8373" spans="1:7" ht="30.60" thickBot="1" customHeight="1">
      <c r="A8373" s="24" t="s">
        <v>26482</v>
      </c>
      <c r="B8373" s="24" t="s">
        <v>26483</v>
      </c>
      <c r="C8373" s="24" t="s">
        <v>26484</v>
      </c>
      <c r="D8373" s="25" t="s">
        <v>26485</v>
      </c>
      <c r="E8373" s="28">
        <v>4.00000</v>
      </c>
      <c r="F8373" s="29">
        <f ca="1">ROUND(1.470,3)</f>
        <v>0</v>
      </c>
      <c r="G8373" s="27">
        <f ca="1">ROUND(E8373*F8373,2)</f>
        <v>0</v>
      </c>
    </row>
    <row r="8374" spans="1:7" ht="30.60" thickBot="1" customHeight="1">
      <c r="A8374" s="24" t="s">
        <v>26486</v>
      </c>
      <c r="B8374" s="24" t="s">
        <v>26487</v>
      </c>
      <c r="C8374" s="24" t="s">
        <v>26488</v>
      </c>
      <c r="D8374" s="25" t="s">
        <v>26489</v>
      </c>
      <c r="E8374" s="28">
        <v>6.00000</v>
      </c>
      <c r="F8374" s="29">
        <f ca="1">ROUND(0.430,3)</f>
        <v>0</v>
      </c>
      <c r="G8374" s="27">
        <f ca="1">ROUND(E8374*F8374,2)</f>
        <v>0</v>
      </c>
    </row>
    <row r="8375" spans="1:7" ht="39.84" thickBot="1" customHeight="1">
      <c r="A8375" s="24" t="s">
        <v>26490</v>
      </c>
      <c r="B8375" s="24" t="s">
        <v>26491</v>
      </c>
      <c r="C8375" s="24" t="s">
        <v>26492</v>
      </c>
      <c r="D8375" s="25" t="s">
        <v>26493</v>
      </c>
      <c r="E8375" s="28">
        <v>0.13300</v>
      </c>
      <c r="F8375" s="29">
        <f ca="1">ROUND(20.130,3)</f>
        <v>0</v>
      </c>
      <c r="G8375" s="27">
        <f ca="1">ROUND(E8375*F8375,2)</f>
        <v>0</v>
      </c>
    </row>
    <row r="8376" spans="1:7" ht="21.36" thickBot="1" customHeight="1">
      <c r="A8376" s="24" t="s">
        <v>26494</v>
      </c>
      <c r="B8376" s="24" t="s">
        <v>26495</v>
      </c>
      <c r="C8376" s="24" t="s">
        <v>26496</v>
      </c>
      <c r="D8376" s="25" t="s">
        <v>26497</v>
      </c>
      <c r="E8376" s="28">
        <v>4.20000</v>
      </c>
      <c r="F8376" s="29">
        <f ca="1">F8380</f>
        <v>0</v>
      </c>
      <c r="G8376" s="27">
        <f ca="1">ROUND(E8376*F8376,2)</f>
        <v>0</v>
      </c>
    </row>
    <row r="8377" spans="1:7" ht="24.36" thickBot="1" customHeight="1">
      <c r="A8377" s="24" t="s">
        <v>26498</v>
      </c>
      <c r="B8377" s="24" t="s">
        <v>26499</v>
      </c>
      <c r="C8377" s="24" t="s">
        <v>26500</v>
      </c>
      <c r="D8377" s="25" t="s">
        <v>26501</v>
      </c>
      <c r="E8377" s="28">
        <v>1.00000</v>
      </c>
      <c r="F8377" s="29">
        <f ca="1">ROUND(21.000,3)</f>
        <v>0</v>
      </c>
      <c r="G8377" s="27">
        <f ca="1">ROUND(E8377*F8377,2)</f>
        <v>0</v>
      </c>
    </row>
    <row r="8378" spans="1:7" ht="24.36" thickBot="1" customHeight="1">
      <c r="A8378" s="24" t="s">
        <v>26502</v>
      </c>
      <c r="B8378" s="24" t="s">
        <v>26503</v>
      </c>
      <c r="C8378" s="24" t="s">
        <v>26504</v>
      </c>
      <c r="D8378" s="25" t="s">
        <v>26505</v>
      </c>
      <c r="E8378" s="28">
        <v>1.00000</v>
      </c>
      <c r="F8378" s="29">
        <f ca="1">ROUND(19.000,3)</f>
        <v>0</v>
      </c>
      <c r="G8378" s="27">
        <f ca="1">ROUND(E8378*F8378,2)</f>
        <v>0</v>
      </c>
    </row>
    <row r="8379" spans="1:7" ht="24.36" thickBot="1" customHeight="1">
      <c r="A8379" s="24" t="s">
        <v>26506</v>
      </c>
      <c r="B8379" s="24" t="s">
        <v>26507</v>
      </c>
      <c r="C8379" s="24" t="s">
        <v>26508</v>
      </c>
      <c r="D8379" s="25" t="s">
        <v>26509</v>
      </c>
      <c r="E8379" s="28">
        <v>0.20000</v>
      </c>
      <c r="F8379" s="29">
        <f ca="1">ROUND(19.000,3)</f>
        <v>0</v>
      </c>
      <c r="G8379" s="27">
        <f ca="1">ROUND(E8379*F8379,2)</f>
        <v>0</v>
      </c>
    </row>
    <row r="8380" spans="1:7" ht="15.12" thickBot="1" customHeight="1">
      <c r="A8380" s="26"/>
      <c r="B8380" s="26"/>
      <c r="C8380" s="26"/>
      <c r="D8380" s="24" t="s">
        <v>26510</v>
      </c>
      <c r="E8380" s="28">
        <v>4.20000</v>
      </c>
      <c r="F8380" s="29">
        <f ca="1">ROUND((G8377+G8378+G8379),3)</f>
        <v>0</v>
      </c>
      <c r="G8380" s="27">
        <f ca="1">ROUND(E8380*F8380,2)</f>
        <v>0</v>
      </c>
    </row>
    <row r="8381" spans="1:7" ht="15.12" thickBot="1" customHeight="1">
      <c r="A8381" s="24" t="s">
        <v>26511</v>
      </c>
      <c r="B8381" s="24"/>
      <c r="C8381" s="24" t="s">
        <v>26512</v>
      </c>
      <c r="D8381" s="25" t="s">
        <v>26513</v>
      </c>
      <c r="E8381" s="28">
        <v>3.00000</v>
      </c>
      <c r="F8381" s="29">
        <f ca="1">ROUND(183.960,3)</f>
        <v>0</v>
      </c>
      <c r="G8381" s="27">
        <f ca="1">ROUND((E8381*F8381)/100,2)</f>
        <v>0</v>
      </c>
    </row>
    <row r="8382" spans="1:7" ht="15.48" thickBot="1" customHeight="1">
      <c r="A8382" s="30"/>
      <c r="B8382" s="30"/>
      <c r="C8382" s="30"/>
      <c r="D8382" s="31" t="s">
        <v>26514</v>
      </c>
      <c r="E8382" s="30"/>
      <c r="F8382" s="33">
        <f ca="1">ROUND((G8369+G8370+G8371+G8372+G8373+G8374+G8375+G8376+G8381)*(1+G2/100),2)</f>
        <v>0</v>
      </c>
      <c r="G8382" s="30"/>
    </row>
    <row r="8383" spans="1:7" ht="21.36" thickBot="1" customHeight="1">
      <c r="A8383" s="34" t="s">
        <v>26515</v>
      </c>
      <c r="B8383" s="35" t="s">
        <v>26516</v>
      </c>
      <c r="C8383" s="35" t="s">
        <v>26517</v>
      </c>
      <c r="D8383" s="36" t="s">
        <v>26518</v>
      </c>
      <c r="E8383" s="37"/>
      <c r="F8383" s="38">
        <f ca="1">F8394</f>
        <v>0</v>
      </c>
      <c r="G8383" s="37"/>
    </row>
    <row r="8384" spans="1:7" ht="39.84" thickBot="1" customHeight="1">
      <c r="A8384" s="26"/>
      <c r="B8384" s="26"/>
      <c r="C8384" s="26"/>
      <c r="D8384" s="25" t="s">
        <v>26519</v>
      </c>
      <c r="E8384" s="25"/>
      <c r="F8384" s="25"/>
      <c r="G8384" s="25"/>
    </row>
    <row r="8385" spans="1:7" ht="15.12" thickBot="1" customHeight="1">
      <c r="A8385" s="24" t="s">
        <v>26520</v>
      </c>
      <c r="B8385" s="24" t="s">
        <v>26521</v>
      </c>
      <c r="C8385" s="24" t="s">
        <v>26522</v>
      </c>
      <c r="D8385" s="25" t="s">
        <v>26523</v>
      </c>
      <c r="E8385" s="28">
        <v>1.10000</v>
      </c>
      <c r="F8385" s="29">
        <f ca="1">ROUND(0.300,3)</f>
        <v>0</v>
      </c>
      <c r="G8385" s="27">
        <f ca="1">ROUND(E8385*F8385,2)</f>
        <v>0</v>
      </c>
    </row>
    <row r="8386" spans="1:7" ht="21.36" thickBot="1" customHeight="1">
      <c r="A8386" s="24" t="s">
        <v>26524</v>
      </c>
      <c r="B8386" s="24" t="s">
        <v>26525</v>
      </c>
      <c r="C8386" s="24" t="s">
        <v>26526</v>
      </c>
      <c r="D8386" s="25" t="s">
        <v>26527</v>
      </c>
      <c r="E8386" s="28">
        <v>0.41000</v>
      </c>
      <c r="F8386" s="29">
        <f ca="1">ROUND(39.650,3)</f>
        <v>0</v>
      </c>
      <c r="G8386" s="27">
        <f ca="1">ROUND(E8386*F8386,2)</f>
        <v>0</v>
      </c>
    </row>
    <row r="8387" spans="1:7" ht="21.36" thickBot="1" customHeight="1">
      <c r="A8387" s="24" t="s">
        <v>26528</v>
      </c>
      <c r="B8387" s="24" t="s">
        <v>26529</v>
      </c>
      <c r="C8387" s="24" t="s">
        <v>26530</v>
      </c>
      <c r="D8387" s="25" t="s">
        <v>26531</v>
      </c>
      <c r="E8387" s="28">
        <v>0.10000</v>
      </c>
      <c r="F8387" s="29">
        <f ca="1">ROUND(55.000,3)</f>
        <v>0</v>
      </c>
      <c r="G8387" s="27">
        <f ca="1">ROUND(E8387*F8387,2)</f>
        <v>0</v>
      </c>
    </row>
    <row r="8388" spans="1:7" ht="21.36" thickBot="1" customHeight="1">
      <c r="A8388" s="24" t="s">
        <v>26532</v>
      </c>
      <c r="B8388" s="24" t="s">
        <v>26533</v>
      </c>
      <c r="C8388" s="24" t="s">
        <v>26534</v>
      </c>
      <c r="D8388" s="25" t="s">
        <v>26535</v>
      </c>
      <c r="E8388" s="28">
        <v>0.25000</v>
      </c>
      <c r="F8388" s="29">
        <f ca="1">F8392</f>
        <v>0</v>
      </c>
      <c r="G8388" s="27">
        <f ca="1">ROUND(E8388*F8388,2)</f>
        <v>0</v>
      </c>
    </row>
    <row r="8389" spans="1:7" ht="24.36" thickBot="1" customHeight="1">
      <c r="A8389" s="24" t="s">
        <v>26536</v>
      </c>
      <c r="B8389" s="24" t="s">
        <v>26537</v>
      </c>
      <c r="C8389" s="24" t="s">
        <v>26538</v>
      </c>
      <c r="D8389" s="25" t="s">
        <v>26539</v>
      </c>
      <c r="E8389" s="28">
        <v>1.00000</v>
      </c>
      <c r="F8389" s="29">
        <f ca="1">ROUND(21.000,3)</f>
        <v>0</v>
      </c>
      <c r="G8389" s="27">
        <f ca="1">ROUND(E8389*F8389,2)</f>
        <v>0</v>
      </c>
    </row>
    <row r="8390" spans="1:7" ht="24.36" thickBot="1" customHeight="1">
      <c r="A8390" s="24" t="s">
        <v>26540</v>
      </c>
      <c r="B8390" s="24" t="s">
        <v>26541</v>
      </c>
      <c r="C8390" s="24" t="s">
        <v>26542</v>
      </c>
      <c r="D8390" s="25" t="s">
        <v>26543</v>
      </c>
      <c r="E8390" s="28">
        <v>1.00000</v>
      </c>
      <c r="F8390" s="29">
        <f ca="1">ROUND(19.000,3)</f>
        <v>0</v>
      </c>
      <c r="G8390" s="27">
        <f ca="1">ROUND(E8390*F8390,2)</f>
        <v>0</v>
      </c>
    </row>
    <row r="8391" spans="1:7" ht="24.36" thickBot="1" customHeight="1">
      <c r="A8391" s="24" t="s">
        <v>26544</v>
      </c>
      <c r="B8391" s="24" t="s">
        <v>26545</v>
      </c>
      <c r="C8391" s="24" t="s">
        <v>26546</v>
      </c>
      <c r="D8391" s="25" t="s">
        <v>26547</v>
      </c>
      <c r="E8391" s="28">
        <v>0.20000</v>
      </c>
      <c r="F8391" s="29">
        <f ca="1">ROUND(19.000,3)</f>
        <v>0</v>
      </c>
      <c r="G8391" s="27">
        <f ca="1">ROUND(E8391*F8391,2)</f>
        <v>0</v>
      </c>
    </row>
    <row r="8392" spans="1:7" ht="15.12" thickBot="1" customHeight="1">
      <c r="A8392" s="26"/>
      <c r="B8392" s="26"/>
      <c r="C8392" s="26"/>
      <c r="D8392" s="24" t="s">
        <v>26548</v>
      </c>
      <c r="E8392" s="28">
        <v>0.25000</v>
      </c>
      <c r="F8392" s="29">
        <f ca="1">ROUND((G8389+G8390+G8391),3)</f>
        <v>0</v>
      </c>
      <c r="G8392" s="27">
        <f ca="1">ROUND(E8392*F8392,2)</f>
        <v>0</v>
      </c>
    </row>
    <row r="8393" spans="1:7" ht="15.12" thickBot="1" customHeight="1">
      <c r="A8393" s="24" t="s">
        <v>26549</v>
      </c>
      <c r="B8393" s="24"/>
      <c r="C8393" s="24" t="s">
        <v>26550</v>
      </c>
      <c r="D8393" s="25" t="s">
        <v>26551</v>
      </c>
      <c r="E8393" s="28">
        <v>3.00000</v>
      </c>
      <c r="F8393" s="29">
        <f ca="1">ROUND(10.950,3)</f>
        <v>0</v>
      </c>
      <c r="G8393" s="27">
        <f ca="1">ROUND((E8393*F8393)/100,2)</f>
        <v>0</v>
      </c>
    </row>
    <row r="8394" spans="1:7" ht="15.48" thickBot="1" customHeight="1">
      <c r="A8394" s="30"/>
      <c r="B8394" s="30"/>
      <c r="C8394" s="30"/>
      <c r="D8394" s="31" t="s">
        <v>26552</v>
      </c>
      <c r="E8394" s="30"/>
      <c r="F8394" s="33">
        <f ca="1">ROUND((G8385+G8386+G8387+G8388+G8393)*(1+G2/100),2)</f>
        <v>0</v>
      </c>
      <c r="G8394" s="30"/>
    </row>
    <row r="8395" spans="1:7" ht="30.60" thickBot="1" customHeight="1">
      <c r="A8395" s="34" t="s">
        <v>26553</v>
      </c>
      <c r="B8395" s="35" t="s">
        <v>26554</v>
      </c>
      <c r="C8395" s="35" t="s">
        <v>26555</v>
      </c>
      <c r="D8395" s="36" t="s">
        <v>26556</v>
      </c>
      <c r="E8395" s="37"/>
      <c r="F8395" s="38">
        <f ca="1">F8405</f>
        <v>0</v>
      </c>
      <c r="G8395" s="37"/>
    </row>
    <row r="8396" spans="1:7" ht="58.32" thickBot="1" customHeight="1">
      <c r="A8396" s="26"/>
      <c r="B8396" s="26"/>
      <c r="C8396" s="26"/>
      <c r="D8396" s="25" t="s">
        <v>26557</v>
      </c>
      <c r="E8396" s="25"/>
      <c r="F8396" s="25"/>
      <c r="G8396" s="25"/>
    </row>
    <row r="8397" spans="1:7" ht="15.12" thickBot="1" customHeight="1">
      <c r="A8397" s="24" t="s">
        <v>26558</v>
      </c>
      <c r="B8397" s="24" t="s">
        <v>26559</v>
      </c>
      <c r="C8397" s="24" t="s">
        <v>26560</v>
      </c>
      <c r="D8397" s="25" t="s">
        <v>26561</v>
      </c>
      <c r="E8397" s="28">
        <v>1.10000</v>
      </c>
      <c r="F8397" s="29">
        <f ca="1">ROUND(0.300,3)</f>
        <v>0</v>
      </c>
      <c r="G8397" s="27">
        <f ca="1">ROUND(E8397*F8397,2)</f>
        <v>0</v>
      </c>
    </row>
    <row r="8398" spans="1:7" ht="21.36" thickBot="1" customHeight="1">
      <c r="A8398" s="24" t="s">
        <v>26562</v>
      </c>
      <c r="B8398" s="24" t="s">
        <v>26563</v>
      </c>
      <c r="C8398" s="24" t="s">
        <v>26564</v>
      </c>
      <c r="D8398" s="25" t="s">
        <v>26565</v>
      </c>
      <c r="E8398" s="28">
        <v>0.10000</v>
      </c>
      <c r="F8398" s="29">
        <f ca="1">ROUND(55.000,3)</f>
        <v>0</v>
      </c>
      <c r="G8398" s="27">
        <f ca="1">ROUND(E8398*F8398,2)</f>
        <v>0</v>
      </c>
    </row>
    <row r="8399" spans="1:7" ht="21.36" thickBot="1" customHeight="1">
      <c r="A8399" s="24" t="s">
        <v>26566</v>
      </c>
      <c r="B8399" s="24" t="s">
        <v>26567</v>
      </c>
      <c r="C8399" s="24" t="s">
        <v>26568</v>
      </c>
      <c r="D8399" s="25" t="s">
        <v>26569</v>
      </c>
      <c r="E8399" s="28">
        <v>0.20000</v>
      </c>
      <c r="F8399" s="29">
        <f ca="1">F8403</f>
        <v>0</v>
      </c>
      <c r="G8399" s="27">
        <f ca="1">ROUND(E8399*F8399,2)</f>
        <v>0</v>
      </c>
    </row>
    <row r="8400" spans="1:7" ht="24.36" thickBot="1" customHeight="1">
      <c r="A8400" s="24" t="s">
        <v>26570</v>
      </c>
      <c r="B8400" s="24" t="s">
        <v>26571</v>
      </c>
      <c r="C8400" s="24" t="s">
        <v>26572</v>
      </c>
      <c r="D8400" s="25" t="s">
        <v>26573</v>
      </c>
      <c r="E8400" s="28">
        <v>1.00000</v>
      </c>
      <c r="F8400" s="29">
        <f ca="1">ROUND(21.000,3)</f>
        <v>0</v>
      </c>
      <c r="G8400" s="27">
        <f ca="1">ROUND(E8400*F8400,2)</f>
        <v>0</v>
      </c>
    </row>
    <row r="8401" spans="1:7" ht="24.36" thickBot="1" customHeight="1">
      <c r="A8401" s="24" t="s">
        <v>26574</v>
      </c>
      <c r="B8401" s="24" t="s">
        <v>26575</v>
      </c>
      <c r="C8401" s="24" t="s">
        <v>26576</v>
      </c>
      <c r="D8401" s="25" t="s">
        <v>26577</v>
      </c>
      <c r="E8401" s="28">
        <v>1.00000</v>
      </c>
      <c r="F8401" s="29">
        <f ca="1">ROUND(19.000,3)</f>
        <v>0</v>
      </c>
      <c r="G8401" s="27">
        <f ca="1">ROUND(E8401*F8401,2)</f>
        <v>0</v>
      </c>
    </row>
    <row r="8402" spans="1:7" ht="24.36" thickBot="1" customHeight="1">
      <c r="A8402" s="24" t="s">
        <v>26578</v>
      </c>
      <c r="B8402" s="24" t="s">
        <v>26579</v>
      </c>
      <c r="C8402" s="24" t="s">
        <v>26580</v>
      </c>
      <c r="D8402" s="25" t="s">
        <v>26581</v>
      </c>
      <c r="E8402" s="28">
        <v>0.20000</v>
      </c>
      <c r="F8402" s="29">
        <f ca="1">ROUND(19.000,3)</f>
        <v>0</v>
      </c>
      <c r="G8402" s="27">
        <f ca="1">ROUND(E8402*F8402,2)</f>
        <v>0</v>
      </c>
    </row>
    <row r="8403" spans="1:7" ht="15.12" thickBot="1" customHeight="1">
      <c r="A8403" s="26"/>
      <c r="B8403" s="26"/>
      <c r="C8403" s="26"/>
      <c r="D8403" s="24" t="s">
        <v>26582</v>
      </c>
      <c r="E8403" s="28">
        <v>0.20000</v>
      </c>
      <c r="F8403" s="29">
        <f ca="1">ROUND((G8400+G8401+G8402),3)</f>
        <v>0</v>
      </c>
      <c r="G8403" s="27">
        <f ca="1">ROUND(E8403*F8403,2)</f>
        <v>0</v>
      </c>
    </row>
    <row r="8404" spans="1:7" ht="15.12" thickBot="1" customHeight="1">
      <c r="A8404" s="24" t="s">
        <v>26583</v>
      </c>
      <c r="B8404" s="24"/>
      <c r="C8404" s="24" t="s">
        <v>26584</v>
      </c>
      <c r="D8404" s="25" t="s">
        <v>26585</v>
      </c>
      <c r="E8404" s="28">
        <v>3.00000</v>
      </c>
      <c r="F8404" s="29">
        <f ca="1">ROUND(8.760,3)</f>
        <v>0</v>
      </c>
      <c r="G8404" s="27">
        <f ca="1">ROUND((E8404*F8404)/100,2)</f>
        <v>0</v>
      </c>
    </row>
    <row r="8405" spans="1:7" ht="15.48" thickBot="1" customHeight="1">
      <c r="A8405" s="30"/>
      <c r="B8405" s="30"/>
      <c r="C8405" s="30"/>
      <c r="D8405" s="31" t="s">
        <v>26586</v>
      </c>
      <c r="E8405" s="30"/>
      <c r="F8405" s="33">
        <f ca="1">ROUND((G8397+G8398+G8399+G8404)*(1+G2/100),2)</f>
        <v>0</v>
      </c>
      <c r="G8405" s="30"/>
    </row>
    <row r="8406" spans="1:7" ht="21.36" thickBot="1" customHeight="1">
      <c r="A8406" s="34" t="s">
        <v>26587</v>
      </c>
      <c r="B8406" s="35" t="s">
        <v>26588</v>
      </c>
      <c r="C8406" s="35" t="s">
        <v>26589</v>
      </c>
      <c r="D8406" s="36" t="s">
        <v>26590</v>
      </c>
      <c r="E8406" s="37"/>
      <c r="F8406" s="38">
        <f ca="1">F8416</f>
        <v>0</v>
      </c>
      <c r="G8406" s="37"/>
    </row>
    <row r="8407" spans="1:7" ht="49.08" thickBot="1" customHeight="1">
      <c r="A8407" s="26"/>
      <c r="B8407" s="26"/>
      <c r="C8407" s="26"/>
      <c r="D8407" s="25" t="s">
        <v>26591</v>
      </c>
      <c r="E8407" s="25"/>
      <c r="F8407" s="25"/>
      <c r="G8407" s="25"/>
    </row>
    <row r="8408" spans="1:7" ht="15.12" thickBot="1" customHeight="1">
      <c r="A8408" s="24" t="s">
        <v>26592</v>
      </c>
      <c r="B8408" s="24" t="s">
        <v>26593</v>
      </c>
      <c r="C8408" s="24" t="s">
        <v>26594</v>
      </c>
      <c r="D8408" s="25" t="s">
        <v>26595</v>
      </c>
      <c r="E8408" s="28">
        <v>0.13200</v>
      </c>
      <c r="F8408" s="29">
        <f ca="1">ROUND(103.260,3)</f>
        <v>0</v>
      </c>
      <c r="G8408" s="27">
        <f ca="1">ROUND(E8408*F8408,2)</f>
        <v>0</v>
      </c>
    </row>
    <row r="8409" spans="1:7" ht="21.36" thickBot="1" customHeight="1">
      <c r="A8409" s="24" t="s">
        <v>26596</v>
      </c>
      <c r="B8409" s="24" t="s">
        <v>26597</v>
      </c>
      <c r="C8409" s="24" t="s">
        <v>26598</v>
      </c>
      <c r="D8409" s="25" t="s">
        <v>26599</v>
      </c>
      <c r="E8409" s="28">
        <v>0.05000</v>
      </c>
      <c r="F8409" s="29">
        <f ca="1">ROUND(55.000,3)</f>
        <v>0</v>
      </c>
      <c r="G8409" s="27">
        <f ca="1">ROUND(E8409*F8409,2)</f>
        <v>0</v>
      </c>
    </row>
    <row r="8410" spans="1:7" ht="21.36" thickBot="1" customHeight="1">
      <c r="A8410" s="24" t="s">
        <v>26600</v>
      </c>
      <c r="B8410" s="24" t="s">
        <v>26601</v>
      </c>
      <c r="C8410" s="24" t="s">
        <v>26602</v>
      </c>
      <c r="D8410" s="25" t="s">
        <v>26603</v>
      </c>
      <c r="E8410" s="28">
        <v>0.25000</v>
      </c>
      <c r="F8410" s="29">
        <f ca="1">F8414</f>
        <v>0</v>
      </c>
      <c r="G8410" s="27">
        <f ca="1">ROUND(E8410*F8410,2)</f>
        <v>0</v>
      </c>
    </row>
    <row r="8411" spans="1:7" ht="24.36" thickBot="1" customHeight="1">
      <c r="A8411" s="24" t="s">
        <v>26604</v>
      </c>
      <c r="B8411" s="24" t="s">
        <v>26605</v>
      </c>
      <c r="C8411" s="24" t="s">
        <v>26606</v>
      </c>
      <c r="D8411" s="25" t="s">
        <v>26607</v>
      </c>
      <c r="E8411" s="28">
        <v>1.00000</v>
      </c>
      <c r="F8411" s="29">
        <f ca="1">ROUND(21.000,3)</f>
        <v>0</v>
      </c>
      <c r="G8411" s="27">
        <f ca="1">ROUND(E8411*F8411,2)</f>
        <v>0</v>
      </c>
    </row>
    <row r="8412" spans="1:7" ht="24.36" thickBot="1" customHeight="1">
      <c r="A8412" s="24" t="s">
        <v>26608</v>
      </c>
      <c r="B8412" s="24" t="s">
        <v>26609</v>
      </c>
      <c r="C8412" s="24" t="s">
        <v>26610</v>
      </c>
      <c r="D8412" s="25" t="s">
        <v>26611</v>
      </c>
      <c r="E8412" s="28">
        <v>1.00000</v>
      </c>
      <c r="F8412" s="29">
        <f ca="1">ROUND(19.000,3)</f>
        <v>0</v>
      </c>
      <c r="G8412" s="27">
        <f ca="1">ROUND(E8412*F8412,2)</f>
        <v>0</v>
      </c>
    </row>
    <row r="8413" spans="1:7" ht="24.36" thickBot="1" customHeight="1">
      <c r="A8413" s="24" t="s">
        <v>26612</v>
      </c>
      <c r="B8413" s="24" t="s">
        <v>26613</v>
      </c>
      <c r="C8413" s="24" t="s">
        <v>26614</v>
      </c>
      <c r="D8413" s="25" t="s">
        <v>26615</v>
      </c>
      <c r="E8413" s="28">
        <v>0.20000</v>
      </c>
      <c r="F8413" s="29">
        <f ca="1">ROUND(19.000,3)</f>
        <v>0</v>
      </c>
      <c r="G8413" s="27">
        <f ca="1">ROUND(E8413*F8413,2)</f>
        <v>0</v>
      </c>
    </row>
    <row r="8414" spans="1:7" ht="15.12" thickBot="1" customHeight="1">
      <c r="A8414" s="26"/>
      <c r="B8414" s="26"/>
      <c r="C8414" s="26"/>
      <c r="D8414" s="24" t="s">
        <v>26616</v>
      </c>
      <c r="E8414" s="28">
        <v>0.25000</v>
      </c>
      <c r="F8414" s="29">
        <f ca="1">ROUND((G8411+G8412+G8413),3)</f>
        <v>0</v>
      </c>
      <c r="G8414" s="27">
        <f ca="1">ROUND(E8414*F8414,2)</f>
        <v>0</v>
      </c>
    </row>
    <row r="8415" spans="1:7" ht="15.12" thickBot="1" customHeight="1">
      <c r="A8415" s="24" t="s">
        <v>26617</v>
      </c>
      <c r="B8415" s="24"/>
      <c r="C8415" s="24" t="s">
        <v>26618</v>
      </c>
      <c r="D8415" s="25" t="s">
        <v>26619</v>
      </c>
      <c r="E8415" s="28">
        <v>3.00000</v>
      </c>
      <c r="F8415" s="29">
        <f ca="1">ROUND(10.950,3)</f>
        <v>0</v>
      </c>
      <c r="G8415" s="27">
        <f ca="1">ROUND((E8415*F8415)/100,2)</f>
        <v>0</v>
      </c>
    </row>
    <row r="8416" spans="1:7" ht="15.48" thickBot="1" customHeight="1">
      <c r="A8416" s="30"/>
      <c r="B8416" s="30"/>
      <c r="C8416" s="30"/>
      <c r="D8416" s="31" t="s">
        <v>26620</v>
      </c>
      <c r="E8416" s="30"/>
      <c r="F8416" s="33">
        <f ca="1">ROUND((G8408+G8409+G8410+G8415)*(1+G2/100),2)</f>
        <v>0</v>
      </c>
      <c r="G8416" s="30"/>
    </row>
    <row r="8417" spans="1:7" ht="15.48" thickBot="1" customHeight="1">
      <c r="A8417" s="34" t="s">
        <v>26621</v>
      </c>
      <c r="B8417" s="35" t="s">
        <v>26622</v>
      </c>
      <c r="C8417" s="35" t="s">
        <v>26623</v>
      </c>
      <c r="D8417" s="36" t="s">
        <v>26624</v>
      </c>
      <c r="E8417" s="37"/>
      <c r="F8417" s="38">
        <f ca="1">F8426</f>
        <v>0</v>
      </c>
      <c r="G8417" s="37"/>
    </row>
    <row r="8418" spans="1:7" ht="49.08" thickBot="1" customHeight="1">
      <c r="A8418" s="26"/>
      <c r="B8418" s="26"/>
      <c r="C8418" s="26"/>
      <c r="D8418" s="25" t="s">
        <v>26625</v>
      </c>
      <c r="E8418" s="25"/>
      <c r="F8418" s="25"/>
      <c r="G8418" s="25"/>
    </row>
    <row r="8419" spans="1:7" ht="30.60" thickBot="1" customHeight="1">
      <c r="A8419" s="24" t="s">
        <v>26626</v>
      </c>
      <c r="B8419" s="24" t="s">
        <v>26627</v>
      </c>
      <c r="C8419" s="24" t="s">
        <v>26628</v>
      </c>
      <c r="D8419" s="25" t="s">
        <v>26629</v>
      </c>
      <c r="E8419" s="28">
        <v>0.25000</v>
      </c>
      <c r="F8419" s="29">
        <f ca="1">ROUND(32.400,3)</f>
        <v>0</v>
      </c>
      <c r="G8419" s="27">
        <f ca="1">ROUND(E8419*F8419,2)</f>
        <v>0</v>
      </c>
    </row>
    <row r="8420" spans="1:7" ht="21.36" thickBot="1" customHeight="1">
      <c r="A8420" s="24" t="s">
        <v>26630</v>
      </c>
      <c r="B8420" s="24" t="s">
        <v>26631</v>
      </c>
      <c r="C8420" s="24" t="s">
        <v>26632</v>
      </c>
      <c r="D8420" s="25" t="s">
        <v>26633</v>
      </c>
      <c r="E8420" s="28">
        <v>0.40000</v>
      </c>
      <c r="F8420" s="29">
        <f ca="1">F8424</f>
        <v>0</v>
      </c>
      <c r="G8420" s="27">
        <f ca="1">ROUND(E8420*F8420,2)</f>
        <v>0</v>
      </c>
    </row>
    <row r="8421" spans="1:7" ht="24.36" thickBot="1" customHeight="1">
      <c r="A8421" s="24" t="s">
        <v>26634</v>
      </c>
      <c r="B8421" s="24" t="s">
        <v>26635</v>
      </c>
      <c r="C8421" s="24" t="s">
        <v>26636</v>
      </c>
      <c r="D8421" s="25" t="s">
        <v>26637</v>
      </c>
      <c r="E8421" s="28">
        <v>1.00000</v>
      </c>
      <c r="F8421" s="29">
        <f ca="1">ROUND(21.000,3)</f>
        <v>0</v>
      </c>
      <c r="G8421" s="27">
        <f ca="1">ROUND(E8421*F8421,2)</f>
        <v>0</v>
      </c>
    </row>
    <row r="8422" spans="1:7" ht="24.36" thickBot="1" customHeight="1">
      <c r="A8422" s="24" t="s">
        <v>26638</v>
      </c>
      <c r="B8422" s="24" t="s">
        <v>26639</v>
      </c>
      <c r="C8422" s="24" t="s">
        <v>26640</v>
      </c>
      <c r="D8422" s="25" t="s">
        <v>26641</v>
      </c>
      <c r="E8422" s="28">
        <v>1.00000</v>
      </c>
      <c r="F8422" s="29">
        <f ca="1">ROUND(19.000,3)</f>
        <v>0</v>
      </c>
      <c r="G8422" s="27">
        <f ca="1">ROUND(E8422*F8422,2)</f>
        <v>0</v>
      </c>
    </row>
    <row r="8423" spans="1:7" ht="24.36" thickBot="1" customHeight="1">
      <c r="A8423" s="24" t="s">
        <v>26642</v>
      </c>
      <c r="B8423" s="24" t="s">
        <v>26643</v>
      </c>
      <c r="C8423" s="24" t="s">
        <v>26644</v>
      </c>
      <c r="D8423" s="25" t="s">
        <v>26645</v>
      </c>
      <c r="E8423" s="28">
        <v>0.20000</v>
      </c>
      <c r="F8423" s="29">
        <f ca="1">ROUND(19.000,3)</f>
        <v>0</v>
      </c>
      <c r="G8423" s="27">
        <f ca="1">ROUND(E8423*F8423,2)</f>
        <v>0</v>
      </c>
    </row>
    <row r="8424" spans="1:7" ht="15.12" thickBot="1" customHeight="1">
      <c r="A8424" s="26"/>
      <c r="B8424" s="26"/>
      <c r="C8424" s="26"/>
      <c r="D8424" s="24" t="s">
        <v>26646</v>
      </c>
      <c r="E8424" s="28">
        <v>0.40000</v>
      </c>
      <c r="F8424" s="29">
        <f ca="1">ROUND((G8421+G8422+G8423),3)</f>
        <v>0</v>
      </c>
      <c r="G8424" s="27">
        <f ca="1">ROUND(E8424*F8424,2)</f>
        <v>0</v>
      </c>
    </row>
    <row r="8425" spans="1:7" ht="15.12" thickBot="1" customHeight="1">
      <c r="A8425" s="24" t="s">
        <v>26647</v>
      </c>
      <c r="B8425" s="24"/>
      <c r="C8425" s="24" t="s">
        <v>26648</v>
      </c>
      <c r="D8425" s="25" t="s">
        <v>26649</v>
      </c>
      <c r="E8425" s="28">
        <v>3.00000</v>
      </c>
      <c r="F8425" s="29">
        <f ca="1">ROUND(17.520,3)</f>
        <v>0</v>
      </c>
      <c r="G8425" s="27">
        <f ca="1">ROUND((E8425*F8425)/100,2)</f>
        <v>0</v>
      </c>
    </row>
    <row r="8426" spans="1:7" ht="15.48" thickBot="1" customHeight="1">
      <c r="A8426" s="30"/>
      <c r="B8426" s="30"/>
      <c r="C8426" s="30"/>
      <c r="D8426" s="31" t="s">
        <v>26650</v>
      </c>
      <c r="E8426" s="30"/>
      <c r="F8426" s="33">
        <f ca="1">ROUND((G8419+G8420+G8425)*(1+G2/100),2)</f>
        <v>0</v>
      </c>
      <c r="G8426" s="30"/>
    </row>
    <row r="8427" spans="1:7" ht="21.36" thickBot="1" customHeight="1">
      <c r="A8427" s="34" t="s">
        <v>26651</v>
      </c>
      <c r="B8427" s="35" t="s">
        <v>26652</v>
      </c>
      <c r="C8427" s="35" t="s">
        <v>26653</v>
      </c>
      <c r="D8427" s="36" t="s">
        <v>26654</v>
      </c>
      <c r="E8427" s="37"/>
      <c r="F8427" s="38">
        <f ca="1">F8436</f>
        <v>0</v>
      </c>
      <c r="G8427" s="37"/>
    </row>
    <row r="8428" spans="1:7" ht="30.60" thickBot="1" customHeight="1">
      <c r="A8428" s="26"/>
      <c r="B8428" s="26"/>
      <c r="C8428" s="26"/>
      <c r="D8428" s="25" t="s">
        <v>26655</v>
      </c>
      <c r="E8428" s="25"/>
      <c r="F8428" s="25"/>
      <c r="G8428" s="25"/>
    </row>
    <row r="8429" spans="1:7" ht="21.36" thickBot="1" customHeight="1">
      <c r="A8429" s="24" t="s">
        <v>26656</v>
      </c>
      <c r="B8429" s="24" t="s">
        <v>26657</v>
      </c>
      <c r="C8429" s="24" t="s">
        <v>26658</v>
      </c>
      <c r="D8429" s="25" t="s">
        <v>26659</v>
      </c>
      <c r="E8429" s="28">
        <v>0.02400</v>
      </c>
      <c r="F8429" s="29">
        <f ca="1">ROUND(15.660,3)</f>
        <v>0</v>
      </c>
      <c r="G8429" s="27">
        <f ca="1">ROUND(E8429*F8429,2)</f>
        <v>0</v>
      </c>
    </row>
    <row r="8430" spans="1:7" ht="21.36" thickBot="1" customHeight="1">
      <c r="A8430" s="24" t="s">
        <v>26660</v>
      </c>
      <c r="B8430" s="24" t="s">
        <v>26661</v>
      </c>
      <c r="C8430" s="24" t="s">
        <v>26662</v>
      </c>
      <c r="D8430" s="25" t="s">
        <v>26663</v>
      </c>
      <c r="E8430" s="28">
        <v>0.13000</v>
      </c>
      <c r="F8430" s="29">
        <f ca="1">F8434</f>
        <v>0</v>
      </c>
      <c r="G8430" s="27">
        <f ca="1">ROUND(E8430*F8430,2)</f>
        <v>0</v>
      </c>
    </row>
    <row r="8431" spans="1:7" ht="24.36" thickBot="1" customHeight="1">
      <c r="A8431" s="24" t="s">
        <v>26664</v>
      </c>
      <c r="B8431" s="24" t="s">
        <v>26665</v>
      </c>
      <c r="C8431" s="24" t="s">
        <v>26666</v>
      </c>
      <c r="D8431" s="25" t="s">
        <v>26667</v>
      </c>
      <c r="E8431" s="28">
        <v>1.00000</v>
      </c>
      <c r="F8431" s="29">
        <f ca="1">ROUND(21.000,3)</f>
        <v>0</v>
      </c>
      <c r="G8431" s="27">
        <f ca="1">ROUND(E8431*F8431,2)</f>
        <v>0</v>
      </c>
    </row>
    <row r="8432" spans="1:7" ht="24.36" thickBot="1" customHeight="1">
      <c r="A8432" s="24" t="s">
        <v>26668</v>
      </c>
      <c r="B8432" s="24" t="s">
        <v>26669</v>
      </c>
      <c r="C8432" s="24" t="s">
        <v>26670</v>
      </c>
      <c r="D8432" s="25" t="s">
        <v>26671</v>
      </c>
      <c r="E8432" s="28">
        <v>1.00000</v>
      </c>
      <c r="F8432" s="29">
        <f ca="1">ROUND(19.000,3)</f>
        <v>0</v>
      </c>
      <c r="G8432" s="27">
        <f ca="1">ROUND(E8432*F8432,2)</f>
        <v>0</v>
      </c>
    </row>
    <row r="8433" spans="1:7" ht="24.36" thickBot="1" customHeight="1">
      <c r="A8433" s="24" t="s">
        <v>26672</v>
      </c>
      <c r="B8433" s="24" t="s">
        <v>26673</v>
      </c>
      <c r="C8433" s="24" t="s">
        <v>26674</v>
      </c>
      <c r="D8433" s="25" t="s">
        <v>26675</v>
      </c>
      <c r="E8433" s="28">
        <v>0.20000</v>
      </c>
      <c r="F8433" s="29">
        <f ca="1">ROUND(19.000,3)</f>
        <v>0</v>
      </c>
      <c r="G8433" s="27">
        <f ca="1">ROUND(E8433*F8433,2)</f>
        <v>0</v>
      </c>
    </row>
    <row r="8434" spans="1:7" ht="15.12" thickBot="1" customHeight="1">
      <c r="A8434" s="26"/>
      <c r="B8434" s="26"/>
      <c r="C8434" s="26"/>
      <c r="D8434" s="24" t="s">
        <v>26676</v>
      </c>
      <c r="E8434" s="28">
        <v>0.13000</v>
      </c>
      <c r="F8434" s="29">
        <f ca="1">ROUND((G8431+G8432+G8433),3)</f>
        <v>0</v>
      </c>
      <c r="G8434" s="27">
        <f ca="1">ROUND(E8434*F8434,2)</f>
        <v>0</v>
      </c>
    </row>
    <row r="8435" spans="1:7" ht="15.12" thickBot="1" customHeight="1">
      <c r="A8435" s="24" t="s">
        <v>26677</v>
      </c>
      <c r="B8435" s="24"/>
      <c r="C8435" s="24" t="s">
        <v>26678</v>
      </c>
      <c r="D8435" s="25" t="s">
        <v>26679</v>
      </c>
      <c r="E8435" s="28">
        <v>3.00000</v>
      </c>
      <c r="F8435" s="29">
        <f ca="1">ROUND(5.690,3)</f>
        <v>0</v>
      </c>
      <c r="G8435" s="27">
        <f ca="1">ROUND((E8435*F8435)/100,2)</f>
        <v>0</v>
      </c>
    </row>
    <row r="8436" spans="1:7" ht="15.48" thickBot="1" customHeight="1">
      <c r="A8436" s="30"/>
      <c r="B8436" s="30"/>
      <c r="C8436" s="30"/>
      <c r="D8436" s="31" t="s">
        <v>26680</v>
      </c>
      <c r="E8436" s="30"/>
      <c r="F8436" s="33">
        <f ca="1">ROUND((G8429+G8430+G8435)*(1+G2/100),2)</f>
        <v>0</v>
      </c>
      <c r="G8436" s="30"/>
    </row>
    <row r="8437" spans="1:7" ht="21.36" thickBot="1" customHeight="1">
      <c r="A8437" s="34" t="s">
        <v>26681</v>
      </c>
      <c r="B8437" s="35" t="s">
        <v>26682</v>
      </c>
      <c r="C8437" s="35" t="s">
        <v>26683</v>
      </c>
      <c r="D8437" s="36" t="s">
        <v>26684</v>
      </c>
      <c r="E8437" s="37"/>
      <c r="F8437" s="38">
        <f ca="1">F8449</f>
        <v>0</v>
      </c>
      <c r="G8437" s="37"/>
    </row>
    <row r="8438" spans="1:7" ht="104.52" thickBot="1" customHeight="1">
      <c r="A8438" s="26"/>
      <c r="B8438" s="26"/>
      <c r="C8438" s="26"/>
      <c r="D8438" s="25" t="s">
        <v>26685</v>
      </c>
      <c r="E8438" s="25"/>
      <c r="F8438" s="25"/>
      <c r="G8438" s="25"/>
    </row>
    <row r="8439" spans="1:7" ht="21.36" thickBot="1" customHeight="1">
      <c r="A8439" s="24" t="s">
        <v>26686</v>
      </c>
      <c r="B8439" s="24" t="s">
        <v>26687</v>
      </c>
      <c r="C8439" s="24" t="s">
        <v>26688</v>
      </c>
      <c r="D8439" s="25" t="s">
        <v>26689</v>
      </c>
      <c r="E8439" s="28">
        <v>8.20000</v>
      </c>
      <c r="F8439" s="29">
        <f ca="1">ROUND(2.280,3)</f>
        <v>0</v>
      </c>
      <c r="G8439" s="27">
        <f ca="1">ROUND(E8439*F8439,2)</f>
        <v>0</v>
      </c>
    </row>
    <row r="8440" spans="1:7" ht="39.84" thickBot="1" customHeight="1">
      <c r="A8440" s="24" t="s">
        <v>26690</v>
      </c>
      <c r="B8440" s="24" t="s">
        <v>26691</v>
      </c>
      <c r="C8440" s="24" t="s">
        <v>26692</v>
      </c>
      <c r="D8440" s="25" t="s">
        <v>26693</v>
      </c>
      <c r="E8440" s="28">
        <v>0.16000</v>
      </c>
      <c r="F8440" s="29">
        <f ca="1">ROUND(20.130,3)</f>
        <v>0</v>
      </c>
      <c r="G8440" s="27">
        <f ca="1">ROUND(E8440*F8440,2)</f>
        <v>0</v>
      </c>
    </row>
    <row r="8441" spans="1:7" ht="21.36" thickBot="1" customHeight="1">
      <c r="A8441" s="24" t="s">
        <v>26694</v>
      </c>
      <c r="B8441" s="24" t="s">
        <v>26695</v>
      </c>
      <c r="C8441" s="24" t="s">
        <v>26696</v>
      </c>
      <c r="D8441" s="25" t="s">
        <v>26697</v>
      </c>
      <c r="E8441" s="28">
        <v>0.05000</v>
      </c>
      <c r="F8441" s="29">
        <f ca="1">ROUND(5.160,3)</f>
        <v>0</v>
      </c>
      <c r="G8441" s="27">
        <f ca="1">ROUND(E8441*F8441,2)</f>
        <v>0</v>
      </c>
    </row>
    <row r="8442" spans="1:7" ht="39.84" thickBot="1" customHeight="1">
      <c r="A8442" s="24" t="s">
        <v>26698</v>
      </c>
      <c r="B8442" s="24" t="s">
        <v>26699</v>
      </c>
      <c r="C8442" s="24" t="s">
        <v>26700</v>
      </c>
      <c r="D8442" s="25" t="s">
        <v>26701</v>
      </c>
      <c r="E8442" s="28">
        <v>0.10000</v>
      </c>
      <c r="F8442" s="29">
        <f ca="1">ROUND(128.370,3)</f>
        <v>0</v>
      </c>
      <c r="G8442" s="27">
        <f ca="1">ROUND(E8442*F8442,2)</f>
        <v>0</v>
      </c>
    </row>
    <row r="8443" spans="1:7" ht="21.36" thickBot="1" customHeight="1">
      <c r="A8443" s="24" t="s">
        <v>26702</v>
      </c>
      <c r="B8443" s="24" t="s">
        <v>26703</v>
      </c>
      <c r="C8443" s="24" t="s">
        <v>26704</v>
      </c>
      <c r="D8443" s="25" t="s">
        <v>26705</v>
      </c>
      <c r="E8443" s="28">
        <v>0.55000</v>
      </c>
      <c r="F8443" s="29">
        <f ca="1">F8447</f>
        <v>0</v>
      </c>
      <c r="G8443" s="27">
        <f ca="1">ROUND(E8443*F8443,2)</f>
        <v>0</v>
      </c>
    </row>
    <row r="8444" spans="1:7" ht="24.36" thickBot="1" customHeight="1">
      <c r="A8444" s="24" t="s">
        <v>26706</v>
      </c>
      <c r="B8444" s="24" t="s">
        <v>26707</v>
      </c>
      <c r="C8444" s="24" t="s">
        <v>26708</v>
      </c>
      <c r="D8444" s="25" t="s">
        <v>26709</v>
      </c>
      <c r="E8444" s="28">
        <v>1.00000</v>
      </c>
      <c r="F8444" s="29">
        <f ca="1">ROUND(21.000,3)</f>
        <v>0</v>
      </c>
      <c r="G8444" s="27">
        <f ca="1">ROUND(E8444*F8444,2)</f>
        <v>0</v>
      </c>
    </row>
    <row r="8445" spans="1:7" ht="24.36" thickBot="1" customHeight="1">
      <c r="A8445" s="24" t="s">
        <v>26710</v>
      </c>
      <c r="B8445" s="24" t="s">
        <v>26711</v>
      </c>
      <c r="C8445" s="24" t="s">
        <v>26712</v>
      </c>
      <c r="D8445" s="25" t="s">
        <v>26713</v>
      </c>
      <c r="E8445" s="28">
        <v>1.00000</v>
      </c>
      <c r="F8445" s="29">
        <f ca="1">ROUND(19.000,3)</f>
        <v>0</v>
      </c>
      <c r="G8445" s="27">
        <f ca="1">ROUND(E8445*F8445,2)</f>
        <v>0</v>
      </c>
    </row>
    <row r="8446" spans="1:7" ht="24.36" thickBot="1" customHeight="1">
      <c r="A8446" s="24" t="s">
        <v>26714</v>
      </c>
      <c r="B8446" s="24" t="s">
        <v>26715</v>
      </c>
      <c r="C8446" s="24" t="s">
        <v>26716</v>
      </c>
      <c r="D8446" s="25" t="s">
        <v>26717</v>
      </c>
      <c r="E8446" s="28">
        <v>0.20000</v>
      </c>
      <c r="F8446" s="29">
        <f ca="1">ROUND(19.000,3)</f>
        <v>0</v>
      </c>
      <c r="G8446" s="27">
        <f ca="1">ROUND(E8446*F8446,2)</f>
        <v>0</v>
      </c>
    </row>
    <row r="8447" spans="1:7" ht="15.12" thickBot="1" customHeight="1">
      <c r="A8447" s="26"/>
      <c r="B8447" s="26"/>
      <c r="C8447" s="26"/>
      <c r="D8447" s="24" t="s">
        <v>26718</v>
      </c>
      <c r="E8447" s="28">
        <v>0.55000</v>
      </c>
      <c r="F8447" s="29">
        <f ca="1">ROUND((G8444+G8445+G8446),3)</f>
        <v>0</v>
      </c>
      <c r="G8447" s="27">
        <f ca="1">ROUND(E8447*F8447,2)</f>
        <v>0</v>
      </c>
    </row>
    <row r="8448" spans="1:7" ht="15.12" thickBot="1" customHeight="1">
      <c r="A8448" s="24" t="s">
        <v>26719</v>
      </c>
      <c r="B8448" s="24"/>
      <c r="C8448" s="24" t="s">
        <v>26720</v>
      </c>
      <c r="D8448" s="25" t="s">
        <v>26721</v>
      </c>
      <c r="E8448" s="28">
        <v>3.00000</v>
      </c>
      <c r="F8448" s="29">
        <f ca="1">ROUND(24.090,3)</f>
        <v>0</v>
      </c>
      <c r="G8448" s="27">
        <f ca="1">ROUND((E8448*F8448)/100,2)</f>
        <v>0</v>
      </c>
    </row>
    <row r="8449" spans="1:7" ht="15.48" thickBot="1" customHeight="1">
      <c r="A8449" s="30"/>
      <c r="B8449" s="30"/>
      <c r="C8449" s="30"/>
      <c r="D8449" s="31" t="s">
        <v>26722</v>
      </c>
      <c r="E8449" s="30"/>
      <c r="F8449" s="33">
        <f ca="1">ROUND((G8439+G8440+G8441+G8442+G8443+G8448)*(1+G2/100),2)</f>
        <v>0</v>
      </c>
      <c r="G8449" s="30"/>
    </row>
    <row r="8450" spans="1:7" ht="30.60" thickBot="1" customHeight="1">
      <c r="A8450" s="34" t="s">
        <v>26723</v>
      </c>
      <c r="B8450" s="35" t="s">
        <v>26724</v>
      </c>
      <c r="C8450" s="35" t="s">
        <v>26725</v>
      </c>
      <c r="D8450" s="36" t="s">
        <v>26726</v>
      </c>
      <c r="E8450" s="37"/>
      <c r="F8450" s="38">
        <f ca="1">F8459</f>
        <v>0</v>
      </c>
      <c r="G8450" s="37"/>
    </row>
    <row r="8451" spans="1:7" ht="67.56" thickBot="1" customHeight="1">
      <c r="A8451" s="26"/>
      <c r="B8451" s="26"/>
      <c r="C8451" s="26"/>
      <c r="D8451" s="25" t="s">
        <v>26727</v>
      </c>
      <c r="E8451" s="25"/>
      <c r="F8451" s="25"/>
      <c r="G8451" s="25"/>
    </row>
    <row r="8452" spans="1:7" ht="76.80" thickBot="1" customHeight="1">
      <c r="A8452" s="24" t="s">
        <v>26728</v>
      </c>
      <c r="B8452" s="24" t="s">
        <v>26729</v>
      </c>
      <c r="C8452" s="24" t="s">
        <v>26730</v>
      </c>
      <c r="D8452" s="25" t="s">
        <v>26731</v>
      </c>
      <c r="E8452" s="28">
        <v>1.15000</v>
      </c>
      <c r="F8452" s="29">
        <f ca="1">ROUND(10.800,3)</f>
        <v>0</v>
      </c>
      <c r="G8452" s="27">
        <f ca="1">ROUND(E8452*F8452,2)</f>
        <v>0</v>
      </c>
    </row>
    <row r="8453" spans="1:7" ht="21.36" thickBot="1" customHeight="1">
      <c r="A8453" s="24" t="s">
        <v>26732</v>
      </c>
      <c r="B8453" s="24" t="s">
        <v>26733</v>
      </c>
      <c r="C8453" s="24" t="s">
        <v>26734</v>
      </c>
      <c r="D8453" s="25" t="s">
        <v>26735</v>
      </c>
      <c r="E8453" s="28">
        <v>0.15000</v>
      </c>
      <c r="F8453" s="29">
        <f ca="1">F8457</f>
        <v>0</v>
      </c>
      <c r="G8453" s="27">
        <f ca="1">ROUND(E8453*F8453,2)</f>
        <v>0</v>
      </c>
    </row>
    <row r="8454" spans="1:7" ht="24.36" thickBot="1" customHeight="1">
      <c r="A8454" s="24" t="s">
        <v>26736</v>
      </c>
      <c r="B8454" s="24" t="s">
        <v>26737</v>
      </c>
      <c r="C8454" s="24" t="s">
        <v>26738</v>
      </c>
      <c r="D8454" s="25" t="s">
        <v>26739</v>
      </c>
      <c r="E8454" s="28">
        <v>1.00000</v>
      </c>
      <c r="F8454" s="29">
        <f ca="1">ROUND(21.000,3)</f>
        <v>0</v>
      </c>
      <c r="G8454" s="27">
        <f ca="1">ROUND(E8454*F8454,2)</f>
        <v>0</v>
      </c>
    </row>
    <row r="8455" spans="1:7" ht="24.36" thickBot="1" customHeight="1">
      <c r="A8455" s="24" t="s">
        <v>26740</v>
      </c>
      <c r="B8455" s="24" t="s">
        <v>26741</v>
      </c>
      <c r="C8455" s="24" t="s">
        <v>26742</v>
      </c>
      <c r="D8455" s="25" t="s">
        <v>26743</v>
      </c>
      <c r="E8455" s="28">
        <v>1.00000</v>
      </c>
      <c r="F8455" s="29">
        <f ca="1">ROUND(19.000,3)</f>
        <v>0</v>
      </c>
      <c r="G8455" s="27">
        <f ca="1">ROUND(E8455*F8455,2)</f>
        <v>0</v>
      </c>
    </row>
    <row r="8456" spans="1:7" ht="24.36" thickBot="1" customHeight="1">
      <c r="A8456" s="24" t="s">
        <v>26744</v>
      </c>
      <c r="B8456" s="24" t="s">
        <v>26745</v>
      </c>
      <c r="C8456" s="24" t="s">
        <v>26746</v>
      </c>
      <c r="D8456" s="25" t="s">
        <v>26747</v>
      </c>
      <c r="E8456" s="28">
        <v>0.20000</v>
      </c>
      <c r="F8456" s="29">
        <f ca="1">ROUND(19.000,3)</f>
        <v>0</v>
      </c>
      <c r="G8456" s="27">
        <f ca="1">ROUND(E8456*F8456,2)</f>
        <v>0</v>
      </c>
    </row>
    <row r="8457" spans="1:7" ht="15.12" thickBot="1" customHeight="1">
      <c r="A8457" s="26"/>
      <c r="B8457" s="26"/>
      <c r="C8457" s="26"/>
      <c r="D8457" s="24" t="s">
        <v>26748</v>
      </c>
      <c r="E8457" s="28">
        <v>0.15000</v>
      </c>
      <c r="F8457" s="29">
        <f ca="1">ROUND((G8454+G8455+G8456),3)</f>
        <v>0</v>
      </c>
      <c r="G8457" s="27">
        <f ca="1">ROUND(E8457*F8457,2)</f>
        <v>0</v>
      </c>
    </row>
    <row r="8458" spans="1:7" ht="15.12" thickBot="1" customHeight="1">
      <c r="A8458" s="24" t="s">
        <v>26749</v>
      </c>
      <c r="B8458" s="24"/>
      <c r="C8458" s="24" t="s">
        <v>26750</v>
      </c>
      <c r="D8458" s="25" t="s">
        <v>26751</v>
      </c>
      <c r="E8458" s="28">
        <v>3.00000</v>
      </c>
      <c r="F8458" s="29">
        <f ca="1">ROUND(6.570,3)</f>
        <v>0</v>
      </c>
      <c r="G8458" s="27">
        <f ca="1">ROUND((E8458*F8458)/100,2)</f>
        <v>0</v>
      </c>
    </row>
    <row r="8459" spans="1:7" ht="15.48" thickBot="1" customHeight="1">
      <c r="A8459" s="30"/>
      <c r="B8459" s="30"/>
      <c r="C8459" s="30"/>
      <c r="D8459" s="31" t="s">
        <v>26752</v>
      </c>
      <c r="E8459" s="30"/>
      <c r="F8459" s="33">
        <f ca="1">ROUND((G8452+G8453+G8458)*(1+G2/100),2)</f>
        <v>0</v>
      </c>
      <c r="G8459" s="30"/>
    </row>
    <row r="8460" spans="1:7" ht="21.36" thickBot="1" customHeight="1">
      <c r="A8460" s="34" t="s">
        <v>26753</v>
      </c>
      <c r="B8460" s="35" t="s">
        <v>26754</v>
      </c>
      <c r="C8460" s="35" t="s">
        <v>26755</v>
      </c>
      <c r="D8460" s="36" t="s">
        <v>26756</v>
      </c>
      <c r="E8460" s="37"/>
      <c r="F8460" s="38">
        <f ca="1">F8471</f>
        <v>0</v>
      </c>
      <c r="G8460" s="37"/>
    </row>
    <row r="8461" spans="1:7" ht="86.04" thickBot="1" customHeight="1">
      <c r="A8461" s="26"/>
      <c r="B8461" s="26"/>
      <c r="C8461" s="26"/>
      <c r="D8461" s="25" t="s">
        <v>26757</v>
      </c>
      <c r="E8461" s="25"/>
      <c r="F8461" s="25"/>
      <c r="G8461" s="25"/>
    </row>
    <row r="8462" spans="1:7" ht="15.12" thickBot="1" customHeight="1">
      <c r="A8462" s="24" t="s">
        <v>26758</v>
      </c>
      <c r="B8462" s="24" t="s">
        <v>26759</v>
      </c>
      <c r="C8462" s="24" t="s">
        <v>26760</v>
      </c>
      <c r="D8462" s="25" t="s">
        <v>26761</v>
      </c>
      <c r="E8462" s="28">
        <v>1.00000</v>
      </c>
      <c r="F8462" s="29">
        <f ca="1">ROUND(15.000,3)</f>
        <v>0</v>
      </c>
      <c r="G8462" s="27">
        <f ca="1">ROUND(E8462*F8462,2)</f>
        <v>0</v>
      </c>
    </row>
    <row r="8463" spans="1:7" ht="15.12" thickBot="1" customHeight="1">
      <c r="A8463" s="24" t="s">
        <v>26762</v>
      </c>
      <c r="B8463" s="24" t="s">
        <v>26763</v>
      </c>
      <c r="C8463" s="24" t="s">
        <v>26764</v>
      </c>
      <c r="D8463" s="25" t="s">
        <v>26765</v>
      </c>
      <c r="E8463" s="28">
        <v>1.00000</v>
      </c>
      <c r="F8463" s="29">
        <f ca="1">ROUND(11.110,3)</f>
        <v>0</v>
      </c>
      <c r="G8463" s="27">
        <f ca="1">ROUND(E8463*F8463,2)</f>
        <v>0</v>
      </c>
    </row>
    <row r="8464" spans="1:7" ht="30.60" thickBot="1" customHeight="1">
      <c r="A8464" s="24" t="s">
        <v>26766</v>
      </c>
      <c r="B8464" s="24" t="s">
        <v>26767</v>
      </c>
      <c r="C8464" s="24" t="s">
        <v>26768</v>
      </c>
      <c r="D8464" s="25" t="s">
        <v>26769</v>
      </c>
      <c r="E8464" s="28">
        <v>1.00000</v>
      </c>
      <c r="F8464" s="29">
        <f ca="1">ROUND(2.720,3)</f>
        <v>0</v>
      </c>
      <c r="G8464" s="27">
        <f ca="1">ROUND(E8464*F8464,2)</f>
        <v>0</v>
      </c>
    </row>
    <row r="8465" spans="1:7" ht="21.36" thickBot="1" customHeight="1">
      <c r="A8465" s="24" t="s">
        <v>26770</v>
      </c>
      <c r="B8465" s="24" t="s">
        <v>26771</v>
      </c>
      <c r="C8465" s="24" t="s">
        <v>26772</v>
      </c>
      <c r="D8465" s="25" t="s">
        <v>26773</v>
      </c>
      <c r="E8465" s="28">
        <v>8.00000</v>
      </c>
      <c r="F8465" s="29">
        <f ca="1">F8469</f>
        <v>0</v>
      </c>
      <c r="G8465" s="27">
        <f ca="1">ROUND(E8465*F8465,2)</f>
        <v>0</v>
      </c>
    </row>
    <row r="8466" spans="1:7" ht="24.36" thickBot="1" customHeight="1">
      <c r="A8466" s="24" t="s">
        <v>26774</v>
      </c>
      <c r="B8466" s="24" t="s">
        <v>26775</v>
      </c>
      <c r="C8466" s="24" t="s">
        <v>26776</v>
      </c>
      <c r="D8466" s="25" t="s">
        <v>26777</v>
      </c>
      <c r="E8466" s="28">
        <v>1.00000</v>
      </c>
      <c r="F8466" s="29">
        <f ca="1">ROUND(21.000,3)</f>
        <v>0</v>
      </c>
      <c r="G8466" s="27">
        <f ca="1">ROUND(E8466*F8466,2)</f>
        <v>0</v>
      </c>
    </row>
    <row r="8467" spans="1:7" ht="24.36" thickBot="1" customHeight="1">
      <c r="A8467" s="24" t="s">
        <v>26778</v>
      </c>
      <c r="B8467" s="24" t="s">
        <v>26779</v>
      </c>
      <c r="C8467" s="24" t="s">
        <v>26780</v>
      </c>
      <c r="D8467" s="25" t="s">
        <v>26781</v>
      </c>
      <c r="E8467" s="28">
        <v>1.00000</v>
      </c>
      <c r="F8467" s="29">
        <f ca="1">ROUND(19.000,3)</f>
        <v>0</v>
      </c>
      <c r="G8467" s="27">
        <f ca="1">ROUND(E8467*F8467,2)</f>
        <v>0</v>
      </c>
    </row>
    <row r="8468" spans="1:7" ht="24.36" thickBot="1" customHeight="1">
      <c r="A8468" s="24" t="s">
        <v>26782</v>
      </c>
      <c r="B8468" s="24" t="s">
        <v>26783</v>
      </c>
      <c r="C8468" s="24" t="s">
        <v>26784</v>
      </c>
      <c r="D8468" s="25" t="s">
        <v>26785</v>
      </c>
      <c r="E8468" s="28">
        <v>0.20000</v>
      </c>
      <c r="F8468" s="29">
        <f ca="1">ROUND(19.000,3)</f>
        <v>0</v>
      </c>
      <c r="G8468" s="27">
        <f ca="1">ROUND(E8468*F8468,2)</f>
        <v>0</v>
      </c>
    </row>
    <row r="8469" spans="1:7" ht="15.12" thickBot="1" customHeight="1">
      <c r="A8469" s="26"/>
      <c r="B8469" s="26"/>
      <c r="C8469" s="26"/>
      <c r="D8469" s="24" t="s">
        <v>26786</v>
      </c>
      <c r="E8469" s="28">
        <v>8.00000</v>
      </c>
      <c r="F8469" s="29">
        <f ca="1">ROUND((G8466+G8467+G8468),3)</f>
        <v>0</v>
      </c>
      <c r="G8469" s="27">
        <f ca="1">ROUND(E8469*F8469,2)</f>
        <v>0</v>
      </c>
    </row>
    <row r="8470" spans="1:7" ht="15.12" thickBot="1" customHeight="1">
      <c r="A8470" s="24" t="s">
        <v>26787</v>
      </c>
      <c r="B8470" s="24"/>
      <c r="C8470" s="24" t="s">
        <v>26788</v>
      </c>
      <c r="D8470" s="25" t="s">
        <v>26789</v>
      </c>
      <c r="E8470" s="28">
        <v>3.00000</v>
      </c>
      <c r="F8470" s="29">
        <f ca="1">ROUND(350.400,3)</f>
        <v>0</v>
      </c>
      <c r="G8470" s="27">
        <f ca="1">ROUND((E8470*F8470)/100,2)</f>
        <v>0</v>
      </c>
    </row>
    <row r="8471" spans="1:7" ht="15.48" thickBot="1" customHeight="1">
      <c r="A8471" s="30"/>
      <c r="B8471" s="30"/>
      <c r="C8471" s="30"/>
      <c r="D8471" s="31" t="s">
        <v>26790</v>
      </c>
      <c r="E8471" s="30"/>
      <c r="F8471" s="33">
        <f ca="1">ROUND((G8462+G8463+G8464+G8465+G8470)*(1+G2/100),2)</f>
        <v>0</v>
      </c>
      <c r="G8471" s="30"/>
    </row>
    <row r="8472" spans="1:7" ht="30.60" thickBot="1" customHeight="1">
      <c r="A8472" s="34" t="s">
        <v>26791</v>
      </c>
      <c r="B8472" s="35" t="s">
        <v>26792</v>
      </c>
      <c r="C8472" s="35" t="s">
        <v>26793</v>
      </c>
      <c r="D8472" s="36" t="s">
        <v>26794</v>
      </c>
      <c r="E8472" s="37"/>
      <c r="F8472" s="38">
        <f ca="1">F8484</f>
        <v>0</v>
      </c>
      <c r="G8472" s="37"/>
    </row>
    <row r="8473" spans="1:7" ht="49.08" thickBot="1" customHeight="1">
      <c r="A8473" s="26"/>
      <c r="B8473" s="26"/>
      <c r="C8473" s="26"/>
      <c r="D8473" s="25" t="s">
        <v>26795</v>
      </c>
      <c r="E8473" s="25"/>
      <c r="F8473" s="25"/>
      <c r="G8473" s="25"/>
    </row>
    <row r="8474" spans="1:7" ht="58.32" thickBot="1" customHeight="1">
      <c r="A8474" s="24" t="s">
        <v>26796</v>
      </c>
      <c r="B8474" s="24" t="s">
        <v>26797</v>
      </c>
      <c r="C8474" s="24" t="s">
        <v>26798</v>
      </c>
      <c r="D8474" s="25" t="s">
        <v>26799</v>
      </c>
      <c r="E8474" s="28">
        <v>0.10000</v>
      </c>
      <c r="F8474" s="29">
        <f ca="1">ROUND(0.930,3)</f>
        <v>0</v>
      </c>
      <c r="G8474" s="27">
        <f ca="1">ROUND(E8474*F8474,2)</f>
        <v>0</v>
      </c>
    </row>
    <row r="8475" spans="1:7" ht="21.36" thickBot="1" customHeight="1">
      <c r="A8475" s="24" t="s">
        <v>26800</v>
      </c>
      <c r="B8475" s="24" t="s">
        <v>26801</v>
      </c>
      <c r="C8475" s="24" t="s">
        <v>26802</v>
      </c>
      <c r="D8475" s="25" t="s">
        <v>26803</v>
      </c>
      <c r="E8475" s="28">
        <v>2.50000</v>
      </c>
      <c r="F8475" s="29">
        <f ca="1">ROUND(6.270,3)</f>
        <v>0</v>
      </c>
      <c r="G8475" s="27">
        <f ca="1">ROUND(E8475*F8475,2)</f>
        <v>0</v>
      </c>
    </row>
    <row r="8476" spans="1:7" ht="39.84" thickBot="1" customHeight="1">
      <c r="A8476" s="24" t="s">
        <v>26804</v>
      </c>
      <c r="B8476" s="24" t="s">
        <v>26805</v>
      </c>
      <c r="C8476" s="24" t="s">
        <v>26806</v>
      </c>
      <c r="D8476" s="25" t="s">
        <v>26807</v>
      </c>
      <c r="E8476" s="28">
        <v>0.15000</v>
      </c>
      <c r="F8476" s="29">
        <f ca="1">ROUND(6.460,3)</f>
        <v>0</v>
      </c>
      <c r="G8476" s="27">
        <f ca="1">ROUND(E8476*F8476,2)</f>
        <v>0</v>
      </c>
    </row>
    <row r="8477" spans="1:7" ht="21.36" thickBot="1" customHeight="1">
      <c r="A8477" s="24" t="s">
        <v>26808</v>
      </c>
      <c r="B8477" s="24" t="s">
        <v>26809</v>
      </c>
      <c r="C8477" s="24" t="s">
        <v>26810</v>
      </c>
      <c r="D8477" s="25" t="s">
        <v>26811</v>
      </c>
      <c r="E8477" s="28">
        <v>0.09400</v>
      </c>
      <c r="F8477" s="29">
        <f ca="1">ROUND(10.950,3)</f>
        <v>0</v>
      </c>
      <c r="G8477" s="27">
        <f ca="1">ROUND(E8477*F8477,2)</f>
        <v>0</v>
      </c>
    </row>
    <row r="8478" spans="1:7" ht="21.36" thickBot="1" customHeight="1">
      <c r="A8478" s="24" t="s">
        <v>26812</v>
      </c>
      <c r="B8478" s="24" t="s">
        <v>26813</v>
      </c>
      <c r="C8478" s="24" t="s">
        <v>26814</v>
      </c>
      <c r="D8478" s="25" t="s">
        <v>26815</v>
      </c>
      <c r="E8478" s="28">
        <v>0.15000</v>
      </c>
      <c r="F8478" s="29">
        <f ca="1">F8482</f>
        <v>0</v>
      </c>
      <c r="G8478" s="27">
        <f ca="1">ROUND(E8478*F8478,2)</f>
        <v>0</v>
      </c>
    </row>
    <row r="8479" spans="1:7" ht="24.36" thickBot="1" customHeight="1">
      <c r="A8479" s="24" t="s">
        <v>26816</v>
      </c>
      <c r="B8479" s="24" t="s">
        <v>26817</v>
      </c>
      <c r="C8479" s="24" t="s">
        <v>26818</v>
      </c>
      <c r="D8479" s="25" t="s">
        <v>26819</v>
      </c>
      <c r="E8479" s="28">
        <v>1.00000</v>
      </c>
      <c r="F8479" s="29">
        <f ca="1">ROUND(21.000,3)</f>
        <v>0</v>
      </c>
      <c r="G8479" s="27">
        <f ca="1">ROUND(E8479*F8479,2)</f>
        <v>0</v>
      </c>
    </row>
    <row r="8480" spans="1:7" ht="24.36" thickBot="1" customHeight="1">
      <c r="A8480" s="24" t="s">
        <v>26820</v>
      </c>
      <c r="B8480" s="24" t="s">
        <v>26821</v>
      </c>
      <c r="C8480" s="24" t="s">
        <v>26822</v>
      </c>
      <c r="D8480" s="25" t="s">
        <v>26823</v>
      </c>
      <c r="E8480" s="28">
        <v>1.00000</v>
      </c>
      <c r="F8480" s="29">
        <f ca="1">ROUND(19.000,3)</f>
        <v>0</v>
      </c>
      <c r="G8480" s="27">
        <f ca="1">ROUND(E8480*F8480,2)</f>
        <v>0</v>
      </c>
    </row>
    <row r="8481" spans="1:7" ht="24.36" thickBot="1" customHeight="1">
      <c r="A8481" s="24" t="s">
        <v>26824</v>
      </c>
      <c r="B8481" s="24" t="s">
        <v>26825</v>
      </c>
      <c r="C8481" s="24" t="s">
        <v>26826</v>
      </c>
      <c r="D8481" s="25" t="s">
        <v>26827</v>
      </c>
      <c r="E8481" s="28">
        <v>0.20000</v>
      </c>
      <c r="F8481" s="29">
        <f ca="1">ROUND(19.000,3)</f>
        <v>0</v>
      </c>
      <c r="G8481" s="27">
        <f ca="1">ROUND(E8481*F8481,2)</f>
        <v>0</v>
      </c>
    </row>
    <row r="8482" spans="1:7" ht="15.12" thickBot="1" customHeight="1">
      <c r="A8482" s="26"/>
      <c r="B8482" s="26"/>
      <c r="C8482" s="26"/>
      <c r="D8482" s="24" t="s">
        <v>26828</v>
      </c>
      <c r="E8482" s="28">
        <v>0.15000</v>
      </c>
      <c r="F8482" s="29">
        <f ca="1">ROUND((G8479+G8480+G8481),3)</f>
        <v>0</v>
      </c>
      <c r="G8482" s="27">
        <f ca="1">ROUND(E8482*F8482,2)</f>
        <v>0</v>
      </c>
    </row>
    <row r="8483" spans="1:7" ht="15.12" thickBot="1" customHeight="1">
      <c r="A8483" s="24" t="s">
        <v>26829</v>
      </c>
      <c r="B8483" s="24"/>
      <c r="C8483" s="24" t="s">
        <v>26830</v>
      </c>
      <c r="D8483" s="25" t="s">
        <v>26831</v>
      </c>
      <c r="E8483" s="28">
        <v>3.00000</v>
      </c>
      <c r="F8483" s="29">
        <f ca="1">ROUND(6.570,3)</f>
        <v>0</v>
      </c>
      <c r="G8483" s="27">
        <f ca="1">ROUND((E8483*F8483)/100,2)</f>
        <v>0</v>
      </c>
    </row>
    <row r="8484" spans="1:7" ht="15.48" thickBot="1" customHeight="1">
      <c r="A8484" s="30"/>
      <c r="B8484" s="30"/>
      <c r="C8484" s="30"/>
      <c r="D8484" s="31" t="s">
        <v>26832</v>
      </c>
      <c r="E8484" s="30"/>
      <c r="F8484" s="33">
        <f ca="1">ROUND((G8474+G8475+G8476+G8477+G8478+G8483)*(1+G2/100),2)</f>
        <v>0</v>
      </c>
      <c r="G8484" s="30"/>
    </row>
    <row r="8485" spans="1:7" ht="30.60" thickBot="1" customHeight="1">
      <c r="A8485" s="34" t="s">
        <v>26833</v>
      </c>
      <c r="B8485" s="35" t="s">
        <v>26834</v>
      </c>
      <c r="C8485" s="35" t="s">
        <v>26835</v>
      </c>
      <c r="D8485" s="36" t="s">
        <v>26836</v>
      </c>
      <c r="E8485" s="37"/>
      <c r="F8485" s="38">
        <f ca="1">F8497</f>
        <v>0</v>
      </c>
      <c r="G8485" s="37"/>
    </row>
    <row r="8486" spans="1:7" ht="49.08" thickBot="1" customHeight="1">
      <c r="A8486" s="26"/>
      <c r="B8486" s="26"/>
      <c r="C8486" s="26"/>
      <c r="D8486" s="25" t="s">
        <v>26837</v>
      </c>
      <c r="E8486" s="25"/>
      <c r="F8486" s="25"/>
      <c r="G8486" s="25"/>
    </row>
    <row r="8487" spans="1:7" ht="58.32" thickBot="1" customHeight="1">
      <c r="A8487" s="24" t="s">
        <v>26838</v>
      </c>
      <c r="B8487" s="24" t="s">
        <v>26839</v>
      </c>
      <c r="C8487" s="24" t="s">
        <v>26840</v>
      </c>
      <c r="D8487" s="25" t="s">
        <v>26841</v>
      </c>
      <c r="E8487" s="28">
        <v>0.10000</v>
      </c>
      <c r="F8487" s="29">
        <f ca="1">ROUND(0.930,3)</f>
        <v>0</v>
      </c>
      <c r="G8487" s="27">
        <f ca="1">ROUND(E8487*F8487,2)</f>
        <v>0</v>
      </c>
    </row>
    <row r="8488" spans="1:7" ht="21.36" thickBot="1" customHeight="1">
      <c r="A8488" s="24" t="s">
        <v>26842</v>
      </c>
      <c r="B8488" s="24" t="s">
        <v>26843</v>
      </c>
      <c r="C8488" s="24" t="s">
        <v>26844</v>
      </c>
      <c r="D8488" s="25" t="s">
        <v>26845</v>
      </c>
      <c r="E8488" s="28">
        <v>4.37500</v>
      </c>
      <c r="F8488" s="29">
        <f ca="1">ROUND(6.270,3)</f>
        <v>0</v>
      </c>
      <c r="G8488" s="27">
        <f ca="1">ROUND(E8488*F8488,2)</f>
        <v>0</v>
      </c>
    </row>
    <row r="8489" spans="1:7" ht="39.84" thickBot="1" customHeight="1">
      <c r="A8489" s="24" t="s">
        <v>26846</v>
      </c>
      <c r="B8489" s="24" t="s">
        <v>26847</v>
      </c>
      <c r="C8489" s="24" t="s">
        <v>26848</v>
      </c>
      <c r="D8489" s="25" t="s">
        <v>26849</v>
      </c>
      <c r="E8489" s="28">
        <v>0.20000</v>
      </c>
      <c r="F8489" s="29">
        <f ca="1">ROUND(6.460,3)</f>
        <v>0</v>
      </c>
      <c r="G8489" s="27">
        <f ca="1">ROUND(E8489*F8489,2)</f>
        <v>0</v>
      </c>
    </row>
    <row r="8490" spans="1:7" ht="21.36" thickBot="1" customHeight="1">
      <c r="A8490" s="24" t="s">
        <v>26850</v>
      </c>
      <c r="B8490" s="24" t="s">
        <v>26851</v>
      </c>
      <c r="C8490" s="24" t="s">
        <v>26852</v>
      </c>
      <c r="D8490" s="25" t="s">
        <v>26853</v>
      </c>
      <c r="E8490" s="28">
        <v>0.10000</v>
      </c>
      <c r="F8490" s="29">
        <f ca="1">ROUND(10.950,3)</f>
        <v>0</v>
      </c>
      <c r="G8490" s="27">
        <f ca="1">ROUND(E8490*F8490,2)</f>
        <v>0</v>
      </c>
    </row>
    <row r="8491" spans="1:7" ht="21.36" thickBot="1" customHeight="1">
      <c r="A8491" s="24" t="s">
        <v>26854</v>
      </c>
      <c r="B8491" s="24" t="s">
        <v>26855</v>
      </c>
      <c r="C8491" s="24" t="s">
        <v>26856</v>
      </c>
      <c r="D8491" s="25" t="s">
        <v>26857</v>
      </c>
      <c r="E8491" s="28">
        <v>0.22000</v>
      </c>
      <c r="F8491" s="29">
        <f ca="1">F8495</f>
        <v>0</v>
      </c>
      <c r="G8491" s="27">
        <f ca="1">ROUND(E8491*F8491,2)</f>
        <v>0</v>
      </c>
    </row>
    <row r="8492" spans="1:7" ht="24.36" thickBot="1" customHeight="1">
      <c r="A8492" s="24" t="s">
        <v>26858</v>
      </c>
      <c r="B8492" s="24" t="s">
        <v>26859</v>
      </c>
      <c r="C8492" s="24" t="s">
        <v>26860</v>
      </c>
      <c r="D8492" s="25" t="s">
        <v>26861</v>
      </c>
      <c r="E8492" s="28">
        <v>1.00000</v>
      </c>
      <c r="F8492" s="29">
        <f ca="1">ROUND(21.000,3)</f>
        <v>0</v>
      </c>
      <c r="G8492" s="27">
        <f ca="1">ROUND(E8492*F8492,2)</f>
        <v>0</v>
      </c>
    </row>
    <row r="8493" spans="1:7" ht="24.36" thickBot="1" customHeight="1">
      <c r="A8493" s="24" t="s">
        <v>26862</v>
      </c>
      <c r="B8493" s="24" t="s">
        <v>26863</v>
      </c>
      <c r="C8493" s="24" t="s">
        <v>26864</v>
      </c>
      <c r="D8493" s="25" t="s">
        <v>26865</v>
      </c>
      <c r="E8493" s="28">
        <v>1.00000</v>
      </c>
      <c r="F8493" s="29">
        <f ca="1">ROUND(19.000,3)</f>
        <v>0</v>
      </c>
      <c r="G8493" s="27">
        <f ca="1">ROUND(E8493*F8493,2)</f>
        <v>0</v>
      </c>
    </row>
    <row r="8494" spans="1:7" ht="24.36" thickBot="1" customHeight="1">
      <c r="A8494" s="24" t="s">
        <v>26866</v>
      </c>
      <c r="B8494" s="24" t="s">
        <v>26867</v>
      </c>
      <c r="C8494" s="24" t="s">
        <v>26868</v>
      </c>
      <c r="D8494" s="25" t="s">
        <v>26869</v>
      </c>
      <c r="E8494" s="28">
        <v>0.20000</v>
      </c>
      <c r="F8494" s="29">
        <f ca="1">ROUND(19.000,3)</f>
        <v>0</v>
      </c>
      <c r="G8494" s="27">
        <f ca="1">ROUND(E8494*F8494,2)</f>
        <v>0</v>
      </c>
    </row>
    <row r="8495" spans="1:7" ht="15.12" thickBot="1" customHeight="1">
      <c r="A8495" s="26"/>
      <c r="B8495" s="26"/>
      <c r="C8495" s="26"/>
      <c r="D8495" s="24" t="s">
        <v>26870</v>
      </c>
      <c r="E8495" s="28">
        <v>0.22000</v>
      </c>
      <c r="F8495" s="29">
        <f ca="1">ROUND((G8492+G8493+G8494),3)</f>
        <v>0</v>
      </c>
      <c r="G8495" s="27">
        <f ca="1">ROUND(E8495*F8495,2)</f>
        <v>0</v>
      </c>
    </row>
    <row r="8496" spans="1:7" ht="15.12" thickBot="1" customHeight="1">
      <c r="A8496" s="24" t="s">
        <v>26871</v>
      </c>
      <c r="B8496" s="24"/>
      <c r="C8496" s="24" t="s">
        <v>26872</v>
      </c>
      <c r="D8496" s="25" t="s">
        <v>26873</v>
      </c>
      <c r="E8496" s="28">
        <v>3.00000</v>
      </c>
      <c r="F8496" s="29">
        <f ca="1">ROUND(9.640,3)</f>
        <v>0</v>
      </c>
      <c r="G8496" s="27">
        <f ca="1">ROUND((E8496*F8496)/100,2)</f>
        <v>0</v>
      </c>
    </row>
    <row r="8497" spans="1:7" ht="15.48" thickBot="1" customHeight="1">
      <c r="A8497" s="30"/>
      <c r="B8497" s="30"/>
      <c r="C8497" s="30"/>
      <c r="D8497" s="31" t="s">
        <v>26874</v>
      </c>
      <c r="E8497" s="30"/>
      <c r="F8497" s="33">
        <f ca="1">ROUND((G8487+G8488+G8489+G8490+G8491+G8496)*(1+G2/100),2)</f>
        <v>0</v>
      </c>
      <c r="G8497" s="30"/>
    </row>
    <row r="8498" spans="1:7" ht="21.36" thickBot="1" customHeight="1">
      <c r="A8498" s="34" t="s">
        <v>26875</v>
      </c>
      <c r="B8498" s="35" t="s">
        <v>26876</v>
      </c>
      <c r="C8498" s="35" t="s">
        <v>26877</v>
      </c>
      <c r="D8498" s="36" t="s">
        <v>26878</v>
      </c>
      <c r="E8498" s="37"/>
      <c r="F8498" s="38">
        <f ca="1">F8510</f>
        <v>0</v>
      </c>
      <c r="G8498" s="37"/>
    </row>
    <row r="8499" spans="1:7" ht="76.80" thickBot="1" customHeight="1">
      <c r="A8499" s="26"/>
      <c r="B8499" s="26"/>
      <c r="C8499" s="26"/>
      <c r="D8499" s="25" t="s">
        <v>26879</v>
      </c>
      <c r="E8499" s="25"/>
      <c r="F8499" s="25"/>
      <c r="G8499" s="25"/>
    </row>
    <row r="8500" spans="1:7" ht="30.60" thickBot="1" customHeight="1">
      <c r="A8500" s="24" t="s">
        <v>26880</v>
      </c>
      <c r="B8500" s="24" t="s">
        <v>26881</v>
      </c>
      <c r="C8500" s="24" t="s">
        <v>26882</v>
      </c>
      <c r="D8500" s="25" t="s">
        <v>26883</v>
      </c>
      <c r="E8500" s="28">
        <v>1.07500</v>
      </c>
      <c r="F8500" s="29">
        <f ca="1">ROUND(25.000,3)</f>
        <v>0</v>
      </c>
      <c r="G8500" s="27">
        <f ca="1">ROUND(E8500*F8500,2)</f>
        <v>0</v>
      </c>
    </row>
    <row r="8501" spans="1:7" ht="39.84" thickBot="1" customHeight="1">
      <c r="A8501" s="24" t="s">
        <v>26884</v>
      </c>
      <c r="B8501" s="24" t="s">
        <v>26885</v>
      </c>
      <c r="C8501" s="24" t="s">
        <v>26886</v>
      </c>
      <c r="D8501" s="25" t="s">
        <v>26887</v>
      </c>
      <c r="E8501" s="28">
        <v>0.10000</v>
      </c>
      <c r="F8501" s="29">
        <f ca="1">ROUND(2.630,3)</f>
        <v>0</v>
      </c>
      <c r="G8501" s="27">
        <f ca="1">ROUND(E8501*F8501,2)</f>
        <v>0</v>
      </c>
    </row>
    <row r="8502" spans="1:7" ht="30.60" thickBot="1" customHeight="1">
      <c r="A8502" s="24" t="s">
        <v>26888</v>
      </c>
      <c r="B8502" s="24" t="s">
        <v>26889</v>
      </c>
      <c r="C8502" s="24" t="s">
        <v>26890</v>
      </c>
      <c r="D8502" s="25" t="s">
        <v>26891</v>
      </c>
      <c r="E8502" s="28">
        <v>0.35000</v>
      </c>
      <c r="F8502" s="29">
        <f ca="1">ROUND(8.350,3)</f>
        <v>0</v>
      </c>
      <c r="G8502" s="27">
        <f ca="1">ROUND(E8502*F8502,2)</f>
        <v>0</v>
      </c>
    </row>
    <row r="8503" spans="1:7" ht="30.60" thickBot="1" customHeight="1">
      <c r="A8503" s="24" t="s">
        <v>26892</v>
      </c>
      <c r="B8503" s="24" t="s">
        <v>26893</v>
      </c>
      <c r="C8503" s="24" t="s">
        <v>26894</v>
      </c>
      <c r="D8503" s="25" t="s">
        <v>26895</v>
      </c>
      <c r="E8503" s="28">
        <v>0.08000</v>
      </c>
      <c r="F8503" s="29">
        <f ca="1">ROUND(11.740,3)</f>
        <v>0</v>
      </c>
      <c r="G8503" s="27">
        <f ca="1">ROUND(E8503*F8503,2)</f>
        <v>0</v>
      </c>
    </row>
    <row r="8504" spans="1:7" ht="21.36" thickBot="1" customHeight="1">
      <c r="A8504" s="24" t="s">
        <v>26896</v>
      </c>
      <c r="B8504" s="24" t="s">
        <v>26897</v>
      </c>
      <c r="C8504" s="24" t="s">
        <v>26898</v>
      </c>
      <c r="D8504" s="25" t="s">
        <v>26899</v>
      </c>
      <c r="E8504" s="28">
        <v>0.50000</v>
      </c>
      <c r="F8504" s="29">
        <f ca="1">F8508</f>
        <v>0</v>
      </c>
      <c r="G8504" s="27">
        <f ca="1">ROUND(E8504*F8504,2)</f>
        <v>0</v>
      </c>
    </row>
    <row r="8505" spans="1:7" ht="24.36" thickBot="1" customHeight="1">
      <c r="A8505" s="24" t="s">
        <v>26900</v>
      </c>
      <c r="B8505" s="24" t="s">
        <v>26901</v>
      </c>
      <c r="C8505" s="24" t="s">
        <v>26902</v>
      </c>
      <c r="D8505" s="25" t="s">
        <v>26903</v>
      </c>
      <c r="E8505" s="28">
        <v>1.00000</v>
      </c>
      <c r="F8505" s="29">
        <f ca="1">ROUND(21.000,3)</f>
        <v>0</v>
      </c>
      <c r="G8505" s="27">
        <f ca="1">ROUND(E8505*F8505,2)</f>
        <v>0</v>
      </c>
    </row>
    <row r="8506" spans="1:7" ht="24.36" thickBot="1" customHeight="1">
      <c r="A8506" s="24" t="s">
        <v>26904</v>
      </c>
      <c r="B8506" s="24" t="s">
        <v>26905</v>
      </c>
      <c r="C8506" s="24" t="s">
        <v>26906</v>
      </c>
      <c r="D8506" s="25" t="s">
        <v>26907</v>
      </c>
      <c r="E8506" s="28">
        <v>1.00000</v>
      </c>
      <c r="F8506" s="29">
        <f ca="1">ROUND(19.000,3)</f>
        <v>0</v>
      </c>
      <c r="G8506" s="27">
        <f ca="1">ROUND(E8506*F8506,2)</f>
        <v>0</v>
      </c>
    </row>
    <row r="8507" spans="1:7" ht="24.36" thickBot="1" customHeight="1">
      <c r="A8507" s="24" t="s">
        <v>26908</v>
      </c>
      <c r="B8507" s="24" t="s">
        <v>26909</v>
      </c>
      <c r="C8507" s="24" t="s">
        <v>26910</v>
      </c>
      <c r="D8507" s="25" t="s">
        <v>26911</v>
      </c>
      <c r="E8507" s="28">
        <v>0.20000</v>
      </c>
      <c r="F8507" s="29">
        <f ca="1">ROUND(19.000,3)</f>
        <v>0</v>
      </c>
      <c r="G8507" s="27">
        <f ca="1">ROUND(E8507*F8507,2)</f>
        <v>0</v>
      </c>
    </row>
    <row r="8508" spans="1:7" ht="15.12" thickBot="1" customHeight="1">
      <c r="A8508" s="26"/>
      <c r="B8508" s="26"/>
      <c r="C8508" s="26"/>
      <c r="D8508" s="24" t="s">
        <v>26912</v>
      </c>
      <c r="E8508" s="28">
        <v>0.50000</v>
      </c>
      <c r="F8508" s="29">
        <f ca="1">ROUND((G8505+G8506+G8507),3)</f>
        <v>0</v>
      </c>
      <c r="G8508" s="27">
        <f ca="1">ROUND(E8508*F8508,2)</f>
        <v>0</v>
      </c>
    </row>
    <row r="8509" spans="1:7" ht="15.12" thickBot="1" customHeight="1">
      <c r="A8509" s="24" t="s">
        <v>26913</v>
      </c>
      <c r="B8509" s="24"/>
      <c r="C8509" s="24" t="s">
        <v>26914</v>
      </c>
      <c r="D8509" s="25" t="s">
        <v>26915</v>
      </c>
      <c r="E8509" s="28">
        <v>3.00000</v>
      </c>
      <c r="F8509" s="29">
        <f ca="1">ROUND(21.900,3)</f>
        <v>0</v>
      </c>
      <c r="G8509" s="27">
        <f ca="1">ROUND((E8509*F8509)/100,2)</f>
        <v>0</v>
      </c>
    </row>
    <row r="8510" spans="1:7" ht="15.48" thickBot="1" customHeight="1">
      <c r="A8510" s="30"/>
      <c r="B8510" s="30"/>
      <c r="C8510" s="30"/>
      <c r="D8510" s="31" t="s">
        <v>26916</v>
      </c>
      <c r="E8510" s="30"/>
      <c r="F8510" s="33">
        <f ca="1">ROUND((G8500+G8501+G8502+G8503+G8504+G8509)*(1+G2/100),2)</f>
        <v>0</v>
      </c>
      <c r="G8510" s="30"/>
    </row>
    <row r="8511" spans="1:7" ht="21.36" thickBot="1" customHeight="1">
      <c r="A8511" s="34" t="s">
        <v>26917</v>
      </c>
      <c r="B8511" s="35" t="s">
        <v>26918</v>
      </c>
      <c r="C8511" s="35" t="s">
        <v>26919</v>
      </c>
      <c r="D8511" s="36" t="s">
        <v>26920</v>
      </c>
      <c r="E8511" s="37"/>
      <c r="F8511" s="38">
        <f ca="1">F8523</f>
        <v>0</v>
      </c>
      <c r="G8511" s="37"/>
    </row>
    <row r="8512" spans="1:7" ht="76.80" thickBot="1" customHeight="1">
      <c r="A8512" s="26"/>
      <c r="B8512" s="26"/>
      <c r="C8512" s="26"/>
      <c r="D8512" s="25" t="s">
        <v>26921</v>
      </c>
      <c r="E8512" s="25"/>
      <c r="F8512" s="25"/>
      <c r="G8512" s="25"/>
    </row>
    <row r="8513" spans="1:7" ht="30.60" thickBot="1" customHeight="1">
      <c r="A8513" s="24" t="s">
        <v>26922</v>
      </c>
      <c r="B8513" s="24" t="s">
        <v>26923</v>
      </c>
      <c r="C8513" s="24" t="s">
        <v>26924</v>
      </c>
      <c r="D8513" s="25" t="s">
        <v>26925</v>
      </c>
      <c r="E8513" s="28">
        <v>0.19350</v>
      </c>
      <c r="F8513" s="29">
        <f ca="1">ROUND(25.000,3)</f>
        <v>0</v>
      </c>
      <c r="G8513" s="27">
        <f ca="1">ROUND(E8513*F8513,2)</f>
        <v>0</v>
      </c>
    </row>
    <row r="8514" spans="1:7" ht="39.84" thickBot="1" customHeight="1">
      <c r="A8514" s="24" t="s">
        <v>26926</v>
      </c>
      <c r="B8514" s="24" t="s">
        <v>26927</v>
      </c>
      <c r="C8514" s="24" t="s">
        <v>26928</v>
      </c>
      <c r="D8514" s="25" t="s">
        <v>26929</v>
      </c>
      <c r="E8514" s="28">
        <v>0.01800</v>
      </c>
      <c r="F8514" s="29">
        <f ca="1">ROUND(2.630,3)</f>
        <v>0</v>
      </c>
      <c r="G8514" s="27">
        <f ca="1">ROUND(E8514*F8514,2)</f>
        <v>0</v>
      </c>
    </row>
    <row r="8515" spans="1:7" ht="30.60" thickBot="1" customHeight="1">
      <c r="A8515" s="24" t="s">
        <v>26930</v>
      </c>
      <c r="B8515" s="24" t="s">
        <v>26931</v>
      </c>
      <c r="C8515" s="24" t="s">
        <v>26932</v>
      </c>
      <c r="D8515" s="25" t="s">
        <v>26933</v>
      </c>
      <c r="E8515" s="28">
        <v>0.06300</v>
      </c>
      <c r="F8515" s="29">
        <f ca="1">ROUND(8.350,3)</f>
        <v>0</v>
      </c>
      <c r="G8515" s="27">
        <f ca="1">ROUND(E8515*F8515,2)</f>
        <v>0</v>
      </c>
    </row>
    <row r="8516" spans="1:7" ht="30.60" thickBot="1" customHeight="1">
      <c r="A8516" s="24" t="s">
        <v>26934</v>
      </c>
      <c r="B8516" s="24" t="s">
        <v>26935</v>
      </c>
      <c r="C8516" s="24" t="s">
        <v>26936</v>
      </c>
      <c r="D8516" s="25" t="s">
        <v>26937</v>
      </c>
      <c r="E8516" s="28">
        <v>0.01440</v>
      </c>
      <c r="F8516" s="29">
        <f ca="1">ROUND(11.740,3)</f>
        <v>0</v>
      </c>
      <c r="G8516" s="27">
        <f ca="1">ROUND(E8516*F8516,2)</f>
        <v>0</v>
      </c>
    </row>
    <row r="8517" spans="1:7" ht="21.36" thickBot="1" customHeight="1">
      <c r="A8517" s="24" t="s">
        <v>26938</v>
      </c>
      <c r="B8517" s="24" t="s">
        <v>26939</v>
      </c>
      <c r="C8517" s="24" t="s">
        <v>26940</v>
      </c>
      <c r="D8517" s="25" t="s">
        <v>26941</v>
      </c>
      <c r="E8517" s="28">
        <v>0.09000</v>
      </c>
      <c r="F8517" s="29">
        <f ca="1">F8521</f>
        <v>0</v>
      </c>
      <c r="G8517" s="27">
        <f ca="1">ROUND(E8517*F8517,2)</f>
        <v>0</v>
      </c>
    </row>
    <row r="8518" spans="1:7" ht="24.36" thickBot="1" customHeight="1">
      <c r="A8518" s="24" t="s">
        <v>26942</v>
      </c>
      <c r="B8518" s="24" t="s">
        <v>26943</v>
      </c>
      <c r="C8518" s="24" t="s">
        <v>26944</v>
      </c>
      <c r="D8518" s="25" t="s">
        <v>26945</v>
      </c>
      <c r="E8518" s="28">
        <v>1.00000</v>
      </c>
      <c r="F8518" s="29">
        <f ca="1">ROUND(21.000,3)</f>
        <v>0</v>
      </c>
      <c r="G8518" s="27">
        <f ca="1">ROUND(E8518*F8518,2)</f>
        <v>0</v>
      </c>
    </row>
    <row r="8519" spans="1:7" ht="24.36" thickBot="1" customHeight="1">
      <c r="A8519" s="24" t="s">
        <v>26946</v>
      </c>
      <c r="B8519" s="24" t="s">
        <v>26947</v>
      </c>
      <c r="C8519" s="24" t="s">
        <v>26948</v>
      </c>
      <c r="D8519" s="25" t="s">
        <v>26949</v>
      </c>
      <c r="E8519" s="28">
        <v>1.00000</v>
      </c>
      <c r="F8519" s="29">
        <f ca="1">ROUND(19.000,3)</f>
        <v>0</v>
      </c>
      <c r="G8519" s="27">
        <f ca="1">ROUND(E8519*F8519,2)</f>
        <v>0</v>
      </c>
    </row>
    <row r="8520" spans="1:7" ht="24.36" thickBot="1" customHeight="1">
      <c r="A8520" s="24" t="s">
        <v>26950</v>
      </c>
      <c r="B8520" s="24" t="s">
        <v>26951</v>
      </c>
      <c r="C8520" s="24" t="s">
        <v>26952</v>
      </c>
      <c r="D8520" s="25" t="s">
        <v>26953</v>
      </c>
      <c r="E8520" s="28">
        <v>0.20000</v>
      </c>
      <c r="F8520" s="29">
        <f ca="1">ROUND(19.000,3)</f>
        <v>0</v>
      </c>
      <c r="G8520" s="27">
        <f ca="1">ROUND(E8520*F8520,2)</f>
        <v>0</v>
      </c>
    </row>
    <row r="8521" spans="1:7" ht="15.12" thickBot="1" customHeight="1">
      <c r="A8521" s="26"/>
      <c r="B8521" s="26"/>
      <c r="C8521" s="26"/>
      <c r="D8521" s="24" t="s">
        <v>26954</v>
      </c>
      <c r="E8521" s="28">
        <v>0.09000</v>
      </c>
      <c r="F8521" s="29">
        <f ca="1">ROUND((G8518+G8519+G8520),3)</f>
        <v>0</v>
      </c>
      <c r="G8521" s="27">
        <f ca="1">ROUND(E8521*F8521,2)</f>
        <v>0</v>
      </c>
    </row>
    <row r="8522" spans="1:7" ht="15.12" thickBot="1" customHeight="1">
      <c r="A8522" s="24" t="s">
        <v>26955</v>
      </c>
      <c r="B8522" s="24"/>
      <c r="C8522" s="24" t="s">
        <v>26956</v>
      </c>
      <c r="D8522" s="25" t="s">
        <v>26957</v>
      </c>
      <c r="E8522" s="28">
        <v>3.00000</v>
      </c>
      <c r="F8522" s="29">
        <f ca="1">ROUND(3.940,3)</f>
        <v>0</v>
      </c>
      <c r="G8522" s="27">
        <f ca="1">ROUND((E8522*F8522)/100,2)</f>
        <v>0</v>
      </c>
    </row>
    <row r="8523" spans="1:7" ht="15.48" thickBot="1" customHeight="1">
      <c r="A8523" s="30"/>
      <c r="B8523" s="30"/>
      <c r="C8523" s="30"/>
      <c r="D8523" s="31" t="s">
        <v>26958</v>
      </c>
      <c r="E8523" s="30"/>
      <c r="F8523" s="33">
        <f ca="1">ROUND((G8513+G8514+G8515+G8516+G8517+G8522)*(1+G2/100),2)</f>
        <v>0</v>
      </c>
      <c r="G8523" s="30"/>
    </row>
    <row r="8524" spans="1:7" ht="21.36" thickBot="1" customHeight="1">
      <c r="A8524" s="34" t="s">
        <v>26959</v>
      </c>
      <c r="B8524" s="35" t="s">
        <v>26960</v>
      </c>
      <c r="C8524" s="35" t="s">
        <v>26961</v>
      </c>
      <c r="D8524" s="36" t="s">
        <v>26962</v>
      </c>
      <c r="E8524" s="37"/>
      <c r="F8524" s="38">
        <f ca="1">F8527</f>
        <v>0</v>
      </c>
      <c r="G8524" s="37"/>
    </row>
    <row r="8525" spans="1:7" ht="30.60" thickBot="1" customHeight="1">
      <c r="A8525" s="26"/>
      <c r="B8525" s="26"/>
      <c r="C8525" s="26"/>
      <c r="D8525" s="25" t="s">
        <v>26963</v>
      </c>
      <c r="E8525" s="25"/>
      <c r="F8525" s="25"/>
      <c r="G8525" s="25"/>
    </row>
    <row r="8526" spans="1:7" ht="21.36" thickBot="1" customHeight="1">
      <c r="A8526" s="24" t="s">
        <v>26964</v>
      </c>
      <c r="B8526" s="24" t="s">
        <v>26965</v>
      </c>
      <c r="C8526" s="24" t="s">
        <v>26966</v>
      </c>
      <c r="D8526" s="25" t="s">
        <v>26967</v>
      </c>
      <c r="E8526" s="28">
        <v>1.00000</v>
      </c>
      <c r="F8526" s="29">
        <f ca="1">ROUND(460.000,3)</f>
        <v>0</v>
      </c>
      <c r="G8526" s="27">
        <f ca="1">ROUND(E8526*F8526,2)</f>
        <v>0</v>
      </c>
    </row>
    <row r="8527" spans="1:7" ht="15.48" thickBot="1" customHeight="1">
      <c r="A8527" s="30"/>
      <c r="B8527" s="30"/>
      <c r="C8527" s="30"/>
      <c r="D8527" s="31" t="s">
        <v>26968</v>
      </c>
      <c r="E8527" s="30"/>
      <c r="F8527" s="33">
        <f ca="1">ROUND((G8526)*(1+G2/100),2)</f>
        <v>0</v>
      </c>
      <c r="G8527" s="30"/>
    </row>
    <row r="8528" spans="1:7" ht="30.60" thickBot="1" customHeight="1">
      <c r="A8528" s="34" t="s">
        <v>26969</v>
      </c>
      <c r="B8528" s="35" t="s">
        <v>26970</v>
      </c>
      <c r="C8528" s="35" t="s">
        <v>26971</v>
      </c>
      <c r="D8528" s="36" t="s">
        <v>26972</v>
      </c>
      <c r="E8528" s="37"/>
      <c r="F8528" s="38">
        <f ca="1">F8539</f>
        <v>0</v>
      </c>
      <c r="G8528" s="37"/>
    </row>
    <row r="8529" spans="1:7" ht="21.36" thickBot="1" customHeight="1">
      <c r="A8529" s="26"/>
      <c r="B8529" s="26"/>
      <c r="C8529" s="26"/>
      <c r="D8529" s="25" t="s">
        <v>26973</v>
      </c>
      <c r="E8529" s="25"/>
      <c r="F8529" s="25"/>
      <c r="G8529" s="25"/>
    </row>
    <row r="8530" spans="1:7" ht="21.36" thickBot="1" customHeight="1">
      <c r="A8530" s="24" t="s">
        <v>26974</v>
      </c>
      <c r="B8530" s="24" t="s">
        <v>26975</v>
      </c>
      <c r="C8530" s="24" t="s">
        <v>26976</v>
      </c>
      <c r="D8530" s="25" t="s">
        <v>26977</v>
      </c>
      <c r="E8530" s="28">
        <v>0.05000</v>
      </c>
      <c r="F8530" s="29">
        <f ca="1">ROUND(2.000,3)</f>
        <v>0</v>
      </c>
      <c r="G8530" s="27">
        <f ca="1">ROUND(E8530*F8530,2)</f>
        <v>0</v>
      </c>
    </row>
    <row r="8531" spans="1:7" ht="30.60" thickBot="1" customHeight="1">
      <c r="A8531" s="24" t="s">
        <v>26978</v>
      </c>
      <c r="B8531" s="24" t="s">
        <v>26979</v>
      </c>
      <c r="C8531" s="24" t="s">
        <v>26980</v>
      </c>
      <c r="D8531" s="25" t="s">
        <v>26981</v>
      </c>
      <c r="E8531" s="28">
        <v>3.20000</v>
      </c>
      <c r="F8531" s="29">
        <f ca="1">ROUND(1.470,3)</f>
        <v>0</v>
      </c>
      <c r="G8531" s="27">
        <f ca="1">ROUND(E8531*F8531,2)</f>
        <v>0</v>
      </c>
    </row>
    <row r="8532" spans="1:7" ht="39.84" thickBot="1" customHeight="1">
      <c r="A8532" s="24" t="s">
        <v>26982</v>
      </c>
      <c r="B8532" s="24" t="s">
        <v>26983</v>
      </c>
      <c r="C8532" s="24" t="s">
        <v>26984</v>
      </c>
      <c r="D8532" s="25" t="s">
        <v>26985</v>
      </c>
      <c r="E8532" s="28">
        <v>0.15000</v>
      </c>
      <c r="F8532" s="29">
        <f ca="1">ROUND(20.130,3)</f>
        <v>0</v>
      </c>
      <c r="G8532" s="27">
        <f ca="1">ROUND(E8532*F8532,2)</f>
        <v>0</v>
      </c>
    </row>
    <row r="8533" spans="1:7" ht="21.36" thickBot="1" customHeight="1">
      <c r="A8533" s="24" t="s">
        <v>26986</v>
      </c>
      <c r="B8533" s="24" t="s">
        <v>26987</v>
      </c>
      <c r="C8533" s="24" t="s">
        <v>26988</v>
      </c>
      <c r="D8533" s="25" t="s">
        <v>26989</v>
      </c>
      <c r="E8533" s="28">
        <v>0.30000</v>
      </c>
      <c r="F8533" s="29">
        <f ca="1">F8537</f>
        <v>0</v>
      </c>
      <c r="G8533" s="27">
        <f ca="1">ROUND(E8533*F8533,2)</f>
        <v>0</v>
      </c>
    </row>
    <row r="8534" spans="1:7" ht="24.36" thickBot="1" customHeight="1">
      <c r="A8534" s="24" t="s">
        <v>26990</v>
      </c>
      <c r="B8534" s="24" t="s">
        <v>26991</v>
      </c>
      <c r="C8534" s="24" t="s">
        <v>26992</v>
      </c>
      <c r="D8534" s="25" t="s">
        <v>26993</v>
      </c>
      <c r="E8534" s="28">
        <v>1.00000</v>
      </c>
      <c r="F8534" s="29">
        <f ca="1">ROUND(21.000,3)</f>
        <v>0</v>
      </c>
      <c r="G8534" s="27">
        <f ca="1">ROUND(E8534*F8534,2)</f>
        <v>0</v>
      </c>
    </row>
    <row r="8535" spans="1:7" ht="24.36" thickBot="1" customHeight="1">
      <c r="A8535" s="24" t="s">
        <v>26994</v>
      </c>
      <c r="B8535" s="24" t="s">
        <v>26995</v>
      </c>
      <c r="C8535" s="24" t="s">
        <v>26996</v>
      </c>
      <c r="D8535" s="25" t="s">
        <v>26997</v>
      </c>
      <c r="E8535" s="28">
        <v>1.00000</v>
      </c>
      <c r="F8535" s="29">
        <f ca="1">ROUND(19.000,3)</f>
        <v>0</v>
      </c>
      <c r="G8535" s="27">
        <f ca="1">ROUND(E8535*F8535,2)</f>
        <v>0</v>
      </c>
    </row>
    <row r="8536" spans="1:7" ht="24.36" thickBot="1" customHeight="1">
      <c r="A8536" s="24" t="s">
        <v>26998</v>
      </c>
      <c r="B8536" s="24" t="s">
        <v>26999</v>
      </c>
      <c r="C8536" s="24" t="s">
        <v>27000</v>
      </c>
      <c r="D8536" s="25" t="s">
        <v>27001</v>
      </c>
      <c r="E8536" s="28">
        <v>0.20000</v>
      </c>
      <c r="F8536" s="29">
        <f ca="1">ROUND(19.000,3)</f>
        <v>0</v>
      </c>
      <c r="G8536" s="27">
        <f ca="1">ROUND(E8536*F8536,2)</f>
        <v>0</v>
      </c>
    </row>
    <row r="8537" spans="1:7" ht="15.12" thickBot="1" customHeight="1">
      <c r="A8537" s="26"/>
      <c r="B8537" s="26"/>
      <c r="C8537" s="26"/>
      <c r="D8537" s="24" t="s">
        <v>27002</v>
      </c>
      <c r="E8537" s="28">
        <v>0.30000</v>
      </c>
      <c r="F8537" s="29">
        <f ca="1">ROUND((G8534+G8535+G8536),3)</f>
        <v>0</v>
      </c>
      <c r="G8537" s="27">
        <f ca="1">ROUND(E8537*F8537,2)</f>
        <v>0</v>
      </c>
    </row>
    <row r="8538" spans="1:7" ht="15.12" thickBot="1" customHeight="1">
      <c r="A8538" s="24" t="s">
        <v>27003</v>
      </c>
      <c r="B8538" s="24"/>
      <c r="C8538" s="24" t="s">
        <v>27004</v>
      </c>
      <c r="D8538" s="25" t="s">
        <v>27005</v>
      </c>
      <c r="E8538" s="28">
        <v>3.00000</v>
      </c>
      <c r="F8538" s="29">
        <f ca="1">ROUND(13.140,3)</f>
        <v>0</v>
      </c>
      <c r="G8538" s="27">
        <f ca="1">ROUND((E8538*F8538)/100,2)</f>
        <v>0</v>
      </c>
    </row>
    <row r="8539" spans="1:7" ht="15.48" thickBot="1" customHeight="1">
      <c r="A8539" s="30"/>
      <c r="B8539" s="30"/>
      <c r="C8539" s="30"/>
      <c r="D8539" s="31" t="s">
        <v>27006</v>
      </c>
      <c r="E8539" s="30"/>
      <c r="F8539" s="33">
        <f ca="1">ROUND((G8530+G8531+G8532+G8533+G8538)*(1+G2/100),2)</f>
        <v>0</v>
      </c>
      <c r="G8539" s="30"/>
    </row>
    <row r="8540" spans="1:7" ht="15.48" thickBot="1" customHeight="1">
      <c r="A8540" s="39"/>
      <c r="B8540" s="39"/>
      <c r="C8540" s="39"/>
      <c r="D8540" s="50" t="s">
        <v>27007</v>
      </c>
      <c r="E8540" s="51"/>
      <c r="F8540" s="51"/>
      <c r="G8540" s="51"/>
    </row>
    <row r="8541" spans="1:7" ht="22.08" thickBot="1" customHeight="1">
      <c r="A8541" s="52" t="s">
        <v>27008</v>
      </c>
      <c r="B8541" s="52" t="s">
        <v>27009</v>
      </c>
      <c r="C8541" s="53"/>
      <c r="D8541" s="54" t="s">
        <v>27010</v>
      </c>
      <c r="E8541" s="53"/>
      <c r="F8541" s="53"/>
      <c r="G8541" s="53"/>
    </row>
    <row r="8542" spans="1:7" ht="21.36" thickBot="1" customHeight="1">
      <c r="A8542" s="10" t="s">
        <v>27011</v>
      </c>
      <c r="B8542" s="24" t="s">
        <v>27012</v>
      </c>
      <c r="C8542" s="24" t="s">
        <v>27013</v>
      </c>
      <c r="D8542" s="25" t="s">
        <v>27014</v>
      </c>
      <c r="E8542" s="26"/>
      <c r="F8542" s="27">
        <f ca="1">F8553</f>
        <v>0</v>
      </c>
      <c r="G8542" s="26"/>
    </row>
    <row r="8543" spans="1:7" ht="30.60" thickBot="1" customHeight="1">
      <c r="A8543" s="26"/>
      <c r="B8543" s="26"/>
      <c r="C8543" s="26"/>
      <c r="D8543" s="25" t="s">
        <v>27015</v>
      </c>
      <c r="E8543" s="25"/>
      <c r="F8543" s="25"/>
      <c r="G8543" s="25"/>
    </row>
    <row r="8544" spans="1:7" ht="15.12" thickBot="1" customHeight="1">
      <c r="A8544" s="24" t="s">
        <v>27016</v>
      </c>
      <c r="B8544" s="24" t="s">
        <v>27017</v>
      </c>
      <c r="C8544" s="24" t="s">
        <v>27018</v>
      </c>
      <c r="D8544" s="25" t="s">
        <v>27019</v>
      </c>
      <c r="E8544" s="28">
        <v>1.00000</v>
      </c>
      <c r="F8544" s="29">
        <f ca="1">ROUND(12.550,3)</f>
        <v>0</v>
      </c>
      <c r="G8544" s="27">
        <f ca="1">ROUND(E8544*F8544,2)</f>
        <v>0</v>
      </c>
    </row>
    <row r="8545" spans="1:7" ht="30.60" thickBot="1" customHeight="1">
      <c r="A8545" s="24" t="s">
        <v>27020</v>
      </c>
      <c r="B8545" s="24" t="s">
        <v>27021</v>
      </c>
      <c r="C8545" s="24" t="s">
        <v>27022</v>
      </c>
      <c r="D8545" s="25" t="s">
        <v>27023</v>
      </c>
      <c r="E8545" s="28">
        <v>1.00000</v>
      </c>
      <c r="F8545" s="29">
        <f ca="1">ROUND(11.030,3)</f>
        <v>0</v>
      </c>
      <c r="G8545" s="27">
        <f ca="1">ROUND(E8545*F8545,2)</f>
        <v>0</v>
      </c>
    </row>
    <row r="8546" spans="1:7" ht="21.36" thickBot="1" customHeight="1">
      <c r="A8546" s="24" t="s">
        <v>27024</v>
      </c>
      <c r="B8546" s="24" t="s">
        <v>27025</v>
      </c>
      <c r="C8546" s="24" t="s">
        <v>27026</v>
      </c>
      <c r="D8546" s="25" t="s">
        <v>27027</v>
      </c>
      <c r="E8546" s="28">
        <v>0.50000</v>
      </c>
      <c r="F8546" s="29">
        <f ca="1">ROUND(2.300,3)</f>
        <v>0</v>
      </c>
      <c r="G8546" s="27">
        <f ca="1">ROUND(E8546*F8546,2)</f>
        <v>0</v>
      </c>
    </row>
    <row r="8547" spans="1:7" ht="21.36" thickBot="1" customHeight="1">
      <c r="A8547" s="24" t="s">
        <v>27028</v>
      </c>
      <c r="B8547" s="24" t="s">
        <v>27029</v>
      </c>
      <c r="C8547" s="24" t="s">
        <v>27030</v>
      </c>
      <c r="D8547" s="25" t="s">
        <v>27031</v>
      </c>
      <c r="E8547" s="28">
        <v>1.00000</v>
      </c>
      <c r="F8547" s="29">
        <f ca="1">F8551</f>
        <v>0</v>
      </c>
      <c r="G8547" s="27">
        <f ca="1">ROUND(E8547*F8547,2)</f>
        <v>0</v>
      </c>
    </row>
    <row r="8548" spans="1:7" ht="24.36" thickBot="1" customHeight="1">
      <c r="A8548" s="24" t="s">
        <v>27032</v>
      </c>
      <c r="B8548" s="24" t="s">
        <v>27033</v>
      </c>
      <c r="C8548" s="24" t="s">
        <v>27034</v>
      </c>
      <c r="D8548" s="25" t="s">
        <v>27035</v>
      </c>
      <c r="E8548" s="28">
        <v>1.00000</v>
      </c>
      <c r="F8548" s="29">
        <f ca="1">ROUND(21.000,3)</f>
        <v>0</v>
      </c>
      <c r="G8548" s="27">
        <f ca="1">ROUND(E8548*F8548,2)</f>
        <v>0</v>
      </c>
    </row>
    <row r="8549" spans="1:7" ht="24.36" thickBot="1" customHeight="1">
      <c r="A8549" s="24" t="s">
        <v>27036</v>
      </c>
      <c r="B8549" s="24" t="s">
        <v>27037</v>
      </c>
      <c r="C8549" s="24" t="s">
        <v>27038</v>
      </c>
      <c r="D8549" s="25" t="s">
        <v>27039</v>
      </c>
      <c r="E8549" s="28">
        <v>1.00000</v>
      </c>
      <c r="F8549" s="29">
        <f ca="1">ROUND(19.000,3)</f>
        <v>0</v>
      </c>
      <c r="G8549" s="27">
        <f ca="1">ROUND(E8549*F8549,2)</f>
        <v>0</v>
      </c>
    </row>
    <row r="8550" spans="1:7" ht="24.36" thickBot="1" customHeight="1">
      <c r="A8550" s="24" t="s">
        <v>27040</v>
      </c>
      <c r="B8550" s="24" t="s">
        <v>27041</v>
      </c>
      <c r="C8550" s="24" t="s">
        <v>27042</v>
      </c>
      <c r="D8550" s="25" t="s">
        <v>27043</v>
      </c>
      <c r="E8550" s="28">
        <v>0.20000</v>
      </c>
      <c r="F8550" s="29">
        <f ca="1">ROUND(19.000,3)</f>
        <v>0</v>
      </c>
      <c r="G8550" s="27">
        <f ca="1">ROUND(E8550*F8550,2)</f>
        <v>0</v>
      </c>
    </row>
    <row r="8551" spans="1:7" ht="15.12" thickBot="1" customHeight="1">
      <c r="A8551" s="26"/>
      <c r="B8551" s="26"/>
      <c r="C8551" s="26"/>
      <c r="D8551" s="24" t="s">
        <v>27044</v>
      </c>
      <c r="E8551" s="28">
        <v>1.00000</v>
      </c>
      <c r="F8551" s="29">
        <f ca="1">ROUND((G8548+G8549+G8550),3)</f>
        <v>0</v>
      </c>
      <c r="G8551" s="27">
        <f ca="1">ROUND(E8551*F8551,2)</f>
        <v>0</v>
      </c>
    </row>
    <row r="8552" spans="1:7" ht="15.12" thickBot="1" customHeight="1">
      <c r="A8552" s="24" t="s">
        <v>27045</v>
      </c>
      <c r="B8552" s="24"/>
      <c r="C8552" s="24" t="s">
        <v>27046</v>
      </c>
      <c r="D8552" s="25" t="s">
        <v>27047</v>
      </c>
      <c r="E8552" s="28">
        <v>3.00000</v>
      </c>
      <c r="F8552" s="29">
        <f ca="1">ROUND(43.800,3)</f>
        <v>0</v>
      </c>
      <c r="G8552" s="27">
        <f ca="1">ROUND((E8552*F8552)/100,2)</f>
        <v>0</v>
      </c>
    </row>
    <row r="8553" spans="1:7" ht="15.48" thickBot="1" customHeight="1">
      <c r="A8553" s="30"/>
      <c r="B8553" s="30"/>
      <c r="C8553" s="30"/>
      <c r="D8553" s="31" t="s">
        <v>27048</v>
      </c>
      <c r="E8553" s="30"/>
      <c r="F8553" s="33">
        <f ca="1">ROUND((G8544+G8545+G8546+G8547+G8552)*(1+G2/100),2)</f>
        <v>0</v>
      </c>
      <c r="G8553" s="30"/>
    </row>
    <row r="8554" spans="1:7" ht="24.36" thickBot="1" customHeight="1">
      <c r="A8554" s="34" t="s">
        <v>27049</v>
      </c>
      <c r="B8554" s="35" t="s">
        <v>27050</v>
      </c>
      <c r="C8554" s="35" t="s">
        <v>27051</v>
      </c>
      <c r="D8554" s="36" t="s">
        <v>27052</v>
      </c>
      <c r="E8554" s="37"/>
      <c r="F8554" s="38">
        <f ca="1">ROUND(0.000*(1+G2/100),2)</f>
        <v>0</v>
      </c>
      <c r="G8554" s="37"/>
    </row>
    <row r="8555" spans="1:7" ht="12.12" thickBot="1" customHeight="1">
      <c r="A8555" s="26"/>
      <c r="B8555" s="26"/>
      <c r="C8555" s="26"/>
      <c r="D8555" s="25" t="s">
        <v>27053</v>
      </c>
      <c r="E8555" s="25"/>
      <c r="F8555" s="25"/>
      <c r="G8555" s="25"/>
    </row>
    <row r="8556" spans="1:7" ht="58.32" thickBot="1" customHeight="1">
      <c r="A8556" s="10" t="s">
        <v>27054</v>
      </c>
      <c r="B8556" s="24" t="s">
        <v>27055</v>
      </c>
      <c r="C8556" s="24" t="s">
        <v>27056</v>
      </c>
      <c r="D8556" s="25" t="s">
        <v>27057</v>
      </c>
      <c r="E8556" s="26"/>
      <c r="F8556" s="27">
        <f ca="1">F8579</f>
        <v>0</v>
      </c>
      <c r="G8556" s="26"/>
    </row>
    <row r="8557" spans="1:7" ht="21.36" thickBot="1" customHeight="1">
      <c r="A8557" s="26"/>
      <c r="B8557" s="26"/>
      <c r="C8557" s="26"/>
      <c r="D8557" s="25" t="s">
        <v>27058</v>
      </c>
      <c r="E8557" s="25"/>
      <c r="F8557" s="25"/>
      <c r="G8557" s="25"/>
    </row>
    <row r="8558" spans="1:7" ht="30.60" thickBot="1" customHeight="1">
      <c r="A8558" s="24" t="s">
        <v>27059</v>
      </c>
      <c r="B8558" s="24" t="s">
        <v>27060</v>
      </c>
      <c r="C8558" s="24" t="s">
        <v>27061</v>
      </c>
      <c r="D8558" s="25" t="s">
        <v>27062</v>
      </c>
      <c r="E8558" s="28">
        <v>1.10000</v>
      </c>
      <c r="F8558" s="29">
        <f ca="1">ROUND(47.100,3)</f>
        <v>0</v>
      </c>
      <c r="G8558" s="27">
        <f ca="1">ROUND(E8558*F8558,2)</f>
        <v>0</v>
      </c>
    </row>
    <row r="8559" spans="1:7" ht="30.60" thickBot="1" customHeight="1">
      <c r="A8559" s="24" t="s">
        <v>27063</v>
      </c>
      <c r="B8559" s="24" t="s">
        <v>27064</v>
      </c>
      <c r="C8559" s="24" t="s">
        <v>27065</v>
      </c>
      <c r="D8559" s="25" t="s">
        <v>27066</v>
      </c>
      <c r="E8559" s="28">
        <v>0.28571</v>
      </c>
      <c r="F8559" s="29">
        <f ca="1">ROUND(61.150,3)</f>
        <v>0</v>
      </c>
      <c r="G8559" s="27">
        <f ca="1">ROUND(E8559*F8559,2)</f>
        <v>0</v>
      </c>
    </row>
    <row r="8560" spans="1:7" ht="30.60" thickBot="1" customHeight="1">
      <c r="A8560" s="24" t="s">
        <v>27067</v>
      </c>
      <c r="B8560" s="24" t="s">
        <v>27068</v>
      </c>
      <c r="C8560" s="24" t="s">
        <v>27069</v>
      </c>
      <c r="D8560" s="25" t="s">
        <v>27070</v>
      </c>
      <c r="E8560" s="28">
        <v>0.28571</v>
      </c>
      <c r="F8560" s="29">
        <f ca="1">ROUND(42.140,3)</f>
        <v>0</v>
      </c>
      <c r="G8560" s="27">
        <f ca="1">ROUND(E8560*F8560,2)</f>
        <v>0</v>
      </c>
    </row>
    <row r="8561" spans="1:7" ht="39.84" thickBot="1" customHeight="1">
      <c r="A8561" s="24" t="s">
        <v>27071</v>
      </c>
      <c r="B8561" s="24" t="s">
        <v>27072</v>
      </c>
      <c r="C8561" s="24" t="s">
        <v>27073</v>
      </c>
      <c r="D8561" s="25" t="s">
        <v>27074</v>
      </c>
      <c r="E8561" s="28">
        <v>0.28571</v>
      </c>
      <c r="F8561" s="29">
        <f ca="1">ROUND(37.180,3)</f>
        <v>0</v>
      </c>
      <c r="G8561" s="27">
        <f ca="1">ROUND(E8561*F8561,2)</f>
        <v>0</v>
      </c>
    </row>
    <row r="8562" spans="1:7" ht="39.84" thickBot="1" customHeight="1">
      <c r="A8562" s="24" t="s">
        <v>27075</v>
      </c>
      <c r="B8562" s="24" t="s">
        <v>27076</v>
      </c>
      <c r="C8562" s="24" t="s">
        <v>27077</v>
      </c>
      <c r="D8562" s="25" t="s">
        <v>27078</v>
      </c>
      <c r="E8562" s="28">
        <v>0.71429</v>
      </c>
      <c r="F8562" s="29">
        <f ca="1">ROUND(19.000,3)</f>
        <v>0</v>
      </c>
      <c r="G8562" s="27">
        <f ca="1">ROUND(E8562*F8562,2)</f>
        <v>0</v>
      </c>
    </row>
    <row r="8563" spans="1:7" ht="30.60" thickBot="1" customHeight="1">
      <c r="A8563" s="24" t="s">
        <v>27079</v>
      </c>
      <c r="B8563" s="24" t="s">
        <v>27080</v>
      </c>
      <c r="C8563" s="24" t="s">
        <v>27081</v>
      </c>
      <c r="D8563" s="25" t="s">
        <v>27082</v>
      </c>
      <c r="E8563" s="28">
        <v>0.28571</v>
      </c>
      <c r="F8563" s="29">
        <f ca="1">ROUND(23.790,3)</f>
        <v>0</v>
      </c>
      <c r="G8563" s="27">
        <f ca="1">ROUND(E8563*F8563,2)</f>
        <v>0</v>
      </c>
    </row>
    <row r="8564" spans="1:7" ht="30.60" thickBot="1" customHeight="1">
      <c r="A8564" s="24" t="s">
        <v>27083</v>
      </c>
      <c r="B8564" s="24" t="s">
        <v>27084</v>
      </c>
      <c r="C8564" s="24" t="s">
        <v>27085</v>
      </c>
      <c r="D8564" s="25" t="s">
        <v>27086</v>
      </c>
      <c r="E8564" s="28">
        <v>3.42855</v>
      </c>
      <c r="F8564" s="29">
        <f ca="1">ROUND(5.360,3)</f>
        <v>0</v>
      </c>
      <c r="G8564" s="27">
        <f ca="1">ROUND(E8564*F8564,2)</f>
        <v>0</v>
      </c>
    </row>
    <row r="8565" spans="1:7" ht="39.84" thickBot="1" customHeight="1">
      <c r="A8565" s="24" t="s">
        <v>27087</v>
      </c>
      <c r="B8565" s="24" t="s">
        <v>27088</v>
      </c>
      <c r="C8565" s="24" t="s">
        <v>27089</v>
      </c>
      <c r="D8565" s="25" t="s">
        <v>27090</v>
      </c>
      <c r="E8565" s="28">
        <v>1.00000</v>
      </c>
      <c r="F8565" s="29">
        <f ca="1">ROUND(10.980,3)</f>
        <v>0</v>
      </c>
      <c r="G8565" s="27">
        <f ca="1">ROUND(E8565*F8565,2)</f>
        <v>0</v>
      </c>
    </row>
    <row r="8566" spans="1:7" ht="30.60" thickBot="1" customHeight="1">
      <c r="A8566" s="24" t="s">
        <v>27091</v>
      </c>
      <c r="B8566" s="24" t="s">
        <v>27092</v>
      </c>
      <c r="C8566" s="24" t="s">
        <v>27093</v>
      </c>
      <c r="D8566" s="25" t="s">
        <v>27094</v>
      </c>
      <c r="E8566" s="28">
        <v>0.02860</v>
      </c>
      <c r="F8566" s="29">
        <f ca="1">ROUND(57.840,3)</f>
        <v>0</v>
      </c>
      <c r="G8566" s="27">
        <f ca="1">ROUND(E8566*F8566,2)</f>
        <v>0</v>
      </c>
    </row>
    <row r="8567" spans="1:7" ht="30.60" thickBot="1" customHeight="1">
      <c r="A8567" s="24" t="s">
        <v>27095</v>
      </c>
      <c r="B8567" s="24" t="s">
        <v>27096</v>
      </c>
      <c r="C8567" s="24" t="s">
        <v>27097</v>
      </c>
      <c r="D8567" s="25" t="s">
        <v>27098</v>
      </c>
      <c r="E8567" s="28">
        <v>0.02860</v>
      </c>
      <c r="F8567" s="29">
        <f ca="1">ROUND(27.270,3)</f>
        <v>0</v>
      </c>
      <c r="G8567" s="27">
        <f ca="1">ROUND(E8567*F8567,2)</f>
        <v>0</v>
      </c>
    </row>
    <row r="8568" spans="1:7" ht="30.60" thickBot="1" customHeight="1">
      <c r="A8568" s="24" t="s">
        <v>27099</v>
      </c>
      <c r="B8568" s="24" t="s">
        <v>27100</v>
      </c>
      <c r="C8568" s="24" t="s">
        <v>27101</v>
      </c>
      <c r="D8568" s="25" t="s">
        <v>27102</v>
      </c>
      <c r="E8568" s="28">
        <v>0.12500</v>
      </c>
      <c r="F8568" s="29">
        <f ca="1">ROUND(7.930,3)</f>
        <v>0</v>
      </c>
      <c r="G8568" s="27">
        <f ca="1">ROUND(E8568*F8568,2)</f>
        <v>0</v>
      </c>
    </row>
    <row r="8569" spans="1:7" ht="30.60" thickBot="1" customHeight="1">
      <c r="A8569" s="24" t="s">
        <v>27103</v>
      </c>
      <c r="B8569" s="24" t="s">
        <v>27104</v>
      </c>
      <c r="C8569" s="24" t="s">
        <v>27105</v>
      </c>
      <c r="D8569" s="25" t="s">
        <v>27106</v>
      </c>
      <c r="E8569" s="28">
        <v>0.05000</v>
      </c>
      <c r="F8569" s="29">
        <f ca="1">ROUND(6.140,3)</f>
        <v>0</v>
      </c>
      <c r="G8569" s="27">
        <f ca="1">ROUND(E8569*F8569,2)</f>
        <v>0</v>
      </c>
    </row>
    <row r="8570" spans="1:7" ht="39.84" thickBot="1" customHeight="1">
      <c r="A8570" s="24" t="s">
        <v>27107</v>
      </c>
      <c r="B8570" s="24" t="s">
        <v>27108</v>
      </c>
      <c r="C8570" s="24" t="s">
        <v>27109</v>
      </c>
      <c r="D8570" s="25" t="s">
        <v>27110</v>
      </c>
      <c r="E8570" s="28">
        <v>0.16896</v>
      </c>
      <c r="F8570" s="29">
        <f ca="1">ROUND(7.370,3)</f>
        <v>0</v>
      </c>
      <c r="G8570" s="27">
        <f ca="1">ROUND(E8570*F8570,2)</f>
        <v>0</v>
      </c>
    </row>
    <row r="8571" spans="1:7" ht="21.36" thickBot="1" customHeight="1">
      <c r="A8571" s="24" t="s">
        <v>27111</v>
      </c>
      <c r="B8571" s="24" t="s">
        <v>27112</v>
      </c>
      <c r="C8571" s="24" t="s">
        <v>27113</v>
      </c>
      <c r="D8571" s="25" t="s">
        <v>27114</v>
      </c>
      <c r="E8571" s="28">
        <v>0.30000</v>
      </c>
      <c r="F8571" s="29">
        <f ca="1">ROUND(2.000,3)</f>
        <v>0</v>
      </c>
      <c r="G8571" s="27">
        <f ca="1">ROUND(E8571*F8571,2)</f>
        <v>0</v>
      </c>
    </row>
    <row r="8572" spans="1:7" ht="30.60" thickBot="1" customHeight="1">
      <c r="A8572" s="24" t="s">
        <v>27115</v>
      </c>
      <c r="B8572" s="24" t="s">
        <v>27116</v>
      </c>
      <c r="C8572" s="24" t="s">
        <v>27117</v>
      </c>
      <c r="D8572" s="25" t="s">
        <v>27118</v>
      </c>
      <c r="E8572" s="28">
        <v>0.05000</v>
      </c>
      <c r="F8572" s="29">
        <f ca="1">ROUND(4.920,3)</f>
        <v>0</v>
      </c>
      <c r="G8572" s="27">
        <f ca="1">ROUND(E8572*F8572,2)</f>
        <v>0</v>
      </c>
    </row>
    <row r="8573" spans="1:7" ht="21.36" thickBot="1" customHeight="1">
      <c r="A8573" s="24" t="s">
        <v>27119</v>
      </c>
      <c r="B8573" s="24" t="s">
        <v>27120</v>
      </c>
      <c r="C8573" s="24" t="s">
        <v>27121</v>
      </c>
      <c r="D8573" s="25" t="s">
        <v>27122</v>
      </c>
      <c r="E8573" s="28">
        <v>1.00000</v>
      </c>
      <c r="F8573" s="29">
        <f ca="1">F8577</f>
        <v>0</v>
      </c>
      <c r="G8573" s="27">
        <f ca="1">ROUND(E8573*F8573,2)</f>
        <v>0</v>
      </c>
    </row>
    <row r="8574" spans="1:7" ht="24.36" thickBot="1" customHeight="1">
      <c r="A8574" s="24" t="s">
        <v>27123</v>
      </c>
      <c r="B8574" s="24" t="s">
        <v>27124</v>
      </c>
      <c r="C8574" s="24" t="s">
        <v>27125</v>
      </c>
      <c r="D8574" s="25" t="s">
        <v>27126</v>
      </c>
      <c r="E8574" s="28">
        <v>1.00000</v>
      </c>
      <c r="F8574" s="29">
        <f ca="1">ROUND(21.000,3)</f>
        <v>0</v>
      </c>
      <c r="G8574" s="27">
        <f ca="1">ROUND(E8574*F8574,2)</f>
        <v>0</v>
      </c>
    </row>
    <row r="8575" spans="1:7" ht="24.36" thickBot="1" customHeight="1">
      <c r="A8575" s="24" t="s">
        <v>27127</v>
      </c>
      <c r="B8575" s="24" t="s">
        <v>27128</v>
      </c>
      <c r="C8575" s="24" t="s">
        <v>27129</v>
      </c>
      <c r="D8575" s="25" t="s">
        <v>27130</v>
      </c>
      <c r="E8575" s="28">
        <v>1.00000</v>
      </c>
      <c r="F8575" s="29">
        <f ca="1">ROUND(19.000,3)</f>
        <v>0</v>
      </c>
      <c r="G8575" s="27">
        <f ca="1">ROUND(E8575*F8575,2)</f>
        <v>0</v>
      </c>
    </row>
    <row r="8576" spans="1:7" ht="24.36" thickBot="1" customHeight="1">
      <c r="A8576" s="24" t="s">
        <v>27131</v>
      </c>
      <c r="B8576" s="24" t="s">
        <v>27132</v>
      </c>
      <c r="C8576" s="24" t="s">
        <v>27133</v>
      </c>
      <c r="D8576" s="25" t="s">
        <v>27134</v>
      </c>
      <c r="E8576" s="28">
        <v>0.20000</v>
      </c>
      <c r="F8576" s="29">
        <f ca="1">ROUND(19.000,3)</f>
        <v>0</v>
      </c>
      <c r="G8576" s="27">
        <f ca="1">ROUND(E8576*F8576,2)</f>
        <v>0</v>
      </c>
    </row>
    <row r="8577" spans="1:7" ht="15.12" thickBot="1" customHeight="1">
      <c r="A8577" s="26"/>
      <c r="B8577" s="26"/>
      <c r="C8577" s="26"/>
      <c r="D8577" s="24" t="s">
        <v>27135</v>
      </c>
      <c r="E8577" s="28">
        <v>1.00000</v>
      </c>
      <c r="F8577" s="29">
        <f ca="1">ROUND((G8574+G8575+G8576),3)</f>
        <v>0</v>
      </c>
      <c r="G8577" s="27">
        <f ca="1">ROUND(E8577*F8577,2)</f>
        <v>0</v>
      </c>
    </row>
    <row r="8578" spans="1:7" ht="15.12" thickBot="1" customHeight="1">
      <c r="A8578" s="24" t="s">
        <v>27136</v>
      </c>
      <c r="B8578" s="24"/>
      <c r="C8578" s="24" t="s">
        <v>27137</v>
      </c>
      <c r="D8578" s="25" t="s">
        <v>27138</v>
      </c>
      <c r="E8578" s="28">
        <v>3.00000</v>
      </c>
      <c r="F8578" s="29">
        <f ca="1">ROUND(43.800,3)</f>
        <v>0</v>
      </c>
      <c r="G8578" s="27">
        <f ca="1">ROUND((E8578*F8578)/100,2)</f>
        <v>0</v>
      </c>
    </row>
    <row r="8579" spans="1:7" ht="15.48" thickBot="1" customHeight="1">
      <c r="A8579" s="30"/>
      <c r="B8579" s="30"/>
      <c r="C8579" s="30"/>
      <c r="D8579" s="31" t="s">
        <v>27139</v>
      </c>
      <c r="E8579" s="30"/>
      <c r="F8579" s="33">
        <f ca="1">ROUND((G8558+G8559+G8560+G8561+G8562+G8563+G8564+G8565+G8566+G8567+G8568+G8569+G8570+G8571+G8572+G8573+G8578)*(1+G2/100),2)</f>
        <v>0</v>
      </c>
      <c r="G8579" s="30"/>
    </row>
    <row r="8580" spans="1:7" ht="58.32" thickBot="1" customHeight="1">
      <c r="A8580" s="34" t="s">
        <v>27140</v>
      </c>
      <c r="B8580" s="35" t="s">
        <v>27141</v>
      </c>
      <c r="C8580" s="35" t="s">
        <v>27142</v>
      </c>
      <c r="D8580" s="36" t="s">
        <v>27143</v>
      </c>
      <c r="E8580" s="37"/>
      <c r="F8580" s="38">
        <f ca="1">F8603</f>
        <v>0</v>
      </c>
      <c r="G8580" s="37"/>
    </row>
    <row r="8581" spans="1:7" ht="30.60" thickBot="1" customHeight="1">
      <c r="A8581" s="26"/>
      <c r="B8581" s="26"/>
      <c r="C8581" s="26"/>
      <c r="D8581" s="25" t="s">
        <v>27144</v>
      </c>
      <c r="E8581" s="25"/>
      <c r="F8581" s="25"/>
      <c r="G8581" s="25"/>
    </row>
    <row r="8582" spans="1:7" ht="30.60" thickBot="1" customHeight="1">
      <c r="A8582" s="24" t="s">
        <v>27145</v>
      </c>
      <c r="B8582" s="24" t="s">
        <v>27146</v>
      </c>
      <c r="C8582" s="24" t="s">
        <v>27147</v>
      </c>
      <c r="D8582" s="25" t="s">
        <v>27148</v>
      </c>
      <c r="E8582" s="28">
        <v>1.10000</v>
      </c>
      <c r="F8582" s="29">
        <f ca="1">ROUND(47.100,3)</f>
        <v>0</v>
      </c>
      <c r="G8582" s="27">
        <f ca="1">ROUND(E8582*F8582,2)</f>
        <v>0</v>
      </c>
    </row>
    <row r="8583" spans="1:7" ht="30.60" thickBot="1" customHeight="1">
      <c r="A8583" s="24" t="s">
        <v>27149</v>
      </c>
      <c r="B8583" s="24" t="s">
        <v>27150</v>
      </c>
      <c r="C8583" s="24" t="s">
        <v>27151</v>
      </c>
      <c r="D8583" s="25" t="s">
        <v>27152</v>
      </c>
      <c r="E8583" s="28">
        <v>0.28571</v>
      </c>
      <c r="F8583" s="29">
        <f ca="1">ROUND(61.150,3)</f>
        <v>0</v>
      </c>
      <c r="G8583" s="27">
        <f ca="1">ROUND(E8583*F8583,2)</f>
        <v>0</v>
      </c>
    </row>
    <row r="8584" spans="1:7" ht="30.60" thickBot="1" customHeight="1">
      <c r="A8584" s="24" t="s">
        <v>27153</v>
      </c>
      <c r="B8584" s="24" t="s">
        <v>27154</v>
      </c>
      <c r="C8584" s="24" t="s">
        <v>27155</v>
      </c>
      <c r="D8584" s="25" t="s">
        <v>27156</v>
      </c>
      <c r="E8584" s="28">
        <v>0.28571</v>
      </c>
      <c r="F8584" s="29">
        <f ca="1">ROUND(42.140,3)</f>
        <v>0</v>
      </c>
      <c r="G8584" s="27">
        <f ca="1">ROUND(E8584*F8584,2)</f>
        <v>0</v>
      </c>
    </row>
    <row r="8585" spans="1:7" ht="39.84" thickBot="1" customHeight="1">
      <c r="A8585" s="24" t="s">
        <v>27157</v>
      </c>
      <c r="B8585" s="24" t="s">
        <v>27158</v>
      </c>
      <c r="C8585" s="24" t="s">
        <v>27159</v>
      </c>
      <c r="D8585" s="25" t="s">
        <v>27160</v>
      </c>
      <c r="E8585" s="28">
        <v>0.28571</v>
      </c>
      <c r="F8585" s="29">
        <f ca="1">ROUND(37.180,3)</f>
        <v>0</v>
      </c>
      <c r="G8585" s="27">
        <f ca="1">ROUND(E8585*F8585,2)</f>
        <v>0</v>
      </c>
    </row>
    <row r="8586" spans="1:7" ht="39.84" thickBot="1" customHeight="1">
      <c r="A8586" s="24" t="s">
        <v>27161</v>
      </c>
      <c r="B8586" s="24" t="s">
        <v>27162</v>
      </c>
      <c r="C8586" s="24" t="s">
        <v>27163</v>
      </c>
      <c r="D8586" s="25" t="s">
        <v>27164</v>
      </c>
      <c r="E8586" s="28">
        <v>0.71429</v>
      </c>
      <c r="F8586" s="29">
        <f ca="1">ROUND(19.000,3)</f>
        <v>0</v>
      </c>
      <c r="G8586" s="27">
        <f ca="1">ROUND(E8586*F8586,2)</f>
        <v>0</v>
      </c>
    </row>
    <row r="8587" spans="1:7" ht="30.60" thickBot="1" customHeight="1">
      <c r="A8587" s="24" t="s">
        <v>27165</v>
      </c>
      <c r="B8587" s="24" t="s">
        <v>27166</v>
      </c>
      <c r="C8587" s="24" t="s">
        <v>27167</v>
      </c>
      <c r="D8587" s="25" t="s">
        <v>27168</v>
      </c>
      <c r="E8587" s="28">
        <v>0.28571</v>
      </c>
      <c r="F8587" s="29">
        <f ca="1">ROUND(23.790,3)</f>
        <v>0</v>
      </c>
      <c r="G8587" s="27">
        <f ca="1">ROUND(E8587*F8587,2)</f>
        <v>0</v>
      </c>
    </row>
    <row r="8588" spans="1:7" ht="30.60" thickBot="1" customHeight="1">
      <c r="A8588" s="24" t="s">
        <v>27169</v>
      </c>
      <c r="B8588" s="24" t="s">
        <v>27170</v>
      </c>
      <c r="C8588" s="24" t="s">
        <v>27171</v>
      </c>
      <c r="D8588" s="25" t="s">
        <v>27172</v>
      </c>
      <c r="E8588" s="28">
        <v>3.42855</v>
      </c>
      <c r="F8588" s="29">
        <f ca="1">ROUND(5.360,3)</f>
        <v>0</v>
      </c>
      <c r="G8588" s="27">
        <f ca="1">ROUND(E8588*F8588,2)</f>
        <v>0</v>
      </c>
    </row>
    <row r="8589" spans="1:7" ht="39.84" thickBot="1" customHeight="1">
      <c r="A8589" s="24" t="s">
        <v>27173</v>
      </c>
      <c r="B8589" s="24" t="s">
        <v>27174</v>
      </c>
      <c r="C8589" s="24" t="s">
        <v>27175</v>
      </c>
      <c r="D8589" s="25" t="s">
        <v>27176</v>
      </c>
      <c r="E8589" s="28">
        <v>1.00000</v>
      </c>
      <c r="F8589" s="29">
        <f ca="1">ROUND(10.980,3)</f>
        <v>0</v>
      </c>
      <c r="G8589" s="27">
        <f ca="1">ROUND(E8589*F8589,2)</f>
        <v>0</v>
      </c>
    </row>
    <row r="8590" spans="1:7" ht="30.60" thickBot="1" customHeight="1">
      <c r="A8590" s="24" t="s">
        <v>27177</v>
      </c>
      <c r="B8590" s="24" t="s">
        <v>27178</v>
      </c>
      <c r="C8590" s="24" t="s">
        <v>27179</v>
      </c>
      <c r="D8590" s="25" t="s">
        <v>27180</v>
      </c>
      <c r="E8590" s="28">
        <v>0.02860</v>
      </c>
      <c r="F8590" s="29">
        <f ca="1">ROUND(57.840,3)</f>
        <v>0</v>
      </c>
      <c r="G8590" s="27">
        <f ca="1">ROUND(E8590*F8590,2)</f>
        <v>0</v>
      </c>
    </row>
    <row r="8591" spans="1:7" ht="30.60" thickBot="1" customHeight="1">
      <c r="A8591" s="24" t="s">
        <v>27181</v>
      </c>
      <c r="B8591" s="24" t="s">
        <v>27182</v>
      </c>
      <c r="C8591" s="24" t="s">
        <v>27183</v>
      </c>
      <c r="D8591" s="25" t="s">
        <v>27184</v>
      </c>
      <c r="E8591" s="28">
        <v>0.02860</v>
      </c>
      <c r="F8591" s="29">
        <f ca="1">ROUND(27.270,3)</f>
        <v>0</v>
      </c>
      <c r="G8591" s="27">
        <f ca="1">ROUND(E8591*F8591,2)</f>
        <v>0</v>
      </c>
    </row>
    <row r="8592" spans="1:7" ht="30.60" thickBot="1" customHeight="1">
      <c r="A8592" s="24" t="s">
        <v>27185</v>
      </c>
      <c r="B8592" s="24" t="s">
        <v>27186</v>
      </c>
      <c r="C8592" s="24" t="s">
        <v>27187</v>
      </c>
      <c r="D8592" s="25" t="s">
        <v>27188</v>
      </c>
      <c r="E8592" s="28">
        <v>0.12500</v>
      </c>
      <c r="F8592" s="29">
        <f ca="1">ROUND(7.930,3)</f>
        <v>0</v>
      </c>
      <c r="G8592" s="27">
        <f ca="1">ROUND(E8592*F8592,2)</f>
        <v>0</v>
      </c>
    </row>
    <row r="8593" spans="1:7" ht="30.60" thickBot="1" customHeight="1">
      <c r="A8593" s="24" t="s">
        <v>27189</v>
      </c>
      <c r="B8593" s="24" t="s">
        <v>27190</v>
      </c>
      <c r="C8593" s="24" t="s">
        <v>27191</v>
      </c>
      <c r="D8593" s="25" t="s">
        <v>27192</v>
      </c>
      <c r="E8593" s="28">
        <v>0.05000</v>
      </c>
      <c r="F8593" s="29">
        <f ca="1">ROUND(6.140,3)</f>
        <v>0</v>
      </c>
      <c r="G8593" s="27">
        <f ca="1">ROUND(E8593*F8593,2)</f>
        <v>0</v>
      </c>
    </row>
    <row r="8594" spans="1:7" ht="39.84" thickBot="1" customHeight="1">
      <c r="A8594" s="24" t="s">
        <v>27193</v>
      </c>
      <c r="B8594" s="24" t="s">
        <v>27194</v>
      </c>
      <c r="C8594" s="24" t="s">
        <v>27195</v>
      </c>
      <c r="D8594" s="25" t="s">
        <v>27196</v>
      </c>
      <c r="E8594" s="28">
        <v>0.16896</v>
      </c>
      <c r="F8594" s="29">
        <f ca="1">ROUND(7.370,3)</f>
        <v>0</v>
      </c>
      <c r="G8594" s="27">
        <f ca="1">ROUND(E8594*F8594,2)</f>
        <v>0</v>
      </c>
    </row>
    <row r="8595" spans="1:7" ht="21.36" thickBot="1" customHeight="1">
      <c r="A8595" s="24" t="s">
        <v>27197</v>
      </c>
      <c r="B8595" s="24" t="s">
        <v>27198</v>
      </c>
      <c r="C8595" s="24" t="s">
        <v>27199</v>
      </c>
      <c r="D8595" s="25" t="s">
        <v>27200</v>
      </c>
      <c r="E8595" s="28">
        <v>0.30000</v>
      </c>
      <c r="F8595" s="29">
        <f ca="1">ROUND(2.000,3)</f>
        <v>0</v>
      </c>
      <c r="G8595" s="27">
        <f ca="1">ROUND(E8595*F8595,2)</f>
        <v>0</v>
      </c>
    </row>
    <row r="8596" spans="1:7" ht="30.60" thickBot="1" customHeight="1">
      <c r="A8596" s="24" t="s">
        <v>27201</v>
      </c>
      <c r="B8596" s="24" t="s">
        <v>27202</v>
      </c>
      <c r="C8596" s="24" t="s">
        <v>27203</v>
      </c>
      <c r="D8596" s="25" t="s">
        <v>27204</v>
      </c>
      <c r="E8596" s="28">
        <v>0.05000</v>
      </c>
      <c r="F8596" s="29">
        <f ca="1">ROUND(4.920,3)</f>
        <v>0</v>
      </c>
      <c r="G8596" s="27">
        <f ca="1">ROUND(E8596*F8596,2)</f>
        <v>0</v>
      </c>
    </row>
    <row r="8597" spans="1:7" ht="21.36" thickBot="1" customHeight="1">
      <c r="A8597" s="24" t="s">
        <v>27205</v>
      </c>
      <c r="B8597" s="24" t="s">
        <v>27206</v>
      </c>
      <c r="C8597" s="24" t="s">
        <v>27207</v>
      </c>
      <c r="D8597" s="25" t="s">
        <v>27208</v>
      </c>
      <c r="E8597" s="28">
        <v>1.40000</v>
      </c>
      <c r="F8597" s="29">
        <f ca="1">F8601</f>
        <v>0</v>
      </c>
      <c r="G8597" s="27">
        <f ca="1">ROUND(E8597*F8597,2)</f>
        <v>0</v>
      </c>
    </row>
    <row r="8598" spans="1:7" ht="24.36" thickBot="1" customHeight="1">
      <c r="A8598" s="24" t="s">
        <v>27209</v>
      </c>
      <c r="B8598" s="24" t="s">
        <v>27210</v>
      </c>
      <c r="C8598" s="24" t="s">
        <v>27211</v>
      </c>
      <c r="D8598" s="25" t="s">
        <v>27212</v>
      </c>
      <c r="E8598" s="28">
        <v>1.00000</v>
      </c>
      <c r="F8598" s="29">
        <f ca="1">ROUND(21.000,3)</f>
        <v>0</v>
      </c>
      <c r="G8598" s="27">
        <f ca="1">ROUND(E8598*F8598,2)</f>
        <v>0</v>
      </c>
    </row>
    <row r="8599" spans="1:7" ht="24.36" thickBot="1" customHeight="1">
      <c r="A8599" s="24" t="s">
        <v>27213</v>
      </c>
      <c r="B8599" s="24" t="s">
        <v>27214</v>
      </c>
      <c r="C8599" s="24" t="s">
        <v>27215</v>
      </c>
      <c r="D8599" s="25" t="s">
        <v>27216</v>
      </c>
      <c r="E8599" s="28">
        <v>1.00000</v>
      </c>
      <c r="F8599" s="29">
        <f ca="1">ROUND(19.000,3)</f>
        <v>0</v>
      </c>
      <c r="G8599" s="27">
        <f ca="1">ROUND(E8599*F8599,2)</f>
        <v>0</v>
      </c>
    </row>
    <row r="8600" spans="1:7" ht="24.36" thickBot="1" customHeight="1">
      <c r="A8600" s="24" t="s">
        <v>27217</v>
      </c>
      <c r="B8600" s="24" t="s">
        <v>27218</v>
      </c>
      <c r="C8600" s="24" t="s">
        <v>27219</v>
      </c>
      <c r="D8600" s="25" t="s">
        <v>27220</v>
      </c>
      <c r="E8600" s="28">
        <v>0.20000</v>
      </c>
      <c r="F8600" s="29">
        <f ca="1">ROUND(19.000,3)</f>
        <v>0</v>
      </c>
      <c r="G8600" s="27">
        <f ca="1">ROUND(E8600*F8600,2)</f>
        <v>0</v>
      </c>
    </row>
    <row r="8601" spans="1:7" ht="15.12" thickBot="1" customHeight="1">
      <c r="A8601" s="26"/>
      <c r="B8601" s="26"/>
      <c r="C8601" s="26"/>
      <c r="D8601" s="24" t="s">
        <v>27221</v>
      </c>
      <c r="E8601" s="28">
        <v>1.40000</v>
      </c>
      <c r="F8601" s="29">
        <f ca="1">ROUND((G8598+G8599+G8600),3)</f>
        <v>0</v>
      </c>
      <c r="G8601" s="27">
        <f ca="1">ROUND(E8601*F8601,2)</f>
        <v>0</v>
      </c>
    </row>
    <row r="8602" spans="1:7" ht="15.12" thickBot="1" customHeight="1">
      <c r="A8602" s="24" t="s">
        <v>27222</v>
      </c>
      <c r="B8602" s="24"/>
      <c r="C8602" s="24" t="s">
        <v>27223</v>
      </c>
      <c r="D8602" s="25" t="s">
        <v>27224</v>
      </c>
      <c r="E8602" s="28">
        <v>5.00000</v>
      </c>
      <c r="F8602" s="29">
        <f ca="1">ROUND(61.320,3)</f>
        <v>0</v>
      </c>
      <c r="G8602" s="27">
        <f ca="1">ROUND((E8602*F8602)/100,2)</f>
        <v>0</v>
      </c>
    </row>
    <row r="8603" spans="1:7" ht="15.48" thickBot="1" customHeight="1">
      <c r="A8603" s="30"/>
      <c r="B8603" s="30"/>
      <c r="C8603" s="30"/>
      <c r="D8603" s="31" t="s">
        <v>27225</v>
      </c>
      <c r="E8603" s="30"/>
      <c r="F8603" s="33">
        <f ca="1">ROUND((G8582+G8583+G8584+G8585+G8586+G8587+G8588+G8589+G8590+G8591+G8592+G8593+G8594+G8595+G8596+G8597+G8602)*(1+G2/100),2)</f>
        <v>0</v>
      </c>
      <c r="G8603" s="30"/>
    </row>
    <row r="8604" spans="1:7" ht="67.56" thickBot="1" customHeight="1">
      <c r="A8604" s="34" t="s">
        <v>27226</v>
      </c>
      <c r="B8604" s="35" t="s">
        <v>27227</v>
      </c>
      <c r="C8604" s="35" t="s">
        <v>27228</v>
      </c>
      <c r="D8604" s="36" t="s">
        <v>27229</v>
      </c>
      <c r="E8604" s="37"/>
      <c r="F8604" s="38">
        <f ca="1">F8625</f>
        <v>0</v>
      </c>
      <c r="G8604" s="37"/>
    </row>
    <row r="8605" spans="1:7" ht="30.60" thickBot="1" customHeight="1">
      <c r="A8605" s="26"/>
      <c r="B8605" s="26"/>
      <c r="C8605" s="26"/>
      <c r="D8605" s="25" t="s">
        <v>27230</v>
      </c>
      <c r="E8605" s="25"/>
      <c r="F8605" s="25"/>
      <c r="G8605" s="25"/>
    </row>
    <row r="8606" spans="1:7" ht="39.84" thickBot="1" customHeight="1">
      <c r="A8606" s="24" t="s">
        <v>27231</v>
      </c>
      <c r="B8606" s="24" t="s">
        <v>27232</v>
      </c>
      <c r="C8606" s="24" t="s">
        <v>27233</v>
      </c>
      <c r="D8606" s="25" t="s">
        <v>27234</v>
      </c>
      <c r="E8606" s="28">
        <v>0.80000</v>
      </c>
      <c r="F8606" s="29">
        <f ca="1">ROUND(76.270,3)</f>
        <v>0</v>
      </c>
      <c r="G8606" s="27">
        <f ca="1">ROUND(E8606*F8606,2)</f>
        <v>0</v>
      </c>
    </row>
    <row r="8607" spans="1:7" ht="39.84" thickBot="1" customHeight="1">
      <c r="A8607" s="24" t="s">
        <v>27235</v>
      </c>
      <c r="B8607" s="24" t="s">
        <v>27236</v>
      </c>
      <c r="C8607" s="24" t="s">
        <v>27237</v>
      </c>
      <c r="D8607" s="25" t="s">
        <v>27238</v>
      </c>
      <c r="E8607" s="28">
        <v>0.40000</v>
      </c>
      <c r="F8607" s="29">
        <f ca="1">ROUND(45.520,3)</f>
        <v>0</v>
      </c>
      <c r="G8607" s="27">
        <f ca="1">ROUND(E8607*F8607,2)</f>
        <v>0</v>
      </c>
    </row>
    <row r="8608" spans="1:7" ht="39.84" thickBot="1" customHeight="1">
      <c r="A8608" s="24" t="s">
        <v>27239</v>
      </c>
      <c r="B8608" s="24" t="s">
        <v>27240</v>
      </c>
      <c r="C8608" s="24" t="s">
        <v>27241</v>
      </c>
      <c r="D8608" s="25" t="s">
        <v>27242</v>
      </c>
      <c r="E8608" s="28">
        <v>3.00000</v>
      </c>
      <c r="F8608" s="29">
        <f ca="1">ROUND(56.040,3)</f>
        <v>0</v>
      </c>
      <c r="G8608" s="27">
        <f ca="1">ROUND(E8608*F8608,2)</f>
        <v>0</v>
      </c>
    </row>
    <row r="8609" spans="1:7" ht="39.84" thickBot="1" customHeight="1">
      <c r="A8609" s="24" t="s">
        <v>27243</v>
      </c>
      <c r="B8609" s="24" t="s">
        <v>27244</v>
      </c>
      <c r="C8609" s="24" t="s">
        <v>27245</v>
      </c>
      <c r="D8609" s="25" t="s">
        <v>27246</v>
      </c>
      <c r="E8609" s="28">
        <v>0.06666</v>
      </c>
      <c r="F8609" s="29">
        <f ca="1">ROUND(82.030,3)</f>
        <v>0</v>
      </c>
      <c r="G8609" s="27">
        <f ca="1">ROUND(E8609*F8609,2)</f>
        <v>0</v>
      </c>
    </row>
    <row r="8610" spans="1:7" ht="39.84" thickBot="1" customHeight="1">
      <c r="A8610" s="24" t="s">
        <v>27247</v>
      </c>
      <c r="B8610" s="24" t="s">
        <v>27248</v>
      </c>
      <c r="C8610" s="24" t="s">
        <v>27249</v>
      </c>
      <c r="D8610" s="25" t="s">
        <v>27250</v>
      </c>
      <c r="E8610" s="28">
        <v>0.06667</v>
      </c>
      <c r="F8610" s="29">
        <f ca="1">ROUND(35.420,3)</f>
        <v>0</v>
      </c>
      <c r="G8610" s="27">
        <f ca="1">ROUND(E8610*F8610,2)</f>
        <v>0</v>
      </c>
    </row>
    <row r="8611" spans="1:7" ht="49.08" thickBot="1" customHeight="1">
      <c r="A8611" s="24" t="s">
        <v>27251</v>
      </c>
      <c r="B8611" s="24" t="s">
        <v>27252</v>
      </c>
      <c r="C8611" s="24" t="s">
        <v>27253</v>
      </c>
      <c r="D8611" s="25" t="s">
        <v>27254</v>
      </c>
      <c r="E8611" s="28">
        <v>1.15000</v>
      </c>
      <c r="F8611" s="29">
        <f ca="1">ROUND(41.180,3)</f>
        <v>0</v>
      </c>
      <c r="G8611" s="27">
        <f ca="1">ROUND(E8611*F8611,2)</f>
        <v>0</v>
      </c>
    </row>
    <row r="8612" spans="1:7" ht="49.08" thickBot="1" customHeight="1">
      <c r="A8612" s="24" t="s">
        <v>27255</v>
      </c>
      <c r="B8612" s="24" t="s">
        <v>27256</v>
      </c>
      <c r="C8612" s="24" t="s">
        <v>27257</v>
      </c>
      <c r="D8612" s="25" t="s">
        <v>27258</v>
      </c>
      <c r="E8612" s="28">
        <v>1.00000</v>
      </c>
      <c r="F8612" s="29">
        <f ca="1">ROUND(25.580,3)</f>
        <v>0</v>
      </c>
      <c r="G8612" s="27">
        <f ca="1">ROUND(E8612*F8612,2)</f>
        <v>0</v>
      </c>
    </row>
    <row r="8613" spans="1:7" ht="30.60" thickBot="1" customHeight="1">
      <c r="A8613" s="24" t="s">
        <v>27259</v>
      </c>
      <c r="B8613" s="24" t="s">
        <v>27260</v>
      </c>
      <c r="C8613" s="24" t="s">
        <v>27261</v>
      </c>
      <c r="D8613" s="25" t="s">
        <v>27262</v>
      </c>
      <c r="E8613" s="28">
        <v>0.10000</v>
      </c>
      <c r="F8613" s="29">
        <f ca="1">ROUND(6.140,3)</f>
        <v>0</v>
      </c>
      <c r="G8613" s="27">
        <f ca="1">ROUND(E8613*F8613,2)</f>
        <v>0</v>
      </c>
    </row>
    <row r="8614" spans="1:7" ht="39.84" thickBot="1" customHeight="1">
      <c r="A8614" s="24" t="s">
        <v>27263</v>
      </c>
      <c r="B8614" s="24" t="s">
        <v>27264</v>
      </c>
      <c r="C8614" s="24" t="s">
        <v>27265</v>
      </c>
      <c r="D8614" s="25" t="s">
        <v>27266</v>
      </c>
      <c r="E8614" s="28">
        <v>0.25000</v>
      </c>
      <c r="F8614" s="29">
        <f ca="1">ROUND(11.380,3)</f>
        <v>0</v>
      </c>
      <c r="G8614" s="27">
        <f ca="1">ROUND(E8614*F8614,2)</f>
        <v>0</v>
      </c>
    </row>
    <row r="8615" spans="1:7" ht="39.84" thickBot="1" customHeight="1">
      <c r="A8615" s="24" t="s">
        <v>27267</v>
      </c>
      <c r="B8615" s="24" t="s">
        <v>27268</v>
      </c>
      <c r="C8615" s="24" t="s">
        <v>27269</v>
      </c>
      <c r="D8615" s="25" t="s">
        <v>27270</v>
      </c>
      <c r="E8615" s="28">
        <v>0.10000</v>
      </c>
      <c r="F8615" s="29">
        <f ca="1">ROUND(7.370,3)</f>
        <v>0</v>
      </c>
      <c r="G8615" s="27">
        <f ca="1">ROUND(E8615*F8615,2)</f>
        <v>0</v>
      </c>
    </row>
    <row r="8616" spans="1:7" ht="49.08" thickBot="1" customHeight="1">
      <c r="A8616" s="24" t="s">
        <v>27271</v>
      </c>
      <c r="B8616" s="24" t="s">
        <v>27272</v>
      </c>
      <c r="C8616" s="24" t="s">
        <v>27273</v>
      </c>
      <c r="D8616" s="25" t="s">
        <v>27274</v>
      </c>
      <c r="E8616" s="28">
        <v>0.03333</v>
      </c>
      <c r="F8616" s="29">
        <f ca="1">ROUND(59.840,3)</f>
        <v>0</v>
      </c>
      <c r="G8616" s="27">
        <f ca="1">ROUND(E8616*F8616,2)</f>
        <v>0</v>
      </c>
    </row>
    <row r="8617" spans="1:7" ht="21.36" thickBot="1" customHeight="1">
      <c r="A8617" s="24" t="s">
        <v>27275</v>
      </c>
      <c r="B8617" s="24" t="s">
        <v>27276</v>
      </c>
      <c r="C8617" s="24" t="s">
        <v>27277</v>
      </c>
      <c r="D8617" s="25" t="s">
        <v>27278</v>
      </c>
      <c r="E8617" s="28">
        <v>0.30000</v>
      </c>
      <c r="F8617" s="29">
        <f ca="1">ROUND(2.000,3)</f>
        <v>0</v>
      </c>
      <c r="G8617" s="27">
        <f ca="1">ROUND(E8617*F8617,2)</f>
        <v>0</v>
      </c>
    </row>
    <row r="8618" spans="1:7" ht="30.60" thickBot="1" customHeight="1">
      <c r="A8618" s="24" t="s">
        <v>27279</v>
      </c>
      <c r="B8618" s="24" t="s">
        <v>27280</v>
      </c>
      <c r="C8618" s="24" t="s">
        <v>27281</v>
      </c>
      <c r="D8618" s="25" t="s">
        <v>27282</v>
      </c>
      <c r="E8618" s="28">
        <v>0.05000</v>
      </c>
      <c r="F8618" s="29">
        <f ca="1">ROUND(4.920,3)</f>
        <v>0</v>
      </c>
      <c r="G8618" s="27">
        <f ca="1">ROUND(E8618*F8618,2)</f>
        <v>0</v>
      </c>
    </row>
    <row r="8619" spans="1:7" ht="21.36" thickBot="1" customHeight="1">
      <c r="A8619" s="24" t="s">
        <v>27283</v>
      </c>
      <c r="B8619" s="24" t="s">
        <v>27284</v>
      </c>
      <c r="C8619" s="24" t="s">
        <v>27285</v>
      </c>
      <c r="D8619" s="25" t="s">
        <v>27286</v>
      </c>
      <c r="E8619" s="28">
        <v>1.00000</v>
      </c>
      <c r="F8619" s="29">
        <f ca="1">F8623</f>
        <v>0</v>
      </c>
      <c r="G8619" s="27">
        <f ca="1">ROUND(E8619*F8619,2)</f>
        <v>0</v>
      </c>
    </row>
    <row r="8620" spans="1:7" ht="24.36" thickBot="1" customHeight="1">
      <c r="A8620" s="24" t="s">
        <v>27287</v>
      </c>
      <c r="B8620" s="24" t="s">
        <v>27288</v>
      </c>
      <c r="C8620" s="24" t="s">
        <v>27289</v>
      </c>
      <c r="D8620" s="25" t="s">
        <v>27290</v>
      </c>
      <c r="E8620" s="28">
        <v>1.00000</v>
      </c>
      <c r="F8620" s="29">
        <f ca="1">ROUND(21.000,3)</f>
        <v>0</v>
      </c>
      <c r="G8620" s="27">
        <f ca="1">ROUND(E8620*F8620,2)</f>
        <v>0</v>
      </c>
    </row>
    <row r="8621" spans="1:7" ht="24.36" thickBot="1" customHeight="1">
      <c r="A8621" s="24" t="s">
        <v>27291</v>
      </c>
      <c r="B8621" s="24" t="s">
        <v>27292</v>
      </c>
      <c r="C8621" s="24" t="s">
        <v>27293</v>
      </c>
      <c r="D8621" s="25" t="s">
        <v>27294</v>
      </c>
      <c r="E8621" s="28">
        <v>1.00000</v>
      </c>
      <c r="F8621" s="29">
        <f ca="1">ROUND(19.000,3)</f>
        <v>0</v>
      </c>
      <c r="G8621" s="27">
        <f ca="1">ROUND(E8621*F8621,2)</f>
        <v>0</v>
      </c>
    </row>
    <row r="8622" spans="1:7" ht="24.36" thickBot="1" customHeight="1">
      <c r="A8622" s="24" t="s">
        <v>27295</v>
      </c>
      <c r="B8622" s="24" t="s">
        <v>27296</v>
      </c>
      <c r="C8622" s="24" t="s">
        <v>27297</v>
      </c>
      <c r="D8622" s="25" t="s">
        <v>27298</v>
      </c>
      <c r="E8622" s="28">
        <v>0.20000</v>
      </c>
      <c r="F8622" s="29">
        <f ca="1">ROUND(19.000,3)</f>
        <v>0</v>
      </c>
      <c r="G8622" s="27">
        <f ca="1">ROUND(E8622*F8622,2)</f>
        <v>0</v>
      </c>
    </row>
    <row r="8623" spans="1:7" ht="15.12" thickBot="1" customHeight="1">
      <c r="A8623" s="26"/>
      <c r="B8623" s="26"/>
      <c r="C8623" s="26"/>
      <c r="D8623" s="24" t="s">
        <v>27299</v>
      </c>
      <c r="E8623" s="28">
        <v>1.00000</v>
      </c>
      <c r="F8623" s="29">
        <f ca="1">ROUND((G8620+G8621+G8622),3)</f>
        <v>0</v>
      </c>
      <c r="G8623" s="27">
        <f ca="1">ROUND(E8623*F8623,2)</f>
        <v>0</v>
      </c>
    </row>
    <row r="8624" spans="1:7" ht="15.12" thickBot="1" customHeight="1">
      <c r="A8624" s="24" t="s">
        <v>27300</v>
      </c>
      <c r="B8624" s="24"/>
      <c r="C8624" s="24" t="s">
        <v>27301</v>
      </c>
      <c r="D8624" s="25" t="s">
        <v>27302</v>
      </c>
      <c r="E8624" s="28">
        <v>5.00000</v>
      </c>
      <c r="F8624" s="29">
        <f ca="1">ROUND(43.800,3)</f>
        <v>0</v>
      </c>
      <c r="G8624" s="27">
        <f ca="1">ROUND((E8624*F8624)/100,2)</f>
        <v>0</v>
      </c>
    </row>
    <row r="8625" spans="1:7" ht="15.48" thickBot="1" customHeight="1">
      <c r="A8625" s="30"/>
      <c r="B8625" s="30"/>
      <c r="C8625" s="30"/>
      <c r="D8625" s="31" t="s">
        <v>27303</v>
      </c>
      <c r="E8625" s="30"/>
      <c r="F8625" s="33">
        <f ca="1">ROUND((G8606+G8607+G8608+G8609+G8610+G8611+G8612+G8613+G8614+G8615+G8616+G8617+G8618+G8619+G8624)*(1+G2/100),2)</f>
        <v>0</v>
      </c>
      <c r="G8625" s="30"/>
    </row>
    <row r="8626" spans="1:7" ht="58.32" thickBot="1" customHeight="1">
      <c r="A8626" s="34" t="s">
        <v>27304</v>
      </c>
      <c r="B8626" s="35" t="s">
        <v>27305</v>
      </c>
      <c r="C8626" s="35" t="s">
        <v>27306</v>
      </c>
      <c r="D8626" s="36" t="s">
        <v>27307</v>
      </c>
      <c r="E8626" s="37"/>
      <c r="F8626" s="38">
        <f ca="1">F8647</f>
        <v>0</v>
      </c>
      <c r="G8626" s="37"/>
    </row>
    <row r="8627" spans="1:7" ht="21.36" thickBot="1" customHeight="1">
      <c r="A8627" s="26"/>
      <c r="B8627" s="26"/>
      <c r="C8627" s="26"/>
      <c r="D8627" s="25" t="s">
        <v>27308</v>
      </c>
      <c r="E8627" s="25"/>
      <c r="F8627" s="25"/>
      <c r="G8627" s="25"/>
    </row>
    <row r="8628" spans="1:7" ht="30.60" thickBot="1" customHeight="1">
      <c r="A8628" s="24" t="s">
        <v>27309</v>
      </c>
      <c r="B8628" s="24" t="s">
        <v>27310</v>
      </c>
      <c r="C8628" s="24" t="s">
        <v>27311</v>
      </c>
      <c r="D8628" s="25" t="s">
        <v>27312</v>
      </c>
      <c r="E8628" s="28">
        <v>1.05000</v>
      </c>
      <c r="F8628" s="29">
        <f ca="1">ROUND(20.500,3)</f>
        <v>0</v>
      </c>
      <c r="G8628" s="27">
        <f ca="1">ROUND(E8628*F8628,2)</f>
        <v>0</v>
      </c>
    </row>
    <row r="8629" spans="1:7" ht="39.84" thickBot="1" customHeight="1">
      <c r="A8629" s="24" t="s">
        <v>27313</v>
      </c>
      <c r="B8629" s="24" t="s">
        <v>27314</v>
      </c>
      <c r="C8629" s="24" t="s">
        <v>27315</v>
      </c>
      <c r="D8629" s="25" t="s">
        <v>27316</v>
      </c>
      <c r="E8629" s="28">
        <v>0.28571</v>
      </c>
      <c r="F8629" s="29">
        <f ca="1">ROUND(27.730,3)</f>
        <v>0</v>
      </c>
      <c r="G8629" s="27">
        <f ca="1">ROUND(E8629*F8629,2)</f>
        <v>0</v>
      </c>
    </row>
    <row r="8630" spans="1:7" ht="30.60" thickBot="1" customHeight="1">
      <c r="A8630" s="24" t="s">
        <v>27317</v>
      </c>
      <c r="B8630" s="24" t="s">
        <v>27318</v>
      </c>
      <c r="C8630" s="24" t="s">
        <v>27319</v>
      </c>
      <c r="D8630" s="25" t="s">
        <v>27320</v>
      </c>
      <c r="E8630" s="28">
        <v>0.28571</v>
      </c>
      <c r="F8630" s="29">
        <f ca="1">ROUND(13.640,3)</f>
        <v>0</v>
      </c>
      <c r="G8630" s="27">
        <f ca="1">ROUND(E8630*F8630,2)</f>
        <v>0</v>
      </c>
    </row>
    <row r="8631" spans="1:7" ht="30.60" thickBot="1" customHeight="1">
      <c r="A8631" s="24" t="s">
        <v>27321</v>
      </c>
      <c r="B8631" s="24" t="s">
        <v>27322</v>
      </c>
      <c r="C8631" s="24" t="s">
        <v>27323</v>
      </c>
      <c r="D8631" s="25" t="s">
        <v>27324</v>
      </c>
      <c r="E8631" s="28">
        <v>0.28571</v>
      </c>
      <c r="F8631" s="29">
        <f ca="1">ROUND(12.340,3)</f>
        <v>0</v>
      </c>
      <c r="G8631" s="27">
        <f ca="1">ROUND(E8631*F8631,2)</f>
        <v>0</v>
      </c>
    </row>
    <row r="8632" spans="1:7" ht="30.60" thickBot="1" customHeight="1">
      <c r="A8632" s="24" t="s">
        <v>27325</v>
      </c>
      <c r="B8632" s="24" t="s">
        <v>27326</v>
      </c>
      <c r="C8632" s="24" t="s">
        <v>27327</v>
      </c>
      <c r="D8632" s="25" t="s">
        <v>27328</v>
      </c>
      <c r="E8632" s="28">
        <v>0.71429</v>
      </c>
      <c r="F8632" s="29">
        <f ca="1">ROUND(4.670,3)</f>
        <v>0</v>
      </c>
      <c r="G8632" s="27">
        <f ca="1">ROUND(E8632*F8632,2)</f>
        <v>0</v>
      </c>
    </row>
    <row r="8633" spans="1:7" ht="30.60" thickBot="1" customHeight="1">
      <c r="A8633" s="24" t="s">
        <v>27329</v>
      </c>
      <c r="B8633" s="24" t="s">
        <v>27330</v>
      </c>
      <c r="C8633" s="24" t="s">
        <v>27331</v>
      </c>
      <c r="D8633" s="25" t="s">
        <v>27332</v>
      </c>
      <c r="E8633" s="28">
        <v>0.02860</v>
      </c>
      <c r="F8633" s="29">
        <f ca="1">ROUND(15.740,3)</f>
        <v>0</v>
      </c>
      <c r="G8633" s="27">
        <f ca="1">ROUND(E8633*F8633,2)</f>
        <v>0</v>
      </c>
    </row>
    <row r="8634" spans="1:7" ht="30.60" thickBot="1" customHeight="1">
      <c r="A8634" s="24" t="s">
        <v>27333</v>
      </c>
      <c r="B8634" s="24" t="s">
        <v>27334</v>
      </c>
      <c r="C8634" s="24" t="s">
        <v>27335</v>
      </c>
      <c r="D8634" s="25" t="s">
        <v>27336</v>
      </c>
      <c r="E8634" s="28">
        <v>0.02860</v>
      </c>
      <c r="F8634" s="29">
        <f ca="1">ROUND(4.920,3)</f>
        <v>0</v>
      </c>
      <c r="G8634" s="27">
        <f ca="1">ROUND(E8634*F8634,2)</f>
        <v>0</v>
      </c>
    </row>
    <row r="8635" spans="1:7" ht="30.60" thickBot="1" customHeight="1">
      <c r="A8635" s="24" t="s">
        <v>27337</v>
      </c>
      <c r="B8635" s="24" t="s">
        <v>27338</v>
      </c>
      <c r="C8635" s="24" t="s">
        <v>27339</v>
      </c>
      <c r="D8635" s="25" t="s">
        <v>27340</v>
      </c>
      <c r="E8635" s="28">
        <v>0.12500</v>
      </c>
      <c r="F8635" s="29">
        <f ca="1">ROUND(7.930,3)</f>
        <v>0</v>
      </c>
      <c r="G8635" s="27">
        <f ca="1">ROUND(E8635*F8635,2)</f>
        <v>0</v>
      </c>
    </row>
    <row r="8636" spans="1:7" ht="30.60" thickBot="1" customHeight="1">
      <c r="A8636" s="24" t="s">
        <v>27341</v>
      </c>
      <c r="B8636" s="24" t="s">
        <v>27342</v>
      </c>
      <c r="C8636" s="24" t="s">
        <v>27343</v>
      </c>
      <c r="D8636" s="25" t="s">
        <v>27344</v>
      </c>
      <c r="E8636" s="28">
        <v>0.05000</v>
      </c>
      <c r="F8636" s="29">
        <f ca="1">ROUND(6.140,3)</f>
        <v>0</v>
      </c>
      <c r="G8636" s="27">
        <f ca="1">ROUND(E8636*F8636,2)</f>
        <v>0</v>
      </c>
    </row>
    <row r="8637" spans="1:7" ht="39.84" thickBot="1" customHeight="1">
      <c r="A8637" s="24" t="s">
        <v>27345</v>
      </c>
      <c r="B8637" s="24" t="s">
        <v>27346</v>
      </c>
      <c r="C8637" s="24" t="s">
        <v>27347</v>
      </c>
      <c r="D8637" s="25" t="s">
        <v>27348</v>
      </c>
      <c r="E8637" s="28">
        <v>0.16896</v>
      </c>
      <c r="F8637" s="29">
        <f ca="1">ROUND(7.370,3)</f>
        <v>0</v>
      </c>
      <c r="G8637" s="27">
        <f ca="1">ROUND(E8637*F8637,2)</f>
        <v>0</v>
      </c>
    </row>
    <row r="8638" spans="1:7" ht="30.60" thickBot="1" customHeight="1">
      <c r="A8638" s="24" t="s">
        <v>27349</v>
      </c>
      <c r="B8638" s="24" t="s">
        <v>27350</v>
      </c>
      <c r="C8638" s="24" t="s">
        <v>27351</v>
      </c>
      <c r="D8638" s="25" t="s">
        <v>27352</v>
      </c>
      <c r="E8638" s="28">
        <v>1.00000</v>
      </c>
      <c r="F8638" s="29">
        <f ca="1">ROUND(1.730,3)</f>
        <v>0</v>
      </c>
      <c r="G8638" s="27">
        <f ca="1">ROUND(E8638*F8638,2)</f>
        <v>0</v>
      </c>
    </row>
    <row r="8639" spans="1:7" ht="21.36" thickBot="1" customHeight="1">
      <c r="A8639" s="24" t="s">
        <v>27353</v>
      </c>
      <c r="B8639" s="24" t="s">
        <v>27354</v>
      </c>
      <c r="C8639" s="24" t="s">
        <v>27355</v>
      </c>
      <c r="D8639" s="25" t="s">
        <v>27356</v>
      </c>
      <c r="E8639" s="28">
        <v>0.30000</v>
      </c>
      <c r="F8639" s="29">
        <f ca="1">ROUND(2.000,3)</f>
        <v>0</v>
      </c>
      <c r="G8639" s="27">
        <f ca="1">ROUND(E8639*F8639,2)</f>
        <v>0</v>
      </c>
    </row>
    <row r="8640" spans="1:7" ht="30.60" thickBot="1" customHeight="1">
      <c r="A8640" s="24" t="s">
        <v>27357</v>
      </c>
      <c r="B8640" s="24" t="s">
        <v>27358</v>
      </c>
      <c r="C8640" s="24" t="s">
        <v>27359</v>
      </c>
      <c r="D8640" s="25" t="s">
        <v>27360</v>
      </c>
      <c r="E8640" s="28">
        <v>0.05000</v>
      </c>
      <c r="F8640" s="29">
        <f ca="1">ROUND(4.920,3)</f>
        <v>0</v>
      </c>
      <c r="G8640" s="27">
        <f ca="1">ROUND(E8640*F8640,2)</f>
        <v>0</v>
      </c>
    </row>
    <row r="8641" spans="1:7" ht="21.36" thickBot="1" customHeight="1">
      <c r="A8641" s="24" t="s">
        <v>27361</v>
      </c>
      <c r="B8641" s="24" t="s">
        <v>27362</v>
      </c>
      <c r="C8641" s="24" t="s">
        <v>27363</v>
      </c>
      <c r="D8641" s="25" t="s">
        <v>27364</v>
      </c>
      <c r="E8641" s="28">
        <v>0.80000</v>
      </c>
      <c r="F8641" s="29">
        <f ca="1">F8645</f>
        <v>0</v>
      </c>
      <c r="G8641" s="27">
        <f ca="1">ROUND(E8641*F8641,2)</f>
        <v>0</v>
      </c>
    </row>
    <row r="8642" spans="1:7" ht="24.36" thickBot="1" customHeight="1">
      <c r="A8642" s="24" t="s">
        <v>27365</v>
      </c>
      <c r="B8642" s="24" t="s">
        <v>27366</v>
      </c>
      <c r="C8642" s="24" t="s">
        <v>27367</v>
      </c>
      <c r="D8642" s="25" t="s">
        <v>27368</v>
      </c>
      <c r="E8642" s="28">
        <v>1.00000</v>
      </c>
      <c r="F8642" s="29">
        <f ca="1">ROUND(21.000,3)</f>
        <v>0</v>
      </c>
      <c r="G8642" s="27">
        <f ca="1">ROUND(E8642*F8642,2)</f>
        <v>0</v>
      </c>
    </row>
    <row r="8643" spans="1:7" ht="24.36" thickBot="1" customHeight="1">
      <c r="A8643" s="24" t="s">
        <v>27369</v>
      </c>
      <c r="B8643" s="24" t="s">
        <v>27370</v>
      </c>
      <c r="C8643" s="24" t="s">
        <v>27371</v>
      </c>
      <c r="D8643" s="25" t="s">
        <v>27372</v>
      </c>
      <c r="E8643" s="28">
        <v>1.00000</v>
      </c>
      <c r="F8643" s="29">
        <f ca="1">ROUND(19.000,3)</f>
        <v>0</v>
      </c>
      <c r="G8643" s="27">
        <f ca="1">ROUND(E8643*F8643,2)</f>
        <v>0</v>
      </c>
    </row>
    <row r="8644" spans="1:7" ht="24.36" thickBot="1" customHeight="1">
      <c r="A8644" s="24" t="s">
        <v>27373</v>
      </c>
      <c r="B8644" s="24" t="s">
        <v>27374</v>
      </c>
      <c r="C8644" s="24" t="s">
        <v>27375</v>
      </c>
      <c r="D8644" s="25" t="s">
        <v>27376</v>
      </c>
      <c r="E8644" s="28">
        <v>0.20000</v>
      </c>
      <c r="F8644" s="29">
        <f ca="1">ROUND(19.000,3)</f>
        <v>0</v>
      </c>
      <c r="G8644" s="27">
        <f ca="1">ROUND(E8644*F8644,2)</f>
        <v>0</v>
      </c>
    </row>
    <row r="8645" spans="1:7" ht="15.12" thickBot="1" customHeight="1">
      <c r="A8645" s="26"/>
      <c r="B8645" s="26"/>
      <c r="C8645" s="26"/>
      <c r="D8645" s="24" t="s">
        <v>27377</v>
      </c>
      <c r="E8645" s="28">
        <v>0.80000</v>
      </c>
      <c r="F8645" s="29">
        <f ca="1">ROUND((G8642+G8643+G8644),3)</f>
        <v>0</v>
      </c>
      <c r="G8645" s="27">
        <f ca="1">ROUND(E8645*F8645,2)</f>
        <v>0</v>
      </c>
    </row>
    <row r="8646" spans="1:7" ht="15.12" thickBot="1" customHeight="1">
      <c r="A8646" s="24" t="s">
        <v>27378</v>
      </c>
      <c r="B8646" s="24"/>
      <c r="C8646" s="24" t="s">
        <v>27379</v>
      </c>
      <c r="D8646" s="25" t="s">
        <v>27380</v>
      </c>
      <c r="E8646" s="28">
        <v>5.00000</v>
      </c>
      <c r="F8646" s="29">
        <f ca="1">ROUND(35.040,3)</f>
        <v>0</v>
      </c>
      <c r="G8646" s="27">
        <f ca="1">ROUND((E8646*F8646)/100,2)</f>
        <v>0</v>
      </c>
    </row>
    <row r="8647" spans="1:7" ht="15.48" thickBot="1" customHeight="1">
      <c r="A8647" s="30"/>
      <c r="B8647" s="30"/>
      <c r="C8647" s="30"/>
      <c r="D8647" s="31" t="s">
        <v>27381</v>
      </c>
      <c r="E8647" s="30"/>
      <c r="F8647" s="33">
        <f ca="1">ROUND((G8628+G8629+G8630+G8631+G8632+G8633+G8634+G8635+G8636+G8637+G8638+G8639+G8640+G8641+G8646)*(1+G2/100),2)</f>
        <v>0</v>
      </c>
      <c r="G8647" s="30"/>
    </row>
    <row r="8648" spans="1:7" ht="58.32" thickBot="1" customHeight="1">
      <c r="A8648" s="34" t="s">
        <v>27382</v>
      </c>
      <c r="B8648" s="35" t="s">
        <v>27383</v>
      </c>
      <c r="C8648" s="35" t="s">
        <v>27384</v>
      </c>
      <c r="D8648" s="36" t="s">
        <v>27385</v>
      </c>
      <c r="E8648" s="37"/>
      <c r="F8648" s="38">
        <f ca="1">F8669</f>
        <v>0</v>
      </c>
      <c r="G8648" s="37"/>
    </row>
    <row r="8649" spans="1:7" ht="21.36" thickBot="1" customHeight="1">
      <c r="A8649" s="26"/>
      <c r="B8649" s="26"/>
      <c r="C8649" s="26"/>
      <c r="D8649" s="25" t="s">
        <v>27386</v>
      </c>
      <c r="E8649" s="25"/>
      <c r="F8649" s="25"/>
      <c r="G8649" s="25"/>
    </row>
    <row r="8650" spans="1:7" ht="30.60" thickBot="1" customHeight="1">
      <c r="A8650" s="24" t="s">
        <v>27387</v>
      </c>
      <c r="B8650" s="24" t="s">
        <v>27388</v>
      </c>
      <c r="C8650" s="24" t="s">
        <v>27389</v>
      </c>
      <c r="D8650" s="25" t="s">
        <v>27390</v>
      </c>
      <c r="E8650" s="28">
        <v>1.05000</v>
      </c>
      <c r="F8650" s="29">
        <f ca="1">ROUND(20.500,3)</f>
        <v>0</v>
      </c>
      <c r="G8650" s="27">
        <f ca="1">ROUND(E8650*F8650,2)</f>
        <v>0</v>
      </c>
    </row>
    <row r="8651" spans="1:7" ht="39.84" thickBot="1" customHeight="1">
      <c r="A8651" s="24" t="s">
        <v>27391</v>
      </c>
      <c r="B8651" s="24" t="s">
        <v>27392</v>
      </c>
      <c r="C8651" s="24" t="s">
        <v>27393</v>
      </c>
      <c r="D8651" s="25" t="s">
        <v>27394</v>
      </c>
      <c r="E8651" s="28">
        <v>0.28571</v>
      </c>
      <c r="F8651" s="29">
        <f ca="1">ROUND(27.730,3)</f>
        <v>0</v>
      </c>
      <c r="G8651" s="27">
        <f ca="1">ROUND(E8651*F8651,2)</f>
        <v>0</v>
      </c>
    </row>
    <row r="8652" spans="1:7" ht="30.60" thickBot="1" customHeight="1">
      <c r="A8652" s="24" t="s">
        <v>27395</v>
      </c>
      <c r="B8652" s="24" t="s">
        <v>27396</v>
      </c>
      <c r="C8652" s="24" t="s">
        <v>27397</v>
      </c>
      <c r="D8652" s="25" t="s">
        <v>27398</v>
      </c>
      <c r="E8652" s="28">
        <v>0.28571</v>
      </c>
      <c r="F8652" s="29">
        <f ca="1">ROUND(13.640,3)</f>
        <v>0</v>
      </c>
      <c r="G8652" s="27">
        <f ca="1">ROUND(E8652*F8652,2)</f>
        <v>0</v>
      </c>
    </row>
    <row r="8653" spans="1:7" ht="30.60" thickBot="1" customHeight="1">
      <c r="A8653" s="24" t="s">
        <v>27399</v>
      </c>
      <c r="B8653" s="24" t="s">
        <v>27400</v>
      </c>
      <c r="C8653" s="24" t="s">
        <v>27401</v>
      </c>
      <c r="D8653" s="25" t="s">
        <v>27402</v>
      </c>
      <c r="E8653" s="28">
        <v>0.28571</v>
      </c>
      <c r="F8653" s="29">
        <f ca="1">ROUND(12.340,3)</f>
        <v>0</v>
      </c>
      <c r="G8653" s="27">
        <f ca="1">ROUND(E8653*F8653,2)</f>
        <v>0</v>
      </c>
    </row>
    <row r="8654" spans="1:7" ht="30.60" thickBot="1" customHeight="1">
      <c r="A8654" s="24" t="s">
        <v>27403</v>
      </c>
      <c r="B8654" s="24" t="s">
        <v>27404</v>
      </c>
      <c r="C8654" s="24" t="s">
        <v>27405</v>
      </c>
      <c r="D8654" s="25" t="s">
        <v>27406</v>
      </c>
      <c r="E8654" s="28">
        <v>0.71429</v>
      </c>
      <c r="F8654" s="29">
        <f ca="1">ROUND(4.670,3)</f>
        <v>0</v>
      </c>
      <c r="G8654" s="27">
        <f ca="1">ROUND(E8654*F8654,2)</f>
        <v>0</v>
      </c>
    </row>
    <row r="8655" spans="1:7" ht="30.60" thickBot="1" customHeight="1">
      <c r="A8655" s="24" t="s">
        <v>27407</v>
      </c>
      <c r="B8655" s="24" t="s">
        <v>27408</v>
      </c>
      <c r="C8655" s="24" t="s">
        <v>27409</v>
      </c>
      <c r="D8655" s="25" t="s">
        <v>27410</v>
      </c>
      <c r="E8655" s="28">
        <v>0.02860</v>
      </c>
      <c r="F8655" s="29">
        <f ca="1">ROUND(15.740,3)</f>
        <v>0</v>
      </c>
      <c r="G8655" s="27">
        <f ca="1">ROUND(E8655*F8655,2)</f>
        <v>0</v>
      </c>
    </row>
    <row r="8656" spans="1:7" ht="30.60" thickBot="1" customHeight="1">
      <c r="A8656" s="24" t="s">
        <v>27411</v>
      </c>
      <c r="B8656" s="24" t="s">
        <v>27412</v>
      </c>
      <c r="C8656" s="24" t="s">
        <v>27413</v>
      </c>
      <c r="D8656" s="25" t="s">
        <v>27414</v>
      </c>
      <c r="E8656" s="28">
        <v>0.02860</v>
      </c>
      <c r="F8656" s="29">
        <f ca="1">ROUND(4.920,3)</f>
        <v>0</v>
      </c>
      <c r="G8656" s="27">
        <f ca="1">ROUND(E8656*F8656,2)</f>
        <v>0</v>
      </c>
    </row>
    <row r="8657" spans="1:7" ht="30.60" thickBot="1" customHeight="1">
      <c r="A8657" s="24" t="s">
        <v>27415</v>
      </c>
      <c r="B8657" s="24" t="s">
        <v>27416</v>
      </c>
      <c r="C8657" s="24" t="s">
        <v>27417</v>
      </c>
      <c r="D8657" s="25" t="s">
        <v>27418</v>
      </c>
      <c r="E8657" s="28">
        <v>0.12500</v>
      </c>
      <c r="F8657" s="29">
        <f ca="1">ROUND(7.930,3)</f>
        <v>0</v>
      </c>
      <c r="G8657" s="27">
        <f ca="1">ROUND(E8657*F8657,2)</f>
        <v>0</v>
      </c>
    </row>
    <row r="8658" spans="1:7" ht="30.60" thickBot="1" customHeight="1">
      <c r="A8658" s="24" t="s">
        <v>27419</v>
      </c>
      <c r="B8658" s="24" t="s">
        <v>27420</v>
      </c>
      <c r="C8658" s="24" t="s">
        <v>27421</v>
      </c>
      <c r="D8658" s="25" t="s">
        <v>27422</v>
      </c>
      <c r="E8658" s="28">
        <v>0.05000</v>
      </c>
      <c r="F8658" s="29">
        <f ca="1">ROUND(6.140,3)</f>
        <v>0</v>
      </c>
      <c r="G8658" s="27">
        <f ca="1">ROUND(E8658*F8658,2)</f>
        <v>0</v>
      </c>
    </row>
    <row r="8659" spans="1:7" ht="39.84" thickBot="1" customHeight="1">
      <c r="A8659" s="24" t="s">
        <v>27423</v>
      </c>
      <c r="B8659" s="24" t="s">
        <v>27424</v>
      </c>
      <c r="C8659" s="24" t="s">
        <v>27425</v>
      </c>
      <c r="D8659" s="25" t="s">
        <v>27426</v>
      </c>
      <c r="E8659" s="28">
        <v>0.16896</v>
      </c>
      <c r="F8659" s="29">
        <f ca="1">ROUND(7.370,3)</f>
        <v>0</v>
      </c>
      <c r="G8659" s="27">
        <f ca="1">ROUND(E8659*F8659,2)</f>
        <v>0</v>
      </c>
    </row>
    <row r="8660" spans="1:7" ht="30.60" thickBot="1" customHeight="1">
      <c r="A8660" s="24" t="s">
        <v>27427</v>
      </c>
      <c r="B8660" s="24" t="s">
        <v>27428</v>
      </c>
      <c r="C8660" s="24" t="s">
        <v>27429</v>
      </c>
      <c r="D8660" s="25" t="s">
        <v>27430</v>
      </c>
      <c r="E8660" s="28">
        <v>1.00000</v>
      </c>
      <c r="F8660" s="29">
        <f ca="1">ROUND(1.730,3)</f>
        <v>0</v>
      </c>
      <c r="G8660" s="27">
        <f ca="1">ROUND(E8660*F8660,2)</f>
        <v>0</v>
      </c>
    </row>
    <row r="8661" spans="1:7" ht="21.36" thickBot="1" customHeight="1">
      <c r="A8661" s="24" t="s">
        <v>27431</v>
      </c>
      <c r="B8661" s="24" t="s">
        <v>27432</v>
      </c>
      <c r="C8661" s="24" t="s">
        <v>27433</v>
      </c>
      <c r="D8661" s="25" t="s">
        <v>27434</v>
      </c>
      <c r="E8661" s="28">
        <v>0.30000</v>
      </c>
      <c r="F8661" s="29">
        <f ca="1">ROUND(2.000,3)</f>
        <v>0</v>
      </c>
      <c r="G8661" s="27">
        <f ca="1">ROUND(E8661*F8661,2)</f>
        <v>0</v>
      </c>
    </row>
    <row r="8662" spans="1:7" ht="30.60" thickBot="1" customHeight="1">
      <c r="A8662" s="24" t="s">
        <v>27435</v>
      </c>
      <c r="B8662" s="24" t="s">
        <v>27436</v>
      </c>
      <c r="C8662" s="24" t="s">
        <v>27437</v>
      </c>
      <c r="D8662" s="25" t="s">
        <v>27438</v>
      </c>
      <c r="E8662" s="28">
        <v>0.05000</v>
      </c>
      <c r="F8662" s="29">
        <f ca="1">ROUND(4.920,3)</f>
        <v>0</v>
      </c>
      <c r="G8662" s="27">
        <f ca="1">ROUND(E8662*F8662,2)</f>
        <v>0</v>
      </c>
    </row>
    <row r="8663" spans="1:7" ht="21.36" thickBot="1" customHeight="1">
      <c r="A8663" s="24" t="s">
        <v>27439</v>
      </c>
      <c r="B8663" s="24" t="s">
        <v>27440</v>
      </c>
      <c r="C8663" s="24" t="s">
        <v>27441</v>
      </c>
      <c r="D8663" s="25" t="s">
        <v>27442</v>
      </c>
      <c r="E8663" s="28">
        <v>1.10000</v>
      </c>
      <c r="F8663" s="29">
        <f ca="1">F8667</f>
        <v>0</v>
      </c>
      <c r="G8663" s="27">
        <f ca="1">ROUND(E8663*F8663,2)</f>
        <v>0</v>
      </c>
    </row>
    <row r="8664" spans="1:7" ht="24.36" thickBot="1" customHeight="1">
      <c r="A8664" s="24" t="s">
        <v>27443</v>
      </c>
      <c r="B8664" s="24" t="s">
        <v>27444</v>
      </c>
      <c r="C8664" s="24" t="s">
        <v>27445</v>
      </c>
      <c r="D8664" s="25" t="s">
        <v>27446</v>
      </c>
      <c r="E8664" s="28">
        <v>1.00000</v>
      </c>
      <c r="F8664" s="29">
        <f ca="1">ROUND(21.000,3)</f>
        <v>0</v>
      </c>
      <c r="G8664" s="27">
        <f ca="1">ROUND(E8664*F8664,2)</f>
        <v>0</v>
      </c>
    </row>
    <row r="8665" spans="1:7" ht="24.36" thickBot="1" customHeight="1">
      <c r="A8665" s="24" t="s">
        <v>27447</v>
      </c>
      <c r="B8665" s="24" t="s">
        <v>27448</v>
      </c>
      <c r="C8665" s="24" t="s">
        <v>27449</v>
      </c>
      <c r="D8665" s="25" t="s">
        <v>27450</v>
      </c>
      <c r="E8665" s="28">
        <v>1.00000</v>
      </c>
      <c r="F8665" s="29">
        <f ca="1">ROUND(19.000,3)</f>
        <v>0</v>
      </c>
      <c r="G8665" s="27">
        <f ca="1">ROUND(E8665*F8665,2)</f>
        <v>0</v>
      </c>
    </row>
    <row r="8666" spans="1:7" ht="24.36" thickBot="1" customHeight="1">
      <c r="A8666" s="24" t="s">
        <v>27451</v>
      </c>
      <c r="B8666" s="24" t="s">
        <v>27452</v>
      </c>
      <c r="C8666" s="24" t="s">
        <v>27453</v>
      </c>
      <c r="D8666" s="25" t="s">
        <v>27454</v>
      </c>
      <c r="E8666" s="28">
        <v>0.20000</v>
      </c>
      <c r="F8666" s="29">
        <f ca="1">ROUND(19.000,3)</f>
        <v>0</v>
      </c>
      <c r="G8666" s="27">
        <f ca="1">ROUND(E8666*F8666,2)</f>
        <v>0</v>
      </c>
    </row>
    <row r="8667" spans="1:7" ht="15.12" thickBot="1" customHeight="1">
      <c r="A8667" s="26"/>
      <c r="B8667" s="26"/>
      <c r="C8667" s="26"/>
      <c r="D8667" s="24" t="s">
        <v>27455</v>
      </c>
      <c r="E8667" s="28">
        <v>1.10000</v>
      </c>
      <c r="F8667" s="29">
        <f ca="1">ROUND((G8664+G8665+G8666),3)</f>
        <v>0</v>
      </c>
      <c r="G8667" s="27">
        <f ca="1">ROUND(E8667*F8667,2)</f>
        <v>0</v>
      </c>
    </row>
    <row r="8668" spans="1:7" ht="15.12" thickBot="1" customHeight="1">
      <c r="A8668" s="24" t="s">
        <v>27456</v>
      </c>
      <c r="B8668" s="24"/>
      <c r="C8668" s="24" t="s">
        <v>27457</v>
      </c>
      <c r="D8668" s="25" t="s">
        <v>27458</v>
      </c>
      <c r="E8668" s="28">
        <v>5.00000</v>
      </c>
      <c r="F8668" s="29">
        <f ca="1">ROUND(48.180,3)</f>
        <v>0</v>
      </c>
      <c r="G8668" s="27">
        <f ca="1">ROUND((E8668*F8668)/100,2)</f>
        <v>0</v>
      </c>
    </row>
    <row r="8669" spans="1:7" ht="15.48" thickBot="1" customHeight="1">
      <c r="A8669" s="30"/>
      <c r="B8669" s="30"/>
      <c r="C8669" s="30"/>
      <c r="D8669" s="31" t="s">
        <v>27459</v>
      </c>
      <c r="E8669" s="30"/>
      <c r="F8669" s="33">
        <f ca="1">ROUND((G8650+G8651+G8652+G8653+G8654+G8655+G8656+G8657+G8658+G8659+G8660+G8661+G8662+G8663+G8668)*(1+G2/100),2)</f>
        <v>0</v>
      </c>
      <c r="G8669" s="30"/>
    </row>
    <row r="8670" spans="1:7" ht="49.08" thickBot="1" customHeight="1">
      <c r="A8670" s="34" t="s">
        <v>27460</v>
      </c>
      <c r="B8670" s="35" t="s">
        <v>27461</v>
      </c>
      <c r="C8670" s="35" t="s">
        <v>27462</v>
      </c>
      <c r="D8670" s="36" t="s">
        <v>27463</v>
      </c>
      <c r="E8670" s="37"/>
      <c r="F8670" s="38">
        <f ca="1">F8693</f>
        <v>0</v>
      </c>
      <c r="G8670" s="37"/>
    </row>
    <row r="8671" spans="1:7" ht="21.36" thickBot="1" customHeight="1">
      <c r="A8671" s="26"/>
      <c r="B8671" s="26"/>
      <c r="C8671" s="26"/>
      <c r="D8671" s="25" t="s">
        <v>27464</v>
      </c>
      <c r="E8671" s="25"/>
      <c r="F8671" s="25"/>
      <c r="G8671" s="25"/>
    </row>
    <row r="8672" spans="1:7" ht="39.84" thickBot="1" customHeight="1">
      <c r="A8672" s="24" t="s">
        <v>27465</v>
      </c>
      <c r="B8672" s="24" t="s">
        <v>27466</v>
      </c>
      <c r="C8672" s="24" t="s">
        <v>27467</v>
      </c>
      <c r="D8672" s="25" t="s">
        <v>27468</v>
      </c>
      <c r="E8672" s="28">
        <v>1.05000</v>
      </c>
      <c r="F8672" s="29">
        <f ca="1">ROUND(9.160,3)</f>
        <v>0</v>
      </c>
      <c r="G8672" s="27">
        <f ca="1">ROUND(E8672*F8672,2)</f>
        <v>0</v>
      </c>
    </row>
    <row r="8673" spans="1:7" ht="39.84" thickBot="1" customHeight="1">
      <c r="A8673" s="24" t="s">
        <v>27469</v>
      </c>
      <c r="B8673" s="24" t="s">
        <v>27470</v>
      </c>
      <c r="C8673" s="24" t="s">
        <v>27471</v>
      </c>
      <c r="D8673" s="25" t="s">
        <v>27472</v>
      </c>
      <c r="E8673" s="28">
        <v>0.71429</v>
      </c>
      <c r="F8673" s="29">
        <f ca="1">ROUND(3.160,3)</f>
        <v>0</v>
      </c>
      <c r="G8673" s="27">
        <f ca="1">ROUND(E8673*F8673,2)</f>
        <v>0</v>
      </c>
    </row>
    <row r="8674" spans="1:7" ht="39.84" thickBot="1" customHeight="1">
      <c r="A8674" s="24" t="s">
        <v>27473</v>
      </c>
      <c r="B8674" s="24" t="s">
        <v>27474</v>
      </c>
      <c r="C8674" s="24" t="s">
        <v>27475</v>
      </c>
      <c r="D8674" s="25" t="s">
        <v>27476</v>
      </c>
      <c r="E8674" s="28">
        <v>0.28571</v>
      </c>
      <c r="F8674" s="29">
        <f ca="1">ROUND(27.730,3)</f>
        <v>0</v>
      </c>
      <c r="G8674" s="27">
        <f ca="1">ROUND(E8674*F8674,2)</f>
        <v>0</v>
      </c>
    </row>
    <row r="8675" spans="1:7" ht="39.84" thickBot="1" customHeight="1">
      <c r="A8675" s="24" t="s">
        <v>27477</v>
      </c>
      <c r="B8675" s="24" t="s">
        <v>27478</v>
      </c>
      <c r="C8675" s="24" t="s">
        <v>27479</v>
      </c>
      <c r="D8675" s="25" t="s">
        <v>27480</v>
      </c>
      <c r="E8675" s="28">
        <v>0.28571</v>
      </c>
      <c r="F8675" s="29">
        <f ca="1">ROUND(6.840,3)</f>
        <v>0</v>
      </c>
      <c r="G8675" s="27">
        <f ca="1">ROUND(E8675*F8675,2)</f>
        <v>0</v>
      </c>
    </row>
    <row r="8676" spans="1:7" ht="39.84" thickBot="1" customHeight="1">
      <c r="A8676" s="24" t="s">
        <v>27481</v>
      </c>
      <c r="B8676" s="24" t="s">
        <v>27482</v>
      </c>
      <c r="C8676" s="24" t="s">
        <v>27483</v>
      </c>
      <c r="D8676" s="25" t="s">
        <v>27484</v>
      </c>
      <c r="E8676" s="28">
        <v>0.28571</v>
      </c>
      <c r="F8676" s="29">
        <f ca="1">ROUND(6.840,3)</f>
        <v>0</v>
      </c>
      <c r="G8676" s="27">
        <f ca="1">ROUND(E8676*F8676,2)</f>
        <v>0</v>
      </c>
    </row>
    <row r="8677" spans="1:7" ht="30.60" thickBot="1" customHeight="1">
      <c r="A8677" s="24" t="s">
        <v>27485</v>
      </c>
      <c r="B8677" s="24" t="s">
        <v>27486</v>
      </c>
      <c r="C8677" s="24" t="s">
        <v>27487</v>
      </c>
      <c r="D8677" s="25" t="s">
        <v>27488</v>
      </c>
      <c r="E8677" s="28">
        <v>0.02860</v>
      </c>
      <c r="F8677" s="29">
        <f ca="1">ROUND(15.740,3)</f>
        <v>0</v>
      </c>
      <c r="G8677" s="27">
        <f ca="1">ROUND(E8677*F8677,2)</f>
        <v>0</v>
      </c>
    </row>
    <row r="8678" spans="1:7" ht="30.60" thickBot="1" customHeight="1">
      <c r="A8678" s="24" t="s">
        <v>27489</v>
      </c>
      <c r="B8678" s="24" t="s">
        <v>27490</v>
      </c>
      <c r="C8678" s="24" t="s">
        <v>27491</v>
      </c>
      <c r="D8678" s="25" t="s">
        <v>27492</v>
      </c>
      <c r="E8678" s="28">
        <v>0.02860</v>
      </c>
      <c r="F8678" s="29">
        <f ca="1">ROUND(4.920,3)</f>
        <v>0</v>
      </c>
      <c r="G8678" s="27">
        <f ca="1">ROUND(E8678*F8678,2)</f>
        <v>0</v>
      </c>
    </row>
    <row r="8679" spans="1:7" ht="30.60" thickBot="1" customHeight="1">
      <c r="A8679" s="24" t="s">
        <v>27493</v>
      </c>
      <c r="B8679" s="24" t="s">
        <v>27494</v>
      </c>
      <c r="C8679" s="24" t="s">
        <v>27495</v>
      </c>
      <c r="D8679" s="25" t="s">
        <v>27496</v>
      </c>
      <c r="E8679" s="28">
        <v>0.42000</v>
      </c>
      <c r="F8679" s="29">
        <f ca="1">ROUND(6.090,3)</f>
        <v>0</v>
      </c>
      <c r="G8679" s="27">
        <f ca="1">ROUND(E8679*F8679,2)</f>
        <v>0</v>
      </c>
    </row>
    <row r="8680" spans="1:7" ht="30.60" thickBot="1" customHeight="1">
      <c r="A8680" s="24" t="s">
        <v>27497</v>
      </c>
      <c r="B8680" s="24" t="s">
        <v>27498</v>
      </c>
      <c r="C8680" s="24" t="s">
        <v>27499</v>
      </c>
      <c r="D8680" s="25" t="s">
        <v>27500</v>
      </c>
      <c r="E8680" s="28">
        <v>0.86000</v>
      </c>
      <c r="F8680" s="29">
        <f ca="1">ROUND(4.580,3)</f>
        <v>0</v>
      </c>
      <c r="G8680" s="27">
        <f ca="1">ROUND(E8680*F8680,2)</f>
        <v>0</v>
      </c>
    </row>
    <row r="8681" spans="1:7" ht="30.60" thickBot="1" customHeight="1">
      <c r="A8681" s="24" t="s">
        <v>27501</v>
      </c>
      <c r="B8681" s="24" t="s">
        <v>27502</v>
      </c>
      <c r="C8681" s="24" t="s">
        <v>27503</v>
      </c>
      <c r="D8681" s="25" t="s">
        <v>27504</v>
      </c>
      <c r="E8681" s="28">
        <v>0.12500</v>
      </c>
      <c r="F8681" s="29">
        <f ca="1">ROUND(7.930,3)</f>
        <v>0</v>
      </c>
      <c r="G8681" s="27">
        <f ca="1">ROUND(E8681*F8681,2)</f>
        <v>0</v>
      </c>
    </row>
    <row r="8682" spans="1:7" ht="30.60" thickBot="1" customHeight="1">
      <c r="A8682" s="24" t="s">
        <v>27505</v>
      </c>
      <c r="B8682" s="24" t="s">
        <v>27506</v>
      </c>
      <c r="C8682" s="24" t="s">
        <v>27507</v>
      </c>
      <c r="D8682" s="25" t="s">
        <v>27508</v>
      </c>
      <c r="E8682" s="28">
        <v>0.05000</v>
      </c>
      <c r="F8682" s="29">
        <f ca="1">ROUND(6.140,3)</f>
        <v>0</v>
      </c>
      <c r="G8682" s="27">
        <f ca="1">ROUND(E8682*F8682,2)</f>
        <v>0</v>
      </c>
    </row>
    <row r="8683" spans="1:7" ht="39.84" thickBot="1" customHeight="1">
      <c r="A8683" s="24" t="s">
        <v>27509</v>
      </c>
      <c r="B8683" s="24" t="s">
        <v>27510</v>
      </c>
      <c r="C8683" s="24" t="s">
        <v>27511</v>
      </c>
      <c r="D8683" s="25" t="s">
        <v>27512</v>
      </c>
      <c r="E8683" s="28">
        <v>0.16896</v>
      </c>
      <c r="F8683" s="29">
        <f ca="1">ROUND(7.370,3)</f>
        <v>0</v>
      </c>
      <c r="G8683" s="27">
        <f ca="1">ROUND(E8683*F8683,2)</f>
        <v>0</v>
      </c>
    </row>
    <row r="8684" spans="1:7" ht="30.60" thickBot="1" customHeight="1">
      <c r="A8684" s="24" t="s">
        <v>27513</v>
      </c>
      <c r="B8684" s="24" t="s">
        <v>27514</v>
      </c>
      <c r="C8684" s="24" t="s">
        <v>27515</v>
      </c>
      <c r="D8684" s="25" t="s">
        <v>27516</v>
      </c>
      <c r="E8684" s="28">
        <v>1.00000</v>
      </c>
      <c r="F8684" s="29">
        <f ca="1">ROUND(1.730,3)</f>
        <v>0</v>
      </c>
      <c r="G8684" s="27">
        <f ca="1">ROUND(E8684*F8684,2)</f>
        <v>0</v>
      </c>
    </row>
    <row r="8685" spans="1:7" ht="21.36" thickBot="1" customHeight="1">
      <c r="A8685" s="24" t="s">
        <v>27517</v>
      </c>
      <c r="B8685" s="24" t="s">
        <v>27518</v>
      </c>
      <c r="C8685" s="24" t="s">
        <v>27519</v>
      </c>
      <c r="D8685" s="25" t="s">
        <v>27520</v>
      </c>
      <c r="E8685" s="28">
        <v>0.30000</v>
      </c>
      <c r="F8685" s="29">
        <f ca="1">ROUND(2.000,3)</f>
        <v>0</v>
      </c>
      <c r="G8685" s="27">
        <f ca="1">ROUND(E8685*F8685,2)</f>
        <v>0</v>
      </c>
    </row>
    <row r="8686" spans="1:7" ht="30.60" thickBot="1" customHeight="1">
      <c r="A8686" s="24" t="s">
        <v>27521</v>
      </c>
      <c r="B8686" s="24" t="s">
        <v>27522</v>
      </c>
      <c r="C8686" s="24" t="s">
        <v>27523</v>
      </c>
      <c r="D8686" s="25" t="s">
        <v>27524</v>
      </c>
      <c r="E8686" s="28">
        <v>0.05000</v>
      </c>
      <c r="F8686" s="29">
        <f ca="1">ROUND(4.920,3)</f>
        <v>0</v>
      </c>
      <c r="G8686" s="27">
        <f ca="1">ROUND(E8686*F8686,2)</f>
        <v>0</v>
      </c>
    </row>
    <row r="8687" spans="1:7" ht="21.36" thickBot="1" customHeight="1">
      <c r="A8687" s="24" t="s">
        <v>27525</v>
      </c>
      <c r="B8687" s="24" t="s">
        <v>27526</v>
      </c>
      <c r="C8687" s="24" t="s">
        <v>27527</v>
      </c>
      <c r="D8687" s="25" t="s">
        <v>27528</v>
      </c>
      <c r="E8687" s="28">
        <v>0.66667</v>
      </c>
      <c r="F8687" s="29">
        <f ca="1">F8691</f>
        <v>0</v>
      </c>
      <c r="G8687" s="27">
        <f ca="1">ROUND(E8687*F8687,2)</f>
        <v>0</v>
      </c>
    </row>
    <row r="8688" spans="1:7" ht="24.36" thickBot="1" customHeight="1">
      <c r="A8688" s="24" t="s">
        <v>27529</v>
      </c>
      <c r="B8688" s="24" t="s">
        <v>27530</v>
      </c>
      <c r="C8688" s="24" t="s">
        <v>27531</v>
      </c>
      <c r="D8688" s="25" t="s">
        <v>27532</v>
      </c>
      <c r="E8688" s="28">
        <v>1.00000</v>
      </c>
      <c r="F8688" s="29">
        <f ca="1">ROUND(21.000,3)</f>
        <v>0</v>
      </c>
      <c r="G8688" s="27">
        <f ca="1">ROUND(E8688*F8688,2)</f>
        <v>0</v>
      </c>
    </row>
    <row r="8689" spans="1:7" ht="24.36" thickBot="1" customHeight="1">
      <c r="A8689" s="24" t="s">
        <v>27533</v>
      </c>
      <c r="B8689" s="24" t="s">
        <v>27534</v>
      </c>
      <c r="C8689" s="24" t="s">
        <v>27535</v>
      </c>
      <c r="D8689" s="25" t="s">
        <v>27536</v>
      </c>
      <c r="E8689" s="28">
        <v>1.00000</v>
      </c>
      <c r="F8689" s="29">
        <f ca="1">ROUND(19.000,3)</f>
        <v>0</v>
      </c>
      <c r="G8689" s="27">
        <f ca="1">ROUND(E8689*F8689,2)</f>
        <v>0</v>
      </c>
    </row>
    <row r="8690" spans="1:7" ht="24.36" thickBot="1" customHeight="1">
      <c r="A8690" s="24" t="s">
        <v>27537</v>
      </c>
      <c r="B8690" s="24" t="s">
        <v>27538</v>
      </c>
      <c r="C8690" s="24" t="s">
        <v>27539</v>
      </c>
      <c r="D8690" s="25" t="s">
        <v>27540</v>
      </c>
      <c r="E8690" s="28">
        <v>0.20000</v>
      </c>
      <c r="F8690" s="29">
        <f ca="1">ROUND(19.000,3)</f>
        <v>0</v>
      </c>
      <c r="G8690" s="27">
        <f ca="1">ROUND(E8690*F8690,2)</f>
        <v>0</v>
      </c>
    </row>
    <row r="8691" spans="1:7" ht="15.12" thickBot="1" customHeight="1">
      <c r="A8691" s="26"/>
      <c r="B8691" s="26"/>
      <c r="C8691" s="26"/>
      <c r="D8691" s="24" t="s">
        <v>27541</v>
      </c>
      <c r="E8691" s="28">
        <v>0.66667</v>
      </c>
      <c r="F8691" s="29">
        <f ca="1">ROUND((G8688+G8689+G8690),3)</f>
        <v>0</v>
      </c>
      <c r="G8691" s="27">
        <f ca="1">ROUND(E8691*F8691,2)</f>
        <v>0</v>
      </c>
    </row>
    <row r="8692" spans="1:7" ht="15.12" thickBot="1" customHeight="1">
      <c r="A8692" s="24" t="s">
        <v>27542</v>
      </c>
      <c r="B8692" s="24"/>
      <c r="C8692" s="24" t="s">
        <v>27543</v>
      </c>
      <c r="D8692" s="25" t="s">
        <v>27544</v>
      </c>
      <c r="E8692" s="28">
        <v>5.00000</v>
      </c>
      <c r="F8692" s="29">
        <f ca="1">ROUND(29.200,3)</f>
        <v>0</v>
      </c>
      <c r="G8692" s="27">
        <f ca="1">ROUND((E8692*F8692)/100,2)</f>
        <v>0</v>
      </c>
    </row>
    <row r="8693" spans="1:7" ht="15.48" thickBot="1" customHeight="1">
      <c r="A8693" s="30"/>
      <c r="B8693" s="30"/>
      <c r="C8693" s="30"/>
      <c r="D8693" s="31" t="s">
        <v>27545</v>
      </c>
      <c r="E8693" s="30"/>
      <c r="F8693" s="33">
        <f ca="1">ROUND((G8672+G8673+G8674+G8675+G8676+G8677+G8678+G8679+G8680+G8681+G8682+G8683+G8684+G8685+G8686+G8687+G8692)*(1+G2/100),2)</f>
        <v>0</v>
      </c>
      <c r="G8693" s="30"/>
    </row>
    <row r="8694" spans="1:7" ht="49.08" thickBot="1" customHeight="1">
      <c r="A8694" s="34" t="s">
        <v>27546</v>
      </c>
      <c r="B8694" s="35" t="s">
        <v>27547</v>
      </c>
      <c r="C8694" s="35" t="s">
        <v>27548</v>
      </c>
      <c r="D8694" s="36" t="s">
        <v>27549</v>
      </c>
      <c r="E8694" s="37"/>
      <c r="F8694" s="38">
        <f ca="1">F8717</f>
        <v>0</v>
      </c>
      <c r="G8694" s="37"/>
    </row>
    <row r="8695" spans="1:7" ht="21.36" thickBot="1" customHeight="1">
      <c r="A8695" s="26"/>
      <c r="B8695" s="26"/>
      <c r="C8695" s="26"/>
      <c r="D8695" s="25" t="s">
        <v>27550</v>
      </c>
      <c r="E8695" s="25"/>
      <c r="F8695" s="25"/>
      <c r="G8695" s="25"/>
    </row>
    <row r="8696" spans="1:7" ht="39.84" thickBot="1" customHeight="1">
      <c r="A8696" s="24" t="s">
        <v>27551</v>
      </c>
      <c r="B8696" s="24" t="s">
        <v>27552</v>
      </c>
      <c r="C8696" s="24" t="s">
        <v>27553</v>
      </c>
      <c r="D8696" s="25" t="s">
        <v>27554</v>
      </c>
      <c r="E8696" s="28">
        <v>1.05000</v>
      </c>
      <c r="F8696" s="29">
        <f ca="1">ROUND(9.160,3)</f>
        <v>0</v>
      </c>
      <c r="G8696" s="27">
        <f ca="1">ROUND(E8696*F8696,2)</f>
        <v>0</v>
      </c>
    </row>
    <row r="8697" spans="1:7" ht="39.84" thickBot="1" customHeight="1">
      <c r="A8697" s="24" t="s">
        <v>27555</v>
      </c>
      <c r="B8697" s="24" t="s">
        <v>27556</v>
      </c>
      <c r="C8697" s="24" t="s">
        <v>27557</v>
      </c>
      <c r="D8697" s="25" t="s">
        <v>27558</v>
      </c>
      <c r="E8697" s="28">
        <v>0.28571</v>
      </c>
      <c r="F8697" s="29">
        <f ca="1">ROUND(27.730,3)</f>
        <v>0</v>
      </c>
      <c r="G8697" s="27">
        <f ca="1">ROUND(E8697*F8697,2)</f>
        <v>0</v>
      </c>
    </row>
    <row r="8698" spans="1:7" ht="39.84" thickBot="1" customHeight="1">
      <c r="A8698" s="24" t="s">
        <v>27559</v>
      </c>
      <c r="B8698" s="24" t="s">
        <v>27560</v>
      </c>
      <c r="C8698" s="24" t="s">
        <v>27561</v>
      </c>
      <c r="D8698" s="25" t="s">
        <v>27562</v>
      </c>
      <c r="E8698" s="28">
        <v>0.28571</v>
      </c>
      <c r="F8698" s="29">
        <f ca="1">ROUND(6.840,3)</f>
        <v>0</v>
      </c>
      <c r="G8698" s="27">
        <f ca="1">ROUND(E8698*F8698,2)</f>
        <v>0</v>
      </c>
    </row>
    <row r="8699" spans="1:7" ht="39.84" thickBot="1" customHeight="1">
      <c r="A8699" s="24" t="s">
        <v>27563</v>
      </c>
      <c r="B8699" s="24" t="s">
        <v>27564</v>
      </c>
      <c r="C8699" s="24" t="s">
        <v>27565</v>
      </c>
      <c r="D8699" s="25" t="s">
        <v>27566</v>
      </c>
      <c r="E8699" s="28">
        <v>0.28571</v>
      </c>
      <c r="F8699" s="29">
        <f ca="1">ROUND(6.840,3)</f>
        <v>0</v>
      </c>
      <c r="G8699" s="27">
        <f ca="1">ROUND(E8699*F8699,2)</f>
        <v>0</v>
      </c>
    </row>
    <row r="8700" spans="1:7" ht="39.84" thickBot="1" customHeight="1">
      <c r="A8700" s="24" t="s">
        <v>27567</v>
      </c>
      <c r="B8700" s="24" t="s">
        <v>27568</v>
      </c>
      <c r="C8700" s="24" t="s">
        <v>27569</v>
      </c>
      <c r="D8700" s="25" t="s">
        <v>27570</v>
      </c>
      <c r="E8700" s="28">
        <v>0.71429</v>
      </c>
      <c r="F8700" s="29">
        <f ca="1">ROUND(3.160,3)</f>
        <v>0</v>
      </c>
      <c r="G8700" s="27">
        <f ca="1">ROUND(E8700*F8700,2)</f>
        <v>0</v>
      </c>
    </row>
    <row r="8701" spans="1:7" ht="30.60" thickBot="1" customHeight="1">
      <c r="A8701" s="24" t="s">
        <v>27571</v>
      </c>
      <c r="B8701" s="24" t="s">
        <v>27572</v>
      </c>
      <c r="C8701" s="24" t="s">
        <v>27573</v>
      </c>
      <c r="D8701" s="25" t="s">
        <v>27574</v>
      </c>
      <c r="E8701" s="28">
        <v>0.02860</v>
      </c>
      <c r="F8701" s="29">
        <f ca="1">ROUND(15.740,3)</f>
        <v>0</v>
      </c>
      <c r="G8701" s="27">
        <f ca="1">ROUND(E8701*F8701,2)</f>
        <v>0</v>
      </c>
    </row>
    <row r="8702" spans="1:7" ht="30.60" thickBot="1" customHeight="1">
      <c r="A8702" s="24" t="s">
        <v>27575</v>
      </c>
      <c r="B8702" s="24" t="s">
        <v>27576</v>
      </c>
      <c r="C8702" s="24" t="s">
        <v>27577</v>
      </c>
      <c r="D8702" s="25" t="s">
        <v>27578</v>
      </c>
      <c r="E8702" s="28">
        <v>0.02860</v>
      </c>
      <c r="F8702" s="29">
        <f ca="1">ROUND(4.920,3)</f>
        <v>0</v>
      </c>
      <c r="G8702" s="27">
        <f ca="1">ROUND(E8702*F8702,2)</f>
        <v>0</v>
      </c>
    </row>
    <row r="8703" spans="1:7" ht="30.60" thickBot="1" customHeight="1">
      <c r="A8703" s="24" t="s">
        <v>27579</v>
      </c>
      <c r="B8703" s="24" t="s">
        <v>27580</v>
      </c>
      <c r="C8703" s="24" t="s">
        <v>27581</v>
      </c>
      <c r="D8703" s="25" t="s">
        <v>27582</v>
      </c>
      <c r="E8703" s="28">
        <v>0.42000</v>
      </c>
      <c r="F8703" s="29">
        <f ca="1">ROUND(6.090,3)</f>
        <v>0</v>
      </c>
      <c r="G8703" s="27">
        <f ca="1">ROUND(E8703*F8703,2)</f>
        <v>0</v>
      </c>
    </row>
    <row r="8704" spans="1:7" ht="30.60" thickBot="1" customHeight="1">
      <c r="A8704" s="24" t="s">
        <v>27583</v>
      </c>
      <c r="B8704" s="24" t="s">
        <v>27584</v>
      </c>
      <c r="C8704" s="24" t="s">
        <v>27585</v>
      </c>
      <c r="D8704" s="25" t="s">
        <v>27586</v>
      </c>
      <c r="E8704" s="28">
        <v>0.86000</v>
      </c>
      <c r="F8704" s="29">
        <f ca="1">ROUND(4.580,3)</f>
        <v>0</v>
      </c>
      <c r="G8704" s="27">
        <f ca="1">ROUND(E8704*F8704,2)</f>
        <v>0</v>
      </c>
    </row>
    <row r="8705" spans="1:7" ht="30.60" thickBot="1" customHeight="1">
      <c r="A8705" s="24" t="s">
        <v>27587</v>
      </c>
      <c r="B8705" s="24" t="s">
        <v>27588</v>
      </c>
      <c r="C8705" s="24" t="s">
        <v>27589</v>
      </c>
      <c r="D8705" s="25" t="s">
        <v>27590</v>
      </c>
      <c r="E8705" s="28">
        <v>0.12500</v>
      </c>
      <c r="F8705" s="29">
        <f ca="1">ROUND(7.930,3)</f>
        <v>0</v>
      </c>
      <c r="G8705" s="27">
        <f ca="1">ROUND(E8705*F8705,2)</f>
        <v>0</v>
      </c>
    </row>
    <row r="8706" spans="1:7" ht="30.60" thickBot="1" customHeight="1">
      <c r="A8706" s="24" t="s">
        <v>27591</v>
      </c>
      <c r="B8706" s="24" t="s">
        <v>27592</v>
      </c>
      <c r="C8706" s="24" t="s">
        <v>27593</v>
      </c>
      <c r="D8706" s="25" t="s">
        <v>27594</v>
      </c>
      <c r="E8706" s="28">
        <v>0.05000</v>
      </c>
      <c r="F8706" s="29">
        <f ca="1">ROUND(6.140,3)</f>
        <v>0</v>
      </c>
      <c r="G8706" s="27">
        <f ca="1">ROUND(E8706*F8706,2)</f>
        <v>0</v>
      </c>
    </row>
    <row r="8707" spans="1:7" ht="39.84" thickBot="1" customHeight="1">
      <c r="A8707" s="24" t="s">
        <v>27595</v>
      </c>
      <c r="B8707" s="24" t="s">
        <v>27596</v>
      </c>
      <c r="C8707" s="24" t="s">
        <v>27597</v>
      </c>
      <c r="D8707" s="25" t="s">
        <v>27598</v>
      </c>
      <c r="E8707" s="28">
        <v>0.16896</v>
      </c>
      <c r="F8707" s="29">
        <f ca="1">ROUND(7.370,3)</f>
        <v>0</v>
      </c>
      <c r="G8707" s="27">
        <f ca="1">ROUND(E8707*F8707,2)</f>
        <v>0</v>
      </c>
    </row>
    <row r="8708" spans="1:7" ht="30.60" thickBot="1" customHeight="1">
      <c r="A8708" s="24" t="s">
        <v>27599</v>
      </c>
      <c r="B8708" s="24" t="s">
        <v>27600</v>
      </c>
      <c r="C8708" s="24" t="s">
        <v>27601</v>
      </c>
      <c r="D8708" s="25" t="s">
        <v>27602</v>
      </c>
      <c r="E8708" s="28">
        <v>1.00000</v>
      </c>
      <c r="F8708" s="29">
        <f ca="1">ROUND(1.730,3)</f>
        <v>0</v>
      </c>
      <c r="G8708" s="27">
        <f ca="1">ROUND(E8708*F8708,2)</f>
        <v>0</v>
      </c>
    </row>
    <row r="8709" spans="1:7" ht="21.36" thickBot="1" customHeight="1">
      <c r="A8709" s="24" t="s">
        <v>27603</v>
      </c>
      <c r="B8709" s="24" t="s">
        <v>27604</v>
      </c>
      <c r="C8709" s="24" t="s">
        <v>27605</v>
      </c>
      <c r="D8709" s="25" t="s">
        <v>27606</v>
      </c>
      <c r="E8709" s="28">
        <v>0.30000</v>
      </c>
      <c r="F8709" s="29">
        <f ca="1">ROUND(2.000,3)</f>
        <v>0</v>
      </c>
      <c r="G8709" s="27">
        <f ca="1">ROUND(E8709*F8709,2)</f>
        <v>0</v>
      </c>
    </row>
    <row r="8710" spans="1:7" ht="30.60" thickBot="1" customHeight="1">
      <c r="A8710" s="24" t="s">
        <v>27607</v>
      </c>
      <c r="B8710" s="24" t="s">
        <v>27608</v>
      </c>
      <c r="C8710" s="24" t="s">
        <v>27609</v>
      </c>
      <c r="D8710" s="25" t="s">
        <v>27610</v>
      </c>
      <c r="E8710" s="28">
        <v>0.05000</v>
      </c>
      <c r="F8710" s="29">
        <f ca="1">ROUND(4.920,3)</f>
        <v>0</v>
      </c>
      <c r="G8710" s="27">
        <f ca="1">ROUND(E8710*F8710,2)</f>
        <v>0</v>
      </c>
    </row>
    <row r="8711" spans="1:7" ht="21.36" thickBot="1" customHeight="1">
      <c r="A8711" s="24" t="s">
        <v>27611</v>
      </c>
      <c r="B8711" s="24" t="s">
        <v>27612</v>
      </c>
      <c r="C8711" s="24" t="s">
        <v>27613</v>
      </c>
      <c r="D8711" s="25" t="s">
        <v>27614</v>
      </c>
      <c r="E8711" s="28">
        <v>0.80000</v>
      </c>
      <c r="F8711" s="29">
        <f ca="1">F8715</f>
        <v>0</v>
      </c>
      <c r="G8711" s="27">
        <f ca="1">ROUND(E8711*F8711,2)</f>
        <v>0</v>
      </c>
    </row>
    <row r="8712" spans="1:7" ht="24.36" thickBot="1" customHeight="1">
      <c r="A8712" s="24" t="s">
        <v>27615</v>
      </c>
      <c r="B8712" s="24" t="s">
        <v>27616</v>
      </c>
      <c r="C8712" s="24" t="s">
        <v>27617</v>
      </c>
      <c r="D8712" s="25" t="s">
        <v>27618</v>
      </c>
      <c r="E8712" s="28">
        <v>1.00000</v>
      </c>
      <c r="F8712" s="29">
        <f ca="1">ROUND(21.000,3)</f>
        <v>0</v>
      </c>
      <c r="G8712" s="27">
        <f ca="1">ROUND(E8712*F8712,2)</f>
        <v>0</v>
      </c>
    </row>
    <row r="8713" spans="1:7" ht="24.36" thickBot="1" customHeight="1">
      <c r="A8713" s="24" t="s">
        <v>27619</v>
      </c>
      <c r="B8713" s="24" t="s">
        <v>27620</v>
      </c>
      <c r="C8713" s="24" t="s">
        <v>27621</v>
      </c>
      <c r="D8713" s="25" t="s">
        <v>27622</v>
      </c>
      <c r="E8713" s="28">
        <v>1.00000</v>
      </c>
      <c r="F8713" s="29">
        <f ca="1">ROUND(19.000,3)</f>
        <v>0</v>
      </c>
      <c r="G8713" s="27">
        <f ca="1">ROUND(E8713*F8713,2)</f>
        <v>0</v>
      </c>
    </row>
    <row r="8714" spans="1:7" ht="24.36" thickBot="1" customHeight="1">
      <c r="A8714" s="24" t="s">
        <v>27623</v>
      </c>
      <c r="B8714" s="24" t="s">
        <v>27624</v>
      </c>
      <c r="C8714" s="24" t="s">
        <v>27625</v>
      </c>
      <c r="D8714" s="25" t="s">
        <v>27626</v>
      </c>
      <c r="E8714" s="28">
        <v>0.20000</v>
      </c>
      <c r="F8714" s="29">
        <f ca="1">ROUND(19.000,3)</f>
        <v>0</v>
      </c>
      <c r="G8714" s="27">
        <f ca="1">ROUND(E8714*F8714,2)</f>
        <v>0</v>
      </c>
    </row>
    <row r="8715" spans="1:7" ht="15.12" thickBot="1" customHeight="1">
      <c r="A8715" s="26"/>
      <c r="B8715" s="26"/>
      <c r="C8715" s="26"/>
      <c r="D8715" s="24" t="s">
        <v>27627</v>
      </c>
      <c r="E8715" s="28">
        <v>0.80000</v>
      </c>
      <c r="F8715" s="29">
        <f ca="1">ROUND((G8712+G8713+G8714),3)</f>
        <v>0</v>
      </c>
      <c r="G8715" s="27">
        <f ca="1">ROUND(E8715*F8715,2)</f>
        <v>0</v>
      </c>
    </row>
    <row r="8716" spans="1:7" ht="15.12" thickBot="1" customHeight="1">
      <c r="A8716" s="24" t="s">
        <v>27628</v>
      </c>
      <c r="B8716" s="24"/>
      <c r="C8716" s="24" t="s">
        <v>27629</v>
      </c>
      <c r="D8716" s="25" t="s">
        <v>27630</v>
      </c>
      <c r="E8716" s="28">
        <v>5.00000</v>
      </c>
      <c r="F8716" s="29">
        <f ca="1">ROUND(35.040,3)</f>
        <v>0</v>
      </c>
      <c r="G8716" s="27">
        <f ca="1">ROUND((E8716*F8716)/100,2)</f>
        <v>0</v>
      </c>
    </row>
    <row r="8717" spans="1:7" ht="15.48" thickBot="1" customHeight="1">
      <c r="A8717" s="30"/>
      <c r="B8717" s="30"/>
      <c r="C8717" s="30"/>
      <c r="D8717" s="31" t="s">
        <v>27631</v>
      </c>
      <c r="E8717" s="30"/>
      <c r="F8717" s="33">
        <f ca="1">ROUND((G8696+G8697+G8698+G8699+G8700+G8701+G8702+G8703+G8704+G8705+G8706+G8707+G8708+G8709+G8710+G8711+G8716)*(1+G2/100),2)</f>
        <v>0</v>
      </c>
      <c r="G8717" s="30"/>
    </row>
    <row r="8718" spans="1:7" ht="49.08" thickBot="1" customHeight="1">
      <c r="A8718" s="34" t="s">
        <v>27632</v>
      </c>
      <c r="B8718" s="35" t="s">
        <v>27633</v>
      </c>
      <c r="C8718" s="35" t="s">
        <v>27634</v>
      </c>
      <c r="D8718" s="36" t="s">
        <v>27635</v>
      </c>
      <c r="E8718" s="37"/>
      <c r="F8718" s="38">
        <f ca="1">F8739</f>
        <v>0</v>
      </c>
      <c r="G8718" s="37"/>
    </row>
    <row r="8719" spans="1:7" ht="21.36" thickBot="1" customHeight="1">
      <c r="A8719" s="26"/>
      <c r="B8719" s="26"/>
      <c r="C8719" s="26"/>
      <c r="D8719" s="25" t="s">
        <v>27636</v>
      </c>
      <c r="E8719" s="25"/>
      <c r="F8719" s="25"/>
      <c r="G8719" s="25"/>
    </row>
    <row r="8720" spans="1:7" ht="39.84" thickBot="1" customHeight="1">
      <c r="A8720" s="24" t="s">
        <v>27637</v>
      </c>
      <c r="B8720" s="24" t="s">
        <v>27638</v>
      </c>
      <c r="C8720" s="24" t="s">
        <v>27639</v>
      </c>
      <c r="D8720" s="25" t="s">
        <v>27640</v>
      </c>
      <c r="E8720" s="28">
        <v>1.05000</v>
      </c>
      <c r="F8720" s="29">
        <f ca="1">ROUND(15.000,3)</f>
        <v>0</v>
      </c>
      <c r="G8720" s="27">
        <f ca="1">ROUND(E8720*F8720,2)</f>
        <v>0</v>
      </c>
    </row>
    <row r="8721" spans="1:7" ht="39.84" thickBot="1" customHeight="1">
      <c r="A8721" s="24" t="s">
        <v>27641</v>
      </c>
      <c r="B8721" s="24" t="s">
        <v>27642</v>
      </c>
      <c r="C8721" s="24" t="s">
        <v>27643</v>
      </c>
      <c r="D8721" s="25" t="s">
        <v>27644</v>
      </c>
      <c r="E8721" s="28">
        <v>0.71429</v>
      </c>
      <c r="F8721" s="29">
        <f ca="1">ROUND(5.000,3)</f>
        <v>0</v>
      </c>
      <c r="G8721" s="27">
        <f ca="1">ROUND(E8721*F8721,2)</f>
        <v>0</v>
      </c>
    </row>
    <row r="8722" spans="1:7" ht="39.84" thickBot="1" customHeight="1">
      <c r="A8722" s="24" t="s">
        <v>27645</v>
      </c>
      <c r="B8722" s="24" t="s">
        <v>27646</v>
      </c>
      <c r="C8722" s="24" t="s">
        <v>27647</v>
      </c>
      <c r="D8722" s="25" t="s">
        <v>27648</v>
      </c>
      <c r="E8722" s="28">
        <v>0.28571</v>
      </c>
      <c r="F8722" s="29">
        <f ca="1">ROUND(30.000,3)</f>
        <v>0</v>
      </c>
      <c r="G8722" s="27">
        <f ca="1">ROUND(E8722*F8722,2)</f>
        <v>0</v>
      </c>
    </row>
    <row r="8723" spans="1:7" ht="39.84" thickBot="1" customHeight="1">
      <c r="A8723" s="24" t="s">
        <v>27649</v>
      </c>
      <c r="B8723" s="24" t="s">
        <v>27650</v>
      </c>
      <c r="C8723" s="24" t="s">
        <v>27651</v>
      </c>
      <c r="D8723" s="25" t="s">
        <v>27652</v>
      </c>
      <c r="E8723" s="28">
        <v>0.28571</v>
      </c>
      <c r="F8723" s="29">
        <f ca="1">ROUND(18.000,3)</f>
        <v>0</v>
      </c>
      <c r="G8723" s="27">
        <f ca="1">ROUND(E8723*F8723,2)</f>
        <v>0</v>
      </c>
    </row>
    <row r="8724" spans="1:7" ht="39.84" thickBot="1" customHeight="1">
      <c r="A8724" s="24" t="s">
        <v>27653</v>
      </c>
      <c r="B8724" s="24" t="s">
        <v>27654</v>
      </c>
      <c r="C8724" s="24" t="s">
        <v>27655</v>
      </c>
      <c r="D8724" s="25" t="s">
        <v>27656</v>
      </c>
      <c r="E8724" s="28">
        <v>0.28571</v>
      </c>
      <c r="F8724" s="29">
        <f ca="1">ROUND(12.000,3)</f>
        <v>0</v>
      </c>
      <c r="G8724" s="27">
        <f ca="1">ROUND(E8724*F8724,2)</f>
        <v>0</v>
      </c>
    </row>
    <row r="8725" spans="1:7" ht="30.60" thickBot="1" customHeight="1">
      <c r="A8725" s="24" t="s">
        <v>27657</v>
      </c>
      <c r="B8725" s="24" t="s">
        <v>27658</v>
      </c>
      <c r="C8725" s="24" t="s">
        <v>27659</v>
      </c>
      <c r="D8725" s="25" t="s">
        <v>27660</v>
      </c>
      <c r="E8725" s="28">
        <v>0.12500</v>
      </c>
      <c r="F8725" s="29">
        <f ca="1">ROUND(7.930,3)</f>
        <v>0</v>
      </c>
      <c r="G8725" s="27">
        <f ca="1">ROUND(E8725*F8725,2)</f>
        <v>0</v>
      </c>
    </row>
    <row r="8726" spans="1:7" ht="30.60" thickBot="1" customHeight="1">
      <c r="A8726" s="24" t="s">
        <v>27661</v>
      </c>
      <c r="B8726" s="24" t="s">
        <v>27662</v>
      </c>
      <c r="C8726" s="24" t="s">
        <v>27663</v>
      </c>
      <c r="D8726" s="25" t="s">
        <v>27664</v>
      </c>
      <c r="E8726" s="28">
        <v>0.05000</v>
      </c>
      <c r="F8726" s="29">
        <f ca="1">ROUND(6.140,3)</f>
        <v>0</v>
      </c>
      <c r="G8726" s="27">
        <f ca="1">ROUND(E8726*F8726,2)</f>
        <v>0</v>
      </c>
    </row>
    <row r="8727" spans="1:7" ht="39.84" thickBot="1" customHeight="1">
      <c r="A8727" s="24" t="s">
        <v>27665</v>
      </c>
      <c r="B8727" s="24" t="s">
        <v>27666</v>
      </c>
      <c r="C8727" s="24" t="s">
        <v>27667</v>
      </c>
      <c r="D8727" s="25" t="s">
        <v>27668</v>
      </c>
      <c r="E8727" s="28">
        <v>0.16896</v>
      </c>
      <c r="F8727" s="29">
        <f ca="1">ROUND(7.370,3)</f>
        <v>0</v>
      </c>
      <c r="G8727" s="27">
        <f ca="1">ROUND(E8727*F8727,2)</f>
        <v>0</v>
      </c>
    </row>
    <row r="8728" spans="1:7" ht="30.60" thickBot="1" customHeight="1">
      <c r="A8728" s="24" t="s">
        <v>27669</v>
      </c>
      <c r="B8728" s="24" t="s">
        <v>27670</v>
      </c>
      <c r="C8728" s="24" t="s">
        <v>27671</v>
      </c>
      <c r="D8728" s="25" t="s">
        <v>27672</v>
      </c>
      <c r="E8728" s="28">
        <v>1.00000</v>
      </c>
      <c r="F8728" s="29">
        <f ca="1">ROUND(1.730,3)</f>
        <v>0</v>
      </c>
      <c r="G8728" s="27">
        <f ca="1">ROUND(E8728*F8728,2)</f>
        <v>0</v>
      </c>
    </row>
    <row r="8729" spans="1:7" ht="39.84" thickBot="1" customHeight="1">
      <c r="A8729" s="24" t="s">
        <v>27673</v>
      </c>
      <c r="B8729" s="24" t="s">
        <v>27674</v>
      </c>
      <c r="C8729" s="24" t="s">
        <v>27675</v>
      </c>
      <c r="D8729" s="25" t="s">
        <v>27676</v>
      </c>
      <c r="E8729" s="28">
        <v>0.02860</v>
      </c>
      <c r="F8729" s="29">
        <f ca="1">ROUND(29.000,3)</f>
        <v>0</v>
      </c>
      <c r="G8729" s="27">
        <f ca="1">ROUND(E8729*F8729,2)</f>
        <v>0</v>
      </c>
    </row>
    <row r="8730" spans="1:7" ht="30.60" thickBot="1" customHeight="1">
      <c r="A8730" s="24" t="s">
        <v>27677</v>
      </c>
      <c r="B8730" s="24" t="s">
        <v>27678</v>
      </c>
      <c r="C8730" s="24" t="s">
        <v>27679</v>
      </c>
      <c r="D8730" s="25" t="s">
        <v>27680</v>
      </c>
      <c r="E8730" s="28">
        <v>0.02860</v>
      </c>
      <c r="F8730" s="29">
        <f ca="1">ROUND(4.920,3)</f>
        <v>0</v>
      </c>
      <c r="G8730" s="27">
        <f ca="1">ROUND(E8730*F8730,2)</f>
        <v>0</v>
      </c>
    </row>
    <row r="8731" spans="1:7" ht="21.36" thickBot="1" customHeight="1">
      <c r="A8731" s="24" t="s">
        <v>27681</v>
      </c>
      <c r="B8731" s="24" t="s">
        <v>27682</v>
      </c>
      <c r="C8731" s="24" t="s">
        <v>27683</v>
      </c>
      <c r="D8731" s="25" t="s">
        <v>27684</v>
      </c>
      <c r="E8731" s="28">
        <v>0.30000</v>
      </c>
      <c r="F8731" s="29">
        <f ca="1">ROUND(2.000,3)</f>
        <v>0</v>
      </c>
      <c r="G8731" s="27">
        <f ca="1">ROUND(E8731*F8731,2)</f>
        <v>0</v>
      </c>
    </row>
    <row r="8732" spans="1:7" ht="30.60" thickBot="1" customHeight="1">
      <c r="A8732" s="24" t="s">
        <v>27685</v>
      </c>
      <c r="B8732" s="24" t="s">
        <v>27686</v>
      </c>
      <c r="C8732" s="24" t="s">
        <v>27687</v>
      </c>
      <c r="D8732" s="25" t="s">
        <v>27688</v>
      </c>
      <c r="E8732" s="28">
        <v>0.05000</v>
      </c>
      <c r="F8732" s="29">
        <f ca="1">ROUND(4.920,3)</f>
        <v>0</v>
      </c>
      <c r="G8732" s="27">
        <f ca="1">ROUND(E8732*F8732,2)</f>
        <v>0</v>
      </c>
    </row>
    <row r="8733" spans="1:7" ht="21.36" thickBot="1" customHeight="1">
      <c r="A8733" s="24" t="s">
        <v>27689</v>
      </c>
      <c r="B8733" s="24" t="s">
        <v>27690</v>
      </c>
      <c r="C8733" s="24" t="s">
        <v>27691</v>
      </c>
      <c r="D8733" s="25" t="s">
        <v>27692</v>
      </c>
      <c r="E8733" s="28">
        <v>1.10000</v>
      </c>
      <c r="F8733" s="29">
        <f ca="1">F8737</f>
        <v>0</v>
      </c>
      <c r="G8733" s="27">
        <f ca="1">ROUND(E8733*F8733,2)</f>
        <v>0</v>
      </c>
    </row>
    <row r="8734" spans="1:7" ht="24.36" thickBot="1" customHeight="1">
      <c r="A8734" s="24" t="s">
        <v>27693</v>
      </c>
      <c r="B8734" s="24" t="s">
        <v>27694</v>
      </c>
      <c r="C8734" s="24" t="s">
        <v>27695</v>
      </c>
      <c r="D8734" s="25" t="s">
        <v>27696</v>
      </c>
      <c r="E8734" s="28">
        <v>1.00000</v>
      </c>
      <c r="F8734" s="29">
        <f ca="1">ROUND(21.000,3)</f>
        <v>0</v>
      </c>
      <c r="G8734" s="27">
        <f ca="1">ROUND(E8734*F8734,2)</f>
        <v>0</v>
      </c>
    </row>
    <row r="8735" spans="1:7" ht="24.36" thickBot="1" customHeight="1">
      <c r="A8735" s="24" t="s">
        <v>27697</v>
      </c>
      <c r="B8735" s="24" t="s">
        <v>27698</v>
      </c>
      <c r="C8735" s="24" t="s">
        <v>27699</v>
      </c>
      <c r="D8735" s="25" t="s">
        <v>27700</v>
      </c>
      <c r="E8735" s="28">
        <v>1.00000</v>
      </c>
      <c r="F8735" s="29">
        <f ca="1">ROUND(19.000,3)</f>
        <v>0</v>
      </c>
      <c r="G8735" s="27">
        <f ca="1">ROUND(E8735*F8735,2)</f>
        <v>0</v>
      </c>
    </row>
    <row r="8736" spans="1:7" ht="24.36" thickBot="1" customHeight="1">
      <c r="A8736" s="24" t="s">
        <v>27701</v>
      </c>
      <c r="B8736" s="24" t="s">
        <v>27702</v>
      </c>
      <c r="C8736" s="24" t="s">
        <v>27703</v>
      </c>
      <c r="D8736" s="25" t="s">
        <v>27704</v>
      </c>
      <c r="E8736" s="28">
        <v>0.20000</v>
      </c>
      <c r="F8736" s="29">
        <f ca="1">ROUND(19.000,3)</f>
        <v>0</v>
      </c>
      <c r="G8736" s="27">
        <f ca="1">ROUND(E8736*F8736,2)</f>
        <v>0</v>
      </c>
    </row>
    <row r="8737" spans="1:7" ht="15.12" thickBot="1" customHeight="1">
      <c r="A8737" s="26"/>
      <c r="B8737" s="26"/>
      <c r="C8737" s="26"/>
      <c r="D8737" s="24" t="s">
        <v>27705</v>
      </c>
      <c r="E8737" s="28">
        <v>1.10000</v>
      </c>
      <c r="F8737" s="29">
        <f ca="1">ROUND((G8734+G8735+G8736),3)</f>
        <v>0</v>
      </c>
      <c r="G8737" s="27">
        <f ca="1">ROUND(E8737*F8737,2)</f>
        <v>0</v>
      </c>
    </row>
    <row r="8738" spans="1:7" ht="15.12" thickBot="1" customHeight="1">
      <c r="A8738" s="24" t="s">
        <v>27706</v>
      </c>
      <c r="B8738" s="24"/>
      <c r="C8738" s="24" t="s">
        <v>27707</v>
      </c>
      <c r="D8738" s="25" t="s">
        <v>27708</v>
      </c>
      <c r="E8738" s="28">
        <v>5.00000</v>
      </c>
      <c r="F8738" s="29">
        <f ca="1">ROUND(48.180,3)</f>
        <v>0</v>
      </c>
      <c r="G8738" s="27">
        <f ca="1">ROUND((E8738*F8738)/100,2)</f>
        <v>0</v>
      </c>
    </row>
    <row r="8739" spans="1:7" ht="15.48" thickBot="1" customHeight="1">
      <c r="A8739" s="30"/>
      <c r="B8739" s="30"/>
      <c r="C8739" s="30"/>
      <c r="D8739" s="31" t="s">
        <v>27709</v>
      </c>
      <c r="E8739" s="30"/>
      <c r="F8739" s="33">
        <f ca="1">ROUND((G8720+G8721+G8722+G8723+G8724+G8725+G8726+G8727+G8728+G8729+G8730+G8731+G8732+G8733+G8738)*(1+G2/100),2)</f>
        <v>0</v>
      </c>
      <c r="G8739" s="30"/>
    </row>
    <row r="8740" spans="1:7" ht="49.08" thickBot="1" customHeight="1">
      <c r="A8740" s="34" t="s">
        <v>27710</v>
      </c>
      <c r="B8740" s="35" t="s">
        <v>27711</v>
      </c>
      <c r="C8740" s="35" t="s">
        <v>27712</v>
      </c>
      <c r="D8740" s="36" t="s">
        <v>27713</v>
      </c>
      <c r="E8740" s="37"/>
      <c r="F8740" s="38">
        <f ca="1">F8759</f>
        <v>0</v>
      </c>
      <c r="G8740" s="37"/>
    </row>
    <row r="8741" spans="1:7" ht="21.36" thickBot="1" customHeight="1">
      <c r="A8741" s="26"/>
      <c r="B8741" s="26"/>
      <c r="C8741" s="26"/>
      <c r="D8741" s="25" t="s">
        <v>27714</v>
      </c>
      <c r="E8741" s="25"/>
      <c r="F8741" s="25"/>
      <c r="G8741" s="25"/>
    </row>
    <row r="8742" spans="1:7" ht="39.84" thickBot="1" customHeight="1">
      <c r="A8742" s="24" t="s">
        <v>27715</v>
      </c>
      <c r="B8742" s="24" t="s">
        <v>27716</v>
      </c>
      <c r="C8742" s="24" t="s">
        <v>27717</v>
      </c>
      <c r="D8742" s="25" t="s">
        <v>27718</v>
      </c>
      <c r="E8742" s="28">
        <v>1.05000</v>
      </c>
      <c r="F8742" s="29">
        <f ca="1">ROUND(31.000,3)</f>
        <v>0</v>
      </c>
      <c r="G8742" s="27">
        <f ca="1">ROUND(E8742*F8742,2)</f>
        <v>0</v>
      </c>
    </row>
    <row r="8743" spans="1:7" ht="39.84" thickBot="1" customHeight="1">
      <c r="A8743" s="24" t="s">
        <v>27719</v>
      </c>
      <c r="B8743" s="24" t="s">
        <v>27720</v>
      </c>
      <c r="C8743" s="24" t="s">
        <v>27721</v>
      </c>
      <c r="D8743" s="25" t="s">
        <v>27722</v>
      </c>
      <c r="E8743" s="28">
        <v>0.71429</v>
      </c>
      <c r="F8743" s="29">
        <f ca="1">ROUND(6.000,3)</f>
        <v>0</v>
      </c>
      <c r="G8743" s="27">
        <f ca="1">ROUND(E8743*F8743,2)</f>
        <v>0</v>
      </c>
    </row>
    <row r="8744" spans="1:7" ht="39.84" thickBot="1" customHeight="1">
      <c r="A8744" s="24" t="s">
        <v>27723</v>
      </c>
      <c r="B8744" s="24" t="s">
        <v>27724</v>
      </c>
      <c r="C8744" s="24" t="s">
        <v>27725</v>
      </c>
      <c r="D8744" s="25" t="s">
        <v>27726</v>
      </c>
      <c r="E8744" s="28">
        <v>0.28571</v>
      </c>
      <c r="F8744" s="29">
        <f ca="1">ROUND(71.000,3)</f>
        <v>0</v>
      </c>
      <c r="G8744" s="27">
        <f ca="1">ROUND(E8744*F8744,2)</f>
        <v>0</v>
      </c>
    </row>
    <row r="8745" spans="1:7" ht="39.84" thickBot="1" customHeight="1">
      <c r="A8745" s="24" t="s">
        <v>27727</v>
      </c>
      <c r="B8745" s="24" t="s">
        <v>27728</v>
      </c>
      <c r="C8745" s="24" t="s">
        <v>27729</v>
      </c>
      <c r="D8745" s="25" t="s">
        <v>27730</v>
      </c>
      <c r="E8745" s="28">
        <v>0.28571</v>
      </c>
      <c r="F8745" s="29">
        <f ca="1">ROUND(23.000,3)</f>
        <v>0</v>
      </c>
      <c r="G8745" s="27">
        <f ca="1">ROUND(E8745*F8745,2)</f>
        <v>0</v>
      </c>
    </row>
    <row r="8746" spans="1:7" ht="39.84" thickBot="1" customHeight="1">
      <c r="A8746" s="24" t="s">
        <v>27731</v>
      </c>
      <c r="B8746" s="24" t="s">
        <v>27732</v>
      </c>
      <c r="C8746" s="24" t="s">
        <v>27733</v>
      </c>
      <c r="D8746" s="25" t="s">
        <v>27734</v>
      </c>
      <c r="E8746" s="28">
        <v>0.28571</v>
      </c>
      <c r="F8746" s="29">
        <f ca="1">ROUND(44.000,3)</f>
        <v>0</v>
      </c>
      <c r="G8746" s="27">
        <f ca="1">ROUND(E8746*F8746,2)</f>
        <v>0</v>
      </c>
    </row>
    <row r="8747" spans="1:7" ht="30.60" thickBot="1" customHeight="1">
      <c r="A8747" s="24" t="s">
        <v>27735</v>
      </c>
      <c r="B8747" s="24" t="s">
        <v>27736</v>
      </c>
      <c r="C8747" s="24" t="s">
        <v>27737</v>
      </c>
      <c r="D8747" s="25" t="s">
        <v>27738</v>
      </c>
      <c r="E8747" s="28">
        <v>0.12500</v>
      </c>
      <c r="F8747" s="29">
        <f ca="1">ROUND(7.930,3)</f>
        <v>0</v>
      </c>
      <c r="G8747" s="27">
        <f ca="1">ROUND(E8747*F8747,2)</f>
        <v>0</v>
      </c>
    </row>
    <row r="8748" spans="1:7" ht="30.60" thickBot="1" customHeight="1">
      <c r="A8748" s="24" t="s">
        <v>27739</v>
      </c>
      <c r="B8748" s="24" t="s">
        <v>27740</v>
      </c>
      <c r="C8748" s="24" t="s">
        <v>27741</v>
      </c>
      <c r="D8748" s="25" t="s">
        <v>27742</v>
      </c>
      <c r="E8748" s="28">
        <v>0.05000</v>
      </c>
      <c r="F8748" s="29">
        <f ca="1">ROUND(6.140,3)</f>
        <v>0</v>
      </c>
      <c r="G8748" s="27">
        <f ca="1">ROUND(E8748*F8748,2)</f>
        <v>0</v>
      </c>
    </row>
    <row r="8749" spans="1:7" ht="39.84" thickBot="1" customHeight="1">
      <c r="A8749" s="24" t="s">
        <v>27743</v>
      </c>
      <c r="B8749" s="24" t="s">
        <v>27744</v>
      </c>
      <c r="C8749" s="24" t="s">
        <v>27745</v>
      </c>
      <c r="D8749" s="25" t="s">
        <v>27746</v>
      </c>
      <c r="E8749" s="28">
        <v>0.16896</v>
      </c>
      <c r="F8749" s="29">
        <f ca="1">ROUND(7.370,3)</f>
        <v>0</v>
      </c>
      <c r="G8749" s="27">
        <f ca="1">ROUND(E8749*F8749,2)</f>
        <v>0</v>
      </c>
    </row>
    <row r="8750" spans="1:7" ht="39.84" thickBot="1" customHeight="1">
      <c r="A8750" s="24" t="s">
        <v>27747</v>
      </c>
      <c r="B8750" s="24" t="s">
        <v>27748</v>
      </c>
      <c r="C8750" s="24" t="s">
        <v>27749</v>
      </c>
      <c r="D8750" s="25" t="s">
        <v>27750</v>
      </c>
      <c r="E8750" s="28">
        <v>1.00000</v>
      </c>
      <c r="F8750" s="29">
        <f ca="1">ROUND(10.980,3)</f>
        <v>0</v>
      </c>
      <c r="G8750" s="27">
        <f ca="1">ROUND(E8750*F8750,2)</f>
        <v>0</v>
      </c>
    </row>
    <row r="8751" spans="1:7" ht="21.36" thickBot="1" customHeight="1">
      <c r="A8751" s="24" t="s">
        <v>27751</v>
      </c>
      <c r="B8751" s="24" t="s">
        <v>27752</v>
      </c>
      <c r="C8751" s="24" t="s">
        <v>27753</v>
      </c>
      <c r="D8751" s="25" t="s">
        <v>27754</v>
      </c>
      <c r="E8751" s="28">
        <v>0.30000</v>
      </c>
      <c r="F8751" s="29">
        <f ca="1">ROUND(2.000,3)</f>
        <v>0</v>
      </c>
      <c r="G8751" s="27">
        <f ca="1">ROUND(E8751*F8751,2)</f>
        <v>0</v>
      </c>
    </row>
    <row r="8752" spans="1:7" ht="30.60" thickBot="1" customHeight="1">
      <c r="A8752" s="24" t="s">
        <v>27755</v>
      </c>
      <c r="B8752" s="24" t="s">
        <v>27756</v>
      </c>
      <c r="C8752" s="24" t="s">
        <v>27757</v>
      </c>
      <c r="D8752" s="25" t="s">
        <v>27758</v>
      </c>
      <c r="E8752" s="28">
        <v>0.05000</v>
      </c>
      <c r="F8752" s="29">
        <f ca="1">ROUND(4.920,3)</f>
        <v>0</v>
      </c>
      <c r="G8752" s="27">
        <f ca="1">ROUND(E8752*F8752,2)</f>
        <v>0</v>
      </c>
    </row>
    <row r="8753" spans="1:7" ht="21.36" thickBot="1" customHeight="1">
      <c r="A8753" s="24" t="s">
        <v>27759</v>
      </c>
      <c r="B8753" s="24" t="s">
        <v>27760</v>
      </c>
      <c r="C8753" s="24" t="s">
        <v>27761</v>
      </c>
      <c r="D8753" s="25" t="s">
        <v>27762</v>
      </c>
      <c r="E8753" s="28">
        <v>1.10000</v>
      </c>
      <c r="F8753" s="29">
        <f ca="1">F8757</f>
        <v>0</v>
      </c>
      <c r="G8753" s="27">
        <f ca="1">ROUND(E8753*F8753,2)</f>
        <v>0</v>
      </c>
    </row>
    <row r="8754" spans="1:7" ht="24.36" thickBot="1" customHeight="1">
      <c r="A8754" s="24" t="s">
        <v>27763</v>
      </c>
      <c r="B8754" s="24" t="s">
        <v>27764</v>
      </c>
      <c r="C8754" s="24" t="s">
        <v>27765</v>
      </c>
      <c r="D8754" s="25" t="s">
        <v>27766</v>
      </c>
      <c r="E8754" s="28">
        <v>1.00000</v>
      </c>
      <c r="F8754" s="29">
        <f ca="1">ROUND(21.000,3)</f>
        <v>0</v>
      </c>
      <c r="G8754" s="27">
        <f ca="1">ROUND(E8754*F8754,2)</f>
        <v>0</v>
      </c>
    </row>
    <row r="8755" spans="1:7" ht="24.36" thickBot="1" customHeight="1">
      <c r="A8755" s="24" t="s">
        <v>27767</v>
      </c>
      <c r="B8755" s="24" t="s">
        <v>27768</v>
      </c>
      <c r="C8755" s="24" t="s">
        <v>27769</v>
      </c>
      <c r="D8755" s="25" t="s">
        <v>27770</v>
      </c>
      <c r="E8755" s="28">
        <v>1.00000</v>
      </c>
      <c r="F8755" s="29">
        <f ca="1">ROUND(19.000,3)</f>
        <v>0</v>
      </c>
      <c r="G8755" s="27">
        <f ca="1">ROUND(E8755*F8755,2)</f>
        <v>0</v>
      </c>
    </row>
    <row r="8756" spans="1:7" ht="24.36" thickBot="1" customHeight="1">
      <c r="A8756" s="24" t="s">
        <v>27771</v>
      </c>
      <c r="B8756" s="24" t="s">
        <v>27772</v>
      </c>
      <c r="C8756" s="24" t="s">
        <v>27773</v>
      </c>
      <c r="D8756" s="25" t="s">
        <v>27774</v>
      </c>
      <c r="E8756" s="28">
        <v>0.20000</v>
      </c>
      <c r="F8756" s="29">
        <f ca="1">ROUND(19.000,3)</f>
        <v>0</v>
      </c>
      <c r="G8756" s="27">
        <f ca="1">ROUND(E8756*F8756,2)</f>
        <v>0</v>
      </c>
    </row>
    <row r="8757" spans="1:7" ht="15.12" thickBot="1" customHeight="1">
      <c r="A8757" s="26"/>
      <c r="B8757" s="26"/>
      <c r="C8757" s="26"/>
      <c r="D8757" s="24" t="s">
        <v>27775</v>
      </c>
      <c r="E8757" s="28">
        <v>1.10000</v>
      </c>
      <c r="F8757" s="29">
        <f ca="1">ROUND((G8754+G8755+G8756),3)</f>
        <v>0</v>
      </c>
      <c r="G8757" s="27">
        <f ca="1">ROUND(E8757*F8757,2)</f>
        <v>0</v>
      </c>
    </row>
    <row r="8758" spans="1:7" ht="15.12" thickBot="1" customHeight="1">
      <c r="A8758" s="24" t="s">
        <v>27776</v>
      </c>
      <c r="B8758" s="24"/>
      <c r="C8758" s="24" t="s">
        <v>27777</v>
      </c>
      <c r="D8758" s="25" t="s">
        <v>27778</v>
      </c>
      <c r="E8758" s="28">
        <v>5.00000</v>
      </c>
      <c r="F8758" s="29">
        <f ca="1">ROUND(48.180,3)</f>
        <v>0</v>
      </c>
      <c r="G8758" s="27">
        <f ca="1">ROUND((E8758*F8758)/100,2)</f>
        <v>0</v>
      </c>
    </row>
    <row r="8759" spans="1:7" ht="15.48" thickBot="1" customHeight="1">
      <c r="A8759" s="30"/>
      <c r="B8759" s="30"/>
      <c r="C8759" s="30"/>
      <c r="D8759" s="31" t="s">
        <v>27779</v>
      </c>
      <c r="E8759" s="30"/>
      <c r="F8759" s="33">
        <f ca="1">ROUND((G8742+G8743+G8744+G8745+G8746+G8747+G8748+G8749+G8750+G8751+G8752+G8753+G8758)*(1+G2/100),2)</f>
        <v>0</v>
      </c>
      <c r="G8759" s="30"/>
    </row>
    <row r="8760" spans="1:7" ht="49.08" thickBot="1" customHeight="1">
      <c r="A8760" s="34" t="s">
        <v>27780</v>
      </c>
      <c r="B8760" s="35" t="s">
        <v>27781</v>
      </c>
      <c r="C8760" s="35" t="s">
        <v>27782</v>
      </c>
      <c r="D8760" s="36" t="s">
        <v>27783</v>
      </c>
      <c r="E8760" s="37"/>
      <c r="F8760" s="38">
        <f ca="1">F8779</f>
        <v>0</v>
      </c>
      <c r="G8760" s="37"/>
    </row>
    <row r="8761" spans="1:7" ht="21.36" thickBot="1" customHeight="1">
      <c r="A8761" s="26"/>
      <c r="B8761" s="26"/>
      <c r="C8761" s="26"/>
      <c r="D8761" s="25" t="s">
        <v>27784</v>
      </c>
      <c r="E8761" s="25"/>
      <c r="F8761" s="25"/>
      <c r="G8761" s="25"/>
    </row>
    <row r="8762" spans="1:7" ht="39.84" thickBot="1" customHeight="1">
      <c r="A8762" s="24" t="s">
        <v>27785</v>
      </c>
      <c r="B8762" s="24" t="s">
        <v>27786</v>
      </c>
      <c r="C8762" s="24" t="s">
        <v>27787</v>
      </c>
      <c r="D8762" s="25" t="s">
        <v>27788</v>
      </c>
      <c r="E8762" s="28">
        <v>1.05000</v>
      </c>
      <c r="F8762" s="29">
        <f ca="1">ROUND(31.000,3)</f>
        <v>0</v>
      </c>
      <c r="G8762" s="27">
        <f ca="1">ROUND(E8762*F8762,2)</f>
        <v>0</v>
      </c>
    </row>
    <row r="8763" spans="1:7" ht="39.84" thickBot="1" customHeight="1">
      <c r="A8763" s="24" t="s">
        <v>27789</v>
      </c>
      <c r="B8763" s="24" t="s">
        <v>27790</v>
      </c>
      <c r="C8763" s="24" t="s">
        <v>27791</v>
      </c>
      <c r="D8763" s="25" t="s">
        <v>27792</v>
      </c>
      <c r="E8763" s="28">
        <v>0.71429</v>
      </c>
      <c r="F8763" s="29">
        <f ca="1">ROUND(6.000,3)</f>
        <v>0</v>
      </c>
      <c r="G8763" s="27">
        <f ca="1">ROUND(E8763*F8763,2)</f>
        <v>0</v>
      </c>
    </row>
    <row r="8764" spans="1:7" ht="39.84" thickBot="1" customHeight="1">
      <c r="A8764" s="24" t="s">
        <v>27793</v>
      </c>
      <c r="B8764" s="24" t="s">
        <v>27794</v>
      </c>
      <c r="C8764" s="24" t="s">
        <v>27795</v>
      </c>
      <c r="D8764" s="25" t="s">
        <v>27796</v>
      </c>
      <c r="E8764" s="28">
        <v>0.28571</v>
      </c>
      <c r="F8764" s="29">
        <f ca="1">ROUND(71.000,3)</f>
        <v>0</v>
      </c>
      <c r="G8764" s="27">
        <f ca="1">ROUND(E8764*F8764,2)</f>
        <v>0</v>
      </c>
    </row>
    <row r="8765" spans="1:7" ht="39.84" thickBot="1" customHeight="1">
      <c r="A8765" s="24" t="s">
        <v>27797</v>
      </c>
      <c r="B8765" s="24" t="s">
        <v>27798</v>
      </c>
      <c r="C8765" s="24" t="s">
        <v>27799</v>
      </c>
      <c r="D8765" s="25" t="s">
        <v>27800</v>
      </c>
      <c r="E8765" s="28">
        <v>0.28571</v>
      </c>
      <c r="F8765" s="29">
        <f ca="1">ROUND(23.000,3)</f>
        <v>0</v>
      </c>
      <c r="G8765" s="27">
        <f ca="1">ROUND(E8765*F8765,2)</f>
        <v>0</v>
      </c>
    </row>
    <row r="8766" spans="1:7" ht="39.84" thickBot="1" customHeight="1">
      <c r="A8766" s="24" t="s">
        <v>27801</v>
      </c>
      <c r="B8766" s="24" t="s">
        <v>27802</v>
      </c>
      <c r="C8766" s="24" t="s">
        <v>27803</v>
      </c>
      <c r="D8766" s="25" t="s">
        <v>27804</v>
      </c>
      <c r="E8766" s="28">
        <v>0.28571</v>
      </c>
      <c r="F8766" s="29">
        <f ca="1">ROUND(44.000,3)</f>
        <v>0</v>
      </c>
      <c r="G8766" s="27">
        <f ca="1">ROUND(E8766*F8766,2)</f>
        <v>0</v>
      </c>
    </row>
    <row r="8767" spans="1:7" ht="30.60" thickBot="1" customHeight="1">
      <c r="A8767" s="24" t="s">
        <v>27805</v>
      </c>
      <c r="B8767" s="24" t="s">
        <v>27806</v>
      </c>
      <c r="C8767" s="24" t="s">
        <v>27807</v>
      </c>
      <c r="D8767" s="25" t="s">
        <v>27808</v>
      </c>
      <c r="E8767" s="28">
        <v>0.12500</v>
      </c>
      <c r="F8767" s="29">
        <f ca="1">ROUND(7.930,3)</f>
        <v>0</v>
      </c>
      <c r="G8767" s="27">
        <f ca="1">ROUND(E8767*F8767,2)</f>
        <v>0</v>
      </c>
    </row>
    <row r="8768" spans="1:7" ht="30.60" thickBot="1" customHeight="1">
      <c r="A8768" s="24" t="s">
        <v>27809</v>
      </c>
      <c r="B8768" s="24" t="s">
        <v>27810</v>
      </c>
      <c r="C8768" s="24" t="s">
        <v>27811</v>
      </c>
      <c r="D8768" s="25" t="s">
        <v>27812</v>
      </c>
      <c r="E8768" s="28">
        <v>0.05000</v>
      </c>
      <c r="F8768" s="29">
        <f ca="1">ROUND(6.140,3)</f>
        <v>0</v>
      </c>
      <c r="G8768" s="27">
        <f ca="1">ROUND(E8768*F8768,2)</f>
        <v>0</v>
      </c>
    </row>
    <row r="8769" spans="1:7" ht="39.84" thickBot="1" customHeight="1">
      <c r="A8769" s="24" t="s">
        <v>27813</v>
      </c>
      <c r="B8769" s="24" t="s">
        <v>27814</v>
      </c>
      <c r="C8769" s="24" t="s">
        <v>27815</v>
      </c>
      <c r="D8769" s="25" t="s">
        <v>27816</v>
      </c>
      <c r="E8769" s="28">
        <v>0.16896</v>
      </c>
      <c r="F8769" s="29">
        <f ca="1">ROUND(7.370,3)</f>
        <v>0</v>
      </c>
      <c r="G8769" s="27">
        <f ca="1">ROUND(E8769*F8769,2)</f>
        <v>0</v>
      </c>
    </row>
    <row r="8770" spans="1:7" ht="39.84" thickBot="1" customHeight="1">
      <c r="A8770" s="24" t="s">
        <v>27817</v>
      </c>
      <c r="B8770" s="24" t="s">
        <v>27818</v>
      </c>
      <c r="C8770" s="24" t="s">
        <v>27819</v>
      </c>
      <c r="D8770" s="25" t="s">
        <v>27820</v>
      </c>
      <c r="E8770" s="28">
        <v>1.00000</v>
      </c>
      <c r="F8770" s="29">
        <f ca="1">ROUND(10.980,3)</f>
        <v>0</v>
      </c>
      <c r="G8770" s="27">
        <f ca="1">ROUND(E8770*F8770,2)</f>
        <v>0</v>
      </c>
    </row>
    <row r="8771" spans="1:7" ht="21.36" thickBot="1" customHeight="1">
      <c r="A8771" s="24" t="s">
        <v>27821</v>
      </c>
      <c r="B8771" s="24" t="s">
        <v>27822</v>
      </c>
      <c r="C8771" s="24" t="s">
        <v>27823</v>
      </c>
      <c r="D8771" s="25" t="s">
        <v>27824</v>
      </c>
      <c r="E8771" s="28">
        <v>0.30000</v>
      </c>
      <c r="F8771" s="29">
        <f ca="1">ROUND(2.000,3)</f>
        <v>0</v>
      </c>
      <c r="G8771" s="27">
        <f ca="1">ROUND(E8771*F8771,2)</f>
        <v>0</v>
      </c>
    </row>
    <row r="8772" spans="1:7" ht="30.60" thickBot="1" customHeight="1">
      <c r="A8772" s="24" t="s">
        <v>27825</v>
      </c>
      <c r="B8772" s="24" t="s">
        <v>27826</v>
      </c>
      <c r="C8772" s="24" t="s">
        <v>27827</v>
      </c>
      <c r="D8772" s="25" t="s">
        <v>27828</v>
      </c>
      <c r="E8772" s="28">
        <v>0.05000</v>
      </c>
      <c r="F8772" s="29">
        <f ca="1">ROUND(4.920,3)</f>
        <v>0</v>
      </c>
      <c r="G8772" s="27">
        <f ca="1">ROUND(E8772*F8772,2)</f>
        <v>0</v>
      </c>
    </row>
    <row r="8773" spans="1:7" ht="21.36" thickBot="1" customHeight="1">
      <c r="A8773" s="24" t="s">
        <v>27829</v>
      </c>
      <c r="B8773" s="24" t="s">
        <v>27830</v>
      </c>
      <c r="C8773" s="24" t="s">
        <v>27831</v>
      </c>
      <c r="D8773" s="25" t="s">
        <v>27832</v>
      </c>
      <c r="E8773" s="28">
        <v>1.40000</v>
      </c>
      <c r="F8773" s="29">
        <f ca="1">F8777</f>
        <v>0</v>
      </c>
      <c r="G8773" s="27">
        <f ca="1">ROUND(E8773*F8773,2)</f>
        <v>0</v>
      </c>
    </row>
    <row r="8774" spans="1:7" ht="24.36" thickBot="1" customHeight="1">
      <c r="A8774" s="24" t="s">
        <v>27833</v>
      </c>
      <c r="B8774" s="24" t="s">
        <v>27834</v>
      </c>
      <c r="C8774" s="24" t="s">
        <v>27835</v>
      </c>
      <c r="D8774" s="25" t="s">
        <v>27836</v>
      </c>
      <c r="E8774" s="28">
        <v>1.00000</v>
      </c>
      <c r="F8774" s="29">
        <f ca="1">ROUND(21.000,3)</f>
        <v>0</v>
      </c>
      <c r="G8774" s="27">
        <f ca="1">ROUND(E8774*F8774,2)</f>
        <v>0</v>
      </c>
    </row>
    <row r="8775" spans="1:7" ht="24.36" thickBot="1" customHeight="1">
      <c r="A8775" s="24" t="s">
        <v>27837</v>
      </c>
      <c r="B8775" s="24" t="s">
        <v>27838</v>
      </c>
      <c r="C8775" s="24" t="s">
        <v>27839</v>
      </c>
      <c r="D8775" s="25" t="s">
        <v>27840</v>
      </c>
      <c r="E8775" s="28">
        <v>1.00000</v>
      </c>
      <c r="F8775" s="29">
        <f ca="1">ROUND(19.000,3)</f>
        <v>0</v>
      </c>
      <c r="G8775" s="27">
        <f ca="1">ROUND(E8775*F8775,2)</f>
        <v>0</v>
      </c>
    </row>
    <row r="8776" spans="1:7" ht="24.36" thickBot="1" customHeight="1">
      <c r="A8776" s="24" t="s">
        <v>27841</v>
      </c>
      <c r="B8776" s="24" t="s">
        <v>27842</v>
      </c>
      <c r="C8776" s="24" t="s">
        <v>27843</v>
      </c>
      <c r="D8776" s="25" t="s">
        <v>27844</v>
      </c>
      <c r="E8776" s="28">
        <v>0.20000</v>
      </c>
      <c r="F8776" s="29">
        <f ca="1">ROUND(19.000,3)</f>
        <v>0</v>
      </c>
      <c r="G8776" s="27">
        <f ca="1">ROUND(E8776*F8776,2)</f>
        <v>0</v>
      </c>
    </row>
    <row r="8777" spans="1:7" ht="15.12" thickBot="1" customHeight="1">
      <c r="A8777" s="26"/>
      <c r="B8777" s="26"/>
      <c r="C8777" s="26"/>
      <c r="D8777" s="24" t="s">
        <v>27845</v>
      </c>
      <c r="E8777" s="28">
        <v>1.40000</v>
      </c>
      <c r="F8777" s="29">
        <f ca="1">ROUND((G8774+G8775+G8776),3)</f>
        <v>0</v>
      </c>
      <c r="G8777" s="27">
        <f ca="1">ROUND(E8777*F8777,2)</f>
        <v>0</v>
      </c>
    </row>
    <row r="8778" spans="1:7" ht="15.12" thickBot="1" customHeight="1">
      <c r="A8778" s="24" t="s">
        <v>27846</v>
      </c>
      <c r="B8778" s="24"/>
      <c r="C8778" s="24" t="s">
        <v>27847</v>
      </c>
      <c r="D8778" s="25" t="s">
        <v>27848</v>
      </c>
      <c r="E8778" s="28">
        <v>5.00000</v>
      </c>
      <c r="F8778" s="29">
        <f ca="1">ROUND(61.320,3)</f>
        <v>0</v>
      </c>
      <c r="G8778" s="27">
        <f ca="1">ROUND((E8778*F8778)/100,2)</f>
        <v>0</v>
      </c>
    </row>
    <row r="8779" spans="1:7" ht="15.48" thickBot="1" customHeight="1">
      <c r="A8779" s="30"/>
      <c r="B8779" s="30"/>
      <c r="C8779" s="30"/>
      <c r="D8779" s="31" t="s">
        <v>27849</v>
      </c>
      <c r="E8779" s="30"/>
      <c r="F8779" s="33">
        <f ca="1">ROUND((G8762+G8763+G8764+G8765+G8766+G8767+G8768+G8769+G8770+G8771+G8772+G8773+G8778)*(1+G2/100),2)</f>
        <v>0</v>
      </c>
      <c r="G8779" s="30"/>
    </row>
    <row r="8780" spans="1:7" ht="49.08" thickBot="1" customHeight="1">
      <c r="A8780" s="34" t="s">
        <v>27850</v>
      </c>
      <c r="B8780" s="35" t="s">
        <v>27851</v>
      </c>
      <c r="C8780" s="35" t="s">
        <v>27852</v>
      </c>
      <c r="D8780" s="36" t="s">
        <v>27853</v>
      </c>
      <c r="E8780" s="37"/>
      <c r="F8780" s="38">
        <f ca="1">F8801</f>
        <v>0</v>
      </c>
      <c r="G8780" s="37"/>
    </row>
    <row r="8781" spans="1:7" ht="21.36" thickBot="1" customHeight="1">
      <c r="A8781" s="26"/>
      <c r="B8781" s="26"/>
      <c r="C8781" s="26"/>
      <c r="D8781" s="25" t="s">
        <v>27854</v>
      </c>
      <c r="E8781" s="25"/>
      <c r="F8781" s="25"/>
      <c r="G8781" s="25"/>
    </row>
    <row r="8782" spans="1:7" ht="39.84" thickBot="1" customHeight="1">
      <c r="A8782" s="24" t="s">
        <v>27855</v>
      </c>
      <c r="B8782" s="24" t="s">
        <v>27856</v>
      </c>
      <c r="C8782" s="24" t="s">
        <v>27857</v>
      </c>
      <c r="D8782" s="25" t="s">
        <v>27858</v>
      </c>
      <c r="E8782" s="28">
        <v>1.05000</v>
      </c>
      <c r="F8782" s="29">
        <f ca="1">ROUND(15.000,3)</f>
        <v>0</v>
      </c>
      <c r="G8782" s="27">
        <f ca="1">ROUND(E8782*F8782,2)</f>
        <v>0</v>
      </c>
    </row>
    <row r="8783" spans="1:7" ht="39.84" thickBot="1" customHeight="1">
      <c r="A8783" s="24" t="s">
        <v>27859</v>
      </c>
      <c r="B8783" s="24" t="s">
        <v>27860</v>
      </c>
      <c r="C8783" s="24" t="s">
        <v>27861</v>
      </c>
      <c r="D8783" s="25" t="s">
        <v>27862</v>
      </c>
      <c r="E8783" s="28">
        <v>0.71429</v>
      </c>
      <c r="F8783" s="29">
        <f ca="1">ROUND(5.000,3)</f>
        <v>0</v>
      </c>
      <c r="G8783" s="27">
        <f ca="1">ROUND(E8783*F8783,2)</f>
        <v>0</v>
      </c>
    </row>
    <row r="8784" spans="1:7" ht="39.84" thickBot="1" customHeight="1">
      <c r="A8784" s="24" t="s">
        <v>27863</v>
      </c>
      <c r="B8784" s="24" t="s">
        <v>27864</v>
      </c>
      <c r="C8784" s="24" t="s">
        <v>27865</v>
      </c>
      <c r="D8784" s="25" t="s">
        <v>27866</v>
      </c>
      <c r="E8784" s="28">
        <v>0.28571</v>
      </c>
      <c r="F8784" s="29">
        <f ca="1">ROUND(30.000,3)</f>
        <v>0</v>
      </c>
      <c r="G8784" s="27">
        <f ca="1">ROUND(E8784*F8784,2)</f>
        <v>0</v>
      </c>
    </row>
    <row r="8785" spans="1:7" ht="39.84" thickBot="1" customHeight="1">
      <c r="A8785" s="24" t="s">
        <v>27867</v>
      </c>
      <c r="B8785" s="24" t="s">
        <v>27868</v>
      </c>
      <c r="C8785" s="24" t="s">
        <v>27869</v>
      </c>
      <c r="D8785" s="25" t="s">
        <v>27870</v>
      </c>
      <c r="E8785" s="28">
        <v>0.28571</v>
      </c>
      <c r="F8785" s="29">
        <f ca="1">ROUND(18.000,3)</f>
        <v>0</v>
      </c>
      <c r="G8785" s="27">
        <f ca="1">ROUND(E8785*F8785,2)</f>
        <v>0</v>
      </c>
    </row>
    <row r="8786" spans="1:7" ht="39.84" thickBot="1" customHeight="1">
      <c r="A8786" s="24" t="s">
        <v>27871</v>
      </c>
      <c r="B8786" s="24" t="s">
        <v>27872</v>
      </c>
      <c r="C8786" s="24" t="s">
        <v>27873</v>
      </c>
      <c r="D8786" s="25" t="s">
        <v>27874</v>
      </c>
      <c r="E8786" s="28">
        <v>0.28571</v>
      </c>
      <c r="F8786" s="29">
        <f ca="1">ROUND(12.000,3)</f>
        <v>0</v>
      </c>
      <c r="G8786" s="27">
        <f ca="1">ROUND(E8786*F8786,2)</f>
        <v>0</v>
      </c>
    </row>
    <row r="8787" spans="1:7" ht="30.60" thickBot="1" customHeight="1">
      <c r="A8787" s="24" t="s">
        <v>27875</v>
      </c>
      <c r="B8787" s="24" t="s">
        <v>27876</v>
      </c>
      <c r="C8787" s="24" t="s">
        <v>27877</v>
      </c>
      <c r="D8787" s="25" t="s">
        <v>27878</v>
      </c>
      <c r="E8787" s="28">
        <v>0.12500</v>
      </c>
      <c r="F8787" s="29">
        <f ca="1">ROUND(7.930,3)</f>
        <v>0</v>
      </c>
      <c r="G8787" s="27">
        <f ca="1">ROUND(E8787*F8787,2)</f>
        <v>0</v>
      </c>
    </row>
    <row r="8788" spans="1:7" ht="30.60" thickBot="1" customHeight="1">
      <c r="A8788" s="24" t="s">
        <v>27879</v>
      </c>
      <c r="B8788" s="24" t="s">
        <v>27880</v>
      </c>
      <c r="C8788" s="24" t="s">
        <v>27881</v>
      </c>
      <c r="D8788" s="25" t="s">
        <v>27882</v>
      </c>
      <c r="E8788" s="28">
        <v>0.05000</v>
      </c>
      <c r="F8788" s="29">
        <f ca="1">ROUND(6.140,3)</f>
        <v>0</v>
      </c>
      <c r="G8788" s="27">
        <f ca="1">ROUND(E8788*F8788,2)</f>
        <v>0</v>
      </c>
    </row>
    <row r="8789" spans="1:7" ht="39.84" thickBot="1" customHeight="1">
      <c r="A8789" s="24" t="s">
        <v>27883</v>
      </c>
      <c r="B8789" s="24" t="s">
        <v>27884</v>
      </c>
      <c r="C8789" s="24" t="s">
        <v>27885</v>
      </c>
      <c r="D8789" s="25" t="s">
        <v>27886</v>
      </c>
      <c r="E8789" s="28">
        <v>0.16896</v>
      </c>
      <c r="F8789" s="29">
        <f ca="1">ROUND(7.370,3)</f>
        <v>0</v>
      </c>
      <c r="G8789" s="27">
        <f ca="1">ROUND(E8789*F8789,2)</f>
        <v>0</v>
      </c>
    </row>
    <row r="8790" spans="1:7" ht="30.60" thickBot="1" customHeight="1">
      <c r="A8790" s="24" t="s">
        <v>27887</v>
      </c>
      <c r="B8790" s="24" t="s">
        <v>27888</v>
      </c>
      <c r="C8790" s="24" t="s">
        <v>27889</v>
      </c>
      <c r="D8790" s="25" t="s">
        <v>27890</v>
      </c>
      <c r="E8790" s="28">
        <v>1.00000</v>
      </c>
      <c r="F8790" s="29">
        <f ca="1">ROUND(1.730,3)</f>
        <v>0</v>
      </c>
      <c r="G8790" s="27">
        <f ca="1">ROUND(E8790*F8790,2)</f>
        <v>0</v>
      </c>
    </row>
    <row r="8791" spans="1:7" ht="39.84" thickBot="1" customHeight="1">
      <c r="A8791" s="24" t="s">
        <v>27891</v>
      </c>
      <c r="B8791" s="24" t="s">
        <v>27892</v>
      </c>
      <c r="C8791" s="24" t="s">
        <v>27893</v>
      </c>
      <c r="D8791" s="25" t="s">
        <v>27894</v>
      </c>
      <c r="E8791" s="28">
        <v>0.02860</v>
      </c>
      <c r="F8791" s="29">
        <f ca="1">ROUND(29.000,3)</f>
        <v>0</v>
      </c>
      <c r="G8791" s="27">
        <f ca="1">ROUND(E8791*F8791,2)</f>
        <v>0</v>
      </c>
    </row>
    <row r="8792" spans="1:7" ht="30.60" thickBot="1" customHeight="1">
      <c r="A8792" s="24" t="s">
        <v>27895</v>
      </c>
      <c r="B8792" s="24" t="s">
        <v>27896</v>
      </c>
      <c r="C8792" s="24" t="s">
        <v>27897</v>
      </c>
      <c r="D8792" s="25" t="s">
        <v>27898</v>
      </c>
      <c r="E8792" s="28">
        <v>0.02860</v>
      </c>
      <c r="F8792" s="29">
        <f ca="1">ROUND(4.920,3)</f>
        <v>0</v>
      </c>
      <c r="G8792" s="27">
        <f ca="1">ROUND(E8792*F8792,2)</f>
        <v>0</v>
      </c>
    </row>
    <row r="8793" spans="1:7" ht="21.36" thickBot="1" customHeight="1">
      <c r="A8793" s="24" t="s">
        <v>27899</v>
      </c>
      <c r="B8793" s="24" t="s">
        <v>27900</v>
      </c>
      <c r="C8793" s="24" t="s">
        <v>27901</v>
      </c>
      <c r="D8793" s="25" t="s">
        <v>27902</v>
      </c>
      <c r="E8793" s="28">
        <v>0.30000</v>
      </c>
      <c r="F8793" s="29">
        <f ca="1">ROUND(2.000,3)</f>
        <v>0</v>
      </c>
      <c r="G8793" s="27">
        <f ca="1">ROUND(E8793*F8793,2)</f>
        <v>0</v>
      </c>
    </row>
    <row r="8794" spans="1:7" ht="30.60" thickBot="1" customHeight="1">
      <c r="A8794" s="24" t="s">
        <v>27903</v>
      </c>
      <c r="B8794" s="24" t="s">
        <v>27904</v>
      </c>
      <c r="C8794" s="24" t="s">
        <v>27905</v>
      </c>
      <c r="D8794" s="25" t="s">
        <v>27906</v>
      </c>
      <c r="E8794" s="28">
        <v>0.05000</v>
      </c>
      <c r="F8794" s="29">
        <f ca="1">ROUND(4.920,3)</f>
        <v>0</v>
      </c>
      <c r="G8794" s="27">
        <f ca="1">ROUND(E8794*F8794,2)</f>
        <v>0</v>
      </c>
    </row>
    <row r="8795" spans="1:7" ht="21.36" thickBot="1" customHeight="1">
      <c r="A8795" s="24" t="s">
        <v>27907</v>
      </c>
      <c r="B8795" s="24" t="s">
        <v>27908</v>
      </c>
      <c r="C8795" s="24" t="s">
        <v>27909</v>
      </c>
      <c r="D8795" s="25" t="s">
        <v>27910</v>
      </c>
      <c r="E8795" s="28">
        <v>0.80000</v>
      </c>
      <c r="F8795" s="29">
        <f ca="1">F8799</f>
        <v>0</v>
      </c>
      <c r="G8795" s="27">
        <f ca="1">ROUND(E8795*F8795,2)</f>
        <v>0</v>
      </c>
    </row>
    <row r="8796" spans="1:7" ht="24.36" thickBot="1" customHeight="1">
      <c r="A8796" s="24" t="s">
        <v>27911</v>
      </c>
      <c r="B8796" s="24" t="s">
        <v>27912</v>
      </c>
      <c r="C8796" s="24" t="s">
        <v>27913</v>
      </c>
      <c r="D8796" s="25" t="s">
        <v>27914</v>
      </c>
      <c r="E8796" s="28">
        <v>1.00000</v>
      </c>
      <c r="F8796" s="29">
        <f ca="1">ROUND(21.000,3)</f>
        <v>0</v>
      </c>
      <c r="G8796" s="27">
        <f ca="1">ROUND(E8796*F8796,2)</f>
        <v>0</v>
      </c>
    </row>
    <row r="8797" spans="1:7" ht="24.36" thickBot="1" customHeight="1">
      <c r="A8797" s="24" t="s">
        <v>27915</v>
      </c>
      <c r="B8797" s="24" t="s">
        <v>27916</v>
      </c>
      <c r="C8797" s="24" t="s">
        <v>27917</v>
      </c>
      <c r="D8797" s="25" t="s">
        <v>27918</v>
      </c>
      <c r="E8797" s="28">
        <v>1.00000</v>
      </c>
      <c r="F8797" s="29">
        <f ca="1">ROUND(19.000,3)</f>
        <v>0</v>
      </c>
      <c r="G8797" s="27">
        <f ca="1">ROUND(E8797*F8797,2)</f>
        <v>0</v>
      </c>
    </row>
    <row r="8798" spans="1:7" ht="24.36" thickBot="1" customHeight="1">
      <c r="A8798" s="24" t="s">
        <v>27919</v>
      </c>
      <c r="B8798" s="24" t="s">
        <v>27920</v>
      </c>
      <c r="C8798" s="24" t="s">
        <v>27921</v>
      </c>
      <c r="D8798" s="25" t="s">
        <v>27922</v>
      </c>
      <c r="E8798" s="28">
        <v>0.20000</v>
      </c>
      <c r="F8798" s="29">
        <f ca="1">ROUND(19.000,3)</f>
        <v>0</v>
      </c>
      <c r="G8798" s="27">
        <f ca="1">ROUND(E8798*F8798,2)</f>
        <v>0</v>
      </c>
    </row>
    <row r="8799" spans="1:7" ht="15.12" thickBot="1" customHeight="1">
      <c r="A8799" s="26"/>
      <c r="B8799" s="26"/>
      <c r="C8799" s="26"/>
      <c r="D8799" s="24" t="s">
        <v>27923</v>
      </c>
      <c r="E8799" s="28">
        <v>0.80000</v>
      </c>
      <c r="F8799" s="29">
        <f ca="1">ROUND((G8796+G8797+G8798),3)</f>
        <v>0</v>
      </c>
      <c r="G8799" s="27">
        <f ca="1">ROUND(E8799*F8799,2)</f>
        <v>0</v>
      </c>
    </row>
    <row r="8800" spans="1:7" ht="15.12" thickBot="1" customHeight="1">
      <c r="A8800" s="24" t="s">
        <v>27924</v>
      </c>
      <c r="B8800" s="24"/>
      <c r="C8800" s="24" t="s">
        <v>27925</v>
      </c>
      <c r="D8800" s="25" t="s">
        <v>27926</v>
      </c>
      <c r="E8800" s="28">
        <v>5.00000</v>
      </c>
      <c r="F8800" s="29">
        <f ca="1">ROUND(35.040,3)</f>
        <v>0</v>
      </c>
      <c r="G8800" s="27">
        <f ca="1">ROUND((E8800*F8800)/100,2)</f>
        <v>0</v>
      </c>
    </row>
    <row r="8801" spans="1:7" ht="15.48" thickBot="1" customHeight="1">
      <c r="A8801" s="30"/>
      <c r="B8801" s="30"/>
      <c r="C8801" s="30"/>
      <c r="D8801" s="31" t="s">
        <v>27927</v>
      </c>
      <c r="E8801" s="30"/>
      <c r="F8801" s="33">
        <f ca="1">ROUND((G8782+G8783+G8784+G8785+G8786+G8787+G8788+G8789+G8790+G8791+G8792+G8793+G8794+G8795+G8800)*(1+G2/100),2)</f>
        <v>0</v>
      </c>
      <c r="G8801" s="30"/>
    </row>
    <row r="8802" spans="1:7" ht="15.48" thickBot="1" customHeight="1">
      <c r="A8802" s="39"/>
      <c r="B8802" s="39"/>
      <c r="C8802" s="39"/>
      <c r="D8802" s="50" t="s">
        <v>27928</v>
      </c>
      <c r="E8802" s="51"/>
      <c r="F8802" s="51"/>
      <c r="G8802" s="51"/>
    </row>
    <row r="8803" spans="1:7" ht="15.48" thickBot="1" customHeight="1">
      <c r="A8803" s="52" t="s">
        <v>27929</v>
      </c>
      <c r="B8803" s="52" t="s">
        <v>27930</v>
      </c>
      <c r="C8803" s="53"/>
      <c r="D8803" s="54" t="s">
        <v>27931</v>
      </c>
      <c r="E8803" s="53"/>
      <c r="F8803" s="53"/>
      <c r="G8803" s="53"/>
    </row>
    <row r="8804" spans="1:7" ht="15.48" thickBot="1" customHeight="1">
      <c r="A8804" s="21" t="s">
        <v>27932</v>
      </c>
      <c r="B8804" s="21" t="s">
        <v>27933</v>
      </c>
      <c r="C8804" s="22"/>
      <c r="D8804" s="23" t="s">
        <v>27934</v>
      </c>
      <c r="E8804" s="22"/>
      <c r="F8804" s="75">
        <v>0.00</v>
      </c>
      <c r="G8804" s="22"/>
    </row>
    <row r="8805" spans="1:7" ht="15.48" thickBot="1" customHeight="1">
      <c r="A8805" s="30"/>
      <c r="B8805" s="30"/>
      <c r="C8805" s="30"/>
      <c r="D8805" s="61" t="s">
        <v>27935</v>
      </c>
      <c r="E8805" s="62"/>
      <c r="F8805" s="62"/>
      <c r="G8805" s="62"/>
    </row>
    <row r="8806" spans="1:7" ht="15.48" thickBot="1" customHeight="1">
      <c r="A8806" s="39"/>
      <c r="B8806" s="39"/>
      <c r="C8806" s="39"/>
      <c r="D8806" s="50" t="s">
        <v>27936</v>
      </c>
      <c r="E8806" s="51"/>
      <c r="F8806" s="51"/>
      <c r="G8806" s="51"/>
    </row>
    <row r="8807" spans="1:7" ht="25.08" thickBot="1" customHeight="1">
      <c r="A8807" s="52" t="s">
        <v>27937</v>
      </c>
      <c r="B8807" s="52" t="s">
        <v>27938</v>
      </c>
      <c r="C8807" s="53"/>
      <c r="D8807" s="54" t="s">
        <v>27939</v>
      </c>
      <c r="E8807" s="53"/>
      <c r="F8807" s="53"/>
      <c r="G8807" s="53"/>
    </row>
    <row r="8808" spans="1:7" ht="15.48" thickBot="1" customHeight="1">
      <c r="A8808" s="21" t="s">
        <v>27940</v>
      </c>
      <c r="B8808" s="21" t="s">
        <v>27941</v>
      </c>
      <c r="C8808" s="22"/>
      <c r="D8808" s="23" t="s">
        <v>27942</v>
      </c>
      <c r="E8808" s="22"/>
      <c r="F8808" s="75">
        <v>0.00</v>
      </c>
      <c r="G8808" s="22"/>
    </row>
    <row r="8809" spans="1:7" ht="15.48" thickBot="1" customHeight="1">
      <c r="A8809" s="30"/>
      <c r="B8809" s="30"/>
      <c r="C8809" s="30"/>
      <c r="D8809" s="61" t="s">
        <v>27943</v>
      </c>
      <c r="E8809" s="62"/>
      <c r="F8809" s="62"/>
      <c r="G8809" s="62"/>
    </row>
    <row r="8810" spans="1:7" ht="22.08" thickBot="1" customHeight="1">
      <c r="A8810" s="42" t="s">
        <v>27944</v>
      </c>
      <c r="B8810" s="42" t="s">
        <v>27945</v>
      </c>
      <c r="C8810" s="43"/>
      <c r="D8810" s="44" t="s">
        <v>27946</v>
      </c>
      <c r="E8810" s="43"/>
      <c r="F8810" s="43"/>
      <c r="G8810" s="43"/>
    </row>
    <row r="8811" spans="1:7" ht="25.08" thickBot="1" customHeight="1">
      <c r="A8811" s="45" t="s">
        <v>27947</v>
      </c>
      <c r="B8811" s="45" t="s">
        <v>27948</v>
      </c>
      <c r="C8811" s="46"/>
      <c r="D8811" s="47" t="s">
        <v>27949</v>
      </c>
      <c r="E8811" s="46"/>
      <c r="F8811" s="46"/>
      <c r="G8811" s="46"/>
    </row>
    <row r="8812" spans="1:7" ht="49.08" thickBot="1" customHeight="1">
      <c r="A8812" s="10" t="s">
        <v>27950</v>
      </c>
      <c r="B8812" s="24" t="s">
        <v>27951</v>
      </c>
      <c r="C8812" s="24" t="s">
        <v>27952</v>
      </c>
      <c r="D8812" s="25" t="s">
        <v>27953</v>
      </c>
      <c r="E8812" s="26"/>
      <c r="F8812" s="27">
        <f ca="1">F8824</f>
        <v>0</v>
      </c>
      <c r="G8812" s="26"/>
    </row>
    <row r="8813" spans="1:7" ht="21.36" thickBot="1" customHeight="1">
      <c r="A8813" s="26"/>
      <c r="B8813" s="26"/>
      <c r="C8813" s="26"/>
      <c r="D8813" s="25" t="s">
        <v>27954</v>
      </c>
      <c r="E8813" s="25"/>
      <c r="F8813" s="25"/>
      <c r="G8813" s="25"/>
    </row>
    <row r="8814" spans="1:7" ht="30.60" thickBot="1" customHeight="1">
      <c r="A8814" s="24" t="s">
        <v>27955</v>
      </c>
      <c r="B8814" s="24" t="s">
        <v>27956</v>
      </c>
      <c r="C8814" s="24" t="s">
        <v>27957</v>
      </c>
      <c r="D8814" s="25" t="s">
        <v>27958</v>
      </c>
      <c r="E8814" s="28">
        <v>0.01100</v>
      </c>
      <c r="F8814" s="29">
        <f ca="1">ROUND(26.680,3)</f>
        <v>0</v>
      </c>
      <c r="G8814" s="27">
        <f ca="1">ROUND(E8814*F8814,2)</f>
        <v>0</v>
      </c>
    </row>
    <row r="8815" spans="1:7" ht="30.60" thickBot="1" customHeight="1">
      <c r="A8815" s="24" t="s">
        <v>27959</v>
      </c>
      <c r="B8815" s="24" t="s">
        <v>27960</v>
      </c>
      <c r="C8815" s="24" t="s">
        <v>27961</v>
      </c>
      <c r="D8815" s="25" t="s">
        <v>27962</v>
      </c>
      <c r="E8815" s="28">
        <v>0.03000</v>
      </c>
      <c r="F8815" s="29">
        <f ca="1">ROUND(2.430,3)</f>
        <v>0</v>
      </c>
      <c r="G8815" s="27">
        <f ca="1">ROUND(E8815*F8815,2)</f>
        <v>0</v>
      </c>
    </row>
    <row r="8816" spans="1:7" ht="21.36" thickBot="1" customHeight="1">
      <c r="A8816" s="24" t="s">
        <v>27963</v>
      </c>
      <c r="B8816" s="24" t="s">
        <v>27964</v>
      </c>
      <c r="C8816" s="24" t="s">
        <v>27965</v>
      </c>
      <c r="D8816" s="25" t="s">
        <v>27966</v>
      </c>
      <c r="E8816" s="28">
        <v>0.10000</v>
      </c>
      <c r="F8816" s="29">
        <f ca="1">ROUND(2.000,3)</f>
        <v>0</v>
      </c>
      <c r="G8816" s="27">
        <f ca="1">ROUND(E8816*F8816,2)</f>
        <v>0</v>
      </c>
    </row>
    <row r="8817" spans="1:7" ht="30.60" thickBot="1" customHeight="1">
      <c r="A8817" s="24" t="s">
        <v>27967</v>
      </c>
      <c r="B8817" s="24" t="s">
        <v>27968</v>
      </c>
      <c r="C8817" s="24" t="s">
        <v>27969</v>
      </c>
      <c r="D8817" s="25" t="s">
        <v>27970</v>
      </c>
      <c r="E8817" s="28">
        <v>0.10000</v>
      </c>
      <c r="F8817" s="29">
        <f ca="1">ROUND(4.920,3)</f>
        <v>0</v>
      </c>
      <c r="G8817" s="27">
        <f ca="1">ROUND(E8817*F8817,2)</f>
        <v>0</v>
      </c>
    </row>
    <row r="8818" spans="1:7" ht="21.36" thickBot="1" customHeight="1">
      <c r="A8818" s="24" t="s">
        <v>27971</v>
      </c>
      <c r="B8818" s="24" t="s">
        <v>27972</v>
      </c>
      <c r="C8818" s="24" t="s">
        <v>27973</v>
      </c>
      <c r="D8818" s="25" t="s">
        <v>27974</v>
      </c>
      <c r="E8818" s="28">
        <v>0.16000</v>
      </c>
      <c r="F8818" s="29">
        <f ca="1">F8822</f>
        <v>0</v>
      </c>
      <c r="G8818" s="27">
        <f ca="1">ROUND(E8818*F8818,2)</f>
        <v>0</v>
      </c>
    </row>
    <row r="8819" spans="1:7" ht="24.36" thickBot="1" customHeight="1">
      <c r="A8819" s="24" t="s">
        <v>27975</v>
      </c>
      <c r="B8819" s="24" t="s">
        <v>27976</v>
      </c>
      <c r="C8819" s="24" t="s">
        <v>27977</v>
      </c>
      <c r="D8819" s="25" t="s">
        <v>27978</v>
      </c>
      <c r="E8819" s="28">
        <v>1.00000</v>
      </c>
      <c r="F8819" s="29">
        <f ca="1">ROUND(21.000,3)</f>
        <v>0</v>
      </c>
      <c r="G8819" s="27">
        <f ca="1">ROUND(E8819*F8819,2)</f>
        <v>0</v>
      </c>
    </row>
    <row r="8820" spans="1:7" ht="24.36" thickBot="1" customHeight="1">
      <c r="A8820" s="24" t="s">
        <v>27979</v>
      </c>
      <c r="B8820" s="24" t="s">
        <v>27980</v>
      </c>
      <c r="C8820" s="24" t="s">
        <v>27981</v>
      </c>
      <c r="D8820" s="25" t="s">
        <v>27982</v>
      </c>
      <c r="E8820" s="28">
        <v>1.00000</v>
      </c>
      <c r="F8820" s="29">
        <f ca="1">ROUND(19.000,3)</f>
        <v>0</v>
      </c>
      <c r="G8820" s="27">
        <f ca="1">ROUND(E8820*F8820,2)</f>
        <v>0</v>
      </c>
    </row>
    <row r="8821" spans="1:7" ht="24.36" thickBot="1" customHeight="1">
      <c r="A8821" s="24" t="s">
        <v>27983</v>
      </c>
      <c r="B8821" s="24" t="s">
        <v>27984</v>
      </c>
      <c r="C8821" s="24" t="s">
        <v>27985</v>
      </c>
      <c r="D8821" s="25" t="s">
        <v>27986</v>
      </c>
      <c r="E8821" s="28">
        <v>0.20000</v>
      </c>
      <c r="F8821" s="29">
        <f ca="1">ROUND(19.000,3)</f>
        <v>0</v>
      </c>
      <c r="G8821" s="27">
        <f ca="1">ROUND(E8821*F8821,2)</f>
        <v>0</v>
      </c>
    </row>
    <row r="8822" spans="1:7" ht="15.12" thickBot="1" customHeight="1">
      <c r="A8822" s="26"/>
      <c r="B8822" s="26"/>
      <c r="C8822" s="26"/>
      <c r="D8822" s="24" t="s">
        <v>27987</v>
      </c>
      <c r="E8822" s="28">
        <v>0.16000</v>
      </c>
      <c r="F8822" s="29">
        <f ca="1">ROUND((G8819+G8820+G8821),3)</f>
        <v>0</v>
      </c>
      <c r="G8822" s="27">
        <f ca="1">ROUND(E8822*F8822,2)</f>
        <v>0</v>
      </c>
    </row>
    <row r="8823" spans="1:7" ht="15.12" thickBot="1" customHeight="1">
      <c r="A8823" s="24" t="s">
        <v>27988</v>
      </c>
      <c r="B8823" s="24"/>
      <c r="C8823" s="24" t="s">
        <v>27989</v>
      </c>
      <c r="D8823" s="25" t="s">
        <v>27990</v>
      </c>
      <c r="E8823" s="28">
        <v>3.00000</v>
      </c>
      <c r="F8823" s="29">
        <f ca="1">ROUND(7.010,3)</f>
        <v>0</v>
      </c>
      <c r="G8823" s="27">
        <f ca="1">ROUND((E8823*F8823)/100,2)</f>
        <v>0</v>
      </c>
    </row>
    <row r="8824" spans="1:7" ht="25.08" thickBot="1" customHeight="1">
      <c r="A8824" s="30"/>
      <c r="B8824" s="30"/>
      <c r="C8824" s="30"/>
      <c r="D8824" s="31" t="s">
        <v>27991</v>
      </c>
      <c r="E8824" s="30"/>
      <c r="F8824" s="33">
        <f ca="1">ROUND((G8814+G8815+G8816+G8817+G8818+G8823)*(1+G2/100),2)</f>
        <v>0</v>
      </c>
      <c r="G8824" s="30"/>
    </row>
    <row r="8825" spans="1:7" ht="15.48" thickBot="1" customHeight="1">
      <c r="A8825" s="39"/>
      <c r="B8825" s="39"/>
      <c r="C8825" s="39"/>
      <c r="D8825" s="48" t="s">
        <v>27992</v>
      </c>
      <c r="E8825" s="49"/>
      <c r="F8825" s="49"/>
      <c r="G8825" s="49"/>
    </row>
    <row r="8826" spans="1:7" ht="15.48" thickBot="1" customHeight="1">
      <c r="A8826" s="39"/>
      <c r="B8826" s="39"/>
      <c r="C8826" s="39"/>
      <c r="D8826" s="40" t="s">
        <v>27993</v>
      </c>
      <c r="E8826" s="41"/>
      <c r="F8826" s="41"/>
      <c r="G8826" s="41"/>
    </row>
    <row r="8827" spans="1:7" ht="22.08" thickBot="1" customHeight="1">
      <c r="A8827" s="42" t="s">
        <v>27994</v>
      </c>
      <c r="B8827" s="42" t="s">
        <v>27995</v>
      </c>
      <c r="C8827" s="43"/>
      <c r="D8827" s="44" t="s">
        <v>27996</v>
      </c>
      <c r="E8827" s="43"/>
      <c r="F8827" s="43"/>
      <c r="G8827" s="43"/>
    </row>
    <row r="8828" spans="1:7" ht="30.60" thickBot="1" customHeight="1">
      <c r="A8828" s="10" t="s">
        <v>27997</v>
      </c>
      <c r="B8828" s="24" t="s">
        <v>27998</v>
      </c>
      <c r="C8828" s="24" t="s">
        <v>27999</v>
      </c>
      <c r="D8828" s="25" t="s">
        <v>28000</v>
      </c>
      <c r="E8828" s="26"/>
      <c r="F8828" s="27">
        <f ca="1">F8840</f>
        <v>0</v>
      </c>
      <c r="G8828" s="26"/>
    </row>
    <row r="8829" spans="1:7" ht="21.36" thickBot="1" customHeight="1">
      <c r="A8829" s="26"/>
      <c r="B8829" s="26"/>
      <c r="C8829" s="26"/>
      <c r="D8829" s="25" t="s">
        <v>28001</v>
      </c>
      <c r="E8829" s="25"/>
      <c r="F8829" s="25"/>
      <c r="G8829" s="25"/>
    </row>
    <row r="8830" spans="1:7" ht="30.60" thickBot="1" customHeight="1">
      <c r="A8830" s="24" t="s">
        <v>28002</v>
      </c>
      <c r="B8830" s="24" t="s">
        <v>28003</v>
      </c>
      <c r="C8830" s="24" t="s">
        <v>28004</v>
      </c>
      <c r="D8830" s="25" t="s">
        <v>28005</v>
      </c>
      <c r="E8830" s="28">
        <v>1.00000</v>
      </c>
      <c r="F8830" s="29">
        <f ca="1">ROUND(25.770,3)</f>
        <v>0</v>
      </c>
      <c r="G8830" s="27">
        <f ca="1">ROUND(E8830*F8830,2)</f>
        <v>0</v>
      </c>
    </row>
    <row r="8831" spans="1:7" ht="30.60" thickBot="1" customHeight="1">
      <c r="A8831" s="24" t="s">
        <v>28006</v>
      </c>
      <c r="B8831" s="24" t="s">
        <v>28007</v>
      </c>
      <c r="C8831" s="24" t="s">
        <v>28008</v>
      </c>
      <c r="D8831" s="25" t="s">
        <v>28009</v>
      </c>
      <c r="E8831" s="28">
        <v>1.00000</v>
      </c>
      <c r="F8831" s="29">
        <f ca="1">ROUND(19.730,3)</f>
        <v>0</v>
      </c>
      <c r="G8831" s="27">
        <f ca="1">ROUND(E8831*F8831,2)</f>
        <v>0</v>
      </c>
    </row>
    <row r="8832" spans="1:7" ht="30.60" thickBot="1" customHeight="1">
      <c r="A8832" s="24" t="s">
        <v>28010</v>
      </c>
      <c r="B8832" s="24" t="s">
        <v>28011</v>
      </c>
      <c r="C8832" s="24" t="s">
        <v>28012</v>
      </c>
      <c r="D8832" s="25" t="s">
        <v>28013</v>
      </c>
      <c r="E8832" s="28">
        <v>0.44000</v>
      </c>
      <c r="F8832" s="29">
        <f ca="1">ROUND(32.590,3)</f>
        <v>0</v>
      </c>
      <c r="G8832" s="27">
        <f ca="1">ROUND(E8832*F8832,2)</f>
        <v>0</v>
      </c>
    </row>
    <row r="8833" spans="1:7" ht="30.60" thickBot="1" customHeight="1">
      <c r="A8833" s="24" t="s">
        <v>28014</v>
      </c>
      <c r="B8833" s="24" t="s">
        <v>28015</v>
      </c>
      <c r="C8833" s="24" t="s">
        <v>28016</v>
      </c>
      <c r="D8833" s="25" t="s">
        <v>28017</v>
      </c>
      <c r="E8833" s="28">
        <v>6.00000</v>
      </c>
      <c r="F8833" s="29">
        <f ca="1">ROUND(0.380,3)</f>
        <v>0</v>
      </c>
      <c r="G8833" s="27">
        <f ca="1">ROUND(E8833*F8833,2)</f>
        <v>0</v>
      </c>
    </row>
    <row r="8834" spans="1:7" ht="21.36" thickBot="1" customHeight="1">
      <c r="A8834" s="24" t="s">
        <v>28018</v>
      </c>
      <c r="B8834" s="24" t="s">
        <v>28019</v>
      </c>
      <c r="C8834" s="24" t="s">
        <v>28020</v>
      </c>
      <c r="D8834" s="25" t="s">
        <v>28021</v>
      </c>
      <c r="E8834" s="28">
        <v>4.00000</v>
      </c>
      <c r="F8834" s="29">
        <f ca="1">F8838</f>
        <v>0</v>
      </c>
      <c r="G8834" s="27">
        <f ca="1">ROUND(E8834*F8834,2)</f>
        <v>0</v>
      </c>
    </row>
    <row r="8835" spans="1:7" ht="24.36" thickBot="1" customHeight="1">
      <c r="A8835" s="24" t="s">
        <v>28022</v>
      </c>
      <c r="B8835" s="24" t="s">
        <v>28023</v>
      </c>
      <c r="C8835" s="24" t="s">
        <v>28024</v>
      </c>
      <c r="D8835" s="25" t="s">
        <v>28025</v>
      </c>
      <c r="E8835" s="28">
        <v>1.00000</v>
      </c>
      <c r="F8835" s="29">
        <f ca="1">ROUND(21.000,3)</f>
        <v>0</v>
      </c>
      <c r="G8835" s="27">
        <f ca="1">ROUND(E8835*F8835,2)</f>
        <v>0</v>
      </c>
    </row>
    <row r="8836" spans="1:7" ht="24.36" thickBot="1" customHeight="1">
      <c r="A8836" s="24" t="s">
        <v>28026</v>
      </c>
      <c r="B8836" s="24" t="s">
        <v>28027</v>
      </c>
      <c r="C8836" s="24" t="s">
        <v>28028</v>
      </c>
      <c r="D8836" s="25" t="s">
        <v>28029</v>
      </c>
      <c r="E8836" s="28">
        <v>1.00000</v>
      </c>
      <c r="F8836" s="29">
        <f ca="1">ROUND(19.000,3)</f>
        <v>0</v>
      </c>
      <c r="G8836" s="27">
        <f ca="1">ROUND(E8836*F8836,2)</f>
        <v>0</v>
      </c>
    </row>
    <row r="8837" spans="1:7" ht="24.36" thickBot="1" customHeight="1">
      <c r="A8837" s="24" t="s">
        <v>28030</v>
      </c>
      <c r="B8837" s="24" t="s">
        <v>28031</v>
      </c>
      <c r="C8837" s="24" t="s">
        <v>28032</v>
      </c>
      <c r="D8837" s="25" t="s">
        <v>28033</v>
      </c>
      <c r="E8837" s="28">
        <v>0.20000</v>
      </c>
      <c r="F8837" s="29">
        <f ca="1">ROUND(19.000,3)</f>
        <v>0</v>
      </c>
      <c r="G8837" s="27">
        <f ca="1">ROUND(E8837*F8837,2)</f>
        <v>0</v>
      </c>
    </row>
    <row r="8838" spans="1:7" ht="15.12" thickBot="1" customHeight="1">
      <c r="A8838" s="26"/>
      <c r="B8838" s="26"/>
      <c r="C8838" s="26"/>
      <c r="D8838" s="24" t="s">
        <v>28034</v>
      </c>
      <c r="E8838" s="28">
        <v>4.00000</v>
      </c>
      <c r="F8838" s="29">
        <f ca="1">ROUND((G8835+G8836+G8837),3)</f>
        <v>0</v>
      </c>
      <c r="G8838" s="27">
        <f ca="1">ROUND(E8838*F8838,2)</f>
        <v>0</v>
      </c>
    </row>
    <row r="8839" spans="1:7" ht="15.12" thickBot="1" customHeight="1">
      <c r="A8839" s="24" t="s">
        <v>28035</v>
      </c>
      <c r="B8839" s="24"/>
      <c r="C8839" s="24" t="s">
        <v>28036</v>
      </c>
      <c r="D8839" s="25" t="s">
        <v>28037</v>
      </c>
      <c r="E8839" s="28">
        <v>7.00000</v>
      </c>
      <c r="F8839" s="29">
        <f ca="1">ROUND(175.200,3)</f>
        <v>0</v>
      </c>
      <c r="G8839" s="27">
        <f ca="1">ROUND((E8839*F8839)/100,2)</f>
        <v>0</v>
      </c>
    </row>
    <row r="8840" spans="1:7" ht="15.48" thickBot="1" customHeight="1">
      <c r="A8840" s="30"/>
      <c r="B8840" s="30"/>
      <c r="C8840" s="30"/>
      <c r="D8840" s="31" t="s">
        <v>28038</v>
      </c>
      <c r="E8840" s="30"/>
      <c r="F8840" s="33">
        <f ca="1">ROUND((G8830+G8831+G8832+G8833+G8834+G8839)*(1+G2/100),2)</f>
        <v>0</v>
      </c>
      <c r="G8840" s="30"/>
    </row>
    <row r="8841" spans="1:7" ht="30.60" thickBot="1" customHeight="1">
      <c r="A8841" s="34" t="s">
        <v>28039</v>
      </c>
      <c r="B8841" s="35" t="s">
        <v>28040</v>
      </c>
      <c r="C8841" s="35" t="s">
        <v>28041</v>
      </c>
      <c r="D8841" s="36" t="s">
        <v>28042</v>
      </c>
      <c r="E8841" s="37"/>
      <c r="F8841" s="38">
        <f ca="1">F8853</f>
        <v>0</v>
      </c>
      <c r="G8841" s="37"/>
    </row>
    <row r="8842" spans="1:7" ht="12.12" thickBot="1" customHeight="1">
      <c r="A8842" s="26"/>
      <c r="B8842" s="26"/>
      <c r="C8842" s="26"/>
      <c r="D8842" s="25" t="s">
        <v>28043</v>
      </c>
      <c r="E8842" s="25"/>
      <c r="F8842" s="25"/>
      <c r="G8842" s="25"/>
    </row>
    <row r="8843" spans="1:7" ht="39.84" thickBot="1" customHeight="1">
      <c r="A8843" s="24" t="s">
        <v>28044</v>
      </c>
      <c r="B8843" s="24" t="s">
        <v>28045</v>
      </c>
      <c r="C8843" s="24" t="s">
        <v>28046</v>
      </c>
      <c r="D8843" s="25" t="s">
        <v>28047</v>
      </c>
      <c r="E8843" s="28">
        <v>1.00000</v>
      </c>
      <c r="F8843" s="29">
        <f ca="1">ROUND(34.290,3)</f>
        <v>0</v>
      </c>
      <c r="G8843" s="27">
        <f ca="1">ROUND(E8843*F8843,2)</f>
        <v>0</v>
      </c>
    </row>
    <row r="8844" spans="1:7" ht="21.36" thickBot="1" customHeight="1">
      <c r="A8844" s="24" t="s">
        <v>28048</v>
      </c>
      <c r="B8844" s="24" t="s">
        <v>28049</v>
      </c>
      <c r="C8844" s="24" t="s">
        <v>28050</v>
      </c>
      <c r="D8844" s="25" t="s">
        <v>28051</v>
      </c>
      <c r="E8844" s="28">
        <v>4.00000</v>
      </c>
      <c r="F8844" s="29">
        <f ca="1">ROUND(6.490,3)</f>
        <v>0</v>
      </c>
      <c r="G8844" s="27">
        <f ca="1">ROUND(E8844*F8844,2)</f>
        <v>0</v>
      </c>
    </row>
    <row r="8845" spans="1:7" ht="21.36" thickBot="1" customHeight="1">
      <c r="A8845" s="24" t="s">
        <v>28052</v>
      </c>
      <c r="B8845" s="24" t="s">
        <v>28053</v>
      </c>
      <c r="C8845" s="24" t="s">
        <v>28054</v>
      </c>
      <c r="D8845" s="25" t="s">
        <v>28055</v>
      </c>
      <c r="E8845" s="28">
        <v>0.50000</v>
      </c>
      <c r="F8845" s="29">
        <f ca="1">ROUND(2.000,3)</f>
        <v>0</v>
      </c>
      <c r="G8845" s="27">
        <f ca="1">ROUND(E8845*F8845,2)</f>
        <v>0</v>
      </c>
    </row>
    <row r="8846" spans="1:7" ht="30.60" thickBot="1" customHeight="1">
      <c r="A8846" s="24" t="s">
        <v>28056</v>
      </c>
      <c r="B8846" s="24" t="s">
        <v>28057</v>
      </c>
      <c r="C8846" s="24" t="s">
        <v>28058</v>
      </c>
      <c r="D8846" s="25" t="s">
        <v>28059</v>
      </c>
      <c r="E8846" s="28">
        <v>0.02000</v>
      </c>
      <c r="F8846" s="29">
        <f ca="1">ROUND(4.920,3)</f>
        <v>0</v>
      </c>
      <c r="G8846" s="27">
        <f ca="1">ROUND(E8846*F8846,2)</f>
        <v>0</v>
      </c>
    </row>
    <row r="8847" spans="1:7" ht="21.36" thickBot="1" customHeight="1">
      <c r="A8847" s="24" t="s">
        <v>28060</v>
      </c>
      <c r="B8847" s="24" t="s">
        <v>28061</v>
      </c>
      <c r="C8847" s="24" t="s">
        <v>28062</v>
      </c>
      <c r="D8847" s="25" t="s">
        <v>28063</v>
      </c>
      <c r="E8847" s="28">
        <v>4.00000</v>
      </c>
      <c r="F8847" s="29">
        <f ca="1">F8851</f>
        <v>0</v>
      </c>
      <c r="G8847" s="27">
        <f ca="1">ROUND(E8847*F8847,2)</f>
        <v>0</v>
      </c>
    </row>
    <row r="8848" spans="1:7" ht="24.36" thickBot="1" customHeight="1">
      <c r="A8848" s="24" t="s">
        <v>28064</v>
      </c>
      <c r="B8848" s="24" t="s">
        <v>28065</v>
      </c>
      <c r="C8848" s="24" t="s">
        <v>28066</v>
      </c>
      <c r="D8848" s="25" t="s">
        <v>28067</v>
      </c>
      <c r="E8848" s="28">
        <v>1.00000</v>
      </c>
      <c r="F8848" s="29">
        <f ca="1">ROUND(21.000,3)</f>
        <v>0</v>
      </c>
      <c r="G8848" s="27">
        <f ca="1">ROUND(E8848*F8848,2)</f>
        <v>0</v>
      </c>
    </row>
    <row r="8849" spans="1:7" ht="24.36" thickBot="1" customHeight="1">
      <c r="A8849" s="24" t="s">
        <v>28068</v>
      </c>
      <c r="B8849" s="24" t="s">
        <v>28069</v>
      </c>
      <c r="C8849" s="24" t="s">
        <v>28070</v>
      </c>
      <c r="D8849" s="25" t="s">
        <v>28071</v>
      </c>
      <c r="E8849" s="28">
        <v>1.00000</v>
      </c>
      <c r="F8849" s="29">
        <f ca="1">ROUND(19.000,3)</f>
        <v>0</v>
      </c>
      <c r="G8849" s="27">
        <f ca="1">ROUND(E8849*F8849,2)</f>
        <v>0</v>
      </c>
    </row>
    <row r="8850" spans="1:7" ht="24.36" thickBot="1" customHeight="1">
      <c r="A8850" s="24" t="s">
        <v>28072</v>
      </c>
      <c r="B8850" s="24" t="s">
        <v>28073</v>
      </c>
      <c r="C8850" s="24" t="s">
        <v>28074</v>
      </c>
      <c r="D8850" s="25" t="s">
        <v>28075</v>
      </c>
      <c r="E8850" s="28">
        <v>0.20000</v>
      </c>
      <c r="F8850" s="29">
        <f ca="1">ROUND(19.000,3)</f>
        <v>0</v>
      </c>
      <c r="G8850" s="27">
        <f ca="1">ROUND(E8850*F8850,2)</f>
        <v>0</v>
      </c>
    </row>
    <row r="8851" spans="1:7" ht="15.12" thickBot="1" customHeight="1">
      <c r="A8851" s="26"/>
      <c r="B8851" s="26"/>
      <c r="C8851" s="26"/>
      <c r="D8851" s="24" t="s">
        <v>28076</v>
      </c>
      <c r="E8851" s="28">
        <v>4.00000</v>
      </c>
      <c r="F8851" s="29">
        <f ca="1">ROUND((G8848+G8849+G8850),3)</f>
        <v>0</v>
      </c>
      <c r="G8851" s="27">
        <f ca="1">ROUND(E8851*F8851,2)</f>
        <v>0</v>
      </c>
    </row>
    <row r="8852" spans="1:7" ht="15.12" thickBot="1" customHeight="1">
      <c r="A8852" s="24" t="s">
        <v>28077</v>
      </c>
      <c r="B8852" s="24"/>
      <c r="C8852" s="24" t="s">
        <v>28078</v>
      </c>
      <c r="D8852" s="25" t="s">
        <v>28079</v>
      </c>
      <c r="E8852" s="28">
        <v>5.00000</v>
      </c>
      <c r="F8852" s="29">
        <f ca="1">ROUND(175.200,3)</f>
        <v>0</v>
      </c>
      <c r="G8852" s="27">
        <f ca="1">ROUND((E8852*F8852)/100,2)</f>
        <v>0</v>
      </c>
    </row>
    <row r="8853" spans="1:7" ht="15.48" thickBot="1" customHeight="1">
      <c r="A8853" s="30"/>
      <c r="B8853" s="30"/>
      <c r="C8853" s="30"/>
      <c r="D8853" s="31" t="s">
        <v>28080</v>
      </c>
      <c r="E8853" s="30"/>
      <c r="F8853" s="33">
        <f ca="1">ROUND((G8843+G8844+G8845+G8846+G8847+G8852)*(1+G2/100),2)</f>
        <v>0</v>
      </c>
      <c r="G8853" s="30"/>
    </row>
    <row r="8854" spans="1:7" ht="15.48" thickBot="1" customHeight="1">
      <c r="A8854" s="39"/>
      <c r="B8854" s="39"/>
      <c r="C8854" s="39"/>
      <c r="D8854" s="40" t="s">
        <v>28081</v>
      </c>
      <c r="E8854" s="41"/>
      <c r="F8854" s="41"/>
      <c r="G8854" s="41"/>
    </row>
    <row r="8855" spans="1:7" ht="15.48" thickBot="1" customHeight="1">
      <c r="A8855" s="39"/>
      <c r="B8855" s="39"/>
      <c r="C8855" s="39"/>
      <c r="D8855" s="50" t="s">
        <v>28082</v>
      </c>
      <c r="E8855" s="51"/>
      <c r="F8855" s="51"/>
      <c r="G8855" s="51"/>
    </row>
    <row r="8856" spans="1:7" ht="15.48" thickBot="1" customHeight="1">
      <c r="A8856" s="39"/>
      <c r="B8856" s="39"/>
      <c r="C8856" s="39"/>
      <c r="D8856" s="55" t="s">
        <v>28083</v>
      </c>
      <c r="E8856" s="56"/>
      <c r="F8856" s="56"/>
      <c r="G8856" s="56"/>
    </row>
    <row r="8857" spans="1:7" ht="22.08" thickBot="1" customHeight="1">
      <c r="A8857" s="57" t="s">
        <v>28084</v>
      </c>
      <c r="B8857" s="57" t="s">
        <v>28085</v>
      </c>
      <c r="C8857" s="58"/>
      <c r="D8857" s="59" t="s">
        <v>28086</v>
      </c>
      <c r="E8857" s="58"/>
      <c r="F8857" s="58"/>
      <c r="G8857" s="58"/>
    </row>
    <row r="8858" spans="1:7" ht="15.48" thickBot="1" customHeight="1">
      <c r="A8858" s="18" t="s">
        <v>28087</v>
      </c>
      <c r="B8858" s="18" t="s">
        <v>28088</v>
      </c>
      <c r="C8858" s="19"/>
      <c r="D8858" s="20" t="s">
        <v>28089</v>
      </c>
      <c r="E8858" s="19"/>
      <c r="F8858" s="19"/>
      <c r="G8858" s="19"/>
    </row>
    <row r="8859" spans="1:7" ht="30.60" thickBot="1" customHeight="1">
      <c r="A8859" s="10" t="s">
        <v>28090</v>
      </c>
      <c r="B8859" s="24" t="s">
        <v>28091</v>
      </c>
      <c r="C8859" s="24" t="s">
        <v>28092</v>
      </c>
      <c r="D8859" s="25" t="s">
        <v>28093</v>
      </c>
      <c r="E8859" s="26"/>
      <c r="F8859" s="27">
        <f ca="1">F8867</f>
        <v>0</v>
      </c>
      <c r="G8859" s="26"/>
    </row>
    <row r="8860" spans="1:7" ht="67.56" thickBot="1" customHeight="1">
      <c r="A8860" s="26"/>
      <c r="B8860" s="26"/>
      <c r="C8860" s="26"/>
      <c r="D8860" s="25" t="s">
        <v>28094</v>
      </c>
      <c r="E8860" s="25"/>
      <c r="F8860" s="25"/>
      <c r="G8860" s="25"/>
    </row>
    <row r="8861" spans="1:7" ht="30.60" thickBot="1" customHeight="1">
      <c r="A8861" s="24" t="s">
        <v>28095</v>
      </c>
      <c r="B8861" s="24" t="s">
        <v>28096</v>
      </c>
      <c r="C8861" s="24" t="s">
        <v>28097</v>
      </c>
      <c r="D8861" s="25" t="s">
        <v>28098</v>
      </c>
      <c r="E8861" s="28">
        <v>1.00000</v>
      </c>
      <c r="F8861" s="29">
        <f ca="1">ROUND(1.500,3)</f>
        <v>0</v>
      </c>
      <c r="G8861" s="27">
        <f ca="1">ROUND(E8861*F8861,2)</f>
        <v>0</v>
      </c>
    </row>
    <row r="8862" spans="1:7" ht="15.12" thickBot="1" customHeight="1">
      <c r="A8862" s="24" t="s">
        <v>28099</v>
      </c>
      <c r="B8862" s="24" t="s">
        <v>28100</v>
      </c>
      <c r="C8862" s="24" t="s">
        <v>28101</v>
      </c>
      <c r="D8862" s="25" t="s">
        <v>28102</v>
      </c>
      <c r="E8862" s="28">
        <v>6.00000</v>
      </c>
      <c r="F8862" s="29">
        <f ca="1">ROUND(0.500,3)</f>
        <v>0</v>
      </c>
      <c r="G8862" s="27">
        <f ca="1">ROUND(E8862*F8862,2)</f>
        <v>0</v>
      </c>
    </row>
    <row r="8863" spans="1:7" ht="30.60" thickBot="1" customHeight="1">
      <c r="A8863" s="24" t="s">
        <v>28103</v>
      </c>
      <c r="B8863" s="24" t="s">
        <v>28104</v>
      </c>
      <c r="C8863" s="24" t="s">
        <v>28105</v>
      </c>
      <c r="D8863" s="25" t="s">
        <v>28106</v>
      </c>
      <c r="E8863" s="28">
        <v>1.10000</v>
      </c>
      <c r="F8863" s="29">
        <f ca="1">ROUND(9.000,3)</f>
        <v>0</v>
      </c>
      <c r="G8863" s="27">
        <f ca="1">ROUND(E8863*F8863,2)</f>
        <v>0</v>
      </c>
    </row>
    <row r="8864" spans="1:7" ht="21.36" thickBot="1" customHeight="1">
      <c r="A8864" s="24" t="s">
        <v>28107</v>
      </c>
      <c r="B8864" s="24" t="s">
        <v>28108</v>
      </c>
      <c r="C8864" s="24" t="s">
        <v>28109</v>
      </c>
      <c r="D8864" s="25" t="s">
        <v>28110</v>
      </c>
      <c r="E8864" s="28">
        <v>6.00000</v>
      </c>
      <c r="F8864" s="29">
        <f ca="1">ROUND(0.150,3)</f>
        <v>0</v>
      </c>
      <c r="G8864" s="27">
        <f ca="1">ROUND(E8864*F8864,2)</f>
        <v>0</v>
      </c>
    </row>
    <row r="8865" spans="1:7" ht="30.60" thickBot="1" customHeight="1">
      <c r="A8865" s="24" t="s">
        <v>28111</v>
      </c>
      <c r="B8865" s="24" t="s">
        <v>28112</v>
      </c>
      <c r="C8865" s="24" t="s">
        <v>28113</v>
      </c>
      <c r="D8865" s="25" t="s">
        <v>28114</v>
      </c>
      <c r="E8865" s="28">
        <v>0.40000</v>
      </c>
      <c r="F8865" s="29">
        <f ca="1">ROUND(1.950,3)</f>
        <v>0</v>
      </c>
      <c r="G8865" s="27">
        <f ca="1">ROUND(E8865*F8865,2)</f>
        <v>0</v>
      </c>
    </row>
    <row r="8866" spans="1:7" ht="24.36" thickBot="1" customHeight="1">
      <c r="A8866" s="24" t="s">
        <v>28115</v>
      </c>
      <c r="B8866" s="24" t="s">
        <v>28116</v>
      </c>
      <c r="C8866" s="24" t="s">
        <v>28117</v>
      </c>
      <c r="D8866" s="25" t="s">
        <v>28118</v>
      </c>
      <c r="E8866" s="28">
        <v>0.30000</v>
      </c>
      <c r="F8866" s="29">
        <f ca="1">ROUND(49.500,3)</f>
        <v>0</v>
      </c>
      <c r="G8866" s="27">
        <f ca="1">ROUND(E8866*F8866,2)</f>
        <v>0</v>
      </c>
    </row>
    <row r="8867" spans="1:7" ht="15.48" thickBot="1" customHeight="1">
      <c r="A8867" s="30"/>
      <c r="B8867" s="30"/>
      <c r="C8867" s="30"/>
      <c r="D8867" s="31" t="s">
        <v>28119</v>
      </c>
      <c r="E8867" s="30"/>
      <c r="F8867" s="33">
        <f ca="1">ROUND((G8861+G8862+G8863+G8864+G8865+G8866)*(1+G2/100),2)</f>
        <v>0</v>
      </c>
      <c r="G8867" s="30"/>
    </row>
    <row r="8868" spans="1:7" ht="15.48" thickBot="1" customHeight="1">
      <c r="A8868" s="39"/>
      <c r="B8868" s="39"/>
      <c r="C8868" s="39"/>
      <c r="D8868" s="50" t="s">
        <v>28120</v>
      </c>
      <c r="E8868" s="51"/>
      <c r="F8868" s="51"/>
      <c r="G8868" s="51"/>
    </row>
    <row r="8869" spans="1:7" ht="21.36" thickBot="1" customHeight="1">
      <c r="A8869" s="34" t="s">
        <v>28121</v>
      </c>
      <c r="B8869" s="35" t="s">
        <v>28122</v>
      </c>
      <c r="C8869" s="35" t="s">
        <v>28123</v>
      </c>
      <c r="D8869" s="36" t="s">
        <v>28124</v>
      </c>
      <c r="E8869" s="37"/>
      <c r="F8869" s="38">
        <f ca="1">F8879</f>
        <v>0</v>
      </c>
      <c r="G8869" s="37"/>
    </row>
    <row r="8870" spans="1:7" ht="12.12" thickBot="1" customHeight="1">
      <c r="A8870" s="26"/>
      <c r="B8870" s="26"/>
      <c r="C8870" s="26"/>
      <c r="D8870" s="25" t="s">
        <v>28125</v>
      </c>
      <c r="E8870" s="25"/>
      <c r="F8870" s="25"/>
      <c r="G8870" s="25"/>
    </row>
    <row r="8871" spans="1:7" ht="30.60" thickBot="1" customHeight="1">
      <c r="A8871" s="24" t="s">
        <v>28126</v>
      </c>
      <c r="B8871" s="24" t="s">
        <v>28127</v>
      </c>
      <c r="C8871" s="24" t="s">
        <v>28128</v>
      </c>
      <c r="D8871" s="25" t="s">
        <v>28129</v>
      </c>
      <c r="E8871" s="28">
        <v>0.30000</v>
      </c>
      <c r="F8871" s="29">
        <f ca="1">ROUND(41.600,3)</f>
        <v>0</v>
      </c>
      <c r="G8871" s="27">
        <f ca="1">ROUND(E8871*F8871,2)</f>
        <v>0</v>
      </c>
    </row>
    <row r="8872" spans="1:7" ht="30.60" thickBot="1" customHeight="1">
      <c r="A8872" s="24" t="s">
        <v>28130</v>
      </c>
      <c r="B8872" s="24" t="s">
        <v>28131</v>
      </c>
      <c r="C8872" s="24" t="s">
        <v>28132</v>
      </c>
      <c r="D8872" s="25" t="s">
        <v>28133</v>
      </c>
      <c r="E8872" s="28">
        <v>0.02200</v>
      </c>
      <c r="F8872" s="29">
        <f ca="1">ROUND(27.500,3)</f>
        <v>0</v>
      </c>
      <c r="G8872" s="27">
        <f ca="1">ROUND(E8872*F8872,2)</f>
        <v>0</v>
      </c>
    </row>
    <row r="8873" spans="1:7" ht="21.36" thickBot="1" customHeight="1">
      <c r="A8873" s="24" t="s">
        <v>28134</v>
      </c>
      <c r="B8873" s="24" t="s">
        <v>28135</v>
      </c>
      <c r="C8873" s="24" t="s">
        <v>28136</v>
      </c>
      <c r="D8873" s="25" t="s">
        <v>28137</v>
      </c>
      <c r="E8873" s="28">
        <v>0.12800</v>
      </c>
      <c r="F8873" s="29">
        <f ca="1">F8877</f>
        <v>0</v>
      </c>
      <c r="G8873" s="27">
        <f ca="1">ROUND(E8873*F8873,2)</f>
        <v>0</v>
      </c>
    </row>
    <row r="8874" spans="1:7" ht="24.36" thickBot="1" customHeight="1">
      <c r="A8874" s="24" t="s">
        <v>28138</v>
      </c>
      <c r="B8874" s="24" t="s">
        <v>28139</v>
      </c>
      <c r="C8874" s="24" t="s">
        <v>28140</v>
      </c>
      <c r="D8874" s="25" t="s">
        <v>28141</v>
      </c>
      <c r="E8874" s="28">
        <v>1.00000</v>
      </c>
      <c r="F8874" s="29">
        <f ca="1">ROUND(21.000,3)</f>
        <v>0</v>
      </c>
      <c r="G8874" s="27">
        <f ca="1">ROUND(E8874*F8874,2)</f>
        <v>0</v>
      </c>
    </row>
    <row r="8875" spans="1:7" ht="24.36" thickBot="1" customHeight="1">
      <c r="A8875" s="24" t="s">
        <v>28142</v>
      </c>
      <c r="B8875" s="24" t="s">
        <v>28143</v>
      </c>
      <c r="C8875" s="24" t="s">
        <v>28144</v>
      </c>
      <c r="D8875" s="25" t="s">
        <v>28145</v>
      </c>
      <c r="E8875" s="28">
        <v>1.00000</v>
      </c>
      <c r="F8875" s="29">
        <f ca="1">ROUND(19.000,3)</f>
        <v>0</v>
      </c>
      <c r="G8875" s="27">
        <f ca="1">ROUND(E8875*F8875,2)</f>
        <v>0</v>
      </c>
    </row>
    <row r="8876" spans="1:7" ht="24.36" thickBot="1" customHeight="1">
      <c r="A8876" s="24" t="s">
        <v>28146</v>
      </c>
      <c r="B8876" s="24" t="s">
        <v>28147</v>
      </c>
      <c r="C8876" s="24" t="s">
        <v>28148</v>
      </c>
      <c r="D8876" s="25" t="s">
        <v>28149</v>
      </c>
      <c r="E8876" s="28">
        <v>0.20000</v>
      </c>
      <c r="F8876" s="29">
        <f ca="1">ROUND(19.000,3)</f>
        <v>0</v>
      </c>
      <c r="G8876" s="27">
        <f ca="1">ROUND(E8876*F8876,2)</f>
        <v>0</v>
      </c>
    </row>
    <row r="8877" spans="1:7" ht="15.12" thickBot="1" customHeight="1">
      <c r="A8877" s="26"/>
      <c r="B8877" s="26"/>
      <c r="C8877" s="26"/>
      <c r="D8877" s="24" t="s">
        <v>28150</v>
      </c>
      <c r="E8877" s="28">
        <v>0.12800</v>
      </c>
      <c r="F8877" s="29">
        <f ca="1">ROUND((G8874+G8875+G8876),3)</f>
        <v>0</v>
      </c>
      <c r="G8877" s="27">
        <f ca="1">ROUND(E8877*F8877,2)</f>
        <v>0</v>
      </c>
    </row>
    <row r="8878" spans="1:7" ht="15.12" thickBot="1" customHeight="1">
      <c r="A8878" s="24" t="s">
        <v>28151</v>
      </c>
      <c r="B8878" s="24"/>
      <c r="C8878" s="24" t="s">
        <v>28152</v>
      </c>
      <c r="D8878" s="25" t="s">
        <v>28153</v>
      </c>
      <c r="E8878" s="28">
        <v>3.00000</v>
      </c>
      <c r="F8878" s="29">
        <f ca="1">ROUND(5.610,3)</f>
        <v>0</v>
      </c>
      <c r="G8878" s="27">
        <f ca="1">ROUND((E8878*F8878)/100,2)</f>
        <v>0</v>
      </c>
    </row>
    <row r="8879" spans="1:7" ht="15.48" thickBot="1" customHeight="1">
      <c r="A8879" s="30"/>
      <c r="B8879" s="30"/>
      <c r="C8879" s="30"/>
      <c r="D8879" s="31" t="s">
        <v>28154</v>
      </c>
      <c r="E8879" s="30"/>
      <c r="F8879" s="33">
        <f ca="1">ROUND((G8871+G8872+G8873+G8878)*(1+G2/100),2)</f>
        <v>0</v>
      </c>
      <c r="G8879" s="30"/>
    </row>
    <row r="8880" spans="1:7" ht="21.36" thickBot="1" customHeight="1">
      <c r="A8880" s="34" t="s">
        <v>28155</v>
      </c>
      <c r="B8880" s="35" t="s">
        <v>28156</v>
      </c>
      <c r="C8880" s="35" t="s">
        <v>28157</v>
      </c>
      <c r="D8880" s="36" t="s">
        <v>28158</v>
      </c>
      <c r="E8880" s="37"/>
      <c r="F8880" s="38">
        <f ca="1">F8890</f>
        <v>0</v>
      </c>
      <c r="G8880" s="37"/>
    </row>
    <row r="8881" spans="1:7" ht="30.60" thickBot="1" customHeight="1">
      <c r="A8881" s="26"/>
      <c r="B8881" s="26"/>
      <c r="C8881" s="26"/>
      <c r="D8881" s="25" t="s">
        <v>28159</v>
      </c>
      <c r="E8881" s="25"/>
      <c r="F8881" s="25"/>
      <c r="G8881" s="25"/>
    </row>
    <row r="8882" spans="1:7" ht="30.60" thickBot="1" customHeight="1">
      <c r="A8882" s="24" t="s">
        <v>28160</v>
      </c>
      <c r="B8882" s="24" t="s">
        <v>28161</v>
      </c>
      <c r="C8882" s="24" t="s">
        <v>28162</v>
      </c>
      <c r="D8882" s="25" t="s">
        <v>28163</v>
      </c>
      <c r="E8882" s="28">
        <v>1.00000</v>
      </c>
      <c r="F8882" s="29">
        <f ca="1">ROUND(41.600,3)</f>
        <v>0</v>
      </c>
      <c r="G8882" s="27">
        <f ca="1">ROUND(E8882*F8882,2)</f>
        <v>0</v>
      </c>
    </row>
    <row r="8883" spans="1:7" ht="30.60" thickBot="1" customHeight="1">
      <c r="A8883" s="24" t="s">
        <v>28164</v>
      </c>
      <c r="B8883" s="24" t="s">
        <v>28165</v>
      </c>
      <c r="C8883" s="24" t="s">
        <v>28166</v>
      </c>
      <c r="D8883" s="25" t="s">
        <v>28167</v>
      </c>
      <c r="E8883" s="28">
        <v>0.02200</v>
      </c>
      <c r="F8883" s="29">
        <f ca="1">ROUND(27.500,3)</f>
        <v>0</v>
      </c>
      <c r="G8883" s="27">
        <f ca="1">ROUND(E8883*F8883,2)</f>
        <v>0</v>
      </c>
    </row>
    <row r="8884" spans="1:7" ht="21.36" thickBot="1" customHeight="1">
      <c r="A8884" s="24" t="s">
        <v>28168</v>
      </c>
      <c r="B8884" s="24" t="s">
        <v>28169</v>
      </c>
      <c r="C8884" s="24" t="s">
        <v>28170</v>
      </c>
      <c r="D8884" s="25" t="s">
        <v>28171</v>
      </c>
      <c r="E8884" s="28">
        <v>0.70000</v>
      </c>
      <c r="F8884" s="29">
        <f ca="1">F8888</f>
        <v>0</v>
      </c>
      <c r="G8884" s="27">
        <f ca="1">ROUND(E8884*F8884,2)</f>
        <v>0</v>
      </c>
    </row>
    <row r="8885" spans="1:7" ht="24.36" thickBot="1" customHeight="1">
      <c r="A8885" s="24" t="s">
        <v>28172</v>
      </c>
      <c r="B8885" s="24" t="s">
        <v>28173</v>
      </c>
      <c r="C8885" s="24" t="s">
        <v>28174</v>
      </c>
      <c r="D8885" s="25" t="s">
        <v>28175</v>
      </c>
      <c r="E8885" s="28">
        <v>1.00000</v>
      </c>
      <c r="F8885" s="29">
        <f ca="1">ROUND(21.000,3)</f>
        <v>0</v>
      </c>
      <c r="G8885" s="27">
        <f ca="1">ROUND(E8885*F8885,2)</f>
        <v>0</v>
      </c>
    </row>
    <row r="8886" spans="1:7" ht="24.36" thickBot="1" customHeight="1">
      <c r="A8886" s="24" t="s">
        <v>28176</v>
      </c>
      <c r="B8886" s="24" t="s">
        <v>28177</v>
      </c>
      <c r="C8886" s="24" t="s">
        <v>28178</v>
      </c>
      <c r="D8886" s="25" t="s">
        <v>28179</v>
      </c>
      <c r="E8886" s="28">
        <v>1.00000</v>
      </c>
      <c r="F8886" s="29">
        <f ca="1">ROUND(19.000,3)</f>
        <v>0</v>
      </c>
      <c r="G8886" s="27">
        <f ca="1">ROUND(E8886*F8886,2)</f>
        <v>0</v>
      </c>
    </row>
    <row r="8887" spans="1:7" ht="24.36" thickBot="1" customHeight="1">
      <c r="A8887" s="24" t="s">
        <v>28180</v>
      </c>
      <c r="B8887" s="24" t="s">
        <v>28181</v>
      </c>
      <c r="C8887" s="24" t="s">
        <v>28182</v>
      </c>
      <c r="D8887" s="25" t="s">
        <v>28183</v>
      </c>
      <c r="E8887" s="28">
        <v>0.20000</v>
      </c>
      <c r="F8887" s="29">
        <f ca="1">ROUND(19.000,3)</f>
        <v>0</v>
      </c>
      <c r="G8887" s="27">
        <f ca="1">ROUND(E8887*F8887,2)</f>
        <v>0</v>
      </c>
    </row>
    <row r="8888" spans="1:7" ht="15.12" thickBot="1" customHeight="1">
      <c r="A8888" s="26"/>
      <c r="B8888" s="26"/>
      <c r="C8888" s="26"/>
      <c r="D8888" s="24" t="s">
        <v>28184</v>
      </c>
      <c r="E8888" s="28">
        <v>0.70000</v>
      </c>
      <c r="F8888" s="29">
        <f ca="1">ROUND((G8885+G8886+G8887),3)</f>
        <v>0</v>
      </c>
      <c r="G8888" s="27">
        <f ca="1">ROUND(E8888*F8888,2)</f>
        <v>0</v>
      </c>
    </row>
    <row r="8889" spans="1:7" ht="15.12" thickBot="1" customHeight="1">
      <c r="A8889" s="24" t="s">
        <v>28185</v>
      </c>
      <c r="B8889" s="24"/>
      <c r="C8889" s="24" t="s">
        <v>28186</v>
      </c>
      <c r="D8889" s="25" t="s">
        <v>28187</v>
      </c>
      <c r="E8889" s="28">
        <v>3.00000</v>
      </c>
      <c r="F8889" s="29">
        <f ca="1">ROUND(30.660,3)</f>
        <v>0</v>
      </c>
      <c r="G8889" s="27">
        <f ca="1">ROUND((E8889*F8889)/100,2)</f>
        <v>0</v>
      </c>
    </row>
    <row r="8890" spans="1:7" ht="15.48" thickBot="1" customHeight="1">
      <c r="A8890" s="30"/>
      <c r="B8890" s="30"/>
      <c r="C8890" s="30"/>
      <c r="D8890" s="31" t="s">
        <v>28188</v>
      </c>
      <c r="E8890" s="30"/>
      <c r="F8890" s="33">
        <f ca="1">ROUND((G8882+G8883+G8884+G8889)*(1+G2/100),2)</f>
        <v>0</v>
      </c>
      <c r="G8890" s="30"/>
    </row>
    <row r="8891" spans="1:7" ht="21.36" thickBot="1" customHeight="1">
      <c r="A8891" s="34" t="s">
        <v>28189</v>
      </c>
      <c r="B8891" s="35" t="s">
        <v>28190</v>
      </c>
      <c r="C8891" s="35" t="s">
        <v>28191</v>
      </c>
      <c r="D8891" s="36" t="s">
        <v>28192</v>
      </c>
      <c r="E8891" s="37"/>
      <c r="F8891" s="38">
        <f ca="1">F8901</f>
        <v>0</v>
      </c>
      <c r="G8891" s="37"/>
    </row>
    <row r="8892" spans="1:7" ht="39.84" thickBot="1" customHeight="1">
      <c r="A8892" s="26"/>
      <c r="B8892" s="26"/>
      <c r="C8892" s="26"/>
      <c r="D8892" s="25" t="s">
        <v>28193</v>
      </c>
      <c r="E8892" s="25"/>
      <c r="F8892" s="25"/>
      <c r="G8892" s="25"/>
    </row>
    <row r="8893" spans="1:7" ht="21.36" thickBot="1" customHeight="1">
      <c r="A8893" s="24" t="s">
        <v>28194</v>
      </c>
      <c r="B8893" s="24" t="s">
        <v>28195</v>
      </c>
      <c r="C8893" s="24" t="s">
        <v>28196</v>
      </c>
      <c r="D8893" s="25" t="s">
        <v>28197</v>
      </c>
      <c r="E8893" s="28">
        <v>40.00000</v>
      </c>
      <c r="F8893" s="29">
        <f ca="1">ROUND(0.600,3)</f>
        <v>0</v>
      </c>
      <c r="G8893" s="27">
        <f ca="1">ROUND(E8893*F8893,2)</f>
        <v>0</v>
      </c>
    </row>
    <row r="8894" spans="1:7" ht="24.36" thickBot="1" customHeight="1">
      <c r="A8894" s="24" t="s">
        <v>28198</v>
      </c>
      <c r="B8894" s="24" t="s">
        <v>28199</v>
      </c>
      <c r="C8894" s="24" t="s">
        <v>28200</v>
      </c>
      <c r="D8894" s="25" t="s">
        <v>28201</v>
      </c>
      <c r="E8894" s="28">
        <v>0.60000</v>
      </c>
      <c r="F8894" s="29">
        <f ca="1">ROUND(49.500,3)</f>
        <v>0</v>
      </c>
      <c r="G8894" s="27">
        <f ca="1">ROUND(E8894*F8894,2)</f>
        <v>0</v>
      </c>
    </row>
    <row r="8895" spans="1:7" ht="21.36" thickBot="1" customHeight="1">
      <c r="A8895" s="24" t="s">
        <v>28202</v>
      </c>
      <c r="B8895" s="24" t="s">
        <v>28203</v>
      </c>
      <c r="C8895" s="24" t="s">
        <v>28204</v>
      </c>
      <c r="D8895" s="25" t="s">
        <v>28205</v>
      </c>
      <c r="E8895" s="28">
        <v>0.60000</v>
      </c>
      <c r="F8895" s="29">
        <f ca="1">F8899</f>
        <v>0</v>
      </c>
      <c r="G8895" s="27">
        <f ca="1">ROUND(E8895*F8895,2)</f>
        <v>0</v>
      </c>
    </row>
    <row r="8896" spans="1:7" ht="24.36" thickBot="1" customHeight="1">
      <c r="A8896" s="24" t="s">
        <v>28206</v>
      </c>
      <c r="B8896" s="24" t="s">
        <v>28207</v>
      </c>
      <c r="C8896" s="24" t="s">
        <v>28208</v>
      </c>
      <c r="D8896" s="25" t="s">
        <v>28209</v>
      </c>
      <c r="E8896" s="28">
        <v>1.00000</v>
      </c>
      <c r="F8896" s="29">
        <f ca="1">ROUND(21.000,3)</f>
        <v>0</v>
      </c>
      <c r="G8896" s="27">
        <f ca="1">ROUND(E8896*F8896,2)</f>
        <v>0</v>
      </c>
    </row>
    <row r="8897" spans="1:7" ht="24.36" thickBot="1" customHeight="1">
      <c r="A8897" s="24" t="s">
        <v>28210</v>
      </c>
      <c r="B8897" s="24" t="s">
        <v>28211</v>
      </c>
      <c r="C8897" s="24" t="s">
        <v>28212</v>
      </c>
      <c r="D8897" s="25" t="s">
        <v>28213</v>
      </c>
      <c r="E8897" s="28">
        <v>1.00000</v>
      </c>
      <c r="F8897" s="29">
        <f ca="1">ROUND(19.000,3)</f>
        <v>0</v>
      </c>
      <c r="G8897" s="27">
        <f ca="1">ROUND(E8897*F8897,2)</f>
        <v>0</v>
      </c>
    </row>
    <row r="8898" spans="1:7" ht="24.36" thickBot="1" customHeight="1">
      <c r="A8898" s="24" t="s">
        <v>28214</v>
      </c>
      <c r="B8898" s="24" t="s">
        <v>28215</v>
      </c>
      <c r="C8898" s="24" t="s">
        <v>28216</v>
      </c>
      <c r="D8898" s="25" t="s">
        <v>28217</v>
      </c>
      <c r="E8898" s="28">
        <v>0.20000</v>
      </c>
      <c r="F8898" s="29">
        <f ca="1">ROUND(19.000,3)</f>
        <v>0</v>
      </c>
      <c r="G8898" s="27">
        <f ca="1">ROUND(E8898*F8898,2)</f>
        <v>0</v>
      </c>
    </row>
    <row r="8899" spans="1:7" ht="15.12" thickBot="1" customHeight="1">
      <c r="A8899" s="26"/>
      <c r="B8899" s="26"/>
      <c r="C8899" s="26"/>
      <c r="D8899" s="24" t="s">
        <v>28218</v>
      </c>
      <c r="E8899" s="28">
        <v>0.60000</v>
      </c>
      <c r="F8899" s="29">
        <f ca="1">ROUND((G8896+G8897+G8898),3)</f>
        <v>0</v>
      </c>
      <c r="G8899" s="27">
        <f ca="1">ROUND(E8899*F8899,2)</f>
        <v>0</v>
      </c>
    </row>
    <row r="8900" spans="1:7" ht="15.12" thickBot="1" customHeight="1">
      <c r="A8900" s="24" t="s">
        <v>28219</v>
      </c>
      <c r="B8900" s="24"/>
      <c r="C8900" s="24" t="s">
        <v>28220</v>
      </c>
      <c r="D8900" s="25" t="s">
        <v>28221</v>
      </c>
      <c r="E8900" s="28">
        <v>3.00000</v>
      </c>
      <c r="F8900" s="29">
        <f ca="1">ROUND(26.280,3)</f>
        <v>0</v>
      </c>
      <c r="G8900" s="27">
        <f ca="1">ROUND((E8900*F8900)/100,2)</f>
        <v>0</v>
      </c>
    </row>
    <row r="8901" spans="1:7" ht="15.48" thickBot="1" customHeight="1">
      <c r="A8901" s="30"/>
      <c r="B8901" s="30"/>
      <c r="C8901" s="30"/>
      <c r="D8901" s="31" t="s">
        <v>28222</v>
      </c>
      <c r="E8901" s="30"/>
      <c r="F8901" s="33">
        <f ca="1">ROUND((G8893+G8894+G8895+G8900)*(1+G2/100),2)</f>
        <v>0</v>
      </c>
      <c r="G8901" s="30"/>
    </row>
    <row r="8902" spans="1:7" ht="21.36" thickBot="1" customHeight="1">
      <c r="A8902" s="34" t="s">
        <v>28223</v>
      </c>
      <c r="B8902" s="35" t="s">
        <v>28224</v>
      </c>
      <c r="C8902" s="35" t="s">
        <v>28225</v>
      </c>
      <c r="D8902" s="36" t="s">
        <v>28226</v>
      </c>
      <c r="E8902" s="37"/>
      <c r="F8902" s="38">
        <f ca="1">F8911</f>
        <v>0</v>
      </c>
      <c r="G8902" s="37"/>
    </row>
    <row r="8903" spans="1:7" ht="39.84" thickBot="1" customHeight="1">
      <c r="A8903" s="26"/>
      <c r="B8903" s="26"/>
      <c r="C8903" s="26"/>
      <c r="D8903" s="25" t="s">
        <v>28227</v>
      </c>
      <c r="E8903" s="25"/>
      <c r="F8903" s="25"/>
      <c r="G8903" s="25"/>
    </row>
    <row r="8904" spans="1:7" ht="21.36" thickBot="1" customHeight="1">
      <c r="A8904" s="24" t="s">
        <v>28228</v>
      </c>
      <c r="B8904" s="24" t="s">
        <v>28229</v>
      </c>
      <c r="C8904" s="24" t="s">
        <v>28230</v>
      </c>
      <c r="D8904" s="25" t="s">
        <v>28231</v>
      </c>
      <c r="E8904" s="28">
        <v>26.00000</v>
      </c>
      <c r="F8904" s="29">
        <f ca="1">ROUND(0.900,3)</f>
        <v>0</v>
      </c>
      <c r="G8904" s="27">
        <f ca="1">ROUND(E8904*F8904,2)</f>
        <v>0</v>
      </c>
    </row>
    <row r="8905" spans="1:7" ht="21.36" thickBot="1" customHeight="1">
      <c r="A8905" s="24" t="s">
        <v>28232</v>
      </c>
      <c r="B8905" s="24" t="s">
        <v>28233</v>
      </c>
      <c r="C8905" s="24" t="s">
        <v>28234</v>
      </c>
      <c r="D8905" s="25" t="s">
        <v>28235</v>
      </c>
      <c r="E8905" s="28">
        <v>0.62000</v>
      </c>
      <c r="F8905" s="29">
        <f ca="1">F8909</f>
        <v>0</v>
      </c>
      <c r="G8905" s="27">
        <f ca="1">ROUND(E8905*F8905,2)</f>
        <v>0</v>
      </c>
    </row>
    <row r="8906" spans="1:7" ht="24.36" thickBot="1" customHeight="1">
      <c r="A8906" s="24" t="s">
        <v>28236</v>
      </c>
      <c r="B8906" s="24" t="s">
        <v>28237</v>
      </c>
      <c r="C8906" s="24" t="s">
        <v>28238</v>
      </c>
      <c r="D8906" s="25" t="s">
        <v>28239</v>
      </c>
      <c r="E8906" s="28">
        <v>1.00000</v>
      </c>
      <c r="F8906" s="29">
        <f ca="1">ROUND(21.000,3)</f>
        <v>0</v>
      </c>
      <c r="G8906" s="27">
        <f ca="1">ROUND(E8906*F8906,2)</f>
        <v>0</v>
      </c>
    </row>
    <row r="8907" spans="1:7" ht="24.36" thickBot="1" customHeight="1">
      <c r="A8907" s="24" t="s">
        <v>28240</v>
      </c>
      <c r="B8907" s="24" t="s">
        <v>28241</v>
      </c>
      <c r="C8907" s="24" t="s">
        <v>28242</v>
      </c>
      <c r="D8907" s="25" t="s">
        <v>28243</v>
      </c>
      <c r="E8907" s="28">
        <v>1.00000</v>
      </c>
      <c r="F8907" s="29">
        <f ca="1">ROUND(19.000,3)</f>
        <v>0</v>
      </c>
      <c r="G8907" s="27">
        <f ca="1">ROUND(E8907*F8907,2)</f>
        <v>0</v>
      </c>
    </row>
    <row r="8908" spans="1:7" ht="24.36" thickBot="1" customHeight="1">
      <c r="A8908" s="24" t="s">
        <v>28244</v>
      </c>
      <c r="B8908" s="24" t="s">
        <v>28245</v>
      </c>
      <c r="C8908" s="24" t="s">
        <v>28246</v>
      </c>
      <c r="D8908" s="25" t="s">
        <v>28247</v>
      </c>
      <c r="E8908" s="28">
        <v>0.20000</v>
      </c>
      <c r="F8908" s="29">
        <f ca="1">ROUND(19.000,3)</f>
        <v>0</v>
      </c>
      <c r="G8908" s="27">
        <f ca="1">ROUND(E8908*F8908,2)</f>
        <v>0</v>
      </c>
    </row>
    <row r="8909" spans="1:7" ht="15.12" thickBot="1" customHeight="1">
      <c r="A8909" s="26"/>
      <c r="B8909" s="26"/>
      <c r="C8909" s="26"/>
      <c r="D8909" s="24" t="s">
        <v>28248</v>
      </c>
      <c r="E8909" s="28">
        <v>0.62000</v>
      </c>
      <c r="F8909" s="29">
        <f ca="1">ROUND((G8906+G8907+G8908),3)</f>
        <v>0</v>
      </c>
      <c r="G8909" s="27">
        <f ca="1">ROUND(E8909*F8909,2)</f>
        <v>0</v>
      </c>
    </row>
    <row r="8910" spans="1:7" ht="15.12" thickBot="1" customHeight="1">
      <c r="A8910" s="24" t="s">
        <v>28249</v>
      </c>
      <c r="B8910" s="24"/>
      <c r="C8910" s="24" t="s">
        <v>28250</v>
      </c>
      <c r="D8910" s="25" t="s">
        <v>28251</v>
      </c>
      <c r="E8910" s="28">
        <v>3.00000</v>
      </c>
      <c r="F8910" s="29">
        <f ca="1">ROUND(50.560,3)</f>
        <v>0</v>
      </c>
      <c r="G8910" s="27">
        <f ca="1">ROUND((E8910*F8910)/100,2)</f>
        <v>0</v>
      </c>
    </row>
    <row r="8911" spans="1:7" ht="15.48" thickBot="1" customHeight="1">
      <c r="A8911" s="30"/>
      <c r="B8911" s="30"/>
      <c r="C8911" s="30"/>
      <c r="D8911" s="31" t="s">
        <v>28252</v>
      </c>
      <c r="E8911" s="30"/>
      <c r="F8911" s="33">
        <f ca="1">ROUND((G8904+G8905+G8910)*(1+G2/100),2)</f>
        <v>0</v>
      </c>
      <c r="G8911" s="30"/>
    </row>
    <row r="8912" spans="1:7" ht="30.60" thickBot="1" customHeight="1">
      <c r="A8912" s="34" t="s">
        <v>28253</v>
      </c>
      <c r="B8912" s="35" t="s">
        <v>28254</v>
      </c>
      <c r="C8912" s="35" t="s">
        <v>28255</v>
      </c>
      <c r="D8912" s="36" t="s">
        <v>28256</v>
      </c>
      <c r="E8912" s="37"/>
      <c r="F8912" s="38">
        <f ca="1">F8916</f>
        <v>0</v>
      </c>
      <c r="G8912" s="37"/>
    </row>
    <row r="8913" spans="1:7" ht="39.84" thickBot="1" customHeight="1">
      <c r="A8913" s="26"/>
      <c r="B8913" s="26"/>
      <c r="C8913" s="26"/>
      <c r="D8913" s="25" t="s">
        <v>28257</v>
      </c>
      <c r="E8913" s="25"/>
      <c r="F8913" s="25"/>
      <c r="G8913" s="25"/>
    </row>
    <row r="8914" spans="1:7" ht="30.60" thickBot="1" customHeight="1">
      <c r="A8914" s="24" t="s">
        <v>28258</v>
      </c>
      <c r="B8914" s="24" t="s">
        <v>28259</v>
      </c>
      <c r="C8914" s="24" t="s">
        <v>28260</v>
      </c>
      <c r="D8914" s="25" t="s">
        <v>28261</v>
      </c>
      <c r="E8914" s="28">
        <v>15.00000</v>
      </c>
      <c r="F8914" s="29">
        <f ca="1">ROUND(0.858,3)</f>
        <v>0</v>
      </c>
      <c r="G8914" s="27">
        <f ca="1">ROUND(E8914*F8914,2)</f>
        <v>0</v>
      </c>
    </row>
    <row r="8915" spans="1:7" ht="24.36" thickBot="1" customHeight="1">
      <c r="A8915" s="24" t="s">
        <v>28262</v>
      </c>
      <c r="B8915" s="24" t="s">
        <v>28263</v>
      </c>
      <c r="C8915" s="24" t="s">
        <v>28264</v>
      </c>
      <c r="D8915" s="25" t="s">
        <v>28265</v>
      </c>
      <c r="E8915" s="28">
        <v>0.30000</v>
      </c>
      <c r="F8915" s="29">
        <f ca="1">ROUND(49.500,3)</f>
        <v>0</v>
      </c>
      <c r="G8915" s="27">
        <f ca="1">ROUND(E8915*F8915,2)</f>
        <v>0</v>
      </c>
    </row>
    <row r="8916" spans="1:7" ht="15.48" thickBot="1" customHeight="1">
      <c r="A8916" s="30"/>
      <c r="B8916" s="30"/>
      <c r="C8916" s="30"/>
      <c r="D8916" s="31" t="s">
        <v>28266</v>
      </c>
      <c r="E8916" s="30"/>
      <c r="F8916" s="33">
        <f ca="1">ROUND((G8914+G8915)*(1+G2/100),2)</f>
        <v>0</v>
      </c>
      <c r="G8916" s="30"/>
    </row>
    <row r="8917" spans="1:7" ht="30.60" thickBot="1" customHeight="1">
      <c r="A8917" s="34" t="s">
        <v>28267</v>
      </c>
      <c r="B8917" s="35" t="s">
        <v>28268</v>
      </c>
      <c r="C8917" s="35" t="s">
        <v>28269</v>
      </c>
      <c r="D8917" s="36" t="s">
        <v>28270</v>
      </c>
      <c r="E8917" s="37"/>
      <c r="F8917" s="38">
        <f ca="1">F8921</f>
        <v>0</v>
      </c>
      <c r="G8917" s="37"/>
    </row>
    <row r="8918" spans="1:7" ht="12.12" thickBot="1" customHeight="1">
      <c r="A8918" s="26"/>
      <c r="B8918" s="26"/>
      <c r="C8918" s="26"/>
      <c r="D8918" s="25" t="s">
        <v>28271</v>
      </c>
      <c r="E8918" s="25"/>
      <c r="F8918" s="25"/>
      <c r="G8918" s="25"/>
    </row>
    <row r="8919" spans="1:7" ht="30.60" thickBot="1" customHeight="1">
      <c r="A8919" s="24" t="s">
        <v>28272</v>
      </c>
      <c r="B8919" s="24" t="s">
        <v>28273</v>
      </c>
      <c r="C8919" s="24" t="s">
        <v>28274</v>
      </c>
      <c r="D8919" s="25" t="s">
        <v>28275</v>
      </c>
      <c r="E8919" s="28">
        <v>6.00000</v>
      </c>
      <c r="F8919" s="29">
        <f ca="1">ROUND(0.860,3)</f>
        <v>0</v>
      </c>
      <c r="G8919" s="27">
        <f ca="1">ROUND(E8919*F8919,2)</f>
        <v>0</v>
      </c>
    </row>
    <row r="8920" spans="1:7" ht="24.36" thickBot="1" customHeight="1">
      <c r="A8920" s="24" t="s">
        <v>28276</v>
      </c>
      <c r="B8920" s="24" t="s">
        <v>28277</v>
      </c>
      <c r="C8920" s="24" t="s">
        <v>28278</v>
      </c>
      <c r="D8920" s="25" t="s">
        <v>28279</v>
      </c>
      <c r="E8920" s="28">
        <v>0.20000</v>
      </c>
      <c r="F8920" s="29">
        <f ca="1">ROUND(49.500,3)</f>
        <v>0</v>
      </c>
      <c r="G8920" s="27">
        <f ca="1">ROUND(E8920*F8920,2)</f>
        <v>0</v>
      </c>
    </row>
    <row r="8921" spans="1:7" ht="15.48" thickBot="1" customHeight="1">
      <c r="A8921" s="30"/>
      <c r="B8921" s="30"/>
      <c r="C8921" s="30"/>
      <c r="D8921" s="31" t="s">
        <v>28280</v>
      </c>
      <c r="E8921" s="30"/>
      <c r="F8921" s="33">
        <f ca="1">ROUND((G8919+G8920)*(1+G2/100),2)</f>
        <v>0</v>
      </c>
      <c r="G8921" s="30"/>
    </row>
    <row r="8922" spans="1:7" ht="21.36" thickBot="1" customHeight="1">
      <c r="A8922" s="34" t="s">
        <v>28281</v>
      </c>
      <c r="B8922" s="35" t="s">
        <v>28282</v>
      </c>
      <c r="C8922" s="35" t="s">
        <v>28283</v>
      </c>
      <c r="D8922" s="36" t="s">
        <v>28284</v>
      </c>
      <c r="E8922" s="37"/>
      <c r="F8922" s="38">
        <f ca="1">F8927</f>
        <v>0</v>
      </c>
      <c r="G8922" s="37"/>
    </row>
    <row r="8923" spans="1:7" ht="58.32" thickBot="1" customHeight="1">
      <c r="A8923" s="26"/>
      <c r="B8923" s="26"/>
      <c r="C8923" s="26"/>
      <c r="D8923" s="25" t="s">
        <v>28285</v>
      </c>
      <c r="E8923" s="25"/>
      <c r="F8923" s="25"/>
      <c r="G8923" s="25"/>
    </row>
    <row r="8924" spans="1:7" ht="15.12" thickBot="1" customHeight="1">
      <c r="A8924" s="24" t="s">
        <v>28286</v>
      </c>
      <c r="B8924" s="24" t="s">
        <v>28287</v>
      </c>
      <c r="C8924" s="24" t="s">
        <v>28288</v>
      </c>
      <c r="D8924" s="25" t="s">
        <v>28289</v>
      </c>
      <c r="E8924" s="28">
        <v>2.50000</v>
      </c>
      <c r="F8924" s="29">
        <f ca="1">ROUND(4.230,3)</f>
        <v>0</v>
      </c>
      <c r="G8924" s="27">
        <f ca="1">ROUND(E8924*F8924,2)</f>
        <v>0</v>
      </c>
    </row>
    <row r="8925" spans="1:7" ht="21.36" thickBot="1" customHeight="1">
      <c r="A8925" s="24" t="s">
        <v>28290</v>
      </c>
      <c r="B8925" s="24" t="s">
        <v>28291</v>
      </c>
      <c r="C8925" s="24" t="s">
        <v>28292</v>
      </c>
      <c r="D8925" s="25" t="s">
        <v>28293</v>
      </c>
      <c r="E8925" s="28">
        <v>1.10000</v>
      </c>
      <c r="F8925" s="29">
        <f ca="1">ROUND(0.680,3)</f>
        <v>0</v>
      </c>
      <c r="G8925" s="27">
        <f ca="1">ROUND(E8925*F8925,2)</f>
        <v>0</v>
      </c>
    </row>
    <row r="8926" spans="1:7" ht="24.36" thickBot="1" customHeight="1">
      <c r="A8926" s="24" t="s">
        <v>28294</v>
      </c>
      <c r="B8926" s="24" t="s">
        <v>28295</v>
      </c>
      <c r="C8926" s="24" t="s">
        <v>28296</v>
      </c>
      <c r="D8926" s="25" t="s">
        <v>28297</v>
      </c>
      <c r="E8926" s="28">
        <v>0.50000</v>
      </c>
      <c r="F8926" s="29">
        <f ca="1">ROUND(49.500,3)</f>
        <v>0</v>
      </c>
      <c r="G8926" s="27">
        <f ca="1">ROUND(E8926*F8926,2)</f>
        <v>0</v>
      </c>
    </row>
    <row r="8927" spans="1:7" ht="15.48" thickBot="1" customHeight="1">
      <c r="A8927" s="30"/>
      <c r="B8927" s="30"/>
      <c r="C8927" s="30"/>
      <c r="D8927" s="31" t="s">
        <v>28298</v>
      </c>
      <c r="E8927" s="30"/>
      <c r="F8927" s="33">
        <f ca="1">ROUND((G8924+G8925+G8926)*(1+G2/100),2)</f>
        <v>0</v>
      </c>
      <c r="G8927" s="30"/>
    </row>
    <row r="8928" spans="1:7" ht="21.36" thickBot="1" customHeight="1">
      <c r="A8928" s="34" t="s">
        <v>28299</v>
      </c>
      <c r="B8928" s="35" t="s">
        <v>28300</v>
      </c>
      <c r="C8928" s="35" t="s">
        <v>28301</v>
      </c>
      <c r="D8928" s="36" t="s">
        <v>28302</v>
      </c>
      <c r="E8928" s="37"/>
      <c r="F8928" s="38">
        <f ca="1">F8937</f>
        <v>0</v>
      </c>
      <c r="G8928" s="37"/>
    </row>
    <row r="8929" spans="1:7" ht="30.60" thickBot="1" customHeight="1">
      <c r="A8929" s="26"/>
      <c r="B8929" s="26"/>
      <c r="C8929" s="26"/>
      <c r="D8929" s="25" t="s">
        <v>28303</v>
      </c>
      <c r="E8929" s="25"/>
      <c r="F8929" s="25"/>
      <c r="G8929" s="25"/>
    </row>
    <row r="8930" spans="1:7" ht="24.36" thickBot="1" customHeight="1">
      <c r="A8930" s="24" t="s">
        <v>28304</v>
      </c>
      <c r="B8930" s="24" t="s">
        <v>28305</v>
      </c>
      <c r="C8930" s="24" t="s">
        <v>28306</v>
      </c>
      <c r="D8930" s="25" t="s">
        <v>28307</v>
      </c>
      <c r="E8930" s="28">
        <v>0.13000</v>
      </c>
      <c r="F8930" s="29">
        <f ca="1">ROUND(104.130,3)</f>
        <v>0</v>
      </c>
      <c r="G8930" s="27">
        <f ca="1">ROUND(E8930*F8930,2)</f>
        <v>0</v>
      </c>
    </row>
    <row r="8931" spans="1:7" ht="21.36" thickBot="1" customHeight="1">
      <c r="A8931" s="24" t="s">
        <v>28308</v>
      </c>
      <c r="B8931" s="24" t="s">
        <v>28309</v>
      </c>
      <c r="C8931" s="24" t="s">
        <v>28310</v>
      </c>
      <c r="D8931" s="25" t="s">
        <v>28311</v>
      </c>
      <c r="E8931" s="28">
        <v>0.22000</v>
      </c>
      <c r="F8931" s="29">
        <f ca="1">F8935</f>
        <v>0</v>
      </c>
      <c r="G8931" s="27">
        <f ca="1">ROUND(E8931*F8931,2)</f>
        <v>0</v>
      </c>
    </row>
    <row r="8932" spans="1:7" ht="24.36" thickBot="1" customHeight="1">
      <c r="A8932" s="24" t="s">
        <v>28312</v>
      </c>
      <c r="B8932" s="24" t="s">
        <v>28313</v>
      </c>
      <c r="C8932" s="24" t="s">
        <v>28314</v>
      </c>
      <c r="D8932" s="25" t="s">
        <v>28315</v>
      </c>
      <c r="E8932" s="28">
        <v>1.00000</v>
      </c>
      <c r="F8932" s="29">
        <f ca="1">ROUND(21.000,3)</f>
        <v>0</v>
      </c>
      <c r="G8932" s="27">
        <f ca="1">ROUND(E8932*F8932,2)</f>
        <v>0</v>
      </c>
    </row>
    <row r="8933" spans="1:7" ht="24.36" thickBot="1" customHeight="1">
      <c r="A8933" s="24" t="s">
        <v>28316</v>
      </c>
      <c r="B8933" s="24" t="s">
        <v>28317</v>
      </c>
      <c r="C8933" s="24" t="s">
        <v>28318</v>
      </c>
      <c r="D8933" s="25" t="s">
        <v>28319</v>
      </c>
      <c r="E8933" s="28">
        <v>1.00000</v>
      </c>
      <c r="F8933" s="29">
        <f ca="1">ROUND(19.000,3)</f>
        <v>0</v>
      </c>
      <c r="G8933" s="27">
        <f ca="1">ROUND(E8933*F8933,2)</f>
        <v>0</v>
      </c>
    </row>
    <row r="8934" spans="1:7" ht="24.36" thickBot="1" customHeight="1">
      <c r="A8934" s="24" t="s">
        <v>28320</v>
      </c>
      <c r="B8934" s="24" t="s">
        <v>28321</v>
      </c>
      <c r="C8934" s="24" t="s">
        <v>28322</v>
      </c>
      <c r="D8934" s="25" t="s">
        <v>28323</v>
      </c>
      <c r="E8934" s="28">
        <v>0.20000</v>
      </c>
      <c r="F8934" s="29">
        <f ca="1">ROUND(19.000,3)</f>
        <v>0</v>
      </c>
      <c r="G8934" s="27">
        <f ca="1">ROUND(E8934*F8934,2)</f>
        <v>0</v>
      </c>
    </row>
    <row r="8935" spans="1:7" ht="15.12" thickBot="1" customHeight="1">
      <c r="A8935" s="26"/>
      <c r="B8935" s="26"/>
      <c r="C8935" s="26"/>
      <c r="D8935" s="24" t="s">
        <v>28324</v>
      </c>
      <c r="E8935" s="28">
        <v>0.22000</v>
      </c>
      <c r="F8935" s="29">
        <f ca="1">ROUND((G8932+G8933+G8934),3)</f>
        <v>0</v>
      </c>
      <c r="G8935" s="27">
        <f ca="1">ROUND(E8935*F8935,2)</f>
        <v>0</v>
      </c>
    </row>
    <row r="8936" spans="1:7" ht="15.12" thickBot="1" customHeight="1">
      <c r="A8936" s="24" t="s">
        <v>28325</v>
      </c>
      <c r="B8936" s="24"/>
      <c r="C8936" s="24" t="s">
        <v>28326</v>
      </c>
      <c r="D8936" s="25" t="s">
        <v>28327</v>
      </c>
      <c r="E8936" s="28">
        <v>3.00000</v>
      </c>
      <c r="F8936" s="29">
        <f ca="1">ROUND(9.640,3)</f>
        <v>0</v>
      </c>
      <c r="G8936" s="27">
        <f ca="1">ROUND((E8936*F8936)/100,2)</f>
        <v>0</v>
      </c>
    </row>
    <row r="8937" spans="1:7" ht="15.48" thickBot="1" customHeight="1">
      <c r="A8937" s="30"/>
      <c r="B8937" s="30"/>
      <c r="C8937" s="30"/>
      <c r="D8937" s="31" t="s">
        <v>28328</v>
      </c>
      <c r="E8937" s="30"/>
      <c r="F8937" s="33">
        <f ca="1">ROUND((G8930+G8931+G8936)*(1+G2/100),2)</f>
        <v>0</v>
      </c>
      <c r="G8937" s="30"/>
    </row>
    <row r="8938" spans="1:7" ht="21.36" thickBot="1" customHeight="1">
      <c r="A8938" s="34" t="s">
        <v>28329</v>
      </c>
      <c r="B8938" s="35" t="s">
        <v>28330</v>
      </c>
      <c r="C8938" s="35" t="s">
        <v>28331</v>
      </c>
      <c r="D8938" s="36" t="s">
        <v>28332</v>
      </c>
      <c r="E8938" s="37"/>
      <c r="F8938" s="38">
        <f ca="1">F8943</f>
        <v>0</v>
      </c>
      <c r="G8938" s="37"/>
    </row>
    <row r="8939" spans="1:7" ht="49.08" thickBot="1" customHeight="1">
      <c r="A8939" s="26"/>
      <c r="B8939" s="26"/>
      <c r="C8939" s="26"/>
      <c r="D8939" s="25" t="s">
        <v>28333</v>
      </c>
      <c r="E8939" s="25"/>
      <c r="F8939" s="25"/>
      <c r="G8939" s="25"/>
    </row>
    <row r="8940" spans="1:7" ht="30.60" thickBot="1" customHeight="1">
      <c r="A8940" s="24" t="s">
        <v>28334</v>
      </c>
      <c r="B8940" s="24" t="s">
        <v>28335</v>
      </c>
      <c r="C8940" s="24" t="s">
        <v>28336</v>
      </c>
      <c r="D8940" s="25" t="s">
        <v>28337</v>
      </c>
      <c r="E8940" s="28">
        <v>5.00000</v>
      </c>
      <c r="F8940" s="29">
        <f ca="1">ROUND(2.800,3)</f>
        <v>0</v>
      </c>
      <c r="G8940" s="27">
        <f ca="1">ROUND(E8940*F8940,2)</f>
        <v>0</v>
      </c>
    </row>
    <row r="8941" spans="1:7" ht="21.36" thickBot="1" customHeight="1">
      <c r="A8941" s="24" t="s">
        <v>28338</v>
      </c>
      <c r="B8941" s="24" t="s">
        <v>28339</v>
      </c>
      <c r="C8941" s="24" t="s">
        <v>28340</v>
      </c>
      <c r="D8941" s="25" t="s">
        <v>28341</v>
      </c>
      <c r="E8941" s="28">
        <v>1.10000</v>
      </c>
      <c r="F8941" s="29">
        <f ca="1">ROUND(0.680,3)</f>
        <v>0</v>
      </c>
      <c r="G8941" s="27">
        <f ca="1">ROUND(E8941*F8941,2)</f>
        <v>0</v>
      </c>
    </row>
    <row r="8942" spans="1:7" ht="24.36" thickBot="1" customHeight="1">
      <c r="A8942" s="24" t="s">
        <v>28342</v>
      </c>
      <c r="B8942" s="24" t="s">
        <v>28343</v>
      </c>
      <c r="C8942" s="24" t="s">
        <v>28344</v>
      </c>
      <c r="D8942" s="25" t="s">
        <v>28345</v>
      </c>
      <c r="E8942" s="28">
        <v>0.20000</v>
      </c>
      <c r="F8942" s="29">
        <f ca="1">ROUND(49.500,3)</f>
        <v>0</v>
      </c>
      <c r="G8942" s="27">
        <f ca="1">ROUND(E8942*F8942,2)</f>
        <v>0</v>
      </c>
    </row>
    <row r="8943" spans="1:7" ht="15.48" thickBot="1" customHeight="1">
      <c r="A8943" s="30"/>
      <c r="B8943" s="30"/>
      <c r="C8943" s="30"/>
      <c r="D8943" s="31" t="s">
        <v>28346</v>
      </c>
      <c r="E8943" s="30"/>
      <c r="F8943" s="33">
        <f ca="1">ROUND((G8940+G8941+G8942)*(1+G2/100),2)</f>
        <v>0</v>
      </c>
      <c r="G8943" s="30"/>
    </row>
    <row r="8944" spans="1:7" ht="21.36" thickBot="1" customHeight="1">
      <c r="A8944" s="34" t="s">
        <v>28347</v>
      </c>
      <c r="B8944" s="35" t="s">
        <v>28348</v>
      </c>
      <c r="C8944" s="35" t="s">
        <v>28349</v>
      </c>
      <c r="D8944" s="36" t="s">
        <v>28350</v>
      </c>
      <c r="E8944" s="37"/>
      <c r="F8944" s="38">
        <f ca="1">F8949</f>
        <v>0</v>
      </c>
      <c r="G8944" s="37"/>
    </row>
    <row r="8945" spans="1:7" ht="39.84" thickBot="1" customHeight="1">
      <c r="A8945" s="26"/>
      <c r="B8945" s="26"/>
      <c r="C8945" s="26"/>
      <c r="D8945" s="25" t="s">
        <v>28351</v>
      </c>
      <c r="E8945" s="25"/>
      <c r="F8945" s="25"/>
      <c r="G8945" s="25"/>
    </row>
    <row r="8946" spans="1:7" ht="21.36" thickBot="1" customHeight="1">
      <c r="A8946" s="24" t="s">
        <v>28352</v>
      </c>
      <c r="B8946" s="24" t="s">
        <v>28353</v>
      </c>
      <c r="C8946" s="24" t="s">
        <v>28354</v>
      </c>
      <c r="D8946" s="25" t="s">
        <v>28355</v>
      </c>
      <c r="E8946" s="28">
        <v>4.00000</v>
      </c>
      <c r="F8946" s="29">
        <f ca="1">ROUND(2.000,3)</f>
        <v>0</v>
      </c>
      <c r="G8946" s="27">
        <f ca="1">ROUND(E8946*F8946,2)</f>
        <v>0</v>
      </c>
    </row>
    <row r="8947" spans="1:7" ht="39.84" thickBot="1" customHeight="1">
      <c r="A8947" s="24" t="s">
        <v>28356</v>
      </c>
      <c r="B8947" s="24" t="s">
        <v>28357</v>
      </c>
      <c r="C8947" s="24" t="s">
        <v>28358</v>
      </c>
      <c r="D8947" s="25" t="s">
        <v>28359</v>
      </c>
      <c r="E8947" s="28">
        <v>0.02200</v>
      </c>
      <c r="F8947" s="29">
        <f ca="1">ROUND(71.070,3)</f>
        <v>0</v>
      </c>
      <c r="G8947" s="27">
        <f ca="1">ROUND(E8947*F8947,2)</f>
        <v>0</v>
      </c>
    </row>
    <row r="8948" spans="1:7" ht="24.36" thickBot="1" customHeight="1">
      <c r="A8948" s="24" t="s">
        <v>28360</v>
      </c>
      <c r="B8948" s="24" t="s">
        <v>28361</v>
      </c>
      <c r="C8948" s="24" t="s">
        <v>28362</v>
      </c>
      <c r="D8948" s="25" t="s">
        <v>28363</v>
      </c>
      <c r="E8948" s="28">
        <v>0.22500</v>
      </c>
      <c r="F8948" s="29">
        <f ca="1">ROUND(49.500,3)</f>
        <v>0</v>
      </c>
      <c r="G8948" s="27">
        <f ca="1">ROUND(E8948*F8948,2)</f>
        <v>0</v>
      </c>
    </row>
    <row r="8949" spans="1:7" ht="15.48" thickBot="1" customHeight="1">
      <c r="A8949" s="30"/>
      <c r="B8949" s="30"/>
      <c r="C8949" s="30"/>
      <c r="D8949" s="31" t="s">
        <v>28364</v>
      </c>
      <c r="E8949" s="30"/>
      <c r="F8949" s="33">
        <f ca="1">ROUND((G8946+G8947+G8948)*(1+G2/100),2)</f>
        <v>0</v>
      </c>
      <c r="G8949" s="30"/>
    </row>
    <row r="8950" spans="1:7" ht="30.60" thickBot="1" customHeight="1">
      <c r="A8950" s="34" t="s">
        <v>28365</v>
      </c>
      <c r="B8950" s="35" t="s">
        <v>28366</v>
      </c>
      <c r="C8950" s="35" t="s">
        <v>28367</v>
      </c>
      <c r="D8950" s="36" t="s">
        <v>28368</v>
      </c>
      <c r="E8950" s="37"/>
      <c r="F8950" s="38">
        <f ca="1">F8960</f>
        <v>0</v>
      </c>
      <c r="G8950" s="37"/>
    </row>
    <row r="8951" spans="1:7" ht="49.08" thickBot="1" customHeight="1">
      <c r="A8951" s="26"/>
      <c r="B8951" s="26"/>
      <c r="C8951" s="26"/>
      <c r="D8951" s="25" t="s">
        <v>28369</v>
      </c>
      <c r="E8951" s="25"/>
      <c r="F8951" s="25"/>
      <c r="G8951" s="25"/>
    </row>
    <row r="8952" spans="1:7" ht="15.12" thickBot="1" customHeight="1">
      <c r="A8952" s="24" t="s">
        <v>28370</v>
      </c>
      <c r="B8952" s="24" t="s">
        <v>28371</v>
      </c>
      <c r="C8952" s="24" t="s">
        <v>28372</v>
      </c>
      <c r="D8952" s="25" t="s">
        <v>28373</v>
      </c>
      <c r="E8952" s="28">
        <v>2.00000</v>
      </c>
      <c r="F8952" s="29">
        <f ca="1">ROUND(0.270,3)</f>
        <v>0</v>
      </c>
      <c r="G8952" s="27">
        <f ca="1">ROUND(E8952*F8952,2)</f>
        <v>0</v>
      </c>
    </row>
    <row r="8953" spans="1:7" ht="30.60" thickBot="1" customHeight="1">
      <c r="A8953" s="24" t="s">
        <v>28374</v>
      </c>
      <c r="B8953" s="24" t="s">
        <v>28375</v>
      </c>
      <c r="C8953" s="24" t="s">
        <v>28376</v>
      </c>
      <c r="D8953" s="25" t="s">
        <v>28377</v>
      </c>
      <c r="E8953" s="28">
        <v>0.54000</v>
      </c>
      <c r="F8953" s="29">
        <f ca="1">ROUND(22.970,3)</f>
        <v>0</v>
      </c>
      <c r="G8953" s="27">
        <f ca="1">ROUND(E8953*F8953,2)</f>
        <v>0</v>
      </c>
    </row>
    <row r="8954" spans="1:7" ht="21.36" thickBot="1" customHeight="1">
      <c r="A8954" s="24" t="s">
        <v>28378</v>
      </c>
      <c r="B8954" s="24" t="s">
        <v>28379</v>
      </c>
      <c r="C8954" s="24" t="s">
        <v>28380</v>
      </c>
      <c r="D8954" s="25" t="s">
        <v>28381</v>
      </c>
      <c r="E8954" s="28">
        <v>0.02000</v>
      </c>
      <c r="F8954" s="29">
        <f ca="1">ROUND(8.020,3)</f>
        <v>0</v>
      </c>
      <c r="G8954" s="27">
        <f ca="1">ROUND(E8954*F8954,2)</f>
        <v>0</v>
      </c>
    </row>
    <row r="8955" spans="1:7" ht="21.36" thickBot="1" customHeight="1">
      <c r="A8955" s="24" t="s">
        <v>28382</v>
      </c>
      <c r="B8955" s="24" t="s">
        <v>28383</v>
      </c>
      <c r="C8955" s="24" t="s">
        <v>28384</v>
      </c>
      <c r="D8955" s="25" t="s">
        <v>28385</v>
      </c>
      <c r="E8955" s="28">
        <v>1.30000</v>
      </c>
      <c r="F8955" s="29">
        <f ca="1">F8959</f>
        <v>0</v>
      </c>
      <c r="G8955" s="27">
        <f ca="1">ROUND(E8955*F8955,2)</f>
        <v>0</v>
      </c>
    </row>
    <row r="8956" spans="1:7" ht="24.36" thickBot="1" customHeight="1">
      <c r="A8956" s="24" t="s">
        <v>28386</v>
      </c>
      <c r="B8956" s="24" t="s">
        <v>28387</v>
      </c>
      <c r="C8956" s="24" t="s">
        <v>28388</v>
      </c>
      <c r="D8956" s="25" t="s">
        <v>28389</v>
      </c>
      <c r="E8956" s="28">
        <v>1.00000</v>
      </c>
      <c r="F8956" s="29">
        <f ca="1">ROUND(21.000,3)</f>
        <v>0</v>
      </c>
      <c r="G8956" s="27">
        <f ca="1">ROUND(E8956*F8956,2)</f>
        <v>0</v>
      </c>
    </row>
    <row r="8957" spans="1:7" ht="24.36" thickBot="1" customHeight="1">
      <c r="A8957" s="24" t="s">
        <v>28390</v>
      </c>
      <c r="B8957" s="24" t="s">
        <v>28391</v>
      </c>
      <c r="C8957" s="24" t="s">
        <v>28392</v>
      </c>
      <c r="D8957" s="25" t="s">
        <v>28393</v>
      </c>
      <c r="E8957" s="28">
        <v>1.00000</v>
      </c>
      <c r="F8957" s="29">
        <f ca="1">ROUND(19.000,3)</f>
        <v>0</v>
      </c>
      <c r="G8957" s="27">
        <f ca="1">ROUND(E8957*F8957,2)</f>
        <v>0</v>
      </c>
    </row>
    <row r="8958" spans="1:7" ht="24.36" thickBot="1" customHeight="1">
      <c r="A8958" s="24" t="s">
        <v>28394</v>
      </c>
      <c r="B8958" s="24" t="s">
        <v>28395</v>
      </c>
      <c r="C8958" s="24" t="s">
        <v>28396</v>
      </c>
      <c r="D8958" s="25" t="s">
        <v>28397</v>
      </c>
      <c r="E8958" s="28">
        <v>0.20000</v>
      </c>
      <c r="F8958" s="29">
        <f ca="1">ROUND(19.000,3)</f>
        <v>0</v>
      </c>
      <c r="G8958" s="27">
        <f ca="1">ROUND(E8958*F8958,2)</f>
        <v>0</v>
      </c>
    </row>
    <row r="8959" spans="1:7" ht="15.12" thickBot="1" customHeight="1">
      <c r="A8959" s="26"/>
      <c r="B8959" s="26"/>
      <c r="C8959" s="26"/>
      <c r="D8959" s="24" t="s">
        <v>28398</v>
      </c>
      <c r="E8959" s="28">
        <v>1.30000</v>
      </c>
      <c r="F8959" s="29">
        <f ca="1">ROUND((G8956+G8957+G8958),3)</f>
        <v>0</v>
      </c>
      <c r="G8959" s="27">
        <f ca="1">ROUND(E8959*F8959,2)</f>
        <v>0</v>
      </c>
    </row>
    <row r="8960" spans="1:7" ht="15.48" thickBot="1" customHeight="1">
      <c r="A8960" s="30"/>
      <c r="B8960" s="30"/>
      <c r="C8960" s="30"/>
      <c r="D8960" s="31" t="s">
        <v>28399</v>
      </c>
      <c r="E8960" s="30"/>
      <c r="F8960" s="33">
        <f ca="1">ROUND((G8952+G8953+G8954+G8955)*(1+G2/100),2)</f>
        <v>0</v>
      </c>
      <c r="G8960" s="30"/>
    </row>
    <row r="8961" spans="1:7" ht="21.36" thickBot="1" customHeight="1">
      <c r="A8961" s="34" t="s">
        <v>28400</v>
      </c>
      <c r="B8961" s="35" t="s">
        <v>28401</v>
      </c>
      <c r="C8961" s="35" t="s">
        <v>28402</v>
      </c>
      <c r="D8961" s="36" t="s">
        <v>28403</v>
      </c>
      <c r="E8961" s="37"/>
      <c r="F8961" s="38">
        <f ca="1">F8965</f>
        <v>0</v>
      </c>
      <c r="G8961" s="37"/>
    </row>
    <row r="8962" spans="1:7" ht="39.84" thickBot="1" customHeight="1">
      <c r="A8962" s="26"/>
      <c r="B8962" s="26"/>
      <c r="C8962" s="26"/>
      <c r="D8962" s="25" t="s">
        <v>28404</v>
      </c>
      <c r="E8962" s="25"/>
      <c r="F8962" s="25"/>
      <c r="G8962" s="25"/>
    </row>
    <row r="8963" spans="1:7" ht="30.60" thickBot="1" customHeight="1">
      <c r="A8963" s="24" t="s">
        <v>28405</v>
      </c>
      <c r="B8963" s="24" t="s">
        <v>28406</v>
      </c>
      <c r="C8963" s="24" t="s">
        <v>28407</v>
      </c>
      <c r="D8963" s="25" t="s">
        <v>28408</v>
      </c>
      <c r="E8963" s="28">
        <v>1.00000</v>
      </c>
      <c r="F8963" s="29">
        <f ca="1">ROUND(6.330,3)</f>
        <v>0</v>
      </c>
      <c r="G8963" s="27">
        <f ca="1">ROUND(E8963*F8963,2)</f>
        <v>0</v>
      </c>
    </row>
    <row r="8964" spans="1:7" ht="24.36" thickBot="1" customHeight="1">
      <c r="A8964" s="24" t="s">
        <v>28409</v>
      </c>
      <c r="B8964" s="24" t="s">
        <v>28410</v>
      </c>
      <c r="C8964" s="24" t="s">
        <v>28411</v>
      </c>
      <c r="D8964" s="25" t="s">
        <v>28412</v>
      </c>
      <c r="E8964" s="28">
        <v>0.30000</v>
      </c>
      <c r="F8964" s="29">
        <f ca="1">ROUND(49.500,3)</f>
        <v>0</v>
      </c>
      <c r="G8964" s="27">
        <f ca="1">ROUND(E8964*F8964,2)</f>
        <v>0</v>
      </c>
    </row>
    <row r="8965" spans="1:7" ht="15.48" thickBot="1" customHeight="1">
      <c r="A8965" s="30"/>
      <c r="B8965" s="30"/>
      <c r="C8965" s="30"/>
      <c r="D8965" s="31" t="s">
        <v>28413</v>
      </c>
      <c r="E8965" s="30"/>
      <c r="F8965" s="33">
        <f ca="1">ROUND((G8963+G8964)*(1+G2/100),2)</f>
        <v>0</v>
      </c>
      <c r="G8965" s="30"/>
    </row>
    <row r="8966" spans="1:7" ht="30.60" thickBot="1" customHeight="1">
      <c r="A8966" s="34" t="s">
        <v>28414</v>
      </c>
      <c r="B8966" s="35" t="s">
        <v>28415</v>
      </c>
      <c r="C8966" s="35" t="s">
        <v>28416</v>
      </c>
      <c r="D8966" s="36" t="s">
        <v>28417</v>
      </c>
      <c r="E8966" s="37"/>
      <c r="F8966" s="38">
        <f ca="1">F8976</f>
        <v>0</v>
      </c>
      <c r="G8966" s="37"/>
    </row>
    <row r="8967" spans="1:7" ht="12.12" thickBot="1" customHeight="1">
      <c r="A8967" s="26"/>
      <c r="B8967" s="26"/>
      <c r="C8967" s="26"/>
      <c r="D8967" s="25" t="s">
        <v>28418</v>
      </c>
      <c r="E8967" s="25"/>
      <c r="F8967" s="25"/>
      <c r="G8967" s="25"/>
    </row>
    <row r="8968" spans="1:7" ht="30.60" thickBot="1" customHeight="1">
      <c r="A8968" s="24" t="s">
        <v>28419</v>
      </c>
      <c r="B8968" s="24" t="s">
        <v>28420</v>
      </c>
      <c r="C8968" s="24" t="s">
        <v>28421</v>
      </c>
      <c r="D8968" s="25" t="s">
        <v>28422</v>
      </c>
      <c r="E8968" s="28">
        <v>0.02200</v>
      </c>
      <c r="F8968" s="29">
        <f ca="1">ROUND(30.510,3)</f>
        <v>0</v>
      </c>
      <c r="G8968" s="27">
        <f ca="1">ROUND(E8968*F8968,2)</f>
        <v>0</v>
      </c>
    </row>
    <row r="8969" spans="1:7" ht="30.60" thickBot="1" customHeight="1">
      <c r="A8969" s="24" t="s">
        <v>28423</v>
      </c>
      <c r="B8969" s="24" t="s">
        <v>28424</v>
      </c>
      <c r="C8969" s="24" t="s">
        <v>28425</v>
      </c>
      <c r="D8969" s="25" t="s">
        <v>28426</v>
      </c>
      <c r="E8969" s="28">
        <v>0.13333</v>
      </c>
      <c r="F8969" s="29">
        <f ca="1">ROUND(63.950,3)</f>
        <v>0</v>
      </c>
      <c r="G8969" s="27">
        <f ca="1">ROUND(E8969*F8969,2)</f>
        <v>0</v>
      </c>
    </row>
    <row r="8970" spans="1:7" ht="21.36" thickBot="1" customHeight="1">
      <c r="A8970" s="24" t="s">
        <v>28427</v>
      </c>
      <c r="B8970" s="24" t="s">
        <v>28428</v>
      </c>
      <c r="C8970" s="24" t="s">
        <v>28429</v>
      </c>
      <c r="D8970" s="25" t="s">
        <v>28430</v>
      </c>
      <c r="E8970" s="28">
        <v>0.22857</v>
      </c>
      <c r="F8970" s="29">
        <f ca="1">F8974</f>
        <v>0</v>
      </c>
      <c r="G8970" s="27">
        <f ca="1">ROUND(E8970*F8970,2)</f>
        <v>0</v>
      </c>
    </row>
    <row r="8971" spans="1:7" ht="24.36" thickBot="1" customHeight="1">
      <c r="A8971" s="24" t="s">
        <v>28431</v>
      </c>
      <c r="B8971" s="24" t="s">
        <v>28432</v>
      </c>
      <c r="C8971" s="24" t="s">
        <v>28433</v>
      </c>
      <c r="D8971" s="25" t="s">
        <v>28434</v>
      </c>
      <c r="E8971" s="28">
        <v>1.00000</v>
      </c>
      <c r="F8971" s="29">
        <f ca="1">ROUND(21.000,3)</f>
        <v>0</v>
      </c>
      <c r="G8971" s="27">
        <f ca="1">ROUND(E8971*F8971,2)</f>
        <v>0</v>
      </c>
    </row>
    <row r="8972" spans="1:7" ht="24.36" thickBot="1" customHeight="1">
      <c r="A8972" s="24" t="s">
        <v>28435</v>
      </c>
      <c r="B8972" s="24" t="s">
        <v>28436</v>
      </c>
      <c r="C8972" s="24" t="s">
        <v>28437</v>
      </c>
      <c r="D8972" s="25" t="s">
        <v>28438</v>
      </c>
      <c r="E8972" s="28">
        <v>1.00000</v>
      </c>
      <c r="F8972" s="29">
        <f ca="1">ROUND(19.000,3)</f>
        <v>0</v>
      </c>
      <c r="G8972" s="27">
        <f ca="1">ROUND(E8972*F8972,2)</f>
        <v>0</v>
      </c>
    </row>
    <row r="8973" spans="1:7" ht="24.36" thickBot="1" customHeight="1">
      <c r="A8973" s="24" t="s">
        <v>28439</v>
      </c>
      <c r="B8973" s="24" t="s">
        <v>28440</v>
      </c>
      <c r="C8973" s="24" t="s">
        <v>28441</v>
      </c>
      <c r="D8973" s="25" t="s">
        <v>28442</v>
      </c>
      <c r="E8973" s="28">
        <v>0.20000</v>
      </c>
      <c r="F8973" s="29">
        <f ca="1">ROUND(19.000,3)</f>
        <v>0</v>
      </c>
      <c r="G8973" s="27">
        <f ca="1">ROUND(E8973*F8973,2)</f>
        <v>0</v>
      </c>
    </row>
    <row r="8974" spans="1:7" ht="15.12" thickBot="1" customHeight="1">
      <c r="A8974" s="26"/>
      <c r="B8974" s="26"/>
      <c r="C8974" s="26"/>
      <c r="D8974" s="24" t="s">
        <v>28443</v>
      </c>
      <c r="E8974" s="28">
        <v>0.22857</v>
      </c>
      <c r="F8974" s="29">
        <f ca="1">ROUND((G8971+G8972+G8973),3)</f>
        <v>0</v>
      </c>
      <c r="G8974" s="27">
        <f ca="1">ROUND(E8974*F8974,2)</f>
        <v>0</v>
      </c>
    </row>
    <row r="8975" spans="1:7" ht="15.12" thickBot="1" customHeight="1">
      <c r="A8975" s="24" t="s">
        <v>28444</v>
      </c>
      <c r="B8975" s="24"/>
      <c r="C8975" s="24" t="s">
        <v>28445</v>
      </c>
      <c r="D8975" s="25" t="s">
        <v>28446</v>
      </c>
      <c r="E8975" s="28">
        <v>5.00000</v>
      </c>
      <c r="F8975" s="29">
        <f ca="1">ROUND(10.010,3)</f>
        <v>0</v>
      </c>
      <c r="G8975" s="27">
        <f ca="1">ROUND((E8975*F8975)/100,2)</f>
        <v>0</v>
      </c>
    </row>
    <row r="8976" spans="1:7" ht="15.48" thickBot="1" customHeight="1">
      <c r="A8976" s="30"/>
      <c r="B8976" s="30"/>
      <c r="C8976" s="30"/>
      <c r="D8976" s="31" t="s">
        <v>28447</v>
      </c>
      <c r="E8976" s="30"/>
      <c r="F8976" s="33">
        <f ca="1">ROUND((G8968+G8969+G8970+G8975)*(1+G2/100),2)</f>
        <v>0</v>
      </c>
      <c r="G8976" s="30"/>
    </row>
    <row r="8977" spans="1:7" ht="15.48" thickBot="1" customHeight="1">
      <c r="A8977" s="34" t="s">
        <v>28448</v>
      </c>
      <c r="B8977" s="35" t="s">
        <v>28449</v>
      </c>
      <c r="C8977" s="35" t="s">
        <v>28450</v>
      </c>
      <c r="D8977" s="36" t="s">
        <v>28451</v>
      </c>
      <c r="E8977" s="37"/>
      <c r="F8977" s="38">
        <f ca="1">F8985</f>
        <v>0</v>
      </c>
      <c r="G8977" s="37"/>
    </row>
    <row r="8978" spans="1:7" ht="21.36" thickBot="1" customHeight="1">
      <c r="A8978" s="26"/>
      <c r="B8978" s="26"/>
      <c r="C8978" s="26"/>
      <c r="D8978" s="25" t="s">
        <v>28452</v>
      </c>
      <c r="E8978" s="25"/>
      <c r="F8978" s="25"/>
      <c r="G8978" s="25"/>
    </row>
    <row r="8979" spans="1:7" ht="30.60" thickBot="1" customHeight="1">
      <c r="A8979" s="24" t="s">
        <v>28453</v>
      </c>
      <c r="B8979" s="24" t="s">
        <v>28454</v>
      </c>
      <c r="C8979" s="24" t="s">
        <v>28455</v>
      </c>
      <c r="D8979" s="25" t="s">
        <v>28456</v>
      </c>
      <c r="E8979" s="28">
        <v>0.20000</v>
      </c>
      <c r="F8979" s="29">
        <f ca="1">ROUND(70.300,3)</f>
        <v>0</v>
      </c>
      <c r="G8979" s="27">
        <f ca="1">ROUND(E8979*F8979,2)</f>
        <v>0</v>
      </c>
    </row>
    <row r="8980" spans="1:7" ht="21.36" thickBot="1" customHeight="1">
      <c r="A8980" s="24" t="s">
        <v>28457</v>
      </c>
      <c r="B8980" s="24" t="s">
        <v>28458</v>
      </c>
      <c r="C8980" s="24" t="s">
        <v>28459</v>
      </c>
      <c r="D8980" s="25" t="s">
        <v>28460</v>
      </c>
      <c r="E8980" s="28">
        <v>0.32600</v>
      </c>
      <c r="F8980" s="29">
        <f ca="1">F8984</f>
        <v>0</v>
      </c>
      <c r="G8980" s="27">
        <f ca="1">ROUND(E8980*F8980,2)</f>
        <v>0</v>
      </c>
    </row>
    <row r="8981" spans="1:7" ht="24.36" thickBot="1" customHeight="1">
      <c r="A8981" s="24" t="s">
        <v>28461</v>
      </c>
      <c r="B8981" s="24" t="s">
        <v>28462</v>
      </c>
      <c r="C8981" s="24" t="s">
        <v>28463</v>
      </c>
      <c r="D8981" s="25" t="s">
        <v>28464</v>
      </c>
      <c r="E8981" s="28">
        <v>1.00000</v>
      </c>
      <c r="F8981" s="29">
        <f ca="1">ROUND(21.000,3)</f>
        <v>0</v>
      </c>
      <c r="G8981" s="27">
        <f ca="1">ROUND(E8981*F8981,2)</f>
        <v>0</v>
      </c>
    </row>
    <row r="8982" spans="1:7" ht="24.36" thickBot="1" customHeight="1">
      <c r="A8982" s="24" t="s">
        <v>28465</v>
      </c>
      <c r="B8982" s="24" t="s">
        <v>28466</v>
      </c>
      <c r="C8982" s="24" t="s">
        <v>28467</v>
      </c>
      <c r="D8982" s="25" t="s">
        <v>28468</v>
      </c>
      <c r="E8982" s="28">
        <v>1.00000</v>
      </c>
      <c r="F8982" s="29">
        <f ca="1">ROUND(19.000,3)</f>
        <v>0</v>
      </c>
      <c r="G8982" s="27">
        <f ca="1">ROUND(E8982*F8982,2)</f>
        <v>0</v>
      </c>
    </row>
    <row r="8983" spans="1:7" ht="24.36" thickBot="1" customHeight="1">
      <c r="A8983" s="24" t="s">
        <v>28469</v>
      </c>
      <c r="B8983" s="24" t="s">
        <v>28470</v>
      </c>
      <c r="C8983" s="24" t="s">
        <v>28471</v>
      </c>
      <c r="D8983" s="25" t="s">
        <v>28472</v>
      </c>
      <c r="E8983" s="28">
        <v>0.20000</v>
      </c>
      <c r="F8983" s="29">
        <f ca="1">ROUND(19.000,3)</f>
        <v>0</v>
      </c>
      <c r="G8983" s="27">
        <f ca="1">ROUND(E8983*F8983,2)</f>
        <v>0</v>
      </c>
    </row>
    <row r="8984" spans="1:7" ht="15.12" thickBot="1" customHeight="1">
      <c r="A8984" s="26"/>
      <c r="B8984" s="26"/>
      <c r="C8984" s="26"/>
      <c r="D8984" s="24" t="s">
        <v>28473</v>
      </c>
      <c r="E8984" s="28">
        <v>0.32600</v>
      </c>
      <c r="F8984" s="29">
        <f ca="1">ROUND((G8981+G8982+G8983),3)</f>
        <v>0</v>
      </c>
      <c r="G8984" s="27">
        <f ca="1">ROUND(E8984*F8984,2)</f>
        <v>0</v>
      </c>
    </row>
    <row r="8985" spans="1:7" ht="15.48" thickBot="1" customHeight="1">
      <c r="A8985" s="30"/>
      <c r="B8985" s="30"/>
      <c r="C8985" s="30"/>
      <c r="D8985" s="31" t="s">
        <v>28474</v>
      </c>
      <c r="E8985" s="30"/>
      <c r="F8985" s="33">
        <f ca="1">ROUND((G8979+G8980)*(1+G2/100),2)</f>
        <v>0</v>
      </c>
      <c r="G8985" s="30"/>
    </row>
    <row r="8986" spans="1:7" ht="39.84" thickBot="1" customHeight="1">
      <c r="A8986" s="34" t="s">
        <v>28475</v>
      </c>
      <c r="B8986" s="35" t="s">
        <v>28476</v>
      </c>
      <c r="C8986" s="35" t="s">
        <v>28477</v>
      </c>
      <c r="D8986" s="36" t="s">
        <v>28478</v>
      </c>
      <c r="E8986" s="37"/>
      <c r="F8986" s="38">
        <f ca="1">F8996</f>
        <v>0</v>
      </c>
      <c r="G8986" s="37"/>
    </row>
    <row r="8987" spans="1:7" ht="21.36" thickBot="1" customHeight="1">
      <c r="A8987" s="26"/>
      <c r="B8987" s="26"/>
      <c r="C8987" s="26"/>
      <c r="D8987" s="25" t="s">
        <v>28479</v>
      </c>
      <c r="E8987" s="25"/>
      <c r="F8987" s="25"/>
      <c r="G8987" s="25"/>
    </row>
    <row r="8988" spans="1:7" ht="39.84" thickBot="1" customHeight="1">
      <c r="A8988" s="24" t="s">
        <v>28480</v>
      </c>
      <c r="B8988" s="24" t="s">
        <v>28481</v>
      </c>
      <c r="C8988" s="24" t="s">
        <v>28482</v>
      </c>
      <c r="D8988" s="25" t="s">
        <v>28483</v>
      </c>
      <c r="E8988" s="28">
        <v>0.11000</v>
      </c>
      <c r="F8988" s="29">
        <f ca="1">ROUND(126.720,3)</f>
        <v>0</v>
      </c>
      <c r="G8988" s="27">
        <f ca="1">ROUND(E8988*F8988,2)</f>
        <v>0</v>
      </c>
    </row>
    <row r="8989" spans="1:7" ht="30.60" thickBot="1" customHeight="1">
      <c r="A8989" s="24" t="s">
        <v>28484</v>
      </c>
      <c r="B8989" s="24" t="s">
        <v>28485</v>
      </c>
      <c r="C8989" s="24" t="s">
        <v>28486</v>
      </c>
      <c r="D8989" s="25" t="s">
        <v>28487</v>
      </c>
      <c r="E8989" s="28">
        <v>0.02200</v>
      </c>
      <c r="F8989" s="29">
        <f ca="1">ROUND(30.510,3)</f>
        <v>0</v>
      </c>
      <c r="G8989" s="27">
        <f ca="1">ROUND(E8989*F8989,2)</f>
        <v>0</v>
      </c>
    </row>
    <row r="8990" spans="1:7" ht="21.36" thickBot="1" customHeight="1">
      <c r="A8990" s="24" t="s">
        <v>28488</v>
      </c>
      <c r="B8990" s="24" t="s">
        <v>28489</v>
      </c>
      <c r="C8990" s="24" t="s">
        <v>28490</v>
      </c>
      <c r="D8990" s="25" t="s">
        <v>28491</v>
      </c>
      <c r="E8990" s="28">
        <v>0.26667</v>
      </c>
      <c r="F8990" s="29">
        <f ca="1">F8994</f>
        <v>0</v>
      </c>
      <c r="G8990" s="27">
        <f ca="1">ROUND(E8990*F8990,2)</f>
        <v>0</v>
      </c>
    </row>
    <row r="8991" spans="1:7" ht="24.36" thickBot="1" customHeight="1">
      <c r="A8991" s="24" t="s">
        <v>28492</v>
      </c>
      <c r="B8991" s="24" t="s">
        <v>28493</v>
      </c>
      <c r="C8991" s="24" t="s">
        <v>28494</v>
      </c>
      <c r="D8991" s="25" t="s">
        <v>28495</v>
      </c>
      <c r="E8991" s="28">
        <v>1.00000</v>
      </c>
      <c r="F8991" s="29">
        <f ca="1">ROUND(21.000,3)</f>
        <v>0</v>
      </c>
      <c r="G8991" s="27">
        <f ca="1">ROUND(E8991*F8991,2)</f>
        <v>0</v>
      </c>
    </row>
    <row r="8992" spans="1:7" ht="24.36" thickBot="1" customHeight="1">
      <c r="A8992" s="24" t="s">
        <v>28496</v>
      </c>
      <c r="B8992" s="24" t="s">
        <v>28497</v>
      </c>
      <c r="C8992" s="24" t="s">
        <v>28498</v>
      </c>
      <c r="D8992" s="25" t="s">
        <v>28499</v>
      </c>
      <c r="E8992" s="28">
        <v>1.00000</v>
      </c>
      <c r="F8992" s="29">
        <f ca="1">ROUND(19.000,3)</f>
        <v>0</v>
      </c>
      <c r="G8992" s="27">
        <f ca="1">ROUND(E8992*F8992,2)</f>
        <v>0</v>
      </c>
    </row>
    <row r="8993" spans="1:7" ht="24.36" thickBot="1" customHeight="1">
      <c r="A8993" s="24" t="s">
        <v>28500</v>
      </c>
      <c r="B8993" s="24" t="s">
        <v>28501</v>
      </c>
      <c r="C8993" s="24" t="s">
        <v>28502</v>
      </c>
      <c r="D8993" s="25" t="s">
        <v>28503</v>
      </c>
      <c r="E8993" s="28">
        <v>0.20000</v>
      </c>
      <c r="F8993" s="29">
        <f ca="1">ROUND(19.000,3)</f>
        <v>0</v>
      </c>
      <c r="G8993" s="27">
        <f ca="1">ROUND(E8993*F8993,2)</f>
        <v>0</v>
      </c>
    </row>
    <row r="8994" spans="1:7" ht="15.12" thickBot="1" customHeight="1">
      <c r="A8994" s="26"/>
      <c r="B8994" s="26"/>
      <c r="C8994" s="26"/>
      <c r="D8994" s="24" t="s">
        <v>28504</v>
      </c>
      <c r="E8994" s="28">
        <v>0.26667</v>
      </c>
      <c r="F8994" s="29">
        <f ca="1">ROUND((G8991+G8992+G8993),3)</f>
        <v>0</v>
      </c>
      <c r="G8994" s="27">
        <f ca="1">ROUND(E8994*F8994,2)</f>
        <v>0</v>
      </c>
    </row>
    <row r="8995" spans="1:7" ht="15.12" thickBot="1" customHeight="1">
      <c r="A8995" s="24" t="s">
        <v>28505</v>
      </c>
      <c r="B8995" s="24"/>
      <c r="C8995" s="24" t="s">
        <v>28506</v>
      </c>
      <c r="D8995" s="25" t="s">
        <v>28507</v>
      </c>
      <c r="E8995" s="28">
        <v>5.00000</v>
      </c>
      <c r="F8995" s="29">
        <f ca="1">ROUND(11.680,3)</f>
        <v>0</v>
      </c>
      <c r="G8995" s="27">
        <f ca="1">ROUND((E8995*F8995)/100,2)</f>
        <v>0</v>
      </c>
    </row>
    <row r="8996" spans="1:7" ht="15.48" thickBot="1" customHeight="1">
      <c r="A8996" s="30"/>
      <c r="B8996" s="30"/>
      <c r="C8996" s="30"/>
      <c r="D8996" s="31" t="s">
        <v>28508</v>
      </c>
      <c r="E8996" s="30"/>
      <c r="F8996" s="33">
        <f ca="1">ROUND((G8988+G8989+G8990+G8995)*(1+G2/100),2)</f>
        <v>0</v>
      </c>
      <c r="G8996" s="30"/>
    </row>
    <row r="8997" spans="1:7" ht="49.08" thickBot="1" customHeight="1">
      <c r="A8997" s="34" t="s">
        <v>28509</v>
      </c>
      <c r="B8997" s="35" t="s">
        <v>28510</v>
      </c>
      <c r="C8997" s="35" t="s">
        <v>28511</v>
      </c>
      <c r="D8997" s="36" t="s">
        <v>28512</v>
      </c>
      <c r="E8997" s="37"/>
      <c r="F8997" s="38">
        <f ca="1">F9007</f>
        <v>0</v>
      </c>
      <c r="G8997" s="37"/>
    </row>
    <row r="8998" spans="1:7" ht="21.36" thickBot="1" customHeight="1">
      <c r="A8998" s="26"/>
      <c r="B8998" s="26"/>
      <c r="C8998" s="26"/>
      <c r="D8998" s="25" t="s">
        <v>28513</v>
      </c>
      <c r="E8998" s="25"/>
      <c r="F8998" s="25"/>
      <c r="G8998" s="25"/>
    </row>
    <row r="8999" spans="1:7" ht="39.84" thickBot="1" customHeight="1">
      <c r="A8999" s="24" t="s">
        <v>28514</v>
      </c>
      <c r="B8999" s="24" t="s">
        <v>28515</v>
      </c>
      <c r="C8999" s="24" t="s">
        <v>28516</v>
      </c>
      <c r="D8999" s="25" t="s">
        <v>28517</v>
      </c>
      <c r="E8999" s="28">
        <v>0.11000</v>
      </c>
      <c r="F8999" s="29">
        <f ca="1">ROUND(126.720,3)</f>
        <v>0</v>
      </c>
      <c r="G8999" s="27">
        <f ca="1">ROUND(E8999*F8999,2)</f>
        <v>0</v>
      </c>
    </row>
    <row r="9000" spans="1:7" ht="30.60" thickBot="1" customHeight="1">
      <c r="A9000" s="24" t="s">
        <v>28518</v>
      </c>
      <c r="B9000" s="24" t="s">
        <v>28519</v>
      </c>
      <c r="C9000" s="24" t="s">
        <v>28520</v>
      </c>
      <c r="D9000" s="25" t="s">
        <v>28521</v>
      </c>
      <c r="E9000" s="28">
        <v>0.02200</v>
      </c>
      <c r="F9000" s="29">
        <f ca="1">ROUND(30.510,3)</f>
        <v>0</v>
      </c>
      <c r="G9000" s="27">
        <f ca="1">ROUND(E9000*F9000,2)</f>
        <v>0</v>
      </c>
    </row>
    <row r="9001" spans="1:7" ht="21.36" thickBot="1" customHeight="1">
      <c r="A9001" s="24" t="s">
        <v>28522</v>
      </c>
      <c r="B9001" s="24" t="s">
        <v>28523</v>
      </c>
      <c r="C9001" s="24" t="s">
        <v>28524</v>
      </c>
      <c r="D9001" s="25" t="s">
        <v>28525</v>
      </c>
      <c r="E9001" s="28">
        <v>0.32000</v>
      </c>
      <c r="F9001" s="29">
        <f ca="1">F9005</f>
        <v>0</v>
      </c>
      <c r="G9001" s="27">
        <f ca="1">ROUND(E9001*F9001,2)</f>
        <v>0</v>
      </c>
    </row>
    <row r="9002" spans="1:7" ht="24.36" thickBot="1" customHeight="1">
      <c r="A9002" s="24" t="s">
        <v>28526</v>
      </c>
      <c r="B9002" s="24" t="s">
        <v>28527</v>
      </c>
      <c r="C9002" s="24" t="s">
        <v>28528</v>
      </c>
      <c r="D9002" s="25" t="s">
        <v>28529</v>
      </c>
      <c r="E9002" s="28">
        <v>1.00000</v>
      </c>
      <c r="F9002" s="29">
        <f ca="1">ROUND(21.000,3)</f>
        <v>0</v>
      </c>
      <c r="G9002" s="27">
        <f ca="1">ROUND(E9002*F9002,2)</f>
        <v>0</v>
      </c>
    </row>
    <row r="9003" spans="1:7" ht="24.36" thickBot="1" customHeight="1">
      <c r="A9003" s="24" t="s">
        <v>28530</v>
      </c>
      <c r="B9003" s="24" t="s">
        <v>28531</v>
      </c>
      <c r="C9003" s="24" t="s">
        <v>28532</v>
      </c>
      <c r="D9003" s="25" t="s">
        <v>28533</v>
      </c>
      <c r="E9003" s="28">
        <v>1.00000</v>
      </c>
      <c r="F9003" s="29">
        <f ca="1">ROUND(19.000,3)</f>
        <v>0</v>
      </c>
      <c r="G9003" s="27">
        <f ca="1">ROUND(E9003*F9003,2)</f>
        <v>0</v>
      </c>
    </row>
    <row r="9004" spans="1:7" ht="24.36" thickBot="1" customHeight="1">
      <c r="A9004" s="24" t="s">
        <v>28534</v>
      </c>
      <c r="B9004" s="24" t="s">
        <v>28535</v>
      </c>
      <c r="C9004" s="24" t="s">
        <v>28536</v>
      </c>
      <c r="D9004" s="25" t="s">
        <v>28537</v>
      </c>
      <c r="E9004" s="28">
        <v>0.20000</v>
      </c>
      <c r="F9004" s="29">
        <f ca="1">ROUND(19.000,3)</f>
        <v>0</v>
      </c>
      <c r="G9004" s="27">
        <f ca="1">ROUND(E9004*F9004,2)</f>
        <v>0</v>
      </c>
    </row>
    <row r="9005" spans="1:7" ht="15.12" thickBot="1" customHeight="1">
      <c r="A9005" s="26"/>
      <c r="B9005" s="26"/>
      <c r="C9005" s="26"/>
      <c r="D9005" s="24" t="s">
        <v>28538</v>
      </c>
      <c r="E9005" s="28">
        <v>0.32000</v>
      </c>
      <c r="F9005" s="29">
        <f ca="1">ROUND((G9002+G9003+G9004),3)</f>
        <v>0</v>
      </c>
      <c r="G9005" s="27">
        <f ca="1">ROUND(E9005*F9005,2)</f>
        <v>0</v>
      </c>
    </row>
    <row r="9006" spans="1:7" ht="15.12" thickBot="1" customHeight="1">
      <c r="A9006" s="24" t="s">
        <v>28539</v>
      </c>
      <c r="B9006" s="24"/>
      <c r="C9006" s="24" t="s">
        <v>28540</v>
      </c>
      <c r="D9006" s="25" t="s">
        <v>28541</v>
      </c>
      <c r="E9006" s="28">
        <v>5.00000</v>
      </c>
      <c r="F9006" s="29">
        <f ca="1">ROUND(14.020,3)</f>
        <v>0</v>
      </c>
      <c r="G9006" s="27">
        <f ca="1">ROUND((E9006*F9006)/100,2)</f>
        <v>0</v>
      </c>
    </row>
    <row r="9007" spans="1:7" ht="15.48" thickBot="1" customHeight="1">
      <c r="A9007" s="30"/>
      <c r="B9007" s="30"/>
      <c r="C9007" s="30"/>
      <c r="D9007" s="31" t="s">
        <v>28542</v>
      </c>
      <c r="E9007" s="30"/>
      <c r="F9007" s="33">
        <f ca="1">ROUND((G8999+G9000+G9001+G9006)*(1+G2/100),2)</f>
        <v>0</v>
      </c>
      <c r="G9007" s="30"/>
    </row>
    <row r="9008" spans="1:7" ht="21.36" thickBot="1" customHeight="1">
      <c r="A9008" s="34" t="s">
        <v>28543</v>
      </c>
      <c r="B9008" s="35" t="s">
        <v>28544</v>
      </c>
      <c r="C9008" s="35" t="s">
        <v>28545</v>
      </c>
      <c r="D9008" s="36" t="s">
        <v>28546</v>
      </c>
      <c r="E9008" s="37"/>
      <c r="F9008" s="38">
        <f ca="1">F9018</f>
        <v>0</v>
      </c>
      <c r="G9008" s="37"/>
    </row>
    <row r="9009" spans="1:7" ht="39.84" thickBot="1" customHeight="1">
      <c r="A9009" s="26"/>
      <c r="B9009" s="26"/>
      <c r="C9009" s="26"/>
      <c r="D9009" s="25" t="s">
        <v>28547</v>
      </c>
      <c r="E9009" s="25"/>
      <c r="F9009" s="25"/>
      <c r="G9009" s="25"/>
    </row>
    <row r="9010" spans="1:7" ht="15.12" thickBot="1" customHeight="1">
      <c r="A9010" s="24" t="s">
        <v>28548</v>
      </c>
      <c r="B9010" s="24" t="s">
        <v>28549</v>
      </c>
      <c r="C9010" s="24" t="s">
        <v>28550</v>
      </c>
      <c r="D9010" s="25" t="s">
        <v>28551</v>
      </c>
      <c r="E9010" s="28">
        <v>0.05200</v>
      </c>
      <c r="F9010" s="29">
        <f ca="1">ROUND(71.870,3)</f>
        <v>0</v>
      </c>
      <c r="G9010" s="27">
        <f ca="1">ROUND(E9010*F9010,2)</f>
        <v>0</v>
      </c>
    </row>
    <row r="9011" spans="1:7" ht="21.36" thickBot="1" customHeight="1">
      <c r="A9011" s="24" t="s">
        <v>28552</v>
      </c>
      <c r="B9011" s="24" t="s">
        <v>28553</v>
      </c>
      <c r="C9011" s="24" t="s">
        <v>28554</v>
      </c>
      <c r="D9011" s="25" t="s">
        <v>28555</v>
      </c>
      <c r="E9011" s="28">
        <v>0.05200</v>
      </c>
      <c r="F9011" s="29">
        <f ca="1">ROUND(62.660,3)</f>
        <v>0</v>
      </c>
      <c r="G9011" s="27">
        <f ca="1">ROUND(E9011*F9011,2)</f>
        <v>0</v>
      </c>
    </row>
    <row r="9012" spans="1:7" ht="21.36" thickBot="1" customHeight="1">
      <c r="A9012" s="24" t="s">
        <v>28556</v>
      </c>
      <c r="B9012" s="24" t="s">
        <v>28557</v>
      </c>
      <c r="C9012" s="24" t="s">
        <v>28558</v>
      </c>
      <c r="D9012" s="25" t="s">
        <v>28559</v>
      </c>
      <c r="E9012" s="28">
        <v>0.05200</v>
      </c>
      <c r="F9012" s="29">
        <f ca="1">ROUND(8.630,3)</f>
        <v>0</v>
      </c>
      <c r="G9012" s="27">
        <f ca="1">ROUND(E9012*F9012,2)</f>
        <v>0</v>
      </c>
    </row>
    <row r="9013" spans="1:7" ht="24.36" thickBot="1" customHeight="1">
      <c r="A9013" s="24" t="s">
        <v>28560</v>
      </c>
      <c r="B9013" s="24" t="s">
        <v>28561</v>
      </c>
      <c r="C9013" s="24" t="s">
        <v>28562</v>
      </c>
      <c r="D9013" s="25" t="s">
        <v>28563</v>
      </c>
      <c r="E9013" s="28">
        <v>0.05200</v>
      </c>
      <c r="F9013" s="29">
        <f ca="1">ROUND(62.660,3)</f>
        <v>0</v>
      </c>
      <c r="G9013" s="27">
        <f ca="1">ROUND(E9013*F9013,2)</f>
        <v>0</v>
      </c>
    </row>
    <row r="9014" spans="1:7" ht="15.12" thickBot="1" customHeight="1">
      <c r="A9014" s="24" t="s">
        <v>28564</v>
      </c>
      <c r="B9014" s="24" t="s">
        <v>28565</v>
      </c>
      <c r="C9014" s="24" t="s">
        <v>28566</v>
      </c>
      <c r="D9014" s="25" t="s">
        <v>28567</v>
      </c>
      <c r="E9014" s="28">
        <v>0.07900</v>
      </c>
      <c r="F9014" s="29">
        <f ca="1">ROUND(16.010,3)</f>
        <v>0</v>
      </c>
      <c r="G9014" s="27">
        <f ca="1">ROUND(E9014*F9014,2)</f>
        <v>0</v>
      </c>
    </row>
    <row r="9015" spans="1:7" ht="15.12" thickBot="1" customHeight="1">
      <c r="A9015" s="24" t="s">
        <v>28568</v>
      </c>
      <c r="B9015" s="24" t="s">
        <v>28569</v>
      </c>
      <c r="C9015" s="24" t="s">
        <v>28570</v>
      </c>
      <c r="D9015" s="25" t="s">
        <v>28571</v>
      </c>
      <c r="E9015" s="28">
        <v>0.05200</v>
      </c>
      <c r="F9015" s="29">
        <f ca="1">ROUND(117.250,3)</f>
        <v>0</v>
      </c>
      <c r="G9015" s="27">
        <f ca="1">ROUND(E9015*F9015,2)</f>
        <v>0</v>
      </c>
    </row>
    <row r="9016" spans="1:7" ht="39.84" thickBot="1" customHeight="1">
      <c r="A9016" s="24" t="s">
        <v>28572</v>
      </c>
      <c r="B9016" s="24" t="s">
        <v>28573</v>
      </c>
      <c r="C9016" s="24" t="s">
        <v>28574</v>
      </c>
      <c r="D9016" s="25" t="s">
        <v>28575</v>
      </c>
      <c r="E9016" s="28">
        <v>0.02200</v>
      </c>
      <c r="F9016" s="29">
        <f ca="1">ROUND(71.070,3)</f>
        <v>0</v>
      </c>
      <c r="G9016" s="27">
        <f ca="1">ROUND(E9016*F9016,2)</f>
        <v>0</v>
      </c>
    </row>
    <row r="9017" spans="1:7" ht="24.36" thickBot="1" customHeight="1">
      <c r="A9017" s="24" t="s">
        <v>28576</v>
      </c>
      <c r="B9017" s="24" t="s">
        <v>28577</v>
      </c>
      <c r="C9017" s="24" t="s">
        <v>28578</v>
      </c>
      <c r="D9017" s="25" t="s">
        <v>28579</v>
      </c>
      <c r="E9017" s="28">
        <v>1.80000</v>
      </c>
      <c r="F9017" s="29">
        <f ca="1">ROUND(49.500,3)</f>
        <v>0</v>
      </c>
      <c r="G9017" s="27">
        <f ca="1">ROUND(E9017*F9017,2)</f>
        <v>0</v>
      </c>
    </row>
    <row r="9018" spans="1:7" ht="15.48" thickBot="1" customHeight="1">
      <c r="A9018" s="30"/>
      <c r="B9018" s="30"/>
      <c r="C9018" s="30"/>
      <c r="D9018" s="31" t="s">
        <v>28580</v>
      </c>
      <c r="E9018" s="30"/>
      <c r="F9018" s="33">
        <f ca="1">ROUND((G9010+G9011+G9012+G9013+G9014+G9015+G9016+G9017)*(1+G2/100),2)</f>
        <v>0</v>
      </c>
      <c r="G9018" s="30"/>
    </row>
    <row r="9019" spans="1:7" ht="21.36" thickBot="1" customHeight="1">
      <c r="A9019" s="34" t="s">
        <v>28581</v>
      </c>
      <c r="B9019" s="35" t="s">
        <v>28582</v>
      </c>
      <c r="C9019" s="35" t="s">
        <v>28583</v>
      </c>
      <c r="D9019" s="36" t="s">
        <v>28584</v>
      </c>
      <c r="E9019" s="37"/>
      <c r="F9019" s="38">
        <f ca="1">F9028</f>
        <v>0</v>
      </c>
      <c r="G9019" s="37"/>
    </row>
    <row r="9020" spans="1:7" ht="39.84" thickBot="1" customHeight="1">
      <c r="A9020" s="26"/>
      <c r="B9020" s="26"/>
      <c r="C9020" s="26"/>
      <c r="D9020" s="25" t="s">
        <v>28585</v>
      </c>
      <c r="E9020" s="25"/>
      <c r="F9020" s="25"/>
      <c r="G9020" s="25"/>
    </row>
    <row r="9021" spans="1:7" ht="24.36" thickBot="1" customHeight="1">
      <c r="A9021" s="24" t="s">
        <v>28586</v>
      </c>
      <c r="B9021" s="24" t="s">
        <v>28587</v>
      </c>
      <c r="C9021" s="24" t="s">
        <v>28588</v>
      </c>
      <c r="D9021" s="25" t="s">
        <v>28589</v>
      </c>
      <c r="E9021" s="28">
        <v>0.10000</v>
      </c>
      <c r="F9021" s="29">
        <f ca="1">ROUND(38.750,3)</f>
        <v>0</v>
      </c>
      <c r="G9021" s="27">
        <f ca="1">ROUND(E9021*F9021,2)</f>
        <v>0</v>
      </c>
    </row>
    <row r="9022" spans="1:7" ht="21.36" thickBot="1" customHeight="1">
      <c r="A9022" s="24" t="s">
        <v>28590</v>
      </c>
      <c r="B9022" s="24" t="s">
        <v>28591</v>
      </c>
      <c r="C9022" s="24" t="s">
        <v>28592</v>
      </c>
      <c r="D9022" s="25" t="s">
        <v>28593</v>
      </c>
      <c r="E9022" s="28">
        <v>0.20000</v>
      </c>
      <c r="F9022" s="29">
        <f ca="1">F9026</f>
        <v>0</v>
      </c>
      <c r="G9022" s="27">
        <f ca="1">ROUND(E9022*F9022,2)</f>
        <v>0</v>
      </c>
    </row>
    <row r="9023" spans="1:7" ht="24.36" thickBot="1" customHeight="1">
      <c r="A9023" s="24" t="s">
        <v>28594</v>
      </c>
      <c r="B9023" s="24" t="s">
        <v>28595</v>
      </c>
      <c r="C9023" s="24" t="s">
        <v>28596</v>
      </c>
      <c r="D9023" s="25" t="s">
        <v>28597</v>
      </c>
      <c r="E9023" s="28">
        <v>1.00000</v>
      </c>
      <c r="F9023" s="29">
        <f ca="1">ROUND(21.000,3)</f>
        <v>0</v>
      </c>
      <c r="G9023" s="27">
        <f ca="1">ROUND(E9023*F9023,2)</f>
        <v>0</v>
      </c>
    </row>
    <row r="9024" spans="1:7" ht="24.36" thickBot="1" customHeight="1">
      <c r="A9024" s="24" t="s">
        <v>28598</v>
      </c>
      <c r="B9024" s="24" t="s">
        <v>28599</v>
      </c>
      <c r="C9024" s="24" t="s">
        <v>28600</v>
      </c>
      <c r="D9024" s="25" t="s">
        <v>28601</v>
      </c>
      <c r="E9024" s="28">
        <v>1.00000</v>
      </c>
      <c r="F9024" s="29">
        <f ca="1">ROUND(19.000,3)</f>
        <v>0</v>
      </c>
      <c r="G9024" s="27">
        <f ca="1">ROUND(E9024*F9024,2)</f>
        <v>0</v>
      </c>
    </row>
    <row r="9025" spans="1:7" ht="24.36" thickBot="1" customHeight="1">
      <c r="A9025" s="24" t="s">
        <v>28602</v>
      </c>
      <c r="B9025" s="24" t="s">
        <v>28603</v>
      </c>
      <c r="C9025" s="24" t="s">
        <v>28604</v>
      </c>
      <c r="D9025" s="25" t="s">
        <v>28605</v>
      </c>
      <c r="E9025" s="28">
        <v>0.20000</v>
      </c>
      <c r="F9025" s="29">
        <f ca="1">ROUND(19.000,3)</f>
        <v>0</v>
      </c>
      <c r="G9025" s="27">
        <f ca="1">ROUND(E9025*F9025,2)</f>
        <v>0</v>
      </c>
    </row>
    <row r="9026" spans="1:7" ht="15.12" thickBot="1" customHeight="1">
      <c r="A9026" s="26"/>
      <c r="B9026" s="26"/>
      <c r="C9026" s="26"/>
      <c r="D9026" s="24" t="s">
        <v>28606</v>
      </c>
      <c r="E9026" s="28">
        <v>0.20000</v>
      </c>
      <c r="F9026" s="29">
        <f ca="1">ROUND((G9023+G9024+G9025),3)</f>
        <v>0</v>
      </c>
      <c r="G9026" s="27">
        <f ca="1">ROUND(E9026*F9026,2)</f>
        <v>0</v>
      </c>
    </row>
    <row r="9027" spans="1:7" ht="15.12" thickBot="1" customHeight="1">
      <c r="A9027" s="24" t="s">
        <v>28607</v>
      </c>
      <c r="B9027" s="24"/>
      <c r="C9027" s="24" t="s">
        <v>28608</v>
      </c>
      <c r="D9027" s="25" t="s">
        <v>28609</v>
      </c>
      <c r="E9027" s="28">
        <v>3.00000</v>
      </c>
      <c r="F9027" s="29">
        <f ca="1">ROUND(8.760,3)</f>
        <v>0</v>
      </c>
      <c r="G9027" s="27">
        <f ca="1">ROUND((E9027*F9027)/100,2)</f>
        <v>0</v>
      </c>
    </row>
    <row r="9028" spans="1:7" ht="15.48" thickBot="1" customHeight="1">
      <c r="A9028" s="30"/>
      <c r="B9028" s="30"/>
      <c r="C9028" s="30"/>
      <c r="D9028" s="31" t="s">
        <v>28610</v>
      </c>
      <c r="E9028" s="30"/>
      <c r="F9028" s="33">
        <f ca="1">ROUND((G9021+G9022+G9027)*(1+G2/100),2)</f>
        <v>0</v>
      </c>
      <c r="G9028" s="30"/>
    </row>
    <row r="9029" spans="1:7" ht="15.48" thickBot="1" customHeight="1">
      <c r="A9029" s="34" t="s">
        <v>28611</v>
      </c>
      <c r="B9029" s="35" t="s">
        <v>28612</v>
      </c>
      <c r="C9029" s="35" t="s">
        <v>28613</v>
      </c>
      <c r="D9029" s="36" t="s">
        <v>28614</v>
      </c>
      <c r="E9029" s="37"/>
      <c r="F9029" s="38">
        <f ca="1">F9034</f>
        <v>0</v>
      </c>
      <c r="G9029" s="37"/>
    </row>
    <row r="9030" spans="1:7" ht="39.84" thickBot="1" customHeight="1">
      <c r="A9030" s="26"/>
      <c r="B9030" s="26"/>
      <c r="C9030" s="26"/>
      <c r="D9030" s="25" t="s">
        <v>28615</v>
      </c>
      <c r="E9030" s="25"/>
      <c r="F9030" s="25"/>
      <c r="G9030" s="25"/>
    </row>
    <row r="9031" spans="1:7" ht="39.84" thickBot="1" customHeight="1">
      <c r="A9031" s="24" t="s">
        <v>28616</v>
      </c>
      <c r="B9031" s="24" t="s">
        <v>28617</v>
      </c>
      <c r="C9031" s="24" t="s">
        <v>28618</v>
      </c>
      <c r="D9031" s="25" t="s">
        <v>28619</v>
      </c>
      <c r="E9031" s="28">
        <v>0.16000</v>
      </c>
      <c r="F9031" s="29">
        <f ca="1">ROUND(50.820,3)</f>
        <v>0</v>
      </c>
      <c r="G9031" s="27">
        <f ca="1">ROUND(E9031*F9031,2)</f>
        <v>0</v>
      </c>
    </row>
    <row r="9032" spans="1:7" ht="39.84" thickBot="1" customHeight="1">
      <c r="A9032" s="24" t="s">
        <v>28620</v>
      </c>
      <c r="B9032" s="24" t="s">
        <v>28621</v>
      </c>
      <c r="C9032" s="24" t="s">
        <v>28622</v>
      </c>
      <c r="D9032" s="25" t="s">
        <v>28623</v>
      </c>
      <c r="E9032" s="28">
        <v>0.02100</v>
      </c>
      <c r="F9032" s="29">
        <f ca="1">ROUND(71.070,3)</f>
        <v>0</v>
      </c>
      <c r="G9032" s="27">
        <f ca="1">ROUND(E9032*F9032,2)</f>
        <v>0</v>
      </c>
    </row>
    <row r="9033" spans="1:7" ht="24.36" thickBot="1" customHeight="1">
      <c r="A9033" s="24" t="s">
        <v>28624</v>
      </c>
      <c r="B9033" s="24" t="s">
        <v>28625</v>
      </c>
      <c r="C9033" s="24" t="s">
        <v>28626</v>
      </c>
      <c r="D9033" s="25" t="s">
        <v>28627</v>
      </c>
      <c r="E9033" s="28">
        <v>0.65000</v>
      </c>
      <c r="F9033" s="29">
        <f ca="1">ROUND(49.500,3)</f>
        <v>0</v>
      </c>
      <c r="G9033" s="27">
        <f ca="1">ROUND(E9033*F9033,2)</f>
        <v>0</v>
      </c>
    </row>
    <row r="9034" spans="1:7" ht="15.48" thickBot="1" customHeight="1">
      <c r="A9034" s="30"/>
      <c r="B9034" s="30"/>
      <c r="C9034" s="30"/>
      <c r="D9034" s="31" t="s">
        <v>28628</v>
      </c>
      <c r="E9034" s="30"/>
      <c r="F9034" s="33">
        <f ca="1">ROUND((G9031+G9032+G9033)*(1+G2/100),2)</f>
        <v>0</v>
      </c>
      <c r="G9034" s="30"/>
    </row>
    <row r="9035" spans="1:7" ht="30.60" thickBot="1" customHeight="1">
      <c r="A9035" s="34" t="s">
        <v>28629</v>
      </c>
      <c r="B9035" s="35" t="s">
        <v>28630</v>
      </c>
      <c r="C9035" s="35" t="s">
        <v>28631</v>
      </c>
      <c r="D9035" s="36" t="s">
        <v>28632</v>
      </c>
      <c r="E9035" s="37"/>
      <c r="F9035" s="38">
        <f ca="1">F9045</f>
        <v>0</v>
      </c>
      <c r="G9035" s="37"/>
    </row>
    <row r="9036" spans="1:7" ht="12.12" thickBot="1" customHeight="1">
      <c r="A9036" s="26"/>
      <c r="B9036" s="26"/>
      <c r="C9036" s="26"/>
      <c r="D9036" s="25" t="s">
        <v>28633</v>
      </c>
      <c r="E9036" s="25"/>
      <c r="F9036" s="25"/>
      <c r="G9036" s="25"/>
    </row>
    <row r="9037" spans="1:7" ht="30.60" thickBot="1" customHeight="1">
      <c r="A9037" s="24" t="s">
        <v>28634</v>
      </c>
      <c r="B9037" s="24" t="s">
        <v>28635</v>
      </c>
      <c r="C9037" s="24" t="s">
        <v>28636</v>
      </c>
      <c r="D9037" s="25" t="s">
        <v>28637</v>
      </c>
      <c r="E9037" s="28">
        <v>0.40000</v>
      </c>
      <c r="F9037" s="29">
        <f ca="1">ROUND(41.600,3)</f>
        <v>0</v>
      </c>
      <c r="G9037" s="27">
        <f ca="1">ROUND(E9037*F9037,2)</f>
        <v>0</v>
      </c>
    </row>
    <row r="9038" spans="1:7" ht="30.60" thickBot="1" customHeight="1">
      <c r="A9038" s="24" t="s">
        <v>28638</v>
      </c>
      <c r="B9038" s="24" t="s">
        <v>28639</v>
      </c>
      <c r="C9038" s="24" t="s">
        <v>28640</v>
      </c>
      <c r="D9038" s="25" t="s">
        <v>28641</v>
      </c>
      <c r="E9038" s="28">
        <v>0.14667</v>
      </c>
      <c r="F9038" s="29">
        <f ca="1">ROUND(49.500,3)</f>
        <v>0</v>
      </c>
      <c r="G9038" s="27">
        <f ca="1">ROUND(E9038*F9038,2)</f>
        <v>0</v>
      </c>
    </row>
    <row r="9039" spans="1:7" ht="21.36" thickBot="1" customHeight="1">
      <c r="A9039" s="24" t="s">
        <v>28642</v>
      </c>
      <c r="B9039" s="24" t="s">
        <v>28643</v>
      </c>
      <c r="C9039" s="24" t="s">
        <v>28644</v>
      </c>
      <c r="D9039" s="25" t="s">
        <v>28645</v>
      </c>
      <c r="E9039" s="28">
        <v>0.26667</v>
      </c>
      <c r="F9039" s="29">
        <f ca="1">F9043</f>
        <v>0</v>
      </c>
      <c r="G9039" s="27">
        <f ca="1">ROUND(E9039*F9039,2)</f>
        <v>0</v>
      </c>
    </row>
    <row r="9040" spans="1:7" ht="24.36" thickBot="1" customHeight="1">
      <c r="A9040" s="24" t="s">
        <v>28646</v>
      </c>
      <c r="B9040" s="24" t="s">
        <v>28647</v>
      </c>
      <c r="C9040" s="24" t="s">
        <v>28648</v>
      </c>
      <c r="D9040" s="25" t="s">
        <v>28649</v>
      </c>
      <c r="E9040" s="28">
        <v>1.00000</v>
      </c>
      <c r="F9040" s="29">
        <f ca="1">ROUND(21.000,3)</f>
        <v>0</v>
      </c>
      <c r="G9040" s="27">
        <f ca="1">ROUND(E9040*F9040,2)</f>
        <v>0</v>
      </c>
    </row>
    <row r="9041" spans="1:7" ht="24.36" thickBot="1" customHeight="1">
      <c r="A9041" s="24" t="s">
        <v>28650</v>
      </c>
      <c r="B9041" s="24" t="s">
        <v>28651</v>
      </c>
      <c r="C9041" s="24" t="s">
        <v>28652</v>
      </c>
      <c r="D9041" s="25" t="s">
        <v>28653</v>
      </c>
      <c r="E9041" s="28">
        <v>1.00000</v>
      </c>
      <c r="F9041" s="29">
        <f ca="1">ROUND(19.000,3)</f>
        <v>0</v>
      </c>
      <c r="G9041" s="27">
        <f ca="1">ROUND(E9041*F9041,2)</f>
        <v>0</v>
      </c>
    </row>
    <row r="9042" spans="1:7" ht="24.36" thickBot="1" customHeight="1">
      <c r="A9042" s="24" t="s">
        <v>28654</v>
      </c>
      <c r="B9042" s="24" t="s">
        <v>28655</v>
      </c>
      <c r="C9042" s="24" t="s">
        <v>28656</v>
      </c>
      <c r="D9042" s="25" t="s">
        <v>28657</v>
      </c>
      <c r="E9042" s="28">
        <v>0.20000</v>
      </c>
      <c r="F9042" s="29">
        <f ca="1">ROUND(19.000,3)</f>
        <v>0</v>
      </c>
      <c r="G9042" s="27">
        <f ca="1">ROUND(E9042*F9042,2)</f>
        <v>0</v>
      </c>
    </row>
    <row r="9043" spans="1:7" ht="15.12" thickBot="1" customHeight="1">
      <c r="A9043" s="26"/>
      <c r="B9043" s="26"/>
      <c r="C9043" s="26"/>
      <c r="D9043" s="24" t="s">
        <v>28658</v>
      </c>
      <c r="E9043" s="28">
        <v>0.26667</v>
      </c>
      <c r="F9043" s="29">
        <f ca="1">ROUND((G9040+G9041+G9042),3)</f>
        <v>0</v>
      </c>
      <c r="G9043" s="27">
        <f ca="1">ROUND(E9043*F9043,2)</f>
        <v>0</v>
      </c>
    </row>
    <row r="9044" spans="1:7" ht="15.12" thickBot="1" customHeight="1">
      <c r="A9044" s="24" t="s">
        <v>28659</v>
      </c>
      <c r="B9044" s="24"/>
      <c r="C9044" s="24" t="s">
        <v>28660</v>
      </c>
      <c r="D9044" s="25" t="s">
        <v>28661</v>
      </c>
      <c r="E9044" s="28">
        <v>3.00000</v>
      </c>
      <c r="F9044" s="29">
        <f ca="1">ROUND(11.680,3)</f>
        <v>0</v>
      </c>
      <c r="G9044" s="27">
        <f ca="1">ROUND((E9044*F9044)/100,2)</f>
        <v>0</v>
      </c>
    </row>
    <row r="9045" spans="1:7" ht="15.48" thickBot="1" customHeight="1">
      <c r="A9045" s="30"/>
      <c r="B9045" s="30"/>
      <c r="C9045" s="30"/>
      <c r="D9045" s="31" t="s">
        <v>28662</v>
      </c>
      <c r="E9045" s="30"/>
      <c r="F9045" s="33">
        <f ca="1">ROUND((G9037+G9038+G9039+G9044)*(1+G2/100),2)</f>
        <v>0</v>
      </c>
      <c r="G9045" s="30"/>
    </row>
    <row r="9046" spans="1:7" ht="39.84" thickBot="1" customHeight="1">
      <c r="A9046" s="34" t="s">
        <v>28663</v>
      </c>
      <c r="B9046" s="35" t="s">
        <v>28664</v>
      </c>
      <c r="C9046" s="35" t="s">
        <v>28665</v>
      </c>
      <c r="D9046" s="36" t="s">
        <v>28666</v>
      </c>
      <c r="E9046" s="37"/>
      <c r="F9046" s="38">
        <f ca="1">F9056</f>
        <v>0</v>
      </c>
      <c r="G9046" s="37"/>
    </row>
    <row r="9047" spans="1:7" ht="12.12" thickBot="1" customHeight="1">
      <c r="A9047" s="26"/>
      <c r="B9047" s="26"/>
      <c r="C9047" s="26"/>
      <c r="D9047" s="25" t="s">
        <v>28667</v>
      </c>
      <c r="E9047" s="25"/>
      <c r="F9047" s="25"/>
      <c r="G9047" s="25"/>
    </row>
    <row r="9048" spans="1:7" ht="39.84" thickBot="1" customHeight="1">
      <c r="A9048" s="24" t="s">
        <v>28668</v>
      </c>
      <c r="B9048" s="24" t="s">
        <v>28669</v>
      </c>
      <c r="C9048" s="24" t="s">
        <v>28670</v>
      </c>
      <c r="D9048" s="25" t="s">
        <v>28671</v>
      </c>
      <c r="E9048" s="28">
        <v>0.18900</v>
      </c>
      <c r="F9048" s="29">
        <f ca="1">ROUND(46.880,3)</f>
        <v>0</v>
      </c>
      <c r="G9048" s="27">
        <f ca="1">ROUND(E9048*F9048,2)</f>
        <v>0</v>
      </c>
    </row>
    <row r="9049" spans="1:7" ht="30.60" thickBot="1" customHeight="1">
      <c r="A9049" s="24" t="s">
        <v>28672</v>
      </c>
      <c r="B9049" s="24" t="s">
        <v>28673</v>
      </c>
      <c r="C9049" s="24" t="s">
        <v>28674</v>
      </c>
      <c r="D9049" s="25" t="s">
        <v>28675</v>
      </c>
      <c r="E9049" s="28">
        <v>0.14667</v>
      </c>
      <c r="F9049" s="29">
        <f ca="1">ROUND(49.500,3)</f>
        <v>0</v>
      </c>
      <c r="G9049" s="27">
        <f ca="1">ROUND(E9049*F9049,2)</f>
        <v>0</v>
      </c>
    </row>
    <row r="9050" spans="1:7" ht="21.36" thickBot="1" customHeight="1">
      <c r="A9050" s="24" t="s">
        <v>28676</v>
      </c>
      <c r="B9050" s="24" t="s">
        <v>28677</v>
      </c>
      <c r="C9050" s="24" t="s">
        <v>28678</v>
      </c>
      <c r="D9050" s="25" t="s">
        <v>28679</v>
      </c>
      <c r="E9050" s="28">
        <v>0.26667</v>
      </c>
      <c r="F9050" s="29">
        <f ca="1">F9054</f>
        <v>0</v>
      </c>
      <c r="G9050" s="27">
        <f ca="1">ROUND(E9050*F9050,2)</f>
        <v>0</v>
      </c>
    </row>
    <row r="9051" spans="1:7" ht="24.36" thickBot="1" customHeight="1">
      <c r="A9051" s="24" t="s">
        <v>28680</v>
      </c>
      <c r="B9051" s="24" t="s">
        <v>28681</v>
      </c>
      <c r="C9051" s="24" t="s">
        <v>28682</v>
      </c>
      <c r="D9051" s="25" t="s">
        <v>28683</v>
      </c>
      <c r="E9051" s="28">
        <v>1.00000</v>
      </c>
      <c r="F9051" s="29">
        <f ca="1">ROUND(21.000,3)</f>
        <v>0</v>
      </c>
      <c r="G9051" s="27">
        <f ca="1">ROUND(E9051*F9051,2)</f>
        <v>0</v>
      </c>
    </row>
    <row r="9052" spans="1:7" ht="24.36" thickBot="1" customHeight="1">
      <c r="A9052" s="24" t="s">
        <v>28684</v>
      </c>
      <c r="B9052" s="24" t="s">
        <v>28685</v>
      </c>
      <c r="C9052" s="24" t="s">
        <v>28686</v>
      </c>
      <c r="D9052" s="25" t="s">
        <v>28687</v>
      </c>
      <c r="E9052" s="28">
        <v>1.00000</v>
      </c>
      <c r="F9052" s="29">
        <f ca="1">ROUND(19.000,3)</f>
        <v>0</v>
      </c>
      <c r="G9052" s="27">
        <f ca="1">ROUND(E9052*F9052,2)</f>
        <v>0</v>
      </c>
    </row>
    <row r="9053" spans="1:7" ht="24.36" thickBot="1" customHeight="1">
      <c r="A9053" s="24" t="s">
        <v>28688</v>
      </c>
      <c r="B9053" s="24" t="s">
        <v>28689</v>
      </c>
      <c r="C9053" s="24" t="s">
        <v>28690</v>
      </c>
      <c r="D9053" s="25" t="s">
        <v>28691</v>
      </c>
      <c r="E9053" s="28">
        <v>0.20000</v>
      </c>
      <c r="F9053" s="29">
        <f ca="1">ROUND(19.000,3)</f>
        <v>0</v>
      </c>
      <c r="G9053" s="27">
        <f ca="1">ROUND(E9053*F9053,2)</f>
        <v>0</v>
      </c>
    </row>
    <row r="9054" spans="1:7" ht="15.12" thickBot="1" customHeight="1">
      <c r="A9054" s="26"/>
      <c r="B9054" s="26"/>
      <c r="C9054" s="26"/>
      <c r="D9054" s="24" t="s">
        <v>28692</v>
      </c>
      <c r="E9054" s="28">
        <v>0.26667</v>
      </c>
      <c r="F9054" s="29">
        <f ca="1">ROUND((G9051+G9052+G9053),3)</f>
        <v>0</v>
      </c>
      <c r="G9054" s="27">
        <f ca="1">ROUND(E9054*F9054,2)</f>
        <v>0</v>
      </c>
    </row>
    <row r="9055" spans="1:7" ht="15.12" thickBot="1" customHeight="1">
      <c r="A9055" s="24" t="s">
        <v>28693</v>
      </c>
      <c r="B9055" s="24"/>
      <c r="C9055" s="24" t="s">
        <v>28694</v>
      </c>
      <c r="D9055" s="25" t="s">
        <v>28695</v>
      </c>
      <c r="E9055" s="28">
        <v>3.00000</v>
      </c>
      <c r="F9055" s="29">
        <f ca="1">ROUND(11.680,3)</f>
        <v>0</v>
      </c>
      <c r="G9055" s="27">
        <f ca="1">ROUND((E9055*F9055)/100,2)</f>
        <v>0</v>
      </c>
    </row>
    <row r="9056" spans="1:7" ht="15.48" thickBot="1" customHeight="1">
      <c r="A9056" s="30"/>
      <c r="B9056" s="30"/>
      <c r="C9056" s="30"/>
      <c r="D9056" s="31" t="s">
        <v>28696</v>
      </c>
      <c r="E9056" s="30"/>
      <c r="F9056" s="33">
        <f ca="1">ROUND((G9048+G9049+G9050+G9055)*(1+G2/100),2)</f>
        <v>0</v>
      </c>
      <c r="G9056" s="30"/>
    </row>
    <row r="9057" spans="1:7" ht="15.48" thickBot="1" customHeight="1">
      <c r="A9057" s="39"/>
      <c r="B9057" s="39"/>
      <c r="C9057" s="39"/>
      <c r="D9057" s="55" t="s">
        <v>28697</v>
      </c>
      <c r="E9057" s="56"/>
      <c r="F9057" s="56"/>
      <c r="G9057" s="56"/>
    </row>
    <row r="9058" spans="1:7" ht="15.48" thickBot="1" customHeight="1">
      <c r="A9058" s="57" t="s">
        <v>28698</v>
      </c>
      <c r="B9058" s="57" t="s">
        <v>28699</v>
      </c>
      <c r="C9058" s="58"/>
      <c r="D9058" s="59" t="s">
        <v>28700</v>
      </c>
      <c r="E9058" s="58"/>
      <c r="F9058" s="58"/>
      <c r="G9058" s="58"/>
    </row>
    <row r="9059" spans="1:7" ht="21.36" thickBot="1" customHeight="1">
      <c r="A9059" s="10" t="s">
        <v>28701</v>
      </c>
      <c r="B9059" s="24" t="s">
        <v>28702</v>
      </c>
      <c r="C9059" s="24" t="s">
        <v>28703</v>
      </c>
      <c r="D9059" s="25" t="s">
        <v>28704</v>
      </c>
      <c r="E9059" s="26"/>
      <c r="F9059" s="27">
        <f ca="1">F9069</f>
        <v>0</v>
      </c>
      <c r="G9059" s="26"/>
    </row>
    <row r="9060" spans="1:7" ht="39.84" thickBot="1" customHeight="1">
      <c r="A9060" s="26"/>
      <c r="B9060" s="26"/>
      <c r="C9060" s="26"/>
      <c r="D9060" s="25" t="s">
        <v>28705</v>
      </c>
      <c r="E9060" s="25"/>
      <c r="F9060" s="25"/>
      <c r="G9060" s="25"/>
    </row>
    <row r="9061" spans="1:7" ht="30.60" thickBot="1" customHeight="1">
      <c r="A9061" s="24" t="s">
        <v>28706</v>
      </c>
      <c r="B9061" s="24" t="s">
        <v>28707</v>
      </c>
      <c r="C9061" s="24" t="s">
        <v>28708</v>
      </c>
      <c r="D9061" s="25" t="s">
        <v>28709</v>
      </c>
      <c r="E9061" s="28">
        <v>0.20000</v>
      </c>
      <c r="F9061" s="29">
        <f ca="1">ROUND(3.740,3)</f>
        <v>0</v>
      </c>
      <c r="G9061" s="27">
        <f ca="1">ROUND(E9061*F9061,2)</f>
        <v>0</v>
      </c>
    </row>
    <row r="9062" spans="1:7" ht="39.84" thickBot="1" customHeight="1">
      <c r="A9062" s="24" t="s">
        <v>28710</v>
      </c>
      <c r="B9062" s="24" t="s">
        <v>28711</v>
      </c>
      <c r="C9062" s="24" t="s">
        <v>28712</v>
      </c>
      <c r="D9062" s="25" t="s">
        <v>28713</v>
      </c>
      <c r="E9062" s="28">
        <v>0.20000</v>
      </c>
      <c r="F9062" s="29">
        <f ca="1">ROUND(7.565,3)</f>
        <v>0</v>
      </c>
      <c r="G9062" s="27">
        <f ca="1">ROUND(E9062*F9062,2)</f>
        <v>0</v>
      </c>
    </row>
    <row r="9063" spans="1:7" ht="21.36" thickBot="1" customHeight="1">
      <c r="A9063" s="24" t="s">
        <v>28714</v>
      </c>
      <c r="B9063" s="24" t="s">
        <v>28715</v>
      </c>
      <c r="C9063" s="24" t="s">
        <v>28716</v>
      </c>
      <c r="D9063" s="25" t="s">
        <v>28717</v>
      </c>
      <c r="E9063" s="28">
        <v>0.68000</v>
      </c>
      <c r="F9063" s="29">
        <f ca="1">F9067</f>
        <v>0</v>
      </c>
      <c r="G9063" s="27">
        <f ca="1">ROUND(E9063*F9063,2)</f>
        <v>0</v>
      </c>
    </row>
    <row r="9064" spans="1:7" ht="24.36" thickBot="1" customHeight="1">
      <c r="A9064" s="24" t="s">
        <v>28718</v>
      </c>
      <c r="B9064" s="24" t="s">
        <v>28719</v>
      </c>
      <c r="C9064" s="24" t="s">
        <v>28720</v>
      </c>
      <c r="D9064" s="25" t="s">
        <v>28721</v>
      </c>
      <c r="E9064" s="28">
        <v>1.00000</v>
      </c>
      <c r="F9064" s="29">
        <f ca="1">ROUND(21.000,3)</f>
        <v>0</v>
      </c>
      <c r="G9064" s="27">
        <f ca="1">ROUND(E9064*F9064,2)</f>
        <v>0</v>
      </c>
    </row>
    <row r="9065" spans="1:7" ht="24.36" thickBot="1" customHeight="1">
      <c r="A9065" s="24" t="s">
        <v>28722</v>
      </c>
      <c r="B9065" s="24" t="s">
        <v>28723</v>
      </c>
      <c r="C9065" s="24" t="s">
        <v>28724</v>
      </c>
      <c r="D9065" s="25" t="s">
        <v>28725</v>
      </c>
      <c r="E9065" s="28">
        <v>1.00000</v>
      </c>
      <c r="F9065" s="29">
        <f ca="1">ROUND(19.000,3)</f>
        <v>0</v>
      </c>
      <c r="G9065" s="27">
        <f ca="1">ROUND(E9065*F9065,2)</f>
        <v>0</v>
      </c>
    </row>
    <row r="9066" spans="1:7" ht="24.36" thickBot="1" customHeight="1">
      <c r="A9066" s="24" t="s">
        <v>28726</v>
      </c>
      <c r="B9066" s="24" t="s">
        <v>28727</v>
      </c>
      <c r="C9066" s="24" t="s">
        <v>28728</v>
      </c>
      <c r="D9066" s="25" t="s">
        <v>28729</v>
      </c>
      <c r="E9066" s="28">
        <v>0.20000</v>
      </c>
      <c r="F9066" s="29">
        <f ca="1">ROUND(19.000,3)</f>
        <v>0</v>
      </c>
      <c r="G9066" s="27">
        <f ca="1">ROUND(E9066*F9066,2)</f>
        <v>0</v>
      </c>
    </row>
    <row r="9067" spans="1:7" ht="15.12" thickBot="1" customHeight="1">
      <c r="A9067" s="26"/>
      <c r="B9067" s="26"/>
      <c r="C9067" s="26"/>
      <c r="D9067" s="24" t="s">
        <v>28730</v>
      </c>
      <c r="E9067" s="28">
        <v>0.68000</v>
      </c>
      <c r="F9067" s="29">
        <f ca="1">ROUND((G9064+G9065+G9066),3)</f>
        <v>0</v>
      </c>
      <c r="G9067" s="27">
        <f ca="1">ROUND(E9067*F9067,2)</f>
        <v>0</v>
      </c>
    </row>
    <row r="9068" spans="1:7" ht="15.12" thickBot="1" customHeight="1">
      <c r="A9068" s="24" t="s">
        <v>28731</v>
      </c>
      <c r="B9068" s="24"/>
      <c r="C9068" s="24" t="s">
        <v>28732</v>
      </c>
      <c r="D9068" s="25" t="s">
        <v>28733</v>
      </c>
      <c r="E9068" s="28">
        <v>3.00000</v>
      </c>
      <c r="F9068" s="29">
        <f ca="1">ROUND(29.780,3)</f>
        <v>0</v>
      </c>
      <c r="G9068" s="27">
        <f ca="1">ROUND((E9068*F9068)/100,2)</f>
        <v>0</v>
      </c>
    </row>
    <row r="9069" spans="1:7" ht="15.48" thickBot="1" customHeight="1">
      <c r="A9069" s="30"/>
      <c r="B9069" s="30"/>
      <c r="C9069" s="30"/>
      <c r="D9069" s="31" t="s">
        <v>28734</v>
      </c>
      <c r="E9069" s="30"/>
      <c r="F9069" s="33">
        <f ca="1">ROUND((G9061+G9062+G9063+G9068)*(1+G2/100),2)</f>
        <v>0</v>
      </c>
      <c r="G9069" s="30"/>
    </row>
    <row r="9070" spans="1:7" ht="21.36" thickBot="1" customHeight="1">
      <c r="A9070" s="34" t="s">
        <v>28735</v>
      </c>
      <c r="B9070" s="35" t="s">
        <v>28736</v>
      </c>
      <c r="C9070" s="35" t="s">
        <v>28737</v>
      </c>
      <c r="D9070" s="36" t="s">
        <v>28738</v>
      </c>
      <c r="E9070" s="37"/>
      <c r="F9070" s="38">
        <f ca="1">F9078</f>
        <v>0</v>
      </c>
      <c r="G9070" s="37"/>
    </row>
    <row r="9071" spans="1:7" ht="21.36" thickBot="1" customHeight="1">
      <c r="A9071" s="26"/>
      <c r="B9071" s="26"/>
      <c r="C9071" s="26"/>
      <c r="D9071" s="25" t="s">
        <v>28739</v>
      </c>
      <c r="E9071" s="25"/>
      <c r="F9071" s="25"/>
      <c r="G9071" s="25"/>
    </row>
    <row r="9072" spans="1:7" ht="21.36" thickBot="1" customHeight="1">
      <c r="A9072" s="24" t="s">
        <v>28740</v>
      </c>
      <c r="B9072" s="24" t="s">
        <v>28741</v>
      </c>
      <c r="C9072" s="24" t="s">
        <v>28742</v>
      </c>
      <c r="D9072" s="25" t="s">
        <v>28743</v>
      </c>
      <c r="E9072" s="28">
        <v>0.26660</v>
      </c>
      <c r="F9072" s="29">
        <f ca="1">F9076</f>
        <v>0</v>
      </c>
      <c r="G9072" s="27">
        <f ca="1">ROUND(E9072*F9072,2)</f>
        <v>0</v>
      </c>
    </row>
    <row r="9073" spans="1:7" ht="24.36" thickBot="1" customHeight="1">
      <c r="A9073" s="24" t="s">
        <v>28744</v>
      </c>
      <c r="B9073" s="24" t="s">
        <v>28745</v>
      </c>
      <c r="C9073" s="24" t="s">
        <v>28746</v>
      </c>
      <c r="D9073" s="25" t="s">
        <v>28747</v>
      </c>
      <c r="E9073" s="28">
        <v>1.00000</v>
      </c>
      <c r="F9073" s="29">
        <f ca="1">ROUND(21.000,3)</f>
        <v>0</v>
      </c>
      <c r="G9073" s="27">
        <f ca="1">ROUND(E9073*F9073,2)</f>
        <v>0</v>
      </c>
    </row>
    <row r="9074" spans="1:7" ht="24.36" thickBot="1" customHeight="1">
      <c r="A9074" s="24" t="s">
        <v>28748</v>
      </c>
      <c r="B9074" s="24" t="s">
        <v>28749</v>
      </c>
      <c r="C9074" s="24" t="s">
        <v>28750</v>
      </c>
      <c r="D9074" s="25" t="s">
        <v>28751</v>
      </c>
      <c r="E9074" s="28">
        <v>1.00000</v>
      </c>
      <c r="F9074" s="29">
        <f ca="1">ROUND(19.000,3)</f>
        <v>0</v>
      </c>
      <c r="G9074" s="27">
        <f ca="1">ROUND(E9074*F9074,2)</f>
        <v>0</v>
      </c>
    </row>
    <row r="9075" spans="1:7" ht="24.36" thickBot="1" customHeight="1">
      <c r="A9075" s="24" t="s">
        <v>28752</v>
      </c>
      <c r="B9075" s="24" t="s">
        <v>28753</v>
      </c>
      <c r="C9075" s="24" t="s">
        <v>28754</v>
      </c>
      <c r="D9075" s="25" t="s">
        <v>28755</v>
      </c>
      <c r="E9075" s="28">
        <v>0.20000</v>
      </c>
      <c r="F9075" s="29">
        <f ca="1">ROUND(19.000,3)</f>
        <v>0</v>
      </c>
      <c r="G9075" s="27">
        <f ca="1">ROUND(E9075*F9075,2)</f>
        <v>0</v>
      </c>
    </row>
    <row r="9076" spans="1:7" ht="15.12" thickBot="1" customHeight="1">
      <c r="A9076" s="26"/>
      <c r="B9076" s="26"/>
      <c r="C9076" s="26"/>
      <c r="D9076" s="24" t="s">
        <v>28756</v>
      </c>
      <c r="E9076" s="28">
        <v>0.26660</v>
      </c>
      <c r="F9076" s="29">
        <f ca="1">ROUND((G9073+G9074+G9075),3)</f>
        <v>0</v>
      </c>
      <c r="G9076" s="27">
        <f ca="1">ROUND(E9076*F9076,2)</f>
        <v>0</v>
      </c>
    </row>
    <row r="9077" spans="1:7" ht="15.12" thickBot="1" customHeight="1">
      <c r="A9077" s="24" t="s">
        <v>28757</v>
      </c>
      <c r="B9077" s="24"/>
      <c r="C9077" s="24" t="s">
        <v>28758</v>
      </c>
      <c r="D9077" s="25" t="s">
        <v>28759</v>
      </c>
      <c r="E9077" s="28">
        <v>3.00000</v>
      </c>
      <c r="F9077" s="29">
        <f ca="1">ROUND(11.680,3)</f>
        <v>0</v>
      </c>
      <c r="G9077" s="27">
        <f ca="1">ROUND((E9077*F9077)/100,2)</f>
        <v>0</v>
      </c>
    </row>
    <row r="9078" spans="1:7" ht="15.48" thickBot="1" customHeight="1">
      <c r="A9078" s="30"/>
      <c r="B9078" s="30"/>
      <c r="C9078" s="30"/>
      <c r="D9078" s="31" t="s">
        <v>28760</v>
      </c>
      <c r="E9078" s="30"/>
      <c r="F9078" s="33">
        <f ca="1">ROUND((G9072+G9077)*(1+G2/100),2)</f>
        <v>0</v>
      </c>
      <c r="G9078" s="30"/>
    </row>
    <row r="9079" spans="1:7" ht="15.48" thickBot="1" customHeight="1">
      <c r="A9079" s="34" t="s">
        <v>28761</v>
      </c>
      <c r="B9079" s="35" t="s">
        <v>28762</v>
      </c>
      <c r="C9079" s="35" t="s">
        <v>28763</v>
      </c>
      <c r="D9079" s="36" t="s">
        <v>28764</v>
      </c>
      <c r="E9079" s="37"/>
      <c r="F9079" s="38">
        <f ca="1">F9089</f>
        <v>0</v>
      </c>
      <c r="G9079" s="37"/>
    </row>
    <row r="9080" spans="1:7" ht="21.36" thickBot="1" customHeight="1">
      <c r="A9080" s="26"/>
      <c r="B9080" s="26"/>
      <c r="C9080" s="26"/>
      <c r="D9080" s="25" t="s">
        <v>28765</v>
      </c>
      <c r="E9080" s="25"/>
      <c r="F9080" s="25"/>
      <c r="G9080" s="25"/>
    </row>
    <row r="9081" spans="1:7" ht="30.60" thickBot="1" customHeight="1">
      <c r="A9081" s="24" t="s">
        <v>28766</v>
      </c>
      <c r="B9081" s="24" t="s">
        <v>28767</v>
      </c>
      <c r="C9081" s="24" t="s">
        <v>28768</v>
      </c>
      <c r="D9081" s="25" t="s">
        <v>28769</v>
      </c>
      <c r="E9081" s="28">
        <v>0.00840</v>
      </c>
      <c r="F9081" s="29">
        <f ca="1">ROUND(30.510,3)</f>
        <v>0</v>
      </c>
      <c r="G9081" s="27">
        <f ca="1">ROUND(E9081*F9081,2)</f>
        <v>0</v>
      </c>
    </row>
    <row r="9082" spans="1:7" ht="30.60" thickBot="1" customHeight="1">
      <c r="A9082" s="24" t="s">
        <v>28770</v>
      </c>
      <c r="B9082" s="24" t="s">
        <v>28771</v>
      </c>
      <c r="C9082" s="24" t="s">
        <v>28772</v>
      </c>
      <c r="D9082" s="25" t="s">
        <v>28773</v>
      </c>
      <c r="E9082" s="28">
        <v>0.10000</v>
      </c>
      <c r="F9082" s="29">
        <f ca="1">ROUND(1.470,3)</f>
        <v>0</v>
      </c>
      <c r="G9082" s="27">
        <f ca="1">ROUND(E9082*F9082,2)</f>
        <v>0</v>
      </c>
    </row>
    <row r="9083" spans="1:7" ht="21.36" thickBot="1" customHeight="1">
      <c r="A9083" s="24" t="s">
        <v>28774</v>
      </c>
      <c r="B9083" s="24" t="s">
        <v>28775</v>
      </c>
      <c r="C9083" s="24" t="s">
        <v>28776</v>
      </c>
      <c r="D9083" s="25" t="s">
        <v>28777</v>
      </c>
      <c r="E9083" s="28">
        <v>0.20000</v>
      </c>
      <c r="F9083" s="29">
        <f ca="1">F9087</f>
        <v>0</v>
      </c>
      <c r="G9083" s="27">
        <f ca="1">ROUND(E9083*F9083,2)</f>
        <v>0</v>
      </c>
    </row>
    <row r="9084" spans="1:7" ht="24.36" thickBot="1" customHeight="1">
      <c r="A9084" s="24" t="s">
        <v>28778</v>
      </c>
      <c r="B9084" s="24" t="s">
        <v>28779</v>
      </c>
      <c r="C9084" s="24" t="s">
        <v>28780</v>
      </c>
      <c r="D9084" s="25" t="s">
        <v>28781</v>
      </c>
      <c r="E9084" s="28">
        <v>1.00000</v>
      </c>
      <c r="F9084" s="29">
        <f ca="1">ROUND(21.000,3)</f>
        <v>0</v>
      </c>
      <c r="G9084" s="27">
        <f ca="1">ROUND(E9084*F9084,2)</f>
        <v>0</v>
      </c>
    </row>
    <row r="9085" spans="1:7" ht="24.36" thickBot="1" customHeight="1">
      <c r="A9085" s="24" t="s">
        <v>28782</v>
      </c>
      <c r="B9085" s="24" t="s">
        <v>28783</v>
      </c>
      <c r="C9085" s="24" t="s">
        <v>28784</v>
      </c>
      <c r="D9085" s="25" t="s">
        <v>28785</v>
      </c>
      <c r="E9085" s="28">
        <v>1.00000</v>
      </c>
      <c r="F9085" s="29">
        <f ca="1">ROUND(19.000,3)</f>
        <v>0</v>
      </c>
      <c r="G9085" s="27">
        <f ca="1">ROUND(E9085*F9085,2)</f>
        <v>0</v>
      </c>
    </row>
    <row r="9086" spans="1:7" ht="24.36" thickBot="1" customHeight="1">
      <c r="A9086" s="24" t="s">
        <v>28786</v>
      </c>
      <c r="B9086" s="24" t="s">
        <v>28787</v>
      </c>
      <c r="C9086" s="24" t="s">
        <v>28788</v>
      </c>
      <c r="D9086" s="25" t="s">
        <v>28789</v>
      </c>
      <c r="E9086" s="28">
        <v>0.20000</v>
      </c>
      <c r="F9086" s="29">
        <f ca="1">ROUND(19.000,3)</f>
        <v>0</v>
      </c>
      <c r="G9086" s="27">
        <f ca="1">ROUND(E9086*F9086,2)</f>
        <v>0</v>
      </c>
    </row>
    <row r="9087" spans="1:7" ht="15.12" thickBot="1" customHeight="1">
      <c r="A9087" s="26"/>
      <c r="B9087" s="26"/>
      <c r="C9087" s="26"/>
      <c r="D9087" s="24" t="s">
        <v>28790</v>
      </c>
      <c r="E9087" s="28">
        <v>0.20000</v>
      </c>
      <c r="F9087" s="29">
        <f ca="1">ROUND((G9084+G9085+G9086),3)</f>
        <v>0</v>
      </c>
      <c r="G9087" s="27">
        <f ca="1">ROUND(E9087*F9087,2)</f>
        <v>0</v>
      </c>
    </row>
    <row r="9088" spans="1:7" ht="15.12" thickBot="1" customHeight="1">
      <c r="A9088" s="24" t="s">
        <v>28791</v>
      </c>
      <c r="B9088" s="24"/>
      <c r="C9088" s="24" t="s">
        <v>28792</v>
      </c>
      <c r="D9088" s="25" t="s">
        <v>28793</v>
      </c>
      <c r="E9088" s="28">
        <v>3.00000</v>
      </c>
      <c r="F9088" s="29">
        <f ca="1">ROUND(8.760,3)</f>
        <v>0</v>
      </c>
      <c r="G9088" s="27">
        <f ca="1">ROUND((E9088*F9088)/100,2)</f>
        <v>0</v>
      </c>
    </row>
    <row r="9089" spans="1:7" ht="15.48" thickBot="1" customHeight="1">
      <c r="A9089" s="30"/>
      <c r="B9089" s="30"/>
      <c r="C9089" s="30"/>
      <c r="D9089" s="31" t="s">
        <v>28794</v>
      </c>
      <c r="E9089" s="30"/>
      <c r="F9089" s="33">
        <f ca="1">ROUND((G9081+G9082+G9083+G9088)*(1+G2/100),2)</f>
        <v>0</v>
      </c>
      <c r="G9089" s="30"/>
    </row>
    <row r="9090" spans="1:7" ht="15.48" thickBot="1" customHeight="1">
      <c r="A9090" s="34" t="s">
        <v>28795</v>
      </c>
      <c r="B9090" s="35" t="s">
        <v>28796</v>
      </c>
      <c r="C9090" s="35" t="s">
        <v>28797</v>
      </c>
      <c r="D9090" s="36" t="s">
        <v>28798</v>
      </c>
      <c r="E9090" s="37"/>
      <c r="F9090" s="38">
        <f ca="1">F9099</f>
        <v>0</v>
      </c>
      <c r="G9090" s="37"/>
    </row>
    <row r="9091" spans="1:7" ht="49.08" thickBot="1" customHeight="1">
      <c r="A9091" s="26"/>
      <c r="B9091" s="26"/>
      <c r="C9091" s="26"/>
      <c r="D9091" s="25" t="s">
        <v>28799</v>
      </c>
      <c r="E9091" s="25"/>
      <c r="F9091" s="25"/>
      <c r="G9091" s="25"/>
    </row>
    <row r="9092" spans="1:7" ht="30.60" thickBot="1" customHeight="1">
      <c r="A9092" s="24" t="s">
        <v>28800</v>
      </c>
      <c r="B9092" s="24" t="s">
        <v>28801</v>
      </c>
      <c r="C9092" s="24" t="s">
        <v>28802</v>
      </c>
      <c r="D9092" s="25" t="s">
        <v>28803</v>
      </c>
      <c r="E9092" s="28">
        <v>1.00000</v>
      </c>
      <c r="F9092" s="29">
        <f ca="1">F9098</f>
        <v>0</v>
      </c>
      <c r="G9092" s="27">
        <f ca="1">ROUND(E9092*F9092,2)</f>
        <v>0</v>
      </c>
    </row>
    <row r="9093" spans="1:7" ht="21.36" thickBot="1" customHeight="1">
      <c r="A9093" s="24" t="s">
        <v>28804</v>
      </c>
      <c r="B9093" s="24" t="s">
        <v>28805</v>
      </c>
      <c r="C9093" s="24" t="s">
        <v>28806</v>
      </c>
      <c r="D9093" s="25" t="s">
        <v>28807</v>
      </c>
      <c r="E9093" s="28">
        <v>0.05000</v>
      </c>
      <c r="F9093" s="29">
        <f ca="1">ROUND(2.000,3)</f>
        <v>0</v>
      </c>
      <c r="G9093" s="27">
        <f ca="1">ROUND(E9093*F9093,2)</f>
        <v>0</v>
      </c>
    </row>
    <row r="9094" spans="1:7" ht="30.60" thickBot="1" customHeight="1">
      <c r="A9094" s="24" t="s">
        <v>28808</v>
      </c>
      <c r="B9094" s="24" t="s">
        <v>28809</v>
      </c>
      <c r="C9094" s="24" t="s">
        <v>28810</v>
      </c>
      <c r="D9094" s="25" t="s">
        <v>28811</v>
      </c>
      <c r="E9094" s="28">
        <v>3.20000</v>
      </c>
      <c r="F9094" s="29">
        <f ca="1">ROUND(1.470,3)</f>
        <v>0</v>
      </c>
      <c r="G9094" s="27">
        <f ca="1">ROUND(E9094*F9094,2)</f>
        <v>0</v>
      </c>
    </row>
    <row r="9095" spans="1:7" ht="39.84" thickBot="1" customHeight="1">
      <c r="A9095" s="24" t="s">
        <v>28812</v>
      </c>
      <c r="B9095" s="24" t="s">
        <v>28813</v>
      </c>
      <c r="C9095" s="24" t="s">
        <v>28814</v>
      </c>
      <c r="D9095" s="25" t="s">
        <v>28815</v>
      </c>
      <c r="E9095" s="28">
        <v>0.15000</v>
      </c>
      <c r="F9095" s="29">
        <f ca="1">ROUND(20.130,3)</f>
        <v>0</v>
      </c>
      <c r="G9095" s="27">
        <f ca="1">ROUND(E9095*F9095,2)</f>
        <v>0</v>
      </c>
    </row>
    <row r="9096" spans="1:7" ht="21.36" thickBot="1" customHeight="1">
      <c r="A9096" s="24" t="s">
        <v>28816</v>
      </c>
      <c r="B9096" s="24" t="s">
        <v>28817</v>
      </c>
      <c r="C9096" s="24" t="s">
        <v>28818</v>
      </c>
      <c r="D9096" s="25" t="s">
        <v>28819</v>
      </c>
      <c r="E9096" s="28">
        <v>0.30000</v>
      </c>
      <c r="F9096" s="29">
        <f ca="1">ROUND(43.800,3)</f>
        <v>0</v>
      </c>
      <c r="G9096" s="27">
        <f ca="1">ROUND(E9096*F9096,2)</f>
        <v>0</v>
      </c>
    </row>
    <row r="9097" spans="1:7" ht="15.12" thickBot="1" customHeight="1">
      <c r="A9097" s="24" t="s">
        <v>28820</v>
      </c>
      <c r="B9097" s="24"/>
      <c r="C9097" s="24" t="s">
        <v>28821</v>
      </c>
      <c r="D9097" s="25" t="s">
        <v>28822</v>
      </c>
      <c r="E9097" s="28">
        <v>3.00000</v>
      </c>
      <c r="F9097" s="29">
        <f ca="1">ROUND(13.140,3)</f>
        <v>0</v>
      </c>
      <c r="G9097" s="27">
        <f ca="1">ROUND((E9097*F9097)/100,2)</f>
        <v>0</v>
      </c>
    </row>
    <row r="9098" spans="1:7" ht="15.12" thickBot="1" customHeight="1">
      <c r="A9098" s="26"/>
      <c r="B9098" s="26"/>
      <c r="C9098" s="26"/>
      <c r="D9098" s="24" t="s">
        <v>28823</v>
      </c>
      <c r="E9098" s="28">
        <v>1.00000</v>
      </c>
      <c r="F9098" s="29">
        <f ca="1">ROUND((G9093+G9094+G9095+G9096+G9097),3)</f>
        <v>0</v>
      </c>
      <c r="G9098" s="27">
        <f ca="1">ROUND(E9098*F9098,2)</f>
        <v>0</v>
      </c>
    </row>
    <row r="9099" spans="1:7" ht="15.48" thickBot="1" customHeight="1">
      <c r="A9099" s="30"/>
      <c r="B9099" s="30"/>
      <c r="C9099" s="30"/>
      <c r="D9099" s="31" t="s">
        <v>28824</v>
      </c>
      <c r="E9099" s="30"/>
      <c r="F9099" s="33">
        <f ca="1">ROUND((G9092)*(1+G2/100),2)</f>
        <v>0</v>
      </c>
      <c r="G9099" s="30"/>
    </row>
    <row r="9100" spans="1:7" ht="30.60" thickBot="1" customHeight="1">
      <c r="A9100" s="34" t="s">
        <v>28825</v>
      </c>
      <c r="B9100" s="35" t="s">
        <v>28826</v>
      </c>
      <c r="C9100" s="35" t="s">
        <v>28827</v>
      </c>
      <c r="D9100" s="36" t="s">
        <v>28828</v>
      </c>
      <c r="E9100" s="37"/>
      <c r="F9100" s="38">
        <f ca="1">F9110</f>
        <v>0</v>
      </c>
      <c r="G9100" s="37"/>
    </row>
    <row r="9101" spans="1:7" ht="30.60" thickBot="1" customHeight="1">
      <c r="A9101" s="26"/>
      <c r="B9101" s="26"/>
      <c r="C9101" s="26"/>
      <c r="D9101" s="25" t="s">
        <v>28829</v>
      </c>
      <c r="E9101" s="25"/>
      <c r="F9101" s="25"/>
      <c r="G9101" s="25"/>
    </row>
    <row r="9102" spans="1:7" ht="39.84" thickBot="1" customHeight="1">
      <c r="A9102" s="24" t="s">
        <v>28830</v>
      </c>
      <c r="B9102" s="24" t="s">
        <v>28831</v>
      </c>
      <c r="C9102" s="24" t="s">
        <v>28832</v>
      </c>
      <c r="D9102" s="25" t="s">
        <v>28833</v>
      </c>
      <c r="E9102" s="28">
        <v>0.04200</v>
      </c>
      <c r="F9102" s="29">
        <f ca="1">ROUND(44.840,3)</f>
        <v>0</v>
      </c>
      <c r="G9102" s="27">
        <f ca="1">ROUND(E9102*F9102,2)</f>
        <v>0</v>
      </c>
    </row>
    <row r="9103" spans="1:7" ht="49.08" thickBot="1" customHeight="1">
      <c r="A9103" s="24" t="s">
        <v>28834</v>
      </c>
      <c r="B9103" s="24" t="s">
        <v>28835</v>
      </c>
      <c r="C9103" s="24" t="s">
        <v>28836</v>
      </c>
      <c r="D9103" s="25" t="s">
        <v>28837</v>
      </c>
      <c r="E9103" s="28">
        <v>0.13333</v>
      </c>
      <c r="F9103" s="29">
        <f ca="1">ROUND(28.400,3)</f>
        <v>0</v>
      </c>
      <c r="G9103" s="27">
        <f ca="1">ROUND(E9103*F9103,2)</f>
        <v>0</v>
      </c>
    </row>
    <row r="9104" spans="1:7" ht="21.36" thickBot="1" customHeight="1">
      <c r="A9104" s="24" t="s">
        <v>28838</v>
      </c>
      <c r="B9104" s="24" t="s">
        <v>28839</v>
      </c>
      <c r="C9104" s="24" t="s">
        <v>28840</v>
      </c>
      <c r="D9104" s="25" t="s">
        <v>28841</v>
      </c>
      <c r="E9104" s="28">
        <v>0.50000</v>
      </c>
      <c r="F9104" s="29">
        <f ca="1">F9108</f>
        <v>0</v>
      </c>
      <c r="G9104" s="27">
        <f ca="1">ROUND(E9104*F9104,2)</f>
        <v>0</v>
      </c>
    </row>
    <row r="9105" spans="1:7" ht="24.36" thickBot="1" customHeight="1">
      <c r="A9105" s="24" t="s">
        <v>28842</v>
      </c>
      <c r="B9105" s="24" t="s">
        <v>28843</v>
      </c>
      <c r="C9105" s="24" t="s">
        <v>28844</v>
      </c>
      <c r="D9105" s="25" t="s">
        <v>28845</v>
      </c>
      <c r="E9105" s="28">
        <v>1.00000</v>
      </c>
      <c r="F9105" s="29">
        <f ca="1">ROUND(21.000,3)</f>
        <v>0</v>
      </c>
      <c r="G9105" s="27">
        <f ca="1">ROUND(E9105*F9105,2)</f>
        <v>0</v>
      </c>
    </row>
    <row r="9106" spans="1:7" ht="24.36" thickBot="1" customHeight="1">
      <c r="A9106" s="24" t="s">
        <v>28846</v>
      </c>
      <c r="B9106" s="24" t="s">
        <v>28847</v>
      </c>
      <c r="C9106" s="24" t="s">
        <v>28848</v>
      </c>
      <c r="D9106" s="25" t="s">
        <v>28849</v>
      </c>
      <c r="E9106" s="28">
        <v>1.00000</v>
      </c>
      <c r="F9106" s="29">
        <f ca="1">ROUND(19.000,3)</f>
        <v>0</v>
      </c>
      <c r="G9106" s="27">
        <f ca="1">ROUND(E9106*F9106,2)</f>
        <v>0</v>
      </c>
    </row>
    <row r="9107" spans="1:7" ht="24.36" thickBot="1" customHeight="1">
      <c r="A9107" s="24" t="s">
        <v>28850</v>
      </c>
      <c r="B9107" s="24" t="s">
        <v>28851</v>
      </c>
      <c r="C9107" s="24" t="s">
        <v>28852</v>
      </c>
      <c r="D9107" s="25" t="s">
        <v>28853</v>
      </c>
      <c r="E9107" s="28">
        <v>0.20000</v>
      </c>
      <c r="F9107" s="29">
        <f ca="1">ROUND(19.000,3)</f>
        <v>0</v>
      </c>
      <c r="G9107" s="27">
        <f ca="1">ROUND(E9107*F9107,2)</f>
        <v>0</v>
      </c>
    </row>
    <row r="9108" spans="1:7" ht="15.12" thickBot="1" customHeight="1">
      <c r="A9108" s="26"/>
      <c r="B9108" s="26"/>
      <c r="C9108" s="26"/>
      <c r="D9108" s="24" t="s">
        <v>28854</v>
      </c>
      <c r="E9108" s="28">
        <v>0.50000</v>
      </c>
      <c r="F9108" s="29">
        <f ca="1">ROUND((G9105+G9106+G9107),3)</f>
        <v>0</v>
      </c>
      <c r="G9108" s="27">
        <f ca="1">ROUND(E9108*F9108,2)</f>
        <v>0</v>
      </c>
    </row>
    <row r="9109" spans="1:7" ht="15.12" thickBot="1" customHeight="1">
      <c r="A9109" s="24" t="s">
        <v>28855</v>
      </c>
      <c r="B9109" s="24"/>
      <c r="C9109" s="24" t="s">
        <v>28856</v>
      </c>
      <c r="D9109" s="25" t="s">
        <v>28857</v>
      </c>
      <c r="E9109" s="28">
        <v>3.00000</v>
      </c>
      <c r="F9109" s="29">
        <f ca="1">ROUND(21.900,3)</f>
        <v>0</v>
      </c>
      <c r="G9109" s="27">
        <f ca="1">ROUND((E9109*F9109)/100,2)</f>
        <v>0</v>
      </c>
    </row>
    <row r="9110" spans="1:7" ht="15.48" thickBot="1" customHeight="1">
      <c r="A9110" s="30"/>
      <c r="B9110" s="30"/>
      <c r="C9110" s="30"/>
      <c r="D9110" s="31" t="s">
        <v>28858</v>
      </c>
      <c r="E9110" s="30"/>
      <c r="F9110" s="33">
        <f ca="1">ROUND((G9102+G9103+G9104+G9109)*(1+G2/100),2)</f>
        <v>0</v>
      </c>
      <c r="G9110" s="30"/>
    </row>
    <row r="9111" spans="1:7" ht="15.48" thickBot="1" customHeight="1">
      <c r="A9111" s="34" t="s">
        <v>28859</v>
      </c>
      <c r="B9111" s="35" t="s">
        <v>28860</v>
      </c>
      <c r="C9111" s="35" t="s">
        <v>28861</v>
      </c>
      <c r="D9111" s="36" t="s">
        <v>28862</v>
      </c>
      <c r="E9111" s="37"/>
      <c r="F9111" s="38">
        <f ca="1">F9120</f>
        <v>0</v>
      </c>
      <c r="G9111" s="37"/>
    </row>
    <row r="9112" spans="1:7" ht="21.36" thickBot="1" customHeight="1">
      <c r="A9112" s="26"/>
      <c r="B9112" s="26"/>
      <c r="C9112" s="26"/>
      <c r="D9112" s="25" t="s">
        <v>28863</v>
      </c>
      <c r="E9112" s="25"/>
      <c r="F9112" s="25"/>
      <c r="G9112" s="25"/>
    </row>
    <row r="9113" spans="1:7" ht="39.84" thickBot="1" customHeight="1">
      <c r="A9113" s="24" t="s">
        <v>28864</v>
      </c>
      <c r="B9113" s="24" t="s">
        <v>28865</v>
      </c>
      <c r="C9113" s="24" t="s">
        <v>28866</v>
      </c>
      <c r="D9113" s="25" t="s">
        <v>28867</v>
      </c>
      <c r="E9113" s="28">
        <v>0.02200</v>
      </c>
      <c r="F9113" s="29">
        <f ca="1">ROUND(41.250,3)</f>
        <v>0</v>
      </c>
      <c r="G9113" s="27">
        <f ca="1">ROUND(E9113*F9113,2)</f>
        <v>0</v>
      </c>
    </row>
    <row r="9114" spans="1:7" ht="21.36" thickBot="1" customHeight="1">
      <c r="A9114" s="24" t="s">
        <v>28868</v>
      </c>
      <c r="B9114" s="24" t="s">
        <v>28869</v>
      </c>
      <c r="C9114" s="24" t="s">
        <v>28870</v>
      </c>
      <c r="D9114" s="25" t="s">
        <v>28871</v>
      </c>
      <c r="E9114" s="28">
        <v>0.08000</v>
      </c>
      <c r="F9114" s="29">
        <f ca="1">F9118</f>
        <v>0</v>
      </c>
      <c r="G9114" s="27">
        <f ca="1">ROUND(E9114*F9114,2)</f>
        <v>0</v>
      </c>
    </row>
    <row r="9115" spans="1:7" ht="24.36" thickBot="1" customHeight="1">
      <c r="A9115" s="24" t="s">
        <v>28872</v>
      </c>
      <c r="B9115" s="24" t="s">
        <v>28873</v>
      </c>
      <c r="C9115" s="24" t="s">
        <v>28874</v>
      </c>
      <c r="D9115" s="25" t="s">
        <v>28875</v>
      </c>
      <c r="E9115" s="28">
        <v>1.00000</v>
      </c>
      <c r="F9115" s="29">
        <f ca="1">ROUND(21.000,3)</f>
        <v>0</v>
      </c>
      <c r="G9115" s="27">
        <f ca="1">ROUND(E9115*F9115,2)</f>
        <v>0</v>
      </c>
    </row>
    <row r="9116" spans="1:7" ht="24.36" thickBot="1" customHeight="1">
      <c r="A9116" s="24" t="s">
        <v>28876</v>
      </c>
      <c r="B9116" s="24" t="s">
        <v>28877</v>
      </c>
      <c r="C9116" s="24" t="s">
        <v>28878</v>
      </c>
      <c r="D9116" s="25" t="s">
        <v>28879</v>
      </c>
      <c r="E9116" s="28">
        <v>1.00000</v>
      </c>
      <c r="F9116" s="29">
        <f ca="1">ROUND(19.000,3)</f>
        <v>0</v>
      </c>
      <c r="G9116" s="27">
        <f ca="1">ROUND(E9116*F9116,2)</f>
        <v>0</v>
      </c>
    </row>
    <row r="9117" spans="1:7" ht="24.36" thickBot="1" customHeight="1">
      <c r="A9117" s="24" t="s">
        <v>28880</v>
      </c>
      <c r="B9117" s="24" t="s">
        <v>28881</v>
      </c>
      <c r="C9117" s="24" t="s">
        <v>28882</v>
      </c>
      <c r="D9117" s="25" t="s">
        <v>28883</v>
      </c>
      <c r="E9117" s="28">
        <v>0.20000</v>
      </c>
      <c r="F9117" s="29">
        <f ca="1">ROUND(19.000,3)</f>
        <v>0</v>
      </c>
      <c r="G9117" s="27">
        <f ca="1">ROUND(E9117*F9117,2)</f>
        <v>0</v>
      </c>
    </row>
    <row r="9118" spans="1:7" ht="15.12" thickBot="1" customHeight="1">
      <c r="A9118" s="26"/>
      <c r="B9118" s="26"/>
      <c r="C9118" s="26"/>
      <c r="D9118" s="24" t="s">
        <v>28884</v>
      </c>
      <c r="E9118" s="28">
        <v>0.08000</v>
      </c>
      <c r="F9118" s="29">
        <f ca="1">ROUND((G9115+G9116+G9117),3)</f>
        <v>0</v>
      </c>
      <c r="G9118" s="27">
        <f ca="1">ROUND(E9118*F9118,2)</f>
        <v>0</v>
      </c>
    </row>
    <row r="9119" spans="1:7" ht="15.12" thickBot="1" customHeight="1">
      <c r="A9119" s="24" t="s">
        <v>28885</v>
      </c>
      <c r="B9119" s="24"/>
      <c r="C9119" s="24" t="s">
        <v>28886</v>
      </c>
      <c r="D9119" s="25" t="s">
        <v>28887</v>
      </c>
      <c r="E9119" s="28">
        <v>3.00000</v>
      </c>
      <c r="F9119" s="29">
        <f ca="1">ROUND(3.500,3)</f>
        <v>0</v>
      </c>
      <c r="G9119" s="27">
        <f ca="1">ROUND((E9119*F9119)/100,2)</f>
        <v>0</v>
      </c>
    </row>
    <row r="9120" spans="1:7" ht="15.48" thickBot="1" customHeight="1">
      <c r="A9120" s="30"/>
      <c r="B9120" s="30"/>
      <c r="C9120" s="30"/>
      <c r="D9120" s="31" t="s">
        <v>28888</v>
      </c>
      <c r="E9120" s="30"/>
      <c r="F9120" s="33">
        <f ca="1">ROUND((G9113+G9114+G9119)*(1+G2/100),2)</f>
        <v>0</v>
      </c>
      <c r="G9120" s="30"/>
    </row>
    <row r="9121" spans="1:7" ht="15.48" thickBot="1" customHeight="1">
      <c r="A9121" s="34" t="s">
        <v>28889</v>
      </c>
      <c r="B9121" s="35" t="s">
        <v>28890</v>
      </c>
      <c r="C9121" s="35" t="s">
        <v>28891</v>
      </c>
      <c r="D9121" s="36" t="s">
        <v>28892</v>
      </c>
      <c r="E9121" s="37"/>
      <c r="F9121" s="38">
        <f ca="1">F9132</f>
        <v>0</v>
      </c>
      <c r="G9121" s="37"/>
    </row>
    <row r="9122" spans="1:7" ht="39.84" thickBot="1" customHeight="1">
      <c r="A9122" s="26"/>
      <c r="B9122" s="26"/>
      <c r="C9122" s="26"/>
      <c r="D9122" s="25" t="s">
        <v>28893</v>
      </c>
      <c r="E9122" s="25"/>
      <c r="F9122" s="25"/>
      <c r="G9122" s="25"/>
    </row>
    <row r="9123" spans="1:7" ht="30.60" thickBot="1" customHeight="1">
      <c r="A9123" s="24" t="s">
        <v>28894</v>
      </c>
      <c r="B9123" s="24" t="s">
        <v>28895</v>
      </c>
      <c r="C9123" s="24" t="s">
        <v>28896</v>
      </c>
      <c r="D9123" s="25" t="s">
        <v>28897</v>
      </c>
      <c r="E9123" s="28">
        <v>30.00000</v>
      </c>
      <c r="F9123" s="29">
        <f ca="1">ROUND(0.400,3)</f>
        <v>0</v>
      </c>
      <c r="G9123" s="27">
        <f ca="1">ROUND(E9123*F9123,2)</f>
        <v>0</v>
      </c>
    </row>
    <row r="9124" spans="1:7" ht="30.60" thickBot="1" customHeight="1">
      <c r="A9124" s="24" t="s">
        <v>28898</v>
      </c>
      <c r="B9124" s="24" t="s">
        <v>28899</v>
      </c>
      <c r="C9124" s="24" t="s">
        <v>28900</v>
      </c>
      <c r="D9124" s="25" t="s">
        <v>28901</v>
      </c>
      <c r="E9124" s="28">
        <v>0.10000</v>
      </c>
      <c r="F9124" s="29">
        <f ca="1">ROUND(11.740,3)</f>
        <v>0</v>
      </c>
      <c r="G9124" s="27">
        <f ca="1">ROUND(E9124*F9124,2)</f>
        <v>0</v>
      </c>
    </row>
    <row r="9125" spans="1:7" ht="49.08" thickBot="1" customHeight="1">
      <c r="A9125" s="24" t="s">
        <v>28902</v>
      </c>
      <c r="B9125" s="24" t="s">
        <v>28903</v>
      </c>
      <c r="C9125" s="24" t="s">
        <v>28904</v>
      </c>
      <c r="D9125" s="25" t="s">
        <v>28905</v>
      </c>
      <c r="E9125" s="28">
        <v>0.50400</v>
      </c>
      <c r="F9125" s="29">
        <f ca="1">ROUND(10.250,3)</f>
        <v>0</v>
      </c>
      <c r="G9125" s="27">
        <f ca="1">ROUND(E9125*F9125,2)</f>
        <v>0</v>
      </c>
    </row>
    <row r="9126" spans="1:7" ht="21.36" thickBot="1" customHeight="1">
      <c r="A9126" s="24" t="s">
        <v>28906</v>
      </c>
      <c r="B9126" s="24" t="s">
        <v>28907</v>
      </c>
      <c r="C9126" s="24" t="s">
        <v>28908</v>
      </c>
      <c r="D9126" s="25" t="s">
        <v>28909</v>
      </c>
      <c r="E9126" s="28">
        <v>0.60000</v>
      </c>
      <c r="F9126" s="29">
        <f ca="1">F9130</f>
        <v>0</v>
      </c>
      <c r="G9126" s="27">
        <f ca="1">ROUND(E9126*F9126,2)</f>
        <v>0</v>
      </c>
    </row>
    <row r="9127" spans="1:7" ht="24.36" thickBot="1" customHeight="1">
      <c r="A9127" s="24" t="s">
        <v>28910</v>
      </c>
      <c r="B9127" s="24" t="s">
        <v>28911</v>
      </c>
      <c r="C9127" s="24" t="s">
        <v>28912</v>
      </c>
      <c r="D9127" s="25" t="s">
        <v>28913</v>
      </c>
      <c r="E9127" s="28">
        <v>1.00000</v>
      </c>
      <c r="F9127" s="29">
        <f ca="1">ROUND(21.000,3)</f>
        <v>0</v>
      </c>
      <c r="G9127" s="27">
        <f ca="1">ROUND(E9127*F9127,2)</f>
        <v>0</v>
      </c>
    </row>
    <row r="9128" spans="1:7" ht="24.36" thickBot="1" customHeight="1">
      <c r="A9128" s="24" t="s">
        <v>28914</v>
      </c>
      <c r="B9128" s="24" t="s">
        <v>28915</v>
      </c>
      <c r="C9128" s="24" t="s">
        <v>28916</v>
      </c>
      <c r="D9128" s="25" t="s">
        <v>28917</v>
      </c>
      <c r="E9128" s="28">
        <v>1.00000</v>
      </c>
      <c r="F9128" s="29">
        <f ca="1">ROUND(19.000,3)</f>
        <v>0</v>
      </c>
      <c r="G9128" s="27">
        <f ca="1">ROUND(E9128*F9128,2)</f>
        <v>0</v>
      </c>
    </row>
    <row r="9129" spans="1:7" ht="24.36" thickBot="1" customHeight="1">
      <c r="A9129" s="24" t="s">
        <v>28918</v>
      </c>
      <c r="B9129" s="24" t="s">
        <v>28919</v>
      </c>
      <c r="C9129" s="24" t="s">
        <v>28920</v>
      </c>
      <c r="D9129" s="25" t="s">
        <v>28921</v>
      </c>
      <c r="E9129" s="28">
        <v>0.20000</v>
      </c>
      <c r="F9129" s="29">
        <f ca="1">ROUND(19.000,3)</f>
        <v>0</v>
      </c>
      <c r="G9129" s="27">
        <f ca="1">ROUND(E9129*F9129,2)</f>
        <v>0</v>
      </c>
    </row>
    <row r="9130" spans="1:7" ht="15.12" thickBot="1" customHeight="1">
      <c r="A9130" s="26"/>
      <c r="B9130" s="26"/>
      <c r="C9130" s="26"/>
      <c r="D9130" s="24" t="s">
        <v>28922</v>
      </c>
      <c r="E9130" s="28">
        <v>0.60000</v>
      </c>
      <c r="F9130" s="29">
        <f ca="1">ROUND((G9127+G9128+G9129),3)</f>
        <v>0</v>
      </c>
      <c r="G9130" s="27">
        <f ca="1">ROUND(E9130*F9130,2)</f>
        <v>0</v>
      </c>
    </row>
    <row r="9131" spans="1:7" ht="15.12" thickBot="1" customHeight="1">
      <c r="A9131" s="24" t="s">
        <v>28923</v>
      </c>
      <c r="B9131" s="24"/>
      <c r="C9131" s="24" t="s">
        <v>28924</v>
      </c>
      <c r="D9131" s="25" t="s">
        <v>28925</v>
      </c>
      <c r="E9131" s="28">
        <v>3.00000</v>
      </c>
      <c r="F9131" s="29">
        <f ca="1">ROUND(26.280,3)</f>
        <v>0</v>
      </c>
      <c r="G9131" s="27">
        <f ca="1">ROUND((E9131*F9131)/100,2)</f>
        <v>0</v>
      </c>
    </row>
    <row r="9132" spans="1:7" ht="15.48" thickBot="1" customHeight="1">
      <c r="A9132" s="30"/>
      <c r="B9132" s="30"/>
      <c r="C9132" s="30"/>
      <c r="D9132" s="31" t="s">
        <v>28926</v>
      </c>
      <c r="E9132" s="30"/>
      <c r="F9132" s="33">
        <f ca="1">ROUND((G9123+G9124+G9125+G9126+G9131)*(1+G2/100),2)</f>
        <v>0</v>
      </c>
      <c r="G9132" s="30"/>
    </row>
    <row r="9133" spans="1:7" ht="21.36" thickBot="1" customHeight="1">
      <c r="A9133" s="34" t="s">
        <v>28927</v>
      </c>
      <c r="B9133" s="35" t="s">
        <v>28928</v>
      </c>
      <c r="C9133" s="35" t="s">
        <v>28929</v>
      </c>
      <c r="D9133" s="36" t="s">
        <v>28930</v>
      </c>
      <c r="E9133" s="37"/>
      <c r="F9133" s="38">
        <f ca="1">F9147</f>
        <v>0</v>
      </c>
      <c r="G9133" s="37"/>
    </row>
    <row r="9134" spans="1:7" ht="30.60" thickBot="1" customHeight="1">
      <c r="A9134" s="26"/>
      <c r="B9134" s="26"/>
      <c r="C9134" s="26"/>
      <c r="D9134" s="25" t="s">
        <v>28931</v>
      </c>
      <c r="E9134" s="25"/>
      <c r="F9134" s="25"/>
      <c r="G9134" s="25"/>
    </row>
    <row r="9135" spans="1:7" ht="21.36" thickBot="1" customHeight="1">
      <c r="A9135" s="24" t="s">
        <v>28932</v>
      </c>
      <c r="B9135" s="24" t="s">
        <v>28933</v>
      </c>
      <c r="C9135" s="24" t="s">
        <v>28934</v>
      </c>
      <c r="D9135" s="25" t="s">
        <v>28935</v>
      </c>
      <c r="E9135" s="28">
        <v>1.05000</v>
      </c>
      <c r="F9135" s="29">
        <f ca="1">ROUND(22.860,3)</f>
        <v>0</v>
      </c>
      <c r="G9135" s="27">
        <f ca="1">ROUND(E9135*F9135,2)</f>
        <v>0</v>
      </c>
    </row>
    <row r="9136" spans="1:7" ht="49.08" thickBot="1" customHeight="1">
      <c r="A9136" s="24" t="s">
        <v>28936</v>
      </c>
      <c r="B9136" s="24" t="s">
        <v>28937</v>
      </c>
      <c r="C9136" s="24" t="s">
        <v>28938</v>
      </c>
      <c r="D9136" s="25" t="s">
        <v>28939</v>
      </c>
      <c r="E9136" s="28">
        <v>0.25200</v>
      </c>
      <c r="F9136" s="29">
        <f ca="1">ROUND(10.250,3)</f>
        <v>0</v>
      </c>
      <c r="G9136" s="27">
        <f ca="1">ROUND(E9136*F9136,2)</f>
        <v>0</v>
      </c>
    </row>
    <row r="9137" spans="1:7" ht="30.60" thickBot="1" customHeight="1">
      <c r="A9137" s="24" t="s">
        <v>28940</v>
      </c>
      <c r="B9137" s="24" t="s">
        <v>28941</v>
      </c>
      <c r="C9137" s="24" t="s">
        <v>28942</v>
      </c>
      <c r="D9137" s="25" t="s">
        <v>28943</v>
      </c>
      <c r="E9137" s="28">
        <v>0.50000</v>
      </c>
      <c r="F9137" s="29">
        <f ca="1">ROUND(11.000,3)</f>
        <v>0</v>
      </c>
      <c r="G9137" s="27">
        <f ca="1">ROUND(E9137*F9137,2)</f>
        <v>0</v>
      </c>
    </row>
    <row r="9138" spans="1:7" ht="39.84" thickBot="1" customHeight="1">
      <c r="A9138" s="24" t="s">
        <v>28944</v>
      </c>
      <c r="B9138" s="24" t="s">
        <v>28945</v>
      </c>
      <c r="C9138" s="24" t="s">
        <v>28946</v>
      </c>
      <c r="D9138" s="25" t="s">
        <v>28947</v>
      </c>
      <c r="E9138" s="28">
        <v>0.05000</v>
      </c>
      <c r="F9138" s="29">
        <f ca="1">ROUND(27.850,3)</f>
        <v>0</v>
      </c>
      <c r="G9138" s="27">
        <f ca="1">ROUND(E9138*F9138,2)</f>
        <v>0</v>
      </c>
    </row>
    <row r="9139" spans="1:7" ht="39.84" thickBot="1" customHeight="1">
      <c r="A9139" s="24" t="s">
        <v>28948</v>
      </c>
      <c r="B9139" s="24" t="s">
        <v>28949</v>
      </c>
      <c r="C9139" s="24" t="s">
        <v>28950</v>
      </c>
      <c r="D9139" s="25" t="s">
        <v>28951</v>
      </c>
      <c r="E9139" s="28">
        <v>0.05000</v>
      </c>
      <c r="F9139" s="29">
        <f ca="1">ROUND(18.800,3)</f>
        <v>0</v>
      </c>
      <c r="G9139" s="27">
        <f ca="1">ROUND(E9139*F9139,2)</f>
        <v>0</v>
      </c>
    </row>
    <row r="9140" spans="1:7" ht="30.60" thickBot="1" customHeight="1">
      <c r="A9140" s="24" t="s">
        <v>28952</v>
      </c>
      <c r="B9140" s="24" t="s">
        <v>28953</v>
      </c>
      <c r="C9140" s="24" t="s">
        <v>28954</v>
      </c>
      <c r="D9140" s="25" t="s">
        <v>28955</v>
      </c>
      <c r="E9140" s="28">
        <v>0.05000</v>
      </c>
      <c r="F9140" s="29">
        <f ca="1">ROUND(15.400,3)</f>
        <v>0</v>
      </c>
      <c r="G9140" s="27">
        <f ca="1">ROUND(E9140*F9140,2)</f>
        <v>0</v>
      </c>
    </row>
    <row r="9141" spans="1:7" ht="21.36" thickBot="1" customHeight="1">
      <c r="A9141" s="24" t="s">
        <v>28956</v>
      </c>
      <c r="B9141" s="24" t="s">
        <v>28957</v>
      </c>
      <c r="C9141" s="24" t="s">
        <v>28958</v>
      </c>
      <c r="D9141" s="25" t="s">
        <v>28959</v>
      </c>
      <c r="E9141" s="28">
        <v>0.50000</v>
      </c>
      <c r="F9141" s="29">
        <f ca="1">F9145</f>
        <v>0</v>
      </c>
      <c r="G9141" s="27">
        <f ca="1">ROUND(E9141*F9141,2)</f>
        <v>0</v>
      </c>
    </row>
    <row r="9142" spans="1:7" ht="24.36" thickBot="1" customHeight="1">
      <c r="A9142" s="24" t="s">
        <v>28960</v>
      </c>
      <c r="B9142" s="24" t="s">
        <v>28961</v>
      </c>
      <c r="C9142" s="24" t="s">
        <v>28962</v>
      </c>
      <c r="D9142" s="25" t="s">
        <v>28963</v>
      </c>
      <c r="E9142" s="28">
        <v>1.00000</v>
      </c>
      <c r="F9142" s="29">
        <f ca="1">ROUND(21.000,3)</f>
        <v>0</v>
      </c>
      <c r="G9142" s="27">
        <f ca="1">ROUND(E9142*F9142,2)</f>
        <v>0</v>
      </c>
    </row>
    <row r="9143" spans="1:7" ht="24.36" thickBot="1" customHeight="1">
      <c r="A9143" s="24" t="s">
        <v>28964</v>
      </c>
      <c r="B9143" s="24" t="s">
        <v>28965</v>
      </c>
      <c r="C9143" s="24" t="s">
        <v>28966</v>
      </c>
      <c r="D9143" s="25" t="s">
        <v>28967</v>
      </c>
      <c r="E9143" s="28">
        <v>1.00000</v>
      </c>
      <c r="F9143" s="29">
        <f ca="1">ROUND(19.000,3)</f>
        <v>0</v>
      </c>
      <c r="G9143" s="27">
        <f ca="1">ROUND(E9143*F9143,2)</f>
        <v>0</v>
      </c>
    </row>
    <row r="9144" spans="1:7" ht="24.36" thickBot="1" customHeight="1">
      <c r="A9144" s="24" t="s">
        <v>28968</v>
      </c>
      <c r="B9144" s="24" t="s">
        <v>28969</v>
      </c>
      <c r="C9144" s="24" t="s">
        <v>28970</v>
      </c>
      <c r="D9144" s="25" t="s">
        <v>28971</v>
      </c>
      <c r="E9144" s="28">
        <v>0.20000</v>
      </c>
      <c r="F9144" s="29">
        <f ca="1">ROUND(19.000,3)</f>
        <v>0</v>
      </c>
      <c r="G9144" s="27">
        <f ca="1">ROUND(E9144*F9144,2)</f>
        <v>0</v>
      </c>
    </row>
    <row r="9145" spans="1:7" ht="15.12" thickBot="1" customHeight="1">
      <c r="A9145" s="26"/>
      <c r="B9145" s="26"/>
      <c r="C9145" s="26"/>
      <c r="D9145" s="24" t="s">
        <v>28972</v>
      </c>
      <c r="E9145" s="28">
        <v>0.50000</v>
      </c>
      <c r="F9145" s="29">
        <f ca="1">ROUND((G9142+G9143+G9144),3)</f>
        <v>0</v>
      </c>
      <c r="G9145" s="27">
        <f ca="1">ROUND(E9145*F9145,2)</f>
        <v>0</v>
      </c>
    </row>
    <row r="9146" spans="1:7" ht="15.12" thickBot="1" customHeight="1">
      <c r="A9146" s="24" t="s">
        <v>28973</v>
      </c>
      <c r="B9146" s="24"/>
      <c r="C9146" s="24" t="s">
        <v>28974</v>
      </c>
      <c r="D9146" s="25" t="s">
        <v>28975</v>
      </c>
      <c r="E9146" s="28">
        <v>3.00000</v>
      </c>
      <c r="F9146" s="29">
        <f ca="1">ROUND(21.900,3)</f>
        <v>0</v>
      </c>
      <c r="G9146" s="27">
        <f ca="1">ROUND((E9146*F9146)/100,2)</f>
        <v>0</v>
      </c>
    </row>
    <row r="9147" spans="1:7" ht="15.48" thickBot="1" customHeight="1">
      <c r="A9147" s="30"/>
      <c r="B9147" s="30"/>
      <c r="C9147" s="30"/>
      <c r="D9147" s="31" t="s">
        <v>28976</v>
      </c>
      <c r="E9147" s="30"/>
      <c r="F9147" s="33">
        <f ca="1">ROUND((G9135+G9136+G9137+G9138+G9139+G9140+G9141+G9146)*(1+G2/100),2)</f>
        <v>0</v>
      </c>
      <c r="G9147" s="30"/>
    </row>
    <row r="9148" spans="1:7" ht="21.36" thickBot="1" customHeight="1">
      <c r="A9148" s="34" t="s">
        <v>28977</v>
      </c>
      <c r="B9148" s="35" t="s">
        <v>28978</v>
      </c>
      <c r="C9148" s="35" t="s">
        <v>28979</v>
      </c>
      <c r="D9148" s="36" t="s">
        <v>28980</v>
      </c>
      <c r="E9148" s="37"/>
      <c r="F9148" s="38">
        <f ca="1">F9159</f>
        <v>0</v>
      </c>
      <c r="G9148" s="37"/>
    </row>
    <row r="9149" spans="1:7" ht="21.36" thickBot="1" customHeight="1">
      <c r="A9149" s="26"/>
      <c r="B9149" s="26"/>
      <c r="C9149" s="26"/>
      <c r="D9149" s="25" t="s">
        <v>28981</v>
      </c>
      <c r="E9149" s="25"/>
      <c r="F9149" s="25"/>
      <c r="G9149" s="25"/>
    </row>
    <row r="9150" spans="1:7" ht="49.08" thickBot="1" customHeight="1">
      <c r="A9150" s="24" t="s">
        <v>28982</v>
      </c>
      <c r="B9150" s="24" t="s">
        <v>28983</v>
      </c>
      <c r="C9150" s="24" t="s">
        <v>28984</v>
      </c>
      <c r="D9150" s="25" t="s">
        <v>28985</v>
      </c>
      <c r="E9150" s="28">
        <v>0.03300</v>
      </c>
      <c r="F9150" s="29">
        <f ca="1">ROUND(10.250,3)</f>
        <v>0</v>
      </c>
      <c r="G9150" s="27">
        <f ca="1">ROUND(E9150*F9150,2)</f>
        <v>0</v>
      </c>
    </row>
    <row r="9151" spans="1:7" ht="30.60" thickBot="1" customHeight="1">
      <c r="A9151" s="24" t="s">
        <v>28986</v>
      </c>
      <c r="B9151" s="24" t="s">
        <v>28987</v>
      </c>
      <c r="C9151" s="24" t="s">
        <v>28988</v>
      </c>
      <c r="D9151" s="25" t="s">
        <v>28989</v>
      </c>
      <c r="E9151" s="28">
        <v>5.00000</v>
      </c>
      <c r="F9151" s="29">
        <f ca="1">ROUND(0.400,3)</f>
        <v>0</v>
      </c>
      <c r="G9151" s="27">
        <f ca="1">ROUND(E9151*F9151,2)</f>
        <v>0</v>
      </c>
    </row>
    <row r="9152" spans="1:7" ht="30.60" thickBot="1" customHeight="1">
      <c r="A9152" s="24" t="s">
        <v>28990</v>
      </c>
      <c r="B9152" s="24" t="s">
        <v>28991</v>
      </c>
      <c r="C9152" s="24" t="s">
        <v>28992</v>
      </c>
      <c r="D9152" s="25" t="s">
        <v>28993</v>
      </c>
      <c r="E9152" s="28">
        <v>0.01000</v>
      </c>
      <c r="F9152" s="29">
        <f ca="1">ROUND(11.740,3)</f>
        <v>0</v>
      </c>
      <c r="G9152" s="27">
        <f ca="1">ROUND(E9152*F9152,2)</f>
        <v>0</v>
      </c>
    </row>
    <row r="9153" spans="1:7" ht="21.36" thickBot="1" customHeight="1">
      <c r="A9153" s="24" t="s">
        <v>28994</v>
      </c>
      <c r="B9153" s="24" t="s">
        <v>28995</v>
      </c>
      <c r="C9153" s="24" t="s">
        <v>28996</v>
      </c>
      <c r="D9153" s="25" t="s">
        <v>28997</v>
      </c>
      <c r="E9153" s="28">
        <v>0.18000</v>
      </c>
      <c r="F9153" s="29">
        <f ca="1">F9157</f>
        <v>0</v>
      </c>
      <c r="G9153" s="27">
        <f ca="1">ROUND(E9153*F9153,2)</f>
        <v>0</v>
      </c>
    </row>
    <row r="9154" spans="1:7" ht="24.36" thickBot="1" customHeight="1">
      <c r="A9154" s="24" t="s">
        <v>28998</v>
      </c>
      <c r="B9154" s="24" t="s">
        <v>28999</v>
      </c>
      <c r="C9154" s="24" t="s">
        <v>29000</v>
      </c>
      <c r="D9154" s="25" t="s">
        <v>29001</v>
      </c>
      <c r="E9154" s="28">
        <v>1.00000</v>
      </c>
      <c r="F9154" s="29">
        <f ca="1">ROUND(21.000,3)</f>
        <v>0</v>
      </c>
      <c r="G9154" s="27">
        <f ca="1">ROUND(E9154*F9154,2)</f>
        <v>0</v>
      </c>
    </row>
    <row r="9155" spans="1:7" ht="24.36" thickBot="1" customHeight="1">
      <c r="A9155" s="24" t="s">
        <v>29002</v>
      </c>
      <c r="B9155" s="24" t="s">
        <v>29003</v>
      </c>
      <c r="C9155" s="24" t="s">
        <v>29004</v>
      </c>
      <c r="D9155" s="25" t="s">
        <v>29005</v>
      </c>
      <c r="E9155" s="28">
        <v>1.00000</v>
      </c>
      <c r="F9155" s="29">
        <f ca="1">ROUND(19.000,3)</f>
        <v>0</v>
      </c>
      <c r="G9155" s="27">
        <f ca="1">ROUND(E9155*F9155,2)</f>
        <v>0</v>
      </c>
    </row>
    <row r="9156" spans="1:7" ht="24.36" thickBot="1" customHeight="1">
      <c r="A9156" s="24" t="s">
        <v>29006</v>
      </c>
      <c r="B9156" s="24" t="s">
        <v>29007</v>
      </c>
      <c r="C9156" s="24" t="s">
        <v>29008</v>
      </c>
      <c r="D9156" s="25" t="s">
        <v>29009</v>
      </c>
      <c r="E9156" s="28">
        <v>0.20000</v>
      </c>
      <c r="F9156" s="29">
        <f ca="1">ROUND(19.000,3)</f>
        <v>0</v>
      </c>
      <c r="G9156" s="27">
        <f ca="1">ROUND(E9156*F9156,2)</f>
        <v>0</v>
      </c>
    </row>
    <row r="9157" spans="1:7" ht="15.12" thickBot="1" customHeight="1">
      <c r="A9157" s="26"/>
      <c r="B9157" s="26"/>
      <c r="C9157" s="26"/>
      <c r="D9157" s="24" t="s">
        <v>29010</v>
      </c>
      <c r="E9157" s="28">
        <v>0.18000</v>
      </c>
      <c r="F9157" s="29">
        <f ca="1">ROUND((G9154+G9155+G9156),3)</f>
        <v>0</v>
      </c>
      <c r="G9157" s="27">
        <f ca="1">ROUND(E9157*F9157,2)</f>
        <v>0</v>
      </c>
    </row>
    <row r="9158" spans="1:7" ht="15.12" thickBot="1" customHeight="1">
      <c r="A9158" s="24" t="s">
        <v>29011</v>
      </c>
      <c r="B9158" s="24"/>
      <c r="C9158" s="24" t="s">
        <v>29012</v>
      </c>
      <c r="D9158" s="25" t="s">
        <v>29013</v>
      </c>
      <c r="E9158" s="28">
        <v>3.00000</v>
      </c>
      <c r="F9158" s="29">
        <f ca="1">ROUND(7.880,3)</f>
        <v>0</v>
      </c>
      <c r="G9158" s="27">
        <f ca="1">ROUND((E9158*F9158)/100,2)</f>
        <v>0</v>
      </c>
    </row>
    <row r="9159" spans="1:7" ht="15.48" thickBot="1" customHeight="1">
      <c r="A9159" s="30"/>
      <c r="B9159" s="30"/>
      <c r="C9159" s="30"/>
      <c r="D9159" s="31" t="s">
        <v>29014</v>
      </c>
      <c r="E9159" s="30"/>
      <c r="F9159" s="33">
        <f ca="1">ROUND((G9150+G9151+G9152+G9153+G9158)*(1+G2/100),2)</f>
        <v>0</v>
      </c>
      <c r="G9159" s="30"/>
    </row>
    <row r="9160" spans="1:7" ht="21.36" thickBot="1" customHeight="1">
      <c r="A9160" s="34" t="s">
        <v>29015</v>
      </c>
      <c r="B9160" s="35" t="s">
        <v>29016</v>
      </c>
      <c r="C9160" s="35" t="s">
        <v>29017</v>
      </c>
      <c r="D9160" s="36" t="s">
        <v>29018</v>
      </c>
      <c r="E9160" s="37"/>
      <c r="F9160" s="38">
        <f ca="1">F9171</f>
        <v>0</v>
      </c>
      <c r="G9160" s="37"/>
    </row>
    <row r="9161" spans="1:7" ht="12.12" thickBot="1" customHeight="1">
      <c r="A9161" s="26"/>
      <c r="B9161" s="26"/>
      <c r="C9161" s="26"/>
      <c r="D9161" s="25" t="s">
        <v>29019</v>
      </c>
      <c r="E9161" s="25"/>
      <c r="F9161" s="25"/>
      <c r="G9161" s="25"/>
    </row>
    <row r="9162" spans="1:7" ht="21.36" thickBot="1" customHeight="1">
      <c r="A9162" s="24" t="s">
        <v>29020</v>
      </c>
      <c r="B9162" s="24" t="s">
        <v>29021</v>
      </c>
      <c r="C9162" s="24" t="s">
        <v>29022</v>
      </c>
      <c r="D9162" s="25" t="s">
        <v>29023</v>
      </c>
      <c r="E9162" s="28">
        <v>0.20000</v>
      </c>
      <c r="F9162" s="29">
        <f ca="1">ROUND(22.860,3)</f>
        <v>0</v>
      </c>
      <c r="G9162" s="27">
        <f ca="1">ROUND(E9162*F9162,2)</f>
        <v>0</v>
      </c>
    </row>
    <row r="9163" spans="1:7" ht="49.08" thickBot="1" customHeight="1">
      <c r="A9163" s="24" t="s">
        <v>29024</v>
      </c>
      <c r="B9163" s="24" t="s">
        <v>29025</v>
      </c>
      <c r="C9163" s="24" t="s">
        <v>29026</v>
      </c>
      <c r="D9163" s="25" t="s">
        <v>29027</v>
      </c>
      <c r="E9163" s="28">
        <v>0.08000</v>
      </c>
      <c r="F9163" s="29">
        <f ca="1">ROUND(10.250,3)</f>
        <v>0</v>
      </c>
      <c r="G9163" s="27">
        <f ca="1">ROUND(E9163*F9163,2)</f>
        <v>0</v>
      </c>
    </row>
    <row r="9164" spans="1:7" ht="30.60" thickBot="1" customHeight="1">
      <c r="A9164" s="24" t="s">
        <v>29028</v>
      </c>
      <c r="B9164" s="24" t="s">
        <v>29029</v>
      </c>
      <c r="C9164" s="24" t="s">
        <v>29030</v>
      </c>
      <c r="D9164" s="25" t="s">
        <v>29031</v>
      </c>
      <c r="E9164" s="28">
        <v>0.07000</v>
      </c>
      <c r="F9164" s="29">
        <f ca="1">ROUND(11.000,3)</f>
        <v>0</v>
      </c>
      <c r="G9164" s="27">
        <f ca="1">ROUND(E9164*F9164,2)</f>
        <v>0</v>
      </c>
    </row>
    <row r="9165" spans="1:7" ht="21.36" thickBot="1" customHeight="1">
      <c r="A9165" s="24" t="s">
        <v>29032</v>
      </c>
      <c r="B9165" s="24" t="s">
        <v>29033</v>
      </c>
      <c r="C9165" s="24" t="s">
        <v>29034</v>
      </c>
      <c r="D9165" s="25" t="s">
        <v>29035</v>
      </c>
      <c r="E9165" s="28">
        <v>0.15000</v>
      </c>
      <c r="F9165" s="29">
        <f ca="1">F9169</f>
        <v>0</v>
      </c>
      <c r="G9165" s="27">
        <f ca="1">ROUND(E9165*F9165,2)</f>
        <v>0</v>
      </c>
    </row>
    <row r="9166" spans="1:7" ht="24.36" thickBot="1" customHeight="1">
      <c r="A9166" s="24" t="s">
        <v>29036</v>
      </c>
      <c r="B9166" s="24" t="s">
        <v>29037</v>
      </c>
      <c r="C9166" s="24" t="s">
        <v>29038</v>
      </c>
      <c r="D9166" s="25" t="s">
        <v>29039</v>
      </c>
      <c r="E9166" s="28">
        <v>1.00000</v>
      </c>
      <c r="F9166" s="29">
        <f ca="1">ROUND(21.000,3)</f>
        <v>0</v>
      </c>
      <c r="G9166" s="27">
        <f ca="1">ROUND(E9166*F9166,2)</f>
        <v>0</v>
      </c>
    </row>
    <row r="9167" spans="1:7" ht="24.36" thickBot="1" customHeight="1">
      <c r="A9167" s="24" t="s">
        <v>29040</v>
      </c>
      <c r="B9167" s="24" t="s">
        <v>29041</v>
      </c>
      <c r="C9167" s="24" t="s">
        <v>29042</v>
      </c>
      <c r="D9167" s="25" t="s">
        <v>29043</v>
      </c>
      <c r="E9167" s="28">
        <v>1.00000</v>
      </c>
      <c r="F9167" s="29">
        <f ca="1">ROUND(19.000,3)</f>
        <v>0</v>
      </c>
      <c r="G9167" s="27">
        <f ca="1">ROUND(E9167*F9167,2)</f>
        <v>0</v>
      </c>
    </row>
    <row r="9168" spans="1:7" ht="24.36" thickBot="1" customHeight="1">
      <c r="A9168" s="24" t="s">
        <v>29044</v>
      </c>
      <c r="B9168" s="24" t="s">
        <v>29045</v>
      </c>
      <c r="C9168" s="24" t="s">
        <v>29046</v>
      </c>
      <c r="D9168" s="25" t="s">
        <v>29047</v>
      </c>
      <c r="E9168" s="28">
        <v>0.20000</v>
      </c>
      <c r="F9168" s="29">
        <f ca="1">ROUND(19.000,3)</f>
        <v>0</v>
      </c>
      <c r="G9168" s="27">
        <f ca="1">ROUND(E9168*F9168,2)</f>
        <v>0</v>
      </c>
    </row>
    <row r="9169" spans="1:7" ht="15.12" thickBot="1" customHeight="1">
      <c r="A9169" s="26"/>
      <c r="B9169" s="26"/>
      <c r="C9169" s="26"/>
      <c r="D9169" s="24" t="s">
        <v>29048</v>
      </c>
      <c r="E9169" s="28">
        <v>0.15000</v>
      </c>
      <c r="F9169" s="29">
        <f ca="1">ROUND((G9166+G9167+G9168),3)</f>
        <v>0</v>
      </c>
      <c r="G9169" s="27">
        <f ca="1">ROUND(E9169*F9169,2)</f>
        <v>0</v>
      </c>
    </row>
    <row r="9170" spans="1:7" ht="15.12" thickBot="1" customHeight="1">
      <c r="A9170" s="24" t="s">
        <v>29049</v>
      </c>
      <c r="B9170" s="24"/>
      <c r="C9170" s="24" t="s">
        <v>29050</v>
      </c>
      <c r="D9170" s="25" t="s">
        <v>29051</v>
      </c>
      <c r="E9170" s="28">
        <v>3.00000</v>
      </c>
      <c r="F9170" s="29">
        <f ca="1">ROUND(6.570,3)</f>
        <v>0</v>
      </c>
      <c r="G9170" s="27">
        <f ca="1">ROUND((E9170*F9170)/100,2)</f>
        <v>0</v>
      </c>
    </row>
    <row r="9171" spans="1:7" ht="15.48" thickBot="1" customHeight="1">
      <c r="A9171" s="30"/>
      <c r="B9171" s="30"/>
      <c r="C9171" s="30"/>
      <c r="D9171" s="31" t="s">
        <v>29052</v>
      </c>
      <c r="E9171" s="30"/>
      <c r="F9171" s="33">
        <f ca="1">ROUND((G9162+G9163+G9164+G9165+G9170)*(1+G2/100),2)</f>
        <v>0</v>
      </c>
      <c r="G9171" s="30"/>
    </row>
    <row r="9172" spans="1:7" ht="15.48" thickBot="1" customHeight="1">
      <c r="A9172" s="34" t="s">
        <v>29053</v>
      </c>
      <c r="B9172" s="35" t="s">
        <v>29054</v>
      </c>
      <c r="C9172" s="35" t="s">
        <v>29055</v>
      </c>
      <c r="D9172" s="36" t="s">
        <v>29056</v>
      </c>
      <c r="E9172" s="37"/>
      <c r="F9172" s="38">
        <f ca="1">F9182</f>
        <v>0</v>
      </c>
      <c r="G9172" s="37"/>
    </row>
    <row r="9173" spans="1:7" ht="21.36" thickBot="1" customHeight="1">
      <c r="A9173" s="26"/>
      <c r="B9173" s="26"/>
      <c r="C9173" s="26"/>
      <c r="D9173" s="25" t="s">
        <v>29057</v>
      </c>
      <c r="E9173" s="25"/>
      <c r="F9173" s="25"/>
      <c r="G9173" s="25"/>
    </row>
    <row r="9174" spans="1:7" ht="30.60" thickBot="1" customHeight="1">
      <c r="A9174" s="24" t="s">
        <v>29058</v>
      </c>
      <c r="B9174" s="24" t="s">
        <v>29059</v>
      </c>
      <c r="C9174" s="24" t="s">
        <v>29060</v>
      </c>
      <c r="D9174" s="25" t="s">
        <v>29061</v>
      </c>
      <c r="E9174" s="28">
        <v>1.00000</v>
      </c>
      <c r="F9174" s="29">
        <f ca="1">ROUND(20.000,3)</f>
        <v>0</v>
      </c>
      <c r="G9174" s="27">
        <f ca="1">ROUND(E9174*F9174,2)</f>
        <v>0</v>
      </c>
    </row>
    <row r="9175" spans="1:7" ht="39.84" thickBot="1" customHeight="1">
      <c r="A9175" s="24" t="s">
        <v>29062</v>
      </c>
      <c r="B9175" s="24" t="s">
        <v>29063</v>
      </c>
      <c r="C9175" s="24" t="s">
        <v>29064</v>
      </c>
      <c r="D9175" s="25" t="s">
        <v>29065</v>
      </c>
      <c r="E9175" s="28">
        <v>1.00000</v>
      </c>
      <c r="F9175" s="29">
        <f ca="1">ROUND(8.840,3)</f>
        <v>0</v>
      </c>
      <c r="G9175" s="27">
        <f ca="1">ROUND(E9175*F9175,2)</f>
        <v>0</v>
      </c>
    </row>
    <row r="9176" spans="1:7" ht="21.36" thickBot="1" customHeight="1">
      <c r="A9176" s="24" t="s">
        <v>29066</v>
      </c>
      <c r="B9176" s="24" t="s">
        <v>29067</v>
      </c>
      <c r="C9176" s="24" t="s">
        <v>29068</v>
      </c>
      <c r="D9176" s="25" t="s">
        <v>29069</v>
      </c>
      <c r="E9176" s="28">
        <v>0.63000</v>
      </c>
      <c r="F9176" s="29">
        <f ca="1">F9180</f>
        <v>0</v>
      </c>
      <c r="G9176" s="27">
        <f ca="1">ROUND(E9176*F9176,2)</f>
        <v>0</v>
      </c>
    </row>
    <row r="9177" spans="1:7" ht="24.36" thickBot="1" customHeight="1">
      <c r="A9177" s="24" t="s">
        <v>29070</v>
      </c>
      <c r="B9177" s="24" t="s">
        <v>29071</v>
      </c>
      <c r="C9177" s="24" t="s">
        <v>29072</v>
      </c>
      <c r="D9177" s="25" t="s">
        <v>29073</v>
      </c>
      <c r="E9177" s="28">
        <v>1.00000</v>
      </c>
      <c r="F9177" s="29">
        <f ca="1">ROUND(21.000,3)</f>
        <v>0</v>
      </c>
      <c r="G9177" s="27">
        <f ca="1">ROUND(E9177*F9177,2)</f>
        <v>0</v>
      </c>
    </row>
    <row r="9178" spans="1:7" ht="24.36" thickBot="1" customHeight="1">
      <c r="A9178" s="24" t="s">
        <v>29074</v>
      </c>
      <c r="B9178" s="24" t="s">
        <v>29075</v>
      </c>
      <c r="C9178" s="24" t="s">
        <v>29076</v>
      </c>
      <c r="D9178" s="25" t="s">
        <v>29077</v>
      </c>
      <c r="E9178" s="28">
        <v>1.00000</v>
      </c>
      <c r="F9178" s="29">
        <f ca="1">ROUND(19.000,3)</f>
        <v>0</v>
      </c>
      <c r="G9178" s="27">
        <f ca="1">ROUND(E9178*F9178,2)</f>
        <v>0</v>
      </c>
    </row>
    <row r="9179" spans="1:7" ht="24.36" thickBot="1" customHeight="1">
      <c r="A9179" s="24" t="s">
        <v>29078</v>
      </c>
      <c r="B9179" s="24" t="s">
        <v>29079</v>
      </c>
      <c r="C9179" s="24" t="s">
        <v>29080</v>
      </c>
      <c r="D9179" s="25" t="s">
        <v>29081</v>
      </c>
      <c r="E9179" s="28">
        <v>0.20000</v>
      </c>
      <c r="F9179" s="29">
        <f ca="1">ROUND(19.000,3)</f>
        <v>0</v>
      </c>
      <c r="G9179" s="27">
        <f ca="1">ROUND(E9179*F9179,2)</f>
        <v>0</v>
      </c>
    </row>
    <row r="9180" spans="1:7" ht="15.12" thickBot="1" customHeight="1">
      <c r="A9180" s="26"/>
      <c r="B9180" s="26"/>
      <c r="C9180" s="26"/>
      <c r="D9180" s="24" t="s">
        <v>29082</v>
      </c>
      <c r="E9180" s="28">
        <v>0.63000</v>
      </c>
      <c r="F9180" s="29">
        <f ca="1">ROUND((G9177+G9178+G9179),3)</f>
        <v>0</v>
      </c>
      <c r="G9180" s="27">
        <f ca="1">ROUND(E9180*F9180,2)</f>
        <v>0</v>
      </c>
    </row>
    <row r="9181" spans="1:7" ht="15.12" thickBot="1" customHeight="1">
      <c r="A9181" s="24" t="s">
        <v>29083</v>
      </c>
      <c r="B9181" s="24"/>
      <c r="C9181" s="24" t="s">
        <v>29084</v>
      </c>
      <c r="D9181" s="25" t="s">
        <v>29085</v>
      </c>
      <c r="E9181" s="28">
        <v>3.00000</v>
      </c>
      <c r="F9181" s="29">
        <f ca="1">ROUND(27.590,3)</f>
        <v>0</v>
      </c>
      <c r="G9181" s="27">
        <f ca="1">ROUND((E9181*F9181)/100,2)</f>
        <v>0</v>
      </c>
    </row>
    <row r="9182" spans="1:7" ht="15.48" thickBot="1" customHeight="1">
      <c r="A9182" s="30"/>
      <c r="B9182" s="30"/>
      <c r="C9182" s="30"/>
      <c r="D9182" s="31" t="s">
        <v>29086</v>
      </c>
      <c r="E9182" s="30"/>
      <c r="F9182" s="33">
        <f ca="1">ROUND((G9174+G9175+G9176+G9181)*(1+G2/100),2)</f>
        <v>0</v>
      </c>
      <c r="G9182" s="30"/>
    </row>
    <row r="9183" spans="1:7" ht="30.60" thickBot="1" customHeight="1">
      <c r="A9183" s="34" t="s">
        <v>29087</v>
      </c>
      <c r="B9183" s="35" t="s">
        <v>29088</v>
      </c>
      <c r="C9183" s="35" t="s">
        <v>29089</v>
      </c>
      <c r="D9183" s="36" t="s">
        <v>29090</v>
      </c>
      <c r="E9183" s="37"/>
      <c r="F9183" s="38">
        <f ca="1">F9193</f>
        <v>0</v>
      </c>
      <c r="G9183" s="37"/>
    </row>
    <row r="9184" spans="1:7" ht="30.60" thickBot="1" customHeight="1">
      <c r="A9184" s="26"/>
      <c r="B9184" s="26"/>
      <c r="C9184" s="26"/>
      <c r="D9184" s="25" t="s">
        <v>29091</v>
      </c>
      <c r="E9184" s="25"/>
      <c r="F9184" s="25"/>
      <c r="G9184" s="25"/>
    </row>
    <row r="9185" spans="1:7" ht="30.60" thickBot="1" customHeight="1">
      <c r="A9185" s="24" t="s">
        <v>29092</v>
      </c>
      <c r="B9185" s="24" t="s">
        <v>29093</v>
      </c>
      <c r="C9185" s="24" t="s">
        <v>29094</v>
      </c>
      <c r="D9185" s="25" t="s">
        <v>29095</v>
      </c>
      <c r="E9185" s="28">
        <v>0.20000</v>
      </c>
      <c r="F9185" s="29">
        <f ca="1">ROUND(11.740,3)</f>
        <v>0</v>
      </c>
      <c r="G9185" s="27">
        <f ca="1">ROUND(E9185*F9185,2)</f>
        <v>0</v>
      </c>
    </row>
    <row r="9186" spans="1:7" ht="30.60" thickBot="1" customHeight="1">
      <c r="A9186" s="24" t="s">
        <v>29096</v>
      </c>
      <c r="B9186" s="24" t="s">
        <v>29097</v>
      </c>
      <c r="C9186" s="24" t="s">
        <v>29098</v>
      </c>
      <c r="D9186" s="25" t="s">
        <v>29099</v>
      </c>
      <c r="E9186" s="28">
        <v>0.00630</v>
      </c>
      <c r="F9186" s="29">
        <f ca="1">ROUND(31.650,3)</f>
        <v>0</v>
      </c>
      <c r="G9186" s="27">
        <f ca="1">ROUND(E9186*F9186,2)</f>
        <v>0</v>
      </c>
    </row>
    <row r="9187" spans="1:7" ht="21.36" thickBot="1" customHeight="1">
      <c r="A9187" s="24" t="s">
        <v>29100</v>
      </c>
      <c r="B9187" s="24" t="s">
        <v>29101</v>
      </c>
      <c r="C9187" s="24" t="s">
        <v>29102</v>
      </c>
      <c r="D9187" s="25" t="s">
        <v>29103</v>
      </c>
      <c r="E9187" s="28">
        <v>0.50000</v>
      </c>
      <c r="F9187" s="29">
        <f ca="1">F9191</f>
        <v>0</v>
      </c>
      <c r="G9187" s="27">
        <f ca="1">ROUND(E9187*F9187,2)</f>
        <v>0</v>
      </c>
    </row>
    <row r="9188" spans="1:7" ht="24.36" thickBot="1" customHeight="1">
      <c r="A9188" s="24" t="s">
        <v>29104</v>
      </c>
      <c r="B9188" s="24" t="s">
        <v>29105</v>
      </c>
      <c r="C9188" s="24" t="s">
        <v>29106</v>
      </c>
      <c r="D9188" s="25" t="s">
        <v>29107</v>
      </c>
      <c r="E9188" s="28">
        <v>1.00000</v>
      </c>
      <c r="F9188" s="29">
        <f ca="1">ROUND(21.000,3)</f>
        <v>0</v>
      </c>
      <c r="G9188" s="27">
        <f ca="1">ROUND(E9188*F9188,2)</f>
        <v>0</v>
      </c>
    </row>
    <row r="9189" spans="1:7" ht="24.36" thickBot="1" customHeight="1">
      <c r="A9189" s="24" t="s">
        <v>29108</v>
      </c>
      <c r="B9189" s="24" t="s">
        <v>29109</v>
      </c>
      <c r="C9189" s="24" t="s">
        <v>29110</v>
      </c>
      <c r="D9189" s="25" t="s">
        <v>29111</v>
      </c>
      <c r="E9189" s="28">
        <v>1.00000</v>
      </c>
      <c r="F9189" s="29">
        <f ca="1">ROUND(19.000,3)</f>
        <v>0</v>
      </c>
      <c r="G9189" s="27">
        <f ca="1">ROUND(E9189*F9189,2)</f>
        <v>0</v>
      </c>
    </row>
    <row r="9190" spans="1:7" ht="24.36" thickBot="1" customHeight="1">
      <c r="A9190" s="24" t="s">
        <v>29112</v>
      </c>
      <c r="B9190" s="24" t="s">
        <v>29113</v>
      </c>
      <c r="C9190" s="24" t="s">
        <v>29114</v>
      </c>
      <c r="D9190" s="25" t="s">
        <v>29115</v>
      </c>
      <c r="E9190" s="28">
        <v>0.20000</v>
      </c>
      <c r="F9190" s="29">
        <f ca="1">ROUND(19.000,3)</f>
        <v>0</v>
      </c>
      <c r="G9190" s="27">
        <f ca="1">ROUND(E9190*F9190,2)</f>
        <v>0</v>
      </c>
    </row>
    <row r="9191" spans="1:7" ht="15.12" thickBot="1" customHeight="1">
      <c r="A9191" s="26"/>
      <c r="B9191" s="26"/>
      <c r="C9191" s="26"/>
      <c r="D9191" s="24" t="s">
        <v>29116</v>
      </c>
      <c r="E9191" s="28">
        <v>0.50000</v>
      </c>
      <c r="F9191" s="29">
        <f ca="1">ROUND((G9188+G9189+G9190),3)</f>
        <v>0</v>
      </c>
      <c r="G9191" s="27">
        <f ca="1">ROUND(E9191*F9191,2)</f>
        <v>0</v>
      </c>
    </row>
    <row r="9192" spans="1:7" ht="15.12" thickBot="1" customHeight="1">
      <c r="A9192" s="24" t="s">
        <v>29117</v>
      </c>
      <c r="B9192" s="24"/>
      <c r="C9192" s="24" t="s">
        <v>29118</v>
      </c>
      <c r="D9192" s="25" t="s">
        <v>29119</v>
      </c>
      <c r="E9192" s="28">
        <v>3.00000</v>
      </c>
      <c r="F9192" s="29">
        <f ca="1">ROUND(21.900,3)</f>
        <v>0</v>
      </c>
      <c r="G9192" s="27">
        <f ca="1">ROUND((E9192*F9192)/100,2)</f>
        <v>0</v>
      </c>
    </row>
    <row r="9193" spans="1:7" ht="15.48" thickBot="1" customHeight="1">
      <c r="A9193" s="30"/>
      <c r="B9193" s="30"/>
      <c r="C9193" s="30"/>
      <c r="D9193" s="31" t="s">
        <v>29120</v>
      </c>
      <c r="E9193" s="30"/>
      <c r="F9193" s="33">
        <f ca="1">ROUND((G9185+G9186+G9187+G9192)*(1+G2/100),2)</f>
        <v>0</v>
      </c>
      <c r="G9193" s="30"/>
    </row>
    <row r="9194" spans="1:7" ht="21.36" thickBot="1" customHeight="1">
      <c r="A9194" s="34" t="s">
        <v>29121</v>
      </c>
      <c r="B9194" s="35" t="s">
        <v>29122</v>
      </c>
      <c r="C9194" s="35" t="s">
        <v>29123</v>
      </c>
      <c r="D9194" s="36" t="s">
        <v>29124</v>
      </c>
      <c r="E9194" s="37"/>
      <c r="F9194" s="38">
        <f ca="1">F9204</f>
        <v>0</v>
      </c>
      <c r="G9194" s="37"/>
    </row>
    <row r="9195" spans="1:7" ht="39.84" thickBot="1" customHeight="1">
      <c r="A9195" s="26"/>
      <c r="B9195" s="26"/>
      <c r="C9195" s="26"/>
      <c r="D9195" s="25" t="s">
        <v>29125</v>
      </c>
      <c r="E9195" s="25"/>
      <c r="F9195" s="25"/>
      <c r="G9195" s="25"/>
    </row>
    <row r="9196" spans="1:7" ht="30.60" thickBot="1" customHeight="1">
      <c r="A9196" s="24" t="s">
        <v>29126</v>
      </c>
      <c r="B9196" s="24" t="s">
        <v>29127</v>
      </c>
      <c r="C9196" s="24" t="s">
        <v>29128</v>
      </c>
      <c r="D9196" s="25" t="s">
        <v>29129</v>
      </c>
      <c r="E9196" s="28">
        <v>0.10000</v>
      </c>
      <c r="F9196" s="29">
        <f ca="1">ROUND(14.000,3)</f>
        <v>0</v>
      </c>
      <c r="G9196" s="27">
        <f ca="1">ROUND(E9196*F9196,2)</f>
        <v>0</v>
      </c>
    </row>
    <row r="9197" spans="1:7" ht="21.36" thickBot="1" customHeight="1">
      <c r="A9197" s="24" t="s">
        <v>29130</v>
      </c>
      <c r="B9197" s="24" t="s">
        <v>29131</v>
      </c>
      <c r="C9197" s="24" t="s">
        <v>29132</v>
      </c>
      <c r="D9197" s="25" t="s">
        <v>29133</v>
      </c>
      <c r="E9197" s="28">
        <v>0.20000</v>
      </c>
      <c r="F9197" s="29">
        <f ca="1">ROUND(8.500,3)</f>
        <v>0</v>
      </c>
      <c r="G9197" s="27">
        <f ca="1">ROUND(E9197*F9197,2)</f>
        <v>0</v>
      </c>
    </row>
    <row r="9198" spans="1:7" ht="21.36" thickBot="1" customHeight="1">
      <c r="A9198" s="24" t="s">
        <v>29134</v>
      </c>
      <c r="B9198" s="24" t="s">
        <v>29135</v>
      </c>
      <c r="C9198" s="24" t="s">
        <v>29136</v>
      </c>
      <c r="D9198" s="25" t="s">
        <v>29137</v>
      </c>
      <c r="E9198" s="28">
        <v>0.20000</v>
      </c>
      <c r="F9198" s="29">
        <f ca="1">F9202</f>
        <v>0</v>
      </c>
      <c r="G9198" s="27">
        <f ca="1">ROUND(E9198*F9198,2)</f>
        <v>0</v>
      </c>
    </row>
    <row r="9199" spans="1:7" ht="24.36" thickBot="1" customHeight="1">
      <c r="A9199" s="24" t="s">
        <v>29138</v>
      </c>
      <c r="B9199" s="24" t="s">
        <v>29139</v>
      </c>
      <c r="C9199" s="24" t="s">
        <v>29140</v>
      </c>
      <c r="D9199" s="25" t="s">
        <v>29141</v>
      </c>
      <c r="E9199" s="28">
        <v>1.00000</v>
      </c>
      <c r="F9199" s="29">
        <f ca="1">ROUND(21.000,3)</f>
        <v>0</v>
      </c>
      <c r="G9199" s="27">
        <f ca="1">ROUND(E9199*F9199,2)</f>
        <v>0</v>
      </c>
    </row>
    <row r="9200" spans="1:7" ht="24.36" thickBot="1" customHeight="1">
      <c r="A9200" s="24" t="s">
        <v>29142</v>
      </c>
      <c r="B9200" s="24" t="s">
        <v>29143</v>
      </c>
      <c r="C9200" s="24" t="s">
        <v>29144</v>
      </c>
      <c r="D9200" s="25" t="s">
        <v>29145</v>
      </c>
      <c r="E9200" s="28">
        <v>1.00000</v>
      </c>
      <c r="F9200" s="29">
        <f ca="1">ROUND(19.000,3)</f>
        <v>0</v>
      </c>
      <c r="G9200" s="27">
        <f ca="1">ROUND(E9200*F9200,2)</f>
        <v>0</v>
      </c>
    </row>
    <row r="9201" spans="1:7" ht="24.36" thickBot="1" customHeight="1">
      <c r="A9201" s="24" t="s">
        <v>29146</v>
      </c>
      <c r="B9201" s="24" t="s">
        <v>29147</v>
      </c>
      <c r="C9201" s="24" t="s">
        <v>29148</v>
      </c>
      <c r="D9201" s="25" t="s">
        <v>29149</v>
      </c>
      <c r="E9201" s="28">
        <v>0.20000</v>
      </c>
      <c r="F9201" s="29">
        <f ca="1">ROUND(19.000,3)</f>
        <v>0</v>
      </c>
      <c r="G9201" s="27">
        <f ca="1">ROUND(E9201*F9201,2)</f>
        <v>0</v>
      </c>
    </row>
    <row r="9202" spans="1:7" ht="15.12" thickBot="1" customHeight="1">
      <c r="A9202" s="26"/>
      <c r="B9202" s="26"/>
      <c r="C9202" s="26"/>
      <c r="D9202" s="24" t="s">
        <v>29150</v>
      </c>
      <c r="E9202" s="28">
        <v>0.20000</v>
      </c>
      <c r="F9202" s="29">
        <f ca="1">ROUND((G9199+G9200+G9201),3)</f>
        <v>0</v>
      </c>
      <c r="G9202" s="27">
        <f ca="1">ROUND(E9202*F9202,2)</f>
        <v>0</v>
      </c>
    </row>
    <row r="9203" spans="1:7" ht="15.12" thickBot="1" customHeight="1">
      <c r="A9203" s="24" t="s">
        <v>29151</v>
      </c>
      <c r="B9203" s="24"/>
      <c r="C9203" s="24" t="s">
        <v>29152</v>
      </c>
      <c r="D9203" s="25" t="s">
        <v>29153</v>
      </c>
      <c r="E9203" s="28">
        <v>3.00000</v>
      </c>
      <c r="F9203" s="29">
        <f ca="1">ROUND(8.760,3)</f>
        <v>0</v>
      </c>
      <c r="G9203" s="27">
        <f ca="1">ROUND((E9203*F9203)/100,2)</f>
        <v>0</v>
      </c>
    </row>
    <row r="9204" spans="1:7" ht="15.48" thickBot="1" customHeight="1">
      <c r="A9204" s="30"/>
      <c r="B9204" s="30"/>
      <c r="C9204" s="30"/>
      <c r="D9204" s="31" t="s">
        <v>29154</v>
      </c>
      <c r="E9204" s="30"/>
      <c r="F9204" s="33">
        <f ca="1">ROUND((G9196+G9197+G9198+G9203)*(1+G2/100),2)</f>
        <v>0</v>
      </c>
      <c r="G9204" s="30"/>
    </row>
    <row r="9205" spans="1:7" ht="21.36" thickBot="1" customHeight="1">
      <c r="A9205" s="34" t="s">
        <v>29155</v>
      </c>
      <c r="B9205" s="35" t="s">
        <v>29156</v>
      </c>
      <c r="C9205" s="35" t="s">
        <v>29157</v>
      </c>
      <c r="D9205" s="36" t="s">
        <v>29158</v>
      </c>
      <c r="E9205" s="37"/>
      <c r="F9205" s="38">
        <f ca="1">F9215</f>
        <v>0</v>
      </c>
      <c r="G9205" s="37"/>
    </row>
    <row r="9206" spans="1:7" ht="39.84" thickBot="1" customHeight="1">
      <c r="A9206" s="26"/>
      <c r="B9206" s="26"/>
      <c r="C9206" s="26"/>
      <c r="D9206" s="25" t="s">
        <v>29159</v>
      </c>
      <c r="E9206" s="25"/>
      <c r="F9206" s="25"/>
      <c r="G9206" s="25"/>
    </row>
    <row r="9207" spans="1:7" ht="30.60" thickBot="1" customHeight="1">
      <c r="A9207" s="24" t="s">
        <v>29160</v>
      </c>
      <c r="B9207" s="24" t="s">
        <v>29161</v>
      </c>
      <c r="C9207" s="24" t="s">
        <v>29162</v>
      </c>
      <c r="D9207" s="25" t="s">
        <v>29163</v>
      </c>
      <c r="E9207" s="28">
        <v>1.06000</v>
      </c>
      <c r="F9207" s="29">
        <f ca="1">ROUND(1.060,3)</f>
        <v>0</v>
      </c>
      <c r="G9207" s="27">
        <f ca="1">ROUND(E9207*F9207,2)</f>
        <v>0</v>
      </c>
    </row>
    <row r="9208" spans="1:7" ht="21.36" thickBot="1" customHeight="1">
      <c r="A9208" s="24" t="s">
        <v>29164</v>
      </c>
      <c r="B9208" s="24" t="s">
        <v>29165</v>
      </c>
      <c r="C9208" s="24" t="s">
        <v>29166</v>
      </c>
      <c r="D9208" s="25" t="s">
        <v>29167</v>
      </c>
      <c r="E9208" s="28">
        <v>0.20000</v>
      </c>
      <c r="F9208" s="29">
        <f ca="1">ROUND(8.500,3)</f>
        <v>0</v>
      </c>
      <c r="G9208" s="27">
        <f ca="1">ROUND(E9208*F9208,2)</f>
        <v>0</v>
      </c>
    </row>
    <row r="9209" spans="1:7" ht="21.36" thickBot="1" customHeight="1">
      <c r="A9209" s="24" t="s">
        <v>29168</v>
      </c>
      <c r="B9209" s="24" t="s">
        <v>29169</v>
      </c>
      <c r="C9209" s="24" t="s">
        <v>29170</v>
      </c>
      <c r="D9209" s="25" t="s">
        <v>29171</v>
      </c>
      <c r="E9209" s="28">
        <v>0.20000</v>
      </c>
      <c r="F9209" s="29">
        <f ca="1">F9213</f>
        <v>0</v>
      </c>
      <c r="G9209" s="27">
        <f ca="1">ROUND(E9209*F9209,2)</f>
        <v>0</v>
      </c>
    </row>
    <row r="9210" spans="1:7" ht="24.36" thickBot="1" customHeight="1">
      <c r="A9210" s="24" t="s">
        <v>29172</v>
      </c>
      <c r="B9210" s="24" t="s">
        <v>29173</v>
      </c>
      <c r="C9210" s="24" t="s">
        <v>29174</v>
      </c>
      <c r="D9210" s="25" t="s">
        <v>29175</v>
      </c>
      <c r="E9210" s="28">
        <v>1.00000</v>
      </c>
      <c r="F9210" s="29">
        <f ca="1">ROUND(21.000,3)</f>
        <v>0</v>
      </c>
      <c r="G9210" s="27">
        <f ca="1">ROUND(E9210*F9210,2)</f>
        <v>0</v>
      </c>
    </row>
    <row r="9211" spans="1:7" ht="24.36" thickBot="1" customHeight="1">
      <c r="A9211" s="24" t="s">
        <v>29176</v>
      </c>
      <c r="B9211" s="24" t="s">
        <v>29177</v>
      </c>
      <c r="C9211" s="24" t="s">
        <v>29178</v>
      </c>
      <c r="D9211" s="25" t="s">
        <v>29179</v>
      </c>
      <c r="E9211" s="28">
        <v>1.00000</v>
      </c>
      <c r="F9211" s="29">
        <f ca="1">ROUND(19.000,3)</f>
        <v>0</v>
      </c>
      <c r="G9211" s="27">
        <f ca="1">ROUND(E9211*F9211,2)</f>
        <v>0</v>
      </c>
    </row>
    <row r="9212" spans="1:7" ht="24.36" thickBot="1" customHeight="1">
      <c r="A9212" s="24" t="s">
        <v>29180</v>
      </c>
      <c r="B9212" s="24" t="s">
        <v>29181</v>
      </c>
      <c r="C9212" s="24" t="s">
        <v>29182</v>
      </c>
      <c r="D9212" s="25" t="s">
        <v>29183</v>
      </c>
      <c r="E9212" s="28">
        <v>0.20000</v>
      </c>
      <c r="F9212" s="29">
        <f ca="1">ROUND(19.000,3)</f>
        <v>0</v>
      </c>
      <c r="G9212" s="27">
        <f ca="1">ROUND(E9212*F9212,2)</f>
        <v>0</v>
      </c>
    </row>
    <row r="9213" spans="1:7" ht="15.12" thickBot="1" customHeight="1">
      <c r="A9213" s="26"/>
      <c r="B9213" s="26"/>
      <c r="C9213" s="26"/>
      <c r="D9213" s="24" t="s">
        <v>29184</v>
      </c>
      <c r="E9213" s="28">
        <v>0.20000</v>
      </c>
      <c r="F9213" s="29">
        <f ca="1">ROUND((G9210+G9211+G9212),3)</f>
        <v>0</v>
      </c>
      <c r="G9213" s="27">
        <f ca="1">ROUND(E9213*F9213,2)</f>
        <v>0</v>
      </c>
    </row>
    <row r="9214" spans="1:7" ht="15.12" thickBot="1" customHeight="1">
      <c r="A9214" s="24" t="s">
        <v>29185</v>
      </c>
      <c r="B9214" s="24"/>
      <c r="C9214" s="24" t="s">
        <v>29186</v>
      </c>
      <c r="D9214" s="25" t="s">
        <v>29187</v>
      </c>
      <c r="E9214" s="28">
        <v>3.00000</v>
      </c>
      <c r="F9214" s="29">
        <f ca="1">ROUND(8.760,3)</f>
        <v>0</v>
      </c>
      <c r="G9214" s="27">
        <f ca="1">ROUND((E9214*F9214)/100,2)</f>
        <v>0</v>
      </c>
    </row>
    <row r="9215" spans="1:7" ht="15.48" thickBot="1" customHeight="1">
      <c r="A9215" s="30"/>
      <c r="B9215" s="30"/>
      <c r="C9215" s="30"/>
      <c r="D9215" s="31" t="s">
        <v>29188</v>
      </c>
      <c r="E9215" s="30"/>
      <c r="F9215" s="33">
        <f ca="1">ROUND((G9207+G9208+G9209+G9214)*(1+G2/100),2)</f>
        <v>0</v>
      </c>
      <c r="G9215" s="30"/>
    </row>
    <row r="9216" spans="1:7" ht="39.84" thickBot="1" customHeight="1">
      <c r="A9216" s="34" t="s">
        <v>29189</v>
      </c>
      <c r="B9216" s="35" t="s">
        <v>29190</v>
      </c>
      <c r="C9216" s="35" t="s">
        <v>29191</v>
      </c>
      <c r="D9216" s="36" t="s">
        <v>29192</v>
      </c>
      <c r="E9216" s="37"/>
      <c r="F9216" s="38">
        <f ca="1">F9226</f>
        <v>0</v>
      </c>
      <c r="G9216" s="37"/>
    </row>
    <row r="9217" spans="1:7" ht="39.84" thickBot="1" customHeight="1">
      <c r="A9217" s="26"/>
      <c r="B9217" s="26"/>
      <c r="C9217" s="26"/>
      <c r="D9217" s="25" t="s">
        <v>29193</v>
      </c>
      <c r="E9217" s="25"/>
      <c r="F9217" s="25"/>
      <c r="G9217" s="25"/>
    </row>
    <row r="9218" spans="1:7" ht="21.36" thickBot="1" customHeight="1">
      <c r="A9218" s="24" t="s">
        <v>29194</v>
      </c>
      <c r="B9218" s="24" t="s">
        <v>29195</v>
      </c>
      <c r="C9218" s="24" t="s">
        <v>29196</v>
      </c>
      <c r="D9218" s="25" t="s">
        <v>29197</v>
      </c>
      <c r="E9218" s="28">
        <v>0.20000</v>
      </c>
      <c r="F9218" s="29">
        <f ca="1">ROUND(8.500,3)</f>
        <v>0</v>
      </c>
      <c r="G9218" s="27">
        <f ca="1">ROUND(E9218*F9218,2)</f>
        <v>0</v>
      </c>
    </row>
    <row r="9219" spans="1:7" ht="30.60" thickBot="1" customHeight="1">
      <c r="A9219" s="24" t="s">
        <v>29198</v>
      </c>
      <c r="B9219" s="24" t="s">
        <v>29199</v>
      </c>
      <c r="C9219" s="24" t="s">
        <v>29200</v>
      </c>
      <c r="D9219" s="25" t="s">
        <v>29201</v>
      </c>
      <c r="E9219" s="28">
        <v>1.06000</v>
      </c>
      <c r="F9219" s="29">
        <f ca="1">ROUND(1.060,3)</f>
        <v>0</v>
      </c>
      <c r="G9219" s="27">
        <f ca="1">ROUND(E9219*F9219,2)</f>
        <v>0</v>
      </c>
    </row>
    <row r="9220" spans="1:7" ht="24.36" thickBot="1" customHeight="1">
      <c r="A9220" s="24" t="s">
        <v>29202</v>
      </c>
      <c r="B9220" s="24" t="s">
        <v>29203</v>
      </c>
      <c r="C9220" s="24" t="s">
        <v>29204</v>
      </c>
      <c r="D9220" s="25" t="s">
        <v>29205</v>
      </c>
      <c r="E9220" s="28">
        <v>0.40000</v>
      </c>
      <c r="F9220" s="29">
        <f ca="1">F9224</f>
        <v>0</v>
      </c>
      <c r="G9220" s="27">
        <f ca="1">ROUND(E9220*F9220,2)</f>
        <v>0</v>
      </c>
    </row>
    <row r="9221" spans="1:7" ht="24.36" thickBot="1" customHeight="1">
      <c r="A9221" s="24" t="s">
        <v>29206</v>
      </c>
      <c r="B9221" s="24" t="s">
        <v>29207</v>
      </c>
      <c r="C9221" s="24" t="s">
        <v>29208</v>
      </c>
      <c r="D9221" s="25" t="s">
        <v>29209</v>
      </c>
      <c r="E9221" s="28">
        <v>1.00000</v>
      </c>
      <c r="F9221" s="29">
        <f ca="1">ROUND(21.000,3)</f>
        <v>0</v>
      </c>
      <c r="G9221" s="27">
        <f ca="1">ROUND(E9221*F9221,2)</f>
        <v>0</v>
      </c>
    </row>
    <row r="9222" spans="1:7" ht="24.36" thickBot="1" customHeight="1">
      <c r="A9222" s="24" t="s">
        <v>29210</v>
      </c>
      <c r="B9222" s="24" t="s">
        <v>29211</v>
      </c>
      <c r="C9222" s="24" t="s">
        <v>29212</v>
      </c>
      <c r="D9222" s="25" t="s">
        <v>29213</v>
      </c>
      <c r="E9222" s="28">
        <v>1.00000</v>
      </c>
      <c r="F9222" s="29">
        <f ca="1">ROUND(19.000,3)</f>
        <v>0</v>
      </c>
      <c r="G9222" s="27">
        <f ca="1">ROUND(E9222*F9222,2)</f>
        <v>0</v>
      </c>
    </row>
    <row r="9223" spans="1:7" ht="24.36" thickBot="1" customHeight="1">
      <c r="A9223" s="24" t="s">
        <v>29214</v>
      </c>
      <c r="B9223" s="24" t="s">
        <v>29215</v>
      </c>
      <c r="C9223" s="24" t="s">
        <v>29216</v>
      </c>
      <c r="D9223" s="25" t="s">
        <v>29217</v>
      </c>
      <c r="E9223" s="28">
        <v>0.50000</v>
      </c>
      <c r="F9223" s="29">
        <f ca="1">ROUND(19.000,3)</f>
        <v>0</v>
      </c>
      <c r="G9223" s="27">
        <f ca="1">ROUND(E9223*F9223,2)</f>
        <v>0</v>
      </c>
    </row>
    <row r="9224" spans="1:7" ht="15.12" thickBot="1" customHeight="1">
      <c r="A9224" s="26"/>
      <c r="B9224" s="26"/>
      <c r="C9224" s="26"/>
      <c r="D9224" s="24" t="s">
        <v>29218</v>
      </c>
      <c r="E9224" s="28">
        <v>0.40000</v>
      </c>
      <c r="F9224" s="29">
        <f ca="1">ROUND((G9221+G9222+G9223),3)</f>
        <v>0</v>
      </c>
      <c r="G9224" s="27">
        <f ca="1">ROUND(E9224*F9224,2)</f>
        <v>0</v>
      </c>
    </row>
    <row r="9225" spans="1:7" ht="15.12" thickBot="1" customHeight="1">
      <c r="A9225" s="24" t="s">
        <v>29219</v>
      </c>
      <c r="B9225" s="24"/>
      <c r="C9225" s="24" t="s">
        <v>29220</v>
      </c>
      <c r="D9225" s="25" t="s">
        <v>29221</v>
      </c>
      <c r="E9225" s="28">
        <v>3.00000</v>
      </c>
      <c r="F9225" s="29">
        <f ca="1">ROUND(19.800,3)</f>
        <v>0</v>
      </c>
      <c r="G9225" s="27">
        <f ca="1">ROUND((E9225*F9225)/100,2)</f>
        <v>0</v>
      </c>
    </row>
    <row r="9226" spans="1:7" ht="15.48" thickBot="1" customHeight="1">
      <c r="A9226" s="30"/>
      <c r="B9226" s="30"/>
      <c r="C9226" s="30"/>
      <c r="D9226" s="31" t="s">
        <v>29222</v>
      </c>
      <c r="E9226" s="30"/>
      <c r="F9226" s="33">
        <f ca="1">ROUND((G9218+G9219+G9220+G9225)*(1+G2/100),2)</f>
        <v>0</v>
      </c>
      <c r="G9226" s="30"/>
    </row>
    <row r="9227" spans="1:7" ht="21.36" thickBot="1" customHeight="1">
      <c r="A9227" s="34" t="s">
        <v>29223</v>
      </c>
      <c r="B9227" s="35" t="s">
        <v>29224</v>
      </c>
      <c r="C9227" s="35" t="s">
        <v>29225</v>
      </c>
      <c r="D9227" s="36" t="s">
        <v>29226</v>
      </c>
      <c r="E9227" s="37"/>
      <c r="F9227" s="38">
        <f ca="1">F9236</f>
        <v>0</v>
      </c>
      <c r="G9227" s="37"/>
    </row>
    <row r="9228" spans="1:7" ht="39.84" thickBot="1" customHeight="1">
      <c r="A9228" s="26"/>
      <c r="B9228" s="26"/>
      <c r="C9228" s="26"/>
      <c r="D9228" s="25" t="s">
        <v>29227</v>
      </c>
      <c r="E9228" s="25"/>
      <c r="F9228" s="25"/>
      <c r="G9228" s="25"/>
    </row>
    <row r="9229" spans="1:7" ht="24.36" thickBot="1" customHeight="1">
      <c r="A9229" s="24" t="s">
        <v>29228</v>
      </c>
      <c r="B9229" s="24" t="s">
        <v>29229</v>
      </c>
      <c r="C9229" s="24" t="s">
        <v>29230</v>
      </c>
      <c r="D9229" s="25" t="s">
        <v>29231</v>
      </c>
      <c r="E9229" s="28">
        <v>0.06000</v>
      </c>
      <c r="F9229" s="29">
        <f ca="1">ROUND(15.000,3)</f>
        <v>0</v>
      </c>
      <c r="G9229" s="27">
        <f ca="1">ROUND(E9229*F9229,2)</f>
        <v>0</v>
      </c>
    </row>
    <row r="9230" spans="1:7" ht="21.36" thickBot="1" customHeight="1">
      <c r="A9230" s="24" t="s">
        <v>29232</v>
      </c>
      <c r="B9230" s="24" t="s">
        <v>29233</v>
      </c>
      <c r="C9230" s="24" t="s">
        <v>29234</v>
      </c>
      <c r="D9230" s="25" t="s">
        <v>29235</v>
      </c>
      <c r="E9230" s="28">
        <v>0.35000</v>
      </c>
      <c r="F9230" s="29">
        <f ca="1">F9234</f>
        <v>0</v>
      </c>
      <c r="G9230" s="27">
        <f ca="1">ROUND(E9230*F9230,2)</f>
        <v>0</v>
      </c>
    </row>
    <row r="9231" spans="1:7" ht="24.36" thickBot="1" customHeight="1">
      <c r="A9231" s="24" t="s">
        <v>29236</v>
      </c>
      <c r="B9231" s="24" t="s">
        <v>29237</v>
      </c>
      <c r="C9231" s="24" t="s">
        <v>29238</v>
      </c>
      <c r="D9231" s="25" t="s">
        <v>29239</v>
      </c>
      <c r="E9231" s="28">
        <v>1.00000</v>
      </c>
      <c r="F9231" s="29">
        <f ca="1">ROUND(21.000,3)</f>
        <v>0</v>
      </c>
      <c r="G9231" s="27">
        <f ca="1">ROUND(E9231*F9231,2)</f>
        <v>0</v>
      </c>
    </row>
    <row r="9232" spans="1:7" ht="24.36" thickBot="1" customHeight="1">
      <c r="A9232" s="24" t="s">
        <v>29240</v>
      </c>
      <c r="B9232" s="24" t="s">
        <v>29241</v>
      </c>
      <c r="C9232" s="24" t="s">
        <v>29242</v>
      </c>
      <c r="D9232" s="25" t="s">
        <v>29243</v>
      </c>
      <c r="E9232" s="28">
        <v>1.00000</v>
      </c>
      <c r="F9232" s="29">
        <f ca="1">ROUND(19.000,3)</f>
        <v>0</v>
      </c>
      <c r="G9232" s="27">
        <f ca="1">ROUND(E9232*F9232,2)</f>
        <v>0</v>
      </c>
    </row>
    <row r="9233" spans="1:7" ht="24.36" thickBot="1" customHeight="1">
      <c r="A9233" s="24" t="s">
        <v>29244</v>
      </c>
      <c r="B9233" s="24" t="s">
        <v>29245</v>
      </c>
      <c r="C9233" s="24" t="s">
        <v>29246</v>
      </c>
      <c r="D9233" s="25" t="s">
        <v>29247</v>
      </c>
      <c r="E9233" s="28">
        <v>0.20000</v>
      </c>
      <c r="F9233" s="29">
        <f ca="1">ROUND(19.000,3)</f>
        <v>0</v>
      </c>
      <c r="G9233" s="27">
        <f ca="1">ROUND(E9233*F9233,2)</f>
        <v>0</v>
      </c>
    </row>
    <row r="9234" spans="1:7" ht="15.12" thickBot="1" customHeight="1">
      <c r="A9234" s="26"/>
      <c r="B9234" s="26"/>
      <c r="C9234" s="26"/>
      <c r="D9234" s="24" t="s">
        <v>29248</v>
      </c>
      <c r="E9234" s="28">
        <v>0.35000</v>
      </c>
      <c r="F9234" s="29">
        <f ca="1">ROUND((G9231+G9232+G9233),3)</f>
        <v>0</v>
      </c>
      <c r="G9234" s="27">
        <f ca="1">ROUND(E9234*F9234,2)</f>
        <v>0</v>
      </c>
    </row>
    <row r="9235" spans="1:7" ht="15.12" thickBot="1" customHeight="1">
      <c r="A9235" s="24" t="s">
        <v>29249</v>
      </c>
      <c r="B9235" s="24"/>
      <c r="C9235" s="24" t="s">
        <v>29250</v>
      </c>
      <c r="D9235" s="25" t="s">
        <v>29251</v>
      </c>
      <c r="E9235" s="28">
        <v>3.00000</v>
      </c>
      <c r="F9235" s="29">
        <f ca="1">ROUND(15.330,3)</f>
        <v>0</v>
      </c>
      <c r="G9235" s="27">
        <f ca="1">ROUND((E9235*F9235)/100,2)</f>
        <v>0</v>
      </c>
    </row>
    <row r="9236" spans="1:7" ht="15.48" thickBot="1" customHeight="1">
      <c r="A9236" s="30"/>
      <c r="B9236" s="30"/>
      <c r="C9236" s="30"/>
      <c r="D9236" s="31" t="s">
        <v>29252</v>
      </c>
      <c r="E9236" s="30"/>
      <c r="F9236" s="33">
        <f ca="1">ROUND((G9229+G9230+G9235)*(1+G2/100),2)</f>
        <v>0</v>
      </c>
      <c r="G9236" s="30"/>
    </row>
    <row r="9237" spans="1:7" ht="21.36" thickBot="1" customHeight="1">
      <c r="A9237" s="34" t="s">
        <v>29253</v>
      </c>
      <c r="B9237" s="35" t="s">
        <v>29254</v>
      </c>
      <c r="C9237" s="35" t="s">
        <v>29255</v>
      </c>
      <c r="D9237" s="36" t="s">
        <v>29256</v>
      </c>
      <c r="E9237" s="37"/>
      <c r="F9237" s="38">
        <f ca="1">F9247</f>
        <v>0</v>
      </c>
      <c r="G9237" s="37"/>
    </row>
    <row r="9238" spans="1:7" ht="39.84" thickBot="1" customHeight="1">
      <c r="A9238" s="26"/>
      <c r="B9238" s="26"/>
      <c r="C9238" s="26"/>
      <c r="D9238" s="25" t="s">
        <v>29257</v>
      </c>
      <c r="E9238" s="25"/>
      <c r="F9238" s="25"/>
      <c r="G9238" s="25"/>
    </row>
    <row r="9239" spans="1:7" ht="30.60" thickBot="1" customHeight="1">
      <c r="A9239" s="24" t="s">
        <v>29258</v>
      </c>
      <c r="B9239" s="24" t="s">
        <v>29259</v>
      </c>
      <c r="C9239" s="24" t="s">
        <v>29260</v>
      </c>
      <c r="D9239" s="25" t="s">
        <v>29261</v>
      </c>
      <c r="E9239" s="28">
        <v>0.20000</v>
      </c>
      <c r="F9239" s="29">
        <f ca="1">ROUND(63.950,3)</f>
        <v>0</v>
      </c>
      <c r="G9239" s="27">
        <f ca="1">ROUND(E9239*F9239,2)</f>
        <v>0</v>
      </c>
    </row>
    <row r="9240" spans="1:7" ht="39.84" thickBot="1" customHeight="1">
      <c r="A9240" s="24" t="s">
        <v>29262</v>
      </c>
      <c r="B9240" s="24" t="s">
        <v>29263</v>
      </c>
      <c r="C9240" s="24" t="s">
        <v>29264</v>
      </c>
      <c r="D9240" s="25" t="s">
        <v>29265</v>
      </c>
      <c r="E9240" s="28">
        <v>0.02200</v>
      </c>
      <c r="F9240" s="29">
        <f ca="1">ROUND(71.070,3)</f>
        <v>0</v>
      </c>
      <c r="G9240" s="27">
        <f ca="1">ROUND(E9240*F9240,2)</f>
        <v>0</v>
      </c>
    </row>
    <row r="9241" spans="1:7" ht="21.36" thickBot="1" customHeight="1">
      <c r="A9241" s="24" t="s">
        <v>29266</v>
      </c>
      <c r="B9241" s="24" t="s">
        <v>29267</v>
      </c>
      <c r="C9241" s="24" t="s">
        <v>29268</v>
      </c>
      <c r="D9241" s="25" t="s">
        <v>29269</v>
      </c>
      <c r="E9241" s="28">
        <v>0.20000</v>
      </c>
      <c r="F9241" s="29">
        <f ca="1">F9245</f>
        <v>0</v>
      </c>
      <c r="G9241" s="27">
        <f ca="1">ROUND(E9241*F9241,2)</f>
        <v>0</v>
      </c>
    </row>
    <row r="9242" spans="1:7" ht="24.36" thickBot="1" customHeight="1">
      <c r="A9242" s="24" t="s">
        <v>29270</v>
      </c>
      <c r="B9242" s="24" t="s">
        <v>29271</v>
      </c>
      <c r="C9242" s="24" t="s">
        <v>29272</v>
      </c>
      <c r="D9242" s="25" t="s">
        <v>29273</v>
      </c>
      <c r="E9242" s="28">
        <v>1.00000</v>
      </c>
      <c r="F9242" s="29">
        <f ca="1">ROUND(21.000,3)</f>
        <v>0</v>
      </c>
      <c r="G9242" s="27">
        <f ca="1">ROUND(E9242*F9242,2)</f>
        <v>0</v>
      </c>
    </row>
    <row r="9243" spans="1:7" ht="24.36" thickBot="1" customHeight="1">
      <c r="A9243" s="24" t="s">
        <v>29274</v>
      </c>
      <c r="B9243" s="24" t="s">
        <v>29275</v>
      </c>
      <c r="C9243" s="24" t="s">
        <v>29276</v>
      </c>
      <c r="D9243" s="25" t="s">
        <v>29277</v>
      </c>
      <c r="E9243" s="28">
        <v>1.00000</v>
      </c>
      <c r="F9243" s="29">
        <f ca="1">ROUND(19.000,3)</f>
        <v>0</v>
      </c>
      <c r="G9243" s="27">
        <f ca="1">ROUND(E9243*F9243,2)</f>
        <v>0</v>
      </c>
    </row>
    <row r="9244" spans="1:7" ht="24.36" thickBot="1" customHeight="1">
      <c r="A9244" s="24" t="s">
        <v>29278</v>
      </c>
      <c r="B9244" s="24" t="s">
        <v>29279</v>
      </c>
      <c r="C9244" s="24" t="s">
        <v>29280</v>
      </c>
      <c r="D9244" s="25" t="s">
        <v>29281</v>
      </c>
      <c r="E9244" s="28">
        <v>0.20000</v>
      </c>
      <c r="F9244" s="29">
        <f ca="1">ROUND(19.000,3)</f>
        <v>0</v>
      </c>
      <c r="G9244" s="27">
        <f ca="1">ROUND(E9244*F9244,2)</f>
        <v>0</v>
      </c>
    </row>
    <row r="9245" spans="1:7" ht="15.12" thickBot="1" customHeight="1">
      <c r="A9245" s="26"/>
      <c r="B9245" s="26"/>
      <c r="C9245" s="26"/>
      <c r="D9245" s="24" t="s">
        <v>29282</v>
      </c>
      <c r="E9245" s="28">
        <v>0.20000</v>
      </c>
      <c r="F9245" s="29">
        <f ca="1">ROUND((G9242+G9243+G9244),3)</f>
        <v>0</v>
      </c>
      <c r="G9245" s="27">
        <f ca="1">ROUND(E9245*F9245,2)</f>
        <v>0</v>
      </c>
    </row>
    <row r="9246" spans="1:7" ht="15.12" thickBot="1" customHeight="1">
      <c r="A9246" s="24" t="s">
        <v>29283</v>
      </c>
      <c r="B9246" s="24"/>
      <c r="C9246" s="24" t="s">
        <v>29284</v>
      </c>
      <c r="D9246" s="25" t="s">
        <v>29285</v>
      </c>
      <c r="E9246" s="28">
        <v>3.00000</v>
      </c>
      <c r="F9246" s="29">
        <f ca="1">ROUND(8.760,3)</f>
        <v>0</v>
      </c>
      <c r="G9246" s="27">
        <f ca="1">ROUND((E9246*F9246)/100,2)</f>
        <v>0</v>
      </c>
    </row>
    <row r="9247" spans="1:7" ht="15.48" thickBot="1" customHeight="1">
      <c r="A9247" s="30"/>
      <c r="B9247" s="30"/>
      <c r="C9247" s="30"/>
      <c r="D9247" s="31" t="s">
        <v>29286</v>
      </c>
      <c r="E9247" s="30"/>
      <c r="F9247" s="33">
        <f ca="1">ROUND((G9239+G9240+G9241+G9246)*(1+G2/100),2)</f>
        <v>0</v>
      </c>
      <c r="G9247" s="30"/>
    </row>
    <row r="9248" spans="1:7" ht="30.60" thickBot="1" customHeight="1">
      <c r="A9248" s="34" t="s">
        <v>29287</v>
      </c>
      <c r="B9248" s="35" t="s">
        <v>29288</v>
      </c>
      <c r="C9248" s="35" t="s">
        <v>29289</v>
      </c>
      <c r="D9248" s="36" t="s">
        <v>29290</v>
      </c>
      <c r="E9248" s="37"/>
      <c r="F9248" s="38">
        <f ca="1">F9258</f>
        <v>0</v>
      </c>
      <c r="G9248" s="37"/>
    </row>
    <row r="9249" spans="1:7" ht="21.36" thickBot="1" customHeight="1">
      <c r="A9249" s="26"/>
      <c r="B9249" s="26"/>
      <c r="C9249" s="26"/>
      <c r="D9249" s="25" t="s">
        <v>29291</v>
      </c>
      <c r="E9249" s="25"/>
      <c r="F9249" s="25"/>
      <c r="G9249" s="25"/>
    </row>
    <row r="9250" spans="1:7" ht="39.84" thickBot="1" customHeight="1">
      <c r="A9250" s="24" t="s">
        <v>29292</v>
      </c>
      <c r="B9250" s="24" t="s">
        <v>29293</v>
      </c>
      <c r="C9250" s="24" t="s">
        <v>29294</v>
      </c>
      <c r="D9250" s="25" t="s">
        <v>29295</v>
      </c>
      <c r="E9250" s="28">
        <v>0.07770</v>
      </c>
      <c r="F9250" s="29">
        <f ca="1">ROUND(123.140,3)</f>
        <v>0</v>
      </c>
      <c r="G9250" s="27">
        <f ca="1">ROUND(E9250*F9250,2)</f>
        <v>0</v>
      </c>
    </row>
    <row r="9251" spans="1:7" ht="30.60" thickBot="1" customHeight="1">
      <c r="A9251" s="24" t="s">
        <v>29296</v>
      </c>
      <c r="B9251" s="24" t="s">
        <v>29297</v>
      </c>
      <c r="C9251" s="24" t="s">
        <v>29298</v>
      </c>
      <c r="D9251" s="25" t="s">
        <v>29299</v>
      </c>
      <c r="E9251" s="28">
        <v>0.02200</v>
      </c>
      <c r="F9251" s="29">
        <f ca="1">ROUND(167.870,3)</f>
        <v>0</v>
      </c>
      <c r="G9251" s="27">
        <f ca="1">ROUND(E9251*F9251,2)</f>
        <v>0</v>
      </c>
    </row>
    <row r="9252" spans="1:7" ht="21.36" thickBot="1" customHeight="1">
      <c r="A9252" s="24" t="s">
        <v>29300</v>
      </c>
      <c r="B9252" s="24" t="s">
        <v>29301</v>
      </c>
      <c r="C9252" s="24" t="s">
        <v>29302</v>
      </c>
      <c r="D9252" s="25" t="s">
        <v>29303</v>
      </c>
      <c r="E9252" s="28">
        <v>0.30000</v>
      </c>
      <c r="F9252" s="29">
        <f ca="1">F9256</f>
        <v>0</v>
      </c>
      <c r="G9252" s="27">
        <f ca="1">ROUND(E9252*F9252,2)</f>
        <v>0</v>
      </c>
    </row>
    <row r="9253" spans="1:7" ht="24.36" thickBot="1" customHeight="1">
      <c r="A9253" s="24" t="s">
        <v>29304</v>
      </c>
      <c r="B9253" s="24" t="s">
        <v>29305</v>
      </c>
      <c r="C9253" s="24" t="s">
        <v>29306</v>
      </c>
      <c r="D9253" s="25" t="s">
        <v>29307</v>
      </c>
      <c r="E9253" s="28">
        <v>1.00000</v>
      </c>
      <c r="F9253" s="29">
        <f ca="1">ROUND(21.000,3)</f>
        <v>0</v>
      </c>
      <c r="G9253" s="27">
        <f ca="1">ROUND(E9253*F9253,2)</f>
        <v>0</v>
      </c>
    </row>
    <row r="9254" spans="1:7" ht="24.36" thickBot="1" customHeight="1">
      <c r="A9254" s="24" t="s">
        <v>29308</v>
      </c>
      <c r="B9254" s="24" t="s">
        <v>29309</v>
      </c>
      <c r="C9254" s="24" t="s">
        <v>29310</v>
      </c>
      <c r="D9254" s="25" t="s">
        <v>29311</v>
      </c>
      <c r="E9254" s="28">
        <v>1.00000</v>
      </c>
      <c r="F9254" s="29">
        <f ca="1">ROUND(19.000,3)</f>
        <v>0</v>
      </c>
      <c r="G9254" s="27">
        <f ca="1">ROUND(E9254*F9254,2)</f>
        <v>0</v>
      </c>
    </row>
    <row r="9255" spans="1:7" ht="24.36" thickBot="1" customHeight="1">
      <c r="A9255" s="24" t="s">
        <v>29312</v>
      </c>
      <c r="B9255" s="24" t="s">
        <v>29313</v>
      </c>
      <c r="C9255" s="24" t="s">
        <v>29314</v>
      </c>
      <c r="D9255" s="25" t="s">
        <v>29315</v>
      </c>
      <c r="E9255" s="28">
        <v>0.20000</v>
      </c>
      <c r="F9255" s="29">
        <f ca="1">ROUND(19.000,3)</f>
        <v>0</v>
      </c>
      <c r="G9255" s="27">
        <f ca="1">ROUND(E9255*F9255,2)</f>
        <v>0</v>
      </c>
    </row>
    <row r="9256" spans="1:7" ht="15.12" thickBot="1" customHeight="1">
      <c r="A9256" s="26"/>
      <c r="B9256" s="26"/>
      <c r="C9256" s="26"/>
      <c r="D9256" s="24" t="s">
        <v>29316</v>
      </c>
      <c r="E9256" s="28">
        <v>0.30000</v>
      </c>
      <c r="F9256" s="29">
        <f ca="1">ROUND((G9253+G9254+G9255),3)</f>
        <v>0</v>
      </c>
      <c r="G9256" s="27">
        <f ca="1">ROUND(E9256*F9256,2)</f>
        <v>0</v>
      </c>
    </row>
    <row r="9257" spans="1:7" ht="15.12" thickBot="1" customHeight="1">
      <c r="A9257" s="24" t="s">
        <v>29317</v>
      </c>
      <c r="B9257" s="24"/>
      <c r="C9257" s="24" t="s">
        <v>29318</v>
      </c>
      <c r="D9257" s="25" t="s">
        <v>29319</v>
      </c>
      <c r="E9257" s="28">
        <v>3.00000</v>
      </c>
      <c r="F9257" s="29">
        <f ca="1">ROUND(13.140,3)</f>
        <v>0</v>
      </c>
      <c r="G9257" s="27">
        <f ca="1">ROUND((E9257*F9257)/100,2)</f>
        <v>0</v>
      </c>
    </row>
    <row r="9258" spans="1:7" ht="15.48" thickBot="1" customHeight="1">
      <c r="A9258" s="30"/>
      <c r="B9258" s="30"/>
      <c r="C9258" s="30"/>
      <c r="D9258" s="31" t="s">
        <v>29320</v>
      </c>
      <c r="E9258" s="30"/>
      <c r="F9258" s="33">
        <f ca="1">ROUND((G9250+G9251+G9252+G9257)*(1+G2/100),2)</f>
        <v>0</v>
      </c>
      <c r="G9258" s="30"/>
    </row>
    <row r="9259" spans="1:7" ht="21.36" thickBot="1" customHeight="1">
      <c r="A9259" s="34" t="s">
        <v>29321</v>
      </c>
      <c r="B9259" s="35" t="s">
        <v>29322</v>
      </c>
      <c r="C9259" s="35" t="s">
        <v>29323</v>
      </c>
      <c r="D9259" s="36" t="s">
        <v>29324</v>
      </c>
      <c r="E9259" s="37"/>
      <c r="F9259" s="38">
        <f ca="1">F9271</f>
        <v>0</v>
      </c>
      <c r="G9259" s="37"/>
    </row>
    <row r="9260" spans="1:7" ht="76.80" thickBot="1" customHeight="1">
      <c r="A9260" s="26"/>
      <c r="B9260" s="26"/>
      <c r="C9260" s="26"/>
      <c r="D9260" s="25" t="s">
        <v>29325</v>
      </c>
      <c r="E9260" s="25"/>
      <c r="F9260" s="25"/>
      <c r="G9260" s="25"/>
    </row>
    <row r="9261" spans="1:7" ht="39.84" thickBot="1" customHeight="1">
      <c r="A9261" s="24" t="s">
        <v>29326</v>
      </c>
      <c r="B9261" s="24" t="s">
        <v>29327</v>
      </c>
      <c r="C9261" s="24" t="s">
        <v>29328</v>
      </c>
      <c r="D9261" s="25" t="s">
        <v>29329</v>
      </c>
      <c r="E9261" s="28">
        <v>0.02200</v>
      </c>
      <c r="F9261" s="29">
        <f ca="1">ROUND(71.070,3)</f>
        <v>0</v>
      </c>
      <c r="G9261" s="27">
        <f ca="1">ROUND(E9261*F9261,2)</f>
        <v>0</v>
      </c>
    </row>
    <row r="9262" spans="1:7" ht="21.36" thickBot="1" customHeight="1">
      <c r="A9262" s="24" t="s">
        <v>29330</v>
      </c>
      <c r="B9262" s="24" t="s">
        <v>29331</v>
      </c>
      <c r="C9262" s="24" t="s">
        <v>29332</v>
      </c>
      <c r="D9262" s="25" t="s">
        <v>29333</v>
      </c>
      <c r="E9262" s="28">
        <v>2.50000</v>
      </c>
      <c r="F9262" s="29">
        <f ca="1">ROUND(7.000,3)</f>
        <v>0</v>
      </c>
      <c r="G9262" s="27">
        <f ca="1">ROUND(E9262*F9262,2)</f>
        <v>0</v>
      </c>
    </row>
    <row r="9263" spans="1:7" ht="15.12" thickBot="1" customHeight="1">
      <c r="A9263" s="24" t="s">
        <v>29334</v>
      </c>
      <c r="B9263" s="24" t="s">
        <v>29335</v>
      </c>
      <c r="C9263" s="24" t="s">
        <v>29336</v>
      </c>
      <c r="D9263" s="25" t="s">
        <v>29337</v>
      </c>
      <c r="E9263" s="28">
        <v>0.20000</v>
      </c>
      <c r="F9263" s="29">
        <f ca="1">ROUND(15.000,3)</f>
        <v>0</v>
      </c>
      <c r="G9263" s="27">
        <f ca="1">ROUND(E9263*F9263,2)</f>
        <v>0</v>
      </c>
    </row>
    <row r="9264" spans="1:7" ht="15.12" thickBot="1" customHeight="1">
      <c r="A9264" s="24" t="s">
        <v>29338</v>
      </c>
      <c r="B9264" s="24" t="s">
        <v>29339</v>
      </c>
      <c r="C9264" s="24" t="s">
        <v>29340</v>
      </c>
      <c r="D9264" s="25" t="s">
        <v>29341</v>
      </c>
      <c r="E9264" s="28">
        <v>0.20000</v>
      </c>
      <c r="F9264" s="29">
        <f ca="1">ROUND(19.860,3)</f>
        <v>0</v>
      </c>
      <c r="G9264" s="27">
        <f ca="1">ROUND(E9264*F9264,2)</f>
        <v>0</v>
      </c>
    </row>
    <row r="9265" spans="1:7" ht="21.36" thickBot="1" customHeight="1">
      <c r="A9265" s="24" t="s">
        <v>29342</v>
      </c>
      <c r="B9265" s="24" t="s">
        <v>29343</v>
      </c>
      <c r="C9265" s="24" t="s">
        <v>29344</v>
      </c>
      <c r="D9265" s="25" t="s">
        <v>29345</v>
      </c>
      <c r="E9265" s="28">
        <v>0.20000</v>
      </c>
      <c r="F9265" s="29">
        <f ca="1">F9269</f>
        <v>0</v>
      </c>
      <c r="G9265" s="27">
        <f ca="1">ROUND(E9265*F9265,2)</f>
        <v>0</v>
      </c>
    </row>
    <row r="9266" spans="1:7" ht="24.36" thickBot="1" customHeight="1">
      <c r="A9266" s="24" t="s">
        <v>29346</v>
      </c>
      <c r="B9266" s="24" t="s">
        <v>29347</v>
      </c>
      <c r="C9266" s="24" t="s">
        <v>29348</v>
      </c>
      <c r="D9266" s="25" t="s">
        <v>29349</v>
      </c>
      <c r="E9266" s="28">
        <v>1.00000</v>
      </c>
      <c r="F9266" s="29">
        <f ca="1">ROUND(21.000,3)</f>
        <v>0</v>
      </c>
      <c r="G9266" s="27">
        <f ca="1">ROUND(E9266*F9266,2)</f>
        <v>0</v>
      </c>
    </row>
    <row r="9267" spans="1:7" ht="24.36" thickBot="1" customHeight="1">
      <c r="A9267" s="24" t="s">
        <v>29350</v>
      </c>
      <c r="B9267" s="24" t="s">
        <v>29351</v>
      </c>
      <c r="C9267" s="24" t="s">
        <v>29352</v>
      </c>
      <c r="D9267" s="25" t="s">
        <v>29353</v>
      </c>
      <c r="E9267" s="28">
        <v>1.00000</v>
      </c>
      <c r="F9267" s="29">
        <f ca="1">ROUND(19.000,3)</f>
        <v>0</v>
      </c>
      <c r="G9267" s="27">
        <f ca="1">ROUND(E9267*F9267,2)</f>
        <v>0</v>
      </c>
    </row>
    <row r="9268" spans="1:7" ht="24.36" thickBot="1" customHeight="1">
      <c r="A9268" s="24" t="s">
        <v>29354</v>
      </c>
      <c r="B9268" s="24" t="s">
        <v>29355</v>
      </c>
      <c r="C9268" s="24" t="s">
        <v>29356</v>
      </c>
      <c r="D9268" s="25" t="s">
        <v>29357</v>
      </c>
      <c r="E9268" s="28">
        <v>0.20000</v>
      </c>
      <c r="F9268" s="29">
        <f ca="1">ROUND(19.000,3)</f>
        <v>0</v>
      </c>
      <c r="G9268" s="27">
        <f ca="1">ROUND(E9268*F9268,2)</f>
        <v>0</v>
      </c>
    </row>
    <row r="9269" spans="1:7" ht="15.12" thickBot="1" customHeight="1">
      <c r="A9269" s="26"/>
      <c r="B9269" s="26"/>
      <c r="C9269" s="26"/>
      <c r="D9269" s="24" t="s">
        <v>29358</v>
      </c>
      <c r="E9269" s="28">
        <v>0.20000</v>
      </c>
      <c r="F9269" s="29">
        <f ca="1">ROUND((G9266+G9267+G9268),3)</f>
        <v>0</v>
      </c>
      <c r="G9269" s="27">
        <f ca="1">ROUND(E9269*F9269,2)</f>
        <v>0</v>
      </c>
    </row>
    <row r="9270" spans="1:7" ht="15.12" thickBot="1" customHeight="1">
      <c r="A9270" s="24" t="s">
        <v>29359</v>
      </c>
      <c r="B9270" s="24"/>
      <c r="C9270" s="24" t="s">
        <v>29360</v>
      </c>
      <c r="D9270" s="25" t="s">
        <v>29361</v>
      </c>
      <c r="E9270" s="28">
        <v>3.00000</v>
      </c>
      <c r="F9270" s="29">
        <f ca="1">ROUND(8.760,3)</f>
        <v>0</v>
      </c>
      <c r="G9270" s="27">
        <f ca="1">ROUND((E9270*F9270)/100,2)</f>
        <v>0</v>
      </c>
    </row>
    <row r="9271" spans="1:7" ht="15.48" thickBot="1" customHeight="1">
      <c r="A9271" s="30"/>
      <c r="B9271" s="30"/>
      <c r="C9271" s="30"/>
      <c r="D9271" s="31" t="s">
        <v>29362</v>
      </c>
      <c r="E9271" s="30"/>
      <c r="F9271" s="33">
        <f ca="1">ROUND((G9261+G9262+G9263+G9264+G9265+G9270)*(1+G2/100),2)</f>
        <v>0</v>
      </c>
      <c r="G9271" s="30"/>
    </row>
    <row r="9272" spans="1:7" ht="21.36" thickBot="1" customHeight="1">
      <c r="A9272" s="34" t="s">
        <v>29363</v>
      </c>
      <c r="B9272" s="35" t="s">
        <v>29364</v>
      </c>
      <c r="C9272" s="35" t="s">
        <v>29365</v>
      </c>
      <c r="D9272" s="36" t="s">
        <v>29366</v>
      </c>
      <c r="E9272" s="37"/>
      <c r="F9272" s="38">
        <f ca="1">F9283</f>
        <v>0</v>
      </c>
      <c r="G9272" s="37"/>
    </row>
    <row r="9273" spans="1:7" ht="39.84" thickBot="1" customHeight="1">
      <c r="A9273" s="26"/>
      <c r="B9273" s="26"/>
      <c r="C9273" s="26"/>
      <c r="D9273" s="25" t="s">
        <v>29367</v>
      </c>
      <c r="E9273" s="25"/>
      <c r="F9273" s="25"/>
      <c r="G9273" s="25"/>
    </row>
    <row r="9274" spans="1:7" ht="49.08" thickBot="1" customHeight="1">
      <c r="A9274" s="24" t="s">
        <v>29368</v>
      </c>
      <c r="B9274" s="24" t="s">
        <v>29369</v>
      </c>
      <c r="C9274" s="24" t="s">
        <v>29370</v>
      </c>
      <c r="D9274" s="25" t="s">
        <v>29371</v>
      </c>
      <c r="E9274" s="28">
        <v>0.00800</v>
      </c>
      <c r="F9274" s="29">
        <f ca="1">ROUND(330.540,3)</f>
        <v>0</v>
      </c>
      <c r="G9274" s="27">
        <f ca="1">ROUND(E9274*F9274,2)</f>
        <v>0</v>
      </c>
    </row>
    <row r="9275" spans="1:7" ht="24.36" thickBot="1" customHeight="1">
      <c r="A9275" s="24" t="s">
        <v>29372</v>
      </c>
      <c r="B9275" s="24" t="s">
        <v>29373</v>
      </c>
      <c r="C9275" s="24" t="s">
        <v>29374</v>
      </c>
      <c r="D9275" s="25" t="s">
        <v>29375</v>
      </c>
      <c r="E9275" s="28">
        <v>0.10700</v>
      </c>
      <c r="F9275" s="29">
        <f ca="1">ROUND(198.350,3)</f>
        <v>0</v>
      </c>
      <c r="G9275" s="27">
        <f ca="1">ROUND(E9275*F9275,2)</f>
        <v>0</v>
      </c>
    </row>
    <row r="9276" spans="1:7" ht="39.84" thickBot="1" customHeight="1">
      <c r="A9276" s="24" t="s">
        <v>29376</v>
      </c>
      <c r="B9276" s="24" t="s">
        <v>29377</v>
      </c>
      <c r="C9276" s="24" t="s">
        <v>29378</v>
      </c>
      <c r="D9276" s="25" t="s">
        <v>29379</v>
      </c>
      <c r="E9276" s="28">
        <v>0.02200</v>
      </c>
      <c r="F9276" s="29">
        <f ca="1">ROUND(71.070,3)</f>
        <v>0</v>
      </c>
      <c r="G9276" s="27">
        <f ca="1">ROUND(E9276*F9276,2)</f>
        <v>0</v>
      </c>
    </row>
    <row r="9277" spans="1:7" ht="21.36" thickBot="1" customHeight="1">
      <c r="A9277" s="24" t="s">
        <v>29380</v>
      </c>
      <c r="B9277" s="24" t="s">
        <v>29381</v>
      </c>
      <c r="C9277" s="24" t="s">
        <v>29382</v>
      </c>
      <c r="D9277" s="25" t="s">
        <v>29383</v>
      </c>
      <c r="E9277" s="28">
        <v>0.16000</v>
      </c>
      <c r="F9277" s="29">
        <f ca="1">F9281</f>
        <v>0</v>
      </c>
      <c r="G9277" s="27">
        <f ca="1">ROUND(E9277*F9277,2)</f>
        <v>0</v>
      </c>
    </row>
    <row r="9278" spans="1:7" ht="24.36" thickBot="1" customHeight="1">
      <c r="A9278" s="24" t="s">
        <v>29384</v>
      </c>
      <c r="B9278" s="24" t="s">
        <v>29385</v>
      </c>
      <c r="C9278" s="24" t="s">
        <v>29386</v>
      </c>
      <c r="D9278" s="25" t="s">
        <v>29387</v>
      </c>
      <c r="E9278" s="28">
        <v>1.00000</v>
      </c>
      <c r="F9278" s="29">
        <f ca="1">ROUND(21.000,3)</f>
        <v>0</v>
      </c>
      <c r="G9278" s="27">
        <f ca="1">ROUND(E9278*F9278,2)</f>
        <v>0</v>
      </c>
    </row>
    <row r="9279" spans="1:7" ht="24.36" thickBot="1" customHeight="1">
      <c r="A9279" s="24" t="s">
        <v>29388</v>
      </c>
      <c r="B9279" s="24" t="s">
        <v>29389</v>
      </c>
      <c r="C9279" s="24" t="s">
        <v>29390</v>
      </c>
      <c r="D9279" s="25" t="s">
        <v>29391</v>
      </c>
      <c r="E9279" s="28">
        <v>1.00000</v>
      </c>
      <c r="F9279" s="29">
        <f ca="1">ROUND(19.000,3)</f>
        <v>0</v>
      </c>
      <c r="G9279" s="27">
        <f ca="1">ROUND(E9279*F9279,2)</f>
        <v>0</v>
      </c>
    </row>
    <row r="9280" spans="1:7" ht="24.36" thickBot="1" customHeight="1">
      <c r="A9280" s="24" t="s">
        <v>29392</v>
      </c>
      <c r="B9280" s="24" t="s">
        <v>29393</v>
      </c>
      <c r="C9280" s="24" t="s">
        <v>29394</v>
      </c>
      <c r="D9280" s="25" t="s">
        <v>29395</v>
      </c>
      <c r="E9280" s="28">
        <v>0.20000</v>
      </c>
      <c r="F9280" s="29">
        <f ca="1">ROUND(19.000,3)</f>
        <v>0</v>
      </c>
      <c r="G9280" s="27">
        <f ca="1">ROUND(E9280*F9280,2)</f>
        <v>0</v>
      </c>
    </row>
    <row r="9281" spans="1:7" ht="15.12" thickBot="1" customHeight="1">
      <c r="A9281" s="26"/>
      <c r="B9281" s="26"/>
      <c r="C9281" s="26"/>
      <c r="D9281" s="24" t="s">
        <v>29396</v>
      </c>
      <c r="E9281" s="28">
        <v>0.16000</v>
      </c>
      <c r="F9281" s="29">
        <f ca="1">ROUND((G9278+G9279+G9280),3)</f>
        <v>0</v>
      </c>
      <c r="G9281" s="27">
        <f ca="1">ROUND(E9281*F9281,2)</f>
        <v>0</v>
      </c>
    </row>
    <row r="9282" spans="1:7" ht="15.12" thickBot="1" customHeight="1">
      <c r="A9282" s="24" t="s">
        <v>29397</v>
      </c>
      <c r="B9282" s="24"/>
      <c r="C9282" s="24" t="s">
        <v>29398</v>
      </c>
      <c r="D9282" s="25" t="s">
        <v>29399</v>
      </c>
      <c r="E9282" s="28">
        <v>3.00000</v>
      </c>
      <c r="F9282" s="29">
        <f ca="1">ROUND(7.010,3)</f>
        <v>0</v>
      </c>
      <c r="G9282" s="27">
        <f ca="1">ROUND((E9282*F9282)/100,2)</f>
        <v>0</v>
      </c>
    </row>
    <row r="9283" spans="1:7" ht="15.48" thickBot="1" customHeight="1">
      <c r="A9283" s="30"/>
      <c r="B9283" s="30"/>
      <c r="C9283" s="30"/>
      <c r="D9283" s="31" t="s">
        <v>29400</v>
      </c>
      <c r="E9283" s="30"/>
      <c r="F9283" s="33">
        <f ca="1">ROUND((G9274+G9275+G9276+G9277+G9282)*(1+G2/100),2)</f>
        <v>0</v>
      </c>
      <c r="G9283" s="30"/>
    </row>
    <row r="9284" spans="1:7" ht="30.60" thickBot="1" customHeight="1">
      <c r="A9284" s="34" t="s">
        <v>29401</v>
      </c>
      <c r="B9284" s="35" t="s">
        <v>29402</v>
      </c>
      <c r="C9284" s="35" t="s">
        <v>29403</v>
      </c>
      <c r="D9284" s="36" t="s">
        <v>29404</v>
      </c>
      <c r="E9284" s="37"/>
      <c r="F9284" s="38">
        <f ca="1">F9294</f>
        <v>0</v>
      </c>
      <c r="G9284" s="37"/>
    </row>
    <row r="9285" spans="1:7" ht="58.32" thickBot="1" customHeight="1">
      <c r="A9285" s="26"/>
      <c r="B9285" s="26"/>
      <c r="C9285" s="26"/>
      <c r="D9285" s="25" t="s">
        <v>29405</v>
      </c>
      <c r="E9285" s="25"/>
      <c r="F9285" s="25"/>
      <c r="G9285" s="25"/>
    </row>
    <row r="9286" spans="1:7" ht="21.36" thickBot="1" customHeight="1">
      <c r="A9286" s="24" t="s">
        <v>29406</v>
      </c>
      <c r="B9286" s="24" t="s">
        <v>29407</v>
      </c>
      <c r="C9286" s="24" t="s">
        <v>29408</v>
      </c>
      <c r="D9286" s="25" t="s">
        <v>29409</v>
      </c>
      <c r="E9286" s="28">
        <v>0.25000</v>
      </c>
      <c r="F9286" s="29">
        <f ca="1">ROUND(18.000,3)</f>
        <v>0</v>
      </c>
      <c r="G9286" s="27">
        <f ca="1">ROUND(E9286*F9286,2)</f>
        <v>0</v>
      </c>
    </row>
    <row r="9287" spans="1:7" ht="15.12" thickBot="1" customHeight="1">
      <c r="A9287" s="24" t="s">
        <v>29410</v>
      </c>
      <c r="B9287" s="24" t="s">
        <v>29411</v>
      </c>
      <c r="C9287" s="24" t="s">
        <v>29412</v>
      </c>
      <c r="D9287" s="25" t="s">
        <v>29413</v>
      </c>
      <c r="E9287" s="28">
        <v>2.00000</v>
      </c>
      <c r="F9287" s="29">
        <f ca="1">ROUND(12.000,3)</f>
        <v>0</v>
      </c>
      <c r="G9287" s="27">
        <f ca="1">ROUND(E9287*F9287,2)</f>
        <v>0</v>
      </c>
    </row>
    <row r="9288" spans="1:7" ht="21.36" thickBot="1" customHeight="1">
      <c r="A9288" s="24" t="s">
        <v>29414</v>
      </c>
      <c r="B9288" s="24" t="s">
        <v>29415</v>
      </c>
      <c r="C9288" s="24" t="s">
        <v>29416</v>
      </c>
      <c r="D9288" s="25" t="s">
        <v>29417</v>
      </c>
      <c r="E9288" s="28">
        <v>0.22000</v>
      </c>
      <c r="F9288" s="29">
        <f ca="1">F9292</f>
        <v>0</v>
      </c>
      <c r="G9288" s="27">
        <f ca="1">ROUND(E9288*F9288,2)</f>
        <v>0</v>
      </c>
    </row>
    <row r="9289" spans="1:7" ht="24.36" thickBot="1" customHeight="1">
      <c r="A9289" s="24" t="s">
        <v>29418</v>
      </c>
      <c r="B9289" s="24" t="s">
        <v>29419</v>
      </c>
      <c r="C9289" s="24" t="s">
        <v>29420</v>
      </c>
      <c r="D9289" s="25" t="s">
        <v>29421</v>
      </c>
      <c r="E9289" s="28">
        <v>1.00000</v>
      </c>
      <c r="F9289" s="29">
        <f ca="1">ROUND(21.000,3)</f>
        <v>0</v>
      </c>
      <c r="G9289" s="27">
        <f ca="1">ROUND(E9289*F9289,2)</f>
        <v>0</v>
      </c>
    </row>
    <row r="9290" spans="1:7" ht="24.36" thickBot="1" customHeight="1">
      <c r="A9290" s="24" t="s">
        <v>29422</v>
      </c>
      <c r="B9290" s="24" t="s">
        <v>29423</v>
      </c>
      <c r="C9290" s="24" t="s">
        <v>29424</v>
      </c>
      <c r="D9290" s="25" t="s">
        <v>29425</v>
      </c>
      <c r="E9290" s="28">
        <v>1.00000</v>
      </c>
      <c r="F9290" s="29">
        <f ca="1">ROUND(19.000,3)</f>
        <v>0</v>
      </c>
      <c r="G9290" s="27">
        <f ca="1">ROUND(E9290*F9290,2)</f>
        <v>0</v>
      </c>
    </row>
    <row r="9291" spans="1:7" ht="24.36" thickBot="1" customHeight="1">
      <c r="A9291" s="24" t="s">
        <v>29426</v>
      </c>
      <c r="B9291" s="24" t="s">
        <v>29427</v>
      </c>
      <c r="C9291" s="24" t="s">
        <v>29428</v>
      </c>
      <c r="D9291" s="25" t="s">
        <v>29429</v>
      </c>
      <c r="E9291" s="28">
        <v>0.20000</v>
      </c>
      <c r="F9291" s="29">
        <f ca="1">ROUND(19.000,3)</f>
        <v>0</v>
      </c>
      <c r="G9291" s="27">
        <f ca="1">ROUND(E9291*F9291,2)</f>
        <v>0</v>
      </c>
    </row>
    <row r="9292" spans="1:7" ht="15.12" thickBot="1" customHeight="1">
      <c r="A9292" s="26"/>
      <c r="B9292" s="26"/>
      <c r="C9292" s="26"/>
      <c r="D9292" s="24" t="s">
        <v>29430</v>
      </c>
      <c r="E9292" s="28">
        <v>0.22000</v>
      </c>
      <c r="F9292" s="29">
        <f ca="1">ROUND((G9289+G9290+G9291),3)</f>
        <v>0</v>
      </c>
      <c r="G9292" s="27">
        <f ca="1">ROUND(E9292*F9292,2)</f>
        <v>0</v>
      </c>
    </row>
    <row r="9293" spans="1:7" ht="15.12" thickBot="1" customHeight="1">
      <c r="A9293" s="24" t="s">
        <v>29431</v>
      </c>
      <c r="B9293" s="24"/>
      <c r="C9293" s="24" t="s">
        <v>29432</v>
      </c>
      <c r="D9293" s="25" t="s">
        <v>29433</v>
      </c>
      <c r="E9293" s="28">
        <v>3.00000</v>
      </c>
      <c r="F9293" s="29">
        <f ca="1">ROUND(9.640,3)</f>
        <v>0</v>
      </c>
      <c r="G9293" s="27">
        <f ca="1">ROUND((E9293*F9293)/100,2)</f>
        <v>0</v>
      </c>
    </row>
    <row r="9294" spans="1:7" ht="15.48" thickBot="1" customHeight="1">
      <c r="A9294" s="30"/>
      <c r="B9294" s="30"/>
      <c r="C9294" s="30"/>
      <c r="D9294" s="31" t="s">
        <v>29434</v>
      </c>
      <c r="E9294" s="30"/>
      <c r="F9294" s="33">
        <f ca="1">ROUND((G9286+G9287+G9288+G9293)*(1+G2/100),2)</f>
        <v>0</v>
      </c>
      <c r="G9294" s="30"/>
    </row>
    <row r="9295" spans="1:7" ht="39.84" thickBot="1" customHeight="1">
      <c r="A9295" s="34" t="s">
        <v>29435</v>
      </c>
      <c r="B9295" s="35" t="s">
        <v>29436</v>
      </c>
      <c r="C9295" s="35" t="s">
        <v>29437</v>
      </c>
      <c r="D9295" s="36" t="s">
        <v>29438</v>
      </c>
      <c r="E9295" s="37"/>
      <c r="F9295" s="38">
        <f ca="1">F9305</f>
        <v>0</v>
      </c>
      <c r="G9295" s="37"/>
    </row>
    <row r="9296" spans="1:7" ht="21.36" thickBot="1" customHeight="1">
      <c r="A9296" s="26"/>
      <c r="B9296" s="26"/>
      <c r="C9296" s="26"/>
      <c r="D9296" s="25" t="s">
        <v>29439</v>
      </c>
      <c r="E9296" s="25"/>
      <c r="F9296" s="25"/>
      <c r="G9296" s="25"/>
    </row>
    <row r="9297" spans="1:7" ht="39.84" thickBot="1" customHeight="1">
      <c r="A9297" s="24" t="s">
        <v>29440</v>
      </c>
      <c r="B9297" s="24" t="s">
        <v>29441</v>
      </c>
      <c r="C9297" s="24" t="s">
        <v>29442</v>
      </c>
      <c r="D9297" s="25" t="s">
        <v>29443</v>
      </c>
      <c r="E9297" s="28">
        <v>0.02200</v>
      </c>
      <c r="F9297" s="29">
        <f ca="1">ROUND(125.460,3)</f>
        <v>0</v>
      </c>
      <c r="G9297" s="27">
        <f ca="1">ROUND(E9297*F9297,2)</f>
        <v>0</v>
      </c>
    </row>
    <row r="9298" spans="1:7" ht="39.84" thickBot="1" customHeight="1">
      <c r="A9298" s="24" t="s">
        <v>29444</v>
      </c>
      <c r="B9298" s="24" t="s">
        <v>29445</v>
      </c>
      <c r="C9298" s="24" t="s">
        <v>29446</v>
      </c>
      <c r="D9298" s="25" t="s">
        <v>29447</v>
      </c>
      <c r="E9298" s="28">
        <v>0.08250</v>
      </c>
      <c r="F9298" s="29">
        <f ca="1">ROUND(176.320,3)</f>
        <v>0</v>
      </c>
      <c r="G9298" s="27">
        <f ca="1">ROUND(E9298*F9298,2)</f>
        <v>0</v>
      </c>
    </row>
    <row r="9299" spans="1:7" ht="21.36" thickBot="1" customHeight="1">
      <c r="A9299" s="24" t="s">
        <v>29448</v>
      </c>
      <c r="B9299" s="24" t="s">
        <v>29449</v>
      </c>
      <c r="C9299" s="24" t="s">
        <v>29450</v>
      </c>
      <c r="D9299" s="25" t="s">
        <v>29451</v>
      </c>
      <c r="E9299" s="28">
        <v>0.30000</v>
      </c>
      <c r="F9299" s="29">
        <f ca="1">F9303</f>
        <v>0</v>
      </c>
      <c r="G9299" s="27">
        <f ca="1">ROUND(E9299*F9299,2)</f>
        <v>0</v>
      </c>
    </row>
    <row r="9300" spans="1:7" ht="24.36" thickBot="1" customHeight="1">
      <c r="A9300" s="24" t="s">
        <v>29452</v>
      </c>
      <c r="B9300" s="24" t="s">
        <v>29453</v>
      </c>
      <c r="C9300" s="24" t="s">
        <v>29454</v>
      </c>
      <c r="D9300" s="25" t="s">
        <v>29455</v>
      </c>
      <c r="E9300" s="28">
        <v>1.00000</v>
      </c>
      <c r="F9300" s="29">
        <f ca="1">ROUND(21.000,3)</f>
        <v>0</v>
      </c>
      <c r="G9300" s="27">
        <f ca="1">ROUND(E9300*F9300,2)</f>
        <v>0</v>
      </c>
    </row>
    <row r="9301" spans="1:7" ht="24.36" thickBot="1" customHeight="1">
      <c r="A9301" s="24" t="s">
        <v>29456</v>
      </c>
      <c r="B9301" s="24" t="s">
        <v>29457</v>
      </c>
      <c r="C9301" s="24" t="s">
        <v>29458</v>
      </c>
      <c r="D9301" s="25" t="s">
        <v>29459</v>
      </c>
      <c r="E9301" s="28">
        <v>1.00000</v>
      </c>
      <c r="F9301" s="29">
        <f ca="1">ROUND(19.000,3)</f>
        <v>0</v>
      </c>
      <c r="G9301" s="27">
        <f ca="1">ROUND(E9301*F9301,2)</f>
        <v>0</v>
      </c>
    </row>
    <row r="9302" spans="1:7" ht="24.36" thickBot="1" customHeight="1">
      <c r="A9302" s="24" t="s">
        <v>29460</v>
      </c>
      <c r="B9302" s="24" t="s">
        <v>29461</v>
      </c>
      <c r="C9302" s="24" t="s">
        <v>29462</v>
      </c>
      <c r="D9302" s="25" t="s">
        <v>29463</v>
      </c>
      <c r="E9302" s="28">
        <v>0.20000</v>
      </c>
      <c r="F9302" s="29">
        <f ca="1">ROUND(19.000,3)</f>
        <v>0</v>
      </c>
      <c r="G9302" s="27">
        <f ca="1">ROUND(E9302*F9302,2)</f>
        <v>0</v>
      </c>
    </row>
    <row r="9303" spans="1:7" ht="15.12" thickBot="1" customHeight="1">
      <c r="A9303" s="26"/>
      <c r="B9303" s="26"/>
      <c r="C9303" s="26"/>
      <c r="D9303" s="24" t="s">
        <v>29464</v>
      </c>
      <c r="E9303" s="28">
        <v>0.30000</v>
      </c>
      <c r="F9303" s="29">
        <f ca="1">ROUND((G9300+G9301+G9302),3)</f>
        <v>0</v>
      </c>
      <c r="G9303" s="27">
        <f ca="1">ROUND(E9303*F9303,2)</f>
        <v>0</v>
      </c>
    </row>
    <row r="9304" spans="1:7" ht="15.12" thickBot="1" customHeight="1">
      <c r="A9304" s="24" t="s">
        <v>29465</v>
      </c>
      <c r="B9304" s="24"/>
      <c r="C9304" s="24" t="s">
        <v>29466</v>
      </c>
      <c r="D9304" s="25" t="s">
        <v>29467</v>
      </c>
      <c r="E9304" s="28">
        <v>3.00000</v>
      </c>
      <c r="F9304" s="29">
        <f ca="1">ROUND(13.140,3)</f>
        <v>0</v>
      </c>
      <c r="G9304" s="27">
        <f ca="1">ROUND((E9304*F9304)/100,2)</f>
        <v>0</v>
      </c>
    </row>
    <row r="9305" spans="1:7" ht="15.48" thickBot="1" customHeight="1">
      <c r="A9305" s="30"/>
      <c r="B9305" s="30"/>
      <c r="C9305" s="30"/>
      <c r="D9305" s="31" t="s">
        <v>29468</v>
      </c>
      <c r="E9305" s="30"/>
      <c r="F9305" s="33">
        <f ca="1">ROUND((G9297+G9298+G9299+G9304)*(1+G2/100),2)</f>
        <v>0</v>
      </c>
      <c r="G9305" s="30"/>
    </row>
    <row r="9306" spans="1:7" ht="39.84" thickBot="1" customHeight="1">
      <c r="A9306" s="34" t="s">
        <v>29469</v>
      </c>
      <c r="B9306" s="35" t="s">
        <v>29470</v>
      </c>
      <c r="C9306" s="35" t="s">
        <v>29471</v>
      </c>
      <c r="D9306" s="36" t="s">
        <v>29472</v>
      </c>
      <c r="E9306" s="37"/>
      <c r="F9306" s="38">
        <f ca="1">F9316</f>
        <v>0</v>
      </c>
      <c r="G9306" s="37"/>
    </row>
    <row r="9307" spans="1:7" ht="30.60" thickBot="1" customHeight="1">
      <c r="A9307" s="26"/>
      <c r="B9307" s="26"/>
      <c r="C9307" s="26"/>
      <c r="D9307" s="25" t="s">
        <v>29473</v>
      </c>
      <c r="E9307" s="25"/>
      <c r="F9307" s="25"/>
      <c r="G9307" s="25"/>
    </row>
    <row r="9308" spans="1:7" ht="39.84" thickBot="1" customHeight="1">
      <c r="A9308" s="24" t="s">
        <v>29474</v>
      </c>
      <c r="B9308" s="24" t="s">
        <v>29475</v>
      </c>
      <c r="C9308" s="24" t="s">
        <v>29476</v>
      </c>
      <c r="D9308" s="25" t="s">
        <v>29477</v>
      </c>
      <c r="E9308" s="28">
        <v>0.19000</v>
      </c>
      <c r="F9308" s="29">
        <f ca="1">ROUND(67.590,3)</f>
        <v>0</v>
      </c>
      <c r="G9308" s="27">
        <f ca="1">ROUND(E9308*F9308,2)</f>
        <v>0</v>
      </c>
    </row>
    <row r="9309" spans="1:7" ht="49.08" thickBot="1" customHeight="1">
      <c r="A9309" s="24" t="s">
        <v>29478</v>
      </c>
      <c r="B9309" s="24" t="s">
        <v>29479</v>
      </c>
      <c r="C9309" s="24" t="s">
        <v>29480</v>
      </c>
      <c r="D9309" s="25" t="s">
        <v>29481</v>
      </c>
      <c r="E9309" s="28">
        <v>0.04400</v>
      </c>
      <c r="F9309" s="29">
        <f ca="1">ROUND(115.660,3)</f>
        <v>0</v>
      </c>
      <c r="G9309" s="27">
        <f ca="1">ROUND(E9309*F9309,2)</f>
        <v>0</v>
      </c>
    </row>
    <row r="9310" spans="1:7" ht="21.36" thickBot="1" customHeight="1">
      <c r="A9310" s="24" t="s">
        <v>29482</v>
      </c>
      <c r="B9310" s="24" t="s">
        <v>29483</v>
      </c>
      <c r="C9310" s="24" t="s">
        <v>29484</v>
      </c>
      <c r="D9310" s="25" t="s">
        <v>29485</v>
      </c>
      <c r="E9310" s="28">
        <v>0.20000</v>
      </c>
      <c r="F9310" s="29">
        <f ca="1">F9314</f>
        <v>0</v>
      </c>
      <c r="G9310" s="27">
        <f ca="1">ROUND(E9310*F9310,2)</f>
        <v>0</v>
      </c>
    </row>
    <row r="9311" spans="1:7" ht="24.36" thickBot="1" customHeight="1">
      <c r="A9311" s="24" t="s">
        <v>29486</v>
      </c>
      <c r="B9311" s="24" t="s">
        <v>29487</v>
      </c>
      <c r="C9311" s="24" t="s">
        <v>29488</v>
      </c>
      <c r="D9311" s="25" t="s">
        <v>29489</v>
      </c>
      <c r="E9311" s="28">
        <v>1.00000</v>
      </c>
      <c r="F9311" s="29">
        <f ca="1">ROUND(21.000,3)</f>
        <v>0</v>
      </c>
      <c r="G9311" s="27">
        <f ca="1">ROUND(E9311*F9311,2)</f>
        <v>0</v>
      </c>
    </row>
    <row r="9312" spans="1:7" ht="24.36" thickBot="1" customHeight="1">
      <c r="A9312" s="24" t="s">
        <v>29490</v>
      </c>
      <c r="B9312" s="24" t="s">
        <v>29491</v>
      </c>
      <c r="C9312" s="24" t="s">
        <v>29492</v>
      </c>
      <c r="D9312" s="25" t="s">
        <v>29493</v>
      </c>
      <c r="E9312" s="28">
        <v>1.00000</v>
      </c>
      <c r="F9312" s="29">
        <f ca="1">ROUND(19.000,3)</f>
        <v>0</v>
      </c>
      <c r="G9312" s="27">
        <f ca="1">ROUND(E9312*F9312,2)</f>
        <v>0</v>
      </c>
    </row>
    <row r="9313" spans="1:7" ht="24.36" thickBot="1" customHeight="1">
      <c r="A9313" s="24" t="s">
        <v>29494</v>
      </c>
      <c r="B9313" s="24" t="s">
        <v>29495</v>
      </c>
      <c r="C9313" s="24" t="s">
        <v>29496</v>
      </c>
      <c r="D9313" s="25" t="s">
        <v>29497</v>
      </c>
      <c r="E9313" s="28">
        <v>0.20000</v>
      </c>
      <c r="F9313" s="29">
        <f ca="1">ROUND(19.000,3)</f>
        <v>0</v>
      </c>
      <c r="G9313" s="27">
        <f ca="1">ROUND(E9313*F9313,2)</f>
        <v>0</v>
      </c>
    </row>
    <row r="9314" spans="1:7" ht="15.12" thickBot="1" customHeight="1">
      <c r="A9314" s="26"/>
      <c r="B9314" s="26"/>
      <c r="C9314" s="26"/>
      <c r="D9314" s="24" t="s">
        <v>29498</v>
      </c>
      <c r="E9314" s="28">
        <v>0.20000</v>
      </c>
      <c r="F9314" s="29">
        <f ca="1">ROUND((G9311+G9312+G9313),3)</f>
        <v>0</v>
      </c>
      <c r="G9314" s="27">
        <f ca="1">ROUND(E9314*F9314,2)</f>
        <v>0</v>
      </c>
    </row>
    <row r="9315" spans="1:7" ht="15.12" thickBot="1" customHeight="1">
      <c r="A9315" s="24" t="s">
        <v>29499</v>
      </c>
      <c r="B9315" s="24"/>
      <c r="C9315" s="24" t="s">
        <v>29500</v>
      </c>
      <c r="D9315" s="25" t="s">
        <v>29501</v>
      </c>
      <c r="E9315" s="28">
        <v>0.30000</v>
      </c>
      <c r="F9315" s="29">
        <f ca="1">ROUND(8.760,3)</f>
        <v>0</v>
      </c>
      <c r="G9315" s="27">
        <f ca="1">ROUND((E9315*F9315)/100,2)</f>
        <v>0</v>
      </c>
    </row>
    <row r="9316" spans="1:7" ht="15.48" thickBot="1" customHeight="1">
      <c r="A9316" s="30"/>
      <c r="B9316" s="30"/>
      <c r="C9316" s="30"/>
      <c r="D9316" s="31" t="s">
        <v>29502</v>
      </c>
      <c r="E9316" s="30"/>
      <c r="F9316" s="33">
        <f ca="1">ROUND((G9308+G9309+G9310+G9315)*(1+G2/100),2)</f>
        <v>0</v>
      </c>
      <c r="G9316" s="30"/>
    </row>
    <row r="9317" spans="1:7" ht="30.60" thickBot="1" customHeight="1">
      <c r="A9317" s="34" t="s">
        <v>29503</v>
      </c>
      <c r="B9317" s="35" t="s">
        <v>29504</v>
      </c>
      <c r="C9317" s="35" t="s">
        <v>29505</v>
      </c>
      <c r="D9317" s="36" t="s">
        <v>29506</v>
      </c>
      <c r="E9317" s="37"/>
      <c r="F9317" s="38">
        <f ca="1">F9327</f>
        <v>0</v>
      </c>
      <c r="G9317" s="37"/>
    </row>
    <row r="9318" spans="1:7" ht="58.32" thickBot="1" customHeight="1">
      <c r="A9318" s="26"/>
      <c r="B9318" s="26"/>
      <c r="C9318" s="26"/>
      <c r="D9318" s="25" t="s">
        <v>29507</v>
      </c>
      <c r="E9318" s="25"/>
      <c r="F9318" s="25"/>
      <c r="G9318" s="25"/>
    </row>
    <row r="9319" spans="1:7" ht="30.60" thickBot="1" customHeight="1">
      <c r="A9319" s="24" t="s">
        <v>29508</v>
      </c>
      <c r="B9319" s="24" t="s">
        <v>29509</v>
      </c>
      <c r="C9319" s="24" t="s">
        <v>29510</v>
      </c>
      <c r="D9319" s="25" t="s">
        <v>29511</v>
      </c>
      <c r="E9319" s="28">
        <v>0.17500</v>
      </c>
      <c r="F9319" s="29">
        <f ca="1">ROUND(61.480,3)</f>
        <v>0</v>
      </c>
      <c r="G9319" s="27">
        <f ca="1">ROUND(E9319*F9319,2)</f>
        <v>0</v>
      </c>
    </row>
    <row r="9320" spans="1:7" ht="30.60" thickBot="1" customHeight="1">
      <c r="A9320" s="24" t="s">
        <v>29512</v>
      </c>
      <c r="B9320" s="24" t="s">
        <v>29513</v>
      </c>
      <c r="C9320" s="24" t="s">
        <v>29514</v>
      </c>
      <c r="D9320" s="25" t="s">
        <v>29515</v>
      </c>
      <c r="E9320" s="28">
        <v>0.04000</v>
      </c>
      <c r="F9320" s="29">
        <f ca="1">ROUND(30.510,3)</f>
        <v>0</v>
      </c>
      <c r="G9320" s="27">
        <f ca="1">ROUND(E9320*F9320,2)</f>
        <v>0</v>
      </c>
    </row>
    <row r="9321" spans="1:7" ht="21.36" thickBot="1" customHeight="1">
      <c r="A9321" s="24" t="s">
        <v>29516</v>
      </c>
      <c r="B9321" s="24" t="s">
        <v>29517</v>
      </c>
      <c r="C9321" s="24" t="s">
        <v>29518</v>
      </c>
      <c r="D9321" s="25" t="s">
        <v>29519</v>
      </c>
      <c r="E9321" s="28">
        <v>0.20000</v>
      </c>
      <c r="F9321" s="29">
        <f ca="1">F9325</f>
        <v>0</v>
      </c>
      <c r="G9321" s="27">
        <f ca="1">ROUND(E9321*F9321,2)</f>
        <v>0</v>
      </c>
    </row>
    <row r="9322" spans="1:7" ht="24.36" thickBot="1" customHeight="1">
      <c r="A9322" s="24" t="s">
        <v>29520</v>
      </c>
      <c r="B9322" s="24" t="s">
        <v>29521</v>
      </c>
      <c r="C9322" s="24" t="s">
        <v>29522</v>
      </c>
      <c r="D9322" s="25" t="s">
        <v>29523</v>
      </c>
      <c r="E9322" s="28">
        <v>1.00000</v>
      </c>
      <c r="F9322" s="29">
        <f ca="1">ROUND(21.000,3)</f>
        <v>0</v>
      </c>
      <c r="G9322" s="27">
        <f ca="1">ROUND(E9322*F9322,2)</f>
        <v>0</v>
      </c>
    </row>
    <row r="9323" spans="1:7" ht="24.36" thickBot="1" customHeight="1">
      <c r="A9323" s="24" t="s">
        <v>29524</v>
      </c>
      <c r="B9323" s="24" t="s">
        <v>29525</v>
      </c>
      <c r="C9323" s="24" t="s">
        <v>29526</v>
      </c>
      <c r="D9323" s="25" t="s">
        <v>29527</v>
      </c>
      <c r="E9323" s="28">
        <v>1.00000</v>
      </c>
      <c r="F9323" s="29">
        <f ca="1">ROUND(19.000,3)</f>
        <v>0</v>
      </c>
      <c r="G9323" s="27">
        <f ca="1">ROUND(E9323*F9323,2)</f>
        <v>0</v>
      </c>
    </row>
    <row r="9324" spans="1:7" ht="24.36" thickBot="1" customHeight="1">
      <c r="A9324" s="24" t="s">
        <v>29528</v>
      </c>
      <c r="B9324" s="24" t="s">
        <v>29529</v>
      </c>
      <c r="C9324" s="24" t="s">
        <v>29530</v>
      </c>
      <c r="D9324" s="25" t="s">
        <v>29531</v>
      </c>
      <c r="E9324" s="28">
        <v>0.20000</v>
      </c>
      <c r="F9324" s="29">
        <f ca="1">ROUND(19.000,3)</f>
        <v>0</v>
      </c>
      <c r="G9324" s="27">
        <f ca="1">ROUND(E9324*F9324,2)</f>
        <v>0</v>
      </c>
    </row>
    <row r="9325" spans="1:7" ht="15.12" thickBot="1" customHeight="1">
      <c r="A9325" s="26"/>
      <c r="B9325" s="26"/>
      <c r="C9325" s="26"/>
      <c r="D9325" s="24" t="s">
        <v>29532</v>
      </c>
      <c r="E9325" s="28">
        <v>0.20000</v>
      </c>
      <c r="F9325" s="29">
        <f ca="1">ROUND((G9322+G9323+G9324),3)</f>
        <v>0</v>
      </c>
      <c r="G9325" s="27">
        <f ca="1">ROUND(E9325*F9325,2)</f>
        <v>0</v>
      </c>
    </row>
    <row r="9326" spans="1:7" ht="15.12" thickBot="1" customHeight="1">
      <c r="A9326" s="24" t="s">
        <v>29533</v>
      </c>
      <c r="B9326" s="24"/>
      <c r="C9326" s="24" t="s">
        <v>29534</v>
      </c>
      <c r="D9326" s="25" t="s">
        <v>29535</v>
      </c>
      <c r="E9326" s="28">
        <v>3.00000</v>
      </c>
      <c r="F9326" s="29">
        <f ca="1">ROUND(8.760,3)</f>
        <v>0</v>
      </c>
      <c r="G9326" s="27">
        <f ca="1">ROUND((E9326*F9326)/100,2)</f>
        <v>0</v>
      </c>
    </row>
    <row r="9327" spans="1:7" ht="15.48" thickBot="1" customHeight="1">
      <c r="A9327" s="30"/>
      <c r="B9327" s="30"/>
      <c r="C9327" s="30"/>
      <c r="D9327" s="31" t="s">
        <v>29536</v>
      </c>
      <c r="E9327" s="30"/>
      <c r="F9327" s="33">
        <f ca="1">ROUND((G9319+G9320+G9321+G9326)*(1+G2/100),2)</f>
        <v>0</v>
      </c>
      <c r="G9327" s="30"/>
    </row>
    <row r="9328" spans="1:7" ht="21.36" thickBot="1" customHeight="1">
      <c r="A9328" s="34" t="s">
        <v>29537</v>
      </c>
      <c r="B9328" s="35" t="s">
        <v>29538</v>
      </c>
      <c r="C9328" s="35" t="s">
        <v>29539</v>
      </c>
      <c r="D9328" s="36" t="s">
        <v>29540</v>
      </c>
      <c r="E9328" s="37"/>
      <c r="F9328" s="38">
        <f ca="1">F9338</f>
        <v>0</v>
      </c>
      <c r="G9328" s="37"/>
    </row>
    <row r="9329" spans="1:7" ht="30.60" thickBot="1" customHeight="1">
      <c r="A9329" s="26"/>
      <c r="B9329" s="26"/>
      <c r="C9329" s="26"/>
      <c r="D9329" s="25" t="s">
        <v>29541</v>
      </c>
      <c r="E9329" s="25"/>
      <c r="F9329" s="25"/>
      <c r="G9329" s="25"/>
    </row>
    <row r="9330" spans="1:7" ht="21.36" thickBot="1" customHeight="1">
      <c r="A9330" s="24" t="s">
        <v>29542</v>
      </c>
      <c r="B9330" s="24" t="s">
        <v>29543</v>
      </c>
      <c r="C9330" s="24" t="s">
        <v>29544</v>
      </c>
      <c r="D9330" s="25" t="s">
        <v>29545</v>
      </c>
      <c r="E9330" s="28">
        <v>0.15000</v>
      </c>
      <c r="F9330" s="29">
        <f ca="1">ROUND(77.680,3)</f>
        <v>0</v>
      </c>
      <c r="G9330" s="27">
        <f ca="1">ROUND(E9330*F9330,2)</f>
        <v>0</v>
      </c>
    </row>
    <row r="9331" spans="1:7" ht="39.84" thickBot="1" customHeight="1">
      <c r="A9331" s="24" t="s">
        <v>29546</v>
      </c>
      <c r="B9331" s="24" t="s">
        <v>29547</v>
      </c>
      <c r="C9331" s="24" t="s">
        <v>29548</v>
      </c>
      <c r="D9331" s="25" t="s">
        <v>29549</v>
      </c>
      <c r="E9331" s="28">
        <v>0.02200</v>
      </c>
      <c r="F9331" s="29">
        <f ca="1">ROUND(41.250,3)</f>
        <v>0</v>
      </c>
      <c r="G9331" s="27">
        <f ca="1">ROUND(E9331*F9331,2)</f>
        <v>0</v>
      </c>
    </row>
    <row r="9332" spans="1:7" ht="21.36" thickBot="1" customHeight="1">
      <c r="A9332" s="24" t="s">
        <v>29550</v>
      </c>
      <c r="B9332" s="24" t="s">
        <v>29551</v>
      </c>
      <c r="C9332" s="24" t="s">
        <v>29552</v>
      </c>
      <c r="D9332" s="25" t="s">
        <v>29553</v>
      </c>
      <c r="E9332" s="28">
        <v>0.20000</v>
      </c>
      <c r="F9332" s="29">
        <f ca="1">F9336</f>
        <v>0</v>
      </c>
      <c r="G9332" s="27">
        <f ca="1">ROUND(E9332*F9332,2)</f>
        <v>0</v>
      </c>
    </row>
    <row r="9333" spans="1:7" ht="24.36" thickBot="1" customHeight="1">
      <c r="A9333" s="24" t="s">
        <v>29554</v>
      </c>
      <c r="B9333" s="24" t="s">
        <v>29555</v>
      </c>
      <c r="C9333" s="24" t="s">
        <v>29556</v>
      </c>
      <c r="D9333" s="25" t="s">
        <v>29557</v>
      </c>
      <c r="E9333" s="28">
        <v>1.00000</v>
      </c>
      <c r="F9333" s="29">
        <f ca="1">ROUND(21.000,3)</f>
        <v>0</v>
      </c>
      <c r="G9333" s="27">
        <f ca="1">ROUND(E9333*F9333,2)</f>
        <v>0</v>
      </c>
    </row>
    <row r="9334" spans="1:7" ht="24.36" thickBot="1" customHeight="1">
      <c r="A9334" s="24" t="s">
        <v>29558</v>
      </c>
      <c r="B9334" s="24" t="s">
        <v>29559</v>
      </c>
      <c r="C9334" s="24" t="s">
        <v>29560</v>
      </c>
      <c r="D9334" s="25" t="s">
        <v>29561</v>
      </c>
      <c r="E9334" s="28">
        <v>1.00000</v>
      </c>
      <c r="F9334" s="29">
        <f ca="1">ROUND(19.000,3)</f>
        <v>0</v>
      </c>
      <c r="G9334" s="27">
        <f ca="1">ROUND(E9334*F9334,2)</f>
        <v>0</v>
      </c>
    </row>
    <row r="9335" spans="1:7" ht="24.36" thickBot="1" customHeight="1">
      <c r="A9335" s="24" t="s">
        <v>29562</v>
      </c>
      <c r="B9335" s="24" t="s">
        <v>29563</v>
      </c>
      <c r="C9335" s="24" t="s">
        <v>29564</v>
      </c>
      <c r="D9335" s="25" t="s">
        <v>29565</v>
      </c>
      <c r="E9335" s="28">
        <v>0.20000</v>
      </c>
      <c r="F9335" s="29">
        <f ca="1">ROUND(19.000,3)</f>
        <v>0</v>
      </c>
      <c r="G9335" s="27">
        <f ca="1">ROUND(E9335*F9335,2)</f>
        <v>0</v>
      </c>
    </row>
    <row r="9336" spans="1:7" ht="15.12" thickBot="1" customHeight="1">
      <c r="A9336" s="26"/>
      <c r="B9336" s="26"/>
      <c r="C9336" s="26"/>
      <c r="D9336" s="24" t="s">
        <v>29566</v>
      </c>
      <c r="E9336" s="28">
        <v>0.20000</v>
      </c>
      <c r="F9336" s="29">
        <f ca="1">ROUND((G9333+G9334+G9335),3)</f>
        <v>0</v>
      </c>
      <c r="G9336" s="27">
        <f ca="1">ROUND(E9336*F9336,2)</f>
        <v>0</v>
      </c>
    </row>
    <row r="9337" spans="1:7" ht="15.12" thickBot="1" customHeight="1">
      <c r="A9337" s="24" t="s">
        <v>29567</v>
      </c>
      <c r="B9337" s="24"/>
      <c r="C9337" s="24" t="s">
        <v>29568</v>
      </c>
      <c r="D9337" s="25" t="s">
        <v>29569</v>
      </c>
      <c r="E9337" s="28">
        <v>3.00000</v>
      </c>
      <c r="F9337" s="29">
        <f ca="1">ROUND(8.760,3)</f>
        <v>0</v>
      </c>
      <c r="G9337" s="27">
        <f ca="1">ROUND((E9337*F9337)/100,2)</f>
        <v>0</v>
      </c>
    </row>
    <row r="9338" spans="1:7" ht="15.48" thickBot="1" customHeight="1">
      <c r="A9338" s="30"/>
      <c r="B9338" s="30"/>
      <c r="C9338" s="30"/>
      <c r="D9338" s="31" t="s">
        <v>29570</v>
      </c>
      <c r="E9338" s="30"/>
      <c r="F9338" s="33">
        <f ca="1">ROUND((G9330+G9331+G9332+G9337)*(1+G2/100),2)</f>
        <v>0</v>
      </c>
      <c r="G9338" s="30"/>
    </row>
    <row r="9339" spans="1:7" ht="39.84" thickBot="1" customHeight="1">
      <c r="A9339" s="34" t="s">
        <v>29571</v>
      </c>
      <c r="B9339" s="35" t="s">
        <v>29572</v>
      </c>
      <c r="C9339" s="35" t="s">
        <v>29573</v>
      </c>
      <c r="D9339" s="36" t="s">
        <v>29574</v>
      </c>
      <c r="E9339" s="37"/>
      <c r="F9339" s="38">
        <f ca="1">F9349</f>
        <v>0</v>
      </c>
      <c r="G9339" s="37"/>
    </row>
    <row r="9340" spans="1:7" ht="76.80" thickBot="1" customHeight="1">
      <c r="A9340" s="26"/>
      <c r="B9340" s="26"/>
      <c r="C9340" s="26"/>
      <c r="D9340" s="25" t="s">
        <v>29575</v>
      </c>
      <c r="E9340" s="25"/>
      <c r="F9340" s="25"/>
      <c r="G9340" s="25"/>
    </row>
    <row r="9341" spans="1:7" ht="21.36" thickBot="1" customHeight="1">
      <c r="A9341" s="24" t="s">
        <v>29576</v>
      </c>
      <c r="B9341" s="24" t="s">
        <v>29577</v>
      </c>
      <c r="C9341" s="24" t="s">
        <v>29578</v>
      </c>
      <c r="D9341" s="25" t="s">
        <v>29579</v>
      </c>
      <c r="E9341" s="28">
        <v>0.15000</v>
      </c>
      <c r="F9341" s="29">
        <f ca="1">ROUND(96.900,3)</f>
        <v>0</v>
      </c>
      <c r="G9341" s="27">
        <f ca="1">ROUND(E9341*F9341,2)</f>
        <v>0</v>
      </c>
    </row>
    <row r="9342" spans="1:7" ht="30.60" thickBot="1" customHeight="1">
      <c r="A9342" s="24" t="s">
        <v>29580</v>
      </c>
      <c r="B9342" s="24" t="s">
        <v>29581</v>
      </c>
      <c r="C9342" s="24" t="s">
        <v>29582</v>
      </c>
      <c r="D9342" s="25" t="s">
        <v>29583</v>
      </c>
      <c r="E9342" s="28">
        <v>0.04000</v>
      </c>
      <c r="F9342" s="29">
        <f ca="1">ROUND(30.510,3)</f>
        <v>0</v>
      </c>
      <c r="G9342" s="27">
        <f ca="1">ROUND(E9342*F9342,2)</f>
        <v>0</v>
      </c>
    </row>
    <row r="9343" spans="1:7" ht="21.36" thickBot="1" customHeight="1">
      <c r="A9343" s="24" t="s">
        <v>29584</v>
      </c>
      <c r="B9343" s="24" t="s">
        <v>29585</v>
      </c>
      <c r="C9343" s="24" t="s">
        <v>29586</v>
      </c>
      <c r="D9343" s="25" t="s">
        <v>29587</v>
      </c>
      <c r="E9343" s="28">
        <v>0.20000</v>
      </c>
      <c r="F9343" s="29">
        <f ca="1">F9347</f>
        <v>0</v>
      </c>
      <c r="G9343" s="27">
        <f ca="1">ROUND(E9343*F9343,2)</f>
        <v>0</v>
      </c>
    </row>
    <row r="9344" spans="1:7" ht="24.36" thickBot="1" customHeight="1">
      <c r="A9344" s="24" t="s">
        <v>29588</v>
      </c>
      <c r="B9344" s="24" t="s">
        <v>29589</v>
      </c>
      <c r="C9344" s="24" t="s">
        <v>29590</v>
      </c>
      <c r="D9344" s="25" t="s">
        <v>29591</v>
      </c>
      <c r="E9344" s="28">
        <v>1.00000</v>
      </c>
      <c r="F9344" s="29">
        <f ca="1">ROUND(21.000,3)</f>
        <v>0</v>
      </c>
      <c r="G9344" s="27">
        <f ca="1">ROUND(E9344*F9344,2)</f>
        <v>0</v>
      </c>
    </row>
    <row r="9345" spans="1:7" ht="24.36" thickBot="1" customHeight="1">
      <c r="A9345" s="24" t="s">
        <v>29592</v>
      </c>
      <c r="B9345" s="24" t="s">
        <v>29593</v>
      </c>
      <c r="C9345" s="24" t="s">
        <v>29594</v>
      </c>
      <c r="D9345" s="25" t="s">
        <v>29595</v>
      </c>
      <c r="E9345" s="28">
        <v>1.00000</v>
      </c>
      <c r="F9345" s="29">
        <f ca="1">ROUND(19.000,3)</f>
        <v>0</v>
      </c>
      <c r="G9345" s="27">
        <f ca="1">ROUND(E9345*F9345,2)</f>
        <v>0</v>
      </c>
    </row>
    <row r="9346" spans="1:7" ht="24.36" thickBot="1" customHeight="1">
      <c r="A9346" s="24" t="s">
        <v>29596</v>
      </c>
      <c r="B9346" s="24" t="s">
        <v>29597</v>
      </c>
      <c r="C9346" s="24" t="s">
        <v>29598</v>
      </c>
      <c r="D9346" s="25" t="s">
        <v>29599</v>
      </c>
      <c r="E9346" s="28">
        <v>0.20000</v>
      </c>
      <c r="F9346" s="29">
        <f ca="1">ROUND(19.000,3)</f>
        <v>0</v>
      </c>
      <c r="G9346" s="27">
        <f ca="1">ROUND(E9346*F9346,2)</f>
        <v>0</v>
      </c>
    </row>
    <row r="9347" spans="1:7" ht="15.12" thickBot="1" customHeight="1">
      <c r="A9347" s="26"/>
      <c r="B9347" s="26"/>
      <c r="C9347" s="26"/>
      <c r="D9347" s="24" t="s">
        <v>29600</v>
      </c>
      <c r="E9347" s="28">
        <v>0.20000</v>
      </c>
      <c r="F9347" s="29">
        <f ca="1">ROUND((G9344+G9345+G9346),3)</f>
        <v>0</v>
      </c>
      <c r="G9347" s="27">
        <f ca="1">ROUND(E9347*F9347,2)</f>
        <v>0</v>
      </c>
    </row>
    <row r="9348" spans="1:7" ht="15.12" thickBot="1" customHeight="1">
      <c r="A9348" s="24" t="s">
        <v>29601</v>
      </c>
      <c r="B9348" s="24"/>
      <c r="C9348" s="24" t="s">
        <v>29602</v>
      </c>
      <c r="D9348" s="25" t="s">
        <v>29603</v>
      </c>
      <c r="E9348" s="28">
        <v>3.00000</v>
      </c>
      <c r="F9348" s="29">
        <f ca="1">ROUND(8.760,3)</f>
        <v>0</v>
      </c>
      <c r="G9348" s="27">
        <f ca="1">ROUND((E9348*F9348)/100,2)</f>
        <v>0</v>
      </c>
    </row>
    <row r="9349" spans="1:7" ht="15.48" thickBot="1" customHeight="1">
      <c r="A9349" s="30"/>
      <c r="B9349" s="30"/>
      <c r="C9349" s="30"/>
      <c r="D9349" s="31" t="s">
        <v>29604</v>
      </c>
      <c r="E9349" s="30"/>
      <c r="F9349" s="33">
        <f ca="1">ROUND((G9341+G9342+G9343+G9348)*(1+G2/100),2)</f>
        <v>0</v>
      </c>
      <c r="G9349" s="30"/>
    </row>
    <row r="9350" spans="1:7" ht="30.60" thickBot="1" customHeight="1">
      <c r="A9350" s="34" t="s">
        <v>29605</v>
      </c>
      <c r="B9350" s="35" t="s">
        <v>29606</v>
      </c>
      <c r="C9350" s="35" t="s">
        <v>29607</v>
      </c>
      <c r="D9350" s="36" t="s">
        <v>29608</v>
      </c>
      <c r="E9350" s="37"/>
      <c r="F9350" s="38">
        <f ca="1">F9361</f>
        <v>0</v>
      </c>
      <c r="G9350" s="37"/>
    </row>
    <row r="9351" spans="1:7" ht="21.36" thickBot="1" customHeight="1">
      <c r="A9351" s="26"/>
      <c r="B9351" s="26"/>
      <c r="C9351" s="26"/>
      <c r="D9351" s="25" t="s">
        <v>29609</v>
      </c>
      <c r="E9351" s="25"/>
      <c r="F9351" s="25"/>
      <c r="G9351" s="25"/>
    </row>
    <row r="9352" spans="1:7" ht="49.08" thickBot="1" customHeight="1">
      <c r="A9352" s="24" t="s">
        <v>29610</v>
      </c>
      <c r="B9352" s="24" t="s">
        <v>29611</v>
      </c>
      <c r="C9352" s="24" t="s">
        <v>29612</v>
      </c>
      <c r="D9352" s="25" t="s">
        <v>29613</v>
      </c>
      <c r="E9352" s="28">
        <v>0.04200</v>
      </c>
      <c r="F9352" s="29">
        <f ca="1">ROUND(42.950,3)</f>
        <v>0</v>
      </c>
      <c r="G9352" s="27">
        <f ca="1">ROUND(E9352*F9352,2)</f>
        <v>0</v>
      </c>
    </row>
    <row r="9353" spans="1:7" ht="30.60" thickBot="1" customHeight="1">
      <c r="A9353" s="24" t="s">
        <v>29614</v>
      </c>
      <c r="B9353" s="24" t="s">
        <v>29615</v>
      </c>
      <c r="C9353" s="24" t="s">
        <v>29616</v>
      </c>
      <c r="D9353" s="25" t="s">
        <v>29617</v>
      </c>
      <c r="E9353" s="28">
        <v>0.14667</v>
      </c>
      <c r="F9353" s="29">
        <f ca="1">ROUND(49.500,3)</f>
        <v>0</v>
      </c>
      <c r="G9353" s="27">
        <f ca="1">ROUND(E9353*F9353,2)</f>
        <v>0</v>
      </c>
    </row>
    <row r="9354" spans="1:7" ht="30.60" thickBot="1" customHeight="1">
      <c r="A9354" s="24" t="s">
        <v>29618</v>
      </c>
      <c r="B9354" s="24" t="s">
        <v>29619</v>
      </c>
      <c r="C9354" s="24" t="s">
        <v>29620</v>
      </c>
      <c r="D9354" s="25" t="s">
        <v>29621</v>
      </c>
      <c r="E9354" s="28">
        <v>0.08888</v>
      </c>
      <c r="F9354" s="29">
        <f ca="1">ROUND(151.080,3)</f>
        <v>0</v>
      </c>
      <c r="G9354" s="27">
        <f ca="1">ROUND(E9354*F9354,2)</f>
        <v>0</v>
      </c>
    </row>
    <row r="9355" spans="1:7" ht="21.36" thickBot="1" customHeight="1">
      <c r="A9355" s="24" t="s">
        <v>29622</v>
      </c>
      <c r="B9355" s="24" t="s">
        <v>29623</v>
      </c>
      <c r="C9355" s="24" t="s">
        <v>29624</v>
      </c>
      <c r="D9355" s="25" t="s">
        <v>29625</v>
      </c>
      <c r="E9355" s="28">
        <v>0.30000</v>
      </c>
      <c r="F9355" s="29">
        <f ca="1">F9359</f>
        <v>0</v>
      </c>
      <c r="G9355" s="27">
        <f ca="1">ROUND(E9355*F9355,2)</f>
        <v>0</v>
      </c>
    </row>
    <row r="9356" spans="1:7" ht="24.36" thickBot="1" customHeight="1">
      <c r="A9356" s="24" t="s">
        <v>29626</v>
      </c>
      <c r="B9356" s="24" t="s">
        <v>29627</v>
      </c>
      <c r="C9356" s="24" t="s">
        <v>29628</v>
      </c>
      <c r="D9356" s="25" t="s">
        <v>29629</v>
      </c>
      <c r="E9356" s="28">
        <v>1.00000</v>
      </c>
      <c r="F9356" s="29">
        <f ca="1">ROUND(21.000,3)</f>
        <v>0</v>
      </c>
      <c r="G9356" s="27">
        <f ca="1">ROUND(E9356*F9356,2)</f>
        <v>0</v>
      </c>
    </row>
    <row r="9357" spans="1:7" ht="24.36" thickBot="1" customHeight="1">
      <c r="A9357" s="24" t="s">
        <v>29630</v>
      </c>
      <c r="B9357" s="24" t="s">
        <v>29631</v>
      </c>
      <c r="C9357" s="24" t="s">
        <v>29632</v>
      </c>
      <c r="D9357" s="25" t="s">
        <v>29633</v>
      </c>
      <c r="E9357" s="28">
        <v>1.00000</v>
      </c>
      <c r="F9357" s="29">
        <f ca="1">ROUND(19.000,3)</f>
        <v>0</v>
      </c>
      <c r="G9357" s="27">
        <f ca="1">ROUND(E9357*F9357,2)</f>
        <v>0</v>
      </c>
    </row>
    <row r="9358" spans="1:7" ht="24.36" thickBot="1" customHeight="1">
      <c r="A9358" s="24" t="s">
        <v>29634</v>
      </c>
      <c r="B9358" s="24" t="s">
        <v>29635</v>
      </c>
      <c r="C9358" s="24" t="s">
        <v>29636</v>
      </c>
      <c r="D9358" s="25" t="s">
        <v>29637</v>
      </c>
      <c r="E9358" s="28">
        <v>0.20000</v>
      </c>
      <c r="F9358" s="29">
        <f ca="1">ROUND(19.000,3)</f>
        <v>0</v>
      </c>
      <c r="G9358" s="27">
        <f ca="1">ROUND(E9358*F9358,2)</f>
        <v>0</v>
      </c>
    </row>
    <row r="9359" spans="1:7" ht="15.12" thickBot="1" customHeight="1">
      <c r="A9359" s="26"/>
      <c r="B9359" s="26"/>
      <c r="C9359" s="26"/>
      <c r="D9359" s="24" t="s">
        <v>29638</v>
      </c>
      <c r="E9359" s="28">
        <v>0.30000</v>
      </c>
      <c r="F9359" s="29">
        <f ca="1">ROUND((G9356+G9357+G9358),3)</f>
        <v>0</v>
      </c>
      <c r="G9359" s="27">
        <f ca="1">ROUND(E9359*F9359,2)</f>
        <v>0</v>
      </c>
    </row>
    <row r="9360" spans="1:7" ht="15.12" thickBot="1" customHeight="1">
      <c r="A9360" s="24" t="s">
        <v>29639</v>
      </c>
      <c r="B9360" s="24"/>
      <c r="C9360" s="24" t="s">
        <v>29640</v>
      </c>
      <c r="D9360" s="25" t="s">
        <v>29641</v>
      </c>
      <c r="E9360" s="28">
        <v>3.00000</v>
      </c>
      <c r="F9360" s="29">
        <f ca="1">ROUND(13.140,3)</f>
        <v>0</v>
      </c>
      <c r="G9360" s="27">
        <f ca="1">ROUND((E9360*F9360)/100,2)</f>
        <v>0</v>
      </c>
    </row>
    <row r="9361" spans="1:7" ht="15.48" thickBot="1" customHeight="1">
      <c r="A9361" s="30"/>
      <c r="B9361" s="30"/>
      <c r="C9361" s="30"/>
      <c r="D9361" s="31" t="s">
        <v>29642</v>
      </c>
      <c r="E9361" s="30"/>
      <c r="F9361" s="33">
        <f ca="1">ROUND((G9352+G9353+G9354+G9355+G9360)*(1+G2/100),2)</f>
        <v>0</v>
      </c>
      <c r="G9361" s="30"/>
    </row>
    <row r="9362" spans="1:7" ht="30.60" thickBot="1" customHeight="1">
      <c r="A9362" s="34" t="s">
        <v>29643</v>
      </c>
      <c r="B9362" s="35" t="s">
        <v>29644</v>
      </c>
      <c r="C9362" s="35" t="s">
        <v>29645</v>
      </c>
      <c r="D9362" s="36" t="s">
        <v>29646</v>
      </c>
      <c r="E9362" s="37"/>
      <c r="F9362" s="38">
        <f ca="1">F9373</f>
        <v>0</v>
      </c>
      <c r="G9362" s="37"/>
    </row>
    <row r="9363" spans="1:7" ht="21.36" thickBot="1" customHeight="1">
      <c r="A9363" s="26"/>
      <c r="B9363" s="26"/>
      <c r="C9363" s="26"/>
      <c r="D9363" s="25" t="s">
        <v>29647</v>
      </c>
      <c r="E9363" s="25"/>
      <c r="F9363" s="25"/>
      <c r="G9363" s="25"/>
    </row>
    <row r="9364" spans="1:7" ht="49.08" thickBot="1" customHeight="1">
      <c r="A9364" s="24" t="s">
        <v>29648</v>
      </c>
      <c r="B9364" s="24" t="s">
        <v>29649</v>
      </c>
      <c r="C9364" s="24" t="s">
        <v>29650</v>
      </c>
      <c r="D9364" s="25" t="s">
        <v>29651</v>
      </c>
      <c r="E9364" s="28">
        <v>0.01250</v>
      </c>
      <c r="F9364" s="29">
        <f ca="1">ROUND(42.950,3)</f>
        <v>0</v>
      </c>
      <c r="G9364" s="27">
        <f ca="1">ROUND(E9364*F9364,2)</f>
        <v>0</v>
      </c>
    </row>
    <row r="9365" spans="1:7" ht="30.60" thickBot="1" customHeight="1">
      <c r="A9365" s="24" t="s">
        <v>29652</v>
      </c>
      <c r="B9365" s="24" t="s">
        <v>29653</v>
      </c>
      <c r="C9365" s="24" t="s">
        <v>29654</v>
      </c>
      <c r="D9365" s="25" t="s">
        <v>29655</v>
      </c>
      <c r="E9365" s="28">
        <v>0.14667</v>
      </c>
      <c r="F9365" s="29">
        <f ca="1">ROUND(49.500,3)</f>
        <v>0</v>
      </c>
      <c r="G9365" s="27">
        <f ca="1">ROUND(E9365*F9365,2)</f>
        <v>0</v>
      </c>
    </row>
    <row r="9366" spans="1:7" ht="30.60" thickBot="1" customHeight="1">
      <c r="A9366" s="24" t="s">
        <v>29656</v>
      </c>
      <c r="B9366" s="24" t="s">
        <v>29657</v>
      </c>
      <c r="C9366" s="24" t="s">
        <v>29658</v>
      </c>
      <c r="D9366" s="25" t="s">
        <v>29659</v>
      </c>
      <c r="E9366" s="28">
        <v>0.17222</v>
      </c>
      <c r="F9366" s="29">
        <f ca="1">ROUND(151.080,3)</f>
        <v>0</v>
      </c>
      <c r="G9366" s="27">
        <f ca="1">ROUND(E9366*F9366,2)</f>
        <v>0</v>
      </c>
    </row>
    <row r="9367" spans="1:7" ht="21.36" thickBot="1" customHeight="1">
      <c r="A9367" s="24" t="s">
        <v>29660</v>
      </c>
      <c r="B9367" s="24" t="s">
        <v>29661</v>
      </c>
      <c r="C9367" s="24" t="s">
        <v>29662</v>
      </c>
      <c r="D9367" s="25" t="s">
        <v>29663</v>
      </c>
      <c r="E9367" s="28">
        <v>0.36000</v>
      </c>
      <c r="F9367" s="29">
        <f ca="1">F9371</f>
        <v>0</v>
      </c>
      <c r="G9367" s="27">
        <f ca="1">ROUND(E9367*F9367,2)</f>
        <v>0</v>
      </c>
    </row>
    <row r="9368" spans="1:7" ht="24.36" thickBot="1" customHeight="1">
      <c r="A9368" s="24" t="s">
        <v>29664</v>
      </c>
      <c r="B9368" s="24" t="s">
        <v>29665</v>
      </c>
      <c r="C9368" s="24" t="s">
        <v>29666</v>
      </c>
      <c r="D9368" s="25" t="s">
        <v>29667</v>
      </c>
      <c r="E9368" s="28">
        <v>1.00000</v>
      </c>
      <c r="F9368" s="29">
        <f ca="1">ROUND(21.000,3)</f>
        <v>0</v>
      </c>
      <c r="G9368" s="27">
        <f ca="1">ROUND(E9368*F9368,2)</f>
        <v>0</v>
      </c>
    </row>
    <row r="9369" spans="1:7" ht="24.36" thickBot="1" customHeight="1">
      <c r="A9369" s="24" t="s">
        <v>29668</v>
      </c>
      <c r="B9369" s="24" t="s">
        <v>29669</v>
      </c>
      <c r="C9369" s="24" t="s">
        <v>29670</v>
      </c>
      <c r="D9369" s="25" t="s">
        <v>29671</v>
      </c>
      <c r="E9369" s="28">
        <v>1.00000</v>
      </c>
      <c r="F9369" s="29">
        <f ca="1">ROUND(19.000,3)</f>
        <v>0</v>
      </c>
      <c r="G9369" s="27">
        <f ca="1">ROUND(E9369*F9369,2)</f>
        <v>0</v>
      </c>
    </row>
    <row r="9370" spans="1:7" ht="24.36" thickBot="1" customHeight="1">
      <c r="A9370" s="24" t="s">
        <v>29672</v>
      </c>
      <c r="B9370" s="24" t="s">
        <v>29673</v>
      </c>
      <c r="C9370" s="24" t="s">
        <v>29674</v>
      </c>
      <c r="D9370" s="25" t="s">
        <v>29675</v>
      </c>
      <c r="E9370" s="28">
        <v>0.20000</v>
      </c>
      <c r="F9370" s="29">
        <f ca="1">ROUND(19.000,3)</f>
        <v>0</v>
      </c>
      <c r="G9370" s="27">
        <f ca="1">ROUND(E9370*F9370,2)</f>
        <v>0</v>
      </c>
    </row>
    <row r="9371" spans="1:7" ht="15.12" thickBot="1" customHeight="1">
      <c r="A9371" s="26"/>
      <c r="B9371" s="26"/>
      <c r="C9371" s="26"/>
      <c r="D9371" s="24" t="s">
        <v>29676</v>
      </c>
      <c r="E9371" s="28">
        <v>0.36000</v>
      </c>
      <c r="F9371" s="29">
        <f ca="1">ROUND((G9368+G9369+G9370),3)</f>
        <v>0</v>
      </c>
      <c r="G9371" s="27">
        <f ca="1">ROUND(E9371*F9371,2)</f>
        <v>0</v>
      </c>
    </row>
    <row r="9372" spans="1:7" ht="15.12" thickBot="1" customHeight="1">
      <c r="A9372" s="24" t="s">
        <v>29677</v>
      </c>
      <c r="B9372" s="24"/>
      <c r="C9372" s="24" t="s">
        <v>29678</v>
      </c>
      <c r="D9372" s="25" t="s">
        <v>29679</v>
      </c>
      <c r="E9372" s="28">
        <v>3.00000</v>
      </c>
      <c r="F9372" s="29">
        <f ca="1">ROUND(15.770,3)</f>
        <v>0</v>
      </c>
      <c r="G9372" s="27">
        <f ca="1">ROUND((E9372*F9372)/100,2)</f>
        <v>0</v>
      </c>
    </row>
    <row r="9373" spans="1:7" ht="15.48" thickBot="1" customHeight="1">
      <c r="A9373" s="30"/>
      <c r="B9373" s="30"/>
      <c r="C9373" s="30"/>
      <c r="D9373" s="31" t="s">
        <v>29680</v>
      </c>
      <c r="E9373" s="30"/>
      <c r="F9373" s="33">
        <f ca="1">ROUND((G9364+G9365+G9366+G9367+G9372)*(1+G2/100),2)</f>
        <v>0</v>
      </c>
      <c r="G9373" s="30"/>
    </row>
    <row r="9374" spans="1:7" ht="21.36" thickBot="1" customHeight="1">
      <c r="A9374" s="34" t="s">
        <v>29681</v>
      </c>
      <c r="B9374" s="35" t="s">
        <v>29682</v>
      </c>
      <c r="C9374" s="35" t="s">
        <v>29683</v>
      </c>
      <c r="D9374" s="36" t="s">
        <v>29684</v>
      </c>
      <c r="E9374" s="37"/>
      <c r="F9374" s="38">
        <f ca="1">F9383</f>
        <v>0</v>
      </c>
      <c r="G9374" s="37"/>
    </row>
    <row r="9375" spans="1:7" ht="21.36" thickBot="1" customHeight="1">
      <c r="A9375" s="26"/>
      <c r="B9375" s="26"/>
      <c r="C9375" s="26"/>
      <c r="D9375" s="25" t="s">
        <v>29685</v>
      </c>
      <c r="E9375" s="25"/>
      <c r="F9375" s="25"/>
      <c r="G9375" s="25"/>
    </row>
    <row r="9376" spans="1:7" ht="39.84" thickBot="1" customHeight="1">
      <c r="A9376" s="24" t="s">
        <v>29686</v>
      </c>
      <c r="B9376" s="24" t="s">
        <v>29687</v>
      </c>
      <c r="C9376" s="24" t="s">
        <v>29688</v>
      </c>
      <c r="D9376" s="25" t="s">
        <v>29689</v>
      </c>
      <c r="E9376" s="28">
        <v>0.06000</v>
      </c>
      <c r="F9376" s="29">
        <f ca="1">ROUND(44.840,3)</f>
        <v>0</v>
      </c>
      <c r="G9376" s="27">
        <f ca="1">ROUND(E9376*F9376,2)</f>
        <v>0</v>
      </c>
    </row>
    <row r="9377" spans="1:7" ht="21.36" thickBot="1" customHeight="1">
      <c r="A9377" s="24" t="s">
        <v>29690</v>
      </c>
      <c r="B9377" s="24" t="s">
        <v>29691</v>
      </c>
      <c r="C9377" s="24" t="s">
        <v>29692</v>
      </c>
      <c r="D9377" s="25" t="s">
        <v>29693</v>
      </c>
      <c r="E9377" s="28">
        <v>0.15000</v>
      </c>
      <c r="F9377" s="29">
        <f ca="1">F9381</f>
        <v>0</v>
      </c>
      <c r="G9377" s="27">
        <f ca="1">ROUND(E9377*F9377,2)</f>
        <v>0</v>
      </c>
    </row>
    <row r="9378" spans="1:7" ht="24.36" thickBot="1" customHeight="1">
      <c r="A9378" s="24" t="s">
        <v>29694</v>
      </c>
      <c r="B9378" s="24" t="s">
        <v>29695</v>
      </c>
      <c r="C9378" s="24" t="s">
        <v>29696</v>
      </c>
      <c r="D9378" s="25" t="s">
        <v>29697</v>
      </c>
      <c r="E9378" s="28">
        <v>1.00000</v>
      </c>
      <c r="F9378" s="29">
        <f ca="1">ROUND(21.000,3)</f>
        <v>0</v>
      </c>
      <c r="G9378" s="27">
        <f ca="1">ROUND(E9378*F9378,2)</f>
        <v>0</v>
      </c>
    </row>
    <row r="9379" spans="1:7" ht="24.36" thickBot="1" customHeight="1">
      <c r="A9379" s="24" t="s">
        <v>29698</v>
      </c>
      <c r="B9379" s="24" t="s">
        <v>29699</v>
      </c>
      <c r="C9379" s="24" t="s">
        <v>29700</v>
      </c>
      <c r="D9379" s="25" t="s">
        <v>29701</v>
      </c>
      <c r="E9379" s="28">
        <v>1.00000</v>
      </c>
      <c r="F9379" s="29">
        <f ca="1">ROUND(19.000,3)</f>
        <v>0</v>
      </c>
      <c r="G9379" s="27">
        <f ca="1">ROUND(E9379*F9379,2)</f>
        <v>0</v>
      </c>
    </row>
    <row r="9380" spans="1:7" ht="24.36" thickBot="1" customHeight="1">
      <c r="A9380" s="24" t="s">
        <v>29702</v>
      </c>
      <c r="B9380" s="24" t="s">
        <v>29703</v>
      </c>
      <c r="C9380" s="24" t="s">
        <v>29704</v>
      </c>
      <c r="D9380" s="25" t="s">
        <v>29705</v>
      </c>
      <c r="E9380" s="28">
        <v>0.20000</v>
      </c>
      <c r="F9380" s="29">
        <f ca="1">ROUND(19.000,3)</f>
        <v>0</v>
      </c>
      <c r="G9380" s="27">
        <f ca="1">ROUND(E9380*F9380,2)</f>
        <v>0</v>
      </c>
    </row>
    <row r="9381" spans="1:7" ht="15.12" thickBot="1" customHeight="1">
      <c r="A9381" s="26"/>
      <c r="B9381" s="26"/>
      <c r="C9381" s="26"/>
      <c r="D9381" s="24" t="s">
        <v>29706</v>
      </c>
      <c r="E9381" s="28">
        <v>0.15000</v>
      </c>
      <c r="F9381" s="29">
        <f ca="1">ROUND((G9378+G9379+G9380),3)</f>
        <v>0</v>
      </c>
      <c r="G9381" s="27">
        <f ca="1">ROUND(E9381*F9381,2)</f>
        <v>0</v>
      </c>
    </row>
    <row r="9382" spans="1:7" ht="15.12" thickBot="1" customHeight="1">
      <c r="A9382" s="24" t="s">
        <v>29707</v>
      </c>
      <c r="B9382" s="24"/>
      <c r="C9382" s="24" t="s">
        <v>29708</v>
      </c>
      <c r="D9382" s="25" t="s">
        <v>29709</v>
      </c>
      <c r="E9382" s="28">
        <v>3.00000</v>
      </c>
      <c r="F9382" s="29">
        <f ca="1">ROUND(6.570,3)</f>
        <v>0</v>
      </c>
      <c r="G9382" s="27">
        <f ca="1">ROUND((E9382*F9382)/100,2)</f>
        <v>0</v>
      </c>
    </row>
    <row r="9383" spans="1:7" ht="15.48" thickBot="1" customHeight="1">
      <c r="A9383" s="30"/>
      <c r="B9383" s="30"/>
      <c r="C9383" s="30"/>
      <c r="D9383" s="31" t="s">
        <v>29710</v>
      </c>
      <c r="E9383" s="30"/>
      <c r="F9383" s="33">
        <f ca="1">ROUND((G9376+G9377+G9382)*(1+G2/100),2)</f>
        <v>0</v>
      </c>
      <c r="G9383" s="30"/>
    </row>
    <row r="9384" spans="1:7" ht="30.60" thickBot="1" customHeight="1">
      <c r="A9384" s="34" t="s">
        <v>29711</v>
      </c>
      <c r="B9384" s="35" t="s">
        <v>29712</v>
      </c>
      <c r="C9384" s="35" t="s">
        <v>29713</v>
      </c>
      <c r="D9384" s="36" t="s">
        <v>29714</v>
      </c>
      <c r="E9384" s="37"/>
      <c r="F9384" s="38">
        <f ca="1">F9394</f>
        <v>0</v>
      </c>
      <c r="G9384" s="37"/>
    </row>
    <row r="9385" spans="1:7" ht="21.36" thickBot="1" customHeight="1">
      <c r="A9385" s="26"/>
      <c r="B9385" s="26"/>
      <c r="C9385" s="26"/>
      <c r="D9385" s="25" t="s">
        <v>29715</v>
      </c>
      <c r="E9385" s="25"/>
      <c r="F9385" s="25"/>
      <c r="G9385" s="25"/>
    </row>
    <row r="9386" spans="1:7" ht="39.84" thickBot="1" customHeight="1">
      <c r="A9386" s="24" t="s">
        <v>29716</v>
      </c>
      <c r="B9386" s="24" t="s">
        <v>29717</v>
      </c>
      <c r="C9386" s="24" t="s">
        <v>29718</v>
      </c>
      <c r="D9386" s="25" t="s">
        <v>29719</v>
      </c>
      <c r="E9386" s="28">
        <v>0.06300</v>
      </c>
      <c r="F9386" s="29">
        <f ca="1">ROUND(44.840,3)</f>
        <v>0</v>
      </c>
      <c r="G9386" s="27">
        <f ca="1">ROUND(E9386*F9386,2)</f>
        <v>0</v>
      </c>
    </row>
    <row r="9387" spans="1:7" ht="49.08" thickBot="1" customHeight="1">
      <c r="A9387" s="24" t="s">
        <v>29720</v>
      </c>
      <c r="B9387" s="24" t="s">
        <v>29721</v>
      </c>
      <c r="C9387" s="24" t="s">
        <v>29722</v>
      </c>
      <c r="D9387" s="25" t="s">
        <v>29723</v>
      </c>
      <c r="E9387" s="28">
        <v>0.24000</v>
      </c>
      <c r="F9387" s="29">
        <f ca="1">ROUND(28.400,3)</f>
        <v>0</v>
      </c>
      <c r="G9387" s="27">
        <f ca="1">ROUND(E9387*F9387,2)</f>
        <v>0</v>
      </c>
    </row>
    <row r="9388" spans="1:7" ht="21.36" thickBot="1" customHeight="1">
      <c r="A9388" s="24" t="s">
        <v>29724</v>
      </c>
      <c r="B9388" s="24" t="s">
        <v>29725</v>
      </c>
      <c r="C9388" s="24" t="s">
        <v>29726</v>
      </c>
      <c r="D9388" s="25" t="s">
        <v>29727</v>
      </c>
      <c r="E9388" s="28">
        <v>0.65000</v>
      </c>
      <c r="F9388" s="29">
        <f ca="1">F9392</f>
        <v>0</v>
      </c>
      <c r="G9388" s="27">
        <f ca="1">ROUND(E9388*F9388,2)</f>
        <v>0</v>
      </c>
    </row>
    <row r="9389" spans="1:7" ht="24.36" thickBot="1" customHeight="1">
      <c r="A9389" s="24" t="s">
        <v>29728</v>
      </c>
      <c r="B9389" s="24" t="s">
        <v>29729</v>
      </c>
      <c r="C9389" s="24" t="s">
        <v>29730</v>
      </c>
      <c r="D9389" s="25" t="s">
        <v>29731</v>
      </c>
      <c r="E9389" s="28">
        <v>1.00000</v>
      </c>
      <c r="F9389" s="29">
        <f ca="1">ROUND(21.000,3)</f>
        <v>0</v>
      </c>
      <c r="G9389" s="27">
        <f ca="1">ROUND(E9389*F9389,2)</f>
        <v>0</v>
      </c>
    </row>
    <row r="9390" spans="1:7" ht="24.36" thickBot="1" customHeight="1">
      <c r="A9390" s="24" t="s">
        <v>29732</v>
      </c>
      <c r="B9390" s="24" t="s">
        <v>29733</v>
      </c>
      <c r="C9390" s="24" t="s">
        <v>29734</v>
      </c>
      <c r="D9390" s="25" t="s">
        <v>29735</v>
      </c>
      <c r="E9390" s="28">
        <v>1.00000</v>
      </c>
      <c r="F9390" s="29">
        <f ca="1">ROUND(19.000,3)</f>
        <v>0</v>
      </c>
      <c r="G9390" s="27">
        <f ca="1">ROUND(E9390*F9390,2)</f>
        <v>0</v>
      </c>
    </row>
    <row r="9391" spans="1:7" ht="24.36" thickBot="1" customHeight="1">
      <c r="A9391" s="24" t="s">
        <v>29736</v>
      </c>
      <c r="B9391" s="24" t="s">
        <v>29737</v>
      </c>
      <c r="C9391" s="24" t="s">
        <v>29738</v>
      </c>
      <c r="D9391" s="25" t="s">
        <v>29739</v>
      </c>
      <c r="E9391" s="28">
        <v>0.20000</v>
      </c>
      <c r="F9391" s="29">
        <f ca="1">ROUND(19.000,3)</f>
        <v>0</v>
      </c>
      <c r="G9391" s="27">
        <f ca="1">ROUND(E9391*F9391,2)</f>
        <v>0</v>
      </c>
    </row>
    <row r="9392" spans="1:7" ht="15.12" thickBot="1" customHeight="1">
      <c r="A9392" s="26"/>
      <c r="B9392" s="26"/>
      <c r="C9392" s="26"/>
      <c r="D9392" s="24" t="s">
        <v>29740</v>
      </c>
      <c r="E9392" s="28">
        <v>0.65000</v>
      </c>
      <c r="F9392" s="29">
        <f ca="1">ROUND((G9389+G9390+G9391),3)</f>
        <v>0</v>
      </c>
      <c r="G9392" s="27">
        <f ca="1">ROUND(E9392*F9392,2)</f>
        <v>0</v>
      </c>
    </row>
    <row r="9393" spans="1:7" ht="15.12" thickBot="1" customHeight="1">
      <c r="A9393" s="24" t="s">
        <v>29741</v>
      </c>
      <c r="B9393" s="24"/>
      <c r="C9393" s="24" t="s">
        <v>29742</v>
      </c>
      <c r="D9393" s="25" t="s">
        <v>29743</v>
      </c>
      <c r="E9393" s="28">
        <v>3.00000</v>
      </c>
      <c r="F9393" s="29">
        <f ca="1">ROUND(28.470,3)</f>
        <v>0</v>
      </c>
      <c r="G9393" s="27">
        <f ca="1">ROUND((E9393*F9393)/100,2)</f>
        <v>0</v>
      </c>
    </row>
    <row r="9394" spans="1:7" ht="15.48" thickBot="1" customHeight="1">
      <c r="A9394" s="30"/>
      <c r="B9394" s="30"/>
      <c r="C9394" s="30"/>
      <c r="D9394" s="31" t="s">
        <v>29744</v>
      </c>
      <c r="E9394" s="30"/>
      <c r="F9394" s="33">
        <f ca="1">ROUND((G9386+G9387+G9388+G9393)*(1+G2/100),2)</f>
        <v>0</v>
      </c>
      <c r="G9394" s="30"/>
    </row>
    <row r="9395" spans="1:7" ht="30.60" thickBot="1" customHeight="1">
      <c r="A9395" s="34" t="s">
        <v>29745</v>
      </c>
      <c r="B9395" s="35" t="s">
        <v>29746</v>
      </c>
      <c r="C9395" s="35" t="s">
        <v>29747</v>
      </c>
      <c r="D9395" s="36" t="s">
        <v>29748</v>
      </c>
      <c r="E9395" s="37"/>
      <c r="F9395" s="38">
        <f ca="1">F9405</f>
        <v>0</v>
      </c>
      <c r="G9395" s="37"/>
    </row>
    <row r="9396" spans="1:7" ht="30.60" thickBot="1" customHeight="1">
      <c r="A9396" s="26"/>
      <c r="B9396" s="26"/>
      <c r="C9396" s="26"/>
      <c r="D9396" s="25" t="s">
        <v>29749</v>
      </c>
      <c r="E9396" s="25"/>
      <c r="F9396" s="25"/>
      <c r="G9396" s="25"/>
    </row>
    <row r="9397" spans="1:7" ht="39.84" thickBot="1" customHeight="1">
      <c r="A9397" s="24" t="s">
        <v>29750</v>
      </c>
      <c r="B9397" s="24" t="s">
        <v>29751</v>
      </c>
      <c r="C9397" s="24" t="s">
        <v>29752</v>
      </c>
      <c r="D9397" s="25" t="s">
        <v>29753</v>
      </c>
      <c r="E9397" s="28">
        <v>0.04200</v>
      </c>
      <c r="F9397" s="29">
        <f ca="1">ROUND(44.840,3)</f>
        <v>0</v>
      </c>
      <c r="G9397" s="27">
        <f ca="1">ROUND(E9397*F9397,2)</f>
        <v>0</v>
      </c>
    </row>
    <row r="9398" spans="1:7" ht="49.08" thickBot="1" customHeight="1">
      <c r="A9398" s="24" t="s">
        <v>29754</v>
      </c>
      <c r="B9398" s="24" t="s">
        <v>29755</v>
      </c>
      <c r="C9398" s="24" t="s">
        <v>29756</v>
      </c>
      <c r="D9398" s="25" t="s">
        <v>29757</v>
      </c>
      <c r="E9398" s="28">
        <v>0.13330</v>
      </c>
      <c r="F9398" s="29">
        <f ca="1">ROUND(52.500,3)</f>
        <v>0</v>
      </c>
      <c r="G9398" s="27">
        <f ca="1">ROUND(E9398*F9398,2)</f>
        <v>0</v>
      </c>
    </row>
    <row r="9399" spans="1:7" ht="21.36" thickBot="1" customHeight="1">
      <c r="A9399" s="24" t="s">
        <v>29758</v>
      </c>
      <c r="B9399" s="24" t="s">
        <v>29759</v>
      </c>
      <c r="C9399" s="24" t="s">
        <v>29760</v>
      </c>
      <c r="D9399" s="25" t="s">
        <v>29761</v>
      </c>
      <c r="E9399" s="28">
        <v>0.53000</v>
      </c>
      <c r="F9399" s="29">
        <f ca="1">F9403</f>
        <v>0</v>
      </c>
      <c r="G9399" s="27">
        <f ca="1">ROUND(E9399*F9399,2)</f>
        <v>0</v>
      </c>
    </row>
    <row r="9400" spans="1:7" ht="24.36" thickBot="1" customHeight="1">
      <c r="A9400" s="24" t="s">
        <v>29762</v>
      </c>
      <c r="B9400" s="24" t="s">
        <v>29763</v>
      </c>
      <c r="C9400" s="24" t="s">
        <v>29764</v>
      </c>
      <c r="D9400" s="25" t="s">
        <v>29765</v>
      </c>
      <c r="E9400" s="28">
        <v>1.00000</v>
      </c>
      <c r="F9400" s="29">
        <f ca="1">ROUND(21.000,3)</f>
        <v>0</v>
      </c>
      <c r="G9400" s="27">
        <f ca="1">ROUND(E9400*F9400,2)</f>
        <v>0</v>
      </c>
    </row>
    <row r="9401" spans="1:7" ht="24.36" thickBot="1" customHeight="1">
      <c r="A9401" s="24" t="s">
        <v>29766</v>
      </c>
      <c r="B9401" s="24" t="s">
        <v>29767</v>
      </c>
      <c r="C9401" s="24" t="s">
        <v>29768</v>
      </c>
      <c r="D9401" s="25" t="s">
        <v>29769</v>
      </c>
      <c r="E9401" s="28">
        <v>1.00000</v>
      </c>
      <c r="F9401" s="29">
        <f ca="1">ROUND(19.000,3)</f>
        <v>0</v>
      </c>
      <c r="G9401" s="27">
        <f ca="1">ROUND(E9401*F9401,2)</f>
        <v>0</v>
      </c>
    </row>
    <row r="9402" spans="1:7" ht="24.36" thickBot="1" customHeight="1">
      <c r="A9402" s="24" t="s">
        <v>29770</v>
      </c>
      <c r="B9402" s="24" t="s">
        <v>29771</v>
      </c>
      <c r="C9402" s="24" t="s">
        <v>29772</v>
      </c>
      <c r="D9402" s="25" t="s">
        <v>29773</v>
      </c>
      <c r="E9402" s="28">
        <v>0.20000</v>
      </c>
      <c r="F9402" s="29">
        <f ca="1">ROUND(19.000,3)</f>
        <v>0</v>
      </c>
      <c r="G9402" s="27">
        <f ca="1">ROUND(E9402*F9402,2)</f>
        <v>0</v>
      </c>
    </row>
    <row r="9403" spans="1:7" ht="15.12" thickBot="1" customHeight="1">
      <c r="A9403" s="26"/>
      <c r="B9403" s="26"/>
      <c r="C9403" s="26"/>
      <c r="D9403" s="24" t="s">
        <v>29774</v>
      </c>
      <c r="E9403" s="28">
        <v>0.53000</v>
      </c>
      <c r="F9403" s="29">
        <f ca="1">ROUND((G9400+G9401+G9402),3)</f>
        <v>0</v>
      </c>
      <c r="G9403" s="27">
        <f ca="1">ROUND(E9403*F9403,2)</f>
        <v>0</v>
      </c>
    </row>
    <row r="9404" spans="1:7" ht="15.12" thickBot="1" customHeight="1">
      <c r="A9404" s="24" t="s">
        <v>29775</v>
      </c>
      <c r="B9404" s="24"/>
      <c r="C9404" s="24" t="s">
        <v>29776</v>
      </c>
      <c r="D9404" s="25" t="s">
        <v>29777</v>
      </c>
      <c r="E9404" s="28">
        <v>3.00000</v>
      </c>
      <c r="F9404" s="29">
        <f ca="1">ROUND(23.210,3)</f>
        <v>0</v>
      </c>
      <c r="G9404" s="27">
        <f ca="1">ROUND((E9404*F9404)/100,2)</f>
        <v>0</v>
      </c>
    </row>
    <row r="9405" spans="1:7" ht="15.48" thickBot="1" customHeight="1">
      <c r="A9405" s="30"/>
      <c r="B9405" s="30"/>
      <c r="C9405" s="30"/>
      <c r="D9405" s="31" t="s">
        <v>29778</v>
      </c>
      <c r="E9405" s="30"/>
      <c r="F9405" s="33">
        <f ca="1">ROUND((G9397+G9398+G9399+G9404)*(1+G2/100),2)</f>
        <v>0</v>
      </c>
      <c r="G9405" s="30"/>
    </row>
    <row r="9406" spans="1:7" ht="39.84" thickBot="1" customHeight="1">
      <c r="A9406" s="34" t="s">
        <v>29779</v>
      </c>
      <c r="B9406" s="35" t="s">
        <v>29780</v>
      </c>
      <c r="C9406" s="35" t="s">
        <v>29781</v>
      </c>
      <c r="D9406" s="36" t="s">
        <v>29782</v>
      </c>
      <c r="E9406" s="37"/>
      <c r="F9406" s="38">
        <f ca="1">F9416</f>
        <v>0</v>
      </c>
      <c r="G9406" s="37"/>
    </row>
    <row r="9407" spans="1:7" ht="67.56" thickBot="1" customHeight="1">
      <c r="A9407" s="26"/>
      <c r="B9407" s="26"/>
      <c r="C9407" s="26"/>
      <c r="D9407" s="25" t="s">
        <v>29783</v>
      </c>
      <c r="E9407" s="25"/>
      <c r="F9407" s="25"/>
      <c r="G9407" s="25"/>
    </row>
    <row r="9408" spans="1:7" ht="39.84" thickBot="1" customHeight="1">
      <c r="A9408" s="24" t="s">
        <v>29784</v>
      </c>
      <c r="B9408" s="24" t="s">
        <v>29785</v>
      </c>
      <c r="C9408" s="24" t="s">
        <v>29786</v>
      </c>
      <c r="D9408" s="25" t="s">
        <v>29787</v>
      </c>
      <c r="E9408" s="28">
        <v>0.04200</v>
      </c>
      <c r="F9408" s="29">
        <f ca="1">ROUND(44.840,3)</f>
        <v>0</v>
      </c>
      <c r="G9408" s="27">
        <f ca="1">ROUND(E9408*F9408,2)</f>
        <v>0</v>
      </c>
    </row>
    <row r="9409" spans="1:7" ht="58.32" thickBot="1" customHeight="1">
      <c r="A9409" s="24" t="s">
        <v>29788</v>
      </c>
      <c r="B9409" s="24" t="s">
        <v>29789</v>
      </c>
      <c r="C9409" s="24" t="s">
        <v>29790</v>
      </c>
      <c r="D9409" s="25" t="s">
        <v>29791</v>
      </c>
      <c r="E9409" s="28">
        <v>0.13330</v>
      </c>
      <c r="F9409" s="29">
        <f ca="1">ROUND(39.900,3)</f>
        <v>0</v>
      </c>
      <c r="G9409" s="27">
        <f ca="1">ROUND(E9409*F9409,2)</f>
        <v>0</v>
      </c>
    </row>
    <row r="9410" spans="1:7" ht="21.36" thickBot="1" customHeight="1">
      <c r="A9410" s="24" t="s">
        <v>29792</v>
      </c>
      <c r="B9410" s="24" t="s">
        <v>29793</v>
      </c>
      <c r="C9410" s="24" t="s">
        <v>29794</v>
      </c>
      <c r="D9410" s="25" t="s">
        <v>29795</v>
      </c>
      <c r="E9410" s="28">
        <v>0.53000</v>
      </c>
      <c r="F9410" s="29">
        <f ca="1">F9414</f>
        <v>0</v>
      </c>
      <c r="G9410" s="27">
        <f ca="1">ROUND(E9410*F9410,2)</f>
        <v>0</v>
      </c>
    </row>
    <row r="9411" spans="1:7" ht="24.36" thickBot="1" customHeight="1">
      <c r="A9411" s="24" t="s">
        <v>29796</v>
      </c>
      <c r="B9411" s="24" t="s">
        <v>29797</v>
      </c>
      <c r="C9411" s="24" t="s">
        <v>29798</v>
      </c>
      <c r="D9411" s="25" t="s">
        <v>29799</v>
      </c>
      <c r="E9411" s="28">
        <v>1.00000</v>
      </c>
      <c r="F9411" s="29">
        <f ca="1">ROUND(21.000,3)</f>
        <v>0</v>
      </c>
      <c r="G9411" s="27">
        <f ca="1">ROUND(E9411*F9411,2)</f>
        <v>0</v>
      </c>
    </row>
    <row r="9412" spans="1:7" ht="24.36" thickBot="1" customHeight="1">
      <c r="A9412" s="24" t="s">
        <v>29800</v>
      </c>
      <c r="B9412" s="24" t="s">
        <v>29801</v>
      </c>
      <c r="C9412" s="24" t="s">
        <v>29802</v>
      </c>
      <c r="D9412" s="25" t="s">
        <v>29803</v>
      </c>
      <c r="E9412" s="28">
        <v>1.00000</v>
      </c>
      <c r="F9412" s="29">
        <f ca="1">ROUND(19.000,3)</f>
        <v>0</v>
      </c>
      <c r="G9412" s="27">
        <f ca="1">ROUND(E9412*F9412,2)</f>
        <v>0</v>
      </c>
    </row>
    <row r="9413" spans="1:7" ht="24.36" thickBot="1" customHeight="1">
      <c r="A9413" s="24" t="s">
        <v>29804</v>
      </c>
      <c r="B9413" s="24" t="s">
        <v>29805</v>
      </c>
      <c r="C9413" s="24" t="s">
        <v>29806</v>
      </c>
      <c r="D9413" s="25" t="s">
        <v>29807</v>
      </c>
      <c r="E9413" s="28">
        <v>0.20000</v>
      </c>
      <c r="F9413" s="29">
        <f ca="1">ROUND(19.000,3)</f>
        <v>0</v>
      </c>
      <c r="G9413" s="27">
        <f ca="1">ROUND(E9413*F9413,2)</f>
        <v>0</v>
      </c>
    </row>
    <row r="9414" spans="1:7" ht="15.12" thickBot="1" customHeight="1">
      <c r="A9414" s="26"/>
      <c r="B9414" s="26"/>
      <c r="C9414" s="26"/>
      <c r="D9414" s="24" t="s">
        <v>29808</v>
      </c>
      <c r="E9414" s="28">
        <v>0.53000</v>
      </c>
      <c r="F9414" s="29">
        <f ca="1">ROUND((G9411+G9412+G9413),3)</f>
        <v>0</v>
      </c>
      <c r="G9414" s="27">
        <f ca="1">ROUND(E9414*F9414,2)</f>
        <v>0</v>
      </c>
    </row>
    <row r="9415" spans="1:7" ht="15.12" thickBot="1" customHeight="1">
      <c r="A9415" s="24" t="s">
        <v>29809</v>
      </c>
      <c r="B9415" s="24"/>
      <c r="C9415" s="24" t="s">
        <v>29810</v>
      </c>
      <c r="D9415" s="25" t="s">
        <v>29811</v>
      </c>
      <c r="E9415" s="28">
        <v>3.00000</v>
      </c>
      <c r="F9415" s="29">
        <f ca="1">ROUND(23.210,3)</f>
        <v>0</v>
      </c>
      <c r="G9415" s="27">
        <f ca="1">ROUND((E9415*F9415)/100,2)</f>
        <v>0</v>
      </c>
    </row>
    <row r="9416" spans="1:7" ht="15.48" thickBot="1" customHeight="1">
      <c r="A9416" s="30"/>
      <c r="B9416" s="30"/>
      <c r="C9416" s="30"/>
      <c r="D9416" s="31" t="s">
        <v>29812</v>
      </c>
      <c r="E9416" s="30"/>
      <c r="F9416" s="33">
        <f ca="1">ROUND((G9408+G9409+G9410+G9415)*(1+G2/100),2)</f>
        <v>0</v>
      </c>
      <c r="G9416" s="30"/>
    </row>
    <row r="9417" spans="1:7" ht="21.36" thickBot="1" customHeight="1">
      <c r="A9417" s="34" t="s">
        <v>29813</v>
      </c>
      <c r="B9417" s="35" t="s">
        <v>29814</v>
      </c>
      <c r="C9417" s="35" t="s">
        <v>29815</v>
      </c>
      <c r="D9417" s="36" t="s">
        <v>29816</v>
      </c>
      <c r="E9417" s="37"/>
      <c r="F9417" s="38">
        <f ca="1">F9427</f>
        <v>0</v>
      </c>
      <c r="G9417" s="37"/>
    </row>
    <row r="9418" spans="1:7" ht="58.32" thickBot="1" customHeight="1">
      <c r="A9418" s="26"/>
      <c r="B9418" s="26"/>
      <c r="C9418" s="26"/>
      <c r="D9418" s="25" t="s">
        <v>29817</v>
      </c>
      <c r="E9418" s="25"/>
      <c r="F9418" s="25"/>
      <c r="G9418" s="25"/>
    </row>
    <row r="9419" spans="1:7" ht="21.36" thickBot="1" customHeight="1">
      <c r="A9419" s="24" t="s">
        <v>29818</v>
      </c>
      <c r="B9419" s="24" t="s">
        <v>29819</v>
      </c>
      <c r="C9419" s="24" t="s">
        <v>29820</v>
      </c>
      <c r="D9419" s="25" t="s">
        <v>29821</v>
      </c>
      <c r="E9419" s="28">
        <v>0.25000</v>
      </c>
      <c r="F9419" s="29">
        <f ca="1">ROUND(81.750,3)</f>
        <v>0</v>
      </c>
      <c r="G9419" s="27">
        <f ca="1">ROUND(E9419*F9419,2)</f>
        <v>0</v>
      </c>
    </row>
    <row r="9420" spans="1:7" ht="49.08" thickBot="1" customHeight="1">
      <c r="A9420" s="24" t="s">
        <v>29822</v>
      </c>
      <c r="B9420" s="24" t="s">
        <v>29823</v>
      </c>
      <c r="C9420" s="24" t="s">
        <v>29824</v>
      </c>
      <c r="D9420" s="25" t="s">
        <v>29825</v>
      </c>
      <c r="E9420" s="28">
        <v>0.25200</v>
      </c>
      <c r="F9420" s="29">
        <f ca="1">ROUND(10.250,3)</f>
        <v>0</v>
      </c>
      <c r="G9420" s="27">
        <f ca="1">ROUND(E9420*F9420,2)</f>
        <v>0</v>
      </c>
    </row>
    <row r="9421" spans="1:7" ht="21.36" thickBot="1" customHeight="1">
      <c r="A9421" s="24" t="s">
        <v>29826</v>
      </c>
      <c r="B9421" s="24" t="s">
        <v>29827</v>
      </c>
      <c r="C9421" s="24" t="s">
        <v>29828</v>
      </c>
      <c r="D9421" s="25" t="s">
        <v>29829</v>
      </c>
      <c r="E9421" s="28">
        <v>0.37500</v>
      </c>
      <c r="F9421" s="29">
        <f ca="1">F9425</f>
        <v>0</v>
      </c>
      <c r="G9421" s="27">
        <f ca="1">ROUND(E9421*F9421,2)</f>
        <v>0</v>
      </c>
    </row>
    <row r="9422" spans="1:7" ht="24.36" thickBot="1" customHeight="1">
      <c r="A9422" s="24" t="s">
        <v>29830</v>
      </c>
      <c r="B9422" s="24" t="s">
        <v>29831</v>
      </c>
      <c r="C9422" s="24" t="s">
        <v>29832</v>
      </c>
      <c r="D9422" s="25" t="s">
        <v>29833</v>
      </c>
      <c r="E9422" s="28">
        <v>1.00000</v>
      </c>
      <c r="F9422" s="29">
        <f ca="1">ROUND(21.000,3)</f>
        <v>0</v>
      </c>
      <c r="G9422" s="27">
        <f ca="1">ROUND(E9422*F9422,2)</f>
        <v>0</v>
      </c>
    </row>
    <row r="9423" spans="1:7" ht="24.36" thickBot="1" customHeight="1">
      <c r="A9423" s="24" t="s">
        <v>29834</v>
      </c>
      <c r="B9423" s="24" t="s">
        <v>29835</v>
      </c>
      <c r="C9423" s="24" t="s">
        <v>29836</v>
      </c>
      <c r="D9423" s="25" t="s">
        <v>29837</v>
      </c>
      <c r="E9423" s="28">
        <v>1.00000</v>
      </c>
      <c r="F9423" s="29">
        <f ca="1">ROUND(19.000,3)</f>
        <v>0</v>
      </c>
      <c r="G9423" s="27">
        <f ca="1">ROUND(E9423*F9423,2)</f>
        <v>0</v>
      </c>
    </row>
    <row r="9424" spans="1:7" ht="24.36" thickBot="1" customHeight="1">
      <c r="A9424" s="24" t="s">
        <v>29838</v>
      </c>
      <c r="B9424" s="24" t="s">
        <v>29839</v>
      </c>
      <c r="C9424" s="24" t="s">
        <v>29840</v>
      </c>
      <c r="D9424" s="25" t="s">
        <v>29841</v>
      </c>
      <c r="E9424" s="28">
        <v>0.20000</v>
      </c>
      <c r="F9424" s="29">
        <f ca="1">ROUND(19.000,3)</f>
        <v>0</v>
      </c>
      <c r="G9424" s="27">
        <f ca="1">ROUND(E9424*F9424,2)</f>
        <v>0</v>
      </c>
    </row>
    <row r="9425" spans="1:7" ht="15.12" thickBot="1" customHeight="1">
      <c r="A9425" s="26"/>
      <c r="B9425" s="26"/>
      <c r="C9425" s="26"/>
      <c r="D9425" s="24" t="s">
        <v>29842</v>
      </c>
      <c r="E9425" s="28">
        <v>0.37500</v>
      </c>
      <c r="F9425" s="29">
        <f ca="1">ROUND((G9422+G9423+G9424),3)</f>
        <v>0</v>
      </c>
      <c r="G9425" s="27">
        <f ca="1">ROUND(E9425*F9425,2)</f>
        <v>0</v>
      </c>
    </row>
    <row r="9426" spans="1:7" ht="15.12" thickBot="1" customHeight="1">
      <c r="A9426" s="24" t="s">
        <v>29843</v>
      </c>
      <c r="B9426" s="24"/>
      <c r="C9426" s="24" t="s">
        <v>29844</v>
      </c>
      <c r="D9426" s="25" t="s">
        <v>29845</v>
      </c>
      <c r="E9426" s="28">
        <v>3.00000</v>
      </c>
      <c r="F9426" s="29">
        <f ca="1">ROUND(16.430,3)</f>
        <v>0</v>
      </c>
      <c r="G9426" s="27">
        <f ca="1">ROUND((E9426*F9426)/100,2)</f>
        <v>0</v>
      </c>
    </row>
    <row r="9427" spans="1:7" ht="15.48" thickBot="1" customHeight="1">
      <c r="A9427" s="30"/>
      <c r="B9427" s="30"/>
      <c r="C9427" s="30"/>
      <c r="D9427" s="31" t="s">
        <v>29846</v>
      </c>
      <c r="E9427" s="30"/>
      <c r="F9427" s="33">
        <f ca="1">ROUND((G9419+G9420+G9421+G9426)*(1+G2/100),2)</f>
        <v>0</v>
      </c>
      <c r="G9427" s="30"/>
    </row>
    <row r="9428" spans="1:7" ht="21.36" thickBot="1" customHeight="1">
      <c r="A9428" s="34" t="s">
        <v>29847</v>
      </c>
      <c r="B9428" s="35" t="s">
        <v>29848</v>
      </c>
      <c r="C9428" s="35" t="s">
        <v>29849</v>
      </c>
      <c r="D9428" s="36" t="s">
        <v>29850</v>
      </c>
      <c r="E9428" s="37"/>
      <c r="F9428" s="38">
        <f ca="1">F9438</f>
        <v>0</v>
      </c>
      <c r="G9428" s="37"/>
    </row>
    <row r="9429" spans="1:7" ht="49.08" thickBot="1" customHeight="1">
      <c r="A9429" s="26"/>
      <c r="B9429" s="26"/>
      <c r="C9429" s="26"/>
      <c r="D9429" s="25" t="s">
        <v>29851</v>
      </c>
      <c r="E9429" s="25"/>
      <c r="F9429" s="25"/>
      <c r="G9429" s="25"/>
    </row>
    <row r="9430" spans="1:7" ht="49.08" thickBot="1" customHeight="1">
      <c r="A9430" s="24" t="s">
        <v>29852</v>
      </c>
      <c r="B9430" s="24" t="s">
        <v>29853</v>
      </c>
      <c r="C9430" s="24" t="s">
        <v>29854</v>
      </c>
      <c r="D9430" s="25" t="s">
        <v>29855</v>
      </c>
      <c r="E9430" s="28">
        <v>0.17700</v>
      </c>
      <c r="F9430" s="29">
        <f ca="1">ROUND(37.920,3)</f>
        <v>0</v>
      </c>
      <c r="G9430" s="27">
        <f ca="1">ROUND(E9430*F9430,2)</f>
        <v>0</v>
      </c>
    </row>
    <row r="9431" spans="1:7" ht="39.84" thickBot="1" customHeight="1">
      <c r="A9431" s="24" t="s">
        <v>29856</v>
      </c>
      <c r="B9431" s="24" t="s">
        <v>29857</v>
      </c>
      <c r="C9431" s="24" t="s">
        <v>29858</v>
      </c>
      <c r="D9431" s="25" t="s">
        <v>29859</v>
      </c>
      <c r="E9431" s="28">
        <v>0.33330</v>
      </c>
      <c r="F9431" s="29">
        <f ca="1">ROUND(28.950,3)</f>
        <v>0</v>
      </c>
      <c r="G9431" s="27">
        <f ca="1">ROUND(E9431*F9431,2)</f>
        <v>0</v>
      </c>
    </row>
    <row r="9432" spans="1:7" ht="21.36" thickBot="1" customHeight="1">
      <c r="A9432" s="24" t="s">
        <v>29860</v>
      </c>
      <c r="B9432" s="24" t="s">
        <v>29861</v>
      </c>
      <c r="C9432" s="24" t="s">
        <v>29862</v>
      </c>
      <c r="D9432" s="25" t="s">
        <v>29863</v>
      </c>
      <c r="E9432" s="28">
        <v>0.25000</v>
      </c>
      <c r="F9432" s="29">
        <f ca="1">F9436</f>
        <v>0</v>
      </c>
      <c r="G9432" s="27">
        <f ca="1">ROUND(E9432*F9432,2)</f>
        <v>0</v>
      </c>
    </row>
    <row r="9433" spans="1:7" ht="24.36" thickBot="1" customHeight="1">
      <c r="A9433" s="24" t="s">
        <v>29864</v>
      </c>
      <c r="B9433" s="24" t="s">
        <v>29865</v>
      </c>
      <c r="C9433" s="24" t="s">
        <v>29866</v>
      </c>
      <c r="D9433" s="25" t="s">
        <v>29867</v>
      </c>
      <c r="E9433" s="28">
        <v>1.00000</v>
      </c>
      <c r="F9433" s="29">
        <f ca="1">ROUND(21.000,3)</f>
        <v>0</v>
      </c>
      <c r="G9433" s="27">
        <f ca="1">ROUND(E9433*F9433,2)</f>
        <v>0</v>
      </c>
    </row>
    <row r="9434" spans="1:7" ht="24.36" thickBot="1" customHeight="1">
      <c r="A9434" s="24" t="s">
        <v>29868</v>
      </c>
      <c r="B9434" s="24" t="s">
        <v>29869</v>
      </c>
      <c r="C9434" s="24" t="s">
        <v>29870</v>
      </c>
      <c r="D9434" s="25" t="s">
        <v>29871</v>
      </c>
      <c r="E9434" s="28">
        <v>1.00000</v>
      </c>
      <c r="F9434" s="29">
        <f ca="1">ROUND(19.000,3)</f>
        <v>0</v>
      </c>
      <c r="G9434" s="27">
        <f ca="1">ROUND(E9434*F9434,2)</f>
        <v>0</v>
      </c>
    </row>
    <row r="9435" spans="1:7" ht="24.36" thickBot="1" customHeight="1">
      <c r="A9435" s="24" t="s">
        <v>29872</v>
      </c>
      <c r="B9435" s="24" t="s">
        <v>29873</v>
      </c>
      <c r="C9435" s="24" t="s">
        <v>29874</v>
      </c>
      <c r="D9435" s="25" t="s">
        <v>29875</v>
      </c>
      <c r="E9435" s="28">
        <v>0.20000</v>
      </c>
      <c r="F9435" s="29">
        <f ca="1">ROUND(19.000,3)</f>
        <v>0</v>
      </c>
      <c r="G9435" s="27">
        <f ca="1">ROUND(E9435*F9435,2)</f>
        <v>0</v>
      </c>
    </row>
    <row r="9436" spans="1:7" ht="15.12" thickBot="1" customHeight="1">
      <c r="A9436" s="26"/>
      <c r="B9436" s="26"/>
      <c r="C9436" s="26"/>
      <c r="D9436" s="24" t="s">
        <v>29876</v>
      </c>
      <c r="E9436" s="28">
        <v>0.25000</v>
      </c>
      <c r="F9436" s="29">
        <f ca="1">ROUND((G9433+G9434+G9435),3)</f>
        <v>0</v>
      </c>
      <c r="G9436" s="27">
        <f ca="1">ROUND(E9436*F9436,2)</f>
        <v>0</v>
      </c>
    </row>
    <row r="9437" spans="1:7" ht="15.12" thickBot="1" customHeight="1">
      <c r="A9437" s="24" t="s">
        <v>29877</v>
      </c>
      <c r="B9437" s="24"/>
      <c r="C9437" s="24" t="s">
        <v>29878</v>
      </c>
      <c r="D9437" s="25" t="s">
        <v>29879</v>
      </c>
      <c r="E9437" s="28">
        <v>3.00000</v>
      </c>
      <c r="F9437" s="29">
        <f ca="1">ROUND(10.950,3)</f>
        <v>0</v>
      </c>
      <c r="G9437" s="27">
        <f ca="1">ROUND((E9437*F9437)/100,2)</f>
        <v>0</v>
      </c>
    </row>
    <row r="9438" spans="1:7" ht="15.48" thickBot="1" customHeight="1">
      <c r="A9438" s="30"/>
      <c r="B9438" s="30"/>
      <c r="C9438" s="30"/>
      <c r="D9438" s="31" t="s">
        <v>29880</v>
      </c>
      <c r="E9438" s="30"/>
      <c r="F9438" s="33">
        <f ca="1">ROUND((G9430+G9431+G9432+G9437)*(1+G2/100),2)</f>
        <v>0</v>
      </c>
      <c r="G9438" s="30"/>
    </row>
    <row r="9439" spans="1:7" ht="49.08" thickBot="1" customHeight="1">
      <c r="A9439" s="34" t="s">
        <v>29881</v>
      </c>
      <c r="B9439" s="35" t="s">
        <v>29882</v>
      </c>
      <c r="C9439" s="35" t="s">
        <v>29883</v>
      </c>
      <c r="D9439" s="36" t="s">
        <v>29884</v>
      </c>
      <c r="E9439" s="37"/>
      <c r="F9439" s="38">
        <f ca="1">F9463</f>
        <v>0</v>
      </c>
      <c r="G9439" s="37"/>
    </row>
    <row r="9440" spans="1:7" ht="261.60" thickBot="1" customHeight="1">
      <c r="A9440" s="26"/>
      <c r="B9440" s="26"/>
      <c r="C9440" s="26"/>
      <c r="D9440" s="25" t="s">
        <v>29885</v>
      </c>
      <c r="E9440" s="25"/>
      <c r="F9440" s="25"/>
      <c r="G9440" s="25"/>
    </row>
    <row r="9441" spans="1:7" ht="58.32" thickBot="1" customHeight="1">
      <c r="A9441" s="24" t="s">
        <v>29886</v>
      </c>
      <c r="B9441" s="24" t="s">
        <v>29887</v>
      </c>
      <c r="C9441" s="24" t="s">
        <v>29888</v>
      </c>
      <c r="D9441" s="25" t="s">
        <v>29889</v>
      </c>
      <c r="E9441" s="28">
        <v>1.07000</v>
      </c>
      <c r="F9441" s="29">
        <f ca="1">ROUND(15.250,3)</f>
        <v>0</v>
      </c>
      <c r="G9441" s="27">
        <f ca="1">ROUND(E9441*F9441,2)</f>
        <v>0</v>
      </c>
    </row>
    <row r="9442" spans="1:7" ht="39.84" thickBot="1" customHeight="1">
      <c r="A9442" s="24" t="s">
        <v>29890</v>
      </c>
      <c r="B9442" s="24" t="s">
        <v>29891</v>
      </c>
      <c r="C9442" s="24" t="s">
        <v>29892</v>
      </c>
      <c r="D9442" s="25" t="s">
        <v>29893</v>
      </c>
      <c r="E9442" s="28">
        <v>0.01000</v>
      </c>
      <c r="F9442" s="29">
        <f ca="1">ROUND(213.560,3)</f>
        <v>0</v>
      </c>
      <c r="G9442" s="27">
        <f ca="1">ROUND(E9442*F9442,2)</f>
        <v>0</v>
      </c>
    </row>
    <row r="9443" spans="1:7" ht="39.84" thickBot="1" customHeight="1">
      <c r="A9443" s="24" t="s">
        <v>29894</v>
      </c>
      <c r="B9443" s="24" t="s">
        <v>29895</v>
      </c>
      <c r="C9443" s="24" t="s">
        <v>29896</v>
      </c>
      <c r="D9443" s="25" t="s">
        <v>29897</v>
      </c>
      <c r="E9443" s="28">
        <v>0.05914</v>
      </c>
      <c r="F9443" s="29">
        <f ca="1">ROUND(3.350,3)</f>
        <v>0</v>
      </c>
      <c r="G9443" s="27">
        <f ca="1">ROUND(E9443*F9443,2)</f>
        <v>0</v>
      </c>
    </row>
    <row r="9444" spans="1:7" ht="39.84" thickBot="1" customHeight="1">
      <c r="A9444" s="24" t="s">
        <v>29898</v>
      </c>
      <c r="B9444" s="24" t="s">
        <v>29899</v>
      </c>
      <c r="C9444" s="24" t="s">
        <v>29900</v>
      </c>
      <c r="D9444" s="25" t="s">
        <v>29901</v>
      </c>
      <c r="E9444" s="28">
        <v>0.09677</v>
      </c>
      <c r="F9444" s="29">
        <f ca="1">ROUND(1.660,3)</f>
        <v>0</v>
      </c>
      <c r="G9444" s="27">
        <f ca="1">ROUND(E9444*F9444,2)</f>
        <v>0</v>
      </c>
    </row>
    <row r="9445" spans="1:7" ht="39.84" thickBot="1" customHeight="1">
      <c r="A9445" s="24" t="s">
        <v>29902</v>
      </c>
      <c r="B9445" s="24" t="s">
        <v>29903</v>
      </c>
      <c r="C9445" s="24" t="s">
        <v>29904</v>
      </c>
      <c r="D9445" s="25" t="s">
        <v>29905</v>
      </c>
      <c r="E9445" s="28">
        <v>0.15054</v>
      </c>
      <c r="F9445" s="29">
        <f ca="1">ROUND(4.160,3)</f>
        <v>0</v>
      </c>
      <c r="G9445" s="27">
        <f ca="1">ROUND(E9445*F9445,2)</f>
        <v>0</v>
      </c>
    </row>
    <row r="9446" spans="1:7" ht="30.60" thickBot="1" customHeight="1">
      <c r="A9446" s="24" t="s">
        <v>29906</v>
      </c>
      <c r="B9446" s="24" t="s">
        <v>29907</v>
      </c>
      <c r="C9446" s="24" t="s">
        <v>29908</v>
      </c>
      <c r="D9446" s="25" t="s">
        <v>29909</v>
      </c>
      <c r="E9446" s="28">
        <v>0.32258</v>
      </c>
      <c r="F9446" s="29">
        <f ca="1">ROUND(2.600,3)</f>
        <v>0</v>
      </c>
      <c r="G9446" s="27">
        <f ca="1">ROUND(E9446*F9446,2)</f>
        <v>0</v>
      </c>
    </row>
    <row r="9447" spans="1:7" ht="49.08" thickBot="1" customHeight="1">
      <c r="A9447" s="24" t="s">
        <v>29910</v>
      </c>
      <c r="B9447" s="24" t="s">
        <v>29911</v>
      </c>
      <c r="C9447" s="24" t="s">
        <v>29912</v>
      </c>
      <c r="D9447" s="25" t="s">
        <v>29913</v>
      </c>
      <c r="E9447" s="28">
        <v>1.50538</v>
      </c>
      <c r="F9447" s="29">
        <f ca="1">ROUND(4.610,3)</f>
        <v>0</v>
      </c>
      <c r="G9447" s="27">
        <f ca="1">ROUND(E9447*F9447,2)</f>
        <v>0</v>
      </c>
    </row>
    <row r="9448" spans="1:7" ht="49.08" thickBot="1" customHeight="1">
      <c r="A9448" s="24" t="s">
        <v>29914</v>
      </c>
      <c r="B9448" s="24" t="s">
        <v>29915</v>
      </c>
      <c r="C9448" s="24" t="s">
        <v>29916</v>
      </c>
      <c r="D9448" s="25" t="s">
        <v>29917</v>
      </c>
      <c r="E9448" s="28">
        <v>7.00000</v>
      </c>
      <c r="F9448" s="29">
        <f ca="1">ROUND(0.254,3)</f>
        <v>0</v>
      </c>
      <c r="G9448" s="27">
        <f ca="1">ROUND(E9448*F9448,2)</f>
        <v>0</v>
      </c>
    </row>
    <row r="9449" spans="1:7" ht="39.84" thickBot="1" customHeight="1">
      <c r="A9449" s="24" t="s">
        <v>29918</v>
      </c>
      <c r="B9449" s="24" t="s">
        <v>29919</v>
      </c>
      <c r="C9449" s="24" t="s">
        <v>29920</v>
      </c>
      <c r="D9449" s="25" t="s">
        <v>29921</v>
      </c>
      <c r="E9449" s="28">
        <v>0.43011</v>
      </c>
      <c r="F9449" s="29">
        <f ca="1">ROUND(3.330,3)</f>
        <v>0</v>
      </c>
      <c r="G9449" s="27">
        <f ca="1">ROUND(E9449*F9449,2)</f>
        <v>0</v>
      </c>
    </row>
    <row r="9450" spans="1:7" ht="21.36" thickBot="1" customHeight="1">
      <c r="A9450" s="24" t="s">
        <v>29922</v>
      </c>
      <c r="B9450" s="24" t="s">
        <v>29923</v>
      </c>
      <c r="C9450" s="24" t="s">
        <v>29924</v>
      </c>
      <c r="D9450" s="25" t="s">
        <v>29925</v>
      </c>
      <c r="E9450" s="28">
        <v>0.03226</v>
      </c>
      <c r="F9450" s="29">
        <f ca="1">ROUND(6.490,3)</f>
        <v>0</v>
      </c>
      <c r="G9450" s="27">
        <f ca="1">ROUND(E9450*F9450,2)</f>
        <v>0</v>
      </c>
    </row>
    <row r="9451" spans="1:7" ht="30.60" thickBot="1" customHeight="1">
      <c r="A9451" s="24" t="s">
        <v>29926</v>
      </c>
      <c r="B9451" s="24" t="s">
        <v>29927</v>
      </c>
      <c r="C9451" s="24" t="s">
        <v>29928</v>
      </c>
      <c r="D9451" s="25" t="s">
        <v>29929</v>
      </c>
      <c r="E9451" s="28">
        <v>0.32000</v>
      </c>
      <c r="F9451" s="29">
        <f ca="1">ROUND(6.320,3)</f>
        <v>0</v>
      </c>
      <c r="G9451" s="27">
        <f ca="1">ROUND(E9451*F9451,2)</f>
        <v>0</v>
      </c>
    </row>
    <row r="9452" spans="1:7" ht="30.60" thickBot="1" customHeight="1">
      <c r="A9452" s="24" t="s">
        <v>29930</v>
      </c>
      <c r="B9452" s="24" t="s">
        <v>29931</v>
      </c>
      <c r="C9452" s="24" t="s">
        <v>29932</v>
      </c>
      <c r="D9452" s="25" t="s">
        <v>29933</v>
      </c>
      <c r="E9452" s="28">
        <v>0.16000</v>
      </c>
      <c r="F9452" s="29">
        <f ca="1">ROUND(6.190,3)</f>
        <v>0</v>
      </c>
      <c r="G9452" s="27">
        <f ca="1">ROUND(E9452*F9452,2)</f>
        <v>0</v>
      </c>
    </row>
    <row r="9453" spans="1:7" ht="39.84" thickBot="1" customHeight="1">
      <c r="A9453" s="24" t="s">
        <v>29934</v>
      </c>
      <c r="B9453" s="24" t="s">
        <v>29935</v>
      </c>
      <c r="C9453" s="24" t="s">
        <v>29936</v>
      </c>
      <c r="D9453" s="25" t="s">
        <v>29937</v>
      </c>
      <c r="E9453" s="28">
        <v>0.06452</v>
      </c>
      <c r="F9453" s="29">
        <f ca="1">ROUND(8.840,3)</f>
        <v>0</v>
      </c>
      <c r="G9453" s="27">
        <f ca="1">ROUND(E9453*F9453,2)</f>
        <v>0</v>
      </c>
    </row>
    <row r="9454" spans="1:7" ht="30.60" thickBot="1" customHeight="1">
      <c r="A9454" s="24" t="s">
        <v>29938</v>
      </c>
      <c r="B9454" s="24" t="s">
        <v>29939</v>
      </c>
      <c r="C9454" s="24" t="s">
        <v>29940</v>
      </c>
      <c r="D9454" s="25" t="s">
        <v>29941</v>
      </c>
      <c r="E9454" s="28">
        <v>0.05376</v>
      </c>
      <c r="F9454" s="29">
        <f ca="1">ROUND(4.920,3)</f>
        <v>0</v>
      </c>
      <c r="G9454" s="27">
        <f ca="1">ROUND(E9454*F9454,2)</f>
        <v>0</v>
      </c>
    </row>
    <row r="9455" spans="1:7" ht="21.36" thickBot="1" customHeight="1">
      <c r="A9455" s="24" t="s">
        <v>29942</v>
      </c>
      <c r="B9455" s="24" t="s">
        <v>29943</v>
      </c>
      <c r="C9455" s="24" t="s">
        <v>29944</v>
      </c>
      <c r="D9455" s="25" t="s">
        <v>29945</v>
      </c>
      <c r="E9455" s="28">
        <v>0.20000</v>
      </c>
      <c r="F9455" s="29">
        <f ca="1">ROUND(2.000,3)</f>
        <v>0</v>
      </c>
      <c r="G9455" s="27">
        <f ca="1">ROUND(E9455*F9455,2)</f>
        <v>0</v>
      </c>
    </row>
    <row r="9456" spans="1:7" ht="24.36" thickBot="1" customHeight="1">
      <c r="A9456" s="24" t="s">
        <v>29946</v>
      </c>
      <c r="B9456" s="24" t="s">
        <v>29947</v>
      </c>
      <c r="C9456" s="24" t="s">
        <v>29948</v>
      </c>
      <c r="D9456" s="25" t="s">
        <v>29949</v>
      </c>
      <c r="E9456" s="28">
        <v>0.03226</v>
      </c>
      <c r="F9456" s="29">
        <f ca="1">ROUND(15.000,3)</f>
        <v>0</v>
      </c>
      <c r="G9456" s="27">
        <f ca="1">ROUND(E9456*F9456,2)</f>
        <v>0</v>
      </c>
    </row>
    <row r="9457" spans="1:7" ht="21.36" thickBot="1" customHeight="1">
      <c r="A9457" s="24" t="s">
        <v>29950</v>
      </c>
      <c r="B9457" s="24" t="s">
        <v>29951</v>
      </c>
      <c r="C9457" s="24" t="s">
        <v>29952</v>
      </c>
      <c r="D9457" s="25" t="s">
        <v>29953</v>
      </c>
      <c r="E9457" s="28">
        <v>0.35000</v>
      </c>
      <c r="F9457" s="29">
        <f ca="1">F9461</f>
        <v>0</v>
      </c>
      <c r="G9457" s="27">
        <f ca="1">ROUND(E9457*F9457,2)</f>
        <v>0</v>
      </c>
    </row>
    <row r="9458" spans="1:7" ht="24.36" thickBot="1" customHeight="1">
      <c r="A9458" s="24" t="s">
        <v>29954</v>
      </c>
      <c r="B9458" s="24" t="s">
        <v>29955</v>
      </c>
      <c r="C9458" s="24" t="s">
        <v>29956</v>
      </c>
      <c r="D9458" s="25" t="s">
        <v>29957</v>
      </c>
      <c r="E9458" s="28">
        <v>1.00000</v>
      </c>
      <c r="F9458" s="29">
        <f ca="1">ROUND(21.000,3)</f>
        <v>0</v>
      </c>
      <c r="G9458" s="27">
        <f ca="1">ROUND(E9458*F9458,2)</f>
        <v>0</v>
      </c>
    </row>
    <row r="9459" spans="1:7" ht="24.36" thickBot="1" customHeight="1">
      <c r="A9459" s="24" t="s">
        <v>29958</v>
      </c>
      <c r="B9459" s="24" t="s">
        <v>29959</v>
      </c>
      <c r="C9459" s="24" t="s">
        <v>29960</v>
      </c>
      <c r="D9459" s="25" t="s">
        <v>29961</v>
      </c>
      <c r="E9459" s="28">
        <v>1.00000</v>
      </c>
      <c r="F9459" s="29">
        <f ca="1">ROUND(19.000,3)</f>
        <v>0</v>
      </c>
      <c r="G9459" s="27">
        <f ca="1">ROUND(E9459*F9459,2)</f>
        <v>0</v>
      </c>
    </row>
    <row r="9460" spans="1:7" ht="24.36" thickBot="1" customHeight="1">
      <c r="A9460" s="24" t="s">
        <v>29962</v>
      </c>
      <c r="B9460" s="24" t="s">
        <v>29963</v>
      </c>
      <c r="C9460" s="24" t="s">
        <v>29964</v>
      </c>
      <c r="D9460" s="25" t="s">
        <v>29965</v>
      </c>
      <c r="E9460" s="28">
        <v>0.20000</v>
      </c>
      <c r="F9460" s="29">
        <f ca="1">ROUND(19.000,3)</f>
        <v>0</v>
      </c>
      <c r="G9460" s="27">
        <f ca="1">ROUND(E9460*F9460,2)</f>
        <v>0</v>
      </c>
    </row>
    <row r="9461" spans="1:7" ht="15.12" thickBot="1" customHeight="1">
      <c r="A9461" s="26"/>
      <c r="B9461" s="26"/>
      <c r="C9461" s="26"/>
      <c r="D9461" s="24" t="s">
        <v>29966</v>
      </c>
      <c r="E9461" s="28">
        <v>0.35000</v>
      </c>
      <c r="F9461" s="29">
        <f ca="1">ROUND((G9458+G9459+G9460),3)</f>
        <v>0</v>
      </c>
      <c r="G9461" s="27">
        <f ca="1">ROUND(E9461*F9461,2)</f>
        <v>0</v>
      </c>
    </row>
    <row r="9462" spans="1:7" ht="15.12" thickBot="1" customHeight="1">
      <c r="A9462" s="24" t="s">
        <v>29967</v>
      </c>
      <c r="B9462" s="24"/>
      <c r="C9462" s="24" t="s">
        <v>29968</v>
      </c>
      <c r="D9462" s="25" t="s">
        <v>29969</v>
      </c>
      <c r="E9462" s="28">
        <v>3.00000</v>
      </c>
      <c r="F9462" s="29">
        <f ca="1">ROUND(15.330,3)</f>
        <v>0</v>
      </c>
      <c r="G9462" s="27">
        <f ca="1">ROUND((E9462*F9462)/100,2)</f>
        <v>0</v>
      </c>
    </row>
    <row r="9463" spans="1:7" ht="15.48" thickBot="1" customHeight="1">
      <c r="A9463" s="30"/>
      <c r="B9463" s="30"/>
      <c r="C9463" s="30"/>
      <c r="D9463" s="31" t="s">
        <v>29970</v>
      </c>
      <c r="E9463" s="30"/>
      <c r="F9463" s="33">
        <f ca="1">ROUND((G9441+G9442+G9443+G9444+G9445+G9446+G9447+G9448+G9449+G9450+G9451+G9452+G9453+G9454+G9455+G9456+G9457+G9462)*(1+G2/100),2)</f>
        <v>0</v>
      </c>
      <c r="G9463" s="30"/>
    </row>
    <row r="9464" spans="1:7" ht="21.36" thickBot="1" customHeight="1">
      <c r="A9464" s="34" t="s">
        <v>29971</v>
      </c>
      <c r="B9464" s="35" t="s">
        <v>29972</v>
      </c>
      <c r="C9464" s="35" t="s">
        <v>29973</v>
      </c>
      <c r="D9464" s="36" t="s">
        <v>29974</v>
      </c>
      <c r="E9464" s="37"/>
      <c r="F9464" s="38">
        <f ca="1">F9476</f>
        <v>0</v>
      </c>
      <c r="G9464" s="37"/>
    </row>
    <row r="9465" spans="1:7" ht="21.36" thickBot="1" customHeight="1">
      <c r="A9465" s="26"/>
      <c r="B9465" s="26"/>
      <c r="C9465" s="26"/>
      <c r="D9465" s="25" t="s">
        <v>29975</v>
      </c>
      <c r="E9465" s="25"/>
      <c r="F9465" s="25"/>
      <c r="G9465" s="25"/>
    </row>
    <row r="9466" spans="1:7" ht="30.60" thickBot="1" customHeight="1">
      <c r="A9466" s="24" t="s">
        <v>29976</v>
      </c>
      <c r="B9466" s="24" t="s">
        <v>29977</v>
      </c>
      <c r="C9466" s="24" t="s">
        <v>29978</v>
      </c>
      <c r="D9466" s="25" t="s">
        <v>29979</v>
      </c>
      <c r="E9466" s="28">
        <v>1.00000</v>
      </c>
      <c r="F9466" s="29">
        <f ca="1">ROUND(14.600,3)</f>
        <v>0</v>
      </c>
      <c r="G9466" s="27">
        <f ca="1">ROUND(E9466*F9466,2)</f>
        <v>0</v>
      </c>
    </row>
    <row r="9467" spans="1:7" ht="39.84" thickBot="1" customHeight="1">
      <c r="A9467" s="24" t="s">
        <v>29980</v>
      </c>
      <c r="B9467" s="24" t="s">
        <v>29981</v>
      </c>
      <c r="C9467" s="24" t="s">
        <v>29982</v>
      </c>
      <c r="D9467" s="25" t="s">
        <v>29983</v>
      </c>
      <c r="E9467" s="28">
        <v>0.10000</v>
      </c>
      <c r="F9467" s="29">
        <f ca="1">ROUND(23.830,3)</f>
        <v>0</v>
      </c>
      <c r="G9467" s="27">
        <f ca="1">ROUND(E9467*F9467,2)</f>
        <v>0</v>
      </c>
    </row>
    <row r="9468" spans="1:7" ht="39.84" thickBot="1" customHeight="1">
      <c r="A9468" s="24" t="s">
        <v>29984</v>
      </c>
      <c r="B9468" s="24" t="s">
        <v>29985</v>
      </c>
      <c r="C9468" s="24" t="s">
        <v>29986</v>
      </c>
      <c r="D9468" s="25" t="s">
        <v>29987</v>
      </c>
      <c r="E9468" s="28">
        <v>0.50000</v>
      </c>
      <c r="F9468" s="29">
        <f ca="1">ROUND(16.670,3)</f>
        <v>0</v>
      </c>
      <c r="G9468" s="27">
        <f ca="1">ROUND(E9468*F9468,2)</f>
        <v>0</v>
      </c>
    </row>
    <row r="9469" spans="1:7" ht="30.60" thickBot="1" customHeight="1">
      <c r="A9469" s="24" t="s">
        <v>29988</v>
      </c>
      <c r="B9469" s="24" t="s">
        <v>29989</v>
      </c>
      <c r="C9469" s="24" t="s">
        <v>29990</v>
      </c>
      <c r="D9469" s="25" t="s">
        <v>29991</v>
      </c>
      <c r="E9469" s="28">
        <v>0.65000</v>
      </c>
      <c r="F9469" s="29">
        <f ca="1">ROUND(6.640,3)</f>
        <v>0</v>
      </c>
      <c r="G9469" s="27">
        <f ca="1">ROUND(E9469*F9469,2)</f>
        <v>0</v>
      </c>
    </row>
    <row r="9470" spans="1:7" ht="21.36" thickBot="1" customHeight="1">
      <c r="A9470" s="24" t="s">
        <v>29992</v>
      </c>
      <c r="B9470" s="24" t="s">
        <v>29993</v>
      </c>
      <c r="C9470" s="24" t="s">
        <v>29994</v>
      </c>
      <c r="D9470" s="25" t="s">
        <v>29995</v>
      </c>
      <c r="E9470" s="28">
        <v>1.00000</v>
      </c>
      <c r="F9470" s="29">
        <f ca="1">F9474</f>
        <v>0</v>
      </c>
      <c r="G9470" s="27">
        <f ca="1">ROUND(E9470*F9470,2)</f>
        <v>0</v>
      </c>
    </row>
    <row r="9471" spans="1:7" ht="24.36" thickBot="1" customHeight="1">
      <c r="A9471" s="24" t="s">
        <v>29996</v>
      </c>
      <c r="B9471" s="24" t="s">
        <v>29997</v>
      </c>
      <c r="C9471" s="24" t="s">
        <v>29998</v>
      </c>
      <c r="D9471" s="25" t="s">
        <v>29999</v>
      </c>
      <c r="E9471" s="28">
        <v>1.00000</v>
      </c>
      <c r="F9471" s="29">
        <f ca="1">ROUND(21.000,3)</f>
        <v>0</v>
      </c>
      <c r="G9471" s="27">
        <f ca="1">ROUND(E9471*F9471,2)</f>
        <v>0</v>
      </c>
    </row>
    <row r="9472" spans="1:7" ht="24.36" thickBot="1" customHeight="1">
      <c r="A9472" s="24" t="s">
        <v>30000</v>
      </c>
      <c r="B9472" s="24" t="s">
        <v>30001</v>
      </c>
      <c r="C9472" s="24" t="s">
        <v>30002</v>
      </c>
      <c r="D9472" s="25" t="s">
        <v>30003</v>
      </c>
      <c r="E9472" s="28">
        <v>1.00000</v>
      </c>
      <c r="F9472" s="29">
        <f ca="1">ROUND(19.000,3)</f>
        <v>0</v>
      </c>
      <c r="G9472" s="27">
        <f ca="1">ROUND(E9472*F9472,2)</f>
        <v>0</v>
      </c>
    </row>
    <row r="9473" spans="1:7" ht="24.36" thickBot="1" customHeight="1">
      <c r="A9473" s="24" t="s">
        <v>30004</v>
      </c>
      <c r="B9473" s="24" t="s">
        <v>30005</v>
      </c>
      <c r="C9473" s="24" t="s">
        <v>30006</v>
      </c>
      <c r="D9473" s="25" t="s">
        <v>30007</v>
      </c>
      <c r="E9473" s="28">
        <v>0.20000</v>
      </c>
      <c r="F9473" s="29">
        <f ca="1">ROUND(19.000,3)</f>
        <v>0</v>
      </c>
      <c r="G9473" s="27">
        <f ca="1">ROUND(E9473*F9473,2)</f>
        <v>0</v>
      </c>
    </row>
    <row r="9474" spans="1:7" ht="15.12" thickBot="1" customHeight="1">
      <c r="A9474" s="26"/>
      <c r="B9474" s="26"/>
      <c r="C9474" s="26"/>
      <c r="D9474" s="24" t="s">
        <v>30008</v>
      </c>
      <c r="E9474" s="28">
        <v>1.00000</v>
      </c>
      <c r="F9474" s="29">
        <f ca="1">ROUND((G9471+G9472+G9473),3)</f>
        <v>0</v>
      </c>
      <c r="G9474" s="27">
        <f ca="1">ROUND(E9474*F9474,2)</f>
        <v>0</v>
      </c>
    </row>
    <row r="9475" spans="1:7" ht="15.12" thickBot="1" customHeight="1">
      <c r="A9475" s="24" t="s">
        <v>30009</v>
      </c>
      <c r="B9475" s="24"/>
      <c r="C9475" s="24" t="s">
        <v>30010</v>
      </c>
      <c r="D9475" s="25" t="s">
        <v>30011</v>
      </c>
      <c r="E9475" s="28">
        <v>3.00000</v>
      </c>
      <c r="F9475" s="29">
        <f ca="1">ROUND(43.800,3)</f>
        <v>0</v>
      </c>
      <c r="G9475" s="27">
        <f ca="1">ROUND((E9475*F9475)/100,2)</f>
        <v>0</v>
      </c>
    </row>
    <row r="9476" spans="1:7" ht="15.48" thickBot="1" customHeight="1">
      <c r="A9476" s="30"/>
      <c r="B9476" s="30"/>
      <c r="C9476" s="30"/>
      <c r="D9476" s="31" t="s">
        <v>30012</v>
      </c>
      <c r="E9476" s="30"/>
      <c r="F9476" s="33">
        <f ca="1">ROUND((G9466+G9467+G9468+G9469+G9470+G9475)*(1+G2/100),2)</f>
        <v>0</v>
      </c>
      <c r="G9476" s="30"/>
    </row>
    <row r="9477" spans="1:7" ht="30.60" thickBot="1" customHeight="1">
      <c r="A9477" s="34" t="s">
        <v>30013</v>
      </c>
      <c r="B9477" s="35" t="s">
        <v>30014</v>
      </c>
      <c r="C9477" s="35" t="s">
        <v>30015</v>
      </c>
      <c r="D9477" s="36" t="s">
        <v>30016</v>
      </c>
      <c r="E9477" s="37"/>
      <c r="F9477" s="38">
        <f ca="1">F9487</f>
        <v>0</v>
      </c>
      <c r="G9477" s="37"/>
    </row>
    <row r="9478" spans="1:7" ht="30.60" thickBot="1" customHeight="1">
      <c r="A9478" s="26"/>
      <c r="B9478" s="26"/>
      <c r="C9478" s="26"/>
      <c r="D9478" s="25" t="s">
        <v>30017</v>
      </c>
      <c r="E9478" s="25"/>
      <c r="F9478" s="25"/>
      <c r="G9478" s="25"/>
    </row>
    <row r="9479" spans="1:7" ht="15.12" thickBot="1" customHeight="1">
      <c r="A9479" s="24" t="s">
        <v>30018</v>
      </c>
      <c r="B9479" s="24" t="s">
        <v>30019</v>
      </c>
      <c r="C9479" s="24" t="s">
        <v>30020</v>
      </c>
      <c r="D9479" s="25" t="s">
        <v>30021</v>
      </c>
      <c r="E9479" s="28">
        <v>1.10000</v>
      </c>
      <c r="F9479" s="29">
        <f ca="1">ROUND(49.000,3)</f>
        <v>0</v>
      </c>
      <c r="G9479" s="27">
        <f ca="1">ROUND(E9479*F9479,2)</f>
        <v>0</v>
      </c>
    </row>
    <row r="9480" spans="1:7" ht="39.84" thickBot="1" customHeight="1">
      <c r="A9480" s="24" t="s">
        <v>30022</v>
      </c>
      <c r="B9480" s="24" t="s">
        <v>30023</v>
      </c>
      <c r="C9480" s="24" t="s">
        <v>30024</v>
      </c>
      <c r="D9480" s="25" t="s">
        <v>30025</v>
      </c>
      <c r="E9480" s="28">
        <v>0.10000</v>
      </c>
      <c r="F9480" s="29">
        <f ca="1">ROUND(23.830,3)</f>
        <v>0</v>
      </c>
      <c r="G9480" s="27">
        <f ca="1">ROUND(E9480*F9480,2)</f>
        <v>0</v>
      </c>
    </row>
    <row r="9481" spans="1:7" ht="21.36" thickBot="1" customHeight="1">
      <c r="A9481" s="24" t="s">
        <v>30026</v>
      </c>
      <c r="B9481" s="24" t="s">
        <v>30027</v>
      </c>
      <c r="C9481" s="24" t="s">
        <v>30028</v>
      </c>
      <c r="D9481" s="25" t="s">
        <v>30029</v>
      </c>
      <c r="E9481" s="28">
        <v>1.00000</v>
      </c>
      <c r="F9481" s="29">
        <f ca="1">F9485</f>
        <v>0</v>
      </c>
      <c r="G9481" s="27">
        <f ca="1">ROUND(E9481*F9481,2)</f>
        <v>0</v>
      </c>
    </row>
    <row r="9482" spans="1:7" ht="24.36" thickBot="1" customHeight="1">
      <c r="A9482" s="24" t="s">
        <v>30030</v>
      </c>
      <c r="B9482" s="24" t="s">
        <v>30031</v>
      </c>
      <c r="C9482" s="24" t="s">
        <v>30032</v>
      </c>
      <c r="D9482" s="25" t="s">
        <v>30033</v>
      </c>
      <c r="E9482" s="28">
        <v>1.00000</v>
      </c>
      <c r="F9482" s="29">
        <f ca="1">ROUND(21.000,3)</f>
        <v>0</v>
      </c>
      <c r="G9482" s="27">
        <f ca="1">ROUND(E9482*F9482,2)</f>
        <v>0</v>
      </c>
    </row>
    <row r="9483" spans="1:7" ht="24.36" thickBot="1" customHeight="1">
      <c r="A9483" s="24" t="s">
        <v>30034</v>
      </c>
      <c r="B9483" s="24" t="s">
        <v>30035</v>
      </c>
      <c r="C9483" s="24" t="s">
        <v>30036</v>
      </c>
      <c r="D9483" s="25" t="s">
        <v>30037</v>
      </c>
      <c r="E9483" s="28">
        <v>1.00000</v>
      </c>
      <c r="F9483" s="29">
        <f ca="1">ROUND(19.000,3)</f>
        <v>0</v>
      </c>
      <c r="G9483" s="27">
        <f ca="1">ROUND(E9483*F9483,2)</f>
        <v>0</v>
      </c>
    </row>
    <row r="9484" spans="1:7" ht="24.36" thickBot="1" customHeight="1">
      <c r="A9484" s="24" t="s">
        <v>30038</v>
      </c>
      <c r="B9484" s="24" t="s">
        <v>30039</v>
      </c>
      <c r="C9484" s="24" t="s">
        <v>30040</v>
      </c>
      <c r="D9484" s="25" t="s">
        <v>30041</v>
      </c>
      <c r="E9484" s="28">
        <v>0.20000</v>
      </c>
      <c r="F9484" s="29">
        <f ca="1">ROUND(19.000,3)</f>
        <v>0</v>
      </c>
      <c r="G9484" s="27">
        <f ca="1">ROUND(E9484*F9484,2)</f>
        <v>0</v>
      </c>
    </row>
    <row r="9485" spans="1:7" ht="15.12" thickBot="1" customHeight="1">
      <c r="A9485" s="26"/>
      <c r="B9485" s="26"/>
      <c r="C9485" s="26"/>
      <c r="D9485" s="24" t="s">
        <v>30042</v>
      </c>
      <c r="E9485" s="28">
        <v>1.00000</v>
      </c>
      <c r="F9485" s="29">
        <f ca="1">ROUND((G9482+G9483+G9484),3)</f>
        <v>0</v>
      </c>
      <c r="G9485" s="27">
        <f ca="1">ROUND(E9485*F9485,2)</f>
        <v>0</v>
      </c>
    </row>
    <row r="9486" spans="1:7" ht="15.12" thickBot="1" customHeight="1">
      <c r="A9486" s="24" t="s">
        <v>30043</v>
      </c>
      <c r="B9486" s="24"/>
      <c r="C9486" s="24" t="s">
        <v>30044</v>
      </c>
      <c r="D9486" s="25" t="s">
        <v>30045</v>
      </c>
      <c r="E9486" s="28">
        <v>3.00000</v>
      </c>
      <c r="F9486" s="29">
        <f ca="1">ROUND(43.800,3)</f>
        <v>0</v>
      </c>
      <c r="G9486" s="27">
        <f ca="1">ROUND((E9486*F9486)/100,2)</f>
        <v>0</v>
      </c>
    </row>
    <row r="9487" spans="1:7" ht="15.48" thickBot="1" customHeight="1">
      <c r="A9487" s="30"/>
      <c r="B9487" s="30"/>
      <c r="C9487" s="30"/>
      <c r="D9487" s="31" t="s">
        <v>30046</v>
      </c>
      <c r="E9487" s="30"/>
      <c r="F9487" s="33">
        <f ca="1">ROUND((G9479+G9480+G9481+G9486)*(1+G2/100),2)</f>
        <v>0</v>
      </c>
      <c r="G9487" s="30"/>
    </row>
    <row r="9488" spans="1:7" ht="30.60" thickBot="1" customHeight="1">
      <c r="A9488" s="34" t="s">
        <v>30047</v>
      </c>
      <c r="B9488" s="35" t="s">
        <v>30048</v>
      </c>
      <c r="C9488" s="35" t="s">
        <v>30049</v>
      </c>
      <c r="D9488" s="36" t="s">
        <v>30050</v>
      </c>
      <c r="E9488" s="37"/>
      <c r="F9488" s="38">
        <f ca="1">F9498</f>
        <v>0</v>
      </c>
      <c r="G9488" s="37"/>
    </row>
    <row r="9489" spans="1:7" ht="30.60" thickBot="1" customHeight="1">
      <c r="A9489" s="26"/>
      <c r="B9489" s="26"/>
      <c r="C9489" s="26"/>
      <c r="D9489" s="25" t="s">
        <v>30051</v>
      </c>
      <c r="E9489" s="25"/>
      <c r="F9489" s="25"/>
      <c r="G9489" s="25"/>
    </row>
    <row r="9490" spans="1:7" ht="39.84" thickBot="1" customHeight="1">
      <c r="A9490" s="24" t="s">
        <v>30052</v>
      </c>
      <c r="B9490" s="24" t="s">
        <v>30053</v>
      </c>
      <c r="C9490" s="24" t="s">
        <v>30054</v>
      </c>
      <c r="D9490" s="25" t="s">
        <v>30055</v>
      </c>
      <c r="E9490" s="28">
        <v>0.05000</v>
      </c>
      <c r="F9490" s="29">
        <f ca="1">ROUND(36.060,3)</f>
        <v>0</v>
      </c>
      <c r="G9490" s="27">
        <f ca="1">ROUND(E9490*F9490,2)</f>
        <v>0</v>
      </c>
    </row>
    <row r="9491" spans="1:7" ht="30.60" thickBot="1" customHeight="1">
      <c r="A9491" s="24" t="s">
        <v>30056</v>
      </c>
      <c r="B9491" s="24" t="s">
        <v>30057</v>
      </c>
      <c r="C9491" s="24" t="s">
        <v>30058</v>
      </c>
      <c r="D9491" s="25" t="s">
        <v>30059</v>
      </c>
      <c r="E9491" s="28">
        <v>0.05000</v>
      </c>
      <c r="F9491" s="29">
        <f ca="1">ROUND(42.840,3)</f>
        <v>0</v>
      </c>
      <c r="G9491" s="27">
        <f ca="1">ROUND(E9491*F9491,2)</f>
        <v>0</v>
      </c>
    </row>
    <row r="9492" spans="1:7" ht="21.36" thickBot="1" customHeight="1">
      <c r="A9492" s="24" t="s">
        <v>30060</v>
      </c>
      <c r="B9492" s="24" t="s">
        <v>30061</v>
      </c>
      <c r="C9492" s="24" t="s">
        <v>30062</v>
      </c>
      <c r="D9492" s="25" t="s">
        <v>30063</v>
      </c>
      <c r="E9492" s="28">
        <v>0.50000</v>
      </c>
      <c r="F9492" s="29">
        <f ca="1">F9496</f>
        <v>0</v>
      </c>
      <c r="G9492" s="27">
        <f ca="1">ROUND(E9492*F9492,2)</f>
        <v>0</v>
      </c>
    </row>
    <row r="9493" spans="1:7" ht="24.36" thickBot="1" customHeight="1">
      <c r="A9493" s="24" t="s">
        <v>30064</v>
      </c>
      <c r="B9493" s="24" t="s">
        <v>30065</v>
      </c>
      <c r="C9493" s="24" t="s">
        <v>30066</v>
      </c>
      <c r="D9493" s="25" t="s">
        <v>30067</v>
      </c>
      <c r="E9493" s="28">
        <v>1.00000</v>
      </c>
      <c r="F9493" s="29">
        <f ca="1">ROUND(21.000,3)</f>
        <v>0</v>
      </c>
      <c r="G9493" s="27">
        <f ca="1">ROUND(E9493*F9493,2)</f>
        <v>0</v>
      </c>
    </row>
    <row r="9494" spans="1:7" ht="24.36" thickBot="1" customHeight="1">
      <c r="A9494" s="24" t="s">
        <v>30068</v>
      </c>
      <c r="B9494" s="24" t="s">
        <v>30069</v>
      </c>
      <c r="C9494" s="24" t="s">
        <v>30070</v>
      </c>
      <c r="D9494" s="25" t="s">
        <v>30071</v>
      </c>
      <c r="E9494" s="28">
        <v>1.00000</v>
      </c>
      <c r="F9494" s="29">
        <f ca="1">ROUND(19.000,3)</f>
        <v>0</v>
      </c>
      <c r="G9494" s="27">
        <f ca="1">ROUND(E9494*F9494,2)</f>
        <v>0</v>
      </c>
    </row>
    <row r="9495" spans="1:7" ht="24.36" thickBot="1" customHeight="1">
      <c r="A9495" s="24" t="s">
        <v>30072</v>
      </c>
      <c r="B9495" s="24" t="s">
        <v>30073</v>
      </c>
      <c r="C9495" s="24" t="s">
        <v>30074</v>
      </c>
      <c r="D9495" s="25" t="s">
        <v>30075</v>
      </c>
      <c r="E9495" s="28">
        <v>0.20000</v>
      </c>
      <c r="F9495" s="29">
        <f ca="1">ROUND(19.000,3)</f>
        <v>0</v>
      </c>
      <c r="G9495" s="27">
        <f ca="1">ROUND(E9495*F9495,2)</f>
        <v>0</v>
      </c>
    </row>
    <row r="9496" spans="1:7" ht="15.12" thickBot="1" customHeight="1">
      <c r="A9496" s="26"/>
      <c r="B9496" s="26"/>
      <c r="C9496" s="26"/>
      <c r="D9496" s="24" t="s">
        <v>30076</v>
      </c>
      <c r="E9496" s="28">
        <v>0.50000</v>
      </c>
      <c r="F9496" s="29">
        <f ca="1">ROUND((G9493+G9494+G9495),3)</f>
        <v>0</v>
      </c>
      <c r="G9496" s="27">
        <f ca="1">ROUND(E9496*F9496,2)</f>
        <v>0</v>
      </c>
    </row>
    <row r="9497" spans="1:7" ht="15.12" thickBot="1" customHeight="1">
      <c r="A9497" s="24" t="s">
        <v>30077</v>
      </c>
      <c r="B9497" s="24"/>
      <c r="C9497" s="24" t="s">
        <v>30078</v>
      </c>
      <c r="D9497" s="25" t="s">
        <v>30079</v>
      </c>
      <c r="E9497" s="28">
        <v>3.00000</v>
      </c>
      <c r="F9497" s="29">
        <f ca="1">ROUND(21.900,3)</f>
        <v>0</v>
      </c>
      <c r="G9497" s="27">
        <f ca="1">ROUND((E9497*F9497)/100,2)</f>
        <v>0</v>
      </c>
    </row>
    <row r="9498" spans="1:7" ht="15.48" thickBot="1" customHeight="1">
      <c r="A9498" s="30"/>
      <c r="B9498" s="30"/>
      <c r="C9498" s="30"/>
      <c r="D9498" s="31" t="s">
        <v>30080</v>
      </c>
      <c r="E9498" s="30"/>
      <c r="F9498" s="33">
        <f ca="1">ROUND((G9490+G9491+G9492+G9497)*(1+G2/100),2)</f>
        <v>0</v>
      </c>
      <c r="G9498" s="30"/>
    </row>
    <row r="9499" spans="1:7" ht="21.36" thickBot="1" customHeight="1">
      <c r="A9499" s="34" t="s">
        <v>30081</v>
      </c>
      <c r="B9499" s="35" t="s">
        <v>30082</v>
      </c>
      <c r="C9499" s="35" t="s">
        <v>30083</v>
      </c>
      <c r="D9499" s="36" t="s">
        <v>30084</v>
      </c>
      <c r="E9499" s="37"/>
      <c r="F9499" s="38">
        <f ca="1">F9516</f>
        <v>0</v>
      </c>
      <c r="G9499" s="37"/>
    </row>
    <row r="9500" spans="1:7" ht="12.12" thickBot="1" customHeight="1">
      <c r="A9500" s="26"/>
      <c r="B9500" s="26"/>
      <c r="C9500" s="26"/>
      <c r="D9500" s="25" t="s">
        <v>30085</v>
      </c>
      <c r="E9500" s="25"/>
      <c r="F9500" s="25"/>
      <c r="G9500" s="25"/>
    </row>
    <row r="9501" spans="1:7" ht="30.60" thickBot="1" customHeight="1">
      <c r="A9501" s="24" t="s">
        <v>30086</v>
      </c>
      <c r="B9501" s="24" t="s">
        <v>30087</v>
      </c>
      <c r="C9501" s="24" t="s">
        <v>30088</v>
      </c>
      <c r="D9501" s="25" t="s">
        <v>30089</v>
      </c>
      <c r="E9501" s="28">
        <v>0.55000</v>
      </c>
      <c r="F9501" s="29">
        <f ca="1">ROUND(20.910,3)</f>
        <v>0</v>
      </c>
      <c r="G9501" s="27">
        <f ca="1">ROUND(E9501*F9501,2)</f>
        <v>0</v>
      </c>
    </row>
    <row r="9502" spans="1:7" ht="39.84" thickBot="1" customHeight="1">
      <c r="A9502" s="24" t="s">
        <v>30090</v>
      </c>
      <c r="B9502" s="24" t="s">
        <v>30091</v>
      </c>
      <c r="C9502" s="24" t="s">
        <v>30092</v>
      </c>
      <c r="D9502" s="25" t="s">
        <v>30093</v>
      </c>
      <c r="E9502" s="28">
        <v>0.23625</v>
      </c>
      <c r="F9502" s="29">
        <f ca="1">ROUND(9.750,3)</f>
        <v>0</v>
      </c>
      <c r="G9502" s="27">
        <f ca="1">ROUND(E9502*F9502,2)</f>
        <v>0</v>
      </c>
    </row>
    <row r="9503" spans="1:7" ht="30.60" thickBot="1" customHeight="1">
      <c r="A9503" s="24" t="s">
        <v>30094</v>
      </c>
      <c r="B9503" s="24" t="s">
        <v>30095</v>
      </c>
      <c r="C9503" s="24" t="s">
        <v>30096</v>
      </c>
      <c r="D9503" s="25" t="s">
        <v>30097</v>
      </c>
      <c r="E9503" s="28">
        <v>0.70000</v>
      </c>
      <c r="F9503" s="29">
        <f ca="1">ROUND(2.920,3)</f>
        <v>0</v>
      </c>
      <c r="G9503" s="27">
        <f ca="1">ROUND(E9503*F9503,2)</f>
        <v>0</v>
      </c>
    </row>
    <row r="9504" spans="1:7" ht="30.60" thickBot="1" customHeight="1">
      <c r="A9504" s="24" t="s">
        <v>30098</v>
      </c>
      <c r="B9504" s="24" t="s">
        <v>30099</v>
      </c>
      <c r="C9504" s="24" t="s">
        <v>30100</v>
      </c>
      <c r="D9504" s="25" t="s">
        <v>30101</v>
      </c>
      <c r="E9504" s="28">
        <v>0.02222</v>
      </c>
      <c r="F9504" s="29">
        <f ca="1">ROUND(57.880,3)</f>
        <v>0</v>
      </c>
      <c r="G9504" s="27">
        <f ca="1">ROUND(E9504*F9504,2)</f>
        <v>0</v>
      </c>
    </row>
    <row r="9505" spans="1:7" ht="30.60" thickBot="1" customHeight="1">
      <c r="A9505" s="24" t="s">
        <v>30102</v>
      </c>
      <c r="B9505" s="24" t="s">
        <v>30103</v>
      </c>
      <c r="C9505" s="24" t="s">
        <v>30104</v>
      </c>
      <c r="D9505" s="25" t="s">
        <v>30105</v>
      </c>
      <c r="E9505" s="28">
        <v>0.01467</v>
      </c>
      <c r="F9505" s="29">
        <f ca="1">ROUND(20.550,3)</f>
        <v>0</v>
      </c>
      <c r="G9505" s="27">
        <f ca="1">ROUND(E9505*F9505,2)</f>
        <v>0</v>
      </c>
    </row>
    <row r="9506" spans="1:7" ht="30.60" thickBot="1" customHeight="1">
      <c r="A9506" s="24" t="s">
        <v>30106</v>
      </c>
      <c r="B9506" s="24" t="s">
        <v>30107</v>
      </c>
      <c r="C9506" s="24" t="s">
        <v>30108</v>
      </c>
      <c r="D9506" s="25" t="s">
        <v>30109</v>
      </c>
      <c r="E9506" s="28">
        <v>0.16667</v>
      </c>
      <c r="F9506" s="29">
        <f ca="1">ROUND(4.400,3)</f>
        <v>0</v>
      </c>
      <c r="G9506" s="27">
        <f ca="1">ROUND(E9506*F9506,2)</f>
        <v>0</v>
      </c>
    </row>
    <row r="9507" spans="1:7" ht="39.84" thickBot="1" customHeight="1">
      <c r="A9507" s="24" t="s">
        <v>30110</v>
      </c>
      <c r="B9507" s="24" t="s">
        <v>30111</v>
      </c>
      <c r="C9507" s="24" t="s">
        <v>30112</v>
      </c>
      <c r="D9507" s="25" t="s">
        <v>30113</v>
      </c>
      <c r="E9507" s="28">
        <v>0.01000</v>
      </c>
      <c r="F9507" s="29">
        <f ca="1">ROUND(15.090,3)</f>
        <v>0</v>
      </c>
      <c r="G9507" s="27">
        <f ca="1">ROUND(E9507*F9507,2)</f>
        <v>0</v>
      </c>
    </row>
    <row r="9508" spans="1:7" ht="30.60" thickBot="1" customHeight="1">
      <c r="A9508" s="24" t="s">
        <v>30114</v>
      </c>
      <c r="B9508" s="24" t="s">
        <v>30115</v>
      </c>
      <c r="C9508" s="24" t="s">
        <v>30116</v>
      </c>
      <c r="D9508" s="25" t="s">
        <v>30117</v>
      </c>
      <c r="E9508" s="28">
        <v>0.01578</v>
      </c>
      <c r="F9508" s="29">
        <f ca="1">ROUND(64.190,3)</f>
        <v>0</v>
      </c>
      <c r="G9508" s="27">
        <f ca="1">ROUND(E9508*F9508,2)</f>
        <v>0</v>
      </c>
    </row>
    <row r="9509" spans="1:7" ht="21.36" thickBot="1" customHeight="1">
      <c r="A9509" s="24" t="s">
        <v>30118</v>
      </c>
      <c r="B9509" s="24" t="s">
        <v>30119</v>
      </c>
      <c r="C9509" s="24" t="s">
        <v>30120</v>
      </c>
      <c r="D9509" s="25" t="s">
        <v>30121</v>
      </c>
      <c r="E9509" s="28">
        <v>0.20000</v>
      </c>
      <c r="F9509" s="29">
        <f ca="1">ROUND(2.000,3)</f>
        <v>0</v>
      </c>
      <c r="G9509" s="27">
        <f ca="1">ROUND(E9509*F9509,2)</f>
        <v>0</v>
      </c>
    </row>
    <row r="9510" spans="1:7" ht="21.36" thickBot="1" customHeight="1">
      <c r="A9510" s="24" t="s">
        <v>30122</v>
      </c>
      <c r="B9510" s="24" t="s">
        <v>30123</v>
      </c>
      <c r="C9510" s="24" t="s">
        <v>30124</v>
      </c>
      <c r="D9510" s="25" t="s">
        <v>30125</v>
      </c>
      <c r="E9510" s="28">
        <v>0.38000</v>
      </c>
      <c r="F9510" s="29">
        <f ca="1">F9514</f>
        <v>0</v>
      </c>
      <c r="G9510" s="27">
        <f ca="1">ROUND(E9510*F9510,2)</f>
        <v>0</v>
      </c>
    </row>
    <row r="9511" spans="1:7" ht="24.36" thickBot="1" customHeight="1">
      <c r="A9511" s="24" t="s">
        <v>30126</v>
      </c>
      <c r="B9511" s="24" t="s">
        <v>30127</v>
      </c>
      <c r="C9511" s="24" t="s">
        <v>30128</v>
      </c>
      <c r="D9511" s="25" t="s">
        <v>30129</v>
      </c>
      <c r="E9511" s="28">
        <v>1.00000</v>
      </c>
      <c r="F9511" s="29">
        <f ca="1">ROUND(21.000,3)</f>
        <v>0</v>
      </c>
      <c r="G9511" s="27">
        <f ca="1">ROUND(E9511*F9511,2)</f>
        <v>0</v>
      </c>
    </row>
    <row r="9512" spans="1:7" ht="24.36" thickBot="1" customHeight="1">
      <c r="A9512" s="24" t="s">
        <v>30130</v>
      </c>
      <c r="B9512" s="24" t="s">
        <v>30131</v>
      </c>
      <c r="C9512" s="24" t="s">
        <v>30132</v>
      </c>
      <c r="D9512" s="25" t="s">
        <v>30133</v>
      </c>
      <c r="E9512" s="28">
        <v>1.00000</v>
      </c>
      <c r="F9512" s="29">
        <f ca="1">ROUND(19.000,3)</f>
        <v>0</v>
      </c>
      <c r="G9512" s="27">
        <f ca="1">ROUND(E9512*F9512,2)</f>
        <v>0</v>
      </c>
    </row>
    <row r="9513" spans="1:7" ht="24.36" thickBot="1" customHeight="1">
      <c r="A9513" s="24" t="s">
        <v>30134</v>
      </c>
      <c r="B9513" s="24" t="s">
        <v>30135</v>
      </c>
      <c r="C9513" s="24" t="s">
        <v>30136</v>
      </c>
      <c r="D9513" s="25" t="s">
        <v>30137</v>
      </c>
      <c r="E9513" s="28">
        <v>0.20000</v>
      </c>
      <c r="F9513" s="29">
        <f ca="1">ROUND(19.000,3)</f>
        <v>0</v>
      </c>
      <c r="G9513" s="27">
        <f ca="1">ROUND(E9513*F9513,2)</f>
        <v>0</v>
      </c>
    </row>
    <row r="9514" spans="1:7" ht="15.12" thickBot="1" customHeight="1">
      <c r="A9514" s="26"/>
      <c r="B9514" s="26"/>
      <c r="C9514" s="26"/>
      <c r="D9514" s="24" t="s">
        <v>30138</v>
      </c>
      <c r="E9514" s="28">
        <v>0.38000</v>
      </c>
      <c r="F9514" s="29">
        <f ca="1">ROUND((G9511+G9512+G9513),3)</f>
        <v>0</v>
      </c>
      <c r="G9514" s="27">
        <f ca="1">ROUND(E9514*F9514,2)</f>
        <v>0</v>
      </c>
    </row>
    <row r="9515" spans="1:7" ht="15.12" thickBot="1" customHeight="1">
      <c r="A9515" s="24" t="s">
        <v>30139</v>
      </c>
      <c r="B9515" s="24"/>
      <c r="C9515" s="24" t="s">
        <v>30140</v>
      </c>
      <c r="D9515" s="25" t="s">
        <v>30141</v>
      </c>
      <c r="E9515" s="28">
        <v>3.00000</v>
      </c>
      <c r="F9515" s="29">
        <f ca="1">ROUND(16.640,3)</f>
        <v>0</v>
      </c>
      <c r="G9515" s="27">
        <f ca="1">ROUND((E9515*F9515)/100,2)</f>
        <v>0</v>
      </c>
    </row>
    <row r="9516" spans="1:7" ht="15.48" thickBot="1" customHeight="1">
      <c r="A9516" s="30"/>
      <c r="B9516" s="30"/>
      <c r="C9516" s="30"/>
      <c r="D9516" s="31" t="s">
        <v>30142</v>
      </c>
      <c r="E9516" s="30"/>
      <c r="F9516" s="33">
        <f ca="1">ROUND((G9501+G9502+G9503+G9504+G9505+G9506+G9507+G9508+G9509+G9510+G9515)*(1+G2/100),2)</f>
        <v>0</v>
      </c>
      <c r="G9516" s="30"/>
    </row>
    <row r="9517" spans="1:7" ht="21.36" thickBot="1" customHeight="1">
      <c r="A9517" s="34" t="s">
        <v>30143</v>
      </c>
      <c r="B9517" s="35" t="s">
        <v>30144</v>
      </c>
      <c r="C9517" s="35" t="s">
        <v>30145</v>
      </c>
      <c r="D9517" s="36" t="s">
        <v>30146</v>
      </c>
      <c r="E9517" s="37"/>
      <c r="F9517" s="38">
        <f ca="1">F9534</f>
        <v>0</v>
      </c>
      <c r="G9517" s="37"/>
    </row>
    <row r="9518" spans="1:7" ht="30.60" thickBot="1" customHeight="1">
      <c r="A9518" s="26"/>
      <c r="B9518" s="26"/>
      <c r="C9518" s="26"/>
      <c r="D9518" s="25" t="s">
        <v>30147</v>
      </c>
      <c r="E9518" s="25"/>
      <c r="F9518" s="25"/>
      <c r="G9518" s="25"/>
    </row>
    <row r="9519" spans="1:7" ht="30.60" thickBot="1" customHeight="1">
      <c r="A9519" s="24" t="s">
        <v>30148</v>
      </c>
      <c r="B9519" s="24" t="s">
        <v>30149</v>
      </c>
      <c r="C9519" s="24" t="s">
        <v>30150</v>
      </c>
      <c r="D9519" s="25" t="s">
        <v>30151</v>
      </c>
      <c r="E9519" s="28">
        <v>0.37000</v>
      </c>
      <c r="F9519" s="29">
        <f ca="1">ROUND(40.600,3)</f>
        <v>0</v>
      </c>
      <c r="G9519" s="27">
        <f ca="1">ROUND(E9519*F9519,2)</f>
        <v>0</v>
      </c>
    </row>
    <row r="9520" spans="1:7" ht="39.84" thickBot="1" customHeight="1">
      <c r="A9520" s="24" t="s">
        <v>30152</v>
      </c>
      <c r="B9520" s="24" t="s">
        <v>30153</v>
      </c>
      <c r="C9520" s="24" t="s">
        <v>30154</v>
      </c>
      <c r="D9520" s="25" t="s">
        <v>30155</v>
      </c>
      <c r="E9520" s="28">
        <v>0.23625</v>
      </c>
      <c r="F9520" s="29">
        <f ca="1">ROUND(11.340,3)</f>
        <v>0</v>
      </c>
      <c r="G9520" s="27">
        <f ca="1">ROUND(E9520*F9520,2)</f>
        <v>0</v>
      </c>
    </row>
    <row r="9521" spans="1:7" ht="39.84" thickBot="1" customHeight="1">
      <c r="A9521" s="24" t="s">
        <v>30156</v>
      </c>
      <c r="B9521" s="24" t="s">
        <v>30157</v>
      </c>
      <c r="C9521" s="24" t="s">
        <v>30158</v>
      </c>
      <c r="D9521" s="25" t="s">
        <v>30159</v>
      </c>
      <c r="E9521" s="28">
        <v>0.70000</v>
      </c>
      <c r="F9521" s="29">
        <f ca="1">ROUND(3.700,3)</f>
        <v>0</v>
      </c>
      <c r="G9521" s="27">
        <f ca="1">ROUND(E9521*F9521,2)</f>
        <v>0</v>
      </c>
    </row>
    <row r="9522" spans="1:7" ht="30.60" thickBot="1" customHeight="1">
      <c r="A9522" s="24" t="s">
        <v>30160</v>
      </c>
      <c r="B9522" s="24" t="s">
        <v>30161</v>
      </c>
      <c r="C9522" s="24" t="s">
        <v>30162</v>
      </c>
      <c r="D9522" s="25" t="s">
        <v>30163</v>
      </c>
      <c r="E9522" s="28">
        <v>0.02222</v>
      </c>
      <c r="F9522" s="29">
        <f ca="1">ROUND(57.880,3)</f>
        <v>0</v>
      </c>
      <c r="G9522" s="27">
        <f ca="1">ROUND(E9522*F9522,2)</f>
        <v>0</v>
      </c>
    </row>
    <row r="9523" spans="1:7" ht="30.60" thickBot="1" customHeight="1">
      <c r="A9523" s="24" t="s">
        <v>30164</v>
      </c>
      <c r="B9523" s="24" t="s">
        <v>30165</v>
      </c>
      <c r="C9523" s="24" t="s">
        <v>30166</v>
      </c>
      <c r="D9523" s="25" t="s">
        <v>30167</v>
      </c>
      <c r="E9523" s="28">
        <v>0.01467</v>
      </c>
      <c r="F9523" s="29">
        <f ca="1">ROUND(20.550,3)</f>
        <v>0</v>
      </c>
      <c r="G9523" s="27">
        <f ca="1">ROUND(E9523*F9523,2)</f>
        <v>0</v>
      </c>
    </row>
    <row r="9524" spans="1:7" ht="30.60" thickBot="1" customHeight="1">
      <c r="A9524" s="24" t="s">
        <v>30168</v>
      </c>
      <c r="B9524" s="24" t="s">
        <v>30169</v>
      </c>
      <c r="C9524" s="24" t="s">
        <v>30170</v>
      </c>
      <c r="D9524" s="25" t="s">
        <v>30171</v>
      </c>
      <c r="E9524" s="28">
        <v>0.16667</v>
      </c>
      <c r="F9524" s="29">
        <f ca="1">ROUND(4.400,3)</f>
        <v>0</v>
      </c>
      <c r="G9524" s="27">
        <f ca="1">ROUND(E9524*F9524,2)</f>
        <v>0</v>
      </c>
    </row>
    <row r="9525" spans="1:7" ht="39.84" thickBot="1" customHeight="1">
      <c r="A9525" s="24" t="s">
        <v>30172</v>
      </c>
      <c r="B9525" s="24" t="s">
        <v>30173</v>
      </c>
      <c r="C9525" s="24" t="s">
        <v>30174</v>
      </c>
      <c r="D9525" s="25" t="s">
        <v>30175</v>
      </c>
      <c r="E9525" s="28">
        <v>0.01000</v>
      </c>
      <c r="F9525" s="29">
        <f ca="1">ROUND(15.090,3)</f>
        <v>0</v>
      </c>
      <c r="G9525" s="27">
        <f ca="1">ROUND(E9525*F9525,2)</f>
        <v>0</v>
      </c>
    </row>
    <row r="9526" spans="1:7" ht="30.60" thickBot="1" customHeight="1">
      <c r="A9526" s="24" t="s">
        <v>30176</v>
      </c>
      <c r="B9526" s="24" t="s">
        <v>30177</v>
      </c>
      <c r="C9526" s="24" t="s">
        <v>30178</v>
      </c>
      <c r="D9526" s="25" t="s">
        <v>30179</v>
      </c>
      <c r="E9526" s="28">
        <v>0.01578</v>
      </c>
      <c r="F9526" s="29">
        <f ca="1">ROUND(64.190,3)</f>
        <v>0</v>
      </c>
      <c r="G9526" s="27">
        <f ca="1">ROUND(E9526*F9526,2)</f>
        <v>0</v>
      </c>
    </row>
    <row r="9527" spans="1:7" ht="21.36" thickBot="1" customHeight="1">
      <c r="A9527" s="24" t="s">
        <v>30180</v>
      </c>
      <c r="B9527" s="24" t="s">
        <v>30181</v>
      </c>
      <c r="C9527" s="24" t="s">
        <v>30182</v>
      </c>
      <c r="D9527" s="25" t="s">
        <v>30183</v>
      </c>
      <c r="E9527" s="28">
        <v>0.20000</v>
      </c>
      <c r="F9527" s="29">
        <f ca="1">ROUND(2.000,3)</f>
        <v>0</v>
      </c>
      <c r="G9527" s="27">
        <f ca="1">ROUND(E9527*F9527,2)</f>
        <v>0</v>
      </c>
    </row>
    <row r="9528" spans="1:7" ht="21.36" thickBot="1" customHeight="1">
      <c r="A9528" s="24" t="s">
        <v>30184</v>
      </c>
      <c r="B9528" s="24" t="s">
        <v>30185</v>
      </c>
      <c r="C9528" s="24" t="s">
        <v>30186</v>
      </c>
      <c r="D9528" s="25" t="s">
        <v>30187</v>
      </c>
      <c r="E9528" s="28">
        <v>0.40000</v>
      </c>
      <c r="F9528" s="29">
        <f ca="1">F9532</f>
        <v>0</v>
      </c>
      <c r="G9528" s="27">
        <f ca="1">ROUND(E9528*F9528,2)</f>
        <v>0</v>
      </c>
    </row>
    <row r="9529" spans="1:7" ht="24.36" thickBot="1" customHeight="1">
      <c r="A9529" s="24" t="s">
        <v>30188</v>
      </c>
      <c r="B9529" s="24" t="s">
        <v>30189</v>
      </c>
      <c r="C9529" s="24" t="s">
        <v>30190</v>
      </c>
      <c r="D9529" s="25" t="s">
        <v>30191</v>
      </c>
      <c r="E9529" s="28">
        <v>1.00000</v>
      </c>
      <c r="F9529" s="29">
        <f ca="1">ROUND(21.000,3)</f>
        <v>0</v>
      </c>
      <c r="G9529" s="27">
        <f ca="1">ROUND(E9529*F9529,2)</f>
        <v>0</v>
      </c>
    </row>
    <row r="9530" spans="1:7" ht="24.36" thickBot="1" customHeight="1">
      <c r="A9530" s="24" t="s">
        <v>30192</v>
      </c>
      <c r="B9530" s="24" t="s">
        <v>30193</v>
      </c>
      <c r="C9530" s="24" t="s">
        <v>30194</v>
      </c>
      <c r="D9530" s="25" t="s">
        <v>30195</v>
      </c>
      <c r="E9530" s="28">
        <v>1.00000</v>
      </c>
      <c r="F9530" s="29">
        <f ca="1">ROUND(19.000,3)</f>
        <v>0</v>
      </c>
      <c r="G9530" s="27">
        <f ca="1">ROUND(E9530*F9530,2)</f>
        <v>0</v>
      </c>
    </row>
    <row r="9531" spans="1:7" ht="24.36" thickBot="1" customHeight="1">
      <c r="A9531" s="24" t="s">
        <v>30196</v>
      </c>
      <c r="B9531" s="24" t="s">
        <v>30197</v>
      </c>
      <c r="C9531" s="24" t="s">
        <v>30198</v>
      </c>
      <c r="D9531" s="25" t="s">
        <v>30199</v>
      </c>
      <c r="E9531" s="28">
        <v>0.20000</v>
      </c>
      <c r="F9531" s="29">
        <f ca="1">ROUND(19.000,3)</f>
        <v>0</v>
      </c>
      <c r="G9531" s="27">
        <f ca="1">ROUND(E9531*F9531,2)</f>
        <v>0</v>
      </c>
    </row>
    <row r="9532" spans="1:7" ht="15.12" thickBot="1" customHeight="1">
      <c r="A9532" s="26"/>
      <c r="B9532" s="26"/>
      <c r="C9532" s="26"/>
      <c r="D9532" s="24" t="s">
        <v>30200</v>
      </c>
      <c r="E9532" s="28">
        <v>0.40000</v>
      </c>
      <c r="F9532" s="29">
        <f ca="1">ROUND((G9529+G9530+G9531),3)</f>
        <v>0</v>
      </c>
      <c r="G9532" s="27">
        <f ca="1">ROUND(E9532*F9532,2)</f>
        <v>0</v>
      </c>
    </row>
    <row r="9533" spans="1:7" ht="15.12" thickBot="1" customHeight="1">
      <c r="A9533" s="24" t="s">
        <v>30201</v>
      </c>
      <c r="B9533" s="24"/>
      <c r="C9533" s="24" t="s">
        <v>30202</v>
      </c>
      <c r="D9533" s="25" t="s">
        <v>30203</v>
      </c>
      <c r="E9533" s="28">
        <v>3.00000</v>
      </c>
      <c r="F9533" s="29">
        <f ca="1">ROUND(17.520,3)</f>
        <v>0</v>
      </c>
      <c r="G9533" s="27">
        <f ca="1">ROUND((E9533*F9533)/100,2)</f>
        <v>0</v>
      </c>
    </row>
    <row r="9534" spans="1:7" ht="15.48" thickBot="1" customHeight="1">
      <c r="A9534" s="30"/>
      <c r="B9534" s="30"/>
      <c r="C9534" s="30"/>
      <c r="D9534" s="31" t="s">
        <v>30204</v>
      </c>
      <c r="E9534" s="30"/>
      <c r="F9534" s="33">
        <f ca="1">ROUND((G9519+G9520+G9521+G9522+G9523+G9524+G9525+G9526+G9527+G9528+G9533)*(1+G2/100),2)</f>
        <v>0</v>
      </c>
      <c r="G9534" s="30"/>
    </row>
    <row r="9535" spans="1:7" ht="21.36" thickBot="1" customHeight="1">
      <c r="A9535" s="34" t="s">
        <v>30205</v>
      </c>
      <c r="B9535" s="35" t="s">
        <v>30206</v>
      </c>
      <c r="C9535" s="35" t="s">
        <v>30207</v>
      </c>
      <c r="D9535" s="36" t="s">
        <v>30208</v>
      </c>
      <c r="E9535" s="37"/>
      <c r="F9535" s="38">
        <f ca="1">F9552</f>
        <v>0</v>
      </c>
      <c r="G9535" s="37"/>
    </row>
    <row r="9536" spans="1:7" ht="30.60" thickBot="1" customHeight="1">
      <c r="A9536" s="26"/>
      <c r="B9536" s="26"/>
      <c r="C9536" s="26"/>
      <c r="D9536" s="25" t="s">
        <v>30209</v>
      </c>
      <c r="E9536" s="25"/>
      <c r="F9536" s="25"/>
      <c r="G9536" s="25"/>
    </row>
    <row r="9537" spans="1:7" ht="39.84" thickBot="1" customHeight="1">
      <c r="A9537" s="24" t="s">
        <v>30210</v>
      </c>
      <c r="B9537" s="24" t="s">
        <v>30211</v>
      </c>
      <c r="C9537" s="24" t="s">
        <v>30212</v>
      </c>
      <c r="D9537" s="25" t="s">
        <v>30213</v>
      </c>
      <c r="E9537" s="28">
        <v>0.37000</v>
      </c>
      <c r="F9537" s="29">
        <f ca="1">ROUND(48.890,3)</f>
        <v>0</v>
      </c>
      <c r="G9537" s="27">
        <f ca="1">ROUND(E9537*F9537,2)</f>
        <v>0</v>
      </c>
    </row>
    <row r="9538" spans="1:7" ht="39.84" thickBot="1" customHeight="1">
      <c r="A9538" s="24" t="s">
        <v>30214</v>
      </c>
      <c r="B9538" s="24" t="s">
        <v>30215</v>
      </c>
      <c r="C9538" s="24" t="s">
        <v>30216</v>
      </c>
      <c r="D9538" s="25" t="s">
        <v>30217</v>
      </c>
      <c r="E9538" s="28">
        <v>0.23625</v>
      </c>
      <c r="F9538" s="29">
        <f ca="1">ROUND(16.680,3)</f>
        <v>0</v>
      </c>
      <c r="G9538" s="27">
        <f ca="1">ROUND(E9538*F9538,2)</f>
        <v>0</v>
      </c>
    </row>
    <row r="9539" spans="1:7" ht="39.84" thickBot="1" customHeight="1">
      <c r="A9539" s="24" t="s">
        <v>30218</v>
      </c>
      <c r="B9539" s="24" t="s">
        <v>30219</v>
      </c>
      <c r="C9539" s="24" t="s">
        <v>30220</v>
      </c>
      <c r="D9539" s="25" t="s">
        <v>30221</v>
      </c>
      <c r="E9539" s="28">
        <v>0.70000</v>
      </c>
      <c r="F9539" s="29">
        <f ca="1">ROUND(5.840,3)</f>
        <v>0</v>
      </c>
      <c r="G9539" s="27">
        <f ca="1">ROUND(E9539*F9539,2)</f>
        <v>0</v>
      </c>
    </row>
    <row r="9540" spans="1:7" ht="30.60" thickBot="1" customHeight="1">
      <c r="A9540" s="24" t="s">
        <v>30222</v>
      </c>
      <c r="B9540" s="24" t="s">
        <v>30223</v>
      </c>
      <c r="C9540" s="24" t="s">
        <v>30224</v>
      </c>
      <c r="D9540" s="25" t="s">
        <v>30225</v>
      </c>
      <c r="E9540" s="28">
        <v>0.02222</v>
      </c>
      <c r="F9540" s="29">
        <f ca="1">ROUND(57.880,3)</f>
        <v>0</v>
      </c>
      <c r="G9540" s="27">
        <f ca="1">ROUND(E9540*F9540,2)</f>
        <v>0</v>
      </c>
    </row>
    <row r="9541" spans="1:7" ht="30.60" thickBot="1" customHeight="1">
      <c r="A9541" s="24" t="s">
        <v>30226</v>
      </c>
      <c r="B9541" s="24" t="s">
        <v>30227</v>
      </c>
      <c r="C9541" s="24" t="s">
        <v>30228</v>
      </c>
      <c r="D9541" s="25" t="s">
        <v>30229</v>
      </c>
      <c r="E9541" s="28">
        <v>0.01467</v>
      </c>
      <c r="F9541" s="29">
        <f ca="1">ROUND(20.550,3)</f>
        <v>0</v>
      </c>
      <c r="G9541" s="27">
        <f ca="1">ROUND(E9541*F9541,2)</f>
        <v>0</v>
      </c>
    </row>
    <row r="9542" spans="1:7" ht="30.60" thickBot="1" customHeight="1">
      <c r="A9542" s="24" t="s">
        <v>30230</v>
      </c>
      <c r="B9542" s="24" t="s">
        <v>30231</v>
      </c>
      <c r="C9542" s="24" t="s">
        <v>30232</v>
      </c>
      <c r="D9542" s="25" t="s">
        <v>30233</v>
      </c>
      <c r="E9542" s="28">
        <v>0.16667</v>
      </c>
      <c r="F9542" s="29">
        <f ca="1">ROUND(4.400,3)</f>
        <v>0</v>
      </c>
      <c r="G9542" s="27">
        <f ca="1">ROUND(E9542*F9542,2)</f>
        <v>0</v>
      </c>
    </row>
    <row r="9543" spans="1:7" ht="39.84" thickBot="1" customHeight="1">
      <c r="A9543" s="24" t="s">
        <v>30234</v>
      </c>
      <c r="B9543" s="24" t="s">
        <v>30235</v>
      </c>
      <c r="C9543" s="24" t="s">
        <v>30236</v>
      </c>
      <c r="D9543" s="25" t="s">
        <v>30237</v>
      </c>
      <c r="E9543" s="28">
        <v>0.01000</v>
      </c>
      <c r="F9543" s="29">
        <f ca="1">ROUND(15.090,3)</f>
        <v>0</v>
      </c>
      <c r="G9543" s="27">
        <f ca="1">ROUND(E9543*F9543,2)</f>
        <v>0</v>
      </c>
    </row>
    <row r="9544" spans="1:7" ht="30.60" thickBot="1" customHeight="1">
      <c r="A9544" s="24" t="s">
        <v>30238</v>
      </c>
      <c r="B9544" s="24" t="s">
        <v>30239</v>
      </c>
      <c r="C9544" s="24" t="s">
        <v>30240</v>
      </c>
      <c r="D9544" s="25" t="s">
        <v>30241</v>
      </c>
      <c r="E9544" s="28">
        <v>0.01578</v>
      </c>
      <c r="F9544" s="29">
        <f ca="1">ROUND(64.190,3)</f>
        <v>0</v>
      </c>
      <c r="G9544" s="27">
        <f ca="1">ROUND(E9544*F9544,2)</f>
        <v>0</v>
      </c>
    </row>
    <row r="9545" spans="1:7" ht="21.36" thickBot="1" customHeight="1">
      <c r="A9545" s="24" t="s">
        <v>30242</v>
      </c>
      <c r="B9545" s="24" t="s">
        <v>30243</v>
      </c>
      <c r="C9545" s="24" t="s">
        <v>30244</v>
      </c>
      <c r="D9545" s="25" t="s">
        <v>30245</v>
      </c>
      <c r="E9545" s="28">
        <v>0.20000</v>
      </c>
      <c r="F9545" s="29">
        <f ca="1">ROUND(2.000,3)</f>
        <v>0</v>
      </c>
      <c r="G9545" s="27">
        <f ca="1">ROUND(E9545*F9545,2)</f>
        <v>0</v>
      </c>
    </row>
    <row r="9546" spans="1:7" ht="21.36" thickBot="1" customHeight="1">
      <c r="A9546" s="24" t="s">
        <v>30246</v>
      </c>
      <c r="B9546" s="24" t="s">
        <v>30247</v>
      </c>
      <c r="C9546" s="24" t="s">
        <v>30248</v>
      </c>
      <c r="D9546" s="25" t="s">
        <v>30249</v>
      </c>
      <c r="E9546" s="28">
        <v>0.44000</v>
      </c>
      <c r="F9546" s="29">
        <f ca="1">F9550</f>
        <v>0</v>
      </c>
      <c r="G9546" s="27">
        <f ca="1">ROUND(E9546*F9546,2)</f>
        <v>0</v>
      </c>
    </row>
    <row r="9547" spans="1:7" ht="24.36" thickBot="1" customHeight="1">
      <c r="A9547" s="24" t="s">
        <v>30250</v>
      </c>
      <c r="B9547" s="24" t="s">
        <v>30251</v>
      </c>
      <c r="C9547" s="24" t="s">
        <v>30252</v>
      </c>
      <c r="D9547" s="25" t="s">
        <v>30253</v>
      </c>
      <c r="E9547" s="28">
        <v>1.00000</v>
      </c>
      <c r="F9547" s="29">
        <f ca="1">ROUND(21.000,3)</f>
        <v>0</v>
      </c>
      <c r="G9547" s="27">
        <f ca="1">ROUND(E9547*F9547,2)</f>
        <v>0</v>
      </c>
    </row>
    <row r="9548" spans="1:7" ht="24.36" thickBot="1" customHeight="1">
      <c r="A9548" s="24" t="s">
        <v>30254</v>
      </c>
      <c r="B9548" s="24" t="s">
        <v>30255</v>
      </c>
      <c r="C9548" s="24" t="s">
        <v>30256</v>
      </c>
      <c r="D9548" s="25" t="s">
        <v>30257</v>
      </c>
      <c r="E9548" s="28">
        <v>1.00000</v>
      </c>
      <c r="F9548" s="29">
        <f ca="1">ROUND(19.000,3)</f>
        <v>0</v>
      </c>
      <c r="G9548" s="27">
        <f ca="1">ROUND(E9548*F9548,2)</f>
        <v>0</v>
      </c>
    </row>
    <row r="9549" spans="1:7" ht="24.36" thickBot="1" customHeight="1">
      <c r="A9549" s="24" t="s">
        <v>30258</v>
      </c>
      <c r="B9549" s="24" t="s">
        <v>30259</v>
      </c>
      <c r="C9549" s="24" t="s">
        <v>30260</v>
      </c>
      <c r="D9549" s="25" t="s">
        <v>30261</v>
      </c>
      <c r="E9549" s="28">
        <v>0.20000</v>
      </c>
      <c r="F9549" s="29">
        <f ca="1">ROUND(19.000,3)</f>
        <v>0</v>
      </c>
      <c r="G9549" s="27">
        <f ca="1">ROUND(E9549*F9549,2)</f>
        <v>0</v>
      </c>
    </row>
    <row r="9550" spans="1:7" ht="15.12" thickBot="1" customHeight="1">
      <c r="A9550" s="26"/>
      <c r="B9550" s="26"/>
      <c r="C9550" s="26"/>
      <c r="D9550" s="24" t="s">
        <v>30262</v>
      </c>
      <c r="E9550" s="28">
        <v>0.44000</v>
      </c>
      <c r="F9550" s="29">
        <f ca="1">ROUND((G9547+G9548+G9549),3)</f>
        <v>0</v>
      </c>
      <c r="G9550" s="27">
        <f ca="1">ROUND(E9550*F9550,2)</f>
        <v>0</v>
      </c>
    </row>
    <row r="9551" spans="1:7" ht="15.12" thickBot="1" customHeight="1">
      <c r="A9551" s="24" t="s">
        <v>30263</v>
      </c>
      <c r="B9551" s="24"/>
      <c r="C9551" s="24" t="s">
        <v>30264</v>
      </c>
      <c r="D9551" s="25" t="s">
        <v>30265</v>
      </c>
      <c r="E9551" s="28">
        <v>3.00000</v>
      </c>
      <c r="F9551" s="29">
        <f ca="1">ROUND(19.270,3)</f>
        <v>0</v>
      </c>
      <c r="G9551" s="27">
        <f ca="1">ROUND((E9551*F9551)/100,2)</f>
        <v>0</v>
      </c>
    </row>
    <row r="9552" spans="1:7" ht="15.48" thickBot="1" customHeight="1">
      <c r="A9552" s="30"/>
      <c r="B9552" s="30"/>
      <c r="C9552" s="30"/>
      <c r="D9552" s="31" t="s">
        <v>30266</v>
      </c>
      <c r="E9552" s="30"/>
      <c r="F9552" s="33">
        <f ca="1">ROUND((G9537+G9538+G9539+G9540+G9541+G9542+G9543+G9544+G9545+G9546+G9551)*(1+G2/100),2)</f>
        <v>0</v>
      </c>
      <c r="G9552" s="30"/>
    </row>
    <row r="9553" spans="1:7" ht="30.60" thickBot="1" customHeight="1">
      <c r="A9553" s="34" t="s">
        <v>30267</v>
      </c>
      <c r="B9553" s="35" t="s">
        <v>30268</v>
      </c>
      <c r="C9553" s="35" t="s">
        <v>30269</v>
      </c>
      <c r="D9553" s="36" t="s">
        <v>30270</v>
      </c>
      <c r="E9553" s="37"/>
      <c r="F9553" s="38">
        <f ca="1">F9565</f>
        <v>0</v>
      </c>
      <c r="G9553" s="37"/>
    </row>
    <row r="9554" spans="1:7" ht="21.36" thickBot="1" customHeight="1">
      <c r="A9554" s="26"/>
      <c r="B9554" s="26"/>
      <c r="C9554" s="26"/>
      <c r="D9554" s="25" t="s">
        <v>30271</v>
      </c>
      <c r="E9554" s="25"/>
      <c r="F9554" s="25"/>
      <c r="G9554" s="25"/>
    </row>
    <row r="9555" spans="1:7" ht="21.36" thickBot="1" customHeight="1">
      <c r="A9555" s="24" t="s">
        <v>30272</v>
      </c>
      <c r="B9555" s="24" t="s">
        <v>30273</v>
      </c>
      <c r="C9555" s="24" t="s">
        <v>30274</v>
      </c>
      <c r="D9555" s="25" t="s">
        <v>30275</v>
      </c>
      <c r="E9555" s="28">
        <v>0.60000</v>
      </c>
      <c r="F9555" s="29">
        <f ca="1">ROUND(18.150,3)</f>
        <v>0</v>
      </c>
      <c r="G9555" s="27">
        <f ca="1">ROUND(E9555*F9555,2)</f>
        <v>0</v>
      </c>
    </row>
    <row r="9556" spans="1:7" ht="21.36" thickBot="1" customHeight="1">
      <c r="A9556" s="24" t="s">
        <v>30276</v>
      </c>
      <c r="B9556" s="24" t="s">
        <v>30277</v>
      </c>
      <c r="C9556" s="24" t="s">
        <v>30278</v>
      </c>
      <c r="D9556" s="25" t="s">
        <v>30279</v>
      </c>
      <c r="E9556" s="28">
        <v>0.60000</v>
      </c>
      <c r="F9556" s="29">
        <f ca="1">ROUND(9.350,3)</f>
        <v>0</v>
      </c>
      <c r="G9556" s="27">
        <f ca="1">ROUND(E9556*F9556,2)</f>
        <v>0</v>
      </c>
    </row>
    <row r="9557" spans="1:7" ht="21.36" thickBot="1" customHeight="1">
      <c r="A9557" s="24" t="s">
        <v>30280</v>
      </c>
      <c r="B9557" s="24" t="s">
        <v>30281</v>
      </c>
      <c r="C9557" s="24" t="s">
        <v>30282</v>
      </c>
      <c r="D9557" s="25" t="s">
        <v>30283</v>
      </c>
      <c r="E9557" s="28">
        <v>0.00010</v>
      </c>
      <c r="F9557" s="29">
        <f ca="1">ROUND(1.140,3)</f>
        <v>0</v>
      </c>
      <c r="G9557" s="27">
        <f ca="1">ROUND(E9557*F9557,2)</f>
        <v>0</v>
      </c>
    </row>
    <row r="9558" spans="1:7" ht="21.36" thickBot="1" customHeight="1">
      <c r="A9558" s="24" t="s">
        <v>30284</v>
      </c>
      <c r="B9558" s="24" t="s">
        <v>30285</v>
      </c>
      <c r="C9558" s="24" t="s">
        <v>30286</v>
      </c>
      <c r="D9558" s="25" t="s">
        <v>30287</v>
      </c>
      <c r="E9558" s="28">
        <v>0.10000</v>
      </c>
      <c r="F9558" s="29">
        <f ca="1">ROUND(8.500,3)</f>
        <v>0</v>
      </c>
      <c r="G9558" s="27">
        <f ca="1">ROUND(E9558*F9558,2)</f>
        <v>0</v>
      </c>
    </row>
    <row r="9559" spans="1:7" ht="21.36" thickBot="1" customHeight="1">
      <c r="A9559" s="24" t="s">
        <v>30288</v>
      </c>
      <c r="B9559" s="24" t="s">
        <v>30289</v>
      </c>
      <c r="C9559" s="24" t="s">
        <v>30290</v>
      </c>
      <c r="D9559" s="25" t="s">
        <v>30291</v>
      </c>
      <c r="E9559" s="28">
        <v>0.44400</v>
      </c>
      <c r="F9559" s="29">
        <f ca="1">F9563</f>
        <v>0</v>
      </c>
      <c r="G9559" s="27">
        <f ca="1">ROUND(E9559*F9559,2)</f>
        <v>0</v>
      </c>
    </row>
    <row r="9560" spans="1:7" ht="24.36" thickBot="1" customHeight="1">
      <c r="A9560" s="24" t="s">
        <v>30292</v>
      </c>
      <c r="B9560" s="24" t="s">
        <v>30293</v>
      </c>
      <c r="C9560" s="24" t="s">
        <v>30294</v>
      </c>
      <c r="D9560" s="25" t="s">
        <v>30295</v>
      </c>
      <c r="E9560" s="28">
        <v>1.00000</v>
      </c>
      <c r="F9560" s="29">
        <f ca="1">ROUND(21.000,3)</f>
        <v>0</v>
      </c>
      <c r="G9560" s="27">
        <f ca="1">ROUND(E9560*F9560,2)</f>
        <v>0</v>
      </c>
    </row>
    <row r="9561" spans="1:7" ht="24.36" thickBot="1" customHeight="1">
      <c r="A9561" s="24" t="s">
        <v>30296</v>
      </c>
      <c r="B9561" s="24" t="s">
        <v>30297</v>
      </c>
      <c r="C9561" s="24" t="s">
        <v>30298</v>
      </c>
      <c r="D9561" s="25" t="s">
        <v>30299</v>
      </c>
      <c r="E9561" s="28">
        <v>1.00000</v>
      </c>
      <c r="F9561" s="29">
        <f ca="1">ROUND(19.000,3)</f>
        <v>0</v>
      </c>
      <c r="G9561" s="27">
        <f ca="1">ROUND(E9561*F9561,2)</f>
        <v>0</v>
      </c>
    </row>
    <row r="9562" spans="1:7" ht="24.36" thickBot="1" customHeight="1">
      <c r="A9562" s="24" t="s">
        <v>30300</v>
      </c>
      <c r="B9562" s="24" t="s">
        <v>30301</v>
      </c>
      <c r="C9562" s="24" t="s">
        <v>30302</v>
      </c>
      <c r="D9562" s="25" t="s">
        <v>30303</v>
      </c>
      <c r="E9562" s="28">
        <v>0.20000</v>
      </c>
      <c r="F9562" s="29">
        <f ca="1">ROUND(19.000,3)</f>
        <v>0</v>
      </c>
      <c r="G9562" s="27">
        <f ca="1">ROUND(E9562*F9562,2)</f>
        <v>0</v>
      </c>
    </row>
    <row r="9563" spans="1:7" ht="15.12" thickBot="1" customHeight="1">
      <c r="A9563" s="26"/>
      <c r="B9563" s="26"/>
      <c r="C9563" s="26"/>
      <c r="D9563" s="24" t="s">
        <v>30304</v>
      </c>
      <c r="E9563" s="28">
        <v>0.44400</v>
      </c>
      <c r="F9563" s="29">
        <f ca="1">ROUND((G9560+G9561+G9562),3)</f>
        <v>0</v>
      </c>
      <c r="G9563" s="27">
        <f ca="1">ROUND(E9563*F9563,2)</f>
        <v>0</v>
      </c>
    </row>
    <row r="9564" spans="1:7" ht="15.12" thickBot="1" customHeight="1">
      <c r="A9564" s="24" t="s">
        <v>30305</v>
      </c>
      <c r="B9564" s="24"/>
      <c r="C9564" s="24" t="s">
        <v>30306</v>
      </c>
      <c r="D9564" s="25" t="s">
        <v>30307</v>
      </c>
      <c r="E9564" s="28">
        <v>3.00000</v>
      </c>
      <c r="F9564" s="29">
        <f ca="1">ROUND(19.450,3)</f>
        <v>0</v>
      </c>
      <c r="G9564" s="27">
        <f ca="1">ROUND((E9564*F9564)/100,2)</f>
        <v>0</v>
      </c>
    </row>
    <row r="9565" spans="1:7" ht="15.48" thickBot="1" customHeight="1">
      <c r="A9565" s="30"/>
      <c r="B9565" s="30"/>
      <c r="C9565" s="30"/>
      <c r="D9565" s="31" t="s">
        <v>30308</v>
      </c>
      <c r="E9565" s="30"/>
      <c r="F9565" s="33">
        <f ca="1">ROUND((G9555+G9556+G9557+G9558+G9559+G9564)*(1+G2/100),2)</f>
        <v>0</v>
      </c>
      <c r="G9565" s="30"/>
    </row>
    <row r="9566" spans="1:7" ht="49.08" thickBot="1" customHeight="1">
      <c r="A9566" s="34" t="s">
        <v>30309</v>
      </c>
      <c r="B9566" s="35" t="s">
        <v>30310</v>
      </c>
      <c r="C9566" s="35" t="s">
        <v>30311</v>
      </c>
      <c r="D9566" s="36" t="s">
        <v>30312</v>
      </c>
      <c r="E9566" s="37"/>
      <c r="F9566" s="38">
        <f ca="1">F9577</f>
        <v>0</v>
      </c>
      <c r="G9566" s="37"/>
    </row>
    <row r="9567" spans="1:7" ht="58.32" thickBot="1" customHeight="1">
      <c r="A9567" s="26"/>
      <c r="B9567" s="26"/>
      <c r="C9567" s="26"/>
      <c r="D9567" s="25" t="s">
        <v>30313</v>
      </c>
      <c r="E9567" s="25"/>
      <c r="F9567" s="25"/>
      <c r="G9567" s="25"/>
    </row>
    <row r="9568" spans="1:7" ht="30.60" thickBot="1" customHeight="1">
      <c r="A9568" s="24" t="s">
        <v>30314</v>
      </c>
      <c r="B9568" s="24" t="s">
        <v>30315</v>
      </c>
      <c r="C9568" s="24" t="s">
        <v>30316</v>
      </c>
      <c r="D9568" s="25" t="s">
        <v>30317</v>
      </c>
      <c r="E9568" s="28">
        <v>0.60000</v>
      </c>
      <c r="F9568" s="29">
        <f ca="1">ROUND(10.970,3)</f>
        <v>0</v>
      </c>
      <c r="G9568" s="27">
        <f ca="1">ROUND(E9568*F9568,2)</f>
        <v>0</v>
      </c>
    </row>
    <row r="9569" spans="1:7" ht="39.84" thickBot="1" customHeight="1">
      <c r="A9569" s="24" t="s">
        <v>30318</v>
      </c>
      <c r="B9569" s="24" t="s">
        <v>30319</v>
      </c>
      <c r="C9569" s="24" t="s">
        <v>30320</v>
      </c>
      <c r="D9569" s="25" t="s">
        <v>30321</v>
      </c>
      <c r="E9569" s="28">
        <v>0.22000</v>
      </c>
      <c r="F9569" s="29">
        <f ca="1">ROUND(3.740,3)</f>
        <v>0</v>
      </c>
      <c r="G9569" s="27">
        <f ca="1">ROUND(E9569*F9569,2)</f>
        <v>0</v>
      </c>
    </row>
    <row r="9570" spans="1:7" ht="21.36" thickBot="1" customHeight="1">
      <c r="A9570" s="24" t="s">
        <v>30322</v>
      </c>
      <c r="B9570" s="24" t="s">
        <v>30323</v>
      </c>
      <c r="C9570" s="24" t="s">
        <v>30324</v>
      </c>
      <c r="D9570" s="25" t="s">
        <v>30325</v>
      </c>
      <c r="E9570" s="28">
        <v>3.00000</v>
      </c>
      <c r="F9570" s="29">
        <f ca="1">ROUND(3.430,3)</f>
        <v>0</v>
      </c>
      <c r="G9570" s="27">
        <f ca="1">ROUND(E9570*F9570,2)</f>
        <v>0</v>
      </c>
    </row>
    <row r="9571" spans="1:7" ht="21.36" thickBot="1" customHeight="1">
      <c r="A9571" s="24" t="s">
        <v>30326</v>
      </c>
      <c r="B9571" s="24" t="s">
        <v>30327</v>
      </c>
      <c r="C9571" s="24" t="s">
        <v>30328</v>
      </c>
      <c r="D9571" s="25" t="s">
        <v>30329</v>
      </c>
      <c r="E9571" s="28">
        <v>0.50000</v>
      </c>
      <c r="F9571" s="29">
        <f ca="1">F9575</f>
        <v>0</v>
      </c>
      <c r="G9571" s="27">
        <f ca="1">ROUND(E9571*F9571,2)</f>
        <v>0</v>
      </c>
    </row>
    <row r="9572" spans="1:7" ht="24.36" thickBot="1" customHeight="1">
      <c r="A9572" s="24" t="s">
        <v>30330</v>
      </c>
      <c r="B9572" s="24" t="s">
        <v>30331</v>
      </c>
      <c r="C9572" s="24" t="s">
        <v>30332</v>
      </c>
      <c r="D9572" s="25" t="s">
        <v>30333</v>
      </c>
      <c r="E9572" s="28">
        <v>1.00000</v>
      </c>
      <c r="F9572" s="29">
        <f ca="1">ROUND(21.000,3)</f>
        <v>0</v>
      </c>
      <c r="G9572" s="27">
        <f ca="1">ROUND(E9572*F9572,2)</f>
        <v>0</v>
      </c>
    </row>
    <row r="9573" spans="1:7" ht="24.36" thickBot="1" customHeight="1">
      <c r="A9573" s="24" t="s">
        <v>30334</v>
      </c>
      <c r="B9573" s="24" t="s">
        <v>30335</v>
      </c>
      <c r="C9573" s="24" t="s">
        <v>30336</v>
      </c>
      <c r="D9573" s="25" t="s">
        <v>30337</v>
      </c>
      <c r="E9573" s="28">
        <v>1.00000</v>
      </c>
      <c r="F9573" s="29">
        <f ca="1">ROUND(19.000,3)</f>
        <v>0</v>
      </c>
      <c r="G9573" s="27">
        <f ca="1">ROUND(E9573*F9573,2)</f>
        <v>0</v>
      </c>
    </row>
    <row r="9574" spans="1:7" ht="24.36" thickBot="1" customHeight="1">
      <c r="A9574" s="24" t="s">
        <v>30338</v>
      </c>
      <c r="B9574" s="24" t="s">
        <v>30339</v>
      </c>
      <c r="C9574" s="24" t="s">
        <v>30340</v>
      </c>
      <c r="D9574" s="25" t="s">
        <v>30341</v>
      </c>
      <c r="E9574" s="28">
        <v>0.20000</v>
      </c>
      <c r="F9574" s="29">
        <f ca="1">ROUND(19.000,3)</f>
        <v>0</v>
      </c>
      <c r="G9574" s="27">
        <f ca="1">ROUND(E9574*F9574,2)</f>
        <v>0</v>
      </c>
    </row>
    <row r="9575" spans="1:7" ht="15.12" thickBot="1" customHeight="1">
      <c r="A9575" s="26"/>
      <c r="B9575" s="26"/>
      <c r="C9575" s="26"/>
      <c r="D9575" s="24" t="s">
        <v>30342</v>
      </c>
      <c r="E9575" s="28">
        <v>0.50000</v>
      </c>
      <c r="F9575" s="29">
        <f ca="1">ROUND((G9572+G9573+G9574),3)</f>
        <v>0</v>
      </c>
      <c r="G9575" s="27">
        <f ca="1">ROUND(E9575*F9575,2)</f>
        <v>0</v>
      </c>
    </row>
    <row r="9576" spans="1:7" ht="15.12" thickBot="1" customHeight="1">
      <c r="A9576" s="24" t="s">
        <v>30343</v>
      </c>
      <c r="B9576" s="24"/>
      <c r="C9576" s="24" t="s">
        <v>30344</v>
      </c>
      <c r="D9576" s="25" t="s">
        <v>30345</v>
      </c>
      <c r="E9576" s="28">
        <v>3.00000</v>
      </c>
      <c r="F9576" s="29">
        <f ca="1">ROUND(21.900,3)</f>
        <v>0</v>
      </c>
      <c r="G9576" s="27">
        <f ca="1">ROUND((E9576*F9576)/100,2)</f>
        <v>0</v>
      </c>
    </row>
    <row r="9577" spans="1:7" ht="15.48" thickBot="1" customHeight="1">
      <c r="A9577" s="30"/>
      <c r="B9577" s="30"/>
      <c r="C9577" s="30"/>
      <c r="D9577" s="31" t="s">
        <v>30346</v>
      </c>
      <c r="E9577" s="30"/>
      <c r="F9577" s="33">
        <f ca="1">ROUND((G9568+G9569+G9570+G9571+G9576)*(1+G2/100),2)</f>
        <v>0</v>
      </c>
      <c r="G9577" s="30"/>
    </row>
    <row r="9578" spans="1:7" ht="30.60" thickBot="1" customHeight="1">
      <c r="A9578" s="34" t="s">
        <v>30347</v>
      </c>
      <c r="B9578" s="35" t="s">
        <v>30348</v>
      </c>
      <c r="C9578" s="35" t="s">
        <v>30349</v>
      </c>
      <c r="D9578" s="36" t="s">
        <v>30350</v>
      </c>
      <c r="E9578" s="37"/>
      <c r="F9578" s="38">
        <f ca="1">F9587</f>
        <v>0</v>
      </c>
      <c r="G9578" s="37"/>
    </row>
    <row r="9579" spans="1:7" ht="12.12" thickBot="1" customHeight="1">
      <c r="A9579" s="26"/>
      <c r="B9579" s="26"/>
      <c r="C9579" s="26"/>
      <c r="D9579" s="25" t="s">
        <v>30351</v>
      </c>
      <c r="E9579" s="25"/>
      <c r="F9579" s="25"/>
      <c r="G9579" s="25"/>
    </row>
    <row r="9580" spans="1:7" ht="21.36" thickBot="1" customHeight="1">
      <c r="A9580" s="24" t="s">
        <v>30352</v>
      </c>
      <c r="B9580" s="24" t="s">
        <v>30353</v>
      </c>
      <c r="C9580" s="24" t="s">
        <v>30354</v>
      </c>
      <c r="D9580" s="25" t="s">
        <v>30355</v>
      </c>
      <c r="E9580" s="28">
        <v>1.00000</v>
      </c>
      <c r="F9580" s="29">
        <f ca="1">ROUND(195.000,3)</f>
        <v>0</v>
      </c>
      <c r="G9580" s="27">
        <f ca="1">ROUND(E9580*F9580,2)</f>
        <v>0</v>
      </c>
    </row>
    <row r="9581" spans="1:7" ht="21.36" thickBot="1" customHeight="1">
      <c r="A9581" s="24" t="s">
        <v>30356</v>
      </c>
      <c r="B9581" s="24" t="s">
        <v>30357</v>
      </c>
      <c r="C9581" s="24" t="s">
        <v>30358</v>
      </c>
      <c r="D9581" s="25" t="s">
        <v>30359</v>
      </c>
      <c r="E9581" s="28">
        <v>2.80000</v>
      </c>
      <c r="F9581" s="29">
        <f ca="1">F9585</f>
        <v>0</v>
      </c>
      <c r="G9581" s="27">
        <f ca="1">ROUND(E9581*F9581,2)</f>
        <v>0</v>
      </c>
    </row>
    <row r="9582" spans="1:7" ht="24.36" thickBot="1" customHeight="1">
      <c r="A9582" s="24" t="s">
        <v>30360</v>
      </c>
      <c r="B9582" s="24" t="s">
        <v>30361</v>
      </c>
      <c r="C9582" s="24" t="s">
        <v>30362</v>
      </c>
      <c r="D9582" s="25" t="s">
        <v>30363</v>
      </c>
      <c r="E9582" s="28">
        <v>1.00000</v>
      </c>
      <c r="F9582" s="29">
        <f ca="1">ROUND(21.000,3)</f>
        <v>0</v>
      </c>
      <c r="G9582" s="27">
        <f ca="1">ROUND(E9582*F9582,2)</f>
        <v>0</v>
      </c>
    </row>
    <row r="9583" spans="1:7" ht="24.36" thickBot="1" customHeight="1">
      <c r="A9583" s="24" t="s">
        <v>30364</v>
      </c>
      <c r="B9583" s="24" t="s">
        <v>30365</v>
      </c>
      <c r="C9583" s="24" t="s">
        <v>30366</v>
      </c>
      <c r="D9583" s="25" t="s">
        <v>30367</v>
      </c>
      <c r="E9583" s="28">
        <v>1.00000</v>
      </c>
      <c r="F9583" s="29">
        <f ca="1">ROUND(19.000,3)</f>
        <v>0</v>
      </c>
      <c r="G9583" s="27">
        <f ca="1">ROUND(E9583*F9583,2)</f>
        <v>0</v>
      </c>
    </row>
    <row r="9584" spans="1:7" ht="24.36" thickBot="1" customHeight="1">
      <c r="A9584" s="24" t="s">
        <v>30368</v>
      </c>
      <c r="B9584" s="24" t="s">
        <v>30369</v>
      </c>
      <c r="C9584" s="24" t="s">
        <v>30370</v>
      </c>
      <c r="D9584" s="25" t="s">
        <v>30371</v>
      </c>
      <c r="E9584" s="28">
        <v>0.20000</v>
      </c>
      <c r="F9584" s="29">
        <f ca="1">ROUND(19.000,3)</f>
        <v>0</v>
      </c>
      <c r="G9584" s="27">
        <f ca="1">ROUND(E9584*F9584,2)</f>
        <v>0</v>
      </c>
    </row>
    <row r="9585" spans="1:7" ht="15.12" thickBot="1" customHeight="1">
      <c r="A9585" s="26"/>
      <c r="B9585" s="26"/>
      <c r="C9585" s="26"/>
      <c r="D9585" s="24" t="s">
        <v>30372</v>
      </c>
      <c r="E9585" s="28">
        <v>2.80000</v>
      </c>
      <c r="F9585" s="29">
        <f ca="1">ROUND((G9582+G9583+G9584),3)</f>
        <v>0</v>
      </c>
      <c r="G9585" s="27">
        <f ca="1">ROUND(E9585*F9585,2)</f>
        <v>0</v>
      </c>
    </row>
    <row r="9586" spans="1:7" ht="15.12" thickBot="1" customHeight="1">
      <c r="A9586" s="24" t="s">
        <v>30373</v>
      </c>
      <c r="B9586" s="24"/>
      <c r="C9586" s="24" t="s">
        <v>30374</v>
      </c>
      <c r="D9586" s="25" t="s">
        <v>30375</v>
      </c>
      <c r="E9586" s="28">
        <v>3.00000</v>
      </c>
      <c r="F9586" s="29">
        <f ca="1">ROUND(122.640,3)</f>
        <v>0</v>
      </c>
      <c r="G9586" s="27">
        <f ca="1">ROUND((E9586*F9586)/100,2)</f>
        <v>0</v>
      </c>
    </row>
    <row r="9587" spans="1:7" ht="15.48" thickBot="1" customHeight="1">
      <c r="A9587" s="30"/>
      <c r="B9587" s="30"/>
      <c r="C9587" s="30"/>
      <c r="D9587" s="31" t="s">
        <v>30376</v>
      </c>
      <c r="E9587" s="30"/>
      <c r="F9587" s="33">
        <f ca="1">ROUND((G9580+G9581+G9586)*(1+G2/100),2)</f>
        <v>0</v>
      </c>
      <c r="G9587" s="30"/>
    </row>
    <row r="9588" spans="1:7" ht="21.36" thickBot="1" customHeight="1">
      <c r="A9588" s="34" t="s">
        <v>30377</v>
      </c>
      <c r="B9588" s="35" t="s">
        <v>30378</v>
      </c>
      <c r="C9588" s="35" t="s">
        <v>30379</v>
      </c>
      <c r="D9588" s="36" t="s">
        <v>30380</v>
      </c>
      <c r="E9588" s="37"/>
      <c r="F9588" s="38">
        <f ca="1">F9598</f>
        <v>0</v>
      </c>
      <c r="G9588" s="37"/>
    </row>
    <row r="9589" spans="1:7" ht="39.84" thickBot="1" customHeight="1">
      <c r="A9589" s="26"/>
      <c r="B9589" s="26"/>
      <c r="C9589" s="26"/>
      <c r="D9589" s="25" t="s">
        <v>30381</v>
      </c>
      <c r="E9589" s="25"/>
      <c r="F9589" s="25"/>
      <c r="G9589" s="25"/>
    </row>
    <row r="9590" spans="1:7" ht="30.60" thickBot="1" customHeight="1">
      <c r="A9590" s="24" t="s">
        <v>30382</v>
      </c>
      <c r="B9590" s="24" t="s">
        <v>30383</v>
      </c>
      <c r="C9590" s="24" t="s">
        <v>30384</v>
      </c>
      <c r="D9590" s="25" t="s">
        <v>30385</v>
      </c>
      <c r="E9590" s="28">
        <v>5.00000</v>
      </c>
      <c r="F9590" s="29">
        <f ca="1">ROUND(1.470,3)</f>
        <v>0</v>
      </c>
      <c r="G9590" s="27">
        <f ca="1">ROUND(E9590*F9590,2)</f>
        <v>0</v>
      </c>
    </row>
    <row r="9591" spans="1:7" ht="30.60" thickBot="1" customHeight="1">
      <c r="A9591" s="24" t="s">
        <v>30386</v>
      </c>
      <c r="B9591" s="24" t="s">
        <v>30387</v>
      </c>
      <c r="C9591" s="24" t="s">
        <v>30388</v>
      </c>
      <c r="D9591" s="25" t="s">
        <v>30389</v>
      </c>
      <c r="E9591" s="28">
        <v>55.00000</v>
      </c>
      <c r="F9591" s="29">
        <f ca="1">ROUND(0.780,3)</f>
        <v>0</v>
      </c>
      <c r="G9591" s="27">
        <f ca="1">ROUND(E9591*F9591,2)</f>
        <v>0</v>
      </c>
    </row>
    <row r="9592" spans="1:7" ht="21.36" thickBot="1" customHeight="1">
      <c r="A9592" s="24" t="s">
        <v>30390</v>
      </c>
      <c r="B9592" s="24" t="s">
        <v>30391</v>
      </c>
      <c r="C9592" s="24" t="s">
        <v>30392</v>
      </c>
      <c r="D9592" s="25" t="s">
        <v>30393</v>
      </c>
      <c r="E9592" s="28">
        <v>1.40000</v>
      </c>
      <c r="F9592" s="29">
        <f ca="1">F9596</f>
        <v>0</v>
      </c>
      <c r="G9592" s="27">
        <f ca="1">ROUND(E9592*F9592,2)</f>
        <v>0</v>
      </c>
    </row>
    <row r="9593" spans="1:7" ht="24.36" thickBot="1" customHeight="1">
      <c r="A9593" s="24" t="s">
        <v>30394</v>
      </c>
      <c r="B9593" s="24" t="s">
        <v>30395</v>
      </c>
      <c r="C9593" s="24" t="s">
        <v>30396</v>
      </c>
      <c r="D9593" s="25" t="s">
        <v>30397</v>
      </c>
      <c r="E9593" s="28">
        <v>1.00000</v>
      </c>
      <c r="F9593" s="29">
        <f ca="1">ROUND(21.000,3)</f>
        <v>0</v>
      </c>
      <c r="G9593" s="27">
        <f ca="1">ROUND(E9593*F9593,2)</f>
        <v>0</v>
      </c>
    </row>
    <row r="9594" spans="1:7" ht="24.36" thickBot="1" customHeight="1">
      <c r="A9594" s="24" t="s">
        <v>30398</v>
      </c>
      <c r="B9594" s="24" t="s">
        <v>30399</v>
      </c>
      <c r="C9594" s="24" t="s">
        <v>30400</v>
      </c>
      <c r="D9594" s="25" t="s">
        <v>30401</v>
      </c>
      <c r="E9594" s="28">
        <v>1.00000</v>
      </c>
      <c r="F9594" s="29">
        <f ca="1">ROUND(19.000,3)</f>
        <v>0</v>
      </c>
      <c r="G9594" s="27">
        <f ca="1">ROUND(E9594*F9594,2)</f>
        <v>0</v>
      </c>
    </row>
    <row r="9595" spans="1:7" ht="24.36" thickBot="1" customHeight="1">
      <c r="A9595" s="24" t="s">
        <v>30402</v>
      </c>
      <c r="B9595" s="24" t="s">
        <v>30403</v>
      </c>
      <c r="C9595" s="24" t="s">
        <v>30404</v>
      </c>
      <c r="D9595" s="25" t="s">
        <v>30405</v>
      </c>
      <c r="E9595" s="28">
        <v>0.20000</v>
      </c>
      <c r="F9595" s="29">
        <f ca="1">ROUND(19.000,3)</f>
        <v>0</v>
      </c>
      <c r="G9595" s="27">
        <f ca="1">ROUND(E9595*F9595,2)</f>
        <v>0</v>
      </c>
    </row>
    <row r="9596" spans="1:7" ht="15.12" thickBot="1" customHeight="1">
      <c r="A9596" s="26"/>
      <c r="B9596" s="26"/>
      <c r="C9596" s="26"/>
      <c r="D9596" s="24" t="s">
        <v>30406</v>
      </c>
      <c r="E9596" s="28">
        <v>1.40000</v>
      </c>
      <c r="F9596" s="29">
        <f ca="1">ROUND((G9593+G9594+G9595),3)</f>
        <v>0</v>
      </c>
      <c r="G9596" s="27">
        <f ca="1">ROUND(E9596*F9596,2)</f>
        <v>0</v>
      </c>
    </row>
    <row r="9597" spans="1:7" ht="15.12" thickBot="1" customHeight="1">
      <c r="A9597" s="24" t="s">
        <v>30407</v>
      </c>
      <c r="B9597" s="24"/>
      <c r="C9597" s="24" t="s">
        <v>30408</v>
      </c>
      <c r="D9597" s="25" t="s">
        <v>30409</v>
      </c>
      <c r="E9597" s="28">
        <v>3.00000</v>
      </c>
      <c r="F9597" s="29">
        <f ca="1">ROUND(61.320,3)</f>
        <v>0</v>
      </c>
      <c r="G9597" s="27">
        <f ca="1">ROUND((E9597*F9597)/100,2)</f>
        <v>0</v>
      </c>
    </row>
    <row r="9598" spans="1:7" ht="15.48" thickBot="1" customHeight="1">
      <c r="A9598" s="30"/>
      <c r="B9598" s="30"/>
      <c r="C9598" s="30"/>
      <c r="D9598" s="31" t="s">
        <v>30410</v>
      </c>
      <c r="E9598" s="30"/>
      <c r="F9598" s="33">
        <f ca="1">ROUND((G9590+G9591+G9592+G9597)*(1+G2/100),2)</f>
        <v>0</v>
      </c>
      <c r="G9598" s="30"/>
    </row>
    <row r="9599" spans="1:7" ht="21.36" thickBot="1" customHeight="1">
      <c r="A9599" s="34" t="s">
        <v>30411</v>
      </c>
      <c r="B9599" s="35" t="s">
        <v>30412</v>
      </c>
      <c r="C9599" s="35" t="s">
        <v>30413</v>
      </c>
      <c r="D9599" s="36" t="s">
        <v>30414</v>
      </c>
      <c r="E9599" s="37"/>
      <c r="F9599" s="38">
        <f ca="1">F9609</f>
        <v>0</v>
      </c>
      <c r="G9599" s="37"/>
    </row>
    <row r="9600" spans="1:7" ht="39.84" thickBot="1" customHeight="1">
      <c r="A9600" s="26"/>
      <c r="B9600" s="26"/>
      <c r="C9600" s="26"/>
      <c r="D9600" s="25" t="s">
        <v>30415</v>
      </c>
      <c r="E9600" s="25"/>
      <c r="F9600" s="25"/>
      <c r="G9600" s="25"/>
    </row>
    <row r="9601" spans="1:7" ht="30.60" thickBot="1" customHeight="1">
      <c r="A9601" s="24" t="s">
        <v>30416</v>
      </c>
      <c r="B9601" s="24" t="s">
        <v>30417</v>
      </c>
      <c r="C9601" s="24" t="s">
        <v>30418</v>
      </c>
      <c r="D9601" s="25" t="s">
        <v>30419</v>
      </c>
      <c r="E9601" s="28">
        <v>4.00000</v>
      </c>
      <c r="F9601" s="29">
        <f ca="1">ROUND(1.470,3)</f>
        <v>0</v>
      </c>
      <c r="G9601" s="27">
        <f ca="1">ROUND(E9601*F9601,2)</f>
        <v>0</v>
      </c>
    </row>
    <row r="9602" spans="1:7" ht="30.60" thickBot="1" customHeight="1">
      <c r="A9602" s="24" t="s">
        <v>30420</v>
      </c>
      <c r="B9602" s="24" t="s">
        <v>30421</v>
      </c>
      <c r="C9602" s="24" t="s">
        <v>30422</v>
      </c>
      <c r="D9602" s="25" t="s">
        <v>30423</v>
      </c>
      <c r="E9602" s="28">
        <v>20.00000</v>
      </c>
      <c r="F9602" s="29">
        <f ca="1">ROUND(0.750,3)</f>
        <v>0</v>
      </c>
      <c r="G9602" s="27">
        <f ca="1">ROUND(E9602*F9602,2)</f>
        <v>0</v>
      </c>
    </row>
    <row r="9603" spans="1:7" ht="21.36" thickBot="1" customHeight="1">
      <c r="A9603" s="24" t="s">
        <v>30424</v>
      </c>
      <c r="B9603" s="24" t="s">
        <v>30425</v>
      </c>
      <c r="C9603" s="24" t="s">
        <v>30426</v>
      </c>
      <c r="D9603" s="25" t="s">
        <v>30427</v>
      </c>
      <c r="E9603" s="28">
        <v>1.30000</v>
      </c>
      <c r="F9603" s="29">
        <f ca="1">F9607</f>
        <v>0</v>
      </c>
      <c r="G9603" s="27">
        <f ca="1">ROUND(E9603*F9603,2)</f>
        <v>0</v>
      </c>
    </row>
    <row r="9604" spans="1:7" ht="24.36" thickBot="1" customHeight="1">
      <c r="A9604" s="24" t="s">
        <v>30428</v>
      </c>
      <c r="B9604" s="24" t="s">
        <v>30429</v>
      </c>
      <c r="C9604" s="24" t="s">
        <v>30430</v>
      </c>
      <c r="D9604" s="25" t="s">
        <v>30431</v>
      </c>
      <c r="E9604" s="28">
        <v>1.00000</v>
      </c>
      <c r="F9604" s="29">
        <f ca="1">ROUND(21.000,3)</f>
        <v>0</v>
      </c>
      <c r="G9604" s="27">
        <f ca="1">ROUND(E9604*F9604,2)</f>
        <v>0</v>
      </c>
    </row>
    <row r="9605" spans="1:7" ht="24.36" thickBot="1" customHeight="1">
      <c r="A9605" s="24" t="s">
        <v>30432</v>
      </c>
      <c r="B9605" s="24" t="s">
        <v>30433</v>
      </c>
      <c r="C9605" s="24" t="s">
        <v>30434</v>
      </c>
      <c r="D9605" s="25" t="s">
        <v>30435</v>
      </c>
      <c r="E9605" s="28">
        <v>1.00000</v>
      </c>
      <c r="F9605" s="29">
        <f ca="1">ROUND(19.000,3)</f>
        <v>0</v>
      </c>
      <c r="G9605" s="27">
        <f ca="1">ROUND(E9605*F9605,2)</f>
        <v>0</v>
      </c>
    </row>
    <row r="9606" spans="1:7" ht="24.36" thickBot="1" customHeight="1">
      <c r="A9606" s="24" t="s">
        <v>30436</v>
      </c>
      <c r="B9606" s="24" t="s">
        <v>30437</v>
      </c>
      <c r="C9606" s="24" t="s">
        <v>30438</v>
      </c>
      <c r="D9606" s="25" t="s">
        <v>30439</v>
      </c>
      <c r="E9606" s="28">
        <v>0.20000</v>
      </c>
      <c r="F9606" s="29">
        <f ca="1">ROUND(19.000,3)</f>
        <v>0</v>
      </c>
      <c r="G9606" s="27">
        <f ca="1">ROUND(E9606*F9606,2)</f>
        <v>0</v>
      </c>
    </row>
    <row r="9607" spans="1:7" ht="15.12" thickBot="1" customHeight="1">
      <c r="A9607" s="26"/>
      <c r="B9607" s="26"/>
      <c r="C9607" s="26"/>
      <c r="D9607" s="24" t="s">
        <v>30440</v>
      </c>
      <c r="E9607" s="28">
        <v>1.30000</v>
      </c>
      <c r="F9607" s="29">
        <f ca="1">ROUND((G9604+G9605+G9606),3)</f>
        <v>0</v>
      </c>
      <c r="G9607" s="27">
        <f ca="1">ROUND(E9607*F9607,2)</f>
        <v>0</v>
      </c>
    </row>
    <row r="9608" spans="1:7" ht="15.12" thickBot="1" customHeight="1">
      <c r="A9608" s="24" t="s">
        <v>30441</v>
      </c>
      <c r="B9608" s="24"/>
      <c r="C9608" s="24" t="s">
        <v>30442</v>
      </c>
      <c r="D9608" s="25" t="s">
        <v>30443</v>
      </c>
      <c r="E9608" s="28">
        <v>3.00000</v>
      </c>
      <c r="F9608" s="29">
        <f ca="1">ROUND(56.940,3)</f>
        <v>0</v>
      </c>
      <c r="G9608" s="27">
        <f ca="1">ROUND((E9608*F9608)/100,2)</f>
        <v>0</v>
      </c>
    </row>
    <row r="9609" spans="1:7" ht="15.48" thickBot="1" customHeight="1">
      <c r="A9609" s="30"/>
      <c r="B9609" s="30"/>
      <c r="C9609" s="30"/>
      <c r="D9609" s="31" t="s">
        <v>30444</v>
      </c>
      <c r="E9609" s="30"/>
      <c r="F9609" s="33">
        <f ca="1">ROUND((G9601+G9602+G9603+G9608)*(1+G2/100),2)</f>
        <v>0</v>
      </c>
      <c r="G9609" s="30"/>
    </row>
    <row r="9610" spans="1:7" ht="21.36" thickBot="1" customHeight="1">
      <c r="A9610" s="34" t="s">
        <v>30445</v>
      </c>
      <c r="B9610" s="35" t="s">
        <v>30446</v>
      </c>
      <c r="C9610" s="35" t="s">
        <v>30447</v>
      </c>
      <c r="D9610" s="36" t="s">
        <v>30448</v>
      </c>
      <c r="E9610" s="37"/>
      <c r="F9610" s="38">
        <f ca="1">F9620</f>
        <v>0</v>
      </c>
      <c r="G9610" s="37"/>
    </row>
    <row r="9611" spans="1:7" ht="39.84" thickBot="1" customHeight="1">
      <c r="A9611" s="26"/>
      <c r="B9611" s="26"/>
      <c r="C9611" s="26"/>
      <c r="D9611" s="25" t="s">
        <v>30449</v>
      </c>
      <c r="E9611" s="25"/>
      <c r="F9611" s="25"/>
      <c r="G9611" s="25"/>
    </row>
    <row r="9612" spans="1:7" ht="30.60" thickBot="1" customHeight="1">
      <c r="A9612" s="24" t="s">
        <v>30450</v>
      </c>
      <c r="B9612" s="24" t="s">
        <v>30451</v>
      </c>
      <c r="C9612" s="24" t="s">
        <v>30452</v>
      </c>
      <c r="D9612" s="25" t="s">
        <v>30453</v>
      </c>
      <c r="E9612" s="28">
        <v>3.00000</v>
      </c>
      <c r="F9612" s="29">
        <f ca="1">ROUND(1.470,3)</f>
        <v>0</v>
      </c>
      <c r="G9612" s="27">
        <f ca="1">ROUND(E9612*F9612,2)</f>
        <v>0</v>
      </c>
    </row>
    <row r="9613" spans="1:7" ht="30.60" thickBot="1" customHeight="1">
      <c r="A9613" s="24" t="s">
        <v>30454</v>
      </c>
      <c r="B9613" s="24" t="s">
        <v>30455</v>
      </c>
      <c r="C9613" s="24" t="s">
        <v>30456</v>
      </c>
      <c r="D9613" s="25" t="s">
        <v>30457</v>
      </c>
      <c r="E9613" s="28">
        <v>15.00000</v>
      </c>
      <c r="F9613" s="29">
        <f ca="1">ROUND(1.250,3)</f>
        <v>0</v>
      </c>
      <c r="G9613" s="27">
        <f ca="1">ROUND(E9613*F9613,2)</f>
        <v>0</v>
      </c>
    </row>
    <row r="9614" spans="1:7" ht="21.36" thickBot="1" customHeight="1">
      <c r="A9614" s="24" t="s">
        <v>30458</v>
      </c>
      <c r="B9614" s="24" t="s">
        <v>30459</v>
      </c>
      <c r="C9614" s="24" t="s">
        <v>30460</v>
      </c>
      <c r="D9614" s="25" t="s">
        <v>30461</v>
      </c>
      <c r="E9614" s="28">
        <v>1.20000</v>
      </c>
      <c r="F9614" s="29">
        <f ca="1">F9618</f>
        <v>0</v>
      </c>
      <c r="G9614" s="27">
        <f ca="1">ROUND(E9614*F9614,2)</f>
        <v>0</v>
      </c>
    </row>
    <row r="9615" spans="1:7" ht="24.36" thickBot="1" customHeight="1">
      <c r="A9615" s="24" t="s">
        <v>30462</v>
      </c>
      <c r="B9615" s="24" t="s">
        <v>30463</v>
      </c>
      <c r="C9615" s="24" t="s">
        <v>30464</v>
      </c>
      <c r="D9615" s="25" t="s">
        <v>30465</v>
      </c>
      <c r="E9615" s="28">
        <v>1.00000</v>
      </c>
      <c r="F9615" s="29">
        <f ca="1">ROUND(21.000,3)</f>
        <v>0</v>
      </c>
      <c r="G9615" s="27">
        <f ca="1">ROUND(E9615*F9615,2)</f>
        <v>0</v>
      </c>
    </row>
    <row r="9616" spans="1:7" ht="24.36" thickBot="1" customHeight="1">
      <c r="A9616" s="24" t="s">
        <v>30466</v>
      </c>
      <c r="B9616" s="24" t="s">
        <v>30467</v>
      </c>
      <c r="C9616" s="24" t="s">
        <v>30468</v>
      </c>
      <c r="D9616" s="25" t="s">
        <v>30469</v>
      </c>
      <c r="E9616" s="28">
        <v>1.00000</v>
      </c>
      <c r="F9616" s="29">
        <f ca="1">ROUND(19.000,3)</f>
        <v>0</v>
      </c>
      <c r="G9616" s="27">
        <f ca="1">ROUND(E9616*F9616,2)</f>
        <v>0</v>
      </c>
    </row>
    <row r="9617" spans="1:7" ht="24.36" thickBot="1" customHeight="1">
      <c r="A9617" s="24" t="s">
        <v>30470</v>
      </c>
      <c r="B9617" s="24" t="s">
        <v>30471</v>
      </c>
      <c r="C9617" s="24" t="s">
        <v>30472</v>
      </c>
      <c r="D9617" s="25" t="s">
        <v>30473</v>
      </c>
      <c r="E9617" s="28">
        <v>0.20000</v>
      </c>
      <c r="F9617" s="29">
        <f ca="1">ROUND(19.000,3)</f>
        <v>0</v>
      </c>
      <c r="G9617" s="27">
        <f ca="1">ROUND(E9617*F9617,2)</f>
        <v>0</v>
      </c>
    </row>
    <row r="9618" spans="1:7" ht="15.12" thickBot="1" customHeight="1">
      <c r="A9618" s="26"/>
      <c r="B9618" s="26"/>
      <c r="C9618" s="26"/>
      <c r="D9618" s="24" t="s">
        <v>30474</v>
      </c>
      <c r="E9618" s="28">
        <v>1.20000</v>
      </c>
      <c r="F9618" s="29">
        <f ca="1">ROUND((G9615+G9616+G9617),3)</f>
        <v>0</v>
      </c>
      <c r="G9618" s="27">
        <f ca="1">ROUND(E9618*F9618,2)</f>
        <v>0</v>
      </c>
    </row>
    <row r="9619" spans="1:7" ht="15.12" thickBot="1" customHeight="1">
      <c r="A9619" s="24" t="s">
        <v>30475</v>
      </c>
      <c r="B9619" s="24"/>
      <c r="C9619" s="24" t="s">
        <v>30476</v>
      </c>
      <c r="D9619" s="25" t="s">
        <v>30477</v>
      </c>
      <c r="E9619" s="28">
        <v>3.00000</v>
      </c>
      <c r="F9619" s="29">
        <f ca="1">ROUND(52.560,3)</f>
        <v>0</v>
      </c>
      <c r="G9619" s="27">
        <f ca="1">ROUND((E9619*F9619)/100,2)</f>
        <v>0</v>
      </c>
    </row>
    <row r="9620" spans="1:7" ht="15.48" thickBot="1" customHeight="1">
      <c r="A9620" s="30"/>
      <c r="B9620" s="30"/>
      <c r="C9620" s="30"/>
      <c r="D9620" s="31" t="s">
        <v>30478</v>
      </c>
      <c r="E9620" s="30"/>
      <c r="F9620" s="33">
        <f ca="1">ROUND((G9612+G9613+G9614+G9619)*(1+G2/100),2)</f>
        <v>0</v>
      </c>
      <c r="G9620" s="30"/>
    </row>
    <row r="9621" spans="1:7" ht="30.60" thickBot="1" customHeight="1">
      <c r="A9621" s="34" t="s">
        <v>30479</v>
      </c>
      <c r="B9621" s="35" t="s">
        <v>30480</v>
      </c>
      <c r="C9621" s="35" t="s">
        <v>30481</v>
      </c>
      <c r="D9621" s="36" t="s">
        <v>30482</v>
      </c>
      <c r="E9621" s="37"/>
      <c r="F9621" s="38">
        <f ca="1">F9654</f>
        <v>0</v>
      </c>
      <c r="G9621" s="37"/>
    </row>
    <row r="9622" spans="1:7" ht="49.08" thickBot="1" customHeight="1">
      <c r="A9622" s="26"/>
      <c r="B9622" s="26"/>
      <c r="C9622" s="26"/>
      <c r="D9622" s="25" t="s">
        <v>30483</v>
      </c>
      <c r="E9622" s="25"/>
      <c r="F9622" s="25"/>
      <c r="G9622" s="25"/>
    </row>
    <row r="9623" spans="1:7" ht="21.36" thickBot="1" customHeight="1">
      <c r="A9623" s="24" t="s">
        <v>30484</v>
      </c>
      <c r="B9623" s="24" t="s">
        <v>30485</v>
      </c>
      <c r="C9623" s="24" t="s">
        <v>30486</v>
      </c>
      <c r="D9623" s="25" t="s">
        <v>30487</v>
      </c>
      <c r="E9623" s="28">
        <v>0.00100</v>
      </c>
      <c r="F9623" s="29">
        <f ca="1">F9633</f>
        <v>0</v>
      </c>
      <c r="G9623" s="27">
        <f ca="1">ROUND(E9623*F9623,2)</f>
        <v>0</v>
      </c>
    </row>
    <row r="9624" spans="1:7" ht="21.36" thickBot="1" customHeight="1">
      <c r="A9624" s="24" t="s">
        <v>30488</v>
      </c>
      <c r="B9624" s="24" t="s">
        <v>30489</v>
      </c>
      <c r="C9624" s="24" t="s">
        <v>30490</v>
      </c>
      <c r="D9624" s="25" t="s">
        <v>30491</v>
      </c>
      <c r="E9624" s="28">
        <v>30.00000</v>
      </c>
      <c r="F9624" s="29">
        <f ca="1">ROUND(63.270,3)</f>
        <v>0</v>
      </c>
      <c r="G9624" s="27">
        <f ca="1">ROUND(E9624*F9624,2)</f>
        <v>0</v>
      </c>
    </row>
    <row r="9625" spans="1:7" ht="15.12" thickBot="1" customHeight="1">
      <c r="A9625" s="24" t="s">
        <v>30492</v>
      </c>
      <c r="B9625" s="24" t="s">
        <v>30493</v>
      </c>
      <c r="C9625" s="24" t="s">
        <v>30494</v>
      </c>
      <c r="D9625" s="25" t="s">
        <v>30495</v>
      </c>
      <c r="E9625" s="28">
        <v>1.00000</v>
      </c>
      <c r="F9625" s="29">
        <f ca="1">ROUND(8.860,3)</f>
        <v>0</v>
      </c>
      <c r="G9625" s="27">
        <f ca="1">ROUND(E9625*F9625,2)</f>
        <v>0</v>
      </c>
    </row>
    <row r="9626" spans="1:7" ht="21.36" thickBot="1" customHeight="1">
      <c r="A9626" s="24" t="s">
        <v>30496</v>
      </c>
      <c r="B9626" s="24" t="s">
        <v>30497</v>
      </c>
      <c r="C9626" s="24" t="s">
        <v>30498</v>
      </c>
      <c r="D9626" s="25" t="s">
        <v>30499</v>
      </c>
      <c r="E9626" s="28">
        <v>1.00000</v>
      </c>
      <c r="F9626" s="29">
        <f ca="1">ROUND(14.000,3)</f>
        <v>0</v>
      </c>
      <c r="G9626" s="27">
        <f ca="1">ROUND(E9626*F9626,2)</f>
        <v>0</v>
      </c>
    </row>
    <row r="9627" spans="1:7" ht="15.12" thickBot="1" customHeight="1">
      <c r="A9627" s="24" t="s">
        <v>30500</v>
      </c>
      <c r="B9627" s="24" t="s">
        <v>30501</v>
      </c>
      <c r="C9627" s="24" t="s">
        <v>30502</v>
      </c>
      <c r="D9627" s="25" t="s">
        <v>30503</v>
      </c>
      <c r="E9627" s="28">
        <v>1.00000</v>
      </c>
      <c r="F9627" s="29">
        <f ca="1">ROUND(140.000,3)</f>
        <v>0</v>
      </c>
      <c r="G9627" s="27">
        <f ca="1">ROUND(E9627*F9627,2)</f>
        <v>0</v>
      </c>
    </row>
    <row r="9628" spans="1:7" ht="15.12" thickBot="1" customHeight="1">
      <c r="A9628" s="24" t="s">
        <v>30504</v>
      </c>
      <c r="B9628" s="24" t="s">
        <v>30505</v>
      </c>
      <c r="C9628" s="24" t="s">
        <v>30506</v>
      </c>
      <c r="D9628" s="25" t="s">
        <v>30507</v>
      </c>
      <c r="E9628" s="28">
        <v>1.00000</v>
      </c>
      <c r="F9628" s="29">
        <f ca="1">ROUND(140.000,3)</f>
        <v>0</v>
      </c>
      <c r="G9628" s="27">
        <f ca="1">ROUND(E9628*F9628,2)</f>
        <v>0</v>
      </c>
    </row>
    <row r="9629" spans="1:7" ht="21.36" thickBot="1" customHeight="1">
      <c r="A9629" s="24" t="s">
        <v>30508</v>
      </c>
      <c r="B9629" s="24" t="s">
        <v>30509</v>
      </c>
      <c r="C9629" s="24" t="s">
        <v>30510</v>
      </c>
      <c r="D9629" s="25" t="s">
        <v>30511</v>
      </c>
      <c r="E9629" s="28">
        <v>0.10000</v>
      </c>
      <c r="F9629" s="29">
        <f ca="1">ROUND(150.000,3)</f>
        <v>0</v>
      </c>
      <c r="G9629" s="27">
        <f ca="1">ROUND(E9629*F9629,2)</f>
        <v>0</v>
      </c>
    </row>
    <row r="9630" spans="1:7" ht="21.36" thickBot="1" customHeight="1">
      <c r="A9630" s="24" t="s">
        <v>30512</v>
      </c>
      <c r="B9630" s="24" t="s">
        <v>30513</v>
      </c>
      <c r="C9630" s="24" t="s">
        <v>30514</v>
      </c>
      <c r="D9630" s="25" t="s">
        <v>30515</v>
      </c>
      <c r="E9630" s="28">
        <v>0.14000</v>
      </c>
      <c r="F9630" s="29">
        <f ca="1">ROUND(72.000,3)</f>
        <v>0</v>
      </c>
      <c r="G9630" s="27">
        <f ca="1">ROUND(E9630*F9630,2)</f>
        <v>0</v>
      </c>
    </row>
    <row r="9631" spans="1:7" ht="15.12" thickBot="1" customHeight="1">
      <c r="A9631" s="24" t="s">
        <v>30516</v>
      </c>
      <c r="B9631" s="24" t="s">
        <v>30517</v>
      </c>
      <c r="C9631" s="24" t="s">
        <v>30518</v>
      </c>
      <c r="D9631" s="25" t="s">
        <v>30519</v>
      </c>
      <c r="E9631" s="28">
        <v>155.00000</v>
      </c>
      <c r="F9631" s="29">
        <f ca="1">ROUND(1.900,3)</f>
        <v>0</v>
      </c>
      <c r="G9631" s="27">
        <f ca="1">ROUND(E9631*F9631,2)</f>
        <v>0</v>
      </c>
    </row>
    <row r="9632" spans="1:7" ht="24.36" thickBot="1" customHeight="1">
      <c r="A9632" s="24" t="s">
        <v>30520</v>
      </c>
      <c r="B9632" s="24" t="s">
        <v>30521</v>
      </c>
      <c r="C9632" s="24" t="s">
        <v>30522</v>
      </c>
      <c r="D9632" s="25" t="s">
        <v>30523</v>
      </c>
      <c r="E9632" s="28">
        <v>30.00000</v>
      </c>
      <c r="F9632" s="29">
        <f ca="1">ROUND(25.000,3)</f>
        <v>0</v>
      </c>
      <c r="G9632" s="27">
        <f ca="1">ROUND(E9632*F9632,2)</f>
        <v>0</v>
      </c>
    </row>
    <row r="9633" spans="1:7" ht="15.12" thickBot="1" customHeight="1">
      <c r="A9633" s="26"/>
      <c r="B9633" s="26"/>
      <c r="C9633" s="26"/>
      <c r="D9633" s="24" t="s">
        <v>30524</v>
      </c>
      <c r="E9633" s="28">
        <v>0.00100</v>
      </c>
      <c r="F9633" s="29">
        <f ca="1">ROUND((G9624+G9625+G9626+G9627+G9628+G9629+G9630+G9631+G9632),3)</f>
        <v>0</v>
      </c>
      <c r="G9633" s="27">
        <f ca="1">ROUND(E9633*F9633,2)</f>
        <v>0</v>
      </c>
    </row>
    <row r="9634" spans="1:7" ht="21.36" thickBot="1" customHeight="1">
      <c r="A9634" s="24" t="s">
        <v>30525</v>
      </c>
      <c r="B9634" s="24" t="s">
        <v>30526</v>
      </c>
      <c r="C9634" s="24" t="s">
        <v>30527</v>
      </c>
      <c r="D9634" s="25" t="s">
        <v>30528</v>
      </c>
      <c r="E9634" s="28">
        <v>0.00200</v>
      </c>
      <c r="F9634" s="29">
        <f ca="1">F9637</f>
        <v>0</v>
      </c>
      <c r="G9634" s="27">
        <f ca="1">ROUND(E9634*F9634,2)</f>
        <v>0</v>
      </c>
    </row>
    <row r="9635" spans="1:7" ht="15.12" thickBot="1" customHeight="1">
      <c r="A9635" s="24" t="s">
        <v>30529</v>
      </c>
      <c r="B9635" s="24" t="s">
        <v>30530</v>
      </c>
      <c r="C9635" s="24" t="s">
        <v>30531</v>
      </c>
      <c r="D9635" s="25" t="s">
        <v>30532</v>
      </c>
      <c r="E9635" s="28">
        <v>1.00000</v>
      </c>
      <c r="F9635" s="29">
        <f ca="1">ROUND(140.000,3)</f>
        <v>0</v>
      </c>
      <c r="G9635" s="27">
        <f ca="1">ROUND(E9635*F9635,2)</f>
        <v>0</v>
      </c>
    </row>
    <row r="9636" spans="1:7" ht="15.12" thickBot="1" customHeight="1">
      <c r="A9636" s="24" t="s">
        <v>30533</v>
      </c>
      <c r="B9636" s="24" t="s">
        <v>30534</v>
      </c>
      <c r="C9636" s="24" t="s">
        <v>30535</v>
      </c>
      <c r="D9636" s="25" t="s">
        <v>30536</v>
      </c>
      <c r="E9636" s="28">
        <v>1.00000</v>
      </c>
      <c r="F9636" s="29">
        <f ca="1">ROUND(140.000,3)</f>
        <v>0</v>
      </c>
      <c r="G9636" s="27">
        <f ca="1">ROUND(E9636*F9636,2)</f>
        <v>0</v>
      </c>
    </row>
    <row r="9637" spans="1:7" ht="15.12" thickBot="1" customHeight="1">
      <c r="A9637" s="26"/>
      <c r="B9637" s="26"/>
      <c r="C9637" s="26"/>
      <c r="D9637" s="24" t="s">
        <v>30537</v>
      </c>
      <c r="E9637" s="28">
        <v>0.00200</v>
      </c>
      <c r="F9637" s="29">
        <f ca="1">ROUND((G9635+G9636),3)</f>
        <v>0</v>
      </c>
      <c r="G9637" s="27">
        <f ca="1">ROUND(E9637*F9637,2)</f>
        <v>0</v>
      </c>
    </row>
    <row r="9638" spans="1:7" ht="30.60" thickBot="1" customHeight="1">
      <c r="A9638" s="24" t="s">
        <v>30538</v>
      </c>
      <c r="B9638" s="24" t="s">
        <v>30539</v>
      </c>
      <c r="C9638" s="24" t="s">
        <v>30540</v>
      </c>
      <c r="D9638" s="25" t="s">
        <v>30541</v>
      </c>
      <c r="E9638" s="28">
        <v>1.00000</v>
      </c>
      <c r="F9638" s="29">
        <f ca="1">ROUND(41.020,3)</f>
        <v>0</v>
      </c>
      <c r="G9638" s="27">
        <f ca="1">ROUND(E9638*F9638,2)</f>
        <v>0</v>
      </c>
    </row>
    <row r="9639" spans="1:7" ht="30.60" thickBot="1" customHeight="1">
      <c r="A9639" s="24" t="s">
        <v>30542</v>
      </c>
      <c r="B9639" s="24" t="s">
        <v>30543</v>
      </c>
      <c r="C9639" s="24" t="s">
        <v>30544</v>
      </c>
      <c r="D9639" s="25" t="s">
        <v>30545</v>
      </c>
      <c r="E9639" s="28">
        <v>0.05000</v>
      </c>
      <c r="F9639" s="29">
        <f ca="1">ROUND(25.100,3)</f>
        <v>0</v>
      </c>
      <c r="G9639" s="27">
        <f ca="1">ROUND(E9639*F9639,2)</f>
        <v>0</v>
      </c>
    </row>
    <row r="9640" spans="1:7" ht="30.60" thickBot="1" customHeight="1">
      <c r="A9640" s="24" t="s">
        <v>30546</v>
      </c>
      <c r="B9640" s="24" t="s">
        <v>30547</v>
      </c>
      <c r="C9640" s="24" t="s">
        <v>30548</v>
      </c>
      <c r="D9640" s="25" t="s">
        <v>30549</v>
      </c>
      <c r="E9640" s="28">
        <v>0.05000</v>
      </c>
      <c r="F9640" s="29">
        <f ca="1">ROUND(8.000,3)</f>
        <v>0</v>
      </c>
      <c r="G9640" s="27">
        <f ca="1">ROUND(E9640*F9640,2)</f>
        <v>0</v>
      </c>
    </row>
    <row r="9641" spans="1:7" ht="30.60" thickBot="1" customHeight="1">
      <c r="A9641" s="24" t="s">
        <v>30550</v>
      </c>
      <c r="B9641" s="24" t="s">
        <v>30551</v>
      </c>
      <c r="C9641" s="24" t="s">
        <v>30552</v>
      </c>
      <c r="D9641" s="25" t="s">
        <v>30553</v>
      </c>
      <c r="E9641" s="28">
        <v>0.05000</v>
      </c>
      <c r="F9641" s="29">
        <f ca="1">ROUND(10.000,3)</f>
        <v>0</v>
      </c>
      <c r="G9641" s="27">
        <f ca="1">ROUND(E9641*F9641,2)</f>
        <v>0</v>
      </c>
    </row>
    <row r="9642" spans="1:7" ht="30.60" thickBot="1" customHeight="1">
      <c r="A9642" s="24" t="s">
        <v>30554</v>
      </c>
      <c r="B9642" s="24" t="s">
        <v>30555</v>
      </c>
      <c r="C9642" s="24" t="s">
        <v>30556</v>
      </c>
      <c r="D9642" s="25" t="s">
        <v>30557</v>
      </c>
      <c r="E9642" s="28">
        <v>0.05000</v>
      </c>
      <c r="F9642" s="29">
        <f ca="1">ROUND(0.050,3)</f>
        <v>0</v>
      </c>
      <c r="G9642" s="27">
        <f ca="1">ROUND(E9642*F9642,2)</f>
        <v>0</v>
      </c>
    </row>
    <row r="9643" spans="1:7" ht="39.84" thickBot="1" customHeight="1">
      <c r="A9643" s="24" t="s">
        <v>30558</v>
      </c>
      <c r="B9643" s="24" t="s">
        <v>30559</v>
      </c>
      <c r="C9643" s="24" t="s">
        <v>30560</v>
      </c>
      <c r="D9643" s="25" t="s">
        <v>30561</v>
      </c>
      <c r="E9643" s="28">
        <v>0.05000</v>
      </c>
      <c r="F9643" s="29">
        <f ca="1">ROUND(12.500,3)</f>
        <v>0</v>
      </c>
      <c r="G9643" s="27">
        <f ca="1">ROUND(E9643*F9643,2)</f>
        <v>0</v>
      </c>
    </row>
    <row r="9644" spans="1:7" ht="21.36" thickBot="1" customHeight="1">
      <c r="A9644" s="24" t="s">
        <v>30562</v>
      </c>
      <c r="B9644" s="24" t="s">
        <v>30563</v>
      </c>
      <c r="C9644" s="24" t="s">
        <v>30564</v>
      </c>
      <c r="D9644" s="25" t="s">
        <v>30565</v>
      </c>
      <c r="E9644" s="28">
        <v>0.10000</v>
      </c>
      <c r="F9644" s="29">
        <f ca="1">ROUND(11.650,3)</f>
        <v>0</v>
      </c>
      <c r="G9644" s="27">
        <f ca="1">ROUND(E9644*F9644,2)</f>
        <v>0</v>
      </c>
    </row>
    <row r="9645" spans="1:7" ht="30.60" thickBot="1" customHeight="1">
      <c r="A9645" s="24" t="s">
        <v>30566</v>
      </c>
      <c r="B9645" s="24" t="s">
        <v>30567</v>
      </c>
      <c r="C9645" s="24" t="s">
        <v>30568</v>
      </c>
      <c r="D9645" s="25" t="s">
        <v>30569</v>
      </c>
      <c r="E9645" s="28">
        <v>1.00000</v>
      </c>
      <c r="F9645" s="29">
        <f ca="1">ROUND(1.010,3)</f>
        <v>0</v>
      </c>
      <c r="G9645" s="27">
        <f ca="1">ROUND(E9645*F9645,2)</f>
        <v>0</v>
      </c>
    </row>
    <row r="9646" spans="1:7" ht="30.60" thickBot="1" customHeight="1">
      <c r="A9646" s="24" t="s">
        <v>30570</v>
      </c>
      <c r="B9646" s="24" t="s">
        <v>30571</v>
      </c>
      <c r="C9646" s="24" t="s">
        <v>30572</v>
      </c>
      <c r="D9646" s="25" t="s">
        <v>30573</v>
      </c>
      <c r="E9646" s="28">
        <v>2.10000</v>
      </c>
      <c r="F9646" s="29">
        <f ca="1">ROUND(1.930,3)</f>
        <v>0</v>
      </c>
      <c r="G9646" s="27">
        <f ca="1">ROUND(E9646*F9646,2)</f>
        <v>0</v>
      </c>
    </row>
    <row r="9647" spans="1:7" ht="21.36" thickBot="1" customHeight="1">
      <c r="A9647" s="24" t="s">
        <v>30574</v>
      </c>
      <c r="B9647" s="24" t="s">
        <v>30575</v>
      </c>
      <c r="C9647" s="24" t="s">
        <v>30576</v>
      </c>
      <c r="D9647" s="25" t="s">
        <v>30577</v>
      </c>
      <c r="E9647" s="28">
        <v>1.00000</v>
      </c>
      <c r="F9647" s="29">
        <f ca="1">ROUND(1.500,3)</f>
        <v>0</v>
      </c>
      <c r="G9647" s="27">
        <f ca="1">ROUND(E9647*F9647,2)</f>
        <v>0</v>
      </c>
    </row>
    <row r="9648" spans="1:7" ht="21.36" thickBot="1" customHeight="1">
      <c r="A9648" s="24" t="s">
        <v>30578</v>
      </c>
      <c r="B9648" s="24" t="s">
        <v>30579</v>
      </c>
      <c r="C9648" s="24" t="s">
        <v>30580</v>
      </c>
      <c r="D9648" s="25" t="s">
        <v>30581</v>
      </c>
      <c r="E9648" s="28">
        <v>0.20000</v>
      </c>
      <c r="F9648" s="29">
        <f ca="1">F9652</f>
        <v>0</v>
      </c>
      <c r="G9648" s="27">
        <f ca="1">ROUND(E9648*F9648,2)</f>
        <v>0</v>
      </c>
    </row>
    <row r="9649" spans="1:7" ht="24.36" thickBot="1" customHeight="1">
      <c r="A9649" s="24" t="s">
        <v>30582</v>
      </c>
      <c r="B9649" s="24" t="s">
        <v>30583</v>
      </c>
      <c r="C9649" s="24" t="s">
        <v>30584</v>
      </c>
      <c r="D9649" s="25" t="s">
        <v>30585</v>
      </c>
      <c r="E9649" s="28">
        <v>1.00000</v>
      </c>
      <c r="F9649" s="29">
        <f ca="1">ROUND(21.000,3)</f>
        <v>0</v>
      </c>
      <c r="G9649" s="27">
        <f ca="1">ROUND(E9649*F9649,2)</f>
        <v>0</v>
      </c>
    </row>
    <row r="9650" spans="1:7" ht="24.36" thickBot="1" customHeight="1">
      <c r="A9650" s="24" t="s">
        <v>30586</v>
      </c>
      <c r="B9650" s="24" t="s">
        <v>30587</v>
      </c>
      <c r="C9650" s="24" t="s">
        <v>30588</v>
      </c>
      <c r="D9650" s="25" t="s">
        <v>30589</v>
      </c>
      <c r="E9650" s="28">
        <v>1.00000</v>
      </c>
      <c r="F9650" s="29">
        <f ca="1">ROUND(19.000,3)</f>
        <v>0</v>
      </c>
      <c r="G9650" s="27">
        <f ca="1">ROUND(E9650*F9650,2)</f>
        <v>0</v>
      </c>
    </row>
    <row r="9651" spans="1:7" ht="24.36" thickBot="1" customHeight="1">
      <c r="A9651" s="24" t="s">
        <v>30590</v>
      </c>
      <c r="B9651" s="24" t="s">
        <v>30591</v>
      </c>
      <c r="C9651" s="24" t="s">
        <v>30592</v>
      </c>
      <c r="D9651" s="25" t="s">
        <v>30593</v>
      </c>
      <c r="E9651" s="28">
        <v>0.20000</v>
      </c>
      <c r="F9651" s="29">
        <f ca="1">ROUND(19.000,3)</f>
        <v>0</v>
      </c>
      <c r="G9651" s="27">
        <f ca="1">ROUND(E9651*F9651,2)</f>
        <v>0</v>
      </c>
    </row>
    <row r="9652" spans="1:7" ht="15.12" thickBot="1" customHeight="1">
      <c r="A9652" s="26"/>
      <c r="B9652" s="26"/>
      <c r="C9652" s="26"/>
      <c r="D9652" s="24" t="s">
        <v>30594</v>
      </c>
      <c r="E9652" s="28">
        <v>0.20000</v>
      </c>
      <c r="F9652" s="29">
        <f ca="1">ROUND((G9649+G9650+G9651),3)</f>
        <v>0</v>
      </c>
      <c r="G9652" s="27">
        <f ca="1">ROUND(E9652*F9652,2)</f>
        <v>0</v>
      </c>
    </row>
    <row r="9653" spans="1:7" ht="15.12" thickBot="1" customHeight="1">
      <c r="A9653" s="24" t="s">
        <v>30595</v>
      </c>
      <c r="B9653" s="24"/>
      <c r="C9653" s="24" t="s">
        <v>30596</v>
      </c>
      <c r="D9653" s="25" t="s">
        <v>30597</v>
      </c>
      <c r="E9653" s="28">
        <v>3.00000</v>
      </c>
      <c r="F9653" s="29">
        <f ca="1">ROUND(8.760,3)</f>
        <v>0</v>
      </c>
      <c r="G9653" s="27">
        <f ca="1">ROUND((E9653*F9653)/100,2)</f>
        <v>0</v>
      </c>
    </row>
    <row r="9654" spans="1:7" ht="15.48" thickBot="1" customHeight="1">
      <c r="A9654" s="30"/>
      <c r="B9654" s="30"/>
      <c r="C9654" s="30"/>
      <c r="D9654" s="31" t="s">
        <v>30598</v>
      </c>
      <c r="E9654" s="30"/>
      <c r="F9654" s="33">
        <f ca="1">ROUND((G9623+G9634+G9638+G9639+G9640+G9641+G9642+G9643+G9644+G9645+G9646+G9647+G9648+G9653)*(1+G2/100),2)</f>
        <v>0</v>
      </c>
      <c r="G9654" s="30"/>
    </row>
    <row r="9655" spans="1:7" ht="21.36" thickBot="1" customHeight="1">
      <c r="A9655" s="34" t="s">
        <v>30599</v>
      </c>
      <c r="B9655" s="35" t="s">
        <v>30600</v>
      </c>
      <c r="C9655" s="35" t="s">
        <v>30601</v>
      </c>
      <c r="D9655" s="36" t="s">
        <v>30602</v>
      </c>
      <c r="E9655" s="37"/>
      <c r="F9655" s="38">
        <f ca="1">F9674</f>
        <v>0</v>
      </c>
      <c r="G9655" s="37"/>
    </row>
    <row r="9656" spans="1:7" ht="12.12" thickBot="1" customHeight="1">
      <c r="A9656" s="26"/>
      <c r="B9656" s="26"/>
      <c r="C9656" s="26"/>
      <c r="D9656" s="25" t="s">
        <v>30603</v>
      </c>
      <c r="E9656" s="25"/>
      <c r="F9656" s="25"/>
      <c r="G9656" s="25"/>
    </row>
    <row r="9657" spans="1:7" ht="39.84" thickBot="1" customHeight="1">
      <c r="A9657" s="24" t="s">
        <v>30604</v>
      </c>
      <c r="B9657" s="24" t="s">
        <v>30605</v>
      </c>
      <c r="C9657" s="24" t="s">
        <v>30606</v>
      </c>
      <c r="D9657" s="25" t="s">
        <v>30607</v>
      </c>
      <c r="E9657" s="28">
        <v>0.35000</v>
      </c>
      <c r="F9657" s="29">
        <f ca="1">ROUND(79.770,3)</f>
        <v>0</v>
      </c>
      <c r="G9657" s="27">
        <f ca="1">ROUND(E9657*F9657,2)</f>
        <v>0</v>
      </c>
    </row>
    <row r="9658" spans="1:7" ht="30.60" thickBot="1" customHeight="1">
      <c r="A9658" s="24" t="s">
        <v>30608</v>
      </c>
      <c r="B9658" s="24" t="s">
        <v>30609</v>
      </c>
      <c r="C9658" s="24" t="s">
        <v>30610</v>
      </c>
      <c r="D9658" s="25" t="s">
        <v>30611</v>
      </c>
      <c r="E9658" s="28">
        <v>0.23330</v>
      </c>
      <c r="F9658" s="29">
        <f ca="1">ROUND(16.470,3)</f>
        <v>0</v>
      </c>
      <c r="G9658" s="27">
        <f ca="1">ROUND(E9658*F9658,2)</f>
        <v>0</v>
      </c>
    </row>
    <row r="9659" spans="1:7" ht="30.60" thickBot="1" customHeight="1">
      <c r="A9659" s="24" t="s">
        <v>30612</v>
      </c>
      <c r="B9659" s="24" t="s">
        <v>30613</v>
      </c>
      <c r="C9659" s="24" t="s">
        <v>30614</v>
      </c>
      <c r="D9659" s="25" t="s">
        <v>30615</v>
      </c>
      <c r="E9659" s="28">
        <v>0.23333</v>
      </c>
      <c r="F9659" s="29">
        <f ca="1">ROUND(6.330,3)</f>
        <v>0</v>
      </c>
      <c r="G9659" s="27">
        <f ca="1">ROUND(E9659*F9659,2)</f>
        <v>0</v>
      </c>
    </row>
    <row r="9660" spans="1:7" ht="30.60" thickBot="1" customHeight="1">
      <c r="A9660" s="24" t="s">
        <v>30616</v>
      </c>
      <c r="B9660" s="24" t="s">
        <v>30617</v>
      </c>
      <c r="C9660" s="24" t="s">
        <v>30618</v>
      </c>
      <c r="D9660" s="25" t="s">
        <v>30619</v>
      </c>
      <c r="E9660" s="28">
        <v>0.11650</v>
      </c>
      <c r="F9660" s="29">
        <f ca="1">ROUND(54.940,3)</f>
        <v>0</v>
      </c>
      <c r="G9660" s="27">
        <f ca="1">ROUND(E9660*F9660,2)</f>
        <v>0</v>
      </c>
    </row>
    <row r="9661" spans="1:7" ht="21.36" thickBot="1" customHeight="1">
      <c r="A9661" s="24" t="s">
        <v>30620</v>
      </c>
      <c r="B9661" s="24" t="s">
        <v>30621</v>
      </c>
      <c r="C9661" s="24" t="s">
        <v>30622</v>
      </c>
      <c r="D9661" s="25" t="s">
        <v>30623</v>
      </c>
      <c r="E9661" s="28">
        <v>0.05333</v>
      </c>
      <c r="F9661" s="29">
        <f ca="1">ROUND(6.490,3)</f>
        <v>0</v>
      </c>
      <c r="G9661" s="27">
        <f ca="1">ROUND(E9661*F9661,2)</f>
        <v>0</v>
      </c>
    </row>
    <row r="9662" spans="1:7" ht="39.84" thickBot="1" customHeight="1">
      <c r="A9662" s="24" t="s">
        <v>30624</v>
      </c>
      <c r="B9662" s="24" t="s">
        <v>30625</v>
      </c>
      <c r="C9662" s="24" t="s">
        <v>30626</v>
      </c>
      <c r="D9662" s="25" t="s">
        <v>30627</v>
      </c>
      <c r="E9662" s="28">
        <v>5.33333</v>
      </c>
      <c r="F9662" s="29">
        <f ca="1">ROUND(0.620,3)</f>
        <v>0</v>
      </c>
      <c r="G9662" s="27">
        <f ca="1">ROUND(E9662*F9662,2)</f>
        <v>0</v>
      </c>
    </row>
    <row r="9663" spans="1:7" ht="30.60" thickBot="1" customHeight="1">
      <c r="A9663" s="24" t="s">
        <v>30628</v>
      </c>
      <c r="B9663" s="24" t="s">
        <v>30629</v>
      </c>
      <c r="C9663" s="24" t="s">
        <v>30630</v>
      </c>
      <c r="D9663" s="25" t="s">
        <v>30631</v>
      </c>
      <c r="E9663" s="28">
        <v>0.44444</v>
      </c>
      <c r="F9663" s="29">
        <f ca="1">ROUND(6.190,3)</f>
        <v>0</v>
      </c>
      <c r="G9663" s="27">
        <f ca="1">ROUND(E9663*F9663,2)</f>
        <v>0</v>
      </c>
    </row>
    <row r="9664" spans="1:7" ht="30.60" thickBot="1" customHeight="1">
      <c r="A9664" s="24" t="s">
        <v>30632</v>
      </c>
      <c r="B9664" s="24" t="s">
        <v>30633</v>
      </c>
      <c r="C9664" s="24" t="s">
        <v>30634</v>
      </c>
      <c r="D9664" s="25" t="s">
        <v>30635</v>
      </c>
      <c r="E9664" s="28">
        <v>0.12000</v>
      </c>
      <c r="F9664" s="29">
        <f ca="1">F9666</f>
        <v>0</v>
      </c>
      <c r="G9664" s="27">
        <f ca="1">ROUND(E9664*F9664,2)</f>
        <v>0</v>
      </c>
    </row>
    <row r="9665" spans="1:7" ht="21.36" thickBot="1" customHeight="1">
      <c r="A9665" s="24" t="s">
        <v>30636</v>
      </c>
      <c r="B9665" s="24" t="s">
        <v>30637</v>
      </c>
      <c r="C9665" s="24" t="s">
        <v>30638</v>
      </c>
      <c r="D9665" s="25" t="s">
        <v>30639</v>
      </c>
      <c r="E9665" s="28">
        <v>0.00417</v>
      </c>
      <c r="F9665" s="29">
        <f ca="1">ROUND(188.430,3)</f>
        <v>0</v>
      </c>
      <c r="G9665" s="27">
        <f ca="1">ROUND(E9665*F9665,2)</f>
        <v>0</v>
      </c>
    </row>
    <row r="9666" spans="1:7" ht="15.12" thickBot="1" customHeight="1">
      <c r="A9666" s="26"/>
      <c r="B9666" s="26"/>
      <c r="C9666" s="26"/>
      <c r="D9666" s="24" t="s">
        <v>30640</v>
      </c>
      <c r="E9666" s="28">
        <v>0.12000</v>
      </c>
      <c r="F9666" s="29">
        <f ca="1">ROUND((G9665),3)</f>
        <v>0</v>
      </c>
      <c r="G9666" s="27">
        <f ca="1">ROUND(E9666*F9666,2)</f>
        <v>0</v>
      </c>
    </row>
    <row r="9667" spans="1:7" ht="24.36" thickBot="1" customHeight="1">
      <c r="A9667" s="24" t="s">
        <v>30641</v>
      </c>
      <c r="B9667" s="24" t="s">
        <v>30642</v>
      </c>
      <c r="C9667" s="24" t="s">
        <v>30643</v>
      </c>
      <c r="D9667" s="25" t="s">
        <v>30644</v>
      </c>
      <c r="E9667" s="28">
        <v>0.12000</v>
      </c>
      <c r="F9667" s="29">
        <f ca="1">ROUND(2.000,3)</f>
        <v>0</v>
      </c>
      <c r="G9667" s="27">
        <f ca="1">ROUND(E9667*F9667,2)</f>
        <v>0</v>
      </c>
    </row>
    <row r="9668" spans="1:7" ht="21.36" thickBot="1" customHeight="1">
      <c r="A9668" s="24" t="s">
        <v>30645</v>
      </c>
      <c r="B9668" s="24" t="s">
        <v>30646</v>
      </c>
      <c r="C9668" s="24" t="s">
        <v>30647</v>
      </c>
      <c r="D9668" s="25" t="s">
        <v>30648</v>
      </c>
      <c r="E9668" s="28">
        <v>0.20000</v>
      </c>
      <c r="F9668" s="29">
        <f ca="1">F9672</f>
        <v>0</v>
      </c>
      <c r="G9668" s="27">
        <f ca="1">ROUND(E9668*F9668,2)</f>
        <v>0</v>
      </c>
    </row>
    <row r="9669" spans="1:7" ht="24.36" thickBot="1" customHeight="1">
      <c r="A9669" s="24" t="s">
        <v>30649</v>
      </c>
      <c r="B9669" s="24" t="s">
        <v>30650</v>
      </c>
      <c r="C9669" s="24" t="s">
        <v>30651</v>
      </c>
      <c r="D9669" s="25" t="s">
        <v>30652</v>
      </c>
      <c r="E9669" s="28">
        <v>1.00000</v>
      </c>
      <c r="F9669" s="29">
        <f ca="1">ROUND(21.000,3)</f>
        <v>0</v>
      </c>
      <c r="G9669" s="27">
        <f ca="1">ROUND(E9669*F9669,2)</f>
        <v>0</v>
      </c>
    </row>
    <row r="9670" spans="1:7" ht="24.36" thickBot="1" customHeight="1">
      <c r="A9670" s="24" t="s">
        <v>30653</v>
      </c>
      <c r="B9670" s="24" t="s">
        <v>30654</v>
      </c>
      <c r="C9670" s="24" t="s">
        <v>30655</v>
      </c>
      <c r="D9670" s="25" t="s">
        <v>30656</v>
      </c>
      <c r="E9670" s="28">
        <v>1.00000</v>
      </c>
      <c r="F9670" s="29">
        <f ca="1">ROUND(19.000,3)</f>
        <v>0</v>
      </c>
      <c r="G9670" s="27">
        <f ca="1">ROUND(E9670*F9670,2)</f>
        <v>0</v>
      </c>
    </row>
    <row r="9671" spans="1:7" ht="24.36" thickBot="1" customHeight="1">
      <c r="A9671" s="24" t="s">
        <v>30657</v>
      </c>
      <c r="B9671" s="24" t="s">
        <v>30658</v>
      </c>
      <c r="C9671" s="24" t="s">
        <v>30659</v>
      </c>
      <c r="D9671" s="25" t="s">
        <v>30660</v>
      </c>
      <c r="E9671" s="28">
        <v>0.20000</v>
      </c>
      <c r="F9671" s="29">
        <f ca="1">ROUND(19.000,3)</f>
        <v>0</v>
      </c>
      <c r="G9671" s="27">
        <f ca="1">ROUND(E9671*F9671,2)</f>
        <v>0</v>
      </c>
    </row>
    <row r="9672" spans="1:7" ht="15.12" thickBot="1" customHeight="1">
      <c r="A9672" s="26"/>
      <c r="B9672" s="26"/>
      <c r="C9672" s="26"/>
      <c r="D9672" s="24" t="s">
        <v>30661</v>
      </c>
      <c r="E9672" s="28">
        <v>0.20000</v>
      </c>
      <c r="F9672" s="29">
        <f ca="1">ROUND((G9669+G9670+G9671),3)</f>
        <v>0</v>
      </c>
      <c r="G9672" s="27">
        <f ca="1">ROUND(E9672*F9672,2)</f>
        <v>0</v>
      </c>
    </row>
    <row r="9673" spans="1:7" ht="15.12" thickBot="1" customHeight="1">
      <c r="A9673" s="24" t="s">
        <v>30662</v>
      </c>
      <c r="B9673" s="24"/>
      <c r="C9673" s="24" t="s">
        <v>30663</v>
      </c>
      <c r="D9673" s="25" t="s">
        <v>30664</v>
      </c>
      <c r="E9673" s="28">
        <v>3.00000</v>
      </c>
      <c r="F9673" s="29">
        <f ca="1">ROUND(8.760,3)</f>
        <v>0</v>
      </c>
      <c r="G9673" s="27">
        <f ca="1">ROUND((E9673*F9673)/100,2)</f>
        <v>0</v>
      </c>
    </row>
    <row r="9674" spans="1:7" ht="15.48" thickBot="1" customHeight="1">
      <c r="A9674" s="30"/>
      <c r="B9674" s="30"/>
      <c r="C9674" s="30"/>
      <c r="D9674" s="31" t="s">
        <v>30665</v>
      </c>
      <c r="E9674" s="30"/>
      <c r="F9674" s="33">
        <f ca="1">ROUND((G9657+G9658+G9659+G9660+G9661+G9662+G9663+G9664+G9667+G9668+G9673)*(1+G2/100),2)</f>
        <v>0</v>
      </c>
      <c r="G9674" s="30"/>
    </row>
    <row r="9675" spans="1:7" ht="30.60" thickBot="1" customHeight="1">
      <c r="A9675" s="34" t="s">
        <v>30666</v>
      </c>
      <c r="B9675" s="35" t="s">
        <v>30667</v>
      </c>
      <c r="C9675" s="35" t="s">
        <v>30668</v>
      </c>
      <c r="D9675" s="36" t="s">
        <v>30669</v>
      </c>
      <c r="E9675" s="37"/>
      <c r="F9675" s="38">
        <f ca="1">F9686</f>
        <v>0</v>
      </c>
      <c r="G9675" s="37"/>
    </row>
    <row r="9676" spans="1:7" ht="21.36" thickBot="1" customHeight="1">
      <c r="A9676" s="26"/>
      <c r="B9676" s="26"/>
      <c r="C9676" s="26"/>
      <c r="D9676" s="25" t="s">
        <v>30670</v>
      </c>
      <c r="E9676" s="25"/>
      <c r="F9676" s="25"/>
      <c r="G9676" s="25"/>
    </row>
    <row r="9677" spans="1:7" ht="30.60" thickBot="1" customHeight="1">
      <c r="A9677" s="24" t="s">
        <v>30671</v>
      </c>
      <c r="B9677" s="24" t="s">
        <v>30672</v>
      </c>
      <c r="C9677" s="24" t="s">
        <v>30673</v>
      </c>
      <c r="D9677" s="25" t="s">
        <v>30674</v>
      </c>
      <c r="E9677" s="28">
        <v>0.16000</v>
      </c>
      <c r="F9677" s="29">
        <f ca="1">ROUND(36.370,3)</f>
        <v>0</v>
      </c>
      <c r="G9677" s="27">
        <f ca="1">ROUND(E9677*F9677,2)</f>
        <v>0</v>
      </c>
    </row>
    <row r="9678" spans="1:7" ht="49.08" thickBot="1" customHeight="1">
      <c r="A9678" s="24" t="s">
        <v>30675</v>
      </c>
      <c r="B9678" s="24" t="s">
        <v>30676</v>
      </c>
      <c r="C9678" s="24" t="s">
        <v>30677</v>
      </c>
      <c r="D9678" s="25" t="s">
        <v>30678</v>
      </c>
      <c r="E9678" s="28">
        <v>0.16000</v>
      </c>
      <c r="F9678" s="29">
        <f ca="1">ROUND(33.200,3)</f>
        <v>0</v>
      </c>
      <c r="G9678" s="27">
        <f ca="1">ROUND(E9678*F9678,2)</f>
        <v>0</v>
      </c>
    </row>
    <row r="9679" spans="1:7" ht="30.60" thickBot="1" customHeight="1">
      <c r="A9679" s="24" t="s">
        <v>30679</v>
      </c>
      <c r="B9679" s="24" t="s">
        <v>30680</v>
      </c>
      <c r="C9679" s="24" t="s">
        <v>30681</v>
      </c>
      <c r="D9679" s="25" t="s">
        <v>30682</v>
      </c>
      <c r="E9679" s="28">
        <v>0.02200</v>
      </c>
      <c r="F9679" s="29">
        <f ca="1">ROUND(52.250,3)</f>
        <v>0</v>
      </c>
      <c r="G9679" s="27">
        <f ca="1">ROUND(E9679*F9679,2)</f>
        <v>0</v>
      </c>
    </row>
    <row r="9680" spans="1:7" ht="21.36" thickBot="1" customHeight="1">
      <c r="A9680" s="24" t="s">
        <v>30683</v>
      </c>
      <c r="B9680" s="24" t="s">
        <v>30684</v>
      </c>
      <c r="C9680" s="24" t="s">
        <v>30685</v>
      </c>
      <c r="D9680" s="25" t="s">
        <v>30686</v>
      </c>
      <c r="E9680" s="28">
        <v>0.14500</v>
      </c>
      <c r="F9680" s="29">
        <f ca="1">F9684</f>
        <v>0</v>
      </c>
      <c r="G9680" s="27">
        <f ca="1">ROUND(E9680*F9680,2)</f>
        <v>0</v>
      </c>
    </row>
    <row r="9681" spans="1:7" ht="24.36" thickBot="1" customHeight="1">
      <c r="A9681" s="24" t="s">
        <v>30687</v>
      </c>
      <c r="B9681" s="24" t="s">
        <v>30688</v>
      </c>
      <c r="C9681" s="24" t="s">
        <v>30689</v>
      </c>
      <c r="D9681" s="25" t="s">
        <v>30690</v>
      </c>
      <c r="E9681" s="28">
        <v>1.00000</v>
      </c>
      <c r="F9681" s="29">
        <f ca="1">ROUND(21.000,3)</f>
        <v>0</v>
      </c>
      <c r="G9681" s="27">
        <f ca="1">ROUND(E9681*F9681,2)</f>
        <v>0</v>
      </c>
    </row>
    <row r="9682" spans="1:7" ht="24.36" thickBot="1" customHeight="1">
      <c r="A9682" s="24" t="s">
        <v>30691</v>
      </c>
      <c r="B9682" s="24" t="s">
        <v>30692</v>
      </c>
      <c r="C9682" s="24" t="s">
        <v>30693</v>
      </c>
      <c r="D9682" s="25" t="s">
        <v>30694</v>
      </c>
      <c r="E9682" s="28">
        <v>1.00000</v>
      </c>
      <c r="F9682" s="29">
        <f ca="1">ROUND(19.000,3)</f>
        <v>0</v>
      </c>
      <c r="G9682" s="27">
        <f ca="1">ROUND(E9682*F9682,2)</f>
        <v>0</v>
      </c>
    </row>
    <row r="9683" spans="1:7" ht="24.36" thickBot="1" customHeight="1">
      <c r="A9683" s="24" t="s">
        <v>30695</v>
      </c>
      <c r="B9683" s="24" t="s">
        <v>30696</v>
      </c>
      <c r="C9683" s="24" t="s">
        <v>30697</v>
      </c>
      <c r="D9683" s="25" t="s">
        <v>30698</v>
      </c>
      <c r="E9683" s="28">
        <v>0.20000</v>
      </c>
      <c r="F9683" s="29">
        <f ca="1">ROUND(19.000,3)</f>
        <v>0</v>
      </c>
      <c r="G9683" s="27">
        <f ca="1">ROUND(E9683*F9683,2)</f>
        <v>0</v>
      </c>
    </row>
    <row r="9684" spans="1:7" ht="15.12" thickBot="1" customHeight="1">
      <c r="A9684" s="26"/>
      <c r="B9684" s="26"/>
      <c r="C9684" s="26"/>
      <c r="D9684" s="24" t="s">
        <v>30699</v>
      </c>
      <c r="E9684" s="28">
        <v>0.14500</v>
      </c>
      <c r="F9684" s="29">
        <f ca="1">ROUND((G9681+G9682+G9683),3)</f>
        <v>0</v>
      </c>
      <c r="G9684" s="27">
        <f ca="1">ROUND(E9684*F9684,2)</f>
        <v>0</v>
      </c>
    </row>
    <row r="9685" spans="1:7" ht="15.12" thickBot="1" customHeight="1">
      <c r="A9685" s="24" t="s">
        <v>30700</v>
      </c>
      <c r="B9685" s="24"/>
      <c r="C9685" s="24" t="s">
        <v>30701</v>
      </c>
      <c r="D9685" s="25" t="s">
        <v>30702</v>
      </c>
      <c r="E9685" s="28">
        <v>3.00000</v>
      </c>
      <c r="F9685" s="29">
        <f ca="1">ROUND(6.350,3)</f>
        <v>0</v>
      </c>
      <c r="G9685" s="27">
        <f ca="1">ROUND((E9685*F9685)/100,2)</f>
        <v>0</v>
      </c>
    </row>
    <row r="9686" spans="1:7" ht="15.48" thickBot="1" customHeight="1">
      <c r="A9686" s="30"/>
      <c r="B9686" s="30"/>
      <c r="C9686" s="30"/>
      <c r="D9686" s="31" t="s">
        <v>30703</v>
      </c>
      <c r="E9686" s="30"/>
      <c r="F9686" s="33">
        <f ca="1">ROUND((G9677+G9678+G9679+G9680+G9685)*(1+G2/100),2)</f>
        <v>0</v>
      </c>
      <c r="G9686" s="30"/>
    </row>
    <row r="9687" spans="1:7" ht="30.60" thickBot="1" customHeight="1">
      <c r="A9687" s="34" t="s">
        <v>30704</v>
      </c>
      <c r="B9687" s="35" t="s">
        <v>30705</v>
      </c>
      <c r="C9687" s="35" t="s">
        <v>30706</v>
      </c>
      <c r="D9687" s="36" t="s">
        <v>30707</v>
      </c>
      <c r="E9687" s="37"/>
      <c r="F9687" s="38">
        <f ca="1">F9698</f>
        <v>0</v>
      </c>
      <c r="G9687" s="37"/>
    </row>
    <row r="9688" spans="1:7" ht="21.36" thickBot="1" customHeight="1">
      <c r="A9688" s="26"/>
      <c r="B9688" s="26"/>
      <c r="C9688" s="26"/>
      <c r="D9688" s="25" t="s">
        <v>30708</v>
      </c>
      <c r="E9688" s="25"/>
      <c r="F9688" s="25"/>
      <c r="G9688" s="25"/>
    </row>
    <row r="9689" spans="1:7" ht="30.60" thickBot="1" customHeight="1">
      <c r="A9689" s="24" t="s">
        <v>30709</v>
      </c>
      <c r="B9689" s="24" t="s">
        <v>30710</v>
      </c>
      <c r="C9689" s="24" t="s">
        <v>30711</v>
      </c>
      <c r="D9689" s="25" t="s">
        <v>30712</v>
      </c>
      <c r="E9689" s="28">
        <v>0.22900</v>
      </c>
      <c r="F9689" s="29">
        <f ca="1">ROUND(33.600,3)</f>
        <v>0</v>
      </c>
      <c r="G9689" s="27">
        <f ca="1">ROUND(E9689*F9689,2)</f>
        <v>0</v>
      </c>
    </row>
    <row r="9690" spans="1:7" ht="49.08" thickBot="1" customHeight="1">
      <c r="A9690" s="24" t="s">
        <v>30713</v>
      </c>
      <c r="B9690" s="24" t="s">
        <v>30714</v>
      </c>
      <c r="C9690" s="24" t="s">
        <v>30715</v>
      </c>
      <c r="D9690" s="25" t="s">
        <v>30716</v>
      </c>
      <c r="E9690" s="28">
        <v>0.16000</v>
      </c>
      <c r="F9690" s="29">
        <f ca="1">ROUND(33.200,3)</f>
        <v>0</v>
      </c>
      <c r="G9690" s="27">
        <f ca="1">ROUND(E9690*F9690,2)</f>
        <v>0</v>
      </c>
    </row>
    <row r="9691" spans="1:7" ht="30.60" thickBot="1" customHeight="1">
      <c r="A9691" s="24" t="s">
        <v>30717</v>
      </c>
      <c r="B9691" s="24" t="s">
        <v>30718</v>
      </c>
      <c r="C9691" s="24" t="s">
        <v>30719</v>
      </c>
      <c r="D9691" s="25" t="s">
        <v>30720</v>
      </c>
      <c r="E9691" s="28">
        <v>0.02200</v>
      </c>
      <c r="F9691" s="29">
        <f ca="1">ROUND(52.250,3)</f>
        <v>0</v>
      </c>
      <c r="G9691" s="27">
        <f ca="1">ROUND(E9691*F9691,2)</f>
        <v>0</v>
      </c>
    </row>
    <row r="9692" spans="1:7" ht="21.36" thickBot="1" customHeight="1">
      <c r="A9692" s="24" t="s">
        <v>30721</v>
      </c>
      <c r="B9692" s="24" t="s">
        <v>30722</v>
      </c>
      <c r="C9692" s="24" t="s">
        <v>30723</v>
      </c>
      <c r="D9692" s="25" t="s">
        <v>30724</v>
      </c>
      <c r="E9692" s="28">
        <v>0.15000</v>
      </c>
      <c r="F9692" s="29">
        <f ca="1">F9696</f>
        <v>0</v>
      </c>
      <c r="G9692" s="27">
        <f ca="1">ROUND(E9692*F9692,2)</f>
        <v>0</v>
      </c>
    </row>
    <row r="9693" spans="1:7" ht="24.36" thickBot="1" customHeight="1">
      <c r="A9693" s="24" t="s">
        <v>30725</v>
      </c>
      <c r="B9693" s="24" t="s">
        <v>30726</v>
      </c>
      <c r="C9693" s="24" t="s">
        <v>30727</v>
      </c>
      <c r="D9693" s="25" t="s">
        <v>30728</v>
      </c>
      <c r="E9693" s="28">
        <v>1.00000</v>
      </c>
      <c r="F9693" s="29">
        <f ca="1">ROUND(21.000,3)</f>
        <v>0</v>
      </c>
      <c r="G9693" s="27">
        <f ca="1">ROUND(E9693*F9693,2)</f>
        <v>0</v>
      </c>
    </row>
    <row r="9694" spans="1:7" ht="24.36" thickBot="1" customHeight="1">
      <c r="A9694" s="24" t="s">
        <v>30729</v>
      </c>
      <c r="B9694" s="24" t="s">
        <v>30730</v>
      </c>
      <c r="C9694" s="24" t="s">
        <v>30731</v>
      </c>
      <c r="D9694" s="25" t="s">
        <v>30732</v>
      </c>
      <c r="E9694" s="28">
        <v>1.00000</v>
      </c>
      <c r="F9694" s="29">
        <f ca="1">ROUND(19.000,3)</f>
        <v>0</v>
      </c>
      <c r="G9694" s="27">
        <f ca="1">ROUND(E9694*F9694,2)</f>
        <v>0</v>
      </c>
    </row>
    <row r="9695" spans="1:7" ht="24.36" thickBot="1" customHeight="1">
      <c r="A9695" s="24" t="s">
        <v>30733</v>
      </c>
      <c r="B9695" s="24" t="s">
        <v>30734</v>
      </c>
      <c r="C9695" s="24" t="s">
        <v>30735</v>
      </c>
      <c r="D9695" s="25" t="s">
        <v>30736</v>
      </c>
      <c r="E9695" s="28">
        <v>0.20000</v>
      </c>
      <c r="F9695" s="29">
        <f ca="1">ROUND(19.000,3)</f>
        <v>0</v>
      </c>
      <c r="G9695" s="27">
        <f ca="1">ROUND(E9695*F9695,2)</f>
        <v>0</v>
      </c>
    </row>
    <row r="9696" spans="1:7" ht="15.12" thickBot="1" customHeight="1">
      <c r="A9696" s="26"/>
      <c r="B9696" s="26"/>
      <c r="C9696" s="26"/>
      <c r="D9696" s="24" t="s">
        <v>30737</v>
      </c>
      <c r="E9696" s="28">
        <v>0.15000</v>
      </c>
      <c r="F9696" s="29">
        <f ca="1">ROUND((G9693+G9694+G9695),3)</f>
        <v>0</v>
      </c>
      <c r="G9696" s="27">
        <f ca="1">ROUND(E9696*F9696,2)</f>
        <v>0</v>
      </c>
    </row>
    <row r="9697" spans="1:7" ht="15.12" thickBot="1" customHeight="1">
      <c r="A9697" s="24" t="s">
        <v>30738</v>
      </c>
      <c r="B9697" s="24"/>
      <c r="C9697" s="24" t="s">
        <v>30739</v>
      </c>
      <c r="D9697" s="25" t="s">
        <v>30740</v>
      </c>
      <c r="E9697" s="28">
        <v>3.00000</v>
      </c>
      <c r="F9697" s="29">
        <f ca="1">ROUND(6.570,3)</f>
        <v>0</v>
      </c>
      <c r="G9697" s="27">
        <f ca="1">ROUND((E9697*F9697)/100,2)</f>
        <v>0</v>
      </c>
    </row>
    <row r="9698" spans="1:7" ht="15.48" thickBot="1" customHeight="1">
      <c r="A9698" s="30"/>
      <c r="B9698" s="30"/>
      <c r="C9698" s="30"/>
      <c r="D9698" s="31" t="s">
        <v>30741</v>
      </c>
      <c r="E9698" s="30"/>
      <c r="F9698" s="33">
        <f ca="1">ROUND((G9689+G9690+G9691+G9692+G9697)*(1+G2/100),2)</f>
        <v>0</v>
      </c>
      <c r="G9698" s="30"/>
    </row>
    <row r="9699" spans="1:7" ht="30.60" thickBot="1" customHeight="1">
      <c r="A9699" s="34" t="s">
        <v>30742</v>
      </c>
      <c r="B9699" s="35" t="s">
        <v>30743</v>
      </c>
      <c r="C9699" s="35" t="s">
        <v>30744</v>
      </c>
      <c r="D9699" s="36" t="s">
        <v>30745</v>
      </c>
      <c r="E9699" s="37"/>
      <c r="F9699" s="38">
        <f ca="1">F9710</f>
        <v>0</v>
      </c>
      <c r="G9699" s="37"/>
    </row>
    <row r="9700" spans="1:7" ht="21.36" thickBot="1" customHeight="1">
      <c r="A9700" s="26"/>
      <c r="B9700" s="26"/>
      <c r="C9700" s="26"/>
      <c r="D9700" s="25" t="s">
        <v>30746</v>
      </c>
      <c r="E9700" s="25"/>
      <c r="F9700" s="25"/>
      <c r="G9700" s="25"/>
    </row>
    <row r="9701" spans="1:7" ht="30.60" thickBot="1" customHeight="1">
      <c r="A9701" s="24" t="s">
        <v>30747</v>
      </c>
      <c r="B9701" s="24" t="s">
        <v>30748</v>
      </c>
      <c r="C9701" s="24" t="s">
        <v>30749</v>
      </c>
      <c r="D9701" s="25" t="s">
        <v>30750</v>
      </c>
      <c r="E9701" s="28">
        <v>0.32000</v>
      </c>
      <c r="F9701" s="29">
        <f ca="1">ROUND(31.990,3)</f>
        <v>0</v>
      </c>
      <c r="G9701" s="27">
        <f ca="1">ROUND(E9701*F9701,2)</f>
        <v>0</v>
      </c>
    </row>
    <row r="9702" spans="1:7" ht="49.08" thickBot="1" customHeight="1">
      <c r="A9702" s="24" t="s">
        <v>30751</v>
      </c>
      <c r="B9702" s="24" t="s">
        <v>30752</v>
      </c>
      <c r="C9702" s="24" t="s">
        <v>30753</v>
      </c>
      <c r="D9702" s="25" t="s">
        <v>30754</v>
      </c>
      <c r="E9702" s="28">
        <v>0.16000</v>
      </c>
      <c r="F9702" s="29">
        <f ca="1">ROUND(33.200,3)</f>
        <v>0</v>
      </c>
      <c r="G9702" s="27">
        <f ca="1">ROUND(E9702*F9702,2)</f>
        <v>0</v>
      </c>
    </row>
    <row r="9703" spans="1:7" ht="30.60" thickBot="1" customHeight="1">
      <c r="A9703" s="24" t="s">
        <v>30755</v>
      </c>
      <c r="B9703" s="24" t="s">
        <v>30756</v>
      </c>
      <c r="C9703" s="24" t="s">
        <v>30757</v>
      </c>
      <c r="D9703" s="25" t="s">
        <v>30758</v>
      </c>
      <c r="E9703" s="28">
        <v>0.02200</v>
      </c>
      <c r="F9703" s="29">
        <f ca="1">ROUND(52.250,3)</f>
        <v>0</v>
      </c>
      <c r="G9703" s="27">
        <f ca="1">ROUND(E9703*F9703,2)</f>
        <v>0</v>
      </c>
    </row>
    <row r="9704" spans="1:7" ht="21.36" thickBot="1" customHeight="1">
      <c r="A9704" s="24" t="s">
        <v>30759</v>
      </c>
      <c r="B9704" s="24" t="s">
        <v>30760</v>
      </c>
      <c r="C9704" s="24" t="s">
        <v>30761</v>
      </c>
      <c r="D9704" s="25" t="s">
        <v>30762</v>
      </c>
      <c r="E9704" s="28">
        <v>0.16000</v>
      </c>
      <c r="F9704" s="29">
        <f ca="1">F9708</f>
        <v>0</v>
      </c>
      <c r="G9704" s="27">
        <f ca="1">ROUND(E9704*F9704,2)</f>
        <v>0</v>
      </c>
    </row>
    <row r="9705" spans="1:7" ht="24.36" thickBot="1" customHeight="1">
      <c r="A9705" s="24" t="s">
        <v>30763</v>
      </c>
      <c r="B9705" s="24" t="s">
        <v>30764</v>
      </c>
      <c r="C9705" s="24" t="s">
        <v>30765</v>
      </c>
      <c r="D9705" s="25" t="s">
        <v>30766</v>
      </c>
      <c r="E9705" s="28">
        <v>1.00000</v>
      </c>
      <c r="F9705" s="29">
        <f ca="1">ROUND(21.000,3)</f>
        <v>0</v>
      </c>
      <c r="G9705" s="27">
        <f ca="1">ROUND(E9705*F9705,2)</f>
        <v>0</v>
      </c>
    </row>
    <row r="9706" spans="1:7" ht="24.36" thickBot="1" customHeight="1">
      <c r="A9706" s="24" t="s">
        <v>30767</v>
      </c>
      <c r="B9706" s="24" t="s">
        <v>30768</v>
      </c>
      <c r="C9706" s="24" t="s">
        <v>30769</v>
      </c>
      <c r="D9706" s="25" t="s">
        <v>30770</v>
      </c>
      <c r="E9706" s="28">
        <v>1.00000</v>
      </c>
      <c r="F9706" s="29">
        <f ca="1">ROUND(19.000,3)</f>
        <v>0</v>
      </c>
      <c r="G9706" s="27">
        <f ca="1">ROUND(E9706*F9706,2)</f>
        <v>0</v>
      </c>
    </row>
    <row r="9707" spans="1:7" ht="24.36" thickBot="1" customHeight="1">
      <c r="A9707" s="24" t="s">
        <v>30771</v>
      </c>
      <c r="B9707" s="24" t="s">
        <v>30772</v>
      </c>
      <c r="C9707" s="24" t="s">
        <v>30773</v>
      </c>
      <c r="D9707" s="25" t="s">
        <v>30774</v>
      </c>
      <c r="E9707" s="28">
        <v>0.20000</v>
      </c>
      <c r="F9707" s="29">
        <f ca="1">ROUND(19.000,3)</f>
        <v>0</v>
      </c>
      <c r="G9707" s="27">
        <f ca="1">ROUND(E9707*F9707,2)</f>
        <v>0</v>
      </c>
    </row>
    <row r="9708" spans="1:7" ht="15.12" thickBot="1" customHeight="1">
      <c r="A9708" s="26"/>
      <c r="B9708" s="26"/>
      <c r="C9708" s="26"/>
      <c r="D9708" s="24" t="s">
        <v>30775</v>
      </c>
      <c r="E9708" s="28">
        <v>0.16000</v>
      </c>
      <c r="F9708" s="29">
        <f ca="1">ROUND((G9705+G9706+G9707),3)</f>
        <v>0</v>
      </c>
      <c r="G9708" s="27">
        <f ca="1">ROUND(E9708*F9708,2)</f>
        <v>0</v>
      </c>
    </row>
    <row r="9709" spans="1:7" ht="15.12" thickBot="1" customHeight="1">
      <c r="A9709" s="24" t="s">
        <v>30776</v>
      </c>
      <c r="B9709" s="24"/>
      <c r="C9709" s="24" t="s">
        <v>30777</v>
      </c>
      <c r="D9709" s="25" t="s">
        <v>30778</v>
      </c>
      <c r="E9709" s="28">
        <v>3.00000</v>
      </c>
      <c r="F9709" s="29">
        <f ca="1">ROUND(7.010,3)</f>
        <v>0</v>
      </c>
      <c r="G9709" s="27">
        <f ca="1">ROUND((E9709*F9709)/100,2)</f>
        <v>0</v>
      </c>
    </row>
    <row r="9710" spans="1:7" ht="15.48" thickBot="1" customHeight="1">
      <c r="A9710" s="30"/>
      <c r="B9710" s="30"/>
      <c r="C9710" s="30"/>
      <c r="D9710" s="31" t="s">
        <v>30779</v>
      </c>
      <c r="E9710" s="30"/>
      <c r="F9710" s="33">
        <f ca="1">ROUND((G9701+G9702+G9703+G9704+G9709)*(1+G2/100),2)</f>
        <v>0</v>
      </c>
      <c r="G9710" s="30"/>
    </row>
    <row r="9711" spans="1:7" ht="30.60" thickBot="1" customHeight="1">
      <c r="A9711" s="34" t="s">
        <v>30780</v>
      </c>
      <c r="B9711" s="35" t="s">
        <v>30781</v>
      </c>
      <c r="C9711" s="35" t="s">
        <v>30782</v>
      </c>
      <c r="D9711" s="36" t="s">
        <v>30783</v>
      </c>
      <c r="E9711" s="37"/>
      <c r="F9711" s="38">
        <f ca="1">F9722</f>
        <v>0</v>
      </c>
      <c r="G9711" s="37"/>
    </row>
    <row r="9712" spans="1:7" ht="12.12" thickBot="1" customHeight="1">
      <c r="A9712" s="26"/>
      <c r="B9712" s="26"/>
      <c r="C9712" s="26"/>
      <c r="D9712" s="25" t="s">
        <v>30784</v>
      </c>
      <c r="E9712" s="25"/>
      <c r="F9712" s="25"/>
      <c r="G9712" s="25"/>
    </row>
    <row r="9713" spans="1:7" ht="30.60" thickBot="1" customHeight="1">
      <c r="A9713" s="24" t="s">
        <v>30785</v>
      </c>
      <c r="B9713" s="24" t="s">
        <v>30786</v>
      </c>
      <c r="C9713" s="24" t="s">
        <v>30787</v>
      </c>
      <c r="D9713" s="25" t="s">
        <v>30788</v>
      </c>
      <c r="E9713" s="28">
        <v>2.10000</v>
      </c>
      <c r="F9713" s="29">
        <f ca="1">ROUND(2.490,3)</f>
        <v>0</v>
      </c>
      <c r="G9713" s="27">
        <f ca="1">ROUND(E9713*F9713,2)</f>
        <v>0</v>
      </c>
    </row>
    <row r="9714" spans="1:7" ht="49.08" thickBot="1" customHeight="1">
      <c r="A9714" s="24" t="s">
        <v>30789</v>
      </c>
      <c r="B9714" s="24" t="s">
        <v>30790</v>
      </c>
      <c r="C9714" s="24" t="s">
        <v>30791</v>
      </c>
      <c r="D9714" s="25" t="s">
        <v>30792</v>
      </c>
      <c r="E9714" s="28">
        <v>0.16000</v>
      </c>
      <c r="F9714" s="29">
        <f ca="1">ROUND(33.200,3)</f>
        <v>0</v>
      </c>
      <c r="G9714" s="27">
        <f ca="1">ROUND(E9714*F9714,2)</f>
        <v>0</v>
      </c>
    </row>
    <row r="9715" spans="1:7" ht="30.60" thickBot="1" customHeight="1">
      <c r="A9715" s="24" t="s">
        <v>30793</v>
      </c>
      <c r="B9715" s="24" t="s">
        <v>30794</v>
      </c>
      <c r="C9715" s="24" t="s">
        <v>30795</v>
      </c>
      <c r="D9715" s="25" t="s">
        <v>30796</v>
      </c>
      <c r="E9715" s="28">
        <v>0.02200</v>
      </c>
      <c r="F9715" s="29">
        <f ca="1">ROUND(52.250,3)</f>
        <v>0</v>
      </c>
      <c r="G9715" s="27">
        <f ca="1">ROUND(E9715*F9715,2)</f>
        <v>0</v>
      </c>
    </row>
    <row r="9716" spans="1:7" ht="21.36" thickBot="1" customHeight="1">
      <c r="A9716" s="24" t="s">
        <v>30797</v>
      </c>
      <c r="B9716" s="24" t="s">
        <v>30798</v>
      </c>
      <c r="C9716" s="24" t="s">
        <v>30799</v>
      </c>
      <c r="D9716" s="25" t="s">
        <v>30800</v>
      </c>
      <c r="E9716" s="28">
        <v>0.14500</v>
      </c>
      <c r="F9716" s="29">
        <f ca="1">F9720</f>
        <v>0</v>
      </c>
      <c r="G9716" s="27">
        <f ca="1">ROUND(E9716*F9716,2)</f>
        <v>0</v>
      </c>
    </row>
    <row r="9717" spans="1:7" ht="24.36" thickBot="1" customHeight="1">
      <c r="A9717" s="24" t="s">
        <v>30801</v>
      </c>
      <c r="B9717" s="24" t="s">
        <v>30802</v>
      </c>
      <c r="C9717" s="24" t="s">
        <v>30803</v>
      </c>
      <c r="D9717" s="25" t="s">
        <v>30804</v>
      </c>
      <c r="E9717" s="28">
        <v>1.00000</v>
      </c>
      <c r="F9717" s="29">
        <f ca="1">ROUND(21.000,3)</f>
        <v>0</v>
      </c>
      <c r="G9717" s="27">
        <f ca="1">ROUND(E9717*F9717,2)</f>
        <v>0</v>
      </c>
    </row>
    <row r="9718" spans="1:7" ht="24.36" thickBot="1" customHeight="1">
      <c r="A9718" s="24" t="s">
        <v>30805</v>
      </c>
      <c r="B9718" s="24" t="s">
        <v>30806</v>
      </c>
      <c r="C9718" s="24" t="s">
        <v>30807</v>
      </c>
      <c r="D9718" s="25" t="s">
        <v>30808</v>
      </c>
      <c r="E9718" s="28">
        <v>1.00000</v>
      </c>
      <c r="F9718" s="29">
        <f ca="1">ROUND(19.000,3)</f>
        <v>0</v>
      </c>
      <c r="G9718" s="27">
        <f ca="1">ROUND(E9718*F9718,2)</f>
        <v>0</v>
      </c>
    </row>
    <row r="9719" spans="1:7" ht="24.36" thickBot="1" customHeight="1">
      <c r="A9719" s="24" t="s">
        <v>30809</v>
      </c>
      <c r="B9719" s="24" t="s">
        <v>30810</v>
      </c>
      <c r="C9719" s="24" t="s">
        <v>30811</v>
      </c>
      <c r="D9719" s="25" t="s">
        <v>30812</v>
      </c>
      <c r="E9719" s="28">
        <v>0.20000</v>
      </c>
      <c r="F9719" s="29">
        <f ca="1">ROUND(19.000,3)</f>
        <v>0</v>
      </c>
      <c r="G9719" s="27">
        <f ca="1">ROUND(E9719*F9719,2)</f>
        <v>0</v>
      </c>
    </row>
    <row r="9720" spans="1:7" ht="15.12" thickBot="1" customHeight="1">
      <c r="A9720" s="26"/>
      <c r="B9720" s="26"/>
      <c r="C9720" s="26"/>
      <c r="D9720" s="24" t="s">
        <v>30813</v>
      </c>
      <c r="E9720" s="28">
        <v>0.14500</v>
      </c>
      <c r="F9720" s="29">
        <f ca="1">ROUND((G9717+G9718+G9719),3)</f>
        <v>0</v>
      </c>
      <c r="G9720" s="27">
        <f ca="1">ROUND(E9720*F9720,2)</f>
        <v>0</v>
      </c>
    </row>
    <row r="9721" spans="1:7" ht="15.12" thickBot="1" customHeight="1">
      <c r="A9721" s="24" t="s">
        <v>30814</v>
      </c>
      <c r="B9721" s="24"/>
      <c r="C9721" s="24" t="s">
        <v>30815</v>
      </c>
      <c r="D9721" s="25" t="s">
        <v>30816</v>
      </c>
      <c r="E9721" s="28">
        <v>3.00000</v>
      </c>
      <c r="F9721" s="29">
        <f ca="1">ROUND(6.350,3)</f>
        <v>0</v>
      </c>
      <c r="G9721" s="27">
        <f ca="1">ROUND((E9721*F9721)/100,2)</f>
        <v>0</v>
      </c>
    </row>
    <row r="9722" spans="1:7" ht="15.48" thickBot="1" customHeight="1">
      <c r="A9722" s="30"/>
      <c r="B9722" s="30"/>
      <c r="C9722" s="30"/>
      <c r="D9722" s="31" t="s">
        <v>30817</v>
      </c>
      <c r="E9722" s="30"/>
      <c r="F9722" s="33">
        <f ca="1">ROUND((G9713+G9714+G9715+G9716+G9721)*(1+G2/100),2)</f>
        <v>0</v>
      </c>
      <c r="G9722" s="30"/>
    </row>
    <row r="9723" spans="1:7" ht="30.60" thickBot="1" customHeight="1">
      <c r="A9723" s="34" t="s">
        <v>30818</v>
      </c>
      <c r="B9723" s="35" t="s">
        <v>30819</v>
      </c>
      <c r="C9723" s="35" t="s">
        <v>30820</v>
      </c>
      <c r="D9723" s="36" t="s">
        <v>30821</v>
      </c>
      <c r="E9723" s="37"/>
      <c r="F9723" s="38">
        <f ca="1">F9734</f>
        <v>0</v>
      </c>
      <c r="G9723" s="37"/>
    </row>
    <row r="9724" spans="1:7" ht="21.36" thickBot="1" customHeight="1">
      <c r="A9724" s="26"/>
      <c r="B9724" s="26"/>
      <c r="C9724" s="26"/>
      <c r="D9724" s="25" t="s">
        <v>30822</v>
      </c>
      <c r="E9724" s="25"/>
      <c r="F9724" s="25"/>
      <c r="G9724" s="25"/>
    </row>
    <row r="9725" spans="1:7" ht="30.60" thickBot="1" customHeight="1">
      <c r="A9725" s="24" t="s">
        <v>30823</v>
      </c>
      <c r="B9725" s="24" t="s">
        <v>30824</v>
      </c>
      <c r="C9725" s="24" t="s">
        <v>30825</v>
      </c>
      <c r="D9725" s="25" t="s">
        <v>30826</v>
      </c>
      <c r="E9725" s="28">
        <v>2.10000</v>
      </c>
      <c r="F9725" s="29">
        <f ca="1">ROUND(3.380,3)</f>
        <v>0</v>
      </c>
      <c r="G9725" s="27">
        <f ca="1">ROUND(E9725*F9725,2)</f>
        <v>0</v>
      </c>
    </row>
    <row r="9726" spans="1:7" ht="49.08" thickBot="1" customHeight="1">
      <c r="A9726" s="24" t="s">
        <v>30827</v>
      </c>
      <c r="B9726" s="24" t="s">
        <v>30828</v>
      </c>
      <c r="C9726" s="24" t="s">
        <v>30829</v>
      </c>
      <c r="D9726" s="25" t="s">
        <v>30830</v>
      </c>
      <c r="E9726" s="28">
        <v>0.16000</v>
      </c>
      <c r="F9726" s="29">
        <f ca="1">ROUND(33.200,3)</f>
        <v>0</v>
      </c>
      <c r="G9726" s="27">
        <f ca="1">ROUND(E9726*F9726,2)</f>
        <v>0</v>
      </c>
    </row>
    <row r="9727" spans="1:7" ht="30.60" thickBot="1" customHeight="1">
      <c r="A9727" s="24" t="s">
        <v>30831</v>
      </c>
      <c r="B9727" s="24" t="s">
        <v>30832</v>
      </c>
      <c r="C9727" s="24" t="s">
        <v>30833</v>
      </c>
      <c r="D9727" s="25" t="s">
        <v>30834</v>
      </c>
      <c r="E9727" s="28">
        <v>0.02200</v>
      </c>
      <c r="F9727" s="29">
        <f ca="1">ROUND(52.250,3)</f>
        <v>0</v>
      </c>
      <c r="G9727" s="27">
        <f ca="1">ROUND(E9727*F9727,2)</f>
        <v>0</v>
      </c>
    </row>
    <row r="9728" spans="1:7" ht="21.36" thickBot="1" customHeight="1">
      <c r="A9728" s="24" t="s">
        <v>30835</v>
      </c>
      <c r="B9728" s="24" t="s">
        <v>30836</v>
      </c>
      <c r="C9728" s="24" t="s">
        <v>30837</v>
      </c>
      <c r="D9728" s="25" t="s">
        <v>30838</v>
      </c>
      <c r="E9728" s="28">
        <v>0.15000</v>
      </c>
      <c r="F9728" s="29">
        <f ca="1">F9732</f>
        <v>0</v>
      </c>
      <c r="G9728" s="27">
        <f ca="1">ROUND(E9728*F9728,2)</f>
        <v>0</v>
      </c>
    </row>
    <row r="9729" spans="1:7" ht="24.36" thickBot="1" customHeight="1">
      <c r="A9729" s="24" t="s">
        <v>30839</v>
      </c>
      <c r="B9729" s="24" t="s">
        <v>30840</v>
      </c>
      <c r="C9729" s="24" t="s">
        <v>30841</v>
      </c>
      <c r="D9729" s="25" t="s">
        <v>30842</v>
      </c>
      <c r="E9729" s="28">
        <v>1.00000</v>
      </c>
      <c r="F9729" s="29">
        <f ca="1">ROUND(21.000,3)</f>
        <v>0</v>
      </c>
      <c r="G9729" s="27">
        <f ca="1">ROUND(E9729*F9729,2)</f>
        <v>0</v>
      </c>
    </row>
    <row r="9730" spans="1:7" ht="24.36" thickBot="1" customHeight="1">
      <c r="A9730" s="24" t="s">
        <v>30843</v>
      </c>
      <c r="B9730" s="24" t="s">
        <v>30844</v>
      </c>
      <c r="C9730" s="24" t="s">
        <v>30845</v>
      </c>
      <c r="D9730" s="25" t="s">
        <v>30846</v>
      </c>
      <c r="E9730" s="28">
        <v>1.00000</v>
      </c>
      <c r="F9730" s="29">
        <f ca="1">ROUND(19.000,3)</f>
        <v>0</v>
      </c>
      <c r="G9730" s="27">
        <f ca="1">ROUND(E9730*F9730,2)</f>
        <v>0</v>
      </c>
    </row>
    <row r="9731" spans="1:7" ht="24.36" thickBot="1" customHeight="1">
      <c r="A9731" s="24" t="s">
        <v>30847</v>
      </c>
      <c r="B9731" s="24" t="s">
        <v>30848</v>
      </c>
      <c r="C9731" s="24" t="s">
        <v>30849</v>
      </c>
      <c r="D9731" s="25" t="s">
        <v>30850</v>
      </c>
      <c r="E9731" s="28">
        <v>0.20000</v>
      </c>
      <c r="F9731" s="29">
        <f ca="1">ROUND(19.000,3)</f>
        <v>0</v>
      </c>
      <c r="G9731" s="27">
        <f ca="1">ROUND(E9731*F9731,2)</f>
        <v>0</v>
      </c>
    </row>
    <row r="9732" spans="1:7" ht="15.12" thickBot="1" customHeight="1">
      <c r="A9732" s="26"/>
      <c r="B9732" s="26"/>
      <c r="C9732" s="26"/>
      <c r="D9732" s="24" t="s">
        <v>30851</v>
      </c>
      <c r="E9732" s="28">
        <v>0.15000</v>
      </c>
      <c r="F9732" s="29">
        <f ca="1">ROUND((G9729+G9730+G9731),3)</f>
        <v>0</v>
      </c>
      <c r="G9732" s="27">
        <f ca="1">ROUND(E9732*F9732,2)</f>
        <v>0</v>
      </c>
    </row>
    <row r="9733" spans="1:7" ht="15.12" thickBot="1" customHeight="1">
      <c r="A9733" s="24" t="s">
        <v>30852</v>
      </c>
      <c r="B9733" s="24"/>
      <c r="C9733" s="24" t="s">
        <v>30853</v>
      </c>
      <c r="D9733" s="25" t="s">
        <v>30854</v>
      </c>
      <c r="E9733" s="28">
        <v>3.00000</v>
      </c>
      <c r="F9733" s="29">
        <f ca="1">ROUND(6.570,3)</f>
        <v>0</v>
      </c>
      <c r="G9733" s="27">
        <f ca="1">ROUND((E9733*F9733)/100,2)</f>
        <v>0</v>
      </c>
    </row>
    <row r="9734" spans="1:7" ht="15.48" thickBot="1" customHeight="1">
      <c r="A9734" s="30"/>
      <c r="B9734" s="30"/>
      <c r="C9734" s="30"/>
      <c r="D9734" s="31" t="s">
        <v>30855</v>
      </c>
      <c r="E9734" s="30"/>
      <c r="F9734" s="33">
        <f ca="1">ROUND((G9725+G9726+G9727+G9728+G9733)*(1+G2/100),2)</f>
        <v>0</v>
      </c>
      <c r="G9734" s="30"/>
    </row>
    <row r="9735" spans="1:7" ht="30.60" thickBot="1" customHeight="1">
      <c r="A9735" s="34" t="s">
        <v>30856</v>
      </c>
      <c r="B9735" s="35" t="s">
        <v>30857</v>
      </c>
      <c r="C9735" s="35" t="s">
        <v>30858</v>
      </c>
      <c r="D9735" s="36" t="s">
        <v>30859</v>
      </c>
      <c r="E9735" s="37"/>
      <c r="F9735" s="38">
        <f ca="1">F9746</f>
        <v>0</v>
      </c>
      <c r="G9735" s="37"/>
    </row>
    <row r="9736" spans="1:7" ht="21.36" thickBot="1" customHeight="1">
      <c r="A9736" s="26"/>
      <c r="B9736" s="26"/>
      <c r="C9736" s="26"/>
      <c r="D9736" s="25" t="s">
        <v>30860</v>
      </c>
      <c r="E9736" s="25"/>
      <c r="F9736" s="25"/>
      <c r="G9736" s="25"/>
    </row>
    <row r="9737" spans="1:7" ht="30.60" thickBot="1" customHeight="1">
      <c r="A9737" s="24" t="s">
        <v>30861</v>
      </c>
      <c r="B9737" s="24" t="s">
        <v>30862</v>
      </c>
      <c r="C9737" s="24" t="s">
        <v>30863</v>
      </c>
      <c r="D9737" s="25" t="s">
        <v>30864</v>
      </c>
      <c r="E9737" s="28">
        <v>2.10000</v>
      </c>
      <c r="F9737" s="29">
        <f ca="1">ROUND(4.680,3)</f>
        <v>0</v>
      </c>
      <c r="G9737" s="27">
        <f ca="1">ROUND(E9737*F9737,2)</f>
        <v>0</v>
      </c>
    </row>
    <row r="9738" spans="1:7" ht="49.08" thickBot="1" customHeight="1">
      <c r="A9738" s="24" t="s">
        <v>30865</v>
      </c>
      <c r="B9738" s="24" t="s">
        <v>30866</v>
      </c>
      <c r="C9738" s="24" t="s">
        <v>30867</v>
      </c>
      <c r="D9738" s="25" t="s">
        <v>30868</v>
      </c>
      <c r="E9738" s="28">
        <v>0.16000</v>
      </c>
      <c r="F9738" s="29">
        <f ca="1">ROUND(33.200,3)</f>
        <v>0</v>
      </c>
      <c r="G9738" s="27">
        <f ca="1">ROUND(E9738*F9738,2)</f>
        <v>0</v>
      </c>
    </row>
    <row r="9739" spans="1:7" ht="30.60" thickBot="1" customHeight="1">
      <c r="A9739" s="24" t="s">
        <v>30869</v>
      </c>
      <c r="B9739" s="24" t="s">
        <v>30870</v>
      </c>
      <c r="C9739" s="24" t="s">
        <v>30871</v>
      </c>
      <c r="D9739" s="25" t="s">
        <v>30872</v>
      </c>
      <c r="E9739" s="28">
        <v>0.02200</v>
      </c>
      <c r="F9739" s="29">
        <f ca="1">ROUND(52.250,3)</f>
        <v>0</v>
      </c>
      <c r="G9739" s="27">
        <f ca="1">ROUND(E9739*F9739,2)</f>
        <v>0</v>
      </c>
    </row>
    <row r="9740" spans="1:7" ht="21.36" thickBot="1" customHeight="1">
      <c r="A9740" s="24" t="s">
        <v>30873</v>
      </c>
      <c r="B9740" s="24" t="s">
        <v>30874</v>
      </c>
      <c r="C9740" s="24" t="s">
        <v>30875</v>
      </c>
      <c r="D9740" s="25" t="s">
        <v>30876</v>
      </c>
      <c r="E9740" s="28">
        <v>0.16000</v>
      </c>
      <c r="F9740" s="29">
        <f ca="1">F9744</f>
        <v>0</v>
      </c>
      <c r="G9740" s="27">
        <f ca="1">ROUND(E9740*F9740,2)</f>
        <v>0</v>
      </c>
    </row>
    <row r="9741" spans="1:7" ht="24.36" thickBot="1" customHeight="1">
      <c r="A9741" s="24" t="s">
        <v>30877</v>
      </c>
      <c r="B9741" s="24" t="s">
        <v>30878</v>
      </c>
      <c r="C9741" s="24" t="s">
        <v>30879</v>
      </c>
      <c r="D9741" s="25" t="s">
        <v>30880</v>
      </c>
      <c r="E9741" s="28">
        <v>1.00000</v>
      </c>
      <c r="F9741" s="29">
        <f ca="1">ROUND(21.000,3)</f>
        <v>0</v>
      </c>
      <c r="G9741" s="27">
        <f ca="1">ROUND(E9741*F9741,2)</f>
        <v>0</v>
      </c>
    </row>
    <row r="9742" spans="1:7" ht="24.36" thickBot="1" customHeight="1">
      <c r="A9742" s="24" t="s">
        <v>30881</v>
      </c>
      <c r="B9742" s="24" t="s">
        <v>30882</v>
      </c>
      <c r="C9742" s="24" t="s">
        <v>30883</v>
      </c>
      <c r="D9742" s="25" t="s">
        <v>30884</v>
      </c>
      <c r="E9742" s="28">
        <v>1.00000</v>
      </c>
      <c r="F9742" s="29">
        <f ca="1">ROUND(19.000,3)</f>
        <v>0</v>
      </c>
      <c r="G9742" s="27">
        <f ca="1">ROUND(E9742*F9742,2)</f>
        <v>0</v>
      </c>
    </row>
    <row r="9743" spans="1:7" ht="24.36" thickBot="1" customHeight="1">
      <c r="A9743" s="24" t="s">
        <v>30885</v>
      </c>
      <c r="B9743" s="24" t="s">
        <v>30886</v>
      </c>
      <c r="C9743" s="24" t="s">
        <v>30887</v>
      </c>
      <c r="D9743" s="25" t="s">
        <v>30888</v>
      </c>
      <c r="E9743" s="28">
        <v>0.20000</v>
      </c>
      <c r="F9743" s="29">
        <f ca="1">ROUND(19.000,3)</f>
        <v>0</v>
      </c>
      <c r="G9743" s="27">
        <f ca="1">ROUND(E9743*F9743,2)</f>
        <v>0</v>
      </c>
    </row>
    <row r="9744" spans="1:7" ht="15.12" thickBot="1" customHeight="1">
      <c r="A9744" s="26"/>
      <c r="B9744" s="26"/>
      <c r="C9744" s="26"/>
      <c r="D9744" s="24" t="s">
        <v>30889</v>
      </c>
      <c r="E9744" s="28">
        <v>0.16000</v>
      </c>
      <c r="F9744" s="29">
        <f ca="1">ROUND((G9741+G9742+G9743),3)</f>
        <v>0</v>
      </c>
      <c r="G9744" s="27">
        <f ca="1">ROUND(E9744*F9744,2)</f>
        <v>0</v>
      </c>
    </row>
    <row r="9745" spans="1:7" ht="15.12" thickBot="1" customHeight="1">
      <c r="A9745" s="24" t="s">
        <v>30890</v>
      </c>
      <c r="B9745" s="24"/>
      <c r="C9745" s="24" t="s">
        <v>30891</v>
      </c>
      <c r="D9745" s="25" t="s">
        <v>30892</v>
      </c>
      <c r="E9745" s="28">
        <v>3.00000</v>
      </c>
      <c r="F9745" s="29">
        <f ca="1">ROUND(7.010,3)</f>
        <v>0</v>
      </c>
      <c r="G9745" s="27">
        <f ca="1">ROUND((E9745*F9745)/100,2)</f>
        <v>0</v>
      </c>
    </row>
    <row r="9746" spans="1:7" ht="15.48" thickBot="1" customHeight="1">
      <c r="A9746" s="30"/>
      <c r="B9746" s="30"/>
      <c r="C9746" s="30"/>
      <c r="D9746" s="31" t="s">
        <v>30893</v>
      </c>
      <c r="E9746" s="30"/>
      <c r="F9746" s="33">
        <f ca="1">ROUND((G9737+G9738+G9739+G9740+G9745)*(1+G2/100),2)</f>
        <v>0</v>
      </c>
      <c r="G9746" s="30"/>
    </row>
    <row r="9747" spans="1:7" ht="21.36" thickBot="1" customHeight="1">
      <c r="A9747" s="34" t="s">
        <v>30894</v>
      </c>
      <c r="B9747" s="35" t="s">
        <v>30895</v>
      </c>
      <c r="C9747" s="35" t="s">
        <v>30896</v>
      </c>
      <c r="D9747" s="36" t="s">
        <v>30897</v>
      </c>
      <c r="E9747" s="37"/>
      <c r="F9747" s="38">
        <f ca="1">F9764</f>
        <v>0</v>
      </c>
      <c r="G9747" s="37"/>
    </row>
    <row r="9748" spans="1:7" ht="39.84" thickBot="1" customHeight="1">
      <c r="A9748" s="26"/>
      <c r="B9748" s="26"/>
      <c r="C9748" s="26"/>
      <c r="D9748" s="25" t="s">
        <v>30898</v>
      </c>
      <c r="E9748" s="25"/>
      <c r="F9748" s="25"/>
      <c r="G9748" s="25"/>
    </row>
    <row r="9749" spans="1:7" ht="15.12" thickBot="1" customHeight="1">
      <c r="A9749" s="24" t="s">
        <v>30899</v>
      </c>
      <c r="B9749" s="24" t="s">
        <v>30900</v>
      </c>
      <c r="C9749" s="24" t="s">
        <v>30901</v>
      </c>
      <c r="D9749" s="25" t="s">
        <v>30902</v>
      </c>
      <c r="E9749" s="28">
        <v>4.00000</v>
      </c>
      <c r="F9749" s="29">
        <f ca="1">F9755</f>
        <v>0</v>
      </c>
      <c r="G9749" s="27">
        <f ca="1">ROUND(E9749*F9749,2)</f>
        <v>0</v>
      </c>
    </row>
    <row r="9750" spans="1:7" ht="30.60" thickBot="1" customHeight="1">
      <c r="A9750" s="24" t="s">
        <v>30903</v>
      </c>
      <c r="B9750" s="24" t="s">
        <v>30904</v>
      </c>
      <c r="C9750" s="24" t="s">
        <v>30905</v>
      </c>
      <c r="D9750" s="25" t="s">
        <v>30906</v>
      </c>
      <c r="E9750" s="28">
        <v>0.50000</v>
      </c>
      <c r="F9750" s="29">
        <f ca="1">ROUND(1.875,3)</f>
        <v>0</v>
      </c>
      <c r="G9750" s="27">
        <f ca="1">ROUND(E9750*F9750,2)</f>
        <v>0</v>
      </c>
    </row>
    <row r="9751" spans="1:7" ht="39.84" thickBot="1" customHeight="1">
      <c r="A9751" s="24" t="s">
        <v>30907</v>
      </c>
      <c r="B9751" s="24" t="s">
        <v>30908</v>
      </c>
      <c r="C9751" s="24" t="s">
        <v>30909</v>
      </c>
      <c r="D9751" s="25" t="s">
        <v>30910</v>
      </c>
      <c r="E9751" s="28">
        <v>0.50000</v>
      </c>
      <c r="F9751" s="29">
        <f ca="1">ROUND(2.000,3)</f>
        <v>0</v>
      </c>
      <c r="G9751" s="27">
        <f ca="1">ROUND(E9751*F9751,2)</f>
        <v>0</v>
      </c>
    </row>
    <row r="9752" spans="1:7" ht="39.84" thickBot="1" customHeight="1">
      <c r="A9752" s="24" t="s">
        <v>30911</v>
      </c>
      <c r="B9752" s="24" t="s">
        <v>30912</v>
      </c>
      <c r="C9752" s="24" t="s">
        <v>30913</v>
      </c>
      <c r="D9752" s="25" t="s">
        <v>30914</v>
      </c>
      <c r="E9752" s="28">
        <v>0.50000</v>
      </c>
      <c r="F9752" s="29">
        <f ca="1">ROUND(7.565,3)</f>
        <v>0</v>
      </c>
      <c r="G9752" s="27">
        <f ca="1">ROUND(E9752*F9752,2)</f>
        <v>0</v>
      </c>
    </row>
    <row r="9753" spans="1:7" ht="21.36" thickBot="1" customHeight="1">
      <c r="A9753" s="24" t="s">
        <v>30915</v>
      </c>
      <c r="B9753" s="24" t="s">
        <v>30916</v>
      </c>
      <c r="C9753" s="24" t="s">
        <v>30917</v>
      </c>
      <c r="D9753" s="25" t="s">
        <v>30918</v>
      </c>
      <c r="E9753" s="28">
        <v>0.50000</v>
      </c>
      <c r="F9753" s="29">
        <f ca="1">ROUND(43.800,3)</f>
        <v>0</v>
      </c>
      <c r="G9753" s="27">
        <f ca="1">ROUND(E9753*F9753,2)</f>
        <v>0</v>
      </c>
    </row>
    <row r="9754" spans="1:7" ht="15.12" thickBot="1" customHeight="1">
      <c r="A9754" s="24" t="s">
        <v>30919</v>
      </c>
      <c r="B9754" s="24"/>
      <c r="C9754" s="24" t="s">
        <v>30920</v>
      </c>
      <c r="D9754" s="25" t="s">
        <v>30921</v>
      </c>
      <c r="E9754" s="28">
        <v>3.00000</v>
      </c>
      <c r="F9754" s="29">
        <f ca="1">ROUND(21.900,3)</f>
        <v>0</v>
      </c>
      <c r="G9754" s="27">
        <f ca="1">ROUND((E9754*F9754)/100,2)</f>
        <v>0</v>
      </c>
    </row>
    <row r="9755" spans="1:7" ht="15.12" thickBot="1" customHeight="1">
      <c r="A9755" s="26"/>
      <c r="B9755" s="26"/>
      <c r="C9755" s="26"/>
      <c r="D9755" s="24" t="s">
        <v>30922</v>
      </c>
      <c r="E9755" s="28">
        <v>4.00000</v>
      </c>
      <c r="F9755" s="29">
        <f ca="1">ROUND((G9750+G9751+G9752+G9753+G9754),3)</f>
        <v>0</v>
      </c>
      <c r="G9755" s="27">
        <f ca="1">ROUND(E9755*F9755,2)</f>
        <v>0</v>
      </c>
    </row>
    <row r="9756" spans="1:7" ht="21.36" thickBot="1" customHeight="1">
      <c r="A9756" s="24" t="s">
        <v>30923</v>
      </c>
      <c r="B9756" s="24" t="s">
        <v>30924</v>
      </c>
      <c r="C9756" s="24" t="s">
        <v>30925</v>
      </c>
      <c r="D9756" s="25" t="s">
        <v>30926</v>
      </c>
      <c r="E9756" s="28">
        <v>1.00000</v>
      </c>
      <c r="F9756" s="29">
        <f ca="1">ROUND(986.000,3)</f>
        <v>0</v>
      </c>
      <c r="G9756" s="27">
        <f ca="1">ROUND(E9756*F9756,2)</f>
        <v>0</v>
      </c>
    </row>
    <row r="9757" spans="1:7" ht="15.12" thickBot="1" customHeight="1">
      <c r="A9757" s="24" t="s">
        <v>30927</v>
      </c>
      <c r="B9757" s="24" t="s">
        <v>30928</v>
      </c>
      <c r="C9757" s="24" t="s">
        <v>30929</v>
      </c>
      <c r="D9757" s="25" t="s">
        <v>30930</v>
      </c>
      <c r="E9757" s="28">
        <v>1.00000</v>
      </c>
      <c r="F9757" s="29">
        <f ca="1">ROUND(1064.000,3)</f>
        <v>0</v>
      </c>
      <c r="G9757" s="27">
        <f ca="1">ROUND(E9757*F9757,2)</f>
        <v>0</v>
      </c>
    </row>
    <row r="9758" spans="1:7" ht="21.36" thickBot="1" customHeight="1">
      <c r="A9758" s="24" t="s">
        <v>30931</v>
      </c>
      <c r="B9758" s="24" t="s">
        <v>30932</v>
      </c>
      <c r="C9758" s="24" t="s">
        <v>30933</v>
      </c>
      <c r="D9758" s="25" t="s">
        <v>30934</v>
      </c>
      <c r="E9758" s="28">
        <v>16.00000</v>
      </c>
      <c r="F9758" s="29">
        <f ca="1">F9762</f>
        <v>0</v>
      </c>
      <c r="G9758" s="27">
        <f ca="1">ROUND(E9758*F9758,2)</f>
        <v>0</v>
      </c>
    </row>
    <row r="9759" spans="1:7" ht="24.36" thickBot="1" customHeight="1">
      <c r="A9759" s="24" t="s">
        <v>30935</v>
      </c>
      <c r="B9759" s="24" t="s">
        <v>30936</v>
      </c>
      <c r="C9759" s="24" t="s">
        <v>30937</v>
      </c>
      <c r="D9759" s="25" t="s">
        <v>30938</v>
      </c>
      <c r="E9759" s="28">
        <v>1.00000</v>
      </c>
      <c r="F9759" s="29">
        <f ca="1">ROUND(21.000,3)</f>
        <v>0</v>
      </c>
      <c r="G9759" s="27">
        <f ca="1">ROUND(E9759*F9759,2)</f>
        <v>0</v>
      </c>
    </row>
    <row r="9760" spans="1:7" ht="24.36" thickBot="1" customHeight="1">
      <c r="A9760" s="24" t="s">
        <v>30939</v>
      </c>
      <c r="B9760" s="24" t="s">
        <v>30940</v>
      </c>
      <c r="C9760" s="24" t="s">
        <v>30941</v>
      </c>
      <c r="D9760" s="25" t="s">
        <v>30942</v>
      </c>
      <c r="E9760" s="28">
        <v>1.00000</v>
      </c>
      <c r="F9760" s="29">
        <f ca="1">ROUND(19.000,3)</f>
        <v>0</v>
      </c>
      <c r="G9760" s="27">
        <f ca="1">ROUND(E9760*F9760,2)</f>
        <v>0</v>
      </c>
    </row>
    <row r="9761" spans="1:7" ht="24.36" thickBot="1" customHeight="1">
      <c r="A9761" s="24" t="s">
        <v>30943</v>
      </c>
      <c r="B9761" s="24" t="s">
        <v>30944</v>
      </c>
      <c r="C9761" s="24" t="s">
        <v>30945</v>
      </c>
      <c r="D9761" s="25" t="s">
        <v>30946</v>
      </c>
      <c r="E9761" s="28">
        <v>0.20000</v>
      </c>
      <c r="F9761" s="29">
        <f ca="1">ROUND(19.000,3)</f>
        <v>0</v>
      </c>
      <c r="G9761" s="27">
        <f ca="1">ROUND(E9761*F9761,2)</f>
        <v>0</v>
      </c>
    </row>
    <row r="9762" spans="1:7" ht="15.12" thickBot="1" customHeight="1">
      <c r="A9762" s="26"/>
      <c r="B9762" s="26"/>
      <c r="C9762" s="26"/>
      <c r="D9762" s="24" t="s">
        <v>30947</v>
      </c>
      <c r="E9762" s="28">
        <v>16.00000</v>
      </c>
      <c r="F9762" s="29">
        <f ca="1">ROUND((G9759+G9760+G9761),3)</f>
        <v>0</v>
      </c>
      <c r="G9762" s="27">
        <f ca="1">ROUND(E9762*F9762,2)</f>
        <v>0</v>
      </c>
    </row>
    <row r="9763" spans="1:7" ht="15.12" thickBot="1" customHeight="1">
      <c r="A9763" s="24" t="s">
        <v>30948</v>
      </c>
      <c r="B9763" s="24"/>
      <c r="C9763" s="24" t="s">
        <v>30949</v>
      </c>
      <c r="D9763" s="25" t="s">
        <v>30950</v>
      </c>
      <c r="E9763" s="28">
        <v>3.00000</v>
      </c>
      <c r="F9763" s="29">
        <f ca="1">ROUND(700.800,3)</f>
        <v>0</v>
      </c>
      <c r="G9763" s="27">
        <f ca="1">ROUND((E9763*F9763)/100,2)</f>
        <v>0</v>
      </c>
    </row>
    <row r="9764" spans="1:7" ht="15.48" thickBot="1" customHeight="1">
      <c r="A9764" s="30"/>
      <c r="B9764" s="30"/>
      <c r="C9764" s="30"/>
      <c r="D9764" s="31" t="s">
        <v>30951</v>
      </c>
      <c r="E9764" s="30"/>
      <c r="F9764" s="33">
        <f ca="1">ROUND((G9749+G9756+G9757+G9758+G9763)*(1+G2/100),2)</f>
        <v>0</v>
      </c>
      <c r="G9764" s="30"/>
    </row>
    <row r="9765" spans="1:7" ht="30.60" thickBot="1" customHeight="1">
      <c r="A9765" s="34" t="s">
        <v>30952</v>
      </c>
      <c r="B9765" s="35" t="s">
        <v>30953</v>
      </c>
      <c r="C9765" s="35" t="s">
        <v>30954</v>
      </c>
      <c r="D9765" s="36" t="s">
        <v>30955</v>
      </c>
      <c r="E9765" s="37"/>
      <c r="F9765" s="38">
        <f ca="1">F9823</f>
        <v>0</v>
      </c>
      <c r="G9765" s="37"/>
    </row>
    <row r="9766" spans="1:7" ht="104.52" thickBot="1" customHeight="1">
      <c r="A9766" s="26"/>
      <c r="B9766" s="26"/>
      <c r="C9766" s="26"/>
      <c r="D9766" s="25" t="s">
        <v>30956</v>
      </c>
      <c r="E9766" s="25"/>
      <c r="F9766" s="25"/>
      <c r="G9766" s="25"/>
    </row>
    <row r="9767" spans="1:7" ht="21.36" thickBot="1" customHeight="1">
      <c r="A9767" s="24" t="s">
        <v>30957</v>
      </c>
      <c r="B9767" s="24" t="s">
        <v>30958</v>
      </c>
      <c r="C9767" s="24" t="s">
        <v>30959</v>
      </c>
      <c r="D9767" s="25" t="s">
        <v>30960</v>
      </c>
      <c r="E9767" s="28">
        <v>11.00000</v>
      </c>
      <c r="F9767" s="29">
        <f ca="1">F9774</f>
        <v>0</v>
      </c>
      <c r="G9767" s="27">
        <f ca="1">ROUND(E9767*F9767,2)</f>
        <v>0</v>
      </c>
    </row>
    <row r="9768" spans="1:7" ht="39.84" thickBot="1" customHeight="1">
      <c r="A9768" s="24" t="s">
        <v>30961</v>
      </c>
      <c r="B9768" s="24" t="s">
        <v>30962</v>
      </c>
      <c r="C9768" s="24" t="s">
        <v>30963</v>
      </c>
      <c r="D9768" s="25" t="s">
        <v>30964</v>
      </c>
      <c r="E9768" s="28">
        <v>1.20000</v>
      </c>
      <c r="F9768" s="29">
        <f ca="1">ROUND(2.600,3)</f>
        <v>0</v>
      </c>
      <c r="G9768" s="27">
        <f ca="1">ROUND(E9768*F9768,2)</f>
        <v>0</v>
      </c>
    </row>
    <row r="9769" spans="1:7" ht="30.60" thickBot="1" customHeight="1">
      <c r="A9769" s="24" t="s">
        <v>30965</v>
      </c>
      <c r="B9769" s="24" t="s">
        <v>30966</v>
      </c>
      <c r="C9769" s="24" t="s">
        <v>30967</v>
      </c>
      <c r="D9769" s="25" t="s">
        <v>30968</v>
      </c>
      <c r="E9769" s="28">
        <v>0.02520</v>
      </c>
      <c r="F9769" s="29">
        <f ca="1">ROUND(27.500,3)</f>
        <v>0</v>
      </c>
      <c r="G9769" s="27">
        <f ca="1">ROUND(E9769*F9769,2)</f>
        <v>0</v>
      </c>
    </row>
    <row r="9770" spans="1:7" ht="21.36" thickBot="1" customHeight="1">
      <c r="A9770" s="24" t="s">
        <v>30969</v>
      </c>
      <c r="B9770" s="24" t="s">
        <v>30970</v>
      </c>
      <c r="C9770" s="24" t="s">
        <v>30971</v>
      </c>
      <c r="D9770" s="25" t="s">
        <v>30972</v>
      </c>
      <c r="E9770" s="28">
        <v>0.37500</v>
      </c>
      <c r="F9770" s="29">
        <f ca="1">ROUND(1.050,3)</f>
        <v>0</v>
      </c>
      <c r="G9770" s="27">
        <f ca="1">ROUND(E9770*F9770,2)</f>
        <v>0</v>
      </c>
    </row>
    <row r="9771" spans="1:7" ht="39.84" thickBot="1" customHeight="1">
      <c r="A9771" s="24" t="s">
        <v>30973</v>
      </c>
      <c r="B9771" s="24" t="s">
        <v>30974</v>
      </c>
      <c r="C9771" s="24" t="s">
        <v>30975</v>
      </c>
      <c r="D9771" s="25" t="s">
        <v>30976</v>
      </c>
      <c r="E9771" s="28">
        <v>0.15000</v>
      </c>
      <c r="F9771" s="29">
        <f ca="1">ROUND(4.050,3)</f>
        <v>0</v>
      </c>
      <c r="G9771" s="27">
        <f ca="1">ROUND(E9771*F9771,2)</f>
        <v>0</v>
      </c>
    </row>
    <row r="9772" spans="1:7" ht="21.36" thickBot="1" customHeight="1">
      <c r="A9772" s="24" t="s">
        <v>30977</v>
      </c>
      <c r="B9772" s="24" t="s">
        <v>30978</v>
      </c>
      <c r="C9772" s="24" t="s">
        <v>30979</v>
      </c>
      <c r="D9772" s="25" t="s">
        <v>30980</v>
      </c>
      <c r="E9772" s="28">
        <v>0.51100</v>
      </c>
      <c r="F9772" s="29">
        <f ca="1">ROUND(43.800,3)</f>
        <v>0</v>
      </c>
      <c r="G9772" s="27">
        <f ca="1">ROUND(E9772*F9772,2)</f>
        <v>0</v>
      </c>
    </row>
    <row r="9773" spans="1:7" ht="15.12" thickBot="1" customHeight="1">
      <c r="A9773" s="24" t="s">
        <v>30981</v>
      </c>
      <c r="B9773" s="24"/>
      <c r="C9773" s="24" t="s">
        <v>30982</v>
      </c>
      <c r="D9773" s="25" t="s">
        <v>30983</v>
      </c>
      <c r="E9773" s="28">
        <v>3.00000</v>
      </c>
      <c r="F9773" s="29">
        <f ca="1">ROUND(22.380,3)</f>
        <v>0</v>
      </c>
      <c r="G9773" s="27">
        <f ca="1">ROUND((E9773*F9773)/100,2)</f>
        <v>0</v>
      </c>
    </row>
    <row r="9774" spans="1:7" ht="15.12" thickBot="1" customHeight="1">
      <c r="A9774" s="26"/>
      <c r="B9774" s="26"/>
      <c r="C9774" s="26"/>
      <c r="D9774" s="24" t="s">
        <v>30984</v>
      </c>
      <c r="E9774" s="28">
        <v>11.00000</v>
      </c>
      <c r="F9774" s="29">
        <f ca="1">ROUND((G9768+G9769+G9770+G9771+G9772+G9773),3)</f>
        <v>0</v>
      </c>
      <c r="G9774" s="27">
        <f ca="1">ROUND(E9774*F9774,2)</f>
        <v>0</v>
      </c>
    </row>
    <row r="9775" spans="1:7" ht="21.36" thickBot="1" customHeight="1">
      <c r="A9775" s="24" t="s">
        <v>30985</v>
      </c>
      <c r="B9775" s="24" t="s">
        <v>30986</v>
      </c>
      <c r="C9775" s="24" t="s">
        <v>30987</v>
      </c>
      <c r="D9775" s="25" t="s">
        <v>30988</v>
      </c>
      <c r="E9775" s="28">
        <v>11.00000</v>
      </c>
      <c r="F9775" s="29">
        <f ca="1">F9784</f>
        <v>0</v>
      </c>
      <c r="G9775" s="27">
        <f ca="1">ROUND(E9775*F9775,2)</f>
        <v>0</v>
      </c>
    </row>
    <row r="9776" spans="1:7" ht="30.60" thickBot="1" customHeight="1">
      <c r="A9776" s="24" t="s">
        <v>30989</v>
      </c>
      <c r="B9776" s="24" t="s">
        <v>30990</v>
      </c>
      <c r="C9776" s="24" t="s">
        <v>30991</v>
      </c>
      <c r="D9776" s="25" t="s">
        <v>30992</v>
      </c>
      <c r="E9776" s="28">
        <v>0.02140</v>
      </c>
      <c r="F9776" s="29">
        <f ca="1">ROUND(41.900,3)</f>
        <v>0</v>
      </c>
      <c r="G9776" s="27">
        <f ca="1">ROUND(E9776*F9776,2)</f>
        <v>0</v>
      </c>
    </row>
    <row r="9777" spans="1:7" ht="24.36" thickBot="1" customHeight="1">
      <c r="A9777" s="24" t="s">
        <v>30993</v>
      </c>
      <c r="B9777" s="24" t="s">
        <v>30994</v>
      </c>
      <c r="C9777" s="24" t="s">
        <v>30995</v>
      </c>
      <c r="D9777" s="25" t="s">
        <v>30996</v>
      </c>
      <c r="E9777" s="28">
        <v>0.01000</v>
      </c>
      <c r="F9777" s="29">
        <f ca="1">ROUND(85.930,3)</f>
        <v>0</v>
      </c>
      <c r="G9777" s="27">
        <f ca="1">ROUND(E9777*F9777,2)</f>
        <v>0</v>
      </c>
    </row>
    <row r="9778" spans="1:7" ht="30.60" thickBot="1" customHeight="1">
      <c r="A9778" s="24" t="s">
        <v>30997</v>
      </c>
      <c r="B9778" s="24" t="s">
        <v>30998</v>
      </c>
      <c r="C9778" s="24" t="s">
        <v>30999</v>
      </c>
      <c r="D9778" s="25" t="s">
        <v>31000</v>
      </c>
      <c r="E9778" s="28">
        <v>0.01100</v>
      </c>
      <c r="F9778" s="29">
        <f ca="1">ROUND(2.520,3)</f>
        <v>0</v>
      </c>
      <c r="G9778" s="27">
        <f ca="1">ROUND(E9778*F9778,2)</f>
        <v>0</v>
      </c>
    </row>
    <row r="9779" spans="1:7" ht="24.36" thickBot="1" customHeight="1">
      <c r="A9779" s="24" t="s">
        <v>31001</v>
      </c>
      <c r="B9779" s="24" t="s">
        <v>31002</v>
      </c>
      <c r="C9779" s="24" t="s">
        <v>31003</v>
      </c>
      <c r="D9779" s="25" t="s">
        <v>31004</v>
      </c>
      <c r="E9779" s="28">
        <v>0.01100</v>
      </c>
      <c r="F9779" s="29">
        <f ca="1">ROUND(4.730,3)</f>
        <v>0</v>
      </c>
      <c r="G9779" s="27">
        <f ca="1">ROUND(E9779*F9779,2)</f>
        <v>0</v>
      </c>
    </row>
    <row r="9780" spans="1:7" ht="24.36" thickBot="1" customHeight="1">
      <c r="A9780" s="24" t="s">
        <v>31005</v>
      </c>
      <c r="B9780" s="24" t="s">
        <v>31006</v>
      </c>
      <c r="C9780" s="24" t="s">
        <v>31007</v>
      </c>
      <c r="D9780" s="25" t="s">
        <v>31008</v>
      </c>
      <c r="E9780" s="28">
        <v>0.01500</v>
      </c>
      <c r="F9780" s="29">
        <f ca="1">ROUND(0.650,3)</f>
        <v>0</v>
      </c>
      <c r="G9780" s="27">
        <f ca="1">ROUND(E9780*F9780,2)</f>
        <v>0</v>
      </c>
    </row>
    <row r="9781" spans="1:7" ht="24.36" thickBot="1" customHeight="1">
      <c r="A9781" s="24" t="s">
        <v>31009</v>
      </c>
      <c r="B9781" s="24" t="s">
        <v>31010</v>
      </c>
      <c r="C9781" s="24" t="s">
        <v>31011</v>
      </c>
      <c r="D9781" s="25" t="s">
        <v>31012</v>
      </c>
      <c r="E9781" s="28">
        <v>0.01100</v>
      </c>
      <c r="F9781" s="29">
        <f ca="1">ROUND(4.060,3)</f>
        <v>0</v>
      </c>
      <c r="G9781" s="27">
        <f ca="1">ROUND(E9781*F9781,2)</f>
        <v>0</v>
      </c>
    </row>
    <row r="9782" spans="1:7" ht="21.36" thickBot="1" customHeight="1">
      <c r="A9782" s="24" t="s">
        <v>31013</v>
      </c>
      <c r="B9782" s="24" t="s">
        <v>31014</v>
      </c>
      <c r="C9782" s="24" t="s">
        <v>31015</v>
      </c>
      <c r="D9782" s="25" t="s">
        <v>31016</v>
      </c>
      <c r="E9782" s="28">
        <v>0.22000</v>
      </c>
      <c r="F9782" s="29">
        <f ca="1">ROUND(43.800,3)</f>
        <v>0</v>
      </c>
      <c r="G9782" s="27">
        <f ca="1">ROUND(E9782*F9782,2)</f>
        <v>0</v>
      </c>
    </row>
    <row r="9783" spans="1:7" ht="15.12" thickBot="1" customHeight="1">
      <c r="A9783" s="24" t="s">
        <v>31017</v>
      </c>
      <c r="B9783" s="24"/>
      <c r="C9783" s="24" t="s">
        <v>31018</v>
      </c>
      <c r="D9783" s="25" t="s">
        <v>31019</v>
      </c>
      <c r="E9783" s="28">
        <v>3.00000</v>
      </c>
      <c r="F9783" s="29">
        <f ca="1">ROUND(9.640,3)</f>
        <v>0</v>
      </c>
      <c r="G9783" s="27">
        <f ca="1">ROUND((E9783*F9783)/100,2)</f>
        <v>0</v>
      </c>
    </row>
    <row r="9784" spans="1:7" ht="15.12" thickBot="1" customHeight="1">
      <c r="A9784" s="26"/>
      <c r="B9784" s="26"/>
      <c r="C9784" s="26"/>
      <c r="D9784" s="24" t="s">
        <v>31020</v>
      </c>
      <c r="E9784" s="28">
        <v>11.00000</v>
      </c>
      <c r="F9784" s="29">
        <f ca="1">ROUND((G9776+G9777+G9778+G9779+G9780+G9781+G9782+G9783),3)</f>
        <v>0</v>
      </c>
      <c r="G9784" s="27">
        <f ca="1">ROUND(E9784*F9784,2)</f>
        <v>0</v>
      </c>
    </row>
    <row r="9785" spans="1:7" ht="21.36" thickBot="1" customHeight="1">
      <c r="A9785" s="24" t="s">
        <v>31021</v>
      </c>
      <c r="B9785" s="24" t="s">
        <v>31022</v>
      </c>
      <c r="C9785" s="24" t="s">
        <v>31023</v>
      </c>
      <c r="D9785" s="25" t="s">
        <v>31024</v>
      </c>
      <c r="E9785" s="28">
        <v>1.50000</v>
      </c>
      <c r="F9785" s="29">
        <f ca="1">F9789</f>
        <v>0</v>
      </c>
      <c r="G9785" s="27">
        <f ca="1">ROUND(E9785*F9785,2)</f>
        <v>0</v>
      </c>
    </row>
    <row r="9786" spans="1:7" ht="39.84" thickBot="1" customHeight="1">
      <c r="A9786" s="24" t="s">
        <v>31025</v>
      </c>
      <c r="B9786" s="24" t="s">
        <v>31026</v>
      </c>
      <c r="C9786" s="24" t="s">
        <v>31027</v>
      </c>
      <c r="D9786" s="25" t="s">
        <v>31028</v>
      </c>
      <c r="E9786" s="28">
        <v>0.06000</v>
      </c>
      <c r="F9786" s="29">
        <f ca="1">ROUND(44.840,3)</f>
        <v>0</v>
      </c>
      <c r="G9786" s="27">
        <f ca="1">ROUND(E9786*F9786,2)</f>
        <v>0</v>
      </c>
    </row>
    <row r="9787" spans="1:7" ht="21.36" thickBot="1" customHeight="1">
      <c r="A9787" s="24" t="s">
        <v>31029</v>
      </c>
      <c r="B9787" s="24" t="s">
        <v>31030</v>
      </c>
      <c r="C9787" s="24" t="s">
        <v>31031</v>
      </c>
      <c r="D9787" s="25" t="s">
        <v>31032</v>
      </c>
      <c r="E9787" s="28">
        <v>0.15000</v>
      </c>
      <c r="F9787" s="29">
        <f ca="1">ROUND(43.800,3)</f>
        <v>0</v>
      </c>
      <c r="G9787" s="27">
        <f ca="1">ROUND(E9787*F9787,2)</f>
        <v>0</v>
      </c>
    </row>
    <row r="9788" spans="1:7" ht="15.12" thickBot="1" customHeight="1">
      <c r="A9788" s="24" t="s">
        <v>31033</v>
      </c>
      <c r="B9788" s="24"/>
      <c r="C9788" s="24" t="s">
        <v>31034</v>
      </c>
      <c r="D9788" s="25" t="s">
        <v>31035</v>
      </c>
      <c r="E9788" s="28">
        <v>3.00000</v>
      </c>
      <c r="F9788" s="29">
        <f ca="1">ROUND(6.570,3)</f>
        <v>0</v>
      </c>
      <c r="G9788" s="27">
        <f ca="1">ROUND((E9788*F9788)/100,2)</f>
        <v>0</v>
      </c>
    </row>
    <row r="9789" spans="1:7" ht="15.12" thickBot="1" customHeight="1">
      <c r="A9789" s="26"/>
      <c r="B9789" s="26"/>
      <c r="C9789" s="26"/>
      <c r="D9789" s="24" t="s">
        <v>31036</v>
      </c>
      <c r="E9789" s="28">
        <v>1.50000</v>
      </c>
      <c r="F9789" s="29">
        <f ca="1">ROUND((G9786+G9787+G9788),3)</f>
        <v>0</v>
      </c>
      <c r="G9789" s="27">
        <f ca="1">ROUND(E9789*F9789,2)</f>
        <v>0</v>
      </c>
    </row>
    <row r="9790" spans="1:7" ht="21.36" thickBot="1" customHeight="1">
      <c r="A9790" s="24" t="s">
        <v>31037</v>
      </c>
      <c r="B9790" s="24" t="s">
        <v>31038</v>
      </c>
      <c r="C9790" s="24" t="s">
        <v>31039</v>
      </c>
      <c r="D9790" s="25" t="s">
        <v>31040</v>
      </c>
      <c r="E9790" s="28">
        <v>2.50000</v>
      </c>
      <c r="F9790" s="29">
        <f ca="1">F9794</f>
        <v>0</v>
      </c>
      <c r="G9790" s="27">
        <f ca="1">ROUND(E9790*F9790,2)</f>
        <v>0</v>
      </c>
    </row>
    <row r="9791" spans="1:7" ht="21.36" thickBot="1" customHeight="1">
      <c r="A9791" s="24" t="s">
        <v>31041</v>
      </c>
      <c r="B9791" s="24" t="s">
        <v>31042</v>
      </c>
      <c r="C9791" s="24" t="s">
        <v>31043</v>
      </c>
      <c r="D9791" s="25" t="s">
        <v>31044</v>
      </c>
      <c r="E9791" s="28">
        <v>0.09200</v>
      </c>
      <c r="F9791" s="29">
        <f ca="1">ROUND(24.750,3)</f>
        <v>0</v>
      </c>
      <c r="G9791" s="27">
        <f ca="1">ROUND(E9791*F9791,2)</f>
        <v>0</v>
      </c>
    </row>
    <row r="9792" spans="1:7" ht="21.36" thickBot="1" customHeight="1">
      <c r="A9792" s="24" t="s">
        <v>31045</v>
      </c>
      <c r="B9792" s="24" t="s">
        <v>31046</v>
      </c>
      <c r="C9792" s="24" t="s">
        <v>31047</v>
      </c>
      <c r="D9792" s="25" t="s">
        <v>31048</v>
      </c>
      <c r="E9792" s="28">
        <v>0.11700</v>
      </c>
      <c r="F9792" s="29">
        <f ca="1">ROUND(43.800,3)</f>
        <v>0</v>
      </c>
      <c r="G9792" s="27">
        <f ca="1">ROUND(E9792*F9792,2)</f>
        <v>0</v>
      </c>
    </row>
    <row r="9793" spans="1:7" ht="15.12" thickBot="1" customHeight="1">
      <c r="A9793" s="24" t="s">
        <v>31049</v>
      </c>
      <c r="B9793" s="24"/>
      <c r="C9793" s="24" t="s">
        <v>31050</v>
      </c>
      <c r="D9793" s="25" t="s">
        <v>31051</v>
      </c>
      <c r="E9793" s="28">
        <v>3.00000</v>
      </c>
      <c r="F9793" s="29">
        <f ca="1">ROUND(5.120,3)</f>
        <v>0</v>
      </c>
      <c r="G9793" s="27">
        <f ca="1">ROUND((E9793*F9793)/100,2)</f>
        <v>0</v>
      </c>
    </row>
    <row r="9794" spans="1:7" ht="15.12" thickBot="1" customHeight="1">
      <c r="A9794" s="26"/>
      <c r="B9794" s="26"/>
      <c r="C9794" s="26"/>
      <c r="D9794" s="24" t="s">
        <v>31052</v>
      </c>
      <c r="E9794" s="28">
        <v>2.50000</v>
      </c>
      <c r="F9794" s="29">
        <f ca="1">ROUND((G9791+G9792+G9793),3)</f>
        <v>0</v>
      </c>
      <c r="G9794" s="27">
        <f ca="1">ROUND(E9794*F9794,2)</f>
        <v>0</v>
      </c>
    </row>
    <row r="9795" spans="1:7" ht="30.60" thickBot="1" customHeight="1">
      <c r="A9795" s="24" t="s">
        <v>31053</v>
      </c>
      <c r="B9795" s="24" t="s">
        <v>31054</v>
      </c>
      <c r="C9795" s="24" t="s">
        <v>31055</v>
      </c>
      <c r="D9795" s="25" t="s">
        <v>31056</v>
      </c>
      <c r="E9795" s="28">
        <v>1.50000</v>
      </c>
      <c r="F9795" s="29">
        <f ca="1">F9800</f>
        <v>0</v>
      </c>
      <c r="G9795" s="27">
        <f ca="1">ROUND(E9795*F9795,2)</f>
        <v>0</v>
      </c>
    </row>
    <row r="9796" spans="1:7" ht="39.84" thickBot="1" customHeight="1">
      <c r="A9796" s="24" t="s">
        <v>31057</v>
      </c>
      <c r="B9796" s="24" t="s">
        <v>31058</v>
      </c>
      <c r="C9796" s="24" t="s">
        <v>31059</v>
      </c>
      <c r="D9796" s="25" t="s">
        <v>31060</v>
      </c>
      <c r="E9796" s="28">
        <v>0.04200</v>
      </c>
      <c r="F9796" s="29">
        <f ca="1">ROUND(44.840,3)</f>
        <v>0</v>
      </c>
      <c r="G9796" s="27">
        <f ca="1">ROUND(E9796*F9796,2)</f>
        <v>0</v>
      </c>
    </row>
    <row r="9797" spans="1:7" ht="49.08" thickBot="1" customHeight="1">
      <c r="A9797" s="24" t="s">
        <v>31061</v>
      </c>
      <c r="B9797" s="24" t="s">
        <v>31062</v>
      </c>
      <c r="C9797" s="24" t="s">
        <v>31063</v>
      </c>
      <c r="D9797" s="25" t="s">
        <v>31064</v>
      </c>
      <c r="E9797" s="28">
        <v>0.13333</v>
      </c>
      <c r="F9797" s="29">
        <f ca="1">ROUND(28.400,3)</f>
        <v>0</v>
      </c>
      <c r="G9797" s="27">
        <f ca="1">ROUND(E9797*F9797,2)</f>
        <v>0</v>
      </c>
    </row>
    <row r="9798" spans="1:7" ht="21.36" thickBot="1" customHeight="1">
      <c r="A9798" s="24" t="s">
        <v>31065</v>
      </c>
      <c r="B9798" s="24" t="s">
        <v>31066</v>
      </c>
      <c r="C9798" s="24" t="s">
        <v>31067</v>
      </c>
      <c r="D9798" s="25" t="s">
        <v>31068</v>
      </c>
      <c r="E9798" s="28">
        <v>0.50000</v>
      </c>
      <c r="F9798" s="29">
        <f ca="1">ROUND(43.800,3)</f>
        <v>0</v>
      </c>
      <c r="G9798" s="27">
        <f ca="1">ROUND(E9798*F9798,2)</f>
        <v>0</v>
      </c>
    </row>
    <row r="9799" spans="1:7" ht="15.12" thickBot="1" customHeight="1">
      <c r="A9799" s="24" t="s">
        <v>31069</v>
      </c>
      <c r="B9799" s="24"/>
      <c r="C9799" s="24" t="s">
        <v>31070</v>
      </c>
      <c r="D9799" s="25" t="s">
        <v>31071</v>
      </c>
      <c r="E9799" s="28">
        <v>3.00000</v>
      </c>
      <c r="F9799" s="29">
        <f ca="1">ROUND(21.900,3)</f>
        <v>0</v>
      </c>
      <c r="G9799" s="27">
        <f ca="1">ROUND((E9799*F9799)/100,2)</f>
        <v>0</v>
      </c>
    </row>
    <row r="9800" spans="1:7" ht="15.12" thickBot="1" customHeight="1">
      <c r="A9800" s="26"/>
      <c r="B9800" s="26"/>
      <c r="C9800" s="26"/>
      <c r="D9800" s="24" t="s">
        <v>31072</v>
      </c>
      <c r="E9800" s="28">
        <v>1.50000</v>
      </c>
      <c r="F9800" s="29">
        <f ca="1">ROUND((G9796+G9797+G9798+G9799),3)</f>
        <v>0</v>
      </c>
      <c r="G9800" s="27">
        <f ca="1">ROUND(E9800*F9800,2)</f>
        <v>0</v>
      </c>
    </row>
    <row r="9801" spans="1:7" ht="21.36" thickBot="1" customHeight="1">
      <c r="A9801" s="24" t="s">
        <v>31073</v>
      </c>
      <c r="B9801" s="24" t="s">
        <v>31074</v>
      </c>
      <c r="C9801" s="24" t="s">
        <v>31075</v>
      </c>
      <c r="D9801" s="25" t="s">
        <v>31076</v>
      </c>
      <c r="E9801" s="28">
        <v>2.50000</v>
      </c>
      <c r="F9801" s="29">
        <f ca="1">F9807</f>
        <v>0</v>
      </c>
      <c r="G9801" s="27">
        <f ca="1">ROUND(E9801*F9801,2)</f>
        <v>0</v>
      </c>
    </row>
    <row r="9802" spans="1:7" ht="49.08" thickBot="1" customHeight="1">
      <c r="A9802" s="24" t="s">
        <v>31077</v>
      </c>
      <c r="B9802" s="24" t="s">
        <v>31078</v>
      </c>
      <c r="C9802" s="24" t="s">
        <v>31079</v>
      </c>
      <c r="D9802" s="25" t="s">
        <v>31080</v>
      </c>
      <c r="E9802" s="28">
        <v>0.03300</v>
      </c>
      <c r="F9802" s="29">
        <f ca="1">ROUND(10.250,3)</f>
        <v>0</v>
      </c>
      <c r="G9802" s="27">
        <f ca="1">ROUND(E9802*F9802,2)</f>
        <v>0</v>
      </c>
    </row>
    <row r="9803" spans="1:7" ht="30.60" thickBot="1" customHeight="1">
      <c r="A9803" s="24" t="s">
        <v>31081</v>
      </c>
      <c r="B9803" s="24" t="s">
        <v>31082</v>
      </c>
      <c r="C9803" s="24" t="s">
        <v>31083</v>
      </c>
      <c r="D9803" s="25" t="s">
        <v>31084</v>
      </c>
      <c r="E9803" s="28">
        <v>5.00000</v>
      </c>
      <c r="F9803" s="29">
        <f ca="1">ROUND(0.400,3)</f>
        <v>0</v>
      </c>
      <c r="G9803" s="27">
        <f ca="1">ROUND(E9803*F9803,2)</f>
        <v>0</v>
      </c>
    </row>
    <row r="9804" spans="1:7" ht="30.60" thickBot="1" customHeight="1">
      <c r="A9804" s="24" t="s">
        <v>31085</v>
      </c>
      <c r="B9804" s="24" t="s">
        <v>31086</v>
      </c>
      <c r="C9804" s="24" t="s">
        <v>31087</v>
      </c>
      <c r="D9804" s="25" t="s">
        <v>31088</v>
      </c>
      <c r="E9804" s="28">
        <v>0.01000</v>
      </c>
      <c r="F9804" s="29">
        <f ca="1">ROUND(11.740,3)</f>
        <v>0</v>
      </c>
      <c r="G9804" s="27">
        <f ca="1">ROUND(E9804*F9804,2)</f>
        <v>0</v>
      </c>
    </row>
    <row r="9805" spans="1:7" ht="21.36" thickBot="1" customHeight="1">
      <c r="A9805" s="24" t="s">
        <v>31089</v>
      </c>
      <c r="B9805" s="24" t="s">
        <v>31090</v>
      </c>
      <c r="C9805" s="24" t="s">
        <v>31091</v>
      </c>
      <c r="D9805" s="25" t="s">
        <v>31092</v>
      </c>
      <c r="E9805" s="28">
        <v>0.18000</v>
      </c>
      <c r="F9805" s="29">
        <f ca="1">ROUND(43.800,3)</f>
        <v>0</v>
      </c>
      <c r="G9805" s="27">
        <f ca="1">ROUND(E9805*F9805,2)</f>
        <v>0</v>
      </c>
    </row>
    <row r="9806" spans="1:7" ht="15.12" thickBot="1" customHeight="1">
      <c r="A9806" s="24" t="s">
        <v>31093</v>
      </c>
      <c r="B9806" s="24"/>
      <c r="C9806" s="24" t="s">
        <v>31094</v>
      </c>
      <c r="D9806" s="25" t="s">
        <v>31095</v>
      </c>
      <c r="E9806" s="28">
        <v>3.00000</v>
      </c>
      <c r="F9806" s="29">
        <f ca="1">ROUND(7.880,3)</f>
        <v>0</v>
      </c>
      <c r="G9806" s="27">
        <f ca="1">ROUND((E9806*F9806)/100,2)</f>
        <v>0</v>
      </c>
    </row>
    <row r="9807" spans="1:7" ht="15.12" thickBot="1" customHeight="1">
      <c r="A9807" s="26"/>
      <c r="B9807" s="26"/>
      <c r="C9807" s="26"/>
      <c r="D9807" s="24" t="s">
        <v>31096</v>
      </c>
      <c r="E9807" s="28">
        <v>2.50000</v>
      </c>
      <c r="F9807" s="29">
        <f ca="1">ROUND((G9802+G9803+G9804+G9805+G9806),3)</f>
        <v>0</v>
      </c>
      <c r="G9807" s="27">
        <f ca="1">ROUND(E9807*F9807,2)</f>
        <v>0</v>
      </c>
    </row>
    <row r="9808" spans="1:7" ht="21.36" thickBot="1" customHeight="1">
      <c r="A9808" s="24" t="s">
        <v>31097</v>
      </c>
      <c r="B9808" s="24" t="s">
        <v>31098</v>
      </c>
      <c r="C9808" s="24" t="s">
        <v>31099</v>
      </c>
      <c r="D9808" s="25" t="s">
        <v>31100</v>
      </c>
      <c r="E9808" s="28">
        <v>4.50000</v>
      </c>
      <c r="F9808" s="29">
        <f ca="1">F9815</f>
        <v>0</v>
      </c>
      <c r="G9808" s="27">
        <f ca="1">ROUND(E9808*F9808,2)</f>
        <v>0</v>
      </c>
    </row>
    <row r="9809" spans="1:7" ht="58.32" thickBot="1" customHeight="1">
      <c r="A9809" s="24" t="s">
        <v>31101</v>
      </c>
      <c r="B9809" s="24" t="s">
        <v>31102</v>
      </c>
      <c r="C9809" s="24" t="s">
        <v>31103</v>
      </c>
      <c r="D9809" s="25" t="s">
        <v>31104</v>
      </c>
      <c r="E9809" s="28">
        <v>58.80000</v>
      </c>
      <c r="F9809" s="29">
        <f ca="1">ROUND(0.310,3)</f>
        <v>0</v>
      </c>
      <c r="G9809" s="27">
        <f ca="1">ROUND(E9809*F9809,2)</f>
        <v>0</v>
      </c>
    </row>
    <row r="9810" spans="1:7" ht="15.12" thickBot="1" customHeight="1">
      <c r="A9810" s="24" t="s">
        <v>31105</v>
      </c>
      <c r="B9810" s="24" t="s">
        <v>31106</v>
      </c>
      <c r="C9810" s="24" t="s">
        <v>31107</v>
      </c>
      <c r="D9810" s="25" t="s">
        <v>31108</v>
      </c>
      <c r="E9810" s="28">
        <v>0.01000</v>
      </c>
      <c r="F9810" s="29">
        <f ca="1">ROUND(1.510,3)</f>
        <v>0</v>
      </c>
      <c r="G9810" s="27">
        <f ca="1">ROUND(E9810*F9810,2)</f>
        <v>0</v>
      </c>
    </row>
    <row r="9811" spans="1:7" ht="49.08" thickBot="1" customHeight="1">
      <c r="A9811" s="24" t="s">
        <v>31109</v>
      </c>
      <c r="B9811" s="24" t="s">
        <v>31110</v>
      </c>
      <c r="C9811" s="24" t="s">
        <v>31111</v>
      </c>
      <c r="D9811" s="25" t="s">
        <v>31112</v>
      </c>
      <c r="E9811" s="28">
        <v>0.05700</v>
      </c>
      <c r="F9811" s="29">
        <f ca="1">ROUND(32.130,3)</f>
        <v>0</v>
      </c>
      <c r="G9811" s="27">
        <f ca="1">ROUND(E9811*F9811,2)</f>
        <v>0</v>
      </c>
    </row>
    <row r="9812" spans="1:7" ht="30.60" thickBot="1" customHeight="1">
      <c r="A9812" s="24" t="s">
        <v>31113</v>
      </c>
      <c r="B9812" s="24" t="s">
        <v>31114</v>
      </c>
      <c r="C9812" s="24" t="s">
        <v>31115</v>
      </c>
      <c r="D9812" s="25" t="s">
        <v>31116</v>
      </c>
      <c r="E9812" s="28">
        <v>0.25300</v>
      </c>
      <c r="F9812" s="29">
        <f ca="1">ROUND(1.950,3)</f>
        <v>0</v>
      </c>
      <c r="G9812" s="27">
        <f ca="1">ROUND(E9812*F9812,2)</f>
        <v>0</v>
      </c>
    </row>
    <row r="9813" spans="1:7" ht="21.36" thickBot="1" customHeight="1">
      <c r="A9813" s="24" t="s">
        <v>31117</v>
      </c>
      <c r="B9813" s="24" t="s">
        <v>31118</v>
      </c>
      <c r="C9813" s="24" t="s">
        <v>31119</v>
      </c>
      <c r="D9813" s="25" t="s">
        <v>31120</v>
      </c>
      <c r="E9813" s="28">
        <v>1.00000</v>
      </c>
      <c r="F9813" s="29">
        <f ca="1">ROUND(43.800,3)</f>
        <v>0</v>
      </c>
      <c r="G9813" s="27">
        <f ca="1">ROUND(E9813*F9813,2)</f>
        <v>0</v>
      </c>
    </row>
    <row r="9814" spans="1:7" ht="15.12" thickBot="1" customHeight="1">
      <c r="A9814" s="24" t="s">
        <v>31121</v>
      </c>
      <c r="B9814" s="24"/>
      <c r="C9814" s="24" t="s">
        <v>31122</v>
      </c>
      <c r="D9814" s="25" t="s">
        <v>31123</v>
      </c>
      <c r="E9814" s="28">
        <v>2.00000</v>
      </c>
      <c r="F9814" s="29">
        <f ca="1">ROUND(64.370,3)</f>
        <v>0</v>
      </c>
      <c r="G9814" s="27">
        <f ca="1">ROUND((E9814*F9814)/100,2)</f>
        <v>0</v>
      </c>
    </row>
    <row r="9815" spans="1:7" ht="15.12" thickBot="1" customHeight="1">
      <c r="A9815" s="26"/>
      <c r="B9815" s="26"/>
      <c r="C9815" s="26"/>
      <c r="D9815" s="24" t="s">
        <v>31124</v>
      </c>
      <c r="E9815" s="28">
        <v>4.50000</v>
      </c>
      <c r="F9815" s="29">
        <f ca="1">ROUND((G9809+G9810+G9811+G9812+G9813+G9814),3)</f>
        <v>0</v>
      </c>
      <c r="G9815" s="27">
        <f ca="1">ROUND(E9815*F9815,2)</f>
        <v>0</v>
      </c>
    </row>
    <row r="9816" spans="1:7" ht="30.60" thickBot="1" customHeight="1">
      <c r="A9816" s="24" t="s">
        <v>31125</v>
      </c>
      <c r="B9816" s="24" t="s">
        <v>31126</v>
      </c>
      <c r="C9816" s="24" t="s">
        <v>31127</v>
      </c>
      <c r="D9816" s="25" t="s">
        <v>31128</v>
      </c>
      <c r="E9816" s="28">
        <v>1.00000</v>
      </c>
      <c r="F9816" s="29">
        <f ca="1">ROUND(550.000,3)</f>
        <v>0</v>
      </c>
      <c r="G9816" s="27">
        <f ca="1">ROUND(E9816*F9816,2)</f>
        <v>0</v>
      </c>
    </row>
    <row r="9817" spans="1:7" ht="21.36" thickBot="1" customHeight="1">
      <c r="A9817" s="24" t="s">
        <v>31129</v>
      </c>
      <c r="B9817" s="24" t="s">
        <v>31130</v>
      </c>
      <c r="C9817" s="24" t="s">
        <v>31131</v>
      </c>
      <c r="D9817" s="25" t="s">
        <v>31132</v>
      </c>
      <c r="E9817" s="28">
        <v>4.00000</v>
      </c>
      <c r="F9817" s="29">
        <f ca="1">F9821</f>
        <v>0</v>
      </c>
      <c r="G9817" s="27">
        <f ca="1">ROUND(E9817*F9817,2)</f>
        <v>0</v>
      </c>
    </row>
    <row r="9818" spans="1:7" ht="24.36" thickBot="1" customHeight="1">
      <c r="A9818" s="24" t="s">
        <v>31133</v>
      </c>
      <c r="B9818" s="24" t="s">
        <v>31134</v>
      </c>
      <c r="C9818" s="24" t="s">
        <v>31135</v>
      </c>
      <c r="D9818" s="25" t="s">
        <v>31136</v>
      </c>
      <c r="E9818" s="28">
        <v>1.00000</v>
      </c>
      <c r="F9818" s="29">
        <f ca="1">ROUND(21.000,3)</f>
        <v>0</v>
      </c>
      <c r="G9818" s="27">
        <f ca="1">ROUND(E9818*F9818,2)</f>
        <v>0</v>
      </c>
    </row>
    <row r="9819" spans="1:7" ht="24.36" thickBot="1" customHeight="1">
      <c r="A9819" s="24" t="s">
        <v>31137</v>
      </c>
      <c r="B9819" s="24" t="s">
        <v>31138</v>
      </c>
      <c r="C9819" s="24" t="s">
        <v>31139</v>
      </c>
      <c r="D9819" s="25" t="s">
        <v>31140</v>
      </c>
      <c r="E9819" s="28">
        <v>1.00000</v>
      </c>
      <c r="F9819" s="29">
        <f ca="1">ROUND(19.000,3)</f>
        <v>0</v>
      </c>
      <c r="G9819" s="27">
        <f ca="1">ROUND(E9819*F9819,2)</f>
        <v>0</v>
      </c>
    </row>
    <row r="9820" spans="1:7" ht="24.36" thickBot="1" customHeight="1">
      <c r="A9820" s="24" t="s">
        <v>31141</v>
      </c>
      <c r="B9820" s="24" t="s">
        <v>31142</v>
      </c>
      <c r="C9820" s="24" t="s">
        <v>31143</v>
      </c>
      <c r="D9820" s="25" t="s">
        <v>31144</v>
      </c>
      <c r="E9820" s="28">
        <v>0.20000</v>
      </c>
      <c r="F9820" s="29">
        <f ca="1">ROUND(19.000,3)</f>
        <v>0</v>
      </c>
      <c r="G9820" s="27">
        <f ca="1">ROUND(E9820*F9820,2)</f>
        <v>0</v>
      </c>
    </row>
    <row r="9821" spans="1:7" ht="15.12" thickBot="1" customHeight="1">
      <c r="A9821" s="26"/>
      <c r="B9821" s="26"/>
      <c r="C9821" s="26"/>
      <c r="D9821" s="24" t="s">
        <v>31145</v>
      </c>
      <c r="E9821" s="28">
        <v>4.00000</v>
      </c>
      <c r="F9821" s="29">
        <f ca="1">ROUND((G9818+G9819+G9820),3)</f>
        <v>0</v>
      </c>
      <c r="G9821" s="27">
        <f ca="1">ROUND(E9821*F9821,2)</f>
        <v>0</v>
      </c>
    </row>
    <row r="9822" spans="1:7" ht="15.12" thickBot="1" customHeight="1">
      <c r="A9822" s="24" t="s">
        <v>31146</v>
      </c>
      <c r="B9822" s="24"/>
      <c r="C9822" s="24" t="s">
        <v>31147</v>
      </c>
      <c r="D9822" s="25" t="s">
        <v>31148</v>
      </c>
      <c r="E9822" s="28">
        <v>2.00000</v>
      </c>
      <c r="F9822" s="29">
        <f ca="1">ROUND(1559.020,3)</f>
        <v>0</v>
      </c>
      <c r="G9822" s="27">
        <f ca="1">ROUND((E9822*F9822)/100,2)</f>
        <v>0</v>
      </c>
    </row>
    <row r="9823" spans="1:7" ht="15.48" thickBot="1" customHeight="1">
      <c r="A9823" s="30"/>
      <c r="B9823" s="30"/>
      <c r="C9823" s="30"/>
      <c r="D9823" s="31" t="s">
        <v>31149</v>
      </c>
      <c r="E9823" s="30"/>
      <c r="F9823" s="33">
        <f ca="1">ROUND((G9767+G9775+G9785+G9790+G9795+G9801+G9808+G9816+G9817+G9822)*(1+G2/100),2)</f>
        <v>0</v>
      </c>
      <c r="G9823" s="30"/>
    </row>
    <row r="9824" spans="1:7" ht="15.48" thickBot="1" customHeight="1">
      <c r="A9824" s="34" t="s">
        <v>31150</v>
      </c>
      <c r="B9824" s="35" t="s">
        <v>31151</v>
      </c>
      <c r="C9824" s="35" t="s">
        <v>31152</v>
      </c>
      <c r="D9824" s="36" t="s">
        <v>31153</v>
      </c>
      <c r="E9824" s="37"/>
      <c r="F9824" s="38">
        <f ca="1">F9834</f>
        <v>0</v>
      </c>
      <c r="G9824" s="37"/>
    </row>
    <row r="9825" spans="1:7" ht="21.36" thickBot="1" customHeight="1">
      <c r="A9825" s="26"/>
      <c r="B9825" s="26"/>
      <c r="C9825" s="26"/>
      <c r="D9825" s="25" t="s">
        <v>31154</v>
      </c>
      <c r="E9825" s="25"/>
      <c r="F9825" s="25"/>
      <c r="G9825" s="25"/>
    </row>
    <row r="9826" spans="1:7" ht="30.60" thickBot="1" customHeight="1">
      <c r="A9826" s="24" t="s">
        <v>31155</v>
      </c>
      <c r="B9826" s="24" t="s">
        <v>31156</v>
      </c>
      <c r="C9826" s="24" t="s">
        <v>31157</v>
      </c>
      <c r="D9826" s="25" t="s">
        <v>31158</v>
      </c>
      <c r="E9826" s="28">
        <v>1.00000</v>
      </c>
      <c r="F9826" s="29">
        <f ca="1">ROUND(0.300,3)</f>
        <v>0</v>
      </c>
      <c r="G9826" s="27">
        <f ca="1">ROUND(E9826*F9826,2)</f>
        <v>0</v>
      </c>
    </row>
    <row r="9827" spans="1:7" ht="30.60" thickBot="1" customHeight="1">
      <c r="A9827" s="24" t="s">
        <v>31159</v>
      </c>
      <c r="B9827" s="24" t="s">
        <v>31160</v>
      </c>
      <c r="C9827" s="24" t="s">
        <v>31161</v>
      </c>
      <c r="D9827" s="25" t="s">
        <v>31162</v>
      </c>
      <c r="E9827" s="28">
        <v>2.00000</v>
      </c>
      <c r="F9827" s="29">
        <f ca="1">ROUND(1.470,3)</f>
        <v>0</v>
      </c>
      <c r="G9827" s="27">
        <f ca="1">ROUND(E9827*F9827,2)</f>
        <v>0</v>
      </c>
    </row>
    <row r="9828" spans="1:7" ht="21.36" thickBot="1" customHeight="1">
      <c r="A9828" s="24" t="s">
        <v>31163</v>
      </c>
      <c r="B9828" s="24" t="s">
        <v>31164</v>
      </c>
      <c r="C9828" s="24" t="s">
        <v>31165</v>
      </c>
      <c r="D9828" s="25" t="s">
        <v>31166</v>
      </c>
      <c r="E9828" s="28">
        <v>0.15000</v>
      </c>
      <c r="F9828" s="29">
        <f ca="1">F9832</f>
        <v>0</v>
      </c>
      <c r="G9828" s="27">
        <f ca="1">ROUND(E9828*F9828,2)</f>
        <v>0</v>
      </c>
    </row>
    <row r="9829" spans="1:7" ht="24.36" thickBot="1" customHeight="1">
      <c r="A9829" s="24" t="s">
        <v>31167</v>
      </c>
      <c r="B9829" s="24" t="s">
        <v>31168</v>
      </c>
      <c r="C9829" s="24" t="s">
        <v>31169</v>
      </c>
      <c r="D9829" s="25" t="s">
        <v>31170</v>
      </c>
      <c r="E9829" s="28">
        <v>1.00000</v>
      </c>
      <c r="F9829" s="29">
        <f ca="1">ROUND(21.000,3)</f>
        <v>0</v>
      </c>
      <c r="G9829" s="27">
        <f ca="1">ROUND(E9829*F9829,2)</f>
        <v>0</v>
      </c>
    </row>
    <row r="9830" spans="1:7" ht="24.36" thickBot="1" customHeight="1">
      <c r="A9830" s="24" t="s">
        <v>31171</v>
      </c>
      <c r="B9830" s="24" t="s">
        <v>31172</v>
      </c>
      <c r="C9830" s="24" t="s">
        <v>31173</v>
      </c>
      <c r="D9830" s="25" t="s">
        <v>31174</v>
      </c>
      <c r="E9830" s="28">
        <v>1.00000</v>
      </c>
      <c r="F9830" s="29">
        <f ca="1">ROUND(19.000,3)</f>
        <v>0</v>
      </c>
      <c r="G9830" s="27">
        <f ca="1">ROUND(E9830*F9830,2)</f>
        <v>0</v>
      </c>
    </row>
    <row r="9831" spans="1:7" ht="24.36" thickBot="1" customHeight="1">
      <c r="A9831" s="24" t="s">
        <v>31175</v>
      </c>
      <c r="B9831" s="24" t="s">
        <v>31176</v>
      </c>
      <c r="C9831" s="24" t="s">
        <v>31177</v>
      </c>
      <c r="D9831" s="25" t="s">
        <v>31178</v>
      </c>
      <c r="E9831" s="28">
        <v>0.20000</v>
      </c>
      <c r="F9831" s="29">
        <f ca="1">ROUND(19.000,3)</f>
        <v>0</v>
      </c>
      <c r="G9831" s="27">
        <f ca="1">ROUND(E9831*F9831,2)</f>
        <v>0</v>
      </c>
    </row>
    <row r="9832" spans="1:7" ht="15.12" thickBot="1" customHeight="1">
      <c r="A9832" s="26"/>
      <c r="B9832" s="26"/>
      <c r="C9832" s="26"/>
      <c r="D9832" s="24" t="s">
        <v>31179</v>
      </c>
      <c r="E9832" s="28">
        <v>0.15000</v>
      </c>
      <c r="F9832" s="29">
        <f ca="1">ROUND((G9829+G9830+G9831),3)</f>
        <v>0</v>
      </c>
      <c r="G9832" s="27">
        <f ca="1">ROUND(E9832*F9832,2)</f>
        <v>0</v>
      </c>
    </row>
    <row r="9833" spans="1:7" ht="15.12" thickBot="1" customHeight="1">
      <c r="A9833" s="24" t="s">
        <v>31180</v>
      </c>
      <c r="B9833" s="24"/>
      <c r="C9833" s="24" t="s">
        <v>31181</v>
      </c>
      <c r="D9833" s="25" t="s">
        <v>31182</v>
      </c>
      <c r="E9833" s="28">
        <v>3.00000</v>
      </c>
      <c r="F9833" s="29">
        <f ca="1">ROUND(6.570,3)</f>
        <v>0</v>
      </c>
      <c r="G9833" s="27">
        <f ca="1">ROUND((E9833*F9833)/100,2)</f>
        <v>0</v>
      </c>
    </row>
    <row r="9834" spans="1:7" ht="15.48" thickBot="1" customHeight="1">
      <c r="A9834" s="30"/>
      <c r="B9834" s="30"/>
      <c r="C9834" s="30"/>
      <c r="D9834" s="31" t="s">
        <v>31183</v>
      </c>
      <c r="E9834" s="30"/>
      <c r="F9834" s="33">
        <f ca="1">ROUND((G9826+G9827+G9828+G9833)*(1+G2/100),2)</f>
        <v>0</v>
      </c>
      <c r="G9834" s="30"/>
    </row>
    <row r="9835" spans="1:7" ht="39.84" thickBot="1" customHeight="1">
      <c r="A9835" s="34" t="s">
        <v>31184</v>
      </c>
      <c r="B9835" s="35" t="s">
        <v>31185</v>
      </c>
      <c r="C9835" s="35" t="s">
        <v>31186</v>
      </c>
      <c r="D9835" s="36" t="s">
        <v>31187</v>
      </c>
      <c r="E9835" s="37"/>
      <c r="F9835" s="38">
        <f ca="1">F9848</f>
        <v>0</v>
      </c>
      <c r="G9835" s="37"/>
    </row>
    <row r="9836" spans="1:7" ht="21.36" thickBot="1" customHeight="1">
      <c r="A9836" s="26"/>
      <c r="B9836" s="26"/>
      <c r="C9836" s="26"/>
      <c r="D9836" s="25" t="s">
        <v>31188</v>
      </c>
      <c r="E9836" s="25"/>
      <c r="F9836" s="25"/>
      <c r="G9836" s="25"/>
    </row>
    <row r="9837" spans="1:7" ht="30.60" thickBot="1" customHeight="1">
      <c r="A9837" s="24" t="s">
        <v>31189</v>
      </c>
      <c r="B9837" s="24" t="s">
        <v>31190</v>
      </c>
      <c r="C9837" s="24" t="s">
        <v>31191</v>
      </c>
      <c r="D9837" s="25" t="s">
        <v>31192</v>
      </c>
      <c r="E9837" s="28">
        <v>3.00000</v>
      </c>
      <c r="F9837" s="29">
        <f ca="1">ROUND(0.330,3)</f>
        <v>0</v>
      </c>
      <c r="G9837" s="27">
        <f ca="1">ROUND(E9837*F9837,2)</f>
        <v>0</v>
      </c>
    </row>
    <row r="9838" spans="1:7" ht="39.84" thickBot="1" customHeight="1">
      <c r="A9838" s="24" t="s">
        <v>31193</v>
      </c>
      <c r="B9838" s="24" t="s">
        <v>31194</v>
      </c>
      <c r="C9838" s="24" t="s">
        <v>31195</v>
      </c>
      <c r="D9838" s="25" t="s">
        <v>31196</v>
      </c>
      <c r="E9838" s="28">
        <v>0.02100</v>
      </c>
      <c r="F9838" s="29">
        <f ca="1">ROUND(44.840,3)</f>
        <v>0</v>
      </c>
      <c r="G9838" s="27">
        <f ca="1">ROUND(E9838*F9838,2)</f>
        <v>0</v>
      </c>
    </row>
    <row r="9839" spans="1:7" ht="39.84" thickBot="1" customHeight="1">
      <c r="A9839" s="24" t="s">
        <v>31197</v>
      </c>
      <c r="B9839" s="24" t="s">
        <v>31198</v>
      </c>
      <c r="C9839" s="24" t="s">
        <v>31199</v>
      </c>
      <c r="D9839" s="25" t="s">
        <v>31200</v>
      </c>
      <c r="E9839" s="28">
        <v>0.24000</v>
      </c>
      <c r="F9839" s="29">
        <f ca="1">ROUND(2.600,3)</f>
        <v>0</v>
      </c>
      <c r="G9839" s="27">
        <f ca="1">ROUND(E9839*F9839,2)</f>
        <v>0</v>
      </c>
    </row>
    <row r="9840" spans="1:7" ht="49.08" thickBot="1" customHeight="1">
      <c r="A9840" s="24" t="s">
        <v>31201</v>
      </c>
      <c r="B9840" s="24" t="s">
        <v>31202</v>
      </c>
      <c r="C9840" s="24" t="s">
        <v>31203</v>
      </c>
      <c r="D9840" s="25" t="s">
        <v>31204</v>
      </c>
      <c r="E9840" s="28">
        <v>0.90000</v>
      </c>
      <c r="F9840" s="29">
        <f ca="1">ROUND(5.700,3)</f>
        <v>0</v>
      </c>
      <c r="G9840" s="27">
        <f ca="1">ROUND(E9840*F9840,2)</f>
        <v>0</v>
      </c>
    </row>
    <row r="9841" spans="1:7" ht="30.60" thickBot="1" customHeight="1">
      <c r="A9841" s="24" t="s">
        <v>31205</v>
      </c>
      <c r="B9841" s="24" t="s">
        <v>31206</v>
      </c>
      <c r="C9841" s="24" t="s">
        <v>31207</v>
      </c>
      <c r="D9841" s="25" t="s">
        <v>31208</v>
      </c>
      <c r="E9841" s="28">
        <v>0.02200</v>
      </c>
      <c r="F9841" s="29">
        <f ca="1">ROUND(30.510,3)</f>
        <v>0</v>
      </c>
      <c r="G9841" s="27">
        <f ca="1">ROUND(E9841*F9841,2)</f>
        <v>0</v>
      </c>
    </row>
    <row r="9842" spans="1:7" ht="21.36" thickBot="1" customHeight="1">
      <c r="A9842" s="24" t="s">
        <v>31209</v>
      </c>
      <c r="B9842" s="24" t="s">
        <v>31210</v>
      </c>
      <c r="C9842" s="24" t="s">
        <v>31211</v>
      </c>
      <c r="D9842" s="25" t="s">
        <v>31212</v>
      </c>
      <c r="E9842" s="28">
        <v>0.42000</v>
      </c>
      <c r="F9842" s="29">
        <f ca="1">F9846</f>
        <v>0</v>
      </c>
      <c r="G9842" s="27">
        <f ca="1">ROUND(E9842*F9842,2)</f>
        <v>0</v>
      </c>
    </row>
    <row r="9843" spans="1:7" ht="24.36" thickBot="1" customHeight="1">
      <c r="A9843" s="24" t="s">
        <v>31213</v>
      </c>
      <c r="B9843" s="24" t="s">
        <v>31214</v>
      </c>
      <c r="C9843" s="24" t="s">
        <v>31215</v>
      </c>
      <c r="D9843" s="25" t="s">
        <v>31216</v>
      </c>
      <c r="E9843" s="28">
        <v>1.00000</v>
      </c>
      <c r="F9843" s="29">
        <f ca="1">ROUND(21.000,3)</f>
        <v>0</v>
      </c>
      <c r="G9843" s="27">
        <f ca="1">ROUND(E9843*F9843,2)</f>
        <v>0</v>
      </c>
    </row>
    <row r="9844" spans="1:7" ht="24.36" thickBot="1" customHeight="1">
      <c r="A9844" s="24" t="s">
        <v>31217</v>
      </c>
      <c r="B9844" s="24" t="s">
        <v>31218</v>
      </c>
      <c r="C9844" s="24" t="s">
        <v>31219</v>
      </c>
      <c r="D9844" s="25" t="s">
        <v>31220</v>
      </c>
      <c r="E9844" s="28">
        <v>1.00000</v>
      </c>
      <c r="F9844" s="29">
        <f ca="1">ROUND(19.000,3)</f>
        <v>0</v>
      </c>
      <c r="G9844" s="27">
        <f ca="1">ROUND(E9844*F9844,2)</f>
        <v>0</v>
      </c>
    </row>
    <row r="9845" spans="1:7" ht="24.36" thickBot="1" customHeight="1">
      <c r="A9845" s="24" t="s">
        <v>31221</v>
      </c>
      <c r="B9845" s="24" t="s">
        <v>31222</v>
      </c>
      <c r="C9845" s="24" t="s">
        <v>31223</v>
      </c>
      <c r="D9845" s="25" t="s">
        <v>31224</v>
      </c>
      <c r="E9845" s="28">
        <v>0.20000</v>
      </c>
      <c r="F9845" s="29">
        <f ca="1">ROUND(19.000,3)</f>
        <v>0</v>
      </c>
      <c r="G9845" s="27">
        <f ca="1">ROUND(E9845*F9845,2)</f>
        <v>0</v>
      </c>
    </row>
    <row r="9846" spans="1:7" ht="15.12" thickBot="1" customHeight="1">
      <c r="A9846" s="26"/>
      <c r="B9846" s="26"/>
      <c r="C9846" s="26"/>
      <c r="D9846" s="24" t="s">
        <v>31225</v>
      </c>
      <c r="E9846" s="28">
        <v>0.42000</v>
      </c>
      <c r="F9846" s="29">
        <f ca="1">ROUND((G9843+G9844+G9845),3)</f>
        <v>0</v>
      </c>
      <c r="G9846" s="27">
        <f ca="1">ROUND(E9846*F9846,2)</f>
        <v>0</v>
      </c>
    </row>
    <row r="9847" spans="1:7" ht="15.12" thickBot="1" customHeight="1">
      <c r="A9847" s="24" t="s">
        <v>31226</v>
      </c>
      <c r="B9847" s="24"/>
      <c r="C9847" s="24" t="s">
        <v>31227</v>
      </c>
      <c r="D9847" s="25" t="s">
        <v>31228</v>
      </c>
      <c r="E9847" s="28">
        <v>3.00000</v>
      </c>
      <c r="F9847" s="29">
        <f ca="1">ROUND(18.400,3)</f>
        <v>0</v>
      </c>
      <c r="G9847" s="27">
        <f ca="1">ROUND((E9847*F9847)/100,2)</f>
        <v>0</v>
      </c>
    </row>
    <row r="9848" spans="1:7" ht="15.48" thickBot="1" customHeight="1">
      <c r="A9848" s="30"/>
      <c r="B9848" s="30"/>
      <c r="C9848" s="30"/>
      <c r="D9848" s="31" t="s">
        <v>31229</v>
      </c>
      <c r="E9848" s="30"/>
      <c r="F9848" s="33">
        <f ca="1">ROUND((G9837+G9838+G9839+G9840+G9841+G9842+G9847)*(1+G2/100),2)</f>
        <v>0</v>
      </c>
      <c r="G9848" s="30"/>
    </row>
    <row r="9849" spans="1:7" ht="21.36" thickBot="1" customHeight="1">
      <c r="A9849" s="34" t="s">
        <v>31230</v>
      </c>
      <c r="B9849" s="35" t="s">
        <v>31231</v>
      </c>
      <c r="C9849" s="35" t="s">
        <v>31232</v>
      </c>
      <c r="D9849" s="36" t="s">
        <v>31233</v>
      </c>
      <c r="E9849" s="37"/>
      <c r="F9849" s="38">
        <f ca="1">F9858</f>
        <v>0</v>
      </c>
      <c r="G9849" s="37"/>
    </row>
    <row r="9850" spans="1:7" ht="49.08" thickBot="1" customHeight="1">
      <c r="A9850" s="26"/>
      <c r="B9850" s="26"/>
      <c r="C9850" s="26"/>
      <c r="D9850" s="25" t="s">
        <v>31234</v>
      </c>
      <c r="E9850" s="25"/>
      <c r="F9850" s="25"/>
      <c r="G9850" s="25"/>
    </row>
    <row r="9851" spans="1:7" ht="21.36" thickBot="1" customHeight="1">
      <c r="A9851" s="24" t="s">
        <v>31235</v>
      </c>
      <c r="B9851" s="24" t="s">
        <v>31236</v>
      </c>
      <c r="C9851" s="24" t="s">
        <v>31237</v>
      </c>
      <c r="D9851" s="25" t="s">
        <v>31238</v>
      </c>
      <c r="E9851" s="28">
        <v>1.00000</v>
      </c>
      <c r="F9851" s="29">
        <f ca="1">ROUND(11.650,3)</f>
        <v>0</v>
      </c>
      <c r="G9851" s="27">
        <f ca="1">ROUND(E9851*F9851,2)</f>
        <v>0</v>
      </c>
    </row>
    <row r="9852" spans="1:7" ht="21.36" thickBot="1" customHeight="1">
      <c r="A9852" s="24" t="s">
        <v>31239</v>
      </c>
      <c r="B9852" s="24" t="s">
        <v>31240</v>
      </c>
      <c r="C9852" s="24" t="s">
        <v>31241</v>
      </c>
      <c r="D9852" s="25" t="s">
        <v>31242</v>
      </c>
      <c r="E9852" s="28">
        <v>0.28000</v>
      </c>
      <c r="F9852" s="29">
        <f ca="1">F9856</f>
        <v>0</v>
      </c>
      <c r="G9852" s="27">
        <f ca="1">ROUND(E9852*F9852,2)</f>
        <v>0</v>
      </c>
    </row>
    <row r="9853" spans="1:7" ht="24.36" thickBot="1" customHeight="1">
      <c r="A9853" s="24" t="s">
        <v>31243</v>
      </c>
      <c r="B9853" s="24" t="s">
        <v>31244</v>
      </c>
      <c r="C9853" s="24" t="s">
        <v>31245</v>
      </c>
      <c r="D9853" s="25" t="s">
        <v>31246</v>
      </c>
      <c r="E9853" s="28">
        <v>1.00000</v>
      </c>
      <c r="F9853" s="29">
        <f ca="1">ROUND(21.000,3)</f>
        <v>0</v>
      </c>
      <c r="G9853" s="27">
        <f ca="1">ROUND(E9853*F9853,2)</f>
        <v>0</v>
      </c>
    </row>
    <row r="9854" spans="1:7" ht="24.36" thickBot="1" customHeight="1">
      <c r="A9854" s="24" t="s">
        <v>31247</v>
      </c>
      <c r="B9854" s="24" t="s">
        <v>31248</v>
      </c>
      <c r="C9854" s="24" t="s">
        <v>31249</v>
      </c>
      <c r="D9854" s="25" t="s">
        <v>31250</v>
      </c>
      <c r="E9854" s="28">
        <v>1.00000</v>
      </c>
      <c r="F9854" s="29">
        <f ca="1">ROUND(19.000,3)</f>
        <v>0</v>
      </c>
      <c r="G9854" s="27">
        <f ca="1">ROUND(E9854*F9854,2)</f>
        <v>0</v>
      </c>
    </row>
    <row r="9855" spans="1:7" ht="24.36" thickBot="1" customHeight="1">
      <c r="A9855" s="24" t="s">
        <v>31251</v>
      </c>
      <c r="B9855" s="24" t="s">
        <v>31252</v>
      </c>
      <c r="C9855" s="24" t="s">
        <v>31253</v>
      </c>
      <c r="D9855" s="25" t="s">
        <v>31254</v>
      </c>
      <c r="E9855" s="28">
        <v>0.20000</v>
      </c>
      <c r="F9855" s="29">
        <f ca="1">ROUND(19.000,3)</f>
        <v>0</v>
      </c>
      <c r="G9855" s="27">
        <f ca="1">ROUND(E9855*F9855,2)</f>
        <v>0</v>
      </c>
    </row>
    <row r="9856" spans="1:7" ht="15.12" thickBot="1" customHeight="1">
      <c r="A9856" s="26"/>
      <c r="B9856" s="26"/>
      <c r="C9856" s="26"/>
      <c r="D9856" s="24" t="s">
        <v>31255</v>
      </c>
      <c r="E9856" s="28">
        <v>0.28000</v>
      </c>
      <c r="F9856" s="29">
        <f ca="1">ROUND((G9853+G9854+G9855),3)</f>
        <v>0</v>
      </c>
      <c r="G9856" s="27">
        <f ca="1">ROUND(E9856*F9856,2)</f>
        <v>0</v>
      </c>
    </row>
    <row r="9857" spans="1:7" ht="15.12" thickBot="1" customHeight="1">
      <c r="A9857" s="24" t="s">
        <v>31256</v>
      </c>
      <c r="B9857" s="24"/>
      <c r="C9857" s="24" t="s">
        <v>31257</v>
      </c>
      <c r="D9857" s="25" t="s">
        <v>31258</v>
      </c>
      <c r="E9857" s="28">
        <v>3.00000</v>
      </c>
      <c r="F9857" s="29">
        <f ca="1">ROUND(12.260,3)</f>
        <v>0</v>
      </c>
      <c r="G9857" s="27">
        <f ca="1">ROUND((E9857*F9857)/100,2)</f>
        <v>0</v>
      </c>
    </row>
    <row r="9858" spans="1:7" ht="15.48" thickBot="1" customHeight="1">
      <c r="A9858" s="30"/>
      <c r="B9858" s="30"/>
      <c r="C9858" s="30"/>
      <c r="D9858" s="31" t="s">
        <v>31259</v>
      </c>
      <c r="E9858" s="30"/>
      <c r="F9858" s="33">
        <f ca="1">ROUND((G9851+G9852+G9857)*(1+G2/100),2)</f>
        <v>0</v>
      </c>
      <c r="G9858" s="30"/>
    </row>
    <row r="9859" spans="1:7" ht="21.36" thickBot="1" customHeight="1">
      <c r="A9859" s="34" t="s">
        <v>31260</v>
      </c>
      <c r="B9859" s="35" t="s">
        <v>31261</v>
      </c>
      <c r="C9859" s="35" t="s">
        <v>31262</v>
      </c>
      <c r="D9859" s="36" t="s">
        <v>31263</v>
      </c>
      <c r="E9859" s="37"/>
      <c r="F9859" s="38">
        <f ca="1">F9868</f>
        <v>0</v>
      </c>
      <c r="G9859" s="37"/>
    </row>
    <row r="9860" spans="1:7" ht="12.12" thickBot="1" customHeight="1">
      <c r="A9860" s="26"/>
      <c r="B9860" s="26"/>
      <c r="C9860" s="26"/>
      <c r="D9860" s="25" t="s">
        <v>31264</v>
      </c>
      <c r="E9860" s="25"/>
      <c r="F9860" s="25"/>
      <c r="G9860" s="25"/>
    </row>
    <row r="9861" spans="1:7" ht="21.36" thickBot="1" customHeight="1">
      <c r="A9861" s="24" t="s">
        <v>31265</v>
      </c>
      <c r="B9861" s="24" t="s">
        <v>31266</v>
      </c>
      <c r="C9861" s="24" t="s">
        <v>31267</v>
      </c>
      <c r="D9861" s="25" t="s">
        <v>31268</v>
      </c>
      <c r="E9861" s="28">
        <v>0.09200</v>
      </c>
      <c r="F9861" s="29">
        <f ca="1">ROUND(24.750,3)</f>
        <v>0</v>
      </c>
      <c r="G9861" s="27">
        <f ca="1">ROUND(E9861*F9861,2)</f>
        <v>0</v>
      </c>
    </row>
    <row r="9862" spans="1:7" ht="21.36" thickBot="1" customHeight="1">
      <c r="A9862" s="24" t="s">
        <v>31269</v>
      </c>
      <c r="B9862" s="24" t="s">
        <v>31270</v>
      </c>
      <c r="C9862" s="24" t="s">
        <v>31271</v>
      </c>
      <c r="D9862" s="25" t="s">
        <v>31272</v>
      </c>
      <c r="E9862" s="28">
        <v>0.11700</v>
      </c>
      <c r="F9862" s="29">
        <f ca="1">F9866</f>
        <v>0</v>
      </c>
      <c r="G9862" s="27">
        <f ca="1">ROUND(E9862*F9862,2)</f>
        <v>0</v>
      </c>
    </row>
    <row r="9863" spans="1:7" ht="24.36" thickBot="1" customHeight="1">
      <c r="A9863" s="24" t="s">
        <v>31273</v>
      </c>
      <c r="B9863" s="24" t="s">
        <v>31274</v>
      </c>
      <c r="C9863" s="24" t="s">
        <v>31275</v>
      </c>
      <c r="D9863" s="25" t="s">
        <v>31276</v>
      </c>
      <c r="E9863" s="28">
        <v>1.00000</v>
      </c>
      <c r="F9863" s="29">
        <f ca="1">ROUND(21.000,3)</f>
        <v>0</v>
      </c>
      <c r="G9863" s="27">
        <f ca="1">ROUND(E9863*F9863,2)</f>
        <v>0</v>
      </c>
    </row>
    <row r="9864" spans="1:7" ht="24.36" thickBot="1" customHeight="1">
      <c r="A9864" s="24" t="s">
        <v>31277</v>
      </c>
      <c r="B9864" s="24" t="s">
        <v>31278</v>
      </c>
      <c r="C9864" s="24" t="s">
        <v>31279</v>
      </c>
      <c r="D9864" s="25" t="s">
        <v>31280</v>
      </c>
      <c r="E9864" s="28">
        <v>1.00000</v>
      </c>
      <c r="F9864" s="29">
        <f ca="1">ROUND(19.000,3)</f>
        <v>0</v>
      </c>
      <c r="G9864" s="27">
        <f ca="1">ROUND(E9864*F9864,2)</f>
        <v>0</v>
      </c>
    </row>
    <row r="9865" spans="1:7" ht="24.36" thickBot="1" customHeight="1">
      <c r="A9865" s="24" t="s">
        <v>31281</v>
      </c>
      <c r="B9865" s="24" t="s">
        <v>31282</v>
      </c>
      <c r="C9865" s="24" t="s">
        <v>31283</v>
      </c>
      <c r="D9865" s="25" t="s">
        <v>31284</v>
      </c>
      <c r="E9865" s="28">
        <v>0.20000</v>
      </c>
      <c r="F9865" s="29">
        <f ca="1">ROUND(19.000,3)</f>
        <v>0</v>
      </c>
      <c r="G9865" s="27">
        <f ca="1">ROUND(E9865*F9865,2)</f>
        <v>0</v>
      </c>
    </row>
    <row r="9866" spans="1:7" ht="15.12" thickBot="1" customHeight="1">
      <c r="A9866" s="26"/>
      <c r="B9866" s="26"/>
      <c r="C9866" s="26"/>
      <c r="D9866" s="24" t="s">
        <v>31285</v>
      </c>
      <c r="E9866" s="28">
        <v>0.11700</v>
      </c>
      <c r="F9866" s="29">
        <f ca="1">ROUND((G9863+G9864+G9865),3)</f>
        <v>0</v>
      </c>
      <c r="G9866" s="27">
        <f ca="1">ROUND(E9866*F9866,2)</f>
        <v>0</v>
      </c>
    </row>
    <row r="9867" spans="1:7" ht="15.12" thickBot="1" customHeight="1">
      <c r="A9867" s="24" t="s">
        <v>31286</v>
      </c>
      <c r="B9867" s="24"/>
      <c r="C9867" s="24" t="s">
        <v>31287</v>
      </c>
      <c r="D9867" s="25" t="s">
        <v>31288</v>
      </c>
      <c r="E9867" s="28">
        <v>3.00000</v>
      </c>
      <c r="F9867" s="29">
        <f ca="1">ROUND(5.120,3)</f>
        <v>0</v>
      </c>
      <c r="G9867" s="27">
        <f ca="1">ROUND((E9867*F9867)/100,2)</f>
        <v>0</v>
      </c>
    </row>
    <row r="9868" spans="1:7" ht="15.48" thickBot="1" customHeight="1">
      <c r="A9868" s="30"/>
      <c r="B9868" s="30"/>
      <c r="C9868" s="30"/>
      <c r="D9868" s="31" t="s">
        <v>31289</v>
      </c>
      <c r="E9868" s="30"/>
      <c r="F9868" s="33">
        <f ca="1">ROUND((G9861+G9862+G9867)*(1+G2/100),2)</f>
        <v>0</v>
      </c>
      <c r="G9868" s="30"/>
    </row>
    <row r="9869" spans="1:7" ht="21.36" thickBot="1" customHeight="1">
      <c r="A9869" s="34" t="s">
        <v>31290</v>
      </c>
      <c r="B9869" s="35" t="s">
        <v>31291</v>
      </c>
      <c r="C9869" s="35" t="s">
        <v>31292</v>
      </c>
      <c r="D9869" s="36" t="s">
        <v>31293</v>
      </c>
      <c r="E9869" s="37"/>
      <c r="F9869" s="38">
        <f ca="1">F9880</f>
        <v>0</v>
      </c>
      <c r="G9869" s="37"/>
    </row>
    <row r="9870" spans="1:7" ht="39.84" thickBot="1" customHeight="1">
      <c r="A9870" s="26"/>
      <c r="B9870" s="26"/>
      <c r="C9870" s="26"/>
      <c r="D9870" s="25" t="s">
        <v>31294</v>
      </c>
      <c r="E9870" s="25"/>
      <c r="F9870" s="25"/>
      <c r="G9870" s="25"/>
    </row>
    <row r="9871" spans="1:7" ht="39.84" thickBot="1" customHeight="1">
      <c r="A9871" s="24" t="s">
        <v>31295</v>
      </c>
      <c r="B9871" s="24" t="s">
        <v>31296</v>
      </c>
      <c r="C9871" s="24" t="s">
        <v>31297</v>
      </c>
      <c r="D9871" s="25" t="s">
        <v>31298</v>
      </c>
      <c r="E9871" s="28">
        <v>1.00000</v>
      </c>
      <c r="F9871" s="29">
        <f ca="1">ROUND(119.530,3)</f>
        <v>0</v>
      </c>
      <c r="G9871" s="27">
        <f ca="1">ROUND(E9871*F9871,2)</f>
        <v>0</v>
      </c>
    </row>
    <row r="9872" spans="1:7" ht="39.84" thickBot="1" customHeight="1">
      <c r="A9872" s="24" t="s">
        <v>31299</v>
      </c>
      <c r="B9872" s="24" t="s">
        <v>31300</v>
      </c>
      <c r="C9872" s="24" t="s">
        <v>31301</v>
      </c>
      <c r="D9872" s="25" t="s">
        <v>31302</v>
      </c>
      <c r="E9872" s="28">
        <v>0.05000</v>
      </c>
      <c r="F9872" s="29">
        <f ca="1">ROUND(31.410,3)</f>
        <v>0</v>
      </c>
      <c r="G9872" s="27">
        <f ca="1">ROUND(E9872*F9872,2)</f>
        <v>0</v>
      </c>
    </row>
    <row r="9873" spans="1:7" ht="21.36" thickBot="1" customHeight="1">
      <c r="A9873" s="24" t="s">
        <v>31303</v>
      </c>
      <c r="B9873" s="24" t="s">
        <v>31304</v>
      </c>
      <c r="C9873" s="24" t="s">
        <v>31305</v>
      </c>
      <c r="D9873" s="25" t="s">
        <v>31306</v>
      </c>
      <c r="E9873" s="28">
        <v>0.20000</v>
      </c>
      <c r="F9873" s="29">
        <f ca="1">ROUND(8.500,3)</f>
        <v>0</v>
      </c>
      <c r="G9873" s="27">
        <f ca="1">ROUND(E9873*F9873,2)</f>
        <v>0</v>
      </c>
    </row>
    <row r="9874" spans="1:7" ht="21.36" thickBot="1" customHeight="1">
      <c r="A9874" s="24" t="s">
        <v>31307</v>
      </c>
      <c r="B9874" s="24" t="s">
        <v>31308</v>
      </c>
      <c r="C9874" s="24" t="s">
        <v>31309</v>
      </c>
      <c r="D9874" s="25" t="s">
        <v>31310</v>
      </c>
      <c r="E9874" s="28">
        <v>0.22000</v>
      </c>
      <c r="F9874" s="29">
        <f ca="1">F9878</f>
        <v>0</v>
      </c>
      <c r="G9874" s="27">
        <f ca="1">ROUND(E9874*F9874,2)</f>
        <v>0</v>
      </c>
    </row>
    <row r="9875" spans="1:7" ht="24.36" thickBot="1" customHeight="1">
      <c r="A9875" s="24" t="s">
        <v>31311</v>
      </c>
      <c r="B9875" s="24" t="s">
        <v>31312</v>
      </c>
      <c r="C9875" s="24" t="s">
        <v>31313</v>
      </c>
      <c r="D9875" s="25" t="s">
        <v>31314</v>
      </c>
      <c r="E9875" s="28">
        <v>1.00000</v>
      </c>
      <c r="F9875" s="29">
        <f ca="1">ROUND(21.000,3)</f>
        <v>0</v>
      </c>
      <c r="G9875" s="27">
        <f ca="1">ROUND(E9875*F9875,2)</f>
        <v>0</v>
      </c>
    </row>
    <row r="9876" spans="1:7" ht="24.36" thickBot="1" customHeight="1">
      <c r="A9876" s="24" t="s">
        <v>31315</v>
      </c>
      <c r="B9876" s="24" t="s">
        <v>31316</v>
      </c>
      <c r="C9876" s="24" t="s">
        <v>31317</v>
      </c>
      <c r="D9876" s="25" t="s">
        <v>31318</v>
      </c>
      <c r="E9876" s="28">
        <v>1.00000</v>
      </c>
      <c r="F9876" s="29">
        <f ca="1">ROUND(19.000,3)</f>
        <v>0</v>
      </c>
      <c r="G9876" s="27">
        <f ca="1">ROUND(E9876*F9876,2)</f>
        <v>0</v>
      </c>
    </row>
    <row r="9877" spans="1:7" ht="24.36" thickBot="1" customHeight="1">
      <c r="A9877" s="24" t="s">
        <v>31319</v>
      </c>
      <c r="B9877" s="24" t="s">
        <v>31320</v>
      </c>
      <c r="C9877" s="24" t="s">
        <v>31321</v>
      </c>
      <c r="D9877" s="25" t="s">
        <v>31322</v>
      </c>
      <c r="E9877" s="28">
        <v>0.20000</v>
      </c>
      <c r="F9877" s="29">
        <f ca="1">ROUND(19.000,3)</f>
        <v>0</v>
      </c>
      <c r="G9877" s="27">
        <f ca="1">ROUND(E9877*F9877,2)</f>
        <v>0</v>
      </c>
    </row>
    <row r="9878" spans="1:7" ht="15.12" thickBot="1" customHeight="1">
      <c r="A9878" s="26"/>
      <c r="B9878" s="26"/>
      <c r="C9878" s="26"/>
      <c r="D9878" s="24" t="s">
        <v>31323</v>
      </c>
      <c r="E9878" s="28">
        <v>0.22000</v>
      </c>
      <c r="F9878" s="29">
        <f ca="1">ROUND((G9875+G9876+G9877),3)</f>
        <v>0</v>
      </c>
      <c r="G9878" s="27">
        <f ca="1">ROUND(E9878*F9878,2)</f>
        <v>0</v>
      </c>
    </row>
    <row r="9879" spans="1:7" ht="15.12" thickBot="1" customHeight="1">
      <c r="A9879" s="24" t="s">
        <v>31324</v>
      </c>
      <c r="B9879" s="24"/>
      <c r="C9879" s="24" t="s">
        <v>31325</v>
      </c>
      <c r="D9879" s="25" t="s">
        <v>31326</v>
      </c>
      <c r="E9879" s="28">
        <v>3.00000</v>
      </c>
      <c r="F9879" s="29">
        <f ca="1">ROUND(9.640,3)</f>
        <v>0</v>
      </c>
      <c r="G9879" s="27">
        <f ca="1">ROUND((E9879*F9879)/100,2)</f>
        <v>0</v>
      </c>
    </row>
    <row r="9880" spans="1:7" ht="15.48" thickBot="1" customHeight="1">
      <c r="A9880" s="30"/>
      <c r="B9880" s="30"/>
      <c r="C9880" s="30"/>
      <c r="D9880" s="31" t="s">
        <v>31327</v>
      </c>
      <c r="E9880" s="30"/>
      <c r="F9880" s="33">
        <f ca="1">ROUND((G9871+G9872+G9873+G9874+G9879)*(1+G2/100),2)</f>
        <v>0</v>
      </c>
      <c r="G9880" s="30"/>
    </row>
    <row r="9881" spans="1:7" ht="15.48" thickBot="1" customHeight="1">
      <c r="A9881" s="34" t="s">
        <v>31328</v>
      </c>
      <c r="B9881" s="35" t="s">
        <v>31329</v>
      </c>
      <c r="C9881" s="35" t="s">
        <v>31330</v>
      </c>
      <c r="D9881" s="36" t="s">
        <v>31331</v>
      </c>
      <c r="E9881" s="37"/>
      <c r="F9881" s="38">
        <f ca="1">F9891</f>
        <v>0</v>
      </c>
      <c r="G9881" s="37"/>
    </row>
    <row r="9882" spans="1:7" ht="30.60" thickBot="1" customHeight="1">
      <c r="A9882" s="26"/>
      <c r="B9882" s="26"/>
      <c r="C9882" s="26"/>
      <c r="D9882" s="25" t="s">
        <v>31332</v>
      </c>
      <c r="E9882" s="25"/>
      <c r="F9882" s="25"/>
      <c r="G9882" s="25"/>
    </row>
    <row r="9883" spans="1:7" ht="30.60" thickBot="1" customHeight="1">
      <c r="A9883" s="24" t="s">
        <v>31333</v>
      </c>
      <c r="B9883" s="24" t="s">
        <v>31334</v>
      </c>
      <c r="C9883" s="24" t="s">
        <v>31335</v>
      </c>
      <c r="D9883" s="25" t="s">
        <v>31336</v>
      </c>
      <c r="E9883" s="28">
        <v>2.00000</v>
      </c>
      <c r="F9883" s="29">
        <f ca="1">ROUND(3.410,3)</f>
        <v>0</v>
      </c>
      <c r="G9883" s="27">
        <f ca="1">ROUND(E9883*F9883,2)</f>
        <v>0</v>
      </c>
    </row>
    <row r="9884" spans="1:7" ht="21.36" thickBot="1" customHeight="1">
      <c r="A9884" s="24" t="s">
        <v>31337</v>
      </c>
      <c r="B9884" s="24" t="s">
        <v>31338</v>
      </c>
      <c r="C9884" s="24" t="s">
        <v>31339</v>
      </c>
      <c r="D9884" s="25" t="s">
        <v>31340</v>
      </c>
      <c r="E9884" s="28">
        <v>0.10000</v>
      </c>
      <c r="F9884" s="29">
        <f ca="1">ROUND(8.500,3)</f>
        <v>0</v>
      </c>
      <c r="G9884" s="27">
        <f ca="1">ROUND(E9884*F9884,2)</f>
        <v>0</v>
      </c>
    </row>
    <row r="9885" spans="1:7" ht="21.36" thickBot="1" customHeight="1">
      <c r="A9885" s="24" t="s">
        <v>31341</v>
      </c>
      <c r="B9885" s="24" t="s">
        <v>31342</v>
      </c>
      <c r="C9885" s="24" t="s">
        <v>31343</v>
      </c>
      <c r="D9885" s="25" t="s">
        <v>31344</v>
      </c>
      <c r="E9885" s="28">
        <v>0.16600</v>
      </c>
      <c r="F9885" s="29">
        <f ca="1">F9889</f>
        <v>0</v>
      </c>
      <c r="G9885" s="27">
        <f ca="1">ROUND(E9885*F9885,2)</f>
        <v>0</v>
      </c>
    </row>
    <row r="9886" spans="1:7" ht="24.36" thickBot="1" customHeight="1">
      <c r="A9886" s="24" t="s">
        <v>31345</v>
      </c>
      <c r="B9886" s="24" t="s">
        <v>31346</v>
      </c>
      <c r="C9886" s="24" t="s">
        <v>31347</v>
      </c>
      <c r="D9886" s="25" t="s">
        <v>31348</v>
      </c>
      <c r="E9886" s="28">
        <v>1.00000</v>
      </c>
      <c r="F9886" s="29">
        <f ca="1">ROUND(21.000,3)</f>
        <v>0</v>
      </c>
      <c r="G9886" s="27">
        <f ca="1">ROUND(E9886*F9886,2)</f>
        <v>0</v>
      </c>
    </row>
    <row r="9887" spans="1:7" ht="24.36" thickBot="1" customHeight="1">
      <c r="A9887" s="24" t="s">
        <v>31349</v>
      </c>
      <c r="B9887" s="24" t="s">
        <v>31350</v>
      </c>
      <c r="C9887" s="24" t="s">
        <v>31351</v>
      </c>
      <c r="D9887" s="25" t="s">
        <v>31352</v>
      </c>
      <c r="E9887" s="28">
        <v>1.00000</v>
      </c>
      <c r="F9887" s="29">
        <f ca="1">ROUND(19.000,3)</f>
        <v>0</v>
      </c>
      <c r="G9887" s="27">
        <f ca="1">ROUND(E9887*F9887,2)</f>
        <v>0</v>
      </c>
    </row>
    <row r="9888" spans="1:7" ht="24.36" thickBot="1" customHeight="1">
      <c r="A9888" s="24" t="s">
        <v>31353</v>
      </c>
      <c r="B9888" s="24" t="s">
        <v>31354</v>
      </c>
      <c r="C9888" s="24" t="s">
        <v>31355</v>
      </c>
      <c r="D9888" s="25" t="s">
        <v>31356</v>
      </c>
      <c r="E9888" s="28">
        <v>0.20000</v>
      </c>
      <c r="F9888" s="29">
        <f ca="1">ROUND(19.000,3)</f>
        <v>0</v>
      </c>
      <c r="G9888" s="27">
        <f ca="1">ROUND(E9888*F9888,2)</f>
        <v>0</v>
      </c>
    </row>
    <row r="9889" spans="1:7" ht="15.12" thickBot="1" customHeight="1">
      <c r="A9889" s="26"/>
      <c r="B9889" s="26"/>
      <c r="C9889" s="26"/>
      <c r="D9889" s="24" t="s">
        <v>31357</v>
      </c>
      <c r="E9889" s="28">
        <v>0.16600</v>
      </c>
      <c r="F9889" s="29">
        <f ca="1">ROUND((G9886+G9887+G9888),3)</f>
        <v>0</v>
      </c>
      <c r="G9889" s="27">
        <f ca="1">ROUND(E9889*F9889,2)</f>
        <v>0</v>
      </c>
    </row>
    <row r="9890" spans="1:7" ht="15.12" thickBot="1" customHeight="1">
      <c r="A9890" s="24" t="s">
        <v>31358</v>
      </c>
      <c r="B9890" s="24"/>
      <c r="C9890" s="24" t="s">
        <v>31359</v>
      </c>
      <c r="D9890" s="25" t="s">
        <v>31360</v>
      </c>
      <c r="E9890" s="28">
        <v>3.00000</v>
      </c>
      <c r="F9890" s="29">
        <f ca="1">ROUND(7.270,3)</f>
        <v>0</v>
      </c>
      <c r="G9890" s="27">
        <f ca="1">ROUND((E9890*F9890)/100,2)</f>
        <v>0</v>
      </c>
    </row>
    <row r="9891" spans="1:7" ht="15.48" thickBot="1" customHeight="1">
      <c r="A9891" s="30"/>
      <c r="B9891" s="30"/>
      <c r="C9891" s="30"/>
      <c r="D9891" s="31" t="s">
        <v>31361</v>
      </c>
      <c r="E9891" s="30"/>
      <c r="F9891" s="33">
        <f ca="1">ROUND((G9883+G9884+G9885+G9890)*(1+G2/100),2)</f>
        <v>0</v>
      </c>
      <c r="G9891" s="30"/>
    </row>
    <row r="9892" spans="1:7" ht="21.36" thickBot="1" customHeight="1">
      <c r="A9892" s="34" t="s">
        <v>31362</v>
      </c>
      <c r="B9892" s="35" t="s">
        <v>31363</v>
      </c>
      <c r="C9892" s="35" t="s">
        <v>31364</v>
      </c>
      <c r="D9892" s="36" t="s">
        <v>31365</v>
      </c>
      <c r="E9892" s="37"/>
      <c r="F9892" s="38">
        <f ca="1">F9902</f>
        <v>0</v>
      </c>
      <c r="G9892" s="37"/>
    </row>
    <row r="9893" spans="1:7" ht="30.60" thickBot="1" customHeight="1">
      <c r="A9893" s="26"/>
      <c r="B9893" s="26"/>
      <c r="C9893" s="26"/>
      <c r="D9893" s="25" t="s">
        <v>31366</v>
      </c>
      <c r="E9893" s="25"/>
      <c r="F9893" s="25"/>
      <c r="G9893" s="25"/>
    </row>
    <row r="9894" spans="1:7" ht="30.60" thickBot="1" customHeight="1">
      <c r="A9894" s="24" t="s">
        <v>31367</v>
      </c>
      <c r="B9894" s="24" t="s">
        <v>31368</v>
      </c>
      <c r="C9894" s="24" t="s">
        <v>31369</v>
      </c>
      <c r="D9894" s="25" t="s">
        <v>31370</v>
      </c>
      <c r="E9894" s="28">
        <v>2.00000</v>
      </c>
      <c r="F9894" s="29">
        <f ca="1">ROUND(3.410,3)</f>
        <v>0</v>
      </c>
      <c r="G9894" s="27">
        <f ca="1">ROUND(E9894*F9894,2)</f>
        <v>0</v>
      </c>
    </row>
    <row r="9895" spans="1:7" ht="21.36" thickBot="1" customHeight="1">
      <c r="A9895" s="24" t="s">
        <v>31371</v>
      </c>
      <c r="B9895" s="24" t="s">
        <v>31372</v>
      </c>
      <c r="C9895" s="24" t="s">
        <v>31373</v>
      </c>
      <c r="D9895" s="25" t="s">
        <v>31374</v>
      </c>
      <c r="E9895" s="28">
        <v>0.10000</v>
      </c>
      <c r="F9895" s="29">
        <f ca="1">ROUND(8.500,3)</f>
        <v>0</v>
      </c>
      <c r="G9895" s="27">
        <f ca="1">ROUND(E9895*F9895,2)</f>
        <v>0</v>
      </c>
    </row>
    <row r="9896" spans="1:7" ht="24.36" thickBot="1" customHeight="1">
      <c r="A9896" s="24" t="s">
        <v>31375</v>
      </c>
      <c r="B9896" s="24" t="s">
        <v>31376</v>
      </c>
      <c r="C9896" s="24" t="s">
        <v>31377</v>
      </c>
      <c r="D9896" s="25" t="s">
        <v>31378</v>
      </c>
      <c r="E9896" s="28">
        <v>0.33300</v>
      </c>
      <c r="F9896" s="29">
        <f ca="1">F9900</f>
        <v>0</v>
      </c>
      <c r="G9896" s="27">
        <f ca="1">ROUND(E9896*F9896,2)</f>
        <v>0</v>
      </c>
    </row>
    <row r="9897" spans="1:7" ht="24.36" thickBot="1" customHeight="1">
      <c r="A9897" s="24" t="s">
        <v>31379</v>
      </c>
      <c r="B9897" s="24" t="s">
        <v>31380</v>
      </c>
      <c r="C9897" s="24" t="s">
        <v>31381</v>
      </c>
      <c r="D9897" s="25" t="s">
        <v>31382</v>
      </c>
      <c r="E9897" s="28">
        <v>1.00000</v>
      </c>
      <c r="F9897" s="29">
        <f ca="1">ROUND(21.000,3)</f>
        <v>0</v>
      </c>
      <c r="G9897" s="27">
        <f ca="1">ROUND(E9897*F9897,2)</f>
        <v>0</v>
      </c>
    </row>
    <row r="9898" spans="1:7" ht="24.36" thickBot="1" customHeight="1">
      <c r="A9898" s="24" t="s">
        <v>31383</v>
      </c>
      <c r="B9898" s="24" t="s">
        <v>31384</v>
      </c>
      <c r="C9898" s="24" t="s">
        <v>31385</v>
      </c>
      <c r="D9898" s="25" t="s">
        <v>31386</v>
      </c>
      <c r="E9898" s="28">
        <v>1.00000</v>
      </c>
      <c r="F9898" s="29">
        <f ca="1">ROUND(19.000,3)</f>
        <v>0</v>
      </c>
      <c r="G9898" s="27">
        <f ca="1">ROUND(E9898*F9898,2)</f>
        <v>0</v>
      </c>
    </row>
    <row r="9899" spans="1:7" ht="24.36" thickBot="1" customHeight="1">
      <c r="A9899" s="24" t="s">
        <v>31387</v>
      </c>
      <c r="B9899" s="24" t="s">
        <v>31388</v>
      </c>
      <c r="C9899" s="24" t="s">
        <v>31389</v>
      </c>
      <c r="D9899" s="25" t="s">
        <v>31390</v>
      </c>
      <c r="E9899" s="28">
        <v>0.50000</v>
      </c>
      <c r="F9899" s="29">
        <f ca="1">ROUND(19.000,3)</f>
        <v>0</v>
      </c>
      <c r="G9899" s="27">
        <f ca="1">ROUND(E9899*F9899,2)</f>
        <v>0</v>
      </c>
    </row>
    <row r="9900" spans="1:7" ht="15.12" thickBot="1" customHeight="1">
      <c r="A9900" s="26"/>
      <c r="B9900" s="26"/>
      <c r="C9900" s="26"/>
      <c r="D9900" s="24" t="s">
        <v>31391</v>
      </c>
      <c r="E9900" s="28">
        <v>0.33300</v>
      </c>
      <c r="F9900" s="29">
        <f ca="1">ROUND((G9897+G9898+G9899),3)</f>
        <v>0</v>
      </c>
      <c r="G9900" s="27">
        <f ca="1">ROUND(E9900*F9900,2)</f>
        <v>0</v>
      </c>
    </row>
    <row r="9901" spans="1:7" ht="15.12" thickBot="1" customHeight="1">
      <c r="A9901" s="24" t="s">
        <v>31392</v>
      </c>
      <c r="B9901" s="24"/>
      <c r="C9901" s="24" t="s">
        <v>31393</v>
      </c>
      <c r="D9901" s="25" t="s">
        <v>31394</v>
      </c>
      <c r="E9901" s="28">
        <v>3.00000</v>
      </c>
      <c r="F9901" s="29">
        <f ca="1">ROUND(16.480,3)</f>
        <v>0</v>
      </c>
      <c r="G9901" s="27">
        <f ca="1">ROUND((E9901*F9901)/100,2)</f>
        <v>0</v>
      </c>
    </row>
    <row r="9902" spans="1:7" ht="15.48" thickBot="1" customHeight="1">
      <c r="A9902" s="30"/>
      <c r="B9902" s="30"/>
      <c r="C9902" s="30"/>
      <c r="D9902" s="31" t="s">
        <v>31395</v>
      </c>
      <c r="E9902" s="30"/>
      <c r="F9902" s="33">
        <f ca="1">ROUND((G9894+G9895+G9896+G9901)*(1+G2/100),2)</f>
        <v>0</v>
      </c>
      <c r="G9902" s="30"/>
    </row>
    <row r="9903" spans="1:7" ht="15.48" thickBot="1" customHeight="1">
      <c r="A9903" s="34" t="s">
        <v>31396</v>
      </c>
      <c r="B9903" s="35" t="s">
        <v>31397</v>
      </c>
      <c r="C9903" s="35" t="s">
        <v>31398</v>
      </c>
      <c r="D9903" s="36" t="s">
        <v>31399</v>
      </c>
      <c r="E9903" s="37"/>
      <c r="F9903" s="38">
        <f ca="1">F9912</f>
        <v>0</v>
      </c>
      <c r="G9903" s="37"/>
    </row>
    <row r="9904" spans="1:7" ht="21.36" thickBot="1" customHeight="1">
      <c r="A9904" s="26"/>
      <c r="B9904" s="26"/>
      <c r="C9904" s="26"/>
      <c r="D9904" s="25" t="s">
        <v>31400</v>
      </c>
      <c r="E9904" s="25"/>
      <c r="F9904" s="25"/>
      <c r="G9904" s="25"/>
    </row>
    <row r="9905" spans="1:7" ht="30.60" thickBot="1" customHeight="1">
      <c r="A9905" s="24" t="s">
        <v>31401</v>
      </c>
      <c r="B9905" s="24" t="s">
        <v>31402</v>
      </c>
      <c r="C9905" s="24" t="s">
        <v>31403</v>
      </c>
      <c r="D9905" s="25" t="s">
        <v>31404</v>
      </c>
      <c r="E9905" s="28">
        <v>0.20000</v>
      </c>
      <c r="F9905" s="29">
        <f ca="1">ROUND(21.790,3)</f>
        <v>0</v>
      </c>
      <c r="G9905" s="27">
        <f ca="1">ROUND(E9905*F9905,2)</f>
        <v>0</v>
      </c>
    </row>
    <row r="9906" spans="1:7" ht="21.36" thickBot="1" customHeight="1">
      <c r="A9906" s="24" t="s">
        <v>31405</v>
      </c>
      <c r="B9906" s="24" t="s">
        <v>31406</v>
      </c>
      <c r="C9906" s="24" t="s">
        <v>31407</v>
      </c>
      <c r="D9906" s="25" t="s">
        <v>31408</v>
      </c>
      <c r="E9906" s="28">
        <v>0.30000</v>
      </c>
      <c r="F9906" s="29">
        <f ca="1">F9910</f>
        <v>0</v>
      </c>
      <c r="G9906" s="27">
        <f ca="1">ROUND(E9906*F9906,2)</f>
        <v>0</v>
      </c>
    </row>
    <row r="9907" spans="1:7" ht="24.36" thickBot="1" customHeight="1">
      <c r="A9907" s="24" t="s">
        <v>31409</v>
      </c>
      <c r="B9907" s="24" t="s">
        <v>31410</v>
      </c>
      <c r="C9907" s="24" t="s">
        <v>31411</v>
      </c>
      <c r="D9907" s="25" t="s">
        <v>31412</v>
      </c>
      <c r="E9907" s="28">
        <v>1.00000</v>
      </c>
      <c r="F9907" s="29">
        <f ca="1">ROUND(21.000,3)</f>
        <v>0</v>
      </c>
      <c r="G9907" s="27">
        <f ca="1">ROUND(E9907*F9907,2)</f>
        <v>0</v>
      </c>
    </row>
    <row r="9908" spans="1:7" ht="24.36" thickBot="1" customHeight="1">
      <c r="A9908" s="24" t="s">
        <v>31413</v>
      </c>
      <c r="B9908" s="24" t="s">
        <v>31414</v>
      </c>
      <c r="C9908" s="24" t="s">
        <v>31415</v>
      </c>
      <c r="D9908" s="25" t="s">
        <v>31416</v>
      </c>
      <c r="E9908" s="28">
        <v>1.00000</v>
      </c>
      <c r="F9908" s="29">
        <f ca="1">ROUND(19.000,3)</f>
        <v>0</v>
      </c>
      <c r="G9908" s="27">
        <f ca="1">ROUND(E9908*F9908,2)</f>
        <v>0</v>
      </c>
    </row>
    <row r="9909" spans="1:7" ht="24.36" thickBot="1" customHeight="1">
      <c r="A9909" s="24" t="s">
        <v>31417</v>
      </c>
      <c r="B9909" s="24" t="s">
        <v>31418</v>
      </c>
      <c r="C9909" s="24" t="s">
        <v>31419</v>
      </c>
      <c r="D9909" s="25" t="s">
        <v>31420</v>
      </c>
      <c r="E9909" s="28">
        <v>0.20000</v>
      </c>
      <c r="F9909" s="29">
        <f ca="1">ROUND(19.000,3)</f>
        <v>0</v>
      </c>
      <c r="G9909" s="27">
        <f ca="1">ROUND(E9909*F9909,2)</f>
        <v>0</v>
      </c>
    </row>
    <row r="9910" spans="1:7" ht="15.12" thickBot="1" customHeight="1">
      <c r="A9910" s="26"/>
      <c r="B9910" s="26"/>
      <c r="C9910" s="26"/>
      <c r="D9910" s="24" t="s">
        <v>31421</v>
      </c>
      <c r="E9910" s="28">
        <v>0.30000</v>
      </c>
      <c r="F9910" s="29">
        <f ca="1">ROUND((G9907+G9908+G9909),3)</f>
        <v>0</v>
      </c>
      <c r="G9910" s="27">
        <f ca="1">ROUND(E9910*F9910,2)</f>
        <v>0</v>
      </c>
    </row>
    <row r="9911" spans="1:7" ht="15.12" thickBot="1" customHeight="1">
      <c r="A9911" s="24" t="s">
        <v>31422</v>
      </c>
      <c r="B9911" s="24"/>
      <c r="C9911" s="24" t="s">
        <v>31423</v>
      </c>
      <c r="D9911" s="25" t="s">
        <v>31424</v>
      </c>
      <c r="E9911" s="28">
        <v>3.00000</v>
      </c>
      <c r="F9911" s="29">
        <f ca="1">ROUND(13.140,3)</f>
        <v>0</v>
      </c>
      <c r="G9911" s="27">
        <f ca="1">ROUND((E9911*F9911)/100,2)</f>
        <v>0</v>
      </c>
    </row>
    <row r="9912" spans="1:7" ht="15.48" thickBot="1" customHeight="1">
      <c r="A9912" s="30"/>
      <c r="B9912" s="30"/>
      <c r="C9912" s="30"/>
      <c r="D9912" s="31" t="s">
        <v>31425</v>
      </c>
      <c r="E9912" s="30"/>
      <c r="F9912" s="33">
        <f ca="1">ROUND((G9905+G9906+G9911)*(1+G2/100),2)</f>
        <v>0</v>
      </c>
      <c r="G9912" s="30"/>
    </row>
    <row r="9913" spans="1:7" ht="21.36" thickBot="1" customHeight="1">
      <c r="A9913" s="34" t="s">
        <v>31426</v>
      </c>
      <c r="B9913" s="35" t="s">
        <v>31427</v>
      </c>
      <c r="C9913" s="35" t="s">
        <v>31428</v>
      </c>
      <c r="D9913" s="36" t="s">
        <v>31429</v>
      </c>
      <c r="E9913" s="37"/>
      <c r="F9913" s="38">
        <f ca="1">F9922</f>
        <v>0</v>
      </c>
      <c r="G9913" s="37"/>
    </row>
    <row r="9914" spans="1:7" ht="21.36" thickBot="1" customHeight="1">
      <c r="A9914" s="26"/>
      <c r="B9914" s="26"/>
      <c r="C9914" s="26"/>
      <c r="D9914" s="25" t="s">
        <v>31430</v>
      </c>
      <c r="E9914" s="25"/>
      <c r="F9914" s="25"/>
      <c r="G9914" s="25"/>
    </row>
    <row r="9915" spans="1:7" ht="30.60" thickBot="1" customHeight="1">
      <c r="A9915" s="24" t="s">
        <v>31431</v>
      </c>
      <c r="B9915" s="24" t="s">
        <v>31432</v>
      </c>
      <c r="C9915" s="24" t="s">
        <v>31433</v>
      </c>
      <c r="D9915" s="25" t="s">
        <v>31434</v>
      </c>
      <c r="E9915" s="28">
        <v>0.20000</v>
      </c>
      <c r="F9915" s="29">
        <f ca="1">ROUND(21.790,3)</f>
        <v>0</v>
      </c>
      <c r="G9915" s="27">
        <f ca="1">ROUND(E9915*F9915,2)</f>
        <v>0</v>
      </c>
    </row>
    <row r="9916" spans="1:7" ht="24.36" thickBot="1" customHeight="1">
      <c r="A9916" s="24" t="s">
        <v>31435</v>
      </c>
      <c r="B9916" s="24" t="s">
        <v>31436</v>
      </c>
      <c r="C9916" s="24" t="s">
        <v>31437</v>
      </c>
      <c r="D9916" s="25" t="s">
        <v>31438</v>
      </c>
      <c r="E9916" s="28">
        <v>0.60000</v>
      </c>
      <c r="F9916" s="29">
        <f ca="1">F9920</f>
        <v>0</v>
      </c>
      <c r="G9916" s="27">
        <f ca="1">ROUND(E9916*F9916,2)</f>
        <v>0</v>
      </c>
    </row>
    <row r="9917" spans="1:7" ht="24.36" thickBot="1" customHeight="1">
      <c r="A9917" s="24" t="s">
        <v>31439</v>
      </c>
      <c r="B9917" s="24" t="s">
        <v>31440</v>
      </c>
      <c r="C9917" s="24" t="s">
        <v>31441</v>
      </c>
      <c r="D9917" s="25" t="s">
        <v>31442</v>
      </c>
      <c r="E9917" s="28">
        <v>1.00000</v>
      </c>
      <c r="F9917" s="29">
        <f ca="1">ROUND(21.000,3)</f>
        <v>0</v>
      </c>
      <c r="G9917" s="27">
        <f ca="1">ROUND(E9917*F9917,2)</f>
        <v>0</v>
      </c>
    </row>
    <row r="9918" spans="1:7" ht="24.36" thickBot="1" customHeight="1">
      <c r="A9918" s="24" t="s">
        <v>31443</v>
      </c>
      <c r="B9918" s="24" t="s">
        <v>31444</v>
      </c>
      <c r="C9918" s="24" t="s">
        <v>31445</v>
      </c>
      <c r="D9918" s="25" t="s">
        <v>31446</v>
      </c>
      <c r="E9918" s="28">
        <v>1.00000</v>
      </c>
      <c r="F9918" s="29">
        <f ca="1">ROUND(19.000,3)</f>
        <v>0</v>
      </c>
      <c r="G9918" s="27">
        <f ca="1">ROUND(E9918*F9918,2)</f>
        <v>0</v>
      </c>
    </row>
    <row r="9919" spans="1:7" ht="24.36" thickBot="1" customHeight="1">
      <c r="A9919" s="24" t="s">
        <v>31447</v>
      </c>
      <c r="B9919" s="24" t="s">
        <v>31448</v>
      </c>
      <c r="C9919" s="24" t="s">
        <v>31449</v>
      </c>
      <c r="D9919" s="25" t="s">
        <v>31450</v>
      </c>
      <c r="E9919" s="28">
        <v>0.50000</v>
      </c>
      <c r="F9919" s="29">
        <f ca="1">ROUND(19.000,3)</f>
        <v>0</v>
      </c>
      <c r="G9919" s="27">
        <f ca="1">ROUND(E9919*F9919,2)</f>
        <v>0</v>
      </c>
    </row>
    <row r="9920" spans="1:7" ht="15.12" thickBot="1" customHeight="1">
      <c r="A9920" s="26"/>
      <c r="B9920" s="26"/>
      <c r="C9920" s="26"/>
      <c r="D9920" s="24" t="s">
        <v>31451</v>
      </c>
      <c r="E9920" s="28">
        <v>0.60000</v>
      </c>
      <c r="F9920" s="29">
        <f ca="1">ROUND((G9917+G9918+G9919),3)</f>
        <v>0</v>
      </c>
      <c r="G9920" s="27">
        <f ca="1">ROUND(E9920*F9920,2)</f>
        <v>0</v>
      </c>
    </row>
    <row r="9921" spans="1:7" ht="15.12" thickBot="1" customHeight="1">
      <c r="A9921" s="24" t="s">
        <v>31452</v>
      </c>
      <c r="B9921" s="24"/>
      <c r="C9921" s="24" t="s">
        <v>31453</v>
      </c>
      <c r="D9921" s="25" t="s">
        <v>31454</v>
      </c>
      <c r="E9921" s="28">
        <v>3.00000</v>
      </c>
      <c r="F9921" s="29">
        <f ca="1">ROUND(29.700,3)</f>
        <v>0</v>
      </c>
      <c r="G9921" s="27">
        <f ca="1">ROUND((E9921*F9921)/100,2)</f>
        <v>0</v>
      </c>
    </row>
    <row r="9922" spans="1:7" ht="15.48" thickBot="1" customHeight="1">
      <c r="A9922" s="30"/>
      <c r="B9922" s="30"/>
      <c r="C9922" s="30"/>
      <c r="D9922" s="31" t="s">
        <v>31455</v>
      </c>
      <c r="E9922" s="30"/>
      <c r="F9922" s="33">
        <f ca="1">ROUND((G9915+G9916+G9921)*(1+G2/100),2)</f>
        <v>0</v>
      </c>
      <c r="G9922" s="30"/>
    </row>
    <row r="9923" spans="1:7" ht="30.60" thickBot="1" customHeight="1">
      <c r="A9923" s="34" t="s">
        <v>31456</v>
      </c>
      <c r="B9923" s="35" t="s">
        <v>31457</v>
      </c>
      <c r="C9923" s="35" t="s">
        <v>31458</v>
      </c>
      <c r="D9923" s="36" t="s">
        <v>31459</v>
      </c>
      <c r="E9923" s="37"/>
      <c r="F9923" s="38">
        <f ca="1">F9946</f>
        <v>0</v>
      </c>
      <c r="G9923" s="37"/>
    </row>
    <row r="9924" spans="1:7" ht="196.92" thickBot="1" customHeight="1">
      <c r="A9924" s="26"/>
      <c r="B9924" s="26"/>
      <c r="C9924" s="26"/>
      <c r="D9924" s="25" t="s">
        <v>31460</v>
      </c>
      <c r="E9924" s="25"/>
      <c r="F9924" s="25"/>
      <c r="G9924" s="25"/>
    </row>
    <row r="9925" spans="1:7" ht="39.84" thickBot="1" customHeight="1">
      <c r="A9925" s="24" t="s">
        <v>31461</v>
      </c>
      <c r="B9925" s="24" t="s">
        <v>31462</v>
      </c>
      <c r="C9925" s="24" t="s">
        <v>31463</v>
      </c>
      <c r="D9925" s="25" t="s">
        <v>31464</v>
      </c>
      <c r="E9925" s="28">
        <v>1.00000</v>
      </c>
      <c r="F9925" s="29">
        <f ca="1">ROUND(15.950,3)</f>
        <v>0</v>
      </c>
      <c r="G9925" s="27">
        <f ca="1">ROUND(E9925*F9925,2)</f>
        <v>0</v>
      </c>
    </row>
    <row r="9926" spans="1:7" ht="30.60" thickBot="1" customHeight="1">
      <c r="A9926" s="24" t="s">
        <v>31465</v>
      </c>
      <c r="B9926" s="24" t="s">
        <v>31466</v>
      </c>
      <c r="C9926" s="24" t="s">
        <v>31467</v>
      </c>
      <c r="D9926" s="25" t="s">
        <v>31468</v>
      </c>
      <c r="E9926" s="28">
        <v>1.00000</v>
      </c>
      <c r="F9926" s="29">
        <f ca="1">ROUND(39.900,3)</f>
        <v>0</v>
      </c>
      <c r="G9926" s="27">
        <f ca="1">ROUND(E9926*F9926,2)</f>
        <v>0</v>
      </c>
    </row>
    <row r="9927" spans="1:7" ht="30.60" thickBot="1" customHeight="1">
      <c r="A9927" s="24" t="s">
        <v>31469</v>
      </c>
      <c r="B9927" s="24" t="s">
        <v>31470</v>
      </c>
      <c r="C9927" s="24" t="s">
        <v>31471</v>
      </c>
      <c r="D9927" s="25" t="s">
        <v>31472</v>
      </c>
      <c r="E9927" s="28">
        <v>1.00000</v>
      </c>
      <c r="F9927" s="29">
        <f ca="1">ROUND(1.890,3)</f>
        <v>0</v>
      </c>
      <c r="G9927" s="27">
        <f ca="1">ROUND(E9927*F9927,2)</f>
        <v>0</v>
      </c>
    </row>
    <row r="9928" spans="1:7" ht="39.84" thickBot="1" customHeight="1">
      <c r="A9928" s="24" t="s">
        <v>31473</v>
      </c>
      <c r="B9928" s="24" t="s">
        <v>31474</v>
      </c>
      <c r="C9928" s="24" t="s">
        <v>31475</v>
      </c>
      <c r="D9928" s="25" t="s">
        <v>31476</v>
      </c>
      <c r="E9928" s="28">
        <v>1.00000</v>
      </c>
      <c r="F9928" s="29">
        <f ca="1">ROUND(7.020,3)</f>
        <v>0</v>
      </c>
      <c r="G9928" s="27">
        <f ca="1">ROUND(E9928*F9928,2)</f>
        <v>0</v>
      </c>
    </row>
    <row r="9929" spans="1:7" ht="21.36" thickBot="1" customHeight="1">
      <c r="A9929" s="24" t="s">
        <v>31477</v>
      </c>
      <c r="B9929" s="24" t="s">
        <v>31478</v>
      </c>
      <c r="C9929" s="24" t="s">
        <v>31479</v>
      </c>
      <c r="D9929" s="25" t="s">
        <v>31480</v>
      </c>
      <c r="E9929" s="28">
        <v>1.00000</v>
      </c>
      <c r="F9929" s="29">
        <f ca="1">ROUND(1.320,3)</f>
        <v>0</v>
      </c>
      <c r="G9929" s="27">
        <f ca="1">ROUND(E9929*F9929,2)</f>
        <v>0</v>
      </c>
    </row>
    <row r="9930" spans="1:7" ht="30.60" thickBot="1" customHeight="1">
      <c r="A9930" s="24" t="s">
        <v>31481</v>
      </c>
      <c r="B9930" s="24" t="s">
        <v>31482</v>
      </c>
      <c r="C9930" s="24" t="s">
        <v>31483</v>
      </c>
      <c r="D9930" s="25" t="s">
        <v>31484</v>
      </c>
      <c r="E9930" s="28">
        <v>5.00000</v>
      </c>
      <c r="F9930" s="29">
        <f ca="1">ROUND(1.470,3)</f>
        <v>0</v>
      </c>
      <c r="G9930" s="27">
        <f ca="1">ROUND(E9930*F9930,2)</f>
        <v>0</v>
      </c>
    </row>
    <row r="9931" spans="1:7" ht="30.60" thickBot="1" customHeight="1">
      <c r="A9931" s="24" t="s">
        <v>31485</v>
      </c>
      <c r="B9931" s="24" t="s">
        <v>31486</v>
      </c>
      <c r="C9931" s="24" t="s">
        <v>31487</v>
      </c>
      <c r="D9931" s="25" t="s">
        <v>31488</v>
      </c>
      <c r="E9931" s="28">
        <v>1.00000</v>
      </c>
      <c r="F9931" s="29">
        <f ca="1">ROUND(8.350,3)</f>
        <v>0</v>
      </c>
      <c r="G9931" s="27">
        <f ca="1">ROUND(E9931*F9931,2)</f>
        <v>0</v>
      </c>
    </row>
    <row r="9932" spans="1:7" ht="30.60" thickBot="1" customHeight="1">
      <c r="A9932" s="24" t="s">
        <v>31489</v>
      </c>
      <c r="B9932" s="24" t="s">
        <v>31490</v>
      </c>
      <c r="C9932" s="24" t="s">
        <v>31491</v>
      </c>
      <c r="D9932" s="25" t="s">
        <v>31492</v>
      </c>
      <c r="E9932" s="28">
        <v>1.00000</v>
      </c>
      <c r="F9932" s="29">
        <f ca="1">ROUND(11.000,3)</f>
        <v>0</v>
      </c>
      <c r="G9932" s="27">
        <f ca="1">ROUND(E9932*F9932,2)</f>
        <v>0</v>
      </c>
    </row>
    <row r="9933" spans="1:7" ht="21.36" thickBot="1" customHeight="1">
      <c r="A9933" s="24" t="s">
        <v>31493</v>
      </c>
      <c r="B9933" s="24" t="s">
        <v>31494</v>
      </c>
      <c r="C9933" s="24" t="s">
        <v>31495</v>
      </c>
      <c r="D9933" s="25" t="s">
        <v>31496</v>
      </c>
      <c r="E9933" s="28">
        <v>1.00000</v>
      </c>
      <c r="F9933" s="29">
        <f ca="1">ROUND(1.670,3)</f>
        <v>0</v>
      </c>
      <c r="G9933" s="27">
        <f ca="1">ROUND(E9933*F9933,2)</f>
        <v>0</v>
      </c>
    </row>
    <row r="9934" spans="1:7" ht="30.60" thickBot="1" customHeight="1">
      <c r="A9934" s="24" t="s">
        <v>31497</v>
      </c>
      <c r="B9934" s="24" t="s">
        <v>31498</v>
      </c>
      <c r="C9934" s="24" t="s">
        <v>31499</v>
      </c>
      <c r="D9934" s="25" t="s">
        <v>31500</v>
      </c>
      <c r="E9934" s="28">
        <v>10.00000</v>
      </c>
      <c r="F9934" s="29">
        <f ca="1">ROUND(0.170,3)</f>
        <v>0</v>
      </c>
      <c r="G9934" s="27">
        <f ca="1">ROUND(E9934*F9934,2)</f>
        <v>0</v>
      </c>
    </row>
    <row r="9935" spans="1:7" ht="30.60" thickBot="1" customHeight="1">
      <c r="A9935" s="24" t="s">
        <v>31501</v>
      </c>
      <c r="B9935" s="24" t="s">
        <v>31502</v>
      </c>
      <c r="C9935" s="24" t="s">
        <v>31503</v>
      </c>
      <c r="D9935" s="25" t="s">
        <v>31504</v>
      </c>
      <c r="E9935" s="28">
        <v>1.00000</v>
      </c>
      <c r="F9935" s="29">
        <f ca="1">ROUND(10.730,3)</f>
        <v>0</v>
      </c>
      <c r="G9935" s="27">
        <f ca="1">ROUND(E9935*F9935,2)</f>
        <v>0</v>
      </c>
    </row>
    <row r="9936" spans="1:7" ht="39.84" thickBot="1" customHeight="1">
      <c r="A9936" s="24" t="s">
        <v>31505</v>
      </c>
      <c r="B9936" s="24" t="s">
        <v>31506</v>
      </c>
      <c r="C9936" s="24" t="s">
        <v>31507</v>
      </c>
      <c r="D9936" s="25" t="s">
        <v>31508</v>
      </c>
      <c r="E9936" s="28">
        <v>1.00000</v>
      </c>
      <c r="F9936" s="29">
        <f ca="1">ROUND(8.840,3)</f>
        <v>0</v>
      </c>
      <c r="G9936" s="27">
        <f ca="1">ROUND(E9936*F9936,2)</f>
        <v>0</v>
      </c>
    </row>
    <row r="9937" spans="1:7" ht="21.36" thickBot="1" customHeight="1">
      <c r="A9937" s="24" t="s">
        <v>31509</v>
      </c>
      <c r="B9937" s="24" t="s">
        <v>31510</v>
      </c>
      <c r="C9937" s="24" t="s">
        <v>31511</v>
      </c>
      <c r="D9937" s="25" t="s">
        <v>31512</v>
      </c>
      <c r="E9937" s="28">
        <v>1.00000</v>
      </c>
      <c r="F9937" s="29">
        <f ca="1">ROUND(1.850,3)</f>
        <v>0</v>
      </c>
      <c r="G9937" s="27">
        <f ca="1">ROUND(E9937*F9937,2)</f>
        <v>0</v>
      </c>
    </row>
    <row r="9938" spans="1:7" ht="30.60" thickBot="1" customHeight="1">
      <c r="A9938" s="24" t="s">
        <v>31513</v>
      </c>
      <c r="B9938" s="24" t="s">
        <v>31514</v>
      </c>
      <c r="C9938" s="24" t="s">
        <v>31515</v>
      </c>
      <c r="D9938" s="25" t="s">
        <v>31516</v>
      </c>
      <c r="E9938" s="28">
        <v>1.00000</v>
      </c>
      <c r="F9938" s="29">
        <f ca="1">ROUND(10.740,3)</f>
        <v>0</v>
      </c>
      <c r="G9938" s="27">
        <f ca="1">ROUND(E9938*F9938,2)</f>
        <v>0</v>
      </c>
    </row>
    <row r="9939" spans="1:7" ht="30.60" thickBot="1" customHeight="1">
      <c r="A9939" s="24" t="s">
        <v>31517</v>
      </c>
      <c r="B9939" s="24" t="s">
        <v>31518</v>
      </c>
      <c r="C9939" s="24" t="s">
        <v>31519</v>
      </c>
      <c r="D9939" s="25" t="s">
        <v>31520</v>
      </c>
      <c r="E9939" s="28">
        <v>28.00000</v>
      </c>
      <c r="F9939" s="29">
        <f ca="1">ROUND(0.400,3)</f>
        <v>0</v>
      </c>
      <c r="G9939" s="27">
        <f ca="1">ROUND(E9939*F9939,2)</f>
        <v>0</v>
      </c>
    </row>
    <row r="9940" spans="1:7" ht="21.36" thickBot="1" customHeight="1">
      <c r="A9940" s="24" t="s">
        <v>31521</v>
      </c>
      <c r="B9940" s="24" t="s">
        <v>31522</v>
      </c>
      <c r="C9940" s="24" t="s">
        <v>31523</v>
      </c>
      <c r="D9940" s="25" t="s">
        <v>31524</v>
      </c>
      <c r="E9940" s="28">
        <v>16.00000</v>
      </c>
      <c r="F9940" s="29">
        <f ca="1">F9944</f>
        <v>0</v>
      </c>
      <c r="G9940" s="27">
        <f ca="1">ROUND(E9940*F9940,2)</f>
        <v>0</v>
      </c>
    </row>
    <row r="9941" spans="1:7" ht="24.36" thickBot="1" customHeight="1">
      <c r="A9941" s="24" t="s">
        <v>31525</v>
      </c>
      <c r="B9941" s="24" t="s">
        <v>31526</v>
      </c>
      <c r="C9941" s="24" t="s">
        <v>31527</v>
      </c>
      <c r="D9941" s="25" t="s">
        <v>31528</v>
      </c>
      <c r="E9941" s="28">
        <v>1.00000</v>
      </c>
      <c r="F9941" s="29">
        <f ca="1">ROUND(21.000,3)</f>
        <v>0</v>
      </c>
      <c r="G9941" s="27">
        <f ca="1">ROUND(E9941*F9941,2)</f>
        <v>0</v>
      </c>
    </row>
    <row r="9942" spans="1:7" ht="24.36" thickBot="1" customHeight="1">
      <c r="A9942" s="24" t="s">
        <v>31529</v>
      </c>
      <c r="B9942" s="24" t="s">
        <v>31530</v>
      </c>
      <c r="C9942" s="24" t="s">
        <v>31531</v>
      </c>
      <c r="D9942" s="25" t="s">
        <v>31532</v>
      </c>
      <c r="E9942" s="28">
        <v>1.00000</v>
      </c>
      <c r="F9942" s="29">
        <f ca="1">ROUND(19.000,3)</f>
        <v>0</v>
      </c>
      <c r="G9942" s="27">
        <f ca="1">ROUND(E9942*F9942,2)</f>
        <v>0</v>
      </c>
    </row>
    <row r="9943" spans="1:7" ht="24.36" thickBot="1" customHeight="1">
      <c r="A9943" s="24" t="s">
        <v>31533</v>
      </c>
      <c r="B9943" s="24" t="s">
        <v>31534</v>
      </c>
      <c r="C9943" s="24" t="s">
        <v>31535</v>
      </c>
      <c r="D9943" s="25" t="s">
        <v>31536</v>
      </c>
      <c r="E9943" s="28">
        <v>0.20000</v>
      </c>
      <c r="F9943" s="29">
        <f ca="1">ROUND(19.000,3)</f>
        <v>0</v>
      </c>
      <c r="G9943" s="27">
        <f ca="1">ROUND(E9943*F9943,2)</f>
        <v>0</v>
      </c>
    </row>
    <row r="9944" spans="1:7" ht="15.12" thickBot="1" customHeight="1">
      <c r="A9944" s="26"/>
      <c r="B9944" s="26"/>
      <c r="C9944" s="26"/>
      <c r="D9944" s="24" t="s">
        <v>31537</v>
      </c>
      <c r="E9944" s="28">
        <v>16.00000</v>
      </c>
      <c r="F9944" s="29">
        <f ca="1">ROUND((G9941+G9942+G9943),3)</f>
        <v>0</v>
      </c>
      <c r="G9944" s="27">
        <f ca="1">ROUND(E9944*F9944,2)</f>
        <v>0</v>
      </c>
    </row>
    <row r="9945" spans="1:7" ht="15.12" thickBot="1" customHeight="1">
      <c r="A9945" s="24" t="s">
        <v>31538</v>
      </c>
      <c r="B9945" s="24"/>
      <c r="C9945" s="24" t="s">
        <v>31539</v>
      </c>
      <c r="D9945" s="25" t="s">
        <v>31540</v>
      </c>
      <c r="E9945" s="28">
        <v>3.00000</v>
      </c>
      <c r="F9945" s="29">
        <f ca="1">ROUND(700.800,3)</f>
        <v>0</v>
      </c>
      <c r="G9945" s="27">
        <f ca="1">ROUND((E9945*F9945)/100,2)</f>
        <v>0</v>
      </c>
    </row>
    <row r="9946" spans="1:7" ht="15.48" thickBot="1" customHeight="1">
      <c r="A9946" s="30"/>
      <c r="B9946" s="30"/>
      <c r="C9946" s="30"/>
      <c r="D9946" s="31" t="s">
        <v>31541</v>
      </c>
      <c r="E9946" s="30"/>
      <c r="F9946" s="33">
        <f ca="1">ROUND((G9925+G9926+G9927+G9928+G9929+G9930+G9931+G9932+G9933+G9934+G9935+G9936+G9937+G9938+G9939+G9940+G9945)*(1+G2/100),2)</f>
        <v>0</v>
      </c>
      <c r="G9946" s="30"/>
    </row>
    <row r="9947" spans="1:7" ht="39.84" thickBot="1" customHeight="1">
      <c r="A9947" s="34" t="s">
        <v>31542</v>
      </c>
      <c r="B9947" s="35" t="s">
        <v>31543</v>
      </c>
      <c r="C9947" s="35" t="s">
        <v>31544</v>
      </c>
      <c r="D9947" s="36" t="s">
        <v>31545</v>
      </c>
      <c r="E9947" s="37"/>
      <c r="F9947" s="38">
        <f ca="1">F9958</f>
        <v>0</v>
      </c>
      <c r="G9947" s="37"/>
    </row>
    <row r="9948" spans="1:7" ht="21.36" thickBot="1" customHeight="1">
      <c r="A9948" s="26"/>
      <c r="B9948" s="26"/>
      <c r="C9948" s="26"/>
      <c r="D9948" s="25" t="s">
        <v>31546</v>
      </c>
      <c r="E9948" s="25"/>
      <c r="F9948" s="25"/>
      <c r="G9948" s="25"/>
    </row>
    <row r="9949" spans="1:7" ht="49.08" thickBot="1" customHeight="1">
      <c r="A9949" s="24" t="s">
        <v>31547</v>
      </c>
      <c r="B9949" s="24" t="s">
        <v>31548</v>
      </c>
      <c r="C9949" s="24" t="s">
        <v>31549</v>
      </c>
      <c r="D9949" s="25" t="s">
        <v>31550</v>
      </c>
      <c r="E9949" s="28">
        <v>0.02500</v>
      </c>
      <c r="F9949" s="29">
        <f ca="1">ROUND(330.540,3)</f>
        <v>0</v>
      </c>
      <c r="G9949" s="27">
        <f ca="1">ROUND(E9949*F9949,2)</f>
        <v>0</v>
      </c>
    </row>
    <row r="9950" spans="1:7" ht="49.08" thickBot="1" customHeight="1">
      <c r="A9950" s="24" t="s">
        <v>31551</v>
      </c>
      <c r="B9950" s="24" t="s">
        <v>31552</v>
      </c>
      <c r="C9950" s="24" t="s">
        <v>31553</v>
      </c>
      <c r="D9950" s="25" t="s">
        <v>31554</v>
      </c>
      <c r="E9950" s="28">
        <v>0.25000</v>
      </c>
      <c r="F9950" s="29">
        <f ca="1">ROUND(75.080,3)</f>
        <v>0</v>
      </c>
      <c r="G9950" s="27">
        <f ca="1">ROUND(E9950*F9950,2)</f>
        <v>0</v>
      </c>
    </row>
    <row r="9951" spans="1:7" ht="30.60" thickBot="1" customHeight="1">
      <c r="A9951" s="24" t="s">
        <v>31555</v>
      </c>
      <c r="B9951" s="24" t="s">
        <v>31556</v>
      </c>
      <c r="C9951" s="24" t="s">
        <v>31557</v>
      </c>
      <c r="D9951" s="25" t="s">
        <v>31558</v>
      </c>
      <c r="E9951" s="28">
        <v>0.02200</v>
      </c>
      <c r="F9951" s="29">
        <f ca="1">ROUND(167.870,3)</f>
        <v>0</v>
      </c>
      <c r="G9951" s="27">
        <f ca="1">ROUND(E9951*F9951,2)</f>
        <v>0</v>
      </c>
    </row>
    <row r="9952" spans="1:7" ht="21.36" thickBot="1" customHeight="1">
      <c r="A9952" s="24" t="s">
        <v>31559</v>
      </c>
      <c r="B9952" s="24" t="s">
        <v>31560</v>
      </c>
      <c r="C9952" s="24" t="s">
        <v>31561</v>
      </c>
      <c r="D9952" s="25" t="s">
        <v>31562</v>
      </c>
      <c r="E9952" s="28">
        <v>0.30000</v>
      </c>
      <c r="F9952" s="29">
        <f ca="1">F9956</f>
        <v>0</v>
      </c>
      <c r="G9952" s="27">
        <f ca="1">ROUND(E9952*F9952,2)</f>
        <v>0</v>
      </c>
    </row>
    <row r="9953" spans="1:7" ht="24.36" thickBot="1" customHeight="1">
      <c r="A9953" s="24" t="s">
        <v>31563</v>
      </c>
      <c r="B9953" s="24" t="s">
        <v>31564</v>
      </c>
      <c r="C9953" s="24" t="s">
        <v>31565</v>
      </c>
      <c r="D9953" s="25" t="s">
        <v>31566</v>
      </c>
      <c r="E9953" s="28">
        <v>1.00000</v>
      </c>
      <c r="F9953" s="29">
        <f ca="1">ROUND(21.000,3)</f>
        <v>0</v>
      </c>
      <c r="G9953" s="27">
        <f ca="1">ROUND(E9953*F9953,2)</f>
        <v>0</v>
      </c>
    </row>
    <row r="9954" spans="1:7" ht="24.36" thickBot="1" customHeight="1">
      <c r="A9954" s="24" t="s">
        <v>31567</v>
      </c>
      <c r="B9954" s="24" t="s">
        <v>31568</v>
      </c>
      <c r="C9954" s="24" t="s">
        <v>31569</v>
      </c>
      <c r="D9954" s="25" t="s">
        <v>31570</v>
      </c>
      <c r="E9954" s="28">
        <v>1.00000</v>
      </c>
      <c r="F9954" s="29">
        <f ca="1">ROUND(19.000,3)</f>
        <v>0</v>
      </c>
      <c r="G9954" s="27">
        <f ca="1">ROUND(E9954*F9954,2)</f>
        <v>0</v>
      </c>
    </row>
    <row r="9955" spans="1:7" ht="24.36" thickBot="1" customHeight="1">
      <c r="A9955" s="24" t="s">
        <v>31571</v>
      </c>
      <c r="B9955" s="24" t="s">
        <v>31572</v>
      </c>
      <c r="C9955" s="24" t="s">
        <v>31573</v>
      </c>
      <c r="D9955" s="25" t="s">
        <v>31574</v>
      </c>
      <c r="E9955" s="28">
        <v>0.20000</v>
      </c>
      <c r="F9955" s="29">
        <f ca="1">ROUND(19.000,3)</f>
        <v>0</v>
      </c>
      <c r="G9955" s="27">
        <f ca="1">ROUND(E9955*F9955,2)</f>
        <v>0</v>
      </c>
    </row>
    <row r="9956" spans="1:7" ht="15.12" thickBot="1" customHeight="1">
      <c r="A9956" s="26"/>
      <c r="B9956" s="26"/>
      <c r="C9956" s="26"/>
      <c r="D9956" s="24" t="s">
        <v>31575</v>
      </c>
      <c r="E9956" s="28">
        <v>0.30000</v>
      </c>
      <c r="F9956" s="29">
        <f ca="1">ROUND((G9953+G9954+G9955),3)</f>
        <v>0</v>
      </c>
      <c r="G9956" s="27">
        <f ca="1">ROUND(E9956*F9956,2)</f>
        <v>0</v>
      </c>
    </row>
    <row r="9957" spans="1:7" ht="15.12" thickBot="1" customHeight="1">
      <c r="A9957" s="24" t="s">
        <v>31576</v>
      </c>
      <c r="B9957" s="24"/>
      <c r="C9957" s="24" t="s">
        <v>31577</v>
      </c>
      <c r="D9957" s="25" t="s">
        <v>31578</v>
      </c>
      <c r="E9957" s="28">
        <v>3.00000</v>
      </c>
      <c r="F9957" s="29">
        <f ca="1">ROUND(13.140,3)</f>
        <v>0</v>
      </c>
      <c r="G9957" s="27">
        <f ca="1">ROUND((E9957*F9957)/100,2)</f>
        <v>0</v>
      </c>
    </row>
    <row r="9958" spans="1:7" ht="15.48" thickBot="1" customHeight="1">
      <c r="A9958" s="30"/>
      <c r="B9958" s="30"/>
      <c r="C9958" s="30"/>
      <c r="D9958" s="31" t="s">
        <v>31579</v>
      </c>
      <c r="E9958" s="30"/>
      <c r="F9958" s="33">
        <f ca="1">ROUND((G9949+G9950+G9951+G9952+G9957)*(1+G2/100),2)</f>
        <v>0</v>
      </c>
      <c r="G9958" s="30"/>
    </row>
    <row r="9959" spans="1:7" ht="34.68" thickBot="1" customHeight="1">
      <c r="A9959" s="34" t="s">
        <v>31580</v>
      </c>
      <c r="B9959" s="35" t="s">
        <v>31581</v>
      </c>
      <c r="C9959" s="35" t="s">
        <v>31582</v>
      </c>
      <c r="D9959" s="36" t="s">
        <v>31583</v>
      </c>
      <c r="E9959" s="37"/>
      <c r="F9959" s="38">
        <f ca="1">F9969</f>
        <v>0</v>
      </c>
      <c r="G9959" s="37"/>
    </row>
    <row r="9960" spans="1:7" ht="12.12" thickBot="1" customHeight="1">
      <c r="A9960" s="26"/>
      <c r="B9960" s="26"/>
      <c r="C9960" s="26"/>
      <c r="D9960" s="25" t="s">
        <v>31584</v>
      </c>
      <c r="E9960" s="25"/>
      <c r="F9960" s="25"/>
      <c r="G9960" s="25"/>
    </row>
    <row r="9961" spans="1:7" ht="30.60" thickBot="1" customHeight="1">
      <c r="A9961" s="24" t="s">
        <v>31585</v>
      </c>
      <c r="B9961" s="24" t="s">
        <v>31586</v>
      </c>
      <c r="C9961" s="24" t="s">
        <v>31587</v>
      </c>
      <c r="D9961" s="25" t="s">
        <v>31588</v>
      </c>
      <c r="E9961" s="28">
        <v>0.23000</v>
      </c>
      <c r="F9961" s="29">
        <f ca="1">ROUND(11.740,3)</f>
        <v>0</v>
      </c>
      <c r="G9961" s="27">
        <f ca="1">ROUND(E9961*F9961,2)</f>
        <v>0</v>
      </c>
    </row>
    <row r="9962" spans="1:7" ht="30.60" thickBot="1" customHeight="1">
      <c r="A9962" s="24" t="s">
        <v>31589</v>
      </c>
      <c r="B9962" s="24" t="s">
        <v>31590</v>
      </c>
      <c r="C9962" s="24" t="s">
        <v>31591</v>
      </c>
      <c r="D9962" s="25" t="s">
        <v>31592</v>
      </c>
      <c r="E9962" s="28">
        <v>0.00630</v>
      </c>
      <c r="F9962" s="29">
        <f ca="1">ROUND(31.650,3)</f>
        <v>0</v>
      </c>
      <c r="G9962" s="27">
        <f ca="1">ROUND(E9962*F9962,2)</f>
        <v>0</v>
      </c>
    </row>
    <row r="9963" spans="1:7" ht="21.36" thickBot="1" customHeight="1">
      <c r="A9963" s="24" t="s">
        <v>31593</v>
      </c>
      <c r="B9963" s="24" t="s">
        <v>31594</v>
      </c>
      <c r="C9963" s="24" t="s">
        <v>31595</v>
      </c>
      <c r="D9963" s="25" t="s">
        <v>31596</v>
      </c>
      <c r="E9963" s="28">
        <v>0.70000</v>
      </c>
      <c r="F9963" s="29">
        <f ca="1">F9967</f>
        <v>0</v>
      </c>
      <c r="G9963" s="27">
        <f ca="1">ROUND(E9963*F9963,2)</f>
        <v>0</v>
      </c>
    </row>
    <row r="9964" spans="1:7" ht="24.36" thickBot="1" customHeight="1">
      <c r="A9964" s="24" t="s">
        <v>31597</v>
      </c>
      <c r="B9964" s="24" t="s">
        <v>31598</v>
      </c>
      <c r="C9964" s="24" t="s">
        <v>31599</v>
      </c>
      <c r="D9964" s="25" t="s">
        <v>31600</v>
      </c>
      <c r="E9964" s="28">
        <v>1.00000</v>
      </c>
      <c r="F9964" s="29">
        <f ca="1">ROUND(21.000,3)</f>
        <v>0</v>
      </c>
      <c r="G9964" s="27">
        <f ca="1">ROUND(E9964*F9964,2)</f>
        <v>0</v>
      </c>
    </row>
    <row r="9965" spans="1:7" ht="24.36" thickBot="1" customHeight="1">
      <c r="A9965" s="24" t="s">
        <v>31601</v>
      </c>
      <c r="B9965" s="24" t="s">
        <v>31602</v>
      </c>
      <c r="C9965" s="24" t="s">
        <v>31603</v>
      </c>
      <c r="D9965" s="25" t="s">
        <v>31604</v>
      </c>
      <c r="E9965" s="28">
        <v>1.00000</v>
      </c>
      <c r="F9965" s="29">
        <f ca="1">ROUND(19.000,3)</f>
        <v>0</v>
      </c>
      <c r="G9965" s="27">
        <f ca="1">ROUND(E9965*F9965,2)</f>
        <v>0</v>
      </c>
    </row>
    <row r="9966" spans="1:7" ht="24.36" thickBot="1" customHeight="1">
      <c r="A9966" s="24" t="s">
        <v>31605</v>
      </c>
      <c r="B9966" s="24" t="s">
        <v>31606</v>
      </c>
      <c r="C9966" s="24" t="s">
        <v>31607</v>
      </c>
      <c r="D9966" s="25" t="s">
        <v>31608</v>
      </c>
      <c r="E9966" s="28">
        <v>0.20000</v>
      </c>
      <c r="F9966" s="29">
        <f ca="1">ROUND(19.000,3)</f>
        <v>0</v>
      </c>
      <c r="G9966" s="27">
        <f ca="1">ROUND(E9966*F9966,2)</f>
        <v>0</v>
      </c>
    </row>
    <row r="9967" spans="1:7" ht="15.12" thickBot="1" customHeight="1">
      <c r="A9967" s="26"/>
      <c r="B9967" s="26"/>
      <c r="C9967" s="26"/>
      <c r="D9967" s="24" t="s">
        <v>31609</v>
      </c>
      <c r="E9967" s="28">
        <v>0.70000</v>
      </c>
      <c r="F9967" s="29">
        <f ca="1">ROUND((G9964+G9965+G9966),3)</f>
        <v>0</v>
      </c>
      <c r="G9967" s="27">
        <f ca="1">ROUND(E9967*F9967,2)</f>
        <v>0</v>
      </c>
    </row>
    <row r="9968" spans="1:7" ht="15.12" thickBot="1" customHeight="1">
      <c r="A9968" s="24" t="s">
        <v>31610</v>
      </c>
      <c r="B9968" s="24"/>
      <c r="C9968" s="24" t="s">
        <v>31611</v>
      </c>
      <c r="D9968" s="25" t="s">
        <v>31612</v>
      </c>
      <c r="E9968" s="28">
        <v>3.00000</v>
      </c>
      <c r="F9968" s="29">
        <f ca="1">ROUND(30.660,3)</f>
        <v>0</v>
      </c>
      <c r="G9968" s="27">
        <f ca="1">ROUND((E9968*F9968)/100,2)</f>
        <v>0</v>
      </c>
    </row>
    <row r="9969" spans="1:7" ht="25.08" thickBot="1" customHeight="1">
      <c r="A9969" s="30"/>
      <c r="B9969" s="30"/>
      <c r="C9969" s="30"/>
      <c r="D9969" s="31" t="s">
        <v>31613</v>
      </c>
      <c r="E9969" s="30"/>
      <c r="F9969" s="33">
        <f ca="1">ROUND((G9961+G9962+G9963+G9968)*(1+G2/100),2)</f>
        <v>0</v>
      </c>
      <c r="G9969" s="30"/>
    </row>
    <row r="9970" spans="1:7" ht="34.68" thickBot="1" customHeight="1">
      <c r="A9970" s="34" t="s">
        <v>31614</v>
      </c>
      <c r="B9970" s="35" t="s">
        <v>31615</v>
      </c>
      <c r="C9970" s="35" t="s">
        <v>31616</v>
      </c>
      <c r="D9970" s="36" t="s">
        <v>31617</v>
      </c>
      <c r="E9970" s="37"/>
      <c r="F9970" s="38">
        <f ca="1">F9980</f>
        <v>0</v>
      </c>
      <c r="G9970" s="37"/>
    </row>
    <row r="9971" spans="1:7" ht="12.12" thickBot="1" customHeight="1">
      <c r="A9971" s="26"/>
      <c r="B9971" s="26"/>
      <c r="C9971" s="26"/>
      <c r="D9971" s="25" t="s">
        <v>31618</v>
      </c>
      <c r="E9971" s="25"/>
      <c r="F9971" s="25"/>
      <c r="G9971" s="25"/>
    </row>
    <row r="9972" spans="1:7" ht="30.60" thickBot="1" customHeight="1">
      <c r="A9972" s="24" t="s">
        <v>31619</v>
      </c>
      <c r="B9972" s="24" t="s">
        <v>31620</v>
      </c>
      <c r="C9972" s="24" t="s">
        <v>31621</v>
      </c>
      <c r="D9972" s="25" t="s">
        <v>31622</v>
      </c>
      <c r="E9972" s="28">
        <v>0.16900</v>
      </c>
      <c r="F9972" s="29">
        <f ca="1">ROUND(11.740,3)</f>
        <v>0</v>
      </c>
      <c r="G9972" s="27">
        <f ca="1">ROUND(E9972*F9972,2)</f>
        <v>0</v>
      </c>
    </row>
    <row r="9973" spans="1:7" ht="30.60" thickBot="1" customHeight="1">
      <c r="A9973" s="24" t="s">
        <v>31623</v>
      </c>
      <c r="B9973" s="24" t="s">
        <v>31624</v>
      </c>
      <c r="C9973" s="24" t="s">
        <v>31625</v>
      </c>
      <c r="D9973" s="25" t="s">
        <v>31626</v>
      </c>
      <c r="E9973" s="28">
        <v>0.00630</v>
      </c>
      <c r="F9973" s="29">
        <f ca="1">ROUND(31.650,3)</f>
        <v>0</v>
      </c>
      <c r="G9973" s="27">
        <f ca="1">ROUND(E9973*F9973,2)</f>
        <v>0</v>
      </c>
    </row>
    <row r="9974" spans="1:7" ht="21.36" thickBot="1" customHeight="1">
      <c r="A9974" s="24" t="s">
        <v>31627</v>
      </c>
      <c r="B9974" s="24" t="s">
        <v>31628</v>
      </c>
      <c r="C9974" s="24" t="s">
        <v>31629</v>
      </c>
      <c r="D9974" s="25" t="s">
        <v>31630</v>
      </c>
      <c r="E9974" s="28">
        <v>0.65000</v>
      </c>
      <c r="F9974" s="29">
        <f ca="1">F9978</f>
        <v>0</v>
      </c>
      <c r="G9974" s="27">
        <f ca="1">ROUND(E9974*F9974,2)</f>
        <v>0</v>
      </c>
    </row>
    <row r="9975" spans="1:7" ht="24.36" thickBot="1" customHeight="1">
      <c r="A9975" s="24" t="s">
        <v>31631</v>
      </c>
      <c r="B9975" s="24" t="s">
        <v>31632</v>
      </c>
      <c r="C9975" s="24" t="s">
        <v>31633</v>
      </c>
      <c r="D9975" s="25" t="s">
        <v>31634</v>
      </c>
      <c r="E9975" s="28">
        <v>1.00000</v>
      </c>
      <c r="F9975" s="29">
        <f ca="1">ROUND(21.000,3)</f>
        <v>0</v>
      </c>
      <c r="G9975" s="27">
        <f ca="1">ROUND(E9975*F9975,2)</f>
        <v>0</v>
      </c>
    </row>
    <row r="9976" spans="1:7" ht="24.36" thickBot="1" customHeight="1">
      <c r="A9976" s="24" t="s">
        <v>31635</v>
      </c>
      <c r="B9976" s="24" t="s">
        <v>31636</v>
      </c>
      <c r="C9976" s="24" t="s">
        <v>31637</v>
      </c>
      <c r="D9976" s="25" t="s">
        <v>31638</v>
      </c>
      <c r="E9976" s="28">
        <v>1.00000</v>
      </c>
      <c r="F9976" s="29">
        <f ca="1">ROUND(19.000,3)</f>
        <v>0</v>
      </c>
      <c r="G9976" s="27">
        <f ca="1">ROUND(E9976*F9976,2)</f>
        <v>0</v>
      </c>
    </row>
    <row r="9977" spans="1:7" ht="24.36" thickBot="1" customHeight="1">
      <c r="A9977" s="24" t="s">
        <v>31639</v>
      </c>
      <c r="B9977" s="24" t="s">
        <v>31640</v>
      </c>
      <c r="C9977" s="24" t="s">
        <v>31641</v>
      </c>
      <c r="D9977" s="25" t="s">
        <v>31642</v>
      </c>
      <c r="E9977" s="28">
        <v>0.20000</v>
      </c>
      <c r="F9977" s="29">
        <f ca="1">ROUND(19.000,3)</f>
        <v>0</v>
      </c>
      <c r="G9977" s="27">
        <f ca="1">ROUND(E9977*F9977,2)</f>
        <v>0</v>
      </c>
    </row>
    <row r="9978" spans="1:7" ht="15.12" thickBot="1" customHeight="1">
      <c r="A9978" s="26"/>
      <c r="B9978" s="26"/>
      <c r="C9978" s="26"/>
      <c r="D9978" s="24" t="s">
        <v>31643</v>
      </c>
      <c r="E9978" s="28">
        <v>0.65000</v>
      </c>
      <c r="F9978" s="29">
        <f ca="1">ROUND((G9975+G9976+G9977),3)</f>
        <v>0</v>
      </c>
      <c r="G9978" s="27">
        <f ca="1">ROUND(E9978*F9978,2)</f>
        <v>0</v>
      </c>
    </row>
    <row r="9979" spans="1:7" ht="15.12" thickBot="1" customHeight="1">
      <c r="A9979" s="24" t="s">
        <v>31644</v>
      </c>
      <c r="B9979" s="24"/>
      <c r="C9979" s="24" t="s">
        <v>31645</v>
      </c>
      <c r="D9979" s="25" t="s">
        <v>31646</v>
      </c>
      <c r="E9979" s="28">
        <v>5.00000</v>
      </c>
      <c r="F9979" s="29">
        <f ca="1">ROUND(28.470,3)</f>
        <v>0</v>
      </c>
      <c r="G9979" s="27">
        <f ca="1">ROUND((E9979*F9979)/100,2)</f>
        <v>0</v>
      </c>
    </row>
    <row r="9980" spans="1:7" ht="25.08" thickBot="1" customHeight="1">
      <c r="A9980" s="30"/>
      <c r="B9980" s="30"/>
      <c r="C9980" s="30"/>
      <c r="D9980" s="31" t="s">
        <v>31647</v>
      </c>
      <c r="E9980" s="30"/>
      <c r="F9980" s="33">
        <f ca="1">ROUND((G9972+G9973+G9974+G9979)*(1+G2/100),2)</f>
        <v>0</v>
      </c>
      <c r="G9980" s="30"/>
    </row>
    <row r="9981" spans="1:7" ht="34.68" thickBot="1" customHeight="1">
      <c r="A9981" s="34" t="s">
        <v>31648</v>
      </c>
      <c r="B9981" s="35" t="s">
        <v>31649</v>
      </c>
      <c r="C9981" s="35" t="s">
        <v>31650</v>
      </c>
      <c r="D9981" s="36" t="s">
        <v>31651</v>
      </c>
      <c r="E9981" s="37"/>
      <c r="F9981" s="38">
        <f ca="1">F9991</f>
        <v>0</v>
      </c>
      <c r="G9981" s="37"/>
    </row>
    <row r="9982" spans="1:7" ht="21.36" thickBot="1" customHeight="1">
      <c r="A9982" s="26"/>
      <c r="B9982" s="26"/>
      <c r="C9982" s="26"/>
      <c r="D9982" s="25" t="s">
        <v>31652</v>
      </c>
      <c r="E9982" s="25"/>
      <c r="F9982" s="25"/>
      <c r="G9982" s="25"/>
    </row>
    <row r="9983" spans="1:7" ht="30.60" thickBot="1" customHeight="1">
      <c r="A9983" s="24" t="s">
        <v>31653</v>
      </c>
      <c r="B9983" s="24" t="s">
        <v>31654</v>
      </c>
      <c r="C9983" s="24" t="s">
        <v>31655</v>
      </c>
      <c r="D9983" s="25" t="s">
        <v>31656</v>
      </c>
      <c r="E9983" s="28">
        <v>0.23000</v>
      </c>
      <c r="F9983" s="29">
        <f ca="1">ROUND(11.740,3)</f>
        <v>0</v>
      </c>
      <c r="G9983" s="27">
        <f ca="1">ROUND(E9983*F9983,2)</f>
        <v>0</v>
      </c>
    </row>
    <row r="9984" spans="1:7" ht="30.60" thickBot="1" customHeight="1">
      <c r="A9984" s="24" t="s">
        <v>31657</v>
      </c>
      <c r="B9984" s="24" t="s">
        <v>31658</v>
      </c>
      <c r="C9984" s="24" t="s">
        <v>31659</v>
      </c>
      <c r="D9984" s="25" t="s">
        <v>31660</v>
      </c>
      <c r="E9984" s="28">
        <v>0.00630</v>
      </c>
      <c r="F9984" s="29">
        <f ca="1">ROUND(31.650,3)</f>
        <v>0</v>
      </c>
      <c r="G9984" s="27">
        <f ca="1">ROUND(E9984*F9984,2)</f>
        <v>0</v>
      </c>
    </row>
    <row r="9985" spans="1:7" ht="21.36" thickBot="1" customHeight="1">
      <c r="A9985" s="24" t="s">
        <v>31661</v>
      </c>
      <c r="B9985" s="24" t="s">
        <v>31662</v>
      </c>
      <c r="C9985" s="24" t="s">
        <v>31663</v>
      </c>
      <c r="D9985" s="25" t="s">
        <v>31664</v>
      </c>
      <c r="E9985" s="28">
        <v>0.50000</v>
      </c>
      <c r="F9985" s="29">
        <f ca="1">F9989</f>
        <v>0</v>
      </c>
      <c r="G9985" s="27">
        <f ca="1">ROUND(E9985*F9985,2)</f>
        <v>0</v>
      </c>
    </row>
    <row r="9986" spans="1:7" ht="24.36" thickBot="1" customHeight="1">
      <c r="A9986" s="24" t="s">
        <v>31665</v>
      </c>
      <c r="B9986" s="24" t="s">
        <v>31666</v>
      </c>
      <c r="C9986" s="24" t="s">
        <v>31667</v>
      </c>
      <c r="D9986" s="25" t="s">
        <v>31668</v>
      </c>
      <c r="E9986" s="28">
        <v>1.00000</v>
      </c>
      <c r="F9986" s="29">
        <f ca="1">ROUND(21.000,3)</f>
        <v>0</v>
      </c>
      <c r="G9986" s="27">
        <f ca="1">ROUND(E9986*F9986,2)</f>
        <v>0</v>
      </c>
    </row>
    <row r="9987" spans="1:7" ht="24.36" thickBot="1" customHeight="1">
      <c r="A9987" s="24" t="s">
        <v>31669</v>
      </c>
      <c r="B9987" s="24" t="s">
        <v>31670</v>
      </c>
      <c r="C9987" s="24" t="s">
        <v>31671</v>
      </c>
      <c r="D9987" s="25" t="s">
        <v>31672</v>
      </c>
      <c r="E9987" s="28">
        <v>1.00000</v>
      </c>
      <c r="F9987" s="29">
        <f ca="1">ROUND(19.000,3)</f>
        <v>0</v>
      </c>
      <c r="G9987" s="27">
        <f ca="1">ROUND(E9987*F9987,2)</f>
        <v>0</v>
      </c>
    </row>
    <row r="9988" spans="1:7" ht="24.36" thickBot="1" customHeight="1">
      <c r="A9988" s="24" t="s">
        <v>31673</v>
      </c>
      <c r="B9988" s="24" t="s">
        <v>31674</v>
      </c>
      <c r="C9988" s="24" t="s">
        <v>31675</v>
      </c>
      <c r="D9988" s="25" t="s">
        <v>31676</v>
      </c>
      <c r="E9988" s="28">
        <v>0.20000</v>
      </c>
      <c r="F9988" s="29">
        <f ca="1">ROUND(19.000,3)</f>
        <v>0</v>
      </c>
      <c r="G9988" s="27">
        <f ca="1">ROUND(E9988*F9988,2)</f>
        <v>0</v>
      </c>
    </row>
    <row r="9989" spans="1:7" ht="15.12" thickBot="1" customHeight="1">
      <c r="A9989" s="26"/>
      <c r="B9989" s="26"/>
      <c r="C9989" s="26"/>
      <c r="D9989" s="24" t="s">
        <v>31677</v>
      </c>
      <c r="E9989" s="28">
        <v>0.50000</v>
      </c>
      <c r="F9989" s="29">
        <f ca="1">ROUND((G9986+G9987+G9988),3)</f>
        <v>0</v>
      </c>
      <c r="G9989" s="27">
        <f ca="1">ROUND(E9989*F9989,2)</f>
        <v>0</v>
      </c>
    </row>
    <row r="9990" spans="1:7" ht="15.12" thickBot="1" customHeight="1">
      <c r="A9990" s="24" t="s">
        <v>31678</v>
      </c>
      <c r="B9990" s="24"/>
      <c r="C9990" s="24" t="s">
        <v>31679</v>
      </c>
      <c r="D9990" s="25" t="s">
        <v>31680</v>
      </c>
      <c r="E9990" s="28">
        <v>5.00000</v>
      </c>
      <c r="F9990" s="29">
        <f ca="1">ROUND(21.900,3)</f>
        <v>0</v>
      </c>
      <c r="G9990" s="27">
        <f ca="1">ROUND((E9990*F9990)/100,2)</f>
        <v>0</v>
      </c>
    </row>
    <row r="9991" spans="1:7" ht="25.08" thickBot="1" customHeight="1">
      <c r="A9991" s="30"/>
      <c r="B9991" s="30"/>
      <c r="C9991" s="30"/>
      <c r="D9991" s="31" t="s">
        <v>31681</v>
      </c>
      <c r="E9991" s="30"/>
      <c r="F9991" s="33">
        <f ca="1">ROUND((G9983+G9984+G9985+G9990)*(1+G2/100),2)</f>
        <v>0</v>
      </c>
      <c r="G9991" s="30"/>
    </row>
    <row r="9992" spans="1:7" ht="34.68" thickBot="1" customHeight="1">
      <c r="A9992" s="34" t="s">
        <v>31682</v>
      </c>
      <c r="B9992" s="35" t="s">
        <v>31683</v>
      </c>
      <c r="C9992" s="35" t="s">
        <v>31684</v>
      </c>
      <c r="D9992" s="36" t="s">
        <v>31685</v>
      </c>
      <c r="E9992" s="37"/>
      <c r="F9992" s="38">
        <f ca="1">F10002</f>
        <v>0</v>
      </c>
      <c r="G9992" s="37"/>
    </row>
    <row r="9993" spans="1:7" ht="21.36" thickBot="1" customHeight="1">
      <c r="A9993" s="26"/>
      <c r="B9993" s="26"/>
      <c r="C9993" s="26"/>
      <c r="D9993" s="25" t="s">
        <v>31686</v>
      </c>
      <c r="E9993" s="25"/>
      <c r="F9993" s="25"/>
      <c r="G9993" s="25"/>
    </row>
    <row r="9994" spans="1:7" ht="30.60" thickBot="1" customHeight="1">
      <c r="A9994" s="24" t="s">
        <v>31687</v>
      </c>
      <c r="B9994" s="24" t="s">
        <v>31688</v>
      </c>
      <c r="C9994" s="24" t="s">
        <v>31689</v>
      </c>
      <c r="D9994" s="25" t="s">
        <v>31690</v>
      </c>
      <c r="E9994" s="28">
        <v>0.16900</v>
      </c>
      <c r="F9994" s="29">
        <f ca="1">ROUND(11.740,3)</f>
        <v>0</v>
      </c>
      <c r="G9994" s="27">
        <f ca="1">ROUND(E9994*F9994,2)</f>
        <v>0</v>
      </c>
    </row>
    <row r="9995" spans="1:7" ht="30.60" thickBot="1" customHeight="1">
      <c r="A9995" s="24" t="s">
        <v>31691</v>
      </c>
      <c r="B9995" s="24" t="s">
        <v>31692</v>
      </c>
      <c r="C9995" s="24" t="s">
        <v>31693</v>
      </c>
      <c r="D9995" s="25" t="s">
        <v>31694</v>
      </c>
      <c r="E9995" s="28">
        <v>0.00630</v>
      </c>
      <c r="F9995" s="29">
        <f ca="1">ROUND(31.650,3)</f>
        <v>0</v>
      </c>
      <c r="G9995" s="27">
        <f ca="1">ROUND(E9995*F9995,2)</f>
        <v>0</v>
      </c>
    </row>
    <row r="9996" spans="1:7" ht="21.36" thickBot="1" customHeight="1">
      <c r="A9996" s="24" t="s">
        <v>31695</v>
      </c>
      <c r="B9996" s="24" t="s">
        <v>31696</v>
      </c>
      <c r="C9996" s="24" t="s">
        <v>31697</v>
      </c>
      <c r="D9996" s="25" t="s">
        <v>31698</v>
      </c>
      <c r="E9996" s="28">
        <v>0.46000</v>
      </c>
      <c r="F9996" s="29">
        <f ca="1">F10000</f>
        <v>0</v>
      </c>
      <c r="G9996" s="27">
        <f ca="1">ROUND(E9996*F9996,2)</f>
        <v>0</v>
      </c>
    </row>
    <row r="9997" spans="1:7" ht="24.36" thickBot="1" customHeight="1">
      <c r="A9997" s="24" t="s">
        <v>31699</v>
      </c>
      <c r="B9997" s="24" t="s">
        <v>31700</v>
      </c>
      <c r="C9997" s="24" t="s">
        <v>31701</v>
      </c>
      <c r="D9997" s="25" t="s">
        <v>31702</v>
      </c>
      <c r="E9997" s="28">
        <v>1.00000</v>
      </c>
      <c r="F9997" s="29">
        <f ca="1">ROUND(21.000,3)</f>
        <v>0</v>
      </c>
      <c r="G9997" s="27">
        <f ca="1">ROUND(E9997*F9997,2)</f>
        <v>0</v>
      </c>
    </row>
    <row r="9998" spans="1:7" ht="24.36" thickBot="1" customHeight="1">
      <c r="A9998" s="24" t="s">
        <v>31703</v>
      </c>
      <c r="B9998" s="24" t="s">
        <v>31704</v>
      </c>
      <c r="C9998" s="24" t="s">
        <v>31705</v>
      </c>
      <c r="D9998" s="25" t="s">
        <v>31706</v>
      </c>
      <c r="E9998" s="28">
        <v>1.00000</v>
      </c>
      <c r="F9998" s="29">
        <f ca="1">ROUND(19.000,3)</f>
        <v>0</v>
      </c>
      <c r="G9998" s="27">
        <f ca="1">ROUND(E9998*F9998,2)</f>
        <v>0</v>
      </c>
    </row>
    <row r="9999" spans="1:7" ht="24.36" thickBot="1" customHeight="1">
      <c r="A9999" s="24" t="s">
        <v>31707</v>
      </c>
      <c r="B9999" s="24" t="s">
        <v>31708</v>
      </c>
      <c r="C9999" s="24" t="s">
        <v>31709</v>
      </c>
      <c r="D9999" s="25" t="s">
        <v>31710</v>
      </c>
      <c r="E9999" s="28">
        <v>0.20000</v>
      </c>
      <c r="F9999" s="29">
        <f ca="1">ROUND(19.000,3)</f>
        <v>0</v>
      </c>
      <c r="G9999" s="27">
        <f ca="1">ROUND(E9999*F9999,2)</f>
        <v>0</v>
      </c>
    </row>
    <row r="10000" spans="1:7" ht="15.12" thickBot="1" customHeight="1">
      <c r="A10000" s="26"/>
      <c r="B10000" s="26"/>
      <c r="C10000" s="26"/>
      <c r="D10000" s="24" t="s">
        <v>31711</v>
      </c>
      <c r="E10000" s="28">
        <v>0.46000</v>
      </c>
      <c r="F10000" s="29">
        <f ca="1">ROUND((G9997+G9998+G9999),3)</f>
        <v>0</v>
      </c>
      <c r="G10000" s="27">
        <f ca="1">ROUND(E10000*F10000,2)</f>
        <v>0</v>
      </c>
    </row>
    <row r="10001" spans="1:7" ht="15.12" thickBot="1" customHeight="1">
      <c r="A10001" s="24" t="s">
        <v>31712</v>
      </c>
      <c r="B10001" s="24"/>
      <c r="C10001" s="24" t="s">
        <v>31713</v>
      </c>
      <c r="D10001" s="25" t="s">
        <v>31714</v>
      </c>
      <c r="E10001" s="28">
        <v>5.00000</v>
      </c>
      <c r="F10001" s="29">
        <f ca="1">ROUND(20.150,3)</f>
        <v>0</v>
      </c>
      <c r="G10001" s="27">
        <f ca="1">ROUND((E10001*F10001)/100,2)</f>
        <v>0</v>
      </c>
    </row>
    <row r="10002" spans="1:7" ht="25.08" thickBot="1" customHeight="1">
      <c r="A10002" s="30"/>
      <c r="B10002" s="30"/>
      <c r="C10002" s="30"/>
      <c r="D10002" s="31" t="s">
        <v>31715</v>
      </c>
      <c r="E10002" s="30"/>
      <c r="F10002" s="33">
        <f ca="1">ROUND((G9994+G9995+G9996+G10001)*(1+G2/100),2)</f>
        <v>0</v>
      </c>
      <c r="G10002" s="30"/>
    </row>
    <row r="10003" spans="1:7" ht="21.36" thickBot="1" customHeight="1">
      <c r="A10003" s="34" t="s">
        <v>31716</v>
      </c>
      <c r="B10003" s="35" t="s">
        <v>31717</v>
      </c>
      <c r="C10003" s="35" t="s">
        <v>31718</v>
      </c>
      <c r="D10003" s="36" t="s">
        <v>31719</v>
      </c>
      <c r="E10003" s="37"/>
      <c r="F10003" s="38">
        <f ca="1">F10014</f>
        <v>0</v>
      </c>
      <c r="G10003" s="37"/>
    </row>
    <row r="10004" spans="1:7" ht="12.12" thickBot="1" customHeight="1">
      <c r="A10004" s="26"/>
      <c r="B10004" s="26"/>
      <c r="C10004" s="26"/>
      <c r="D10004" s="25" t="s">
        <v>31720</v>
      </c>
      <c r="E10004" s="25"/>
      <c r="F10004" s="25"/>
      <c r="G10004" s="25"/>
    </row>
    <row r="10005" spans="1:7" ht="15.12" thickBot="1" customHeight="1">
      <c r="A10005" s="24" t="s">
        <v>31721</v>
      </c>
      <c r="B10005" s="24" t="s">
        <v>31722</v>
      </c>
      <c r="C10005" s="24" t="s">
        <v>31723</v>
      </c>
      <c r="D10005" s="25" t="s">
        <v>31724</v>
      </c>
      <c r="E10005" s="28">
        <v>1.00000</v>
      </c>
      <c r="F10005" s="29">
        <f ca="1">F10008</f>
        <v>0</v>
      </c>
      <c r="G10005" s="27">
        <f ca="1">ROUND(E10005*F10005,2)</f>
        <v>0</v>
      </c>
    </row>
    <row r="10006" spans="1:7" ht="15.12" thickBot="1" customHeight="1">
      <c r="A10006" s="24" t="s">
        <v>31725</v>
      </c>
      <c r="B10006" s="24" t="s">
        <v>31726</v>
      </c>
      <c r="C10006" s="24" t="s">
        <v>31727</v>
      </c>
      <c r="D10006" s="25" t="s">
        <v>31728</v>
      </c>
      <c r="E10006" s="28">
        <v>2.50000</v>
      </c>
      <c r="F10006" s="29">
        <f ca="1">ROUND(2.650,3)</f>
        <v>0</v>
      </c>
      <c r="G10006" s="27">
        <f ca="1">ROUND(E10006*F10006,2)</f>
        <v>0</v>
      </c>
    </row>
    <row r="10007" spans="1:7" ht="24.36" thickBot="1" customHeight="1">
      <c r="A10007" s="24" t="s">
        <v>31729</v>
      </c>
      <c r="B10007" s="24" t="s">
        <v>31730</v>
      </c>
      <c r="C10007" s="24" t="s">
        <v>31731</v>
      </c>
      <c r="D10007" s="25" t="s">
        <v>31732</v>
      </c>
      <c r="E10007" s="28">
        <v>0.15000</v>
      </c>
      <c r="F10007" s="29">
        <f ca="1">ROUND(49.500,3)</f>
        <v>0</v>
      </c>
      <c r="G10007" s="27">
        <f ca="1">ROUND(E10007*F10007,2)</f>
        <v>0</v>
      </c>
    </row>
    <row r="10008" spans="1:7" ht="15.12" thickBot="1" customHeight="1">
      <c r="A10008" s="26"/>
      <c r="B10008" s="26"/>
      <c r="C10008" s="26"/>
      <c r="D10008" s="24" t="s">
        <v>31733</v>
      </c>
      <c r="E10008" s="28">
        <v>1.00000</v>
      </c>
      <c r="F10008" s="29">
        <f ca="1">ROUND((G10006+G10007),3)</f>
        <v>0</v>
      </c>
      <c r="G10008" s="27">
        <f ca="1">ROUND(E10008*F10008,2)</f>
        <v>0</v>
      </c>
    </row>
    <row r="10009" spans="1:7" ht="21.36" thickBot="1" customHeight="1">
      <c r="A10009" s="24" t="s">
        <v>31734</v>
      </c>
      <c r="B10009" s="24" t="s">
        <v>31735</v>
      </c>
      <c r="C10009" s="24" t="s">
        <v>31736</v>
      </c>
      <c r="D10009" s="25" t="s">
        <v>31737</v>
      </c>
      <c r="E10009" s="28">
        <v>1.00000</v>
      </c>
      <c r="F10009" s="29">
        <f ca="1">F10013</f>
        <v>0</v>
      </c>
      <c r="G10009" s="27">
        <f ca="1">ROUND(E10009*F10009,2)</f>
        <v>0</v>
      </c>
    </row>
    <row r="10010" spans="1:7" ht="39.84" thickBot="1" customHeight="1">
      <c r="A10010" s="24" t="s">
        <v>31738</v>
      </c>
      <c r="B10010" s="24" t="s">
        <v>31739</v>
      </c>
      <c r="C10010" s="24" t="s">
        <v>31740</v>
      </c>
      <c r="D10010" s="25" t="s">
        <v>31741</v>
      </c>
      <c r="E10010" s="28">
        <v>0.02200</v>
      </c>
      <c r="F10010" s="29">
        <f ca="1">ROUND(41.250,3)</f>
        <v>0</v>
      </c>
      <c r="G10010" s="27">
        <f ca="1">ROUND(E10010*F10010,2)</f>
        <v>0</v>
      </c>
    </row>
    <row r="10011" spans="1:7" ht="15.12" thickBot="1" customHeight="1">
      <c r="A10011" s="24" t="s">
        <v>31742</v>
      </c>
      <c r="B10011" s="24" t="s">
        <v>31743</v>
      </c>
      <c r="C10011" s="24" t="s">
        <v>31744</v>
      </c>
      <c r="D10011" s="25" t="s">
        <v>31745</v>
      </c>
      <c r="E10011" s="28">
        <v>1.50000</v>
      </c>
      <c r="F10011" s="29">
        <f ca="1">ROUND(5.500,3)</f>
        <v>0</v>
      </c>
      <c r="G10011" s="27">
        <f ca="1">ROUND(E10011*F10011,2)</f>
        <v>0</v>
      </c>
    </row>
    <row r="10012" spans="1:7" ht="24.36" thickBot="1" customHeight="1">
      <c r="A10012" s="24" t="s">
        <v>31746</v>
      </c>
      <c r="B10012" s="24" t="s">
        <v>31747</v>
      </c>
      <c r="C10012" s="24" t="s">
        <v>31748</v>
      </c>
      <c r="D10012" s="25" t="s">
        <v>31749</v>
      </c>
      <c r="E10012" s="28">
        <v>0.30000</v>
      </c>
      <c r="F10012" s="29">
        <f ca="1">ROUND(49.500,3)</f>
        <v>0</v>
      </c>
      <c r="G10012" s="27">
        <f ca="1">ROUND(E10012*F10012,2)</f>
        <v>0</v>
      </c>
    </row>
    <row r="10013" spans="1:7" ht="15.12" thickBot="1" customHeight="1">
      <c r="A10013" s="26"/>
      <c r="B10013" s="26"/>
      <c r="C10013" s="26"/>
      <c r="D10013" s="24" t="s">
        <v>31750</v>
      </c>
      <c r="E10013" s="28">
        <v>1.00000</v>
      </c>
      <c r="F10013" s="29">
        <f ca="1">ROUND((G10010+G10011+G10012),3)</f>
        <v>0</v>
      </c>
      <c r="G10013" s="27">
        <f ca="1">ROUND(E10013*F10013,2)</f>
        <v>0</v>
      </c>
    </row>
    <row r="10014" spans="1:7" ht="15.48" thickBot="1" customHeight="1">
      <c r="A10014" s="30"/>
      <c r="B10014" s="30"/>
      <c r="C10014" s="30"/>
      <c r="D10014" s="31" t="s">
        <v>31751</v>
      </c>
      <c r="E10014" s="30"/>
      <c r="F10014" s="33">
        <f ca="1">ROUND((G10005+G10009)*(1+G2/100),2)</f>
        <v>0</v>
      </c>
      <c r="G10014" s="30"/>
    </row>
    <row r="10015" spans="1:7" ht="21.36" thickBot="1" customHeight="1">
      <c r="A10015" s="34" t="s">
        <v>31752</v>
      </c>
      <c r="B10015" s="35" t="s">
        <v>31753</v>
      </c>
      <c r="C10015" s="35" t="s">
        <v>31754</v>
      </c>
      <c r="D10015" s="36" t="s">
        <v>31755</v>
      </c>
      <c r="E10015" s="37"/>
      <c r="F10015" s="38">
        <f ca="1">F10018</f>
        <v>0</v>
      </c>
      <c r="G10015" s="37"/>
    </row>
    <row r="10016" spans="1:7" ht="21.36" thickBot="1" customHeight="1">
      <c r="A10016" s="26"/>
      <c r="B10016" s="26"/>
      <c r="C10016" s="26"/>
      <c r="D10016" s="25" t="s">
        <v>31756</v>
      </c>
      <c r="E10016" s="25"/>
      <c r="F10016" s="25"/>
      <c r="G10016" s="25"/>
    </row>
    <row r="10017" spans="1:7" ht="24.36" thickBot="1" customHeight="1">
      <c r="A10017" s="24" t="s">
        <v>31757</v>
      </c>
      <c r="B10017" s="24" t="s">
        <v>31758</v>
      </c>
      <c r="C10017" s="24" t="s">
        <v>31759</v>
      </c>
      <c r="D10017" s="25" t="s">
        <v>31760</v>
      </c>
      <c r="E10017" s="28">
        <v>5.33300</v>
      </c>
      <c r="F10017" s="29">
        <f ca="1">ROUND(15.000,3)</f>
        <v>0</v>
      </c>
      <c r="G10017" s="27">
        <f ca="1">ROUND(E10017*F10017,2)</f>
        <v>0</v>
      </c>
    </row>
    <row r="10018" spans="1:7" ht="15.48" thickBot="1" customHeight="1">
      <c r="A10018" s="30"/>
      <c r="B10018" s="30"/>
      <c r="C10018" s="30"/>
      <c r="D10018" s="31" t="s">
        <v>31761</v>
      </c>
      <c r="E10018" s="30"/>
      <c r="F10018" s="33">
        <f ca="1">ROUND((G10017)*(1+G2/100),2)</f>
        <v>0</v>
      </c>
      <c r="G10018" s="30"/>
    </row>
    <row r="10019" spans="1:7" ht="49.08" thickBot="1" customHeight="1">
      <c r="A10019" s="34" t="s">
        <v>31762</v>
      </c>
      <c r="B10019" s="35" t="s">
        <v>31763</v>
      </c>
      <c r="C10019" s="35" t="s">
        <v>31764</v>
      </c>
      <c r="D10019" s="36" t="s">
        <v>31765</v>
      </c>
      <c r="E10019" s="37"/>
      <c r="F10019" s="38">
        <f ca="1">F10031</f>
        <v>0</v>
      </c>
      <c r="G10019" s="37"/>
    </row>
    <row r="10020" spans="1:7" ht="21.36" thickBot="1" customHeight="1">
      <c r="A10020" s="26"/>
      <c r="B10020" s="26"/>
      <c r="C10020" s="26"/>
      <c r="D10020" s="25" t="s">
        <v>31766</v>
      </c>
      <c r="E10020" s="25"/>
      <c r="F10020" s="25"/>
      <c r="G10020" s="25"/>
    </row>
    <row r="10021" spans="1:7" ht="30.60" thickBot="1" customHeight="1">
      <c r="A10021" s="24" t="s">
        <v>31767</v>
      </c>
      <c r="B10021" s="24" t="s">
        <v>31768</v>
      </c>
      <c r="C10021" s="24" t="s">
        <v>31769</v>
      </c>
      <c r="D10021" s="25" t="s">
        <v>31770</v>
      </c>
      <c r="E10021" s="28">
        <v>3.00000</v>
      </c>
      <c r="F10021" s="29">
        <f ca="1">ROUND(0.330,3)</f>
        <v>0</v>
      </c>
      <c r="G10021" s="27">
        <f ca="1">ROUND(E10021*F10021,2)</f>
        <v>0</v>
      </c>
    </row>
    <row r="10022" spans="1:7" ht="39.84" thickBot="1" customHeight="1">
      <c r="A10022" s="24" t="s">
        <v>31771</v>
      </c>
      <c r="B10022" s="24" t="s">
        <v>31772</v>
      </c>
      <c r="C10022" s="24" t="s">
        <v>31773</v>
      </c>
      <c r="D10022" s="25" t="s">
        <v>31774</v>
      </c>
      <c r="E10022" s="28">
        <v>0.02100</v>
      </c>
      <c r="F10022" s="29">
        <f ca="1">ROUND(44.840,3)</f>
        <v>0</v>
      </c>
      <c r="G10022" s="27">
        <f ca="1">ROUND(E10022*F10022,2)</f>
        <v>0</v>
      </c>
    </row>
    <row r="10023" spans="1:7" ht="39.84" thickBot="1" customHeight="1">
      <c r="A10023" s="24" t="s">
        <v>31775</v>
      </c>
      <c r="B10023" s="24" t="s">
        <v>31776</v>
      </c>
      <c r="C10023" s="24" t="s">
        <v>31777</v>
      </c>
      <c r="D10023" s="25" t="s">
        <v>31778</v>
      </c>
      <c r="E10023" s="28">
        <v>4.66560</v>
      </c>
      <c r="F10023" s="29">
        <f ca="1">ROUND(2.600,3)</f>
        <v>0</v>
      </c>
      <c r="G10023" s="27">
        <f ca="1">ROUND(E10023*F10023,2)</f>
        <v>0</v>
      </c>
    </row>
    <row r="10024" spans="1:7" ht="30.60" thickBot="1" customHeight="1">
      <c r="A10024" s="24" t="s">
        <v>31779</v>
      </c>
      <c r="B10024" s="24" t="s">
        <v>31780</v>
      </c>
      <c r="C10024" s="24" t="s">
        <v>31781</v>
      </c>
      <c r="D10024" s="25" t="s">
        <v>31782</v>
      </c>
      <c r="E10024" s="28">
        <v>0.02200</v>
      </c>
      <c r="F10024" s="29">
        <f ca="1">ROUND(30.510,3)</f>
        <v>0</v>
      </c>
      <c r="G10024" s="27">
        <f ca="1">ROUND(E10024*F10024,2)</f>
        <v>0</v>
      </c>
    </row>
    <row r="10025" spans="1:7" ht="21.36" thickBot="1" customHeight="1">
      <c r="A10025" s="24" t="s">
        <v>31783</v>
      </c>
      <c r="B10025" s="24" t="s">
        <v>31784</v>
      </c>
      <c r="C10025" s="24" t="s">
        <v>31785</v>
      </c>
      <c r="D10025" s="25" t="s">
        <v>31786</v>
      </c>
      <c r="E10025" s="28">
        <v>0.53333</v>
      </c>
      <c r="F10025" s="29">
        <f ca="1">F10029</f>
        <v>0</v>
      </c>
      <c r="G10025" s="27">
        <f ca="1">ROUND(E10025*F10025,2)</f>
        <v>0</v>
      </c>
    </row>
    <row r="10026" spans="1:7" ht="24.36" thickBot="1" customHeight="1">
      <c r="A10026" s="24" t="s">
        <v>31787</v>
      </c>
      <c r="B10026" s="24" t="s">
        <v>31788</v>
      </c>
      <c r="C10026" s="24" t="s">
        <v>31789</v>
      </c>
      <c r="D10026" s="25" t="s">
        <v>31790</v>
      </c>
      <c r="E10026" s="28">
        <v>1.00000</v>
      </c>
      <c r="F10026" s="29">
        <f ca="1">ROUND(21.000,3)</f>
        <v>0</v>
      </c>
      <c r="G10026" s="27">
        <f ca="1">ROUND(E10026*F10026,2)</f>
        <v>0</v>
      </c>
    </row>
    <row r="10027" spans="1:7" ht="24.36" thickBot="1" customHeight="1">
      <c r="A10027" s="24" t="s">
        <v>31791</v>
      </c>
      <c r="B10027" s="24" t="s">
        <v>31792</v>
      </c>
      <c r="C10027" s="24" t="s">
        <v>31793</v>
      </c>
      <c r="D10027" s="25" t="s">
        <v>31794</v>
      </c>
      <c r="E10027" s="28">
        <v>1.00000</v>
      </c>
      <c r="F10027" s="29">
        <f ca="1">ROUND(19.000,3)</f>
        <v>0</v>
      </c>
      <c r="G10027" s="27">
        <f ca="1">ROUND(E10027*F10027,2)</f>
        <v>0</v>
      </c>
    </row>
    <row r="10028" spans="1:7" ht="24.36" thickBot="1" customHeight="1">
      <c r="A10028" s="24" t="s">
        <v>31795</v>
      </c>
      <c r="B10028" s="24" t="s">
        <v>31796</v>
      </c>
      <c r="C10028" s="24" t="s">
        <v>31797</v>
      </c>
      <c r="D10028" s="25" t="s">
        <v>31798</v>
      </c>
      <c r="E10028" s="28">
        <v>0.20000</v>
      </c>
      <c r="F10028" s="29">
        <f ca="1">ROUND(19.000,3)</f>
        <v>0</v>
      </c>
      <c r="G10028" s="27">
        <f ca="1">ROUND(E10028*F10028,2)</f>
        <v>0</v>
      </c>
    </row>
    <row r="10029" spans="1:7" ht="15.12" thickBot="1" customHeight="1">
      <c r="A10029" s="26"/>
      <c r="B10029" s="26"/>
      <c r="C10029" s="26"/>
      <c r="D10029" s="24" t="s">
        <v>31799</v>
      </c>
      <c r="E10029" s="28">
        <v>0.53333</v>
      </c>
      <c r="F10029" s="29">
        <f ca="1">ROUND((G10026+G10027+G10028),3)</f>
        <v>0</v>
      </c>
      <c r="G10029" s="27">
        <f ca="1">ROUND(E10029*F10029,2)</f>
        <v>0</v>
      </c>
    </row>
    <row r="10030" spans="1:7" ht="15.12" thickBot="1" customHeight="1">
      <c r="A10030" s="24" t="s">
        <v>31800</v>
      </c>
      <c r="B10030" s="24"/>
      <c r="C10030" s="24" t="s">
        <v>31801</v>
      </c>
      <c r="D10030" s="25" t="s">
        <v>31802</v>
      </c>
      <c r="E10030" s="28">
        <v>7.00000</v>
      </c>
      <c r="F10030" s="29">
        <f ca="1">ROUND(23.360,3)</f>
        <v>0</v>
      </c>
      <c r="G10030" s="27">
        <f ca="1">ROUND((E10030*F10030)/100,2)</f>
        <v>0</v>
      </c>
    </row>
    <row r="10031" spans="1:7" ht="15.48" thickBot="1" customHeight="1">
      <c r="A10031" s="30"/>
      <c r="B10031" s="30"/>
      <c r="C10031" s="30"/>
      <c r="D10031" s="31" t="s">
        <v>31803</v>
      </c>
      <c r="E10031" s="30"/>
      <c r="F10031" s="33">
        <f ca="1">ROUND((G10021+G10022+G10023+G10024+G10025+G10030)*(1+G2/100),2)</f>
        <v>0</v>
      </c>
      <c r="G10031" s="30"/>
    </row>
    <row r="10032" spans="1:7" ht="49.08" thickBot="1" customHeight="1">
      <c r="A10032" s="34" t="s">
        <v>31804</v>
      </c>
      <c r="B10032" s="35" t="s">
        <v>31805</v>
      </c>
      <c r="C10032" s="35" t="s">
        <v>31806</v>
      </c>
      <c r="D10032" s="36" t="s">
        <v>31807</v>
      </c>
      <c r="E10032" s="37"/>
      <c r="F10032" s="38">
        <f ca="1">F10045</f>
        <v>0</v>
      </c>
      <c r="G10032" s="37"/>
    </row>
    <row r="10033" spans="1:7" ht="21.36" thickBot="1" customHeight="1">
      <c r="A10033" s="26"/>
      <c r="B10033" s="26"/>
      <c r="C10033" s="26"/>
      <c r="D10033" s="25" t="s">
        <v>31808</v>
      </c>
      <c r="E10033" s="25"/>
      <c r="F10033" s="25"/>
      <c r="G10033" s="25"/>
    </row>
    <row r="10034" spans="1:7" ht="30.60" thickBot="1" customHeight="1">
      <c r="A10034" s="24" t="s">
        <v>31809</v>
      </c>
      <c r="B10034" s="24" t="s">
        <v>31810</v>
      </c>
      <c r="C10034" s="24" t="s">
        <v>31811</v>
      </c>
      <c r="D10034" s="25" t="s">
        <v>31812</v>
      </c>
      <c r="E10034" s="28">
        <v>3.00000</v>
      </c>
      <c r="F10034" s="29">
        <f ca="1">ROUND(0.330,3)</f>
        <v>0</v>
      </c>
      <c r="G10034" s="27">
        <f ca="1">ROUND(E10034*F10034,2)</f>
        <v>0</v>
      </c>
    </row>
    <row r="10035" spans="1:7" ht="39.84" thickBot="1" customHeight="1">
      <c r="A10035" s="24" t="s">
        <v>31813</v>
      </c>
      <c r="B10035" s="24" t="s">
        <v>31814</v>
      </c>
      <c r="C10035" s="24" t="s">
        <v>31815</v>
      </c>
      <c r="D10035" s="25" t="s">
        <v>31816</v>
      </c>
      <c r="E10035" s="28">
        <v>0.02100</v>
      </c>
      <c r="F10035" s="29">
        <f ca="1">ROUND(44.840,3)</f>
        <v>0</v>
      </c>
      <c r="G10035" s="27">
        <f ca="1">ROUND(E10035*F10035,2)</f>
        <v>0</v>
      </c>
    </row>
    <row r="10036" spans="1:7" ht="39.84" thickBot="1" customHeight="1">
      <c r="A10036" s="24" t="s">
        <v>31817</v>
      </c>
      <c r="B10036" s="24" t="s">
        <v>31818</v>
      </c>
      <c r="C10036" s="24" t="s">
        <v>31819</v>
      </c>
      <c r="D10036" s="25" t="s">
        <v>31820</v>
      </c>
      <c r="E10036" s="28">
        <v>0.36000</v>
      </c>
      <c r="F10036" s="29">
        <f ca="1">ROUND(2.600,3)</f>
        <v>0</v>
      </c>
      <c r="G10036" s="27">
        <f ca="1">ROUND(E10036*F10036,2)</f>
        <v>0</v>
      </c>
    </row>
    <row r="10037" spans="1:7" ht="49.08" thickBot="1" customHeight="1">
      <c r="A10037" s="24" t="s">
        <v>31821</v>
      </c>
      <c r="B10037" s="24" t="s">
        <v>31822</v>
      </c>
      <c r="C10037" s="24" t="s">
        <v>31823</v>
      </c>
      <c r="D10037" s="25" t="s">
        <v>31824</v>
      </c>
      <c r="E10037" s="28">
        <v>1.32000</v>
      </c>
      <c r="F10037" s="29">
        <f ca="1">ROUND(5.700,3)</f>
        <v>0</v>
      </c>
      <c r="G10037" s="27">
        <f ca="1">ROUND(E10037*F10037,2)</f>
        <v>0</v>
      </c>
    </row>
    <row r="10038" spans="1:7" ht="30.60" thickBot="1" customHeight="1">
      <c r="A10038" s="24" t="s">
        <v>31825</v>
      </c>
      <c r="B10038" s="24" t="s">
        <v>31826</v>
      </c>
      <c r="C10038" s="24" t="s">
        <v>31827</v>
      </c>
      <c r="D10038" s="25" t="s">
        <v>31828</v>
      </c>
      <c r="E10038" s="28">
        <v>0.02200</v>
      </c>
      <c r="F10038" s="29">
        <f ca="1">ROUND(30.510,3)</f>
        <v>0</v>
      </c>
      <c r="G10038" s="27">
        <f ca="1">ROUND(E10038*F10038,2)</f>
        <v>0</v>
      </c>
    </row>
    <row r="10039" spans="1:7" ht="21.36" thickBot="1" customHeight="1">
      <c r="A10039" s="24" t="s">
        <v>31829</v>
      </c>
      <c r="B10039" s="24" t="s">
        <v>31830</v>
      </c>
      <c r="C10039" s="24" t="s">
        <v>31831</v>
      </c>
      <c r="D10039" s="25" t="s">
        <v>31832</v>
      </c>
      <c r="E10039" s="28">
        <v>0.66667</v>
      </c>
      <c r="F10039" s="29">
        <f ca="1">F10043</f>
        <v>0</v>
      </c>
      <c r="G10039" s="27">
        <f ca="1">ROUND(E10039*F10039,2)</f>
        <v>0</v>
      </c>
    </row>
    <row r="10040" spans="1:7" ht="24.36" thickBot="1" customHeight="1">
      <c r="A10040" s="24" t="s">
        <v>31833</v>
      </c>
      <c r="B10040" s="24" t="s">
        <v>31834</v>
      </c>
      <c r="C10040" s="24" t="s">
        <v>31835</v>
      </c>
      <c r="D10040" s="25" t="s">
        <v>31836</v>
      </c>
      <c r="E10040" s="28">
        <v>1.00000</v>
      </c>
      <c r="F10040" s="29">
        <f ca="1">ROUND(21.000,3)</f>
        <v>0</v>
      </c>
      <c r="G10040" s="27">
        <f ca="1">ROUND(E10040*F10040,2)</f>
        <v>0</v>
      </c>
    </row>
    <row r="10041" spans="1:7" ht="24.36" thickBot="1" customHeight="1">
      <c r="A10041" s="24" t="s">
        <v>31837</v>
      </c>
      <c r="B10041" s="24" t="s">
        <v>31838</v>
      </c>
      <c r="C10041" s="24" t="s">
        <v>31839</v>
      </c>
      <c r="D10041" s="25" t="s">
        <v>31840</v>
      </c>
      <c r="E10041" s="28">
        <v>1.00000</v>
      </c>
      <c r="F10041" s="29">
        <f ca="1">ROUND(19.000,3)</f>
        <v>0</v>
      </c>
      <c r="G10041" s="27">
        <f ca="1">ROUND(E10041*F10041,2)</f>
        <v>0</v>
      </c>
    </row>
    <row r="10042" spans="1:7" ht="24.36" thickBot="1" customHeight="1">
      <c r="A10042" s="24" t="s">
        <v>31841</v>
      </c>
      <c r="B10042" s="24" t="s">
        <v>31842</v>
      </c>
      <c r="C10042" s="24" t="s">
        <v>31843</v>
      </c>
      <c r="D10042" s="25" t="s">
        <v>31844</v>
      </c>
      <c r="E10042" s="28">
        <v>0.20000</v>
      </c>
      <c r="F10042" s="29">
        <f ca="1">ROUND(19.000,3)</f>
        <v>0</v>
      </c>
      <c r="G10042" s="27">
        <f ca="1">ROUND(E10042*F10042,2)</f>
        <v>0</v>
      </c>
    </row>
    <row r="10043" spans="1:7" ht="15.12" thickBot="1" customHeight="1">
      <c r="A10043" s="26"/>
      <c r="B10043" s="26"/>
      <c r="C10043" s="26"/>
      <c r="D10043" s="24" t="s">
        <v>31845</v>
      </c>
      <c r="E10043" s="28">
        <v>0.66667</v>
      </c>
      <c r="F10043" s="29">
        <f ca="1">ROUND((G10040+G10041+G10042),3)</f>
        <v>0</v>
      </c>
      <c r="G10043" s="27">
        <f ca="1">ROUND(E10043*F10043,2)</f>
        <v>0</v>
      </c>
    </row>
    <row r="10044" spans="1:7" ht="15.12" thickBot="1" customHeight="1">
      <c r="A10044" s="24" t="s">
        <v>31846</v>
      </c>
      <c r="B10044" s="24"/>
      <c r="C10044" s="24" t="s">
        <v>31847</v>
      </c>
      <c r="D10044" s="25" t="s">
        <v>31848</v>
      </c>
      <c r="E10044" s="28">
        <v>7.00000</v>
      </c>
      <c r="F10044" s="29">
        <f ca="1">ROUND(29.200,3)</f>
        <v>0</v>
      </c>
      <c r="G10044" s="27">
        <f ca="1">ROUND((E10044*F10044)/100,2)</f>
        <v>0</v>
      </c>
    </row>
    <row r="10045" spans="1:7" ht="15.48" thickBot="1" customHeight="1">
      <c r="A10045" s="30"/>
      <c r="B10045" s="30"/>
      <c r="C10045" s="30"/>
      <c r="D10045" s="31" t="s">
        <v>31849</v>
      </c>
      <c r="E10045" s="30"/>
      <c r="F10045" s="33">
        <f ca="1">ROUND((G10034+G10035+G10036+G10037+G10038+G10039+G10044)*(1+G2/100),2)</f>
        <v>0</v>
      </c>
      <c r="G10045" s="30"/>
    </row>
    <row r="10046" spans="1:7" ht="67.56" thickBot="1" customHeight="1">
      <c r="A10046" s="34" t="s">
        <v>31850</v>
      </c>
      <c r="B10046" s="35" t="s">
        <v>31851</v>
      </c>
      <c r="C10046" s="35" t="s">
        <v>31852</v>
      </c>
      <c r="D10046" s="36" t="s">
        <v>31853</v>
      </c>
      <c r="E10046" s="37"/>
      <c r="F10046" s="38">
        <f ca="1">F10056</f>
        <v>0</v>
      </c>
      <c r="G10046" s="37"/>
    </row>
    <row r="10047" spans="1:7" ht="30.60" thickBot="1" customHeight="1">
      <c r="A10047" s="26"/>
      <c r="B10047" s="26"/>
      <c r="C10047" s="26"/>
      <c r="D10047" s="25" t="s">
        <v>31854</v>
      </c>
      <c r="E10047" s="25"/>
      <c r="F10047" s="25"/>
      <c r="G10047" s="25"/>
    </row>
    <row r="10048" spans="1:7" ht="39.84" thickBot="1" customHeight="1">
      <c r="A10048" s="24" t="s">
        <v>31855</v>
      </c>
      <c r="B10048" s="24" t="s">
        <v>31856</v>
      </c>
      <c r="C10048" s="24" t="s">
        <v>31857</v>
      </c>
      <c r="D10048" s="25" t="s">
        <v>31858</v>
      </c>
      <c r="E10048" s="28">
        <v>0.04200</v>
      </c>
      <c r="F10048" s="29">
        <f ca="1">ROUND(44.840,3)</f>
        <v>0</v>
      </c>
      <c r="G10048" s="27">
        <f ca="1">ROUND(E10048*F10048,2)</f>
        <v>0</v>
      </c>
    </row>
    <row r="10049" spans="1:7" ht="58.32" thickBot="1" customHeight="1">
      <c r="A10049" s="24" t="s">
        <v>31859</v>
      </c>
      <c r="B10049" s="24" t="s">
        <v>31860</v>
      </c>
      <c r="C10049" s="24" t="s">
        <v>31861</v>
      </c>
      <c r="D10049" s="25" t="s">
        <v>31862</v>
      </c>
      <c r="E10049" s="28">
        <v>0.13333</v>
      </c>
      <c r="F10049" s="29">
        <f ca="1">ROUND(39.900,3)</f>
        <v>0</v>
      </c>
      <c r="G10049" s="27">
        <f ca="1">ROUND(E10049*F10049,2)</f>
        <v>0</v>
      </c>
    </row>
    <row r="10050" spans="1:7" ht="21.36" thickBot="1" customHeight="1">
      <c r="A10050" s="24" t="s">
        <v>31863</v>
      </c>
      <c r="B10050" s="24" t="s">
        <v>31864</v>
      </c>
      <c r="C10050" s="24" t="s">
        <v>31865</v>
      </c>
      <c r="D10050" s="25" t="s">
        <v>31866</v>
      </c>
      <c r="E10050" s="28">
        <v>0.44444</v>
      </c>
      <c r="F10050" s="29">
        <f ca="1">F10054</f>
        <v>0</v>
      </c>
      <c r="G10050" s="27">
        <f ca="1">ROUND(E10050*F10050,2)</f>
        <v>0</v>
      </c>
    </row>
    <row r="10051" spans="1:7" ht="24.36" thickBot="1" customHeight="1">
      <c r="A10051" s="24" t="s">
        <v>31867</v>
      </c>
      <c r="B10051" s="24" t="s">
        <v>31868</v>
      </c>
      <c r="C10051" s="24" t="s">
        <v>31869</v>
      </c>
      <c r="D10051" s="25" t="s">
        <v>31870</v>
      </c>
      <c r="E10051" s="28">
        <v>1.00000</v>
      </c>
      <c r="F10051" s="29">
        <f ca="1">ROUND(21.000,3)</f>
        <v>0</v>
      </c>
      <c r="G10051" s="27">
        <f ca="1">ROUND(E10051*F10051,2)</f>
        <v>0</v>
      </c>
    </row>
    <row r="10052" spans="1:7" ht="24.36" thickBot="1" customHeight="1">
      <c r="A10052" s="24" t="s">
        <v>31871</v>
      </c>
      <c r="B10052" s="24" t="s">
        <v>31872</v>
      </c>
      <c r="C10052" s="24" t="s">
        <v>31873</v>
      </c>
      <c r="D10052" s="25" t="s">
        <v>31874</v>
      </c>
      <c r="E10052" s="28">
        <v>1.00000</v>
      </c>
      <c r="F10052" s="29">
        <f ca="1">ROUND(19.000,3)</f>
        <v>0</v>
      </c>
      <c r="G10052" s="27">
        <f ca="1">ROUND(E10052*F10052,2)</f>
        <v>0</v>
      </c>
    </row>
    <row r="10053" spans="1:7" ht="24.36" thickBot="1" customHeight="1">
      <c r="A10053" s="24" t="s">
        <v>31875</v>
      </c>
      <c r="B10053" s="24" t="s">
        <v>31876</v>
      </c>
      <c r="C10053" s="24" t="s">
        <v>31877</v>
      </c>
      <c r="D10053" s="25" t="s">
        <v>31878</v>
      </c>
      <c r="E10053" s="28">
        <v>0.20000</v>
      </c>
      <c r="F10053" s="29">
        <f ca="1">ROUND(19.000,3)</f>
        <v>0</v>
      </c>
      <c r="G10053" s="27">
        <f ca="1">ROUND(E10053*F10053,2)</f>
        <v>0</v>
      </c>
    </row>
    <row r="10054" spans="1:7" ht="15.12" thickBot="1" customHeight="1">
      <c r="A10054" s="26"/>
      <c r="B10054" s="26"/>
      <c r="C10054" s="26"/>
      <c r="D10054" s="24" t="s">
        <v>31879</v>
      </c>
      <c r="E10054" s="28">
        <v>0.44444</v>
      </c>
      <c r="F10054" s="29">
        <f ca="1">ROUND((G10051+G10052+G10053),3)</f>
        <v>0</v>
      </c>
      <c r="G10054" s="27">
        <f ca="1">ROUND(E10054*F10054,2)</f>
        <v>0</v>
      </c>
    </row>
    <row r="10055" spans="1:7" ht="15.12" thickBot="1" customHeight="1">
      <c r="A10055" s="24" t="s">
        <v>31880</v>
      </c>
      <c r="B10055" s="24"/>
      <c r="C10055" s="24" t="s">
        <v>31881</v>
      </c>
      <c r="D10055" s="25" t="s">
        <v>31882</v>
      </c>
      <c r="E10055" s="28">
        <v>3.00000</v>
      </c>
      <c r="F10055" s="29">
        <f ca="1">ROUND(19.470,3)</f>
        <v>0</v>
      </c>
      <c r="G10055" s="27">
        <f ca="1">ROUND((E10055*F10055)/100,2)</f>
        <v>0</v>
      </c>
    </row>
    <row r="10056" spans="1:7" ht="15.48" thickBot="1" customHeight="1">
      <c r="A10056" s="30"/>
      <c r="B10056" s="30"/>
      <c r="C10056" s="30"/>
      <c r="D10056" s="31" t="s">
        <v>31883</v>
      </c>
      <c r="E10056" s="30"/>
      <c r="F10056" s="33">
        <f ca="1">ROUND((G10048+G10049+G10050+G10055)*(1+G2/100),2)</f>
        <v>0</v>
      </c>
      <c r="G10056" s="30"/>
    </row>
    <row r="10057" spans="1:7" ht="67.56" thickBot="1" customHeight="1">
      <c r="A10057" s="34" t="s">
        <v>31884</v>
      </c>
      <c r="B10057" s="35" t="s">
        <v>31885</v>
      </c>
      <c r="C10057" s="35" t="s">
        <v>31886</v>
      </c>
      <c r="D10057" s="36" t="s">
        <v>31887</v>
      </c>
      <c r="E10057" s="37"/>
      <c r="F10057" s="38">
        <f ca="1">F10067</f>
        <v>0</v>
      </c>
      <c r="G10057" s="37"/>
    </row>
    <row r="10058" spans="1:7" ht="30.60" thickBot="1" customHeight="1">
      <c r="A10058" s="26"/>
      <c r="B10058" s="26"/>
      <c r="C10058" s="26"/>
      <c r="D10058" s="25" t="s">
        <v>31888</v>
      </c>
      <c r="E10058" s="25"/>
      <c r="F10058" s="25"/>
      <c r="G10058" s="25"/>
    </row>
    <row r="10059" spans="1:7" ht="49.08" thickBot="1" customHeight="1">
      <c r="A10059" s="24" t="s">
        <v>31889</v>
      </c>
      <c r="B10059" s="24" t="s">
        <v>31890</v>
      </c>
      <c r="C10059" s="24" t="s">
        <v>31891</v>
      </c>
      <c r="D10059" s="25" t="s">
        <v>31892</v>
      </c>
      <c r="E10059" s="28">
        <v>0.01458</v>
      </c>
      <c r="F10059" s="29">
        <f ca="1">ROUND(42.950,3)</f>
        <v>0</v>
      </c>
      <c r="G10059" s="27">
        <f ca="1">ROUND(E10059*F10059,2)</f>
        <v>0</v>
      </c>
    </row>
    <row r="10060" spans="1:7" ht="58.32" thickBot="1" customHeight="1">
      <c r="A10060" s="24" t="s">
        <v>31893</v>
      </c>
      <c r="B10060" s="24" t="s">
        <v>31894</v>
      </c>
      <c r="C10060" s="24" t="s">
        <v>31895</v>
      </c>
      <c r="D10060" s="25" t="s">
        <v>31896</v>
      </c>
      <c r="E10060" s="28">
        <v>0.13333</v>
      </c>
      <c r="F10060" s="29">
        <f ca="1">ROUND(39.900,3)</f>
        <v>0</v>
      </c>
      <c r="G10060" s="27">
        <f ca="1">ROUND(E10060*F10060,2)</f>
        <v>0</v>
      </c>
    </row>
    <row r="10061" spans="1:7" ht="21.36" thickBot="1" customHeight="1">
      <c r="A10061" s="24" t="s">
        <v>31897</v>
      </c>
      <c r="B10061" s="24" t="s">
        <v>31898</v>
      </c>
      <c r="C10061" s="24" t="s">
        <v>31899</v>
      </c>
      <c r="D10061" s="25" t="s">
        <v>31900</v>
      </c>
      <c r="E10061" s="28">
        <v>0.44444</v>
      </c>
      <c r="F10061" s="29">
        <f ca="1">F10065</f>
        <v>0</v>
      </c>
      <c r="G10061" s="27">
        <f ca="1">ROUND(E10061*F10061,2)</f>
        <v>0</v>
      </c>
    </row>
    <row r="10062" spans="1:7" ht="24.36" thickBot="1" customHeight="1">
      <c r="A10062" s="24" t="s">
        <v>31901</v>
      </c>
      <c r="B10062" s="24" t="s">
        <v>31902</v>
      </c>
      <c r="C10062" s="24" t="s">
        <v>31903</v>
      </c>
      <c r="D10062" s="25" t="s">
        <v>31904</v>
      </c>
      <c r="E10062" s="28">
        <v>1.00000</v>
      </c>
      <c r="F10062" s="29">
        <f ca="1">ROUND(21.000,3)</f>
        <v>0</v>
      </c>
      <c r="G10062" s="27">
        <f ca="1">ROUND(E10062*F10062,2)</f>
        <v>0</v>
      </c>
    </row>
    <row r="10063" spans="1:7" ht="24.36" thickBot="1" customHeight="1">
      <c r="A10063" s="24" t="s">
        <v>31905</v>
      </c>
      <c r="B10063" s="24" t="s">
        <v>31906</v>
      </c>
      <c r="C10063" s="24" t="s">
        <v>31907</v>
      </c>
      <c r="D10063" s="25" t="s">
        <v>31908</v>
      </c>
      <c r="E10063" s="28">
        <v>1.00000</v>
      </c>
      <c r="F10063" s="29">
        <f ca="1">ROUND(19.000,3)</f>
        <v>0</v>
      </c>
      <c r="G10063" s="27">
        <f ca="1">ROUND(E10063*F10063,2)</f>
        <v>0</v>
      </c>
    </row>
    <row r="10064" spans="1:7" ht="24.36" thickBot="1" customHeight="1">
      <c r="A10064" s="24" t="s">
        <v>31909</v>
      </c>
      <c r="B10064" s="24" t="s">
        <v>31910</v>
      </c>
      <c r="C10064" s="24" t="s">
        <v>31911</v>
      </c>
      <c r="D10064" s="25" t="s">
        <v>31912</v>
      </c>
      <c r="E10064" s="28">
        <v>0.20000</v>
      </c>
      <c r="F10064" s="29">
        <f ca="1">ROUND(19.000,3)</f>
        <v>0</v>
      </c>
      <c r="G10064" s="27">
        <f ca="1">ROUND(E10064*F10064,2)</f>
        <v>0</v>
      </c>
    </row>
    <row r="10065" spans="1:7" ht="15.12" thickBot="1" customHeight="1">
      <c r="A10065" s="26"/>
      <c r="B10065" s="26"/>
      <c r="C10065" s="26"/>
      <c r="D10065" s="24" t="s">
        <v>31913</v>
      </c>
      <c r="E10065" s="28">
        <v>0.44444</v>
      </c>
      <c r="F10065" s="29">
        <f ca="1">ROUND((G10062+G10063+G10064),3)</f>
        <v>0</v>
      </c>
      <c r="G10065" s="27">
        <f ca="1">ROUND(E10065*F10065,2)</f>
        <v>0</v>
      </c>
    </row>
    <row r="10066" spans="1:7" ht="15.12" thickBot="1" customHeight="1">
      <c r="A10066" s="24" t="s">
        <v>31914</v>
      </c>
      <c r="B10066" s="24"/>
      <c r="C10066" s="24" t="s">
        <v>31915</v>
      </c>
      <c r="D10066" s="25" t="s">
        <v>31916</v>
      </c>
      <c r="E10066" s="28">
        <v>7.00000</v>
      </c>
      <c r="F10066" s="29">
        <f ca="1">ROUND(19.470,3)</f>
        <v>0</v>
      </c>
      <c r="G10066" s="27">
        <f ca="1">ROUND((E10066*F10066)/100,2)</f>
        <v>0</v>
      </c>
    </row>
    <row r="10067" spans="1:7" ht="15.48" thickBot="1" customHeight="1">
      <c r="A10067" s="30"/>
      <c r="B10067" s="30"/>
      <c r="C10067" s="30"/>
      <c r="D10067" s="31" t="s">
        <v>31917</v>
      </c>
      <c r="E10067" s="30"/>
      <c r="F10067" s="33">
        <f ca="1">ROUND((G10059+G10060+G10061+G10066)*(1+G2/100),2)</f>
        <v>0</v>
      </c>
      <c r="G10067" s="30"/>
    </row>
    <row r="10068" spans="1:7" ht="67.56" thickBot="1" customHeight="1">
      <c r="A10068" s="34" t="s">
        <v>31918</v>
      </c>
      <c r="B10068" s="35" t="s">
        <v>31919</v>
      </c>
      <c r="C10068" s="35" t="s">
        <v>31920</v>
      </c>
      <c r="D10068" s="36" t="s">
        <v>31921</v>
      </c>
      <c r="E10068" s="37"/>
      <c r="F10068" s="38">
        <f ca="1">F10078</f>
        <v>0</v>
      </c>
      <c r="G10068" s="37"/>
    </row>
    <row r="10069" spans="1:7" ht="30.60" thickBot="1" customHeight="1">
      <c r="A10069" s="26"/>
      <c r="B10069" s="26"/>
      <c r="C10069" s="26"/>
      <c r="D10069" s="25" t="s">
        <v>31922</v>
      </c>
      <c r="E10069" s="25"/>
      <c r="F10069" s="25"/>
      <c r="G10069" s="25"/>
    </row>
    <row r="10070" spans="1:7" ht="39.84" thickBot="1" customHeight="1">
      <c r="A10070" s="24" t="s">
        <v>31923</v>
      </c>
      <c r="B10070" s="24" t="s">
        <v>31924</v>
      </c>
      <c r="C10070" s="24" t="s">
        <v>31925</v>
      </c>
      <c r="D10070" s="25" t="s">
        <v>31926</v>
      </c>
      <c r="E10070" s="28">
        <v>0.04200</v>
      </c>
      <c r="F10070" s="29">
        <f ca="1">ROUND(44.840,3)</f>
        <v>0</v>
      </c>
      <c r="G10070" s="27">
        <f ca="1">ROUND(E10070*F10070,2)</f>
        <v>0</v>
      </c>
    </row>
    <row r="10071" spans="1:7" ht="49.08" thickBot="1" customHeight="1">
      <c r="A10071" s="24" t="s">
        <v>31927</v>
      </c>
      <c r="B10071" s="24" t="s">
        <v>31928</v>
      </c>
      <c r="C10071" s="24" t="s">
        <v>31929</v>
      </c>
      <c r="D10071" s="25" t="s">
        <v>31930</v>
      </c>
      <c r="E10071" s="28">
        <v>0.13333</v>
      </c>
      <c r="F10071" s="29">
        <f ca="1">ROUND(52.500,3)</f>
        <v>0</v>
      </c>
      <c r="G10071" s="27">
        <f ca="1">ROUND(E10071*F10071,2)</f>
        <v>0</v>
      </c>
    </row>
    <row r="10072" spans="1:7" ht="21.36" thickBot="1" customHeight="1">
      <c r="A10072" s="24" t="s">
        <v>31931</v>
      </c>
      <c r="B10072" s="24" t="s">
        <v>31932</v>
      </c>
      <c r="C10072" s="24" t="s">
        <v>31933</v>
      </c>
      <c r="D10072" s="25" t="s">
        <v>31934</v>
      </c>
      <c r="E10072" s="28">
        <v>0.44444</v>
      </c>
      <c r="F10072" s="29">
        <f ca="1">F10076</f>
        <v>0</v>
      </c>
      <c r="G10072" s="27">
        <f ca="1">ROUND(E10072*F10072,2)</f>
        <v>0</v>
      </c>
    </row>
    <row r="10073" spans="1:7" ht="24.36" thickBot="1" customHeight="1">
      <c r="A10073" s="24" t="s">
        <v>31935</v>
      </c>
      <c r="B10073" s="24" t="s">
        <v>31936</v>
      </c>
      <c r="C10073" s="24" t="s">
        <v>31937</v>
      </c>
      <c r="D10073" s="25" t="s">
        <v>31938</v>
      </c>
      <c r="E10073" s="28">
        <v>1.00000</v>
      </c>
      <c r="F10073" s="29">
        <f ca="1">ROUND(21.000,3)</f>
        <v>0</v>
      </c>
      <c r="G10073" s="27">
        <f ca="1">ROUND(E10073*F10073,2)</f>
        <v>0</v>
      </c>
    </row>
    <row r="10074" spans="1:7" ht="24.36" thickBot="1" customHeight="1">
      <c r="A10074" s="24" t="s">
        <v>31939</v>
      </c>
      <c r="B10074" s="24" t="s">
        <v>31940</v>
      </c>
      <c r="C10074" s="24" t="s">
        <v>31941</v>
      </c>
      <c r="D10074" s="25" t="s">
        <v>31942</v>
      </c>
      <c r="E10074" s="28">
        <v>1.00000</v>
      </c>
      <c r="F10074" s="29">
        <f ca="1">ROUND(19.000,3)</f>
        <v>0</v>
      </c>
      <c r="G10074" s="27">
        <f ca="1">ROUND(E10074*F10074,2)</f>
        <v>0</v>
      </c>
    </row>
    <row r="10075" spans="1:7" ht="24.36" thickBot="1" customHeight="1">
      <c r="A10075" s="24" t="s">
        <v>31943</v>
      </c>
      <c r="B10075" s="24" t="s">
        <v>31944</v>
      </c>
      <c r="C10075" s="24" t="s">
        <v>31945</v>
      </c>
      <c r="D10075" s="25" t="s">
        <v>31946</v>
      </c>
      <c r="E10075" s="28">
        <v>0.20000</v>
      </c>
      <c r="F10075" s="29">
        <f ca="1">ROUND(19.000,3)</f>
        <v>0</v>
      </c>
      <c r="G10075" s="27">
        <f ca="1">ROUND(E10075*F10075,2)</f>
        <v>0</v>
      </c>
    </row>
    <row r="10076" spans="1:7" ht="15.12" thickBot="1" customHeight="1">
      <c r="A10076" s="26"/>
      <c r="B10076" s="26"/>
      <c r="C10076" s="26"/>
      <c r="D10076" s="24" t="s">
        <v>31947</v>
      </c>
      <c r="E10076" s="28">
        <v>0.44444</v>
      </c>
      <c r="F10076" s="29">
        <f ca="1">ROUND((G10073+G10074+G10075),3)</f>
        <v>0</v>
      </c>
      <c r="G10076" s="27">
        <f ca="1">ROUND(E10076*F10076,2)</f>
        <v>0</v>
      </c>
    </row>
    <row r="10077" spans="1:7" ht="15.12" thickBot="1" customHeight="1">
      <c r="A10077" s="24" t="s">
        <v>31948</v>
      </c>
      <c r="B10077" s="24"/>
      <c r="C10077" s="24" t="s">
        <v>31949</v>
      </c>
      <c r="D10077" s="25" t="s">
        <v>31950</v>
      </c>
      <c r="E10077" s="28">
        <v>7.00000</v>
      </c>
      <c r="F10077" s="29">
        <f ca="1">ROUND(19.470,3)</f>
        <v>0</v>
      </c>
      <c r="G10077" s="27">
        <f ca="1">ROUND((E10077*F10077)/100,2)</f>
        <v>0</v>
      </c>
    </row>
    <row r="10078" spans="1:7" ht="15.48" thickBot="1" customHeight="1">
      <c r="A10078" s="30"/>
      <c r="B10078" s="30"/>
      <c r="C10078" s="30"/>
      <c r="D10078" s="31" t="s">
        <v>31951</v>
      </c>
      <c r="E10078" s="30"/>
      <c r="F10078" s="33">
        <f ca="1">ROUND((G10070+G10071+G10072+G10077)*(1+G2/100),2)</f>
        <v>0</v>
      </c>
      <c r="G10078" s="30"/>
    </row>
    <row r="10079" spans="1:7" ht="67.56" thickBot="1" customHeight="1">
      <c r="A10079" s="34" t="s">
        <v>31952</v>
      </c>
      <c r="B10079" s="35" t="s">
        <v>31953</v>
      </c>
      <c r="C10079" s="35" t="s">
        <v>31954</v>
      </c>
      <c r="D10079" s="36" t="s">
        <v>31955</v>
      </c>
      <c r="E10079" s="37"/>
      <c r="F10079" s="38">
        <f ca="1">F10089</f>
        <v>0</v>
      </c>
      <c r="G10079" s="37"/>
    </row>
    <row r="10080" spans="1:7" ht="30.60" thickBot="1" customHeight="1">
      <c r="A10080" s="26"/>
      <c r="B10080" s="26"/>
      <c r="C10080" s="26"/>
      <c r="D10080" s="25" t="s">
        <v>31956</v>
      </c>
      <c r="E10080" s="25"/>
      <c r="F10080" s="25"/>
      <c r="G10080" s="25"/>
    </row>
    <row r="10081" spans="1:7" ht="49.08" thickBot="1" customHeight="1">
      <c r="A10081" s="24" t="s">
        <v>31957</v>
      </c>
      <c r="B10081" s="24" t="s">
        <v>31958</v>
      </c>
      <c r="C10081" s="24" t="s">
        <v>31959</v>
      </c>
      <c r="D10081" s="25" t="s">
        <v>31960</v>
      </c>
      <c r="E10081" s="28">
        <v>0.01458</v>
      </c>
      <c r="F10081" s="29">
        <f ca="1">ROUND(42.950,3)</f>
        <v>0</v>
      </c>
      <c r="G10081" s="27">
        <f ca="1">ROUND(E10081*F10081,2)</f>
        <v>0</v>
      </c>
    </row>
    <row r="10082" spans="1:7" ht="49.08" thickBot="1" customHeight="1">
      <c r="A10082" s="24" t="s">
        <v>31961</v>
      </c>
      <c r="B10082" s="24" t="s">
        <v>31962</v>
      </c>
      <c r="C10082" s="24" t="s">
        <v>31963</v>
      </c>
      <c r="D10082" s="25" t="s">
        <v>31964</v>
      </c>
      <c r="E10082" s="28">
        <v>0.13333</v>
      </c>
      <c r="F10082" s="29">
        <f ca="1">ROUND(52.500,3)</f>
        <v>0</v>
      </c>
      <c r="G10082" s="27">
        <f ca="1">ROUND(E10082*F10082,2)</f>
        <v>0</v>
      </c>
    </row>
    <row r="10083" spans="1:7" ht="21.36" thickBot="1" customHeight="1">
      <c r="A10083" s="24" t="s">
        <v>31965</v>
      </c>
      <c r="B10083" s="24" t="s">
        <v>31966</v>
      </c>
      <c r="C10083" s="24" t="s">
        <v>31967</v>
      </c>
      <c r="D10083" s="25" t="s">
        <v>31968</v>
      </c>
      <c r="E10083" s="28">
        <v>0.44444</v>
      </c>
      <c r="F10083" s="29">
        <f ca="1">F10087</f>
        <v>0</v>
      </c>
      <c r="G10083" s="27">
        <f ca="1">ROUND(E10083*F10083,2)</f>
        <v>0</v>
      </c>
    </row>
    <row r="10084" spans="1:7" ht="24.36" thickBot="1" customHeight="1">
      <c r="A10084" s="24" t="s">
        <v>31969</v>
      </c>
      <c r="B10084" s="24" t="s">
        <v>31970</v>
      </c>
      <c r="C10084" s="24" t="s">
        <v>31971</v>
      </c>
      <c r="D10084" s="25" t="s">
        <v>31972</v>
      </c>
      <c r="E10084" s="28">
        <v>1.00000</v>
      </c>
      <c r="F10084" s="29">
        <f ca="1">ROUND(21.000,3)</f>
        <v>0</v>
      </c>
      <c r="G10084" s="27">
        <f ca="1">ROUND(E10084*F10084,2)</f>
        <v>0</v>
      </c>
    </row>
    <row r="10085" spans="1:7" ht="24.36" thickBot="1" customHeight="1">
      <c r="A10085" s="24" t="s">
        <v>31973</v>
      </c>
      <c r="B10085" s="24" t="s">
        <v>31974</v>
      </c>
      <c r="C10085" s="24" t="s">
        <v>31975</v>
      </c>
      <c r="D10085" s="25" t="s">
        <v>31976</v>
      </c>
      <c r="E10085" s="28">
        <v>1.00000</v>
      </c>
      <c r="F10085" s="29">
        <f ca="1">ROUND(19.000,3)</f>
        <v>0</v>
      </c>
      <c r="G10085" s="27">
        <f ca="1">ROUND(E10085*F10085,2)</f>
        <v>0</v>
      </c>
    </row>
    <row r="10086" spans="1:7" ht="24.36" thickBot="1" customHeight="1">
      <c r="A10086" s="24" t="s">
        <v>31977</v>
      </c>
      <c r="B10086" s="24" t="s">
        <v>31978</v>
      </c>
      <c r="C10086" s="24" t="s">
        <v>31979</v>
      </c>
      <c r="D10086" s="25" t="s">
        <v>31980</v>
      </c>
      <c r="E10086" s="28">
        <v>0.20000</v>
      </c>
      <c r="F10086" s="29">
        <f ca="1">ROUND(19.000,3)</f>
        <v>0</v>
      </c>
      <c r="G10086" s="27">
        <f ca="1">ROUND(E10086*F10086,2)</f>
        <v>0</v>
      </c>
    </row>
    <row r="10087" spans="1:7" ht="15.12" thickBot="1" customHeight="1">
      <c r="A10087" s="26"/>
      <c r="B10087" s="26"/>
      <c r="C10087" s="26"/>
      <c r="D10087" s="24" t="s">
        <v>31981</v>
      </c>
      <c r="E10087" s="28">
        <v>0.44444</v>
      </c>
      <c r="F10087" s="29">
        <f ca="1">ROUND((G10084+G10085+G10086),3)</f>
        <v>0</v>
      </c>
      <c r="G10087" s="27">
        <f ca="1">ROUND(E10087*F10087,2)</f>
        <v>0</v>
      </c>
    </row>
    <row r="10088" spans="1:7" ht="15.12" thickBot="1" customHeight="1">
      <c r="A10088" s="24" t="s">
        <v>31982</v>
      </c>
      <c r="B10088" s="24"/>
      <c r="C10088" s="24" t="s">
        <v>31983</v>
      </c>
      <c r="D10088" s="25" t="s">
        <v>31984</v>
      </c>
      <c r="E10088" s="28">
        <v>7.00000</v>
      </c>
      <c r="F10088" s="29">
        <f ca="1">ROUND(19.470,3)</f>
        <v>0</v>
      </c>
      <c r="G10088" s="27">
        <f ca="1">ROUND((E10088*F10088)/100,2)</f>
        <v>0</v>
      </c>
    </row>
    <row r="10089" spans="1:7" ht="15.48" thickBot="1" customHeight="1">
      <c r="A10089" s="30"/>
      <c r="B10089" s="30"/>
      <c r="C10089" s="30"/>
      <c r="D10089" s="31" t="s">
        <v>31985</v>
      </c>
      <c r="E10089" s="30"/>
      <c r="F10089" s="33">
        <f ca="1">ROUND((G10081+G10082+G10083+G10088)*(1+G2/100),2)</f>
        <v>0</v>
      </c>
      <c r="G10089" s="30"/>
    </row>
    <row r="10090" spans="1:7" ht="67.56" thickBot="1" customHeight="1">
      <c r="A10090" s="34" t="s">
        <v>31986</v>
      </c>
      <c r="B10090" s="35" t="s">
        <v>31987</v>
      </c>
      <c r="C10090" s="35" t="s">
        <v>31988</v>
      </c>
      <c r="D10090" s="36" t="s">
        <v>31989</v>
      </c>
      <c r="E10090" s="37"/>
      <c r="F10090" s="38">
        <f ca="1">F10100</f>
        <v>0</v>
      </c>
      <c r="G10090" s="37"/>
    </row>
    <row r="10091" spans="1:7" ht="30.60" thickBot="1" customHeight="1">
      <c r="A10091" s="26"/>
      <c r="B10091" s="26"/>
      <c r="C10091" s="26"/>
      <c r="D10091" s="25" t="s">
        <v>31990</v>
      </c>
      <c r="E10091" s="25"/>
      <c r="F10091" s="25"/>
      <c r="G10091" s="25"/>
    </row>
    <row r="10092" spans="1:7" ht="49.08" thickBot="1" customHeight="1">
      <c r="A10092" s="24" t="s">
        <v>31991</v>
      </c>
      <c r="B10092" s="24" t="s">
        <v>31992</v>
      </c>
      <c r="C10092" s="24" t="s">
        <v>31993</v>
      </c>
      <c r="D10092" s="25" t="s">
        <v>31994</v>
      </c>
      <c r="E10092" s="28">
        <v>0.01458</v>
      </c>
      <c r="F10092" s="29">
        <f ca="1">ROUND(42.950,3)</f>
        <v>0</v>
      </c>
      <c r="G10092" s="27">
        <f ca="1">ROUND(E10092*F10092,2)</f>
        <v>0</v>
      </c>
    </row>
    <row r="10093" spans="1:7" ht="49.08" thickBot="1" customHeight="1">
      <c r="A10093" s="24" t="s">
        <v>31995</v>
      </c>
      <c r="B10093" s="24" t="s">
        <v>31996</v>
      </c>
      <c r="C10093" s="24" t="s">
        <v>31997</v>
      </c>
      <c r="D10093" s="25" t="s">
        <v>31998</v>
      </c>
      <c r="E10093" s="28">
        <v>0.13333</v>
      </c>
      <c r="F10093" s="29">
        <f ca="1">ROUND(28.400,3)</f>
        <v>0</v>
      </c>
      <c r="G10093" s="27">
        <f ca="1">ROUND(E10093*F10093,2)</f>
        <v>0</v>
      </c>
    </row>
    <row r="10094" spans="1:7" ht="21.36" thickBot="1" customHeight="1">
      <c r="A10094" s="24" t="s">
        <v>31999</v>
      </c>
      <c r="B10094" s="24" t="s">
        <v>32000</v>
      </c>
      <c r="C10094" s="24" t="s">
        <v>32001</v>
      </c>
      <c r="D10094" s="25" t="s">
        <v>32002</v>
      </c>
      <c r="E10094" s="28">
        <v>0.44444</v>
      </c>
      <c r="F10094" s="29">
        <f ca="1">F10098</f>
        <v>0</v>
      </c>
      <c r="G10094" s="27">
        <f ca="1">ROUND(E10094*F10094,2)</f>
        <v>0</v>
      </c>
    </row>
    <row r="10095" spans="1:7" ht="24.36" thickBot="1" customHeight="1">
      <c r="A10095" s="24" t="s">
        <v>32003</v>
      </c>
      <c r="B10095" s="24" t="s">
        <v>32004</v>
      </c>
      <c r="C10095" s="24" t="s">
        <v>32005</v>
      </c>
      <c r="D10095" s="25" t="s">
        <v>32006</v>
      </c>
      <c r="E10095" s="28">
        <v>1.00000</v>
      </c>
      <c r="F10095" s="29">
        <f ca="1">ROUND(21.000,3)</f>
        <v>0</v>
      </c>
      <c r="G10095" s="27">
        <f ca="1">ROUND(E10095*F10095,2)</f>
        <v>0</v>
      </c>
    </row>
    <row r="10096" spans="1:7" ht="24.36" thickBot="1" customHeight="1">
      <c r="A10096" s="24" t="s">
        <v>32007</v>
      </c>
      <c r="B10096" s="24" t="s">
        <v>32008</v>
      </c>
      <c r="C10096" s="24" t="s">
        <v>32009</v>
      </c>
      <c r="D10096" s="25" t="s">
        <v>32010</v>
      </c>
      <c r="E10096" s="28">
        <v>1.00000</v>
      </c>
      <c r="F10096" s="29">
        <f ca="1">ROUND(19.000,3)</f>
        <v>0</v>
      </c>
      <c r="G10096" s="27">
        <f ca="1">ROUND(E10096*F10096,2)</f>
        <v>0</v>
      </c>
    </row>
    <row r="10097" spans="1:7" ht="24.36" thickBot="1" customHeight="1">
      <c r="A10097" s="24" t="s">
        <v>32011</v>
      </c>
      <c r="B10097" s="24" t="s">
        <v>32012</v>
      </c>
      <c r="C10097" s="24" t="s">
        <v>32013</v>
      </c>
      <c r="D10097" s="25" t="s">
        <v>32014</v>
      </c>
      <c r="E10097" s="28">
        <v>0.20000</v>
      </c>
      <c r="F10097" s="29">
        <f ca="1">ROUND(19.000,3)</f>
        <v>0</v>
      </c>
      <c r="G10097" s="27">
        <f ca="1">ROUND(E10097*F10097,2)</f>
        <v>0</v>
      </c>
    </row>
    <row r="10098" spans="1:7" ht="15.12" thickBot="1" customHeight="1">
      <c r="A10098" s="26"/>
      <c r="B10098" s="26"/>
      <c r="C10098" s="26"/>
      <c r="D10098" s="24" t="s">
        <v>32015</v>
      </c>
      <c r="E10098" s="28">
        <v>0.44444</v>
      </c>
      <c r="F10098" s="29">
        <f ca="1">ROUND((G10095+G10096+G10097),3)</f>
        <v>0</v>
      </c>
      <c r="G10098" s="27">
        <f ca="1">ROUND(E10098*F10098,2)</f>
        <v>0</v>
      </c>
    </row>
    <row r="10099" spans="1:7" ht="15.12" thickBot="1" customHeight="1">
      <c r="A10099" s="24" t="s">
        <v>32016</v>
      </c>
      <c r="B10099" s="24"/>
      <c r="C10099" s="24" t="s">
        <v>32017</v>
      </c>
      <c r="D10099" s="25" t="s">
        <v>32018</v>
      </c>
      <c r="E10099" s="28">
        <v>7.00000</v>
      </c>
      <c r="F10099" s="29">
        <f ca="1">ROUND(19.470,3)</f>
        <v>0</v>
      </c>
      <c r="G10099" s="27">
        <f ca="1">ROUND((E10099*F10099)/100,2)</f>
        <v>0</v>
      </c>
    </row>
    <row r="10100" spans="1:7" ht="15.48" thickBot="1" customHeight="1">
      <c r="A10100" s="30"/>
      <c r="B10100" s="30"/>
      <c r="C10100" s="30"/>
      <c r="D10100" s="31" t="s">
        <v>32019</v>
      </c>
      <c r="E10100" s="30"/>
      <c r="F10100" s="33">
        <f ca="1">ROUND((G10092+G10093+G10094+G10099)*(1+G2/100),2)</f>
        <v>0</v>
      </c>
      <c r="G10100" s="30"/>
    </row>
    <row r="10101" spans="1:7" ht="49.08" thickBot="1" customHeight="1">
      <c r="A10101" s="34" t="s">
        <v>32020</v>
      </c>
      <c r="B10101" s="35" t="s">
        <v>32021</v>
      </c>
      <c r="C10101" s="35" t="s">
        <v>32022</v>
      </c>
      <c r="D10101" s="36" t="s">
        <v>32023</v>
      </c>
      <c r="E10101" s="37"/>
      <c r="F10101" s="38">
        <f ca="1">F10111</f>
        <v>0</v>
      </c>
      <c r="G10101" s="37"/>
    </row>
    <row r="10102" spans="1:7" ht="21.36" thickBot="1" customHeight="1">
      <c r="A10102" s="26"/>
      <c r="B10102" s="26"/>
      <c r="C10102" s="26"/>
      <c r="D10102" s="25" t="s">
        <v>32024</v>
      </c>
      <c r="E10102" s="25"/>
      <c r="F10102" s="25"/>
      <c r="G10102" s="25"/>
    </row>
    <row r="10103" spans="1:7" ht="49.08" thickBot="1" customHeight="1">
      <c r="A10103" s="24" t="s">
        <v>32025</v>
      </c>
      <c r="B10103" s="24" t="s">
        <v>32026</v>
      </c>
      <c r="C10103" s="24" t="s">
        <v>32027</v>
      </c>
      <c r="D10103" s="25" t="s">
        <v>32028</v>
      </c>
      <c r="E10103" s="28">
        <v>0.17733</v>
      </c>
      <c r="F10103" s="29">
        <f ca="1">ROUND(37.920,3)</f>
        <v>0</v>
      </c>
      <c r="G10103" s="27">
        <f ca="1">ROUND(E10103*F10103,2)</f>
        <v>0</v>
      </c>
    </row>
    <row r="10104" spans="1:7" ht="39.84" thickBot="1" customHeight="1">
      <c r="A10104" s="24" t="s">
        <v>32029</v>
      </c>
      <c r="B10104" s="24" t="s">
        <v>32030</v>
      </c>
      <c r="C10104" s="24" t="s">
        <v>32031</v>
      </c>
      <c r="D10104" s="25" t="s">
        <v>32032</v>
      </c>
      <c r="E10104" s="28">
        <v>0.04433</v>
      </c>
      <c r="F10104" s="29">
        <f ca="1">ROUND(23.250,3)</f>
        <v>0</v>
      </c>
      <c r="G10104" s="27">
        <f ca="1">ROUND(E10104*F10104,2)</f>
        <v>0</v>
      </c>
    </row>
    <row r="10105" spans="1:7" ht="21.36" thickBot="1" customHeight="1">
      <c r="A10105" s="24" t="s">
        <v>32033</v>
      </c>
      <c r="B10105" s="24" t="s">
        <v>32034</v>
      </c>
      <c r="C10105" s="24" t="s">
        <v>32035</v>
      </c>
      <c r="D10105" s="25" t="s">
        <v>32036</v>
      </c>
      <c r="E10105" s="28">
        <v>0.44444</v>
      </c>
      <c r="F10105" s="29">
        <f ca="1">F10109</f>
        <v>0</v>
      </c>
      <c r="G10105" s="27">
        <f ca="1">ROUND(E10105*F10105,2)</f>
        <v>0</v>
      </c>
    </row>
    <row r="10106" spans="1:7" ht="24.36" thickBot="1" customHeight="1">
      <c r="A10106" s="24" t="s">
        <v>32037</v>
      </c>
      <c r="B10106" s="24" t="s">
        <v>32038</v>
      </c>
      <c r="C10106" s="24" t="s">
        <v>32039</v>
      </c>
      <c r="D10106" s="25" t="s">
        <v>32040</v>
      </c>
      <c r="E10106" s="28">
        <v>1.00000</v>
      </c>
      <c r="F10106" s="29">
        <f ca="1">ROUND(21.000,3)</f>
        <v>0</v>
      </c>
      <c r="G10106" s="27">
        <f ca="1">ROUND(E10106*F10106,2)</f>
        <v>0</v>
      </c>
    </row>
    <row r="10107" spans="1:7" ht="24.36" thickBot="1" customHeight="1">
      <c r="A10107" s="24" t="s">
        <v>32041</v>
      </c>
      <c r="B10107" s="24" t="s">
        <v>32042</v>
      </c>
      <c r="C10107" s="24" t="s">
        <v>32043</v>
      </c>
      <c r="D10107" s="25" t="s">
        <v>32044</v>
      </c>
      <c r="E10107" s="28">
        <v>1.00000</v>
      </c>
      <c r="F10107" s="29">
        <f ca="1">ROUND(19.000,3)</f>
        <v>0</v>
      </c>
      <c r="G10107" s="27">
        <f ca="1">ROUND(E10107*F10107,2)</f>
        <v>0</v>
      </c>
    </row>
    <row r="10108" spans="1:7" ht="24.36" thickBot="1" customHeight="1">
      <c r="A10108" s="24" t="s">
        <v>32045</v>
      </c>
      <c r="B10108" s="24" t="s">
        <v>32046</v>
      </c>
      <c r="C10108" s="24" t="s">
        <v>32047</v>
      </c>
      <c r="D10108" s="25" t="s">
        <v>32048</v>
      </c>
      <c r="E10108" s="28">
        <v>0.20000</v>
      </c>
      <c r="F10108" s="29">
        <f ca="1">ROUND(19.000,3)</f>
        <v>0</v>
      </c>
      <c r="G10108" s="27">
        <f ca="1">ROUND(E10108*F10108,2)</f>
        <v>0</v>
      </c>
    </row>
    <row r="10109" spans="1:7" ht="15.12" thickBot="1" customHeight="1">
      <c r="A10109" s="26"/>
      <c r="B10109" s="26"/>
      <c r="C10109" s="26"/>
      <c r="D10109" s="24" t="s">
        <v>32049</v>
      </c>
      <c r="E10109" s="28">
        <v>0.44444</v>
      </c>
      <c r="F10109" s="29">
        <f ca="1">ROUND((G10106+G10107+G10108),3)</f>
        <v>0</v>
      </c>
      <c r="G10109" s="27">
        <f ca="1">ROUND(E10109*F10109,2)</f>
        <v>0</v>
      </c>
    </row>
    <row r="10110" spans="1:7" ht="15.12" thickBot="1" customHeight="1">
      <c r="A10110" s="24" t="s">
        <v>32050</v>
      </c>
      <c r="B10110" s="24"/>
      <c r="C10110" s="24" t="s">
        <v>32051</v>
      </c>
      <c r="D10110" s="25" t="s">
        <v>32052</v>
      </c>
      <c r="E10110" s="28">
        <v>7.00000</v>
      </c>
      <c r="F10110" s="29">
        <f ca="1">ROUND(19.470,3)</f>
        <v>0</v>
      </c>
      <c r="G10110" s="27">
        <f ca="1">ROUND((E10110*F10110)/100,2)</f>
        <v>0</v>
      </c>
    </row>
    <row r="10111" spans="1:7" ht="15.48" thickBot="1" customHeight="1">
      <c r="A10111" s="30"/>
      <c r="B10111" s="30"/>
      <c r="C10111" s="30"/>
      <c r="D10111" s="31" t="s">
        <v>32053</v>
      </c>
      <c r="E10111" s="30"/>
      <c r="F10111" s="33">
        <f ca="1">ROUND((G10103+G10104+G10105+G10110)*(1+G2/100),2)</f>
        <v>0</v>
      </c>
      <c r="G10111" s="30"/>
    </row>
    <row r="10112" spans="1:7" ht="49.08" thickBot="1" customHeight="1">
      <c r="A10112" s="34" t="s">
        <v>32054</v>
      </c>
      <c r="B10112" s="35" t="s">
        <v>32055</v>
      </c>
      <c r="C10112" s="35" t="s">
        <v>32056</v>
      </c>
      <c r="D10112" s="36" t="s">
        <v>32057</v>
      </c>
      <c r="E10112" s="37"/>
      <c r="F10112" s="38">
        <f ca="1">F10122</f>
        <v>0</v>
      </c>
      <c r="G10112" s="37"/>
    </row>
    <row r="10113" spans="1:7" ht="21.36" thickBot="1" customHeight="1">
      <c r="A10113" s="26"/>
      <c r="B10113" s="26"/>
      <c r="C10113" s="26"/>
      <c r="D10113" s="25" t="s">
        <v>32058</v>
      </c>
      <c r="E10113" s="25"/>
      <c r="F10113" s="25"/>
      <c r="G10113" s="25"/>
    </row>
    <row r="10114" spans="1:7" ht="49.08" thickBot="1" customHeight="1">
      <c r="A10114" s="24" t="s">
        <v>32059</v>
      </c>
      <c r="B10114" s="24" t="s">
        <v>32060</v>
      </c>
      <c r="C10114" s="24" t="s">
        <v>32061</v>
      </c>
      <c r="D10114" s="25" t="s">
        <v>32062</v>
      </c>
      <c r="E10114" s="28">
        <v>0.17733</v>
      </c>
      <c r="F10114" s="29">
        <f ca="1">ROUND(37.920,3)</f>
        <v>0</v>
      </c>
      <c r="G10114" s="27">
        <f ca="1">ROUND(E10114*F10114,2)</f>
        <v>0</v>
      </c>
    </row>
    <row r="10115" spans="1:7" ht="39.84" thickBot="1" customHeight="1">
      <c r="A10115" s="24" t="s">
        <v>32063</v>
      </c>
      <c r="B10115" s="24" t="s">
        <v>32064</v>
      </c>
      <c r="C10115" s="24" t="s">
        <v>32065</v>
      </c>
      <c r="D10115" s="25" t="s">
        <v>32066</v>
      </c>
      <c r="E10115" s="28">
        <v>0.04433</v>
      </c>
      <c r="F10115" s="29">
        <f ca="1">ROUND(28.950,3)</f>
        <v>0</v>
      </c>
      <c r="G10115" s="27">
        <f ca="1">ROUND(E10115*F10115,2)</f>
        <v>0</v>
      </c>
    </row>
    <row r="10116" spans="1:7" ht="21.36" thickBot="1" customHeight="1">
      <c r="A10116" s="24" t="s">
        <v>32067</v>
      </c>
      <c r="B10116" s="24" t="s">
        <v>32068</v>
      </c>
      <c r="C10116" s="24" t="s">
        <v>32069</v>
      </c>
      <c r="D10116" s="25" t="s">
        <v>32070</v>
      </c>
      <c r="E10116" s="28">
        <v>0.44444</v>
      </c>
      <c r="F10116" s="29">
        <f ca="1">F10120</f>
        <v>0</v>
      </c>
      <c r="G10116" s="27">
        <f ca="1">ROUND(E10116*F10116,2)</f>
        <v>0</v>
      </c>
    </row>
    <row r="10117" spans="1:7" ht="24.36" thickBot="1" customHeight="1">
      <c r="A10117" s="24" t="s">
        <v>32071</v>
      </c>
      <c r="B10117" s="24" t="s">
        <v>32072</v>
      </c>
      <c r="C10117" s="24" t="s">
        <v>32073</v>
      </c>
      <c r="D10117" s="25" t="s">
        <v>32074</v>
      </c>
      <c r="E10117" s="28">
        <v>1.00000</v>
      </c>
      <c r="F10117" s="29">
        <f ca="1">ROUND(21.000,3)</f>
        <v>0</v>
      </c>
      <c r="G10117" s="27">
        <f ca="1">ROUND(E10117*F10117,2)</f>
        <v>0</v>
      </c>
    </row>
    <row r="10118" spans="1:7" ht="24.36" thickBot="1" customHeight="1">
      <c r="A10118" s="24" t="s">
        <v>32075</v>
      </c>
      <c r="B10118" s="24" t="s">
        <v>32076</v>
      </c>
      <c r="C10118" s="24" t="s">
        <v>32077</v>
      </c>
      <c r="D10118" s="25" t="s">
        <v>32078</v>
      </c>
      <c r="E10118" s="28">
        <v>1.00000</v>
      </c>
      <c r="F10118" s="29">
        <f ca="1">ROUND(19.000,3)</f>
        <v>0</v>
      </c>
      <c r="G10118" s="27">
        <f ca="1">ROUND(E10118*F10118,2)</f>
        <v>0</v>
      </c>
    </row>
    <row r="10119" spans="1:7" ht="24.36" thickBot="1" customHeight="1">
      <c r="A10119" s="24" t="s">
        <v>32079</v>
      </c>
      <c r="B10119" s="24" t="s">
        <v>32080</v>
      </c>
      <c r="C10119" s="24" t="s">
        <v>32081</v>
      </c>
      <c r="D10119" s="25" t="s">
        <v>32082</v>
      </c>
      <c r="E10119" s="28">
        <v>0.20000</v>
      </c>
      <c r="F10119" s="29">
        <f ca="1">ROUND(19.000,3)</f>
        <v>0</v>
      </c>
      <c r="G10119" s="27">
        <f ca="1">ROUND(E10119*F10119,2)</f>
        <v>0</v>
      </c>
    </row>
    <row r="10120" spans="1:7" ht="15.12" thickBot="1" customHeight="1">
      <c r="A10120" s="26"/>
      <c r="B10120" s="26"/>
      <c r="C10120" s="26"/>
      <c r="D10120" s="24" t="s">
        <v>32083</v>
      </c>
      <c r="E10120" s="28">
        <v>0.44444</v>
      </c>
      <c r="F10120" s="29">
        <f ca="1">ROUND((G10117+G10118+G10119),3)</f>
        <v>0</v>
      </c>
      <c r="G10120" s="27">
        <f ca="1">ROUND(E10120*F10120,2)</f>
        <v>0</v>
      </c>
    </row>
    <row r="10121" spans="1:7" ht="15.12" thickBot="1" customHeight="1">
      <c r="A10121" s="24" t="s">
        <v>32084</v>
      </c>
      <c r="B10121" s="24"/>
      <c r="C10121" s="24" t="s">
        <v>32085</v>
      </c>
      <c r="D10121" s="25" t="s">
        <v>32086</v>
      </c>
      <c r="E10121" s="28">
        <v>7.00000</v>
      </c>
      <c r="F10121" s="29">
        <f ca="1">ROUND(19.470,3)</f>
        <v>0</v>
      </c>
      <c r="G10121" s="27">
        <f ca="1">ROUND((E10121*F10121)/100,2)</f>
        <v>0</v>
      </c>
    </row>
    <row r="10122" spans="1:7" ht="15.48" thickBot="1" customHeight="1">
      <c r="A10122" s="30"/>
      <c r="B10122" s="30"/>
      <c r="C10122" s="30"/>
      <c r="D10122" s="31" t="s">
        <v>32087</v>
      </c>
      <c r="E10122" s="30"/>
      <c r="F10122" s="33">
        <f ca="1">ROUND((G10114+G10115+G10116+G10121)*(1+G2/100),2)</f>
        <v>0</v>
      </c>
      <c r="G10122" s="30"/>
    </row>
    <row r="10123" spans="1:7" ht="49.08" thickBot="1" customHeight="1">
      <c r="A10123" s="34" t="s">
        <v>32088</v>
      </c>
      <c r="B10123" s="35" t="s">
        <v>32089</v>
      </c>
      <c r="C10123" s="35" t="s">
        <v>32090</v>
      </c>
      <c r="D10123" s="36" t="s">
        <v>32091</v>
      </c>
      <c r="E10123" s="37"/>
      <c r="F10123" s="38">
        <f ca="1">F10134</f>
        <v>0</v>
      </c>
      <c r="G10123" s="37"/>
    </row>
    <row r="10124" spans="1:7" ht="21.36" thickBot="1" customHeight="1">
      <c r="A10124" s="26"/>
      <c r="B10124" s="26"/>
      <c r="C10124" s="26"/>
      <c r="D10124" s="25" t="s">
        <v>32092</v>
      </c>
      <c r="E10124" s="25"/>
      <c r="F10124" s="25"/>
      <c r="G10124" s="25"/>
    </row>
    <row r="10125" spans="1:7" ht="30.60" thickBot="1" customHeight="1">
      <c r="A10125" s="24" t="s">
        <v>32093</v>
      </c>
      <c r="B10125" s="24" t="s">
        <v>32094</v>
      </c>
      <c r="C10125" s="24" t="s">
        <v>32095</v>
      </c>
      <c r="D10125" s="25" t="s">
        <v>32096</v>
      </c>
      <c r="E10125" s="28">
        <v>3.00000</v>
      </c>
      <c r="F10125" s="29">
        <f ca="1">ROUND(0.330,3)</f>
        <v>0</v>
      </c>
      <c r="G10125" s="27">
        <f ca="1">ROUND(E10125*F10125,2)</f>
        <v>0</v>
      </c>
    </row>
    <row r="10126" spans="1:7" ht="39.84" thickBot="1" customHeight="1">
      <c r="A10126" s="24" t="s">
        <v>32097</v>
      </c>
      <c r="B10126" s="24" t="s">
        <v>32098</v>
      </c>
      <c r="C10126" s="24" t="s">
        <v>32099</v>
      </c>
      <c r="D10126" s="25" t="s">
        <v>32100</v>
      </c>
      <c r="E10126" s="28">
        <v>0.02100</v>
      </c>
      <c r="F10126" s="29">
        <f ca="1">ROUND(44.840,3)</f>
        <v>0</v>
      </c>
      <c r="G10126" s="27">
        <f ca="1">ROUND(E10126*F10126,2)</f>
        <v>0</v>
      </c>
    </row>
    <row r="10127" spans="1:7" ht="39.84" thickBot="1" customHeight="1">
      <c r="A10127" s="24" t="s">
        <v>32101</v>
      </c>
      <c r="B10127" s="24" t="s">
        <v>32102</v>
      </c>
      <c r="C10127" s="24" t="s">
        <v>32103</v>
      </c>
      <c r="D10127" s="25" t="s">
        <v>32104</v>
      </c>
      <c r="E10127" s="28">
        <v>3.02400</v>
      </c>
      <c r="F10127" s="29">
        <f ca="1">ROUND(2.600,3)</f>
        <v>0</v>
      </c>
      <c r="G10127" s="27">
        <f ca="1">ROUND(E10127*F10127,2)</f>
        <v>0</v>
      </c>
    </row>
    <row r="10128" spans="1:7" ht="21.36" thickBot="1" customHeight="1">
      <c r="A10128" s="24" t="s">
        <v>32105</v>
      </c>
      <c r="B10128" s="24" t="s">
        <v>32106</v>
      </c>
      <c r="C10128" s="24" t="s">
        <v>32107</v>
      </c>
      <c r="D10128" s="25" t="s">
        <v>32108</v>
      </c>
      <c r="E10128" s="28">
        <v>0.40000</v>
      </c>
      <c r="F10128" s="29">
        <f ca="1">F10132</f>
        <v>0</v>
      </c>
      <c r="G10128" s="27">
        <f ca="1">ROUND(E10128*F10128,2)</f>
        <v>0</v>
      </c>
    </row>
    <row r="10129" spans="1:7" ht="24.36" thickBot="1" customHeight="1">
      <c r="A10129" s="24" t="s">
        <v>32109</v>
      </c>
      <c r="B10129" s="24" t="s">
        <v>32110</v>
      </c>
      <c r="C10129" s="24" t="s">
        <v>32111</v>
      </c>
      <c r="D10129" s="25" t="s">
        <v>32112</v>
      </c>
      <c r="E10129" s="28">
        <v>1.00000</v>
      </c>
      <c r="F10129" s="29">
        <f ca="1">ROUND(21.000,3)</f>
        <v>0</v>
      </c>
      <c r="G10129" s="27">
        <f ca="1">ROUND(E10129*F10129,2)</f>
        <v>0</v>
      </c>
    </row>
    <row r="10130" spans="1:7" ht="24.36" thickBot="1" customHeight="1">
      <c r="A10130" s="24" t="s">
        <v>32113</v>
      </c>
      <c r="B10130" s="24" t="s">
        <v>32114</v>
      </c>
      <c r="C10130" s="24" t="s">
        <v>32115</v>
      </c>
      <c r="D10130" s="25" t="s">
        <v>32116</v>
      </c>
      <c r="E10130" s="28">
        <v>1.00000</v>
      </c>
      <c r="F10130" s="29">
        <f ca="1">ROUND(19.000,3)</f>
        <v>0</v>
      </c>
      <c r="G10130" s="27">
        <f ca="1">ROUND(E10130*F10130,2)</f>
        <v>0</v>
      </c>
    </row>
    <row r="10131" spans="1:7" ht="24.36" thickBot="1" customHeight="1">
      <c r="A10131" s="24" t="s">
        <v>32117</v>
      </c>
      <c r="B10131" s="24" t="s">
        <v>32118</v>
      </c>
      <c r="C10131" s="24" t="s">
        <v>32119</v>
      </c>
      <c r="D10131" s="25" t="s">
        <v>32120</v>
      </c>
      <c r="E10131" s="28">
        <v>0.20000</v>
      </c>
      <c r="F10131" s="29">
        <f ca="1">ROUND(19.000,3)</f>
        <v>0</v>
      </c>
      <c r="G10131" s="27">
        <f ca="1">ROUND(E10131*F10131,2)</f>
        <v>0</v>
      </c>
    </row>
    <row r="10132" spans="1:7" ht="15.12" thickBot="1" customHeight="1">
      <c r="A10132" s="26"/>
      <c r="B10132" s="26"/>
      <c r="C10132" s="26"/>
      <c r="D10132" s="24" t="s">
        <v>32121</v>
      </c>
      <c r="E10132" s="28">
        <v>0.40000</v>
      </c>
      <c r="F10132" s="29">
        <f ca="1">ROUND((G10129+G10130+G10131),3)</f>
        <v>0</v>
      </c>
      <c r="G10132" s="27">
        <f ca="1">ROUND(E10132*F10132,2)</f>
        <v>0</v>
      </c>
    </row>
    <row r="10133" spans="1:7" ht="15.12" thickBot="1" customHeight="1">
      <c r="A10133" s="24" t="s">
        <v>32122</v>
      </c>
      <c r="B10133" s="24"/>
      <c r="C10133" s="24" t="s">
        <v>32123</v>
      </c>
      <c r="D10133" s="25" t="s">
        <v>32124</v>
      </c>
      <c r="E10133" s="28">
        <v>7.00000</v>
      </c>
      <c r="F10133" s="29">
        <f ca="1">ROUND(17.520,3)</f>
        <v>0</v>
      </c>
      <c r="G10133" s="27">
        <f ca="1">ROUND((E10133*F10133)/100,2)</f>
        <v>0</v>
      </c>
    </row>
    <row r="10134" spans="1:7" ht="15.48" thickBot="1" customHeight="1">
      <c r="A10134" s="30"/>
      <c r="B10134" s="30"/>
      <c r="C10134" s="30"/>
      <c r="D10134" s="31" t="s">
        <v>32125</v>
      </c>
      <c r="E10134" s="30"/>
      <c r="F10134" s="33">
        <f ca="1">ROUND((G10125+G10126+G10127+G10128+G10133)*(1+G2/100),2)</f>
        <v>0</v>
      </c>
      <c r="G10134" s="30"/>
    </row>
    <row r="10135" spans="1:7" ht="25.08" thickBot="1" customHeight="1">
      <c r="A10135" s="52" t="s">
        <v>32126</v>
      </c>
      <c r="B10135" s="52" t="s">
        <v>32127</v>
      </c>
      <c r="C10135" s="53"/>
      <c r="D10135" s="54" t="s">
        <v>32128</v>
      </c>
      <c r="E10135" s="53"/>
      <c r="F10135" s="53"/>
      <c r="G10135" s="53"/>
    </row>
    <row r="10136" spans="1:7" ht="67.56" thickBot="1" customHeight="1">
      <c r="A10136" s="10" t="s">
        <v>32129</v>
      </c>
      <c r="B10136" s="24" t="s">
        <v>32130</v>
      </c>
      <c r="C10136" s="24" t="s">
        <v>32131</v>
      </c>
      <c r="D10136" s="25" t="s">
        <v>32132</v>
      </c>
      <c r="E10136" s="26"/>
      <c r="F10136" s="27">
        <f ca="1">F10147</f>
        <v>0</v>
      </c>
      <c r="G10136" s="26"/>
    </row>
    <row r="10137" spans="1:7" ht="21.36" thickBot="1" customHeight="1">
      <c r="A10137" s="26"/>
      <c r="B10137" s="26"/>
      <c r="C10137" s="26"/>
      <c r="D10137" s="25" t="s">
        <v>32133</v>
      </c>
      <c r="E10137" s="25"/>
      <c r="F10137" s="25"/>
      <c r="G10137" s="25"/>
    </row>
    <row r="10138" spans="1:7" ht="39.84" thickBot="1" customHeight="1">
      <c r="A10138" s="24" t="s">
        <v>32134</v>
      </c>
      <c r="B10138" s="24" t="s">
        <v>32135</v>
      </c>
      <c r="C10138" s="24" t="s">
        <v>32136</v>
      </c>
      <c r="D10138" s="25" t="s">
        <v>32137</v>
      </c>
      <c r="E10138" s="28">
        <v>1.00000</v>
      </c>
      <c r="F10138" s="29">
        <f ca="1">ROUND(3.630,3)</f>
        <v>0</v>
      </c>
      <c r="G10138" s="27">
        <f ca="1">ROUND(E10138*F10138,2)</f>
        <v>0</v>
      </c>
    </row>
    <row r="10139" spans="1:7" ht="39.84" thickBot="1" customHeight="1">
      <c r="A10139" s="24" t="s">
        <v>32138</v>
      </c>
      <c r="B10139" s="24" t="s">
        <v>32139</v>
      </c>
      <c r="C10139" s="24" t="s">
        <v>32140</v>
      </c>
      <c r="D10139" s="25" t="s">
        <v>32141</v>
      </c>
      <c r="E10139" s="28">
        <v>1.00000</v>
      </c>
      <c r="F10139" s="29">
        <f ca="1">ROUND(8.840,3)</f>
        <v>0</v>
      </c>
      <c r="G10139" s="27">
        <f ca="1">ROUND(E10139*F10139,2)</f>
        <v>0</v>
      </c>
    </row>
    <row r="10140" spans="1:7" ht="30.60" thickBot="1" customHeight="1">
      <c r="A10140" s="24" t="s">
        <v>32142</v>
      </c>
      <c r="B10140" s="24" t="s">
        <v>32143</v>
      </c>
      <c r="C10140" s="24" t="s">
        <v>32144</v>
      </c>
      <c r="D10140" s="25" t="s">
        <v>32145</v>
      </c>
      <c r="E10140" s="28">
        <v>0.10000</v>
      </c>
      <c r="F10140" s="29">
        <f ca="1">ROUND(6.320,3)</f>
        <v>0</v>
      </c>
      <c r="G10140" s="27">
        <f ca="1">ROUND(E10140*F10140,2)</f>
        <v>0</v>
      </c>
    </row>
    <row r="10141" spans="1:7" ht="21.36" thickBot="1" customHeight="1">
      <c r="A10141" s="24" t="s">
        <v>32146</v>
      </c>
      <c r="B10141" s="24" t="s">
        <v>32147</v>
      </c>
      <c r="C10141" s="24" t="s">
        <v>32148</v>
      </c>
      <c r="D10141" s="25" t="s">
        <v>32149</v>
      </c>
      <c r="E10141" s="28">
        <v>0.50000</v>
      </c>
      <c r="F10141" s="29">
        <f ca="1">F10145</f>
        <v>0</v>
      </c>
      <c r="G10141" s="27">
        <f ca="1">ROUND(E10141*F10141,2)</f>
        <v>0</v>
      </c>
    </row>
    <row r="10142" spans="1:7" ht="24.36" thickBot="1" customHeight="1">
      <c r="A10142" s="24" t="s">
        <v>32150</v>
      </c>
      <c r="B10142" s="24" t="s">
        <v>32151</v>
      </c>
      <c r="C10142" s="24" t="s">
        <v>32152</v>
      </c>
      <c r="D10142" s="25" t="s">
        <v>32153</v>
      </c>
      <c r="E10142" s="28">
        <v>1.00000</v>
      </c>
      <c r="F10142" s="29">
        <f ca="1">ROUND(21.000,3)</f>
        <v>0</v>
      </c>
      <c r="G10142" s="27">
        <f ca="1">ROUND(E10142*F10142,2)</f>
        <v>0</v>
      </c>
    </row>
    <row r="10143" spans="1:7" ht="24.36" thickBot="1" customHeight="1">
      <c r="A10143" s="24" t="s">
        <v>32154</v>
      </c>
      <c r="B10143" s="24" t="s">
        <v>32155</v>
      </c>
      <c r="C10143" s="24" t="s">
        <v>32156</v>
      </c>
      <c r="D10143" s="25" t="s">
        <v>32157</v>
      </c>
      <c r="E10143" s="28">
        <v>1.00000</v>
      </c>
      <c r="F10143" s="29">
        <f ca="1">ROUND(19.000,3)</f>
        <v>0</v>
      </c>
      <c r="G10143" s="27">
        <f ca="1">ROUND(E10143*F10143,2)</f>
        <v>0</v>
      </c>
    </row>
    <row r="10144" spans="1:7" ht="24.36" thickBot="1" customHeight="1">
      <c r="A10144" s="24" t="s">
        <v>32158</v>
      </c>
      <c r="B10144" s="24" t="s">
        <v>32159</v>
      </c>
      <c r="C10144" s="24" t="s">
        <v>32160</v>
      </c>
      <c r="D10144" s="25" t="s">
        <v>32161</v>
      </c>
      <c r="E10144" s="28">
        <v>0.20000</v>
      </c>
      <c r="F10144" s="29">
        <f ca="1">ROUND(19.000,3)</f>
        <v>0</v>
      </c>
      <c r="G10144" s="27">
        <f ca="1">ROUND(E10144*F10144,2)</f>
        <v>0</v>
      </c>
    </row>
    <row r="10145" spans="1:7" ht="15.12" thickBot="1" customHeight="1">
      <c r="A10145" s="26"/>
      <c r="B10145" s="26"/>
      <c r="C10145" s="26"/>
      <c r="D10145" s="24" t="s">
        <v>32162</v>
      </c>
      <c r="E10145" s="28">
        <v>0.50000</v>
      </c>
      <c r="F10145" s="29">
        <f ca="1">ROUND((G10142+G10143+G10144),3)</f>
        <v>0</v>
      </c>
      <c r="G10145" s="27">
        <f ca="1">ROUND(E10145*F10145,2)</f>
        <v>0</v>
      </c>
    </row>
    <row r="10146" spans="1:7" ht="15.12" thickBot="1" customHeight="1">
      <c r="A10146" s="24" t="s">
        <v>32163</v>
      </c>
      <c r="B10146" s="24"/>
      <c r="C10146" s="24" t="s">
        <v>32164</v>
      </c>
      <c r="D10146" s="25" t="s">
        <v>32165</v>
      </c>
      <c r="E10146" s="28">
        <v>5.00000</v>
      </c>
      <c r="F10146" s="29">
        <f ca="1">ROUND(21.900,3)</f>
        <v>0</v>
      </c>
      <c r="G10146" s="27">
        <f ca="1">ROUND((E10146*F10146)/100,2)</f>
        <v>0</v>
      </c>
    </row>
    <row r="10147" spans="1:7" ht="15.48" thickBot="1" customHeight="1">
      <c r="A10147" s="30"/>
      <c r="B10147" s="30"/>
      <c r="C10147" s="30"/>
      <c r="D10147" s="31" t="s">
        <v>32166</v>
      </c>
      <c r="E10147" s="30"/>
      <c r="F10147" s="33">
        <f ca="1">ROUND((G10138+G10139+G10140+G10141+G10146)*(1+G2/100),2)</f>
        <v>0</v>
      </c>
      <c r="G10147" s="30"/>
    </row>
    <row r="10148" spans="1:7" ht="67.56" thickBot="1" customHeight="1">
      <c r="A10148" s="34" t="s">
        <v>32167</v>
      </c>
      <c r="B10148" s="35" t="s">
        <v>32168</v>
      </c>
      <c r="C10148" s="35" t="s">
        <v>32169</v>
      </c>
      <c r="D10148" s="36" t="s">
        <v>32170</v>
      </c>
      <c r="E10148" s="37"/>
      <c r="F10148" s="38">
        <f ca="1">F10159</f>
        <v>0</v>
      </c>
      <c r="G10148" s="37"/>
    </row>
    <row r="10149" spans="1:7" ht="21.36" thickBot="1" customHeight="1">
      <c r="A10149" s="26"/>
      <c r="B10149" s="26"/>
      <c r="C10149" s="26"/>
      <c r="D10149" s="25" t="s">
        <v>32171</v>
      </c>
      <c r="E10149" s="25"/>
      <c r="F10149" s="25"/>
      <c r="G10149" s="25"/>
    </row>
    <row r="10150" spans="1:7" ht="39.84" thickBot="1" customHeight="1">
      <c r="A10150" s="24" t="s">
        <v>32172</v>
      </c>
      <c r="B10150" s="24" t="s">
        <v>32173</v>
      </c>
      <c r="C10150" s="24" t="s">
        <v>32174</v>
      </c>
      <c r="D10150" s="25" t="s">
        <v>32175</v>
      </c>
      <c r="E10150" s="28">
        <v>1.00000</v>
      </c>
      <c r="F10150" s="29">
        <f ca="1">ROUND(5.780,3)</f>
        <v>0</v>
      </c>
      <c r="G10150" s="27">
        <f ca="1">ROUND(E10150*F10150,2)</f>
        <v>0</v>
      </c>
    </row>
    <row r="10151" spans="1:7" ht="39.84" thickBot="1" customHeight="1">
      <c r="A10151" s="24" t="s">
        <v>32176</v>
      </c>
      <c r="B10151" s="24" t="s">
        <v>32177</v>
      </c>
      <c r="C10151" s="24" t="s">
        <v>32178</v>
      </c>
      <c r="D10151" s="25" t="s">
        <v>32179</v>
      </c>
      <c r="E10151" s="28">
        <v>1.00000</v>
      </c>
      <c r="F10151" s="29">
        <f ca="1">ROUND(8.840,3)</f>
        <v>0</v>
      </c>
      <c r="G10151" s="27">
        <f ca="1">ROUND(E10151*F10151,2)</f>
        <v>0</v>
      </c>
    </row>
    <row r="10152" spans="1:7" ht="30.60" thickBot="1" customHeight="1">
      <c r="A10152" s="24" t="s">
        <v>32180</v>
      </c>
      <c r="B10152" s="24" t="s">
        <v>32181</v>
      </c>
      <c r="C10152" s="24" t="s">
        <v>32182</v>
      </c>
      <c r="D10152" s="25" t="s">
        <v>32183</v>
      </c>
      <c r="E10152" s="28">
        <v>0.10000</v>
      </c>
      <c r="F10152" s="29">
        <f ca="1">ROUND(6.320,3)</f>
        <v>0</v>
      </c>
      <c r="G10152" s="27">
        <f ca="1">ROUND(E10152*F10152,2)</f>
        <v>0</v>
      </c>
    </row>
    <row r="10153" spans="1:7" ht="21.36" thickBot="1" customHeight="1">
      <c r="A10153" s="24" t="s">
        <v>32184</v>
      </c>
      <c r="B10153" s="24" t="s">
        <v>32185</v>
      </c>
      <c r="C10153" s="24" t="s">
        <v>32186</v>
      </c>
      <c r="D10153" s="25" t="s">
        <v>32187</v>
      </c>
      <c r="E10153" s="28">
        <v>0.57140</v>
      </c>
      <c r="F10153" s="29">
        <f ca="1">F10157</f>
        <v>0</v>
      </c>
      <c r="G10153" s="27">
        <f ca="1">ROUND(E10153*F10153,2)</f>
        <v>0</v>
      </c>
    </row>
    <row r="10154" spans="1:7" ht="24.36" thickBot="1" customHeight="1">
      <c r="A10154" s="24" t="s">
        <v>32188</v>
      </c>
      <c r="B10154" s="24" t="s">
        <v>32189</v>
      </c>
      <c r="C10154" s="24" t="s">
        <v>32190</v>
      </c>
      <c r="D10154" s="25" t="s">
        <v>32191</v>
      </c>
      <c r="E10154" s="28">
        <v>1.00000</v>
      </c>
      <c r="F10154" s="29">
        <f ca="1">ROUND(21.000,3)</f>
        <v>0</v>
      </c>
      <c r="G10154" s="27">
        <f ca="1">ROUND(E10154*F10154,2)</f>
        <v>0</v>
      </c>
    </row>
    <row r="10155" spans="1:7" ht="24.36" thickBot="1" customHeight="1">
      <c r="A10155" s="24" t="s">
        <v>32192</v>
      </c>
      <c r="B10155" s="24" t="s">
        <v>32193</v>
      </c>
      <c r="C10155" s="24" t="s">
        <v>32194</v>
      </c>
      <c r="D10155" s="25" t="s">
        <v>32195</v>
      </c>
      <c r="E10155" s="28">
        <v>1.00000</v>
      </c>
      <c r="F10155" s="29">
        <f ca="1">ROUND(19.000,3)</f>
        <v>0</v>
      </c>
      <c r="G10155" s="27">
        <f ca="1">ROUND(E10155*F10155,2)</f>
        <v>0</v>
      </c>
    </row>
    <row r="10156" spans="1:7" ht="24.36" thickBot="1" customHeight="1">
      <c r="A10156" s="24" t="s">
        <v>32196</v>
      </c>
      <c r="B10156" s="24" t="s">
        <v>32197</v>
      </c>
      <c r="C10156" s="24" t="s">
        <v>32198</v>
      </c>
      <c r="D10156" s="25" t="s">
        <v>32199</v>
      </c>
      <c r="E10156" s="28">
        <v>0.20000</v>
      </c>
      <c r="F10156" s="29">
        <f ca="1">ROUND(19.000,3)</f>
        <v>0</v>
      </c>
      <c r="G10156" s="27">
        <f ca="1">ROUND(E10156*F10156,2)</f>
        <v>0</v>
      </c>
    </row>
    <row r="10157" spans="1:7" ht="15.12" thickBot="1" customHeight="1">
      <c r="A10157" s="26"/>
      <c r="B10157" s="26"/>
      <c r="C10157" s="26"/>
      <c r="D10157" s="24" t="s">
        <v>32200</v>
      </c>
      <c r="E10157" s="28">
        <v>0.57140</v>
      </c>
      <c r="F10157" s="29">
        <f ca="1">ROUND((G10154+G10155+G10156),3)</f>
        <v>0</v>
      </c>
      <c r="G10157" s="27">
        <f ca="1">ROUND(E10157*F10157,2)</f>
        <v>0</v>
      </c>
    </row>
    <row r="10158" spans="1:7" ht="15.12" thickBot="1" customHeight="1">
      <c r="A10158" s="24" t="s">
        <v>32201</v>
      </c>
      <c r="B10158" s="24"/>
      <c r="C10158" s="24" t="s">
        <v>32202</v>
      </c>
      <c r="D10158" s="25" t="s">
        <v>32203</v>
      </c>
      <c r="E10158" s="28">
        <v>5.00000</v>
      </c>
      <c r="F10158" s="29">
        <f ca="1">ROUND(25.030,3)</f>
        <v>0</v>
      </c>
      <c r="G10158" s="27">
        <f ca="1">ROUND((E10158*F10158)/100,2)</f>
        <v>0</v>
      </c>
    </row>
    <row r="10159" spans="1:7" ht="15.48" thickBot="1" customHeight="1">
      <c r="A10159" s="30"/>
      <c r="B10159" s="30"/>
      <c r="C10159" s="30"/>
      <c r="D10159" s="31" t="s">
        <v>32204</v>
      </c>
      <c r="E10159" s="30"/>
      <c r="F10159" s="33">
        <f ca="1">ROUND((G10150+G10151+G10152+G10153+G10158)*(1+G2/100),2)</f>
        <v>0</v>
      </c>
      <c r="G10159" s="30"/>
    </row>
    <row r="10160" spans="1:7" ht="67.56" thickBot="1" customHeight="1">
      <c r="A10160" s="34" t="s">
        <v>32205</v>
      </c>
      <c r="B10160" s="35" t="s">
        <v>32206</v>
      </c>
      <c r="C10160" s="35" t="s">
        <v>32207</v>
      </c>
      <c r="D10160" s="36" t="s">
        <v>32208</v>
      </c>
      <c r="E10160" s="37"/>
      <c r="F10160" s="38">
        <f ca="1">F10171</f>
        <v>0</v>
      </c>
      <c r="G10160" s="37"/>
    </row>
    <row r="10161" spans="1:7" ht="21.36" thickBot="1" customHeight="1">
      <c r="A10161" s="26"/>
      <c r="B10161" s="26"/>
      <c r="C10161" s="26"/>
      <c r="D10161" s="25" t="s">
        <v>32209</v>
      </c>
      <c r="E10161" s="25"/>
      <c r="F10161" s="25"/>
      <c r="G10161" s="25"/>
    </row>
    <row r="10162" spans="1:7" ht="39.84" thickBot="1" customHeight="1">
      <c r="A10162" s="24" t="s">
        <v>32210</v>
      </c>
      <c r="B10162" s="24" t="s">
        <v>32211</v>
      </c>
      <c r="C10162" s="24" t="s">
        <v>32212</v>
      </c>
      <c r="D10162" s="25" t="s">
        <v>32213</v>
      </c>
      <c r="E10162" s="28">
        <v>1.00000</v>
      </c>
      <c r="F10162" s="29">
        <f ca="1">ROUND(6.330,3)</f>
        <v>0</v>
      </c>
      <c r="G10162" s="27">
        <f ca="1">ROUND(E10162*F10162,2)</f>
        <v>0</v>
      </c>
    </row>
    <row r="10163" spans="1:7" ht="39.84" thickBot="1" customHeight="1">
      <c r="A10163" s="24" t="s">
        <v>32214</v>
      </c>
      <c r="B10163" s="24" t="s">
        <v>32215</v>
      </c>
      <c r="C10163" s="24" t="s">
        <v>32216</v>
      </c>
      <c r="D10163" s="25" t="s">
        <v>32217</v>
      </c>
      <c r="E10163" s="28">
        <v>1.00000</v>
      </c>
      <c r="F10163" s="29">
        <f ca="1">ROUND(8.840,3)</f>
        <v>0</v>
      </c>
      <c r="G10163" s="27">
        <f ca="1">ROUND(E10163*F10163,2)</f>
        <v>0</v>
      </c>
    </row>
    <row r="10164" spans="1:7" ht="30.60" thickBot="1" customHeight="1">
      <c r="A10164" s="24" t="s">
        <v>32218</v>
      </c>
      <c r="B10164" s="24" t="s">
        <v>32219</v>
      </c>
      <c r="C10164" s="24" t="s">
        <v>32220</v>
      </c>
      <c r="D10164" s="25" t="s">
        <v>32221</v>
      </c>
      <c r="E10164" s="28">
        <v>0.10000</v>
      </c>
      <c r="F10164" s="29">
        <f ca="1">ROUND(6.320,3)</f>
        <v>0</v>
      </c>
      <c r="G10164" s="27">
        <f ca="1">ROUND(E10164*F10164,2)</f>
        <v>0</v>
      </c>
    </row>
    <row r="10165" spans="1:7" ht="21.36" thickBot="1" customHeight="1">
      <c r="A10165" s="24" t="s">
        <v>32222</v>
      </c>
      <c r="B10165" s="24" t="s">
        <v>32223</v>
      </c>
      <c r="C10165" s="24" t="s">
        <v>32224</v>
      </c>
      <c r="D10165" s="25" t="s">
        <v>32225</v>
      </c>
      <c r="E10165" s="28">
        <v>0.66667</v>
      </c>
      <c r="F10165" s="29">
        <f ca="1">F10169</f>
        <v>0</v>
      </c>
      <c r="G10165" s="27">
        <f ca="1">ROUND(E10165*F10165,2)</f>
        <v>0</v>
      </c>
    </row>
    <row r="10166" spans="1:7" ht="24.36" thickBot="1" customHeight="1">
      <c r="A10166" s="24" t="s">
        <v>32226</v>
      </c>
      <c r="B10166" s="24" t="s">
        <v>32227</v>
      </c>
      <c r="C10166" s="24" t="s">
        <v>32228</v>
      </c>
      <c r="D10166" s="25" t="s">
        <v>32229</v>
      </c>
      <c r="E10166" s="28">
        <v>1.00000</v>
      </c>
      <c r="F10166" s="29">
        <f ca="1">ROUND(21.000,3)</f>
        <v>0</v>
      </c>
      <c r="G10166" s="27">
        <f ca="1">ROUND(E10166*F10166,2)</f>
        <v>0</v>
      </c>
    </row>
    <row r="10167" spans="1:7" ht="24.36" thickBot="1" customHeight="1">
      <c r="A10167" s="24" t="s">
        <v>32230</v>
      </c>
      <c r="B10167" s="24" t="s">
        <v>32231</v>
      </c>
      <c r="C10167" s="24" t="s">
        <v>32232</v>
      </c>
      <c r="D10167" s="25" t="s">
        <v>32233</v>
      </c>
      <c r="E10167" s="28">
        <v>1.00000</v>
      </c>
      <c r="F10167" s="29">
        <f ca="1">ROUND(19.000,3)</f>
        <v>0</v>
      </c>
      <c r="G10167" s="27">
        <f ca="1">ROUND(E10167*F10167,2)</f>
        <v>0</v>
      </c>
    </row>
    <row r="10168" spans="1:7" ht="24.36" thickBot="1" customHeight="1">
      <c r="A10168" s="24" t="s">
        <v>32234</v>
      </c>
      <c r="B10168" s="24" t="s">
        <v>32235</v>
      </c>
      <c r="C10168" s="24" t="s">
        <v>32236</v>
      </c>
      <c r="D10168" s="25" t="s">
        <v>32237</v>
      </c>
      <c r="E10168" s="28">
        <v>0.20000</v>
      </c>
      <c r="F10168" s="29">
        <f ca="1">ROUND(19.000,3)</f>
        <v>0</v>
      </c>
      <c r="G10168" s="27">
        <f ca="1">ROUND(E10168*F10168,2)</f>
        <v>0</v>
      </c>
    </row>
    <row r="10169" spans="1:7" ht="15.12" thickBot="1" customHeight="1">
      <c r="A10169" s="26"/>
      <c r="B10169" s="26"/>
      <c r="C10169" s="26"/>
      <c r="D10169" s="24" t="s">
        <v>32238</v>
      </c>
      <c r="E10169" s="28">
        <v>0.66667</v>
      </c>
      <c r="F10169" s="29">
        <f ca="1">ROUND((G10166+G10167+G10168),3)</f>
        <v>0</v>
      </c>
      <c r="G10169" s="27">
        <f ca="1">ROUND(E10169*F10169,2)</f>
        <v>0</v>
      </c>
    </row>
    <row r="10170" spans="1:7" ht="15.12" thickBot="1" customHeight="1">
      <c r="A10170" s="24" t="s">
        <v>32239</v>
      </c>
      <c r="B10170" s="24"/>
      <c r="C10170" s="24" t="s">
        <v>32240</v>
      </c>
      <c r="D10170" s="25" t="s">
        <v>32241</v>
      </c>
      <c r="E10170" s="28">
        <v>5.00000</v>
      </c>
      <c r="F10170" s="29">
        <f ca="1">ROUND(29.200,3)</f>
        <v>0</v>
      </c>
      <c r="G10170" s="27">
        <f ca="1">ROUND((E10170*F10170)/100,2)</f>
        <v>0</v>
      </c>
    </row>
    <row r="10171" spans="1:7" ht="15.48" thickBot="1" customHeight="1">
      <c r="A10171" s="30"/>
      <c r="B10171" s="30"/>
      <c r="C10171" s="30"/>
      <c r="D10171" s="31" t="s">
        <v>32242</v>
      </c>
      <c r="E10171" s="30"/>
      <c r="F10171" s="33">
        <f ca="1">ROUND((G10162+G10163+G10164+G10165+G10170)*(1+G2/100),2)</f>
        <v>0</v>
      </c>
      <c r="G10171" s="30"/>
    </row>
    <row r="10172" spans="1:7" ht="67.56" thickBot="1" customHeight="1">
      <c r="A10172" s="34" t="s">
        <v>32243</v>
      </c>
      <c r="B10172" s="35" t="s">
        <v>32244</v>
      </c>
      <c r="C10172" s="35" t="s">
        <v>32245</v>
      </c>
      <c r="D10172" s="36" t="s">
        <v>32246</v>
      </c>
      <c r="E10172" s="37"/>
      <c r="F10172" s="38">
        <f ca="1">F10183</f>
        <v>0</v>
      </c>
      <c r="G10172" s="37"/>
    </row>
    <row r="10173" spans="1:7" ht="21.36" thickBot="1" customHeight="1">
      <c r="A10173" s="26"/>
      <c r="B10173" s="26"/>
      <c r="C10173" s="26"/>
      <c r="D10173" s="25" t="s">
        <v>32247</v>
      </c>
      <c r="E10173" s="25"/>
      <c r="F10173" s="25"/>
      <c r="G10173" s="25"/>
    </row>
    <row r="10174" spans="1:7" ht="30.60" thickBot="1" customHeight="1">
      <c r="A10174" s="24" t="s">
        <v>32248</v>
      </c>
      <c r="B10174" s="24" t="s">
        <v>32249</v>
      </c>
      <c r="C10174" s="24" t="s">
        <v>32250</v>
      </c>
      <c r="D10174" s="25" t="s">
        <v>32251</v>
      </c>
      <c r="E10174" s="28">
        <v>1.00000</v>
      </c>
      <c r="F10174" s="29">
        <f ca="1">ROUND(7.690,3)</f>
        <v>0</v>
      </c>
      <c r="G10174" s="27">
        <f ca="1">ROUND(E10174*F10174,2)</f>
        <v>0</v>
      </c>
    </row>
    <row r="10175" spans="1:7" ht="39.84" thickBot="1" customHeight="1">
      <c r="A10175" s="24" t="s">
        <v>32252</v>
      </c>
      <c r="B10175" s="24" t="s">
        <v>32253</v>
      </c>
      <c r="C10175" s="24" t="s">
        <v>32254</v>
      </c>
      <c r="D10175" s="25" t="s">
        <v>32255</v>
      </c>
      <c r="E10175" s="28">
        <v>1.00000</v>
      </c>
      <c r="F10175" s="29">
        <f ca="1">ROUND(8.840,3)</f>
        <v>0</v>
      </c>
      <c r="G10175" s="27">
        <f ca="1">ROUND(E10175*F10175,2)</f>
        <v>0</v>
      </c>
    </row>
    <row r="10176" spans="1:7" ht="30.60" thickBot="1" customHeight="1">
      <c r="A10176" s="24" t="s">
        <v>32256</v>
      </c>
      <c r="B10176" s="24" t="s">
        <v>32257</v>
      </c>
      <c r="C10176" s="24" t="s">
        <v>32258</v>
      </c>
      <c r="D10176" s="25" t="s">
        <v>32259</v>
      </c>
      <c r="E10176" s="28">
        <v>0.10000</v>
      </c>
      <c r="F10176" s="29">
        <f ca="1">ROUND(6.320,3)</f>
        <v>0</v>
      </c>
      <c r="G10176" s="27">
        <f ca="1">ROUND(E10176*F10176,2)</f>
        <v>0</v>
      </c>
    </row>
    <row r="10177" spans="1:7" ht="21.36" thickBot="1" customHeight="1">
      <c r="A10177" s="24" t="s">
        <v>32260</v>
      </c>
      <c r="B10177" s="24" t="s">
        <v>32261</v>
      </c>
      <c r="C10177" s="24" t="s">
        <v>32262</v>
      </c>
      <c r="D10177" s="25" t="s">
        <v>32263</v>
      </c>
      <c r="E10177" s="28">
        <v>0.50000</v>
      </c>
      <c r="F10177" s="29">
        <f ca="1">F10181</f>
        <v>0</v>
      </c>
      <c r="G10177" s="27">
        <f ca="1">ROUND(E10177*F10177,2)</f>
        <v>0</v>
      </c>
    </row>
    <row r="10178" spans="1:7" ht="24.36" thickBot="1" customHeight="1">
      <c r="A10178" s="24" t="s">
        <v>32264</v>
      </c>
      <c r="B10178" s="24" t="s">
        <v>32265</v>
      </c>
      <c r="C10178" s="24" t="s">
        <v>32266</v>
      </c>
      <c r="D10178" s="25" t="s">
        <v>32267</v>
      </c>
      <c r="E10178" s="28">
        <v>1.00000</v>
      </c>
      <c r="F10178" s="29">
        <f ca="1">ROUND(21.000,3)</f>
        <v>0</v>
      </c>
      <c r="G10178" s="27">
        <f ca="1">ROUND(E10178*F10178,2)</f>
        <v>0</v>
      </c>
    </row>
    <row r="10179" spans="1:7" ht="24.36" thickBot="1" customHeight="1">
      <c r="A10179" s="24" t="s">
        <v>32268</v>
      </c>
      <c r="B10179" s="24" t="s">
        <v>32269</v>
      </c>
      <c r="C10179" s="24" t="s">
        <v>32270</v>
      </c>
      <c r="D10179" s="25" t="s">
        <v>32271</v>
      </c>
      <c r="E10179" s="28">
        <v>1.00000</v>
      </c>
      <c r="F10179" s="29">
        <f ca="1">ROUND(19.000,3)</f>
        <v>0</v>
      </c>
      <c r="G10179" s="27">
        <f ca="1">ROUND(E10179*F10179,2)</f>
        <v>0</v>
      </c>
    </row>
    <row r="10180" spans="1:7" ht="24.36" thickBot="1" customHeight="1">
      <c r="A10180" s="24" t="s">
        <v>32272</v>
      </c>
      <c r="B10180" s="24" t="s">
        <v>32273</v>
      </c>
      <c r="C10180" s="24" t="s">
        <v>32274</v>
      </c>
      <c r="D10180" s="25" t="s">
        <v>32275</v>
      </c>
      <c r="E10180" s="28">
        <v>0.20000</v>
      </c>
      <c r="F10180" s="29">
        <f ca="1">ROUND(19.000,3)</f>
        <v>0</v>
      </c>
      <c r="G10180" s="27">
        <f ca="1">ROUND(E10180*F10180,2)</f>
        <v>0</v>
      </c>
    </row>
    <row r="10181" spans="1:7" ht="15.12" thickBot="1" customHeight="1">
      <c r="A10181" s="26"/>
      <c r="B10181" s="26"/>
      <c r="C10181" s="26"/>
      <c r="D10181" s="24" t="s">
        <v>32276</v>
      </c>
      <c r="E10181" s="28">
        <v>0.50000</v>
      </c>
      <c r="F10181" s="29">
        <f ca="1">ROUND((G10178+G10179+G10180),3)</f>
        <v>0</v>
      </c>
      <c r="G10181" s="27">
        <f ca="1">ROUND(E10181*F10181,2)</f>
        <v>0</v>
      </c>
    </row>
    <row r="10182" spans="1:7" ht="15.12" thickBot="1" customHeight="1">
      <c r="A10182" s="24" t="s">
        <v>32277</v>
      </c>
      <c r="B10182" s="24"/>
      <c r="C10182" s="24" t="s">
        <v>32278</v>
      </c>
      <c r="D10182" s="25" t="s">
        <v>32279</v>
      </c>
      <c r="E10182" s="28">
        <v>5.00000</v>
      </c>
      <c r="F10182" s="29">
        <f ca="1">ROUND(21.900,3)</f>
        <v>0</v>
      </c>
      <c r="G10182" s="27">
        <f ca="1">ROUND((E10182*F10182)/100,2)</f>
        <v>0</v>
      </c>
    </row>
    <row r="10183" spans="1:7" ht="15.48" thickBot="1" customHeight="1">
      <c r="A10183" s="30"/>
      <c r="B10183" s="30"/>
      <c r="C10183" s="30"/>
      <c r="D10183" s="31" t="s">
        <v>32280</v>
      </c>
      <c r="E10183" s="30"/>
      <c r="F10183" s="33">
        <f ca="1">ROUND((G10174+G10175+G10176+G10177+G10182)*(1+G2/100),2)</f>
        <v>0</v>
      </c>
      <c r="G10183" s="30"/>
    </row>
    <row r="10184" spans="1:7" ht="67.56" thickBot="1" customHeight="1">
      <c r="A10184" s="34" t="s">
        <v>32281</v>
      </c>
      <c r="B10184" s="35" t="s">
        <v>32282</v>
      </c>
      <c r="C10184" s="35" t="s">
        <v>32283</v>
      </c>
      <c r="D10184" s="36" t="s">
        <v>32284</v>
      </c>
      <c r="E10184" s="37"/>
      <c r="F10184" s="38">
        <f ca="1">F10195</f>
        <v>0</v>
      </c>
      <c r="G10184" s="37"/>
    </row>
    <row r="10185" spans="1:7" ht="21.36" thickBot="1" customHeight="1">
      <c r="A10185" s="26"/>
      <c r="B10185" s="26"/>
      <c r="C10185" s="26"/>
      <c r="D10185" s="25" t="s">
        <v>32285</v>
      </c>
      <c r="E10185" s="25"/>
      <c r="F10185" s="25"/>
      <c r="G10185" s="25"/>
    </row>
    <row r="10186" spans="1:7" ht="30.60" thickBot="1" customHeight="1">
      <c r="A10186" s="24" t="s">
        <v>32286</v>
      </c>
      <c r="B10186" s="24" t="s">
        <v>32287</v>
      </c>
      <c r="C10186" s="24" t="s">
        <v>32288</v>
      </c>
      <c r="D10186" s="25" t="s">
        <v>32289</v>
      </c>
      <c r="E10186" s="28">
        <v>1.00000</v>
      </c>
      <c r="F10186" s="29">
        <f ca="1">ROUND(10.730,3)</f>
        <v>0</v>
      </c>
      <c r="G10186" s="27">
        <f ca="1">ROUND(E10186*F10186,2)</f>
        <v>0</v>
      </c>
    </row>
    <row r="10187" spans="1:7" ht="39.84" thickBot="1" customHeight="1">
      <c r="A10187" s="24" t="s">
        <v>32290</v>
      </c>
      <c r="B10187" s="24" t="s">
        <v>32291</v>
      </c>
      <c r="C10187" s="24" t="s">
        <v>32292</v>
      </c>
      <c r="D10187" s="25" t="s">
        <v>32293</v>
      </c>
      <c r="E10187" s="28">
        <v>1.00000</v>
      </c>
      <c r="F10187" s="29">
        <f ca="1">ROUND(8.840,3)</f>
        <v>0</v>
      </c>
      <c r="G10187" s="27">
        <f ca="1">ROUND(E10187*F10187,2)</f>
        <v>0</v>
      </c>
    </row>
    <row r="10188" spans="1:7" ht="30.60" thickBot="1" customHeight="1">
      <c r="A10188" s="24" t="s">
        <v>32294</v>
      </c>
      <c r="B10188" s="24" t="s">
        <v>32295</v>
      </c>
      <c r="C10188" s="24" t="s">
        <v>32296</v>
      </c>
      <c r="D10188" s="25" t="s">
        <v>32297</v>
      </c>
      <c r="E10188" s="28">
        <v>0.10000</v>
      </c>
      <c r="F10188" s="29">
        <f ca="1">ROUND(6.320,3)</f>
        <v>0</v>
      </c>
      <c r="G10188" s="27">
        <f ca="1">ROUND(E10188*F10188,2)</f>
        <v>0</v>
      </c>
    </row>
    <row r="10189" spans="1:7" ht="21.36" thickBot="1" customHeight="1">
      <c r="A10189" s="24" t="s">
        <v>32298</v>
      </c>
      <c r="B10189" s="24" t="s">
        <v>32299</v>
      </c>
      <c r="C10189" s="24" t="s">
        <v>32300</v>
      </c>
      <c r="D10189" s="25" t="s">
        <v>32301</v>
      </c>
      <c r="E10189" s="28">
        <v>0.57140</v>
      </c>
      <c r="F10189" s="29">
        <f ca="1">F10193</f>
        <v>0</v>
      </c>
      <c r="G10189" s="27">
        <f ca="1">ROUND(E10189*F10189,2)</f>
        <v>0</v>
      </c>
    </row>
    <row r="10190" spans="1:7" ht="24.36" thickBot="1" customHeight="1">
      <c r="A10190" s="24" t="s">
        <v>32302</v>
      </c>
      <c r="B10190" s="24" t="s">
        <v>32303</v>
      </c>
      <c r="C10190" s="24" t="s">
        <v>32304</v>
      </c>
      <c r="D10190" s="25" t="s">
        <v>32305</v>
      </c>
      <c r="E10190" s="28">
        <v>1.00000</v>
      </c>
      <c r="F10190" s="29">
        <f ca="1">ROUND(21.000,3)</f>
        <v>0</v>
      </c>
      <c r="G10190" s="27">
        <f ca="1">ROUND(E10190*F10190,2)</f>
        <v>0</v>
      </c>
    </row>
    <row r="10191" spans="1:7" ht="24.36" thickBot="1" customHeight="1">
      <c r="A10191" s="24" t="s">
        <v>32306</v>
      </c>
      <c r="B10191" s="24" t="s">
        <v>32307</v>
      </c>
      <c r="C10191" s="24" t="s">
        <v>32308</v>
      </c>
      <c r="D10191" s="25" t="s">
        <v>32309</v>
      </c>
      <c r="E10191" s="28">
        <v>1.00000</v>
      </c>
      <c r="F10191" s="29">
        <f ca="1">ROUND(19.000,3)</f>
        <v>0</v>
      </c>
      <c r="G10191" s="27">
        <f ca="1">ROUND(E10191*F10191,2)</f>
        <v>0</v>
      </c>
    </row>
    <row r="10192" spans="1:7" ht="24.36" thickBot="1" customHeight="1">
      <c r="A10192" s="24" t="s">
        <v>32310</v>
      </c>
      <c r="B10192" s="24" t="s">
        <v>32311</v>
      </c>
      <c r="C10192" s="24" t="s">
        <v>32312</v>
      </c>
      <c r="D10192" s="25" t="s">
        <v>32313</v>
      </c>
      <c r="E10192" s="28">
        <v>0.20000</v>
      </c>
      <c r="F10192" s="29">
        <f ca="1">ROUND(19.000,3)</f>
        <v>0</v>
      </c>
      <c r="G10192" s="27">
        <f ca="1">ROUND(E10192*F10192,2)</f>
        <v>0</v>
      </c>
    </row>
    <row r="10193" spans="1:7" ht="15.12" thickBot="1" customHeight="1">
      <c r="A10193" s="26"/>
      <c r="B10193" s="26"/>
      <c r="C10193" s="26"/>
      <c r="D10193" s="24" t="s">
        <v>32314</v>
      </c>
      <c r="E10193" s="28">
        <v>0.57140</v>
      </c>
      <c r="F10193" s="29">
        <f ca="1">ROUND((G10190+G10191+G10192),3)</f>
        <v>0</v>
      </c>
      <c r="G10193" s="27">
        <f ca="1">ROUND(E10193*F10193,2)</f>
        <v>0</v>
      </c>
    </row>
    <row r="10194" spans="1:7" ht="15.12" thickBot="1" customHeight="1">
      <c r="A10194" s="24" t="s">
        <v>32315</v>
      </c>
      <c r="B10194" s="24"/>
      <c r="C10194" s="24" t="s">
        <v>32316</v>
      </c>
      <c r="D10194" s="25" t="s">
        <v>32317</v>
      </c>
      <c r="E10194" s="28">
        <v>5.00000</v>
      </c>
      <c r="F10194" s="29">
        <f ca="1">ROUND(25.030,3)</f>
        <v>0</v>
      </c>
      <c r="G10194" s="27">
        <f ca="1">ROUND((E10194*F10194)/100,2)</f>
        <v>0</v>
      </c>
    </row>
    <row r="10195" spans="1:7" ht="15.48" thickBot="1" customHeight="1">
      <c r="A10195" s="30"/>
      <c r="B10195" s="30"/>
      <c r="C10195" s="30"/>
      <c r="D10195" s="31" t="s">
        <v>32318</v>
      </c>
      <c r="E10195" s="30"/>
      <c r="F10195" s="33">
        <f ca="1">ROUND((G10186+G10187+G10188+G10189+G10194)*(1+G2/100),2)</f>
        <v>0</v>
      </c>
      <c r="G10195" s="30"/>
    </row>
    <row r="10196" spans="1:7" ht="67.56" thickBot="1" customHeight="1">
      <c r="A10196" s="34" t="s">
        <v>32319</v>
      </c>
      <c r="B10196" s="35" t="s">
        <v>32320</v>
      </c>
      <c r="C10196" s="35" t="s">
        <v>32321</v>
      </c>
      <c r="D10196" s="36" t="s">
        <v>32322</v>
      </c>
      <c r="E10196" s="37"/>
      <c r="F10196" s="38">
        <f ca="1">F10207</f>
        <v>0</v>
      </c>
      <c r="G10196" s="37"/>
    </row>
    <row r="10197" spans="1:7" ht="21.36" thickBot="1" customHeight="1">
      <c r="A10197" s="26"/>
      <c r="B10197" s="26"/>
      <c r="C10197" s="26"/>
      <c r="D10197" s="25" t="s">
        <v>32323</v>
      </c>
      <c r="E10197" s="25"/>
      <c r="F10197" s="25"/>
      <c r="G10197" s="25"/>
    </row>
    <row r="10198" spans="1:7" ht="30.60" thickBot="1" customHeight="1">
      <c r="A10198" s="24" t="s">
        <v>32324</v>
      </c>
      <c r="B10198" s="24" t="s">
        <v>32325</v>
      </c>
      <c r="C10198" s="24" t="s">
        <v>32326</v>
      </c>
      <c r="D10198" s="25" t="s">
        <v>32327</v>
      </c>
      <c r="E10198" s="28">
        <v>1.00000</v>
      </c>
      <c r="F10198" s="29">
        <f ca="1">ROUND(20.000,3)</f>
        <v>0</v>
      </c>
      <c r="G10198" s="27">
        <f ca="1">ROUND(E10198*F10198,2)</f>
        <v>0</v>
      </c>
    </row>
    <row r="10199" spans="1:7" ht="39.84" thickBot="1" customHeight="1">
      <c r="A10199" s="24" t="s">
        <v>32328</v>
      </c>
      <c r="B10199" s="24" t="s">
        <v>32329</v>
      </c>
      <c r="C10199" s="24" t="s">
        <v>32330</v>
      </c>
      <c r="D10199" s="25" t="s">
        <v>32331</v>
      </c>
      <c r="E10199" s="28">
        <v>1.00000</v>
      </c>
      <c r="F10199" s="29">
        <f ca="1">ROUND(8.840,3)</f>
        <v>0</v>
      </c>
      <c r="G10199" s="27">
        <f ca="1">ROUND(E10199*F10199,2)</f>
        <v>0</v>
      </c>
    </row>
    <row r="10200" spans="1:7" ht="30.60" thickBot="1" customHeight="1">
      <c r="A10200" s="24" t="s">
        <v>32332</v>
      </c>
      <c r="B10200" s="24" t="s">
        <v>32333</v>
      </c>
      <c r="C10200" s="24" t="s">
        <v>32334</v>
      </c>
      <c r="D10200" s="25" t="s">
        <v>32335</v>
      </c>
      <c r="E10200" s="28">
        <v>0.10000</v>
      </c>
      <c r="F10200" s="29">
        <f ca="1">ROUND(6.320,3)</f>
        <v>0</v>
      </c>
      <c r="G10200" s="27">
        <f ca="1">ROUND(E10200*F10200,2)</f>
        <v>0</v>
      </c>
    </row>
    <row r="10201" spans="1:7" ht="21.36" thickBot="1" customHeight="1">
      <c r="A10201" s="24" t="s">
        <v>32336</v>
      </c>
      <c r="B10201" s="24" t="s">
        <v>32337</v>
      </c>
      <c r="C10201" s="24" t="s">
        <v>32338</v>
      </c>
      <c r="D10201" s="25" t="s">
        <v>32339</v>
      </c>
      <c r="E10201" s="28">
        <v>0.66667</v>
      </c>
      <c r="F10201" s="29">
        <f ca="1">F10205</f>
        <v>0</v>
      </c>
      <c r="G10201" s="27">
        <f ca="1">ROUND(E10201*F10201,2)</f>
        <v>0</v>
      </c>
    </row>
    <row r="10202" spans="1:7" ht="24.36" thickBot="1" customHeight="1">
      <c r="A10202" s="24" t="s">
        <v>32340</v>
      </c>
      <c r="B10202" s="24" t="s">
        <v>32341</v>
      </c>
      <c r="C10202" s="24" t="s">
        <v>32342</v>
      </c>
      <c r="D10202" s="25" t="s">
        <v>32343</v>
      </c>
      <c r="E10202" s="28">
        <v>1.00000</v>
      </c>
      <c r="F10202" s="29">
        <f ca="1">ROUND(21.000,3)</f>
        <v>0</v>
      </c>
      <c r="G10202" s="27">
        <f ca="1">ROUND(E10202*F10202,2)</f>
        <v>0</v>
      </c>
    </row>
    <row r="10203" spans="1:7" ht="24.36" thickBot="1" customHeight="1">
      <c r="A10203" s="24" t="s">
        <v>32344</v>
      </c>
      <c r="B10203" s="24" t="s">
        <v>32345</v>
      </c>
      <c r="C10203" s="24" t="s">
        <v>32346</v>
      </c>
      <c r="D10203" s="25" t="s">
        <v>32347</v>
      </c>
      <c r="E10203" s="28">
        <v>1.00000</v>
      </c>
      <c r="F10203" s="29">
        <f ca="1">ROUND(19.000,3)</f>
        <v>0</v>
      </c>
      <c r="G10203" s="27">
        <f ca="1">ROUND(E10203*F10203,2)</f>
        <v>0</v>
      </c>
    </row>
    <row r="10204" spans="1:7" ht="24.36" thickBot="1" customHeight="1">
      <c r="A10204" s="24" t="s">
        <v>32348</v>
      </c>
      <c r="B10204" s="24" t="s">
        <v>32349</v>
      </c>
      <c r="C10204" s="24" t="s">
        <v>32350</v>
      </c>
      <c r="D10204" s="25" t="s">
        <v>32351</v>
      </c>
      <c r="E10204" s="28">
        <v>0.20000</v>
      </c>
      <c r="F10204" s="29">
        <f ca="1">ROUND(19.000,3)</f>
        <v>0</v>
      </c>
      <c r="G10204" s="27">
        <f ca="1">ROUND(E10204*F10204,2)</f>
        <v>0</v>
      </c>
    </row>
    <row r="10205" spans="1:7" ht="15.12" thickBot="1" customHeight="1">
      <c r="A10205" s="26"/>
      <c r="B10205" s="26"/>
      <c r="C10205" s="26"/>
      <c r="D10205" s="24" t="s">
        <v>32352</v>
      </c>
      <c r="E10205" s="28">
        <v>0.66667</v>
      </c>
      <c r="F10205" s="29">
        <f ca="1">ROUND((G10202+G10203+G10204),3)</f>
        <v>0</v>
      </c>
      <c r="G10205" s="27">
        <f ca="1">ROUND(E10205*F10205,2)</f>
        <v>0</v>
      </c>
    </row>
    <row r="10206" spans="1:7" ht="15.12" thickBot="1" customHeight="1">
      <c r="A10206" s="24" t="s">
        <v>32353</v>
      </c>
      <c r="B10206" s="24"/>
      <c r="C10206" s="24" t="s">
        <v>32354</v>
      </c>
      <c r="D10206" s="25" t="s">
        <v>32355</v>
      </c>
      <c r="E10206" s="28">
        <v>5.00000</v>
      </c>
      <c r="F10206" s="29">
        <f ca="1">ROUND(29.200,3)</f>
        <v>0</v>
      </c>
      <c r="G10206" s="27">
        <f ca="1">ROUND((E10206*F10206)/100,2)</f>
        <v>0</v>
      </c>
    </row>
    <row r="10207" spans="1:7" ht="15.48" thickBot="1" customHeight="1">
      <c r="A10207" s="30"/>
      <c r="B10207" s="30"/>
      <c r="C10207" s="30"/>
      <c r="D10207" s="31" t="s">
        <v>32356</v>
      </c>
      <c r="E10207" s="30"/>
      <c r="F10207" s="33">
        <f ca="1">ROUND((G10198+G10199+G10200+G10201+G10206)*(1+G2/100),2)</f>
        <v>0</v>
      </c>
      <c r="G10207" s="30"/>
    </row>
    <row r="10208" spans="1:7" ht="30.60" thickBot="1" customHeight="1">
      <c r="A10208" s="34" t="s">
        <v>32357</v>
      </c>
      <c r="B10208" s="35" t="s">
        <v>32358</v>
      </c>
      <c r="C10208" s="35" t="s">
        <v>32359</v>
      </c>
      <c r="D10208" s="36" t="s">
        <v>32360</v>
      </c>
      <c r="E10208" s="37"/>
      <c r="F10208" s="38">
        <f ca="1">F10217</f>
        <v>0</v>
      </c>
      <c r="G10208" s="37"/>
    </row>
    <row r="10209" spans="1:7" ht="12.12" thickBot="1" customHeight="1">
      <c r="A10209" s="26"/>
      <c r="B10209" s="26"/>
      <c r="C10209" s="26"/>
      <c r="D10209" s="25" t="s">
        <v>32361</v>
      </c>
      <c r="E10209" s="25"/>
      <c r="F10209" s="25"/>
      <c r="G10209" s="25"/>
    </row>
    <row r="10210" spans="1:7" ht="24.36" thickBot="1" customHeight="1">
      <c r="A10210" s="24" t="s">
        <v>32362</v>
      </c>
      <c r="B10210" s="24" t="s">
        <v>32363</v>
      </c>
      <c r="C10210" s="24" t="s">
        <v>32364</v>
      </c>
      <c r="D10210" s="25" t="s">
        <v>32365</v>
      </c>
      <c r="E10210" s="28">
        <v>1.00000</v>
      </c>
      <c r="F10210" s="29">
        <f ca="1">ROUND(11.730,3)</f>
        <v>0</v>
      </c>
      <c r="G10210" s="27">
        <f ca="1">ROUND(E10210*F10210,2)</f>
        <v>0</v>
      </c>
    </row>
    <row r="10211" spans="1:7" ht="21.36" thickBot="1" customHeight="1">
      <c r="A10211" s="24" t="s">
        <v>32366</v>
      </c>
      <c r="B10211" s="24" t="s">
        <v>32367</v>
      </c>
      <c r="C10211" s="24" t="s">
        <v>32368</v>
      </c>
      <c r="D10211" s="25" t="s">
        <v>32369</v>
      </c>
      <c r="E10211" s="28">
        <v>0.16000</v>
      </c>
      <c r="F10211" s="29">
        <f ca="1">F10215</f>
        <v>0</v>
      </c>
      <c r="G10211" s="27">
        <f ca="1">ROUND(E10211*F10211,2)</f>
        <v>0</v>
      </c>
    </row>
    <row r="10212" spans="1:7" ht="24.36" thickBot="1" customHeight="1">
      <c r="A10212" s="24" t="s">
        <v>32370</v>
      </c>
      <c r="B10212" s="24" t="s">
        <v>32371</v>
      </c>
      <c r="C10212" s="24" t="s">
        <v>32372</v>
      </c>
      <c r="D10212" s="25" t="s">
        <v>32373</v>
      </c>
      <c r="E10212" s="28">
        <v>1.00000</v>
      </c>
      <c r="F10212" s="29">
        <f ca="1">ROUND(21.000,3)</f>
        <v>0</v>
      </c>
      <c r="G10212" s="27">
        <f ca="1">ROUND(E10212*F10212,2)</f>
        <v>0</v>
      </c>
    </row>
    <row r="10213" spans="1:7" ht="24.36" thickBot="1" customHeight="1">
      <c r="A10213" s="24" t="s">
        <v>32374</v>
      </c>
      <c r="B10213" s="24" t="s">
        <v>32375</v>
      </c>
      <c r="C10213" s="24" t="s">
        <v>32376</v>
      </c>
      <c r="D10213" s="25" t="s">
        <v>32377</v>
      </c>
      <c r="E10213" s="28">
        <v>1.00000</v>
      </c>
      <c r="F10213" s="29">
        <f ca="1">ROUND(19.000,3)</f>
        <v>0</v>
      </c>
      <c r="G10213" s="27">
        <f ca="1">ROUND(E10213*F10213,2)</f>
        <v>0</v>
      </c>
    </row>
    <row r="10214" spans="1:7" ht="24.36" thickBot="1" customHeight="1">
      <c r="A10214" s="24" t="s">
        <v>32378</v>
      </c>
      <c r="B10214" s="24" t="s">
        <v>32379</v>
      </c>
      <c r="C10214" s="24" t="s">
        <v>32380</v>
      </c>
      <c r="D10214" s="25" t="s">
        <v>32381</v>
      </c>
      <c r="E10214" s="28">
        <v>0.20000</v>
      </c>
      <c r="F10214" s="29">
        <f ca="1">ROUND(19.000,3)</f>
        <v>0</v>
      </c>
      <c r="G10214" s="27">
        <f ca="1">ROUND(E10214*F10214,2)</f>
        <v>0</v>
      </c>
    </row>
    <row r="10215" spans="1:7" ht="15.12" thickBot="1" customHeight="1">
      <c r="A10215" s="26"/>
      <c r="B10215" s="26"/>
      <c r="C10215" s="26"/>
      <c r="D10215" s="24" t="s">
        <v>32382</v>
      </c>
      <c r="E10215" s="28">
        <v>0.16000</v>
      </c>
      <c r="F10215" s="29">
        <f ca="1">ROUND((G10212+G10213+G10214),3)</f>
        <v>0</v>
      </c>
      <c r="G10215" s="27">
        <f ca="1">ROUND(E10215*F10215,2)</f>
        <v>0</v>
      </c>
    </row>
    <row r="10216" spans="1:7" ht="15.12" thickBot="1" customHeight="1">
      <c r="A10216" s="24" t="s">
        <v>32383</v>
      </c>
      <c r="B10216" s="24"/>
      <c r="C10216" s="24" t="s">
        <v>32384</v>
      </c>
      <c r="D10216" s="25" t="s">
        <v>32385</v>
      </c>
      <c r="E10216" s="28">
        <v>3.00000</v>
      </c>
      <c r="F10216" s="29">
        <f ca="1">ROUND(7.010,3)</f>
        <v>0</v>
      </c>
      <c r="G10216" s="27">
        <f ca="1">ROUND((E10216*F10216)/100,2)</f>
        <v>0</v>
      </c>
    </row>
    <row r="10217" spans="1:7" ht="15.48" thickBot="1" customHeight="1">
      <c r="A10217" s="30"/>
      <c r="B10217" s="30"/>
      <c r="C10217" s="30"/>
      <c r="D10217" s="31" t="s">
        <v>32386</v>
      </c>
      <c r="E10217" s="30"/>
      <c r="F10217" s="33">
        <f ca="1">ROUND((G10210+G10211+G10216)*(1+G2/100),2)</f>
        <v>0</v>
      </c>
      <c r="G10217" s="30"/>
    </row>
    <row r="10218" spans="1:7" ht="30.60" thickBot="1" customHeight="1">
      <c r="A10218" s="34" t="s">
        <v>32387</v>
      </c>
      <c r="B10218" s="35" t="s">
        <v>32388</v>
      </c>
      <c r="C10218" s="35" t="s">
        <v>32389</v>
      </c>
      <c r="D10218" s="36" t="s">
        <v>32390</v>
      </c>
      <c r="E10218" s="37"/>
      <c r="F10218" s="38">
        <f ca="1">F10227</f>
        <v>0</v>
      </c>
      <c r="G10218" s="37"/>
    </row>
    <row r="10219" spans="1:7" ht="12.12" thickBot="1" customHeight="1">
      <c r="A10219" s="26"/>
      <c r="B10219" s="26"/>
      <c r="C10219" s="26"/>
      <c r="D10219" s="25" t="s">
        <v>32391</v>
      </c>
      <c r="E10219" s="25"/>
      <c r="F10219" s="25"/>
      <c r="G10219" s="25"/>
    </row>
    <row r="10220" spans="1:7" ht="30.60" thickBot="1" customHeight="1">
      <c r="A10220" s="24" t="s">
        <v>32392</v>
      </c>
      <c r="B10220" s="24" t="s">
        <v>32393</v>
      </c>
      <c r="C10220" s="24" t="s">
        <v>32394</v>
      </c>
      <c r="D10220" s="25" t="s">
        <v>32395</v>
      </c>
      <c r="E10220" s="28">
        <v>1.00000</v>
      </c>
      <c r="F10220" s="29">
        <f ca="1">ROUND(14.250,3)</f>
        <v>0</v>
      </c>
      <c r="G10220" s="27">
        <f ca="1">ROUND(E10220*F10220,2)</f>
        <v>0</v>
      </c>
    </row>
    <row r="10221" spans="1:7" ht="21.36" thickBot="1" customHeight="1">
      <c r="A10221" s="24" t="s">
        <v>32396</v>
      </c>
      <c r="B10221" s="24" t="s">
        <v>32397</v>
      </c>
      <c r="C10221" s="24" t="s">
        <v>32398</v>
      </c>
      <c r="D10221" s="25" t="s">
        <v>32399</v>
      </c>
      <c r="E10221" s="28">
        <v>0.16000</v>
      </c>
      <c r="F10221" s="29">
        <f ca="1">F10225</f>
        <v>0</v>
      </c>
      <c r="G10221" s="27">
        <f ca="1">ROUND(E10221*F10221,2)</f>
        <v>0</v>
      </c>
    </row>
    <row r="10222" spans="1:7" ht="24.36" thickBot="1" customHeight="1">
      <c r="A10222" s="24" t="s">
        <v>32400</v>
      </c>
      <c r="B10222" s="24" t="s">
        <v>32401</v>
      </c>
      <c r="C10222" s="24" t="s">
        <v>32402</v>
      </c>
      <c r="D10222" s="25" t="s">
        <v>32403</v>
      </c>
      <c r="E10222" s="28">
        <v>1.00000</v>
      </c>
      <c r="F10222" s="29">
        <f ca="1">ROUND(21.000,3)</f>
        <v>0</v>
      </c>
      <c r="G10222" s="27">
        <f ca="1">ROUND(E10222*F10222,2)</f>
        <v>0</v>
      </c>
    </row>
    <row r="10223" spans="1:7" ht="24.36" thickBot="1" customHeight="1">
      <c r="A10223" s="24" t="s">
        <v>32404</v>
      </c>
      <c r="B10223" s="24" t="s">
        <v>32405</v>
      </c>
      <c r="C10223" s="24" t="s">
        <v>32406</v>
      </c>
      <c r="D10223" s="25" t="s">
        <v>32407</v>
      </c>
      <c r="E10223" s="28">
        <v>1.00000</v>
      </c>
      <c r="F10223" s="29">
        <f ca="1">ROUND(19.000,3)</f>
        <v>0</v>
      </c>
      <c r="G10223" s="27">
        <f ca="1">ROUND(E10223*F10223,2)</f>
        <v>0</v>
      </c>
    </row>
    <row r="10224" spans="1:7" ht="24.36" thickBot="1" customHeight="1">
      <c r="A10224" s="24" t="s">
        <v>32408</v>
      </c>
      <c r="B10224" s="24" t="s">
        <v>32409</v>
      </c>
      <c r="C10224" s="24" t="s">
        <v>32410</v>
      </c>
      <c r="D10224" s="25" t="s">
        <v>32411</v>
      </c>
      <c r="E10224" s="28">
        <v>0.20000</v>
      </c>
      <c r="F10224" s="29">
        <f ca="1">ROUND(19.000,3)</f>
        <v>0</v>
      </c>
      <c r="G10224" s="27">
        <f ca="1">ROUND(E10224*F10224,2)</f>
        <v>0</v>
      </c>
    </row>
    <row r="10225" spans="1:7" ht="15.12" thickBot="1" customHeight="1">
      <c r="A10225" s="26"/>
      <c r="B10225" s="26"/>
      <c r="C10225" s="26"/>
      <c r="D10225" s="24" t="s">
        <v>32412</v>
      </c>
      <c r="E10225" s="28">
        <v>0.16000</v>
      </c>
      <c r="F10225" s="29">
        <f ca="1">ROUND((G10222+G10223+G10224),3)</f>
        <v>0</v>
      </c>
      <c r="G10225" s="27">
        <f ca="1">ROUND(E10225*F10225,2)</f>
        <v>0</v>
      </c>
    </row>
    <row r="10226" spans="1:7" ht="15.12" thickBot="1" customHeight="1">
      <c r="A10226" s="24" t="s">
        <v>32413</v>
      </c>
      <c r="B10226" s="24"/>
      <c r="C10226" s="24" t="s">
        <v>32414</v>
      </c>
      <c r="D10226" s="25" t="s">
        <v>32415</v>
      </c>
      <c r="E10226" s="28">
        <v>3.00000</v>
      </c>
      <c r="F10226" s="29">
        <f ca="1">ROUND(7.010,3)</f>
        <v>0</v>
      </c>
      <c r="G10226" s="27">
        <f ca="1">ROUND((E10226*F10226)/100,2)</f>
        <v>0</v>
      </c>
    </row>
    <row r="10227" spans="1:7" ht="15.48" thickBot="1" customHeight="1">
      <c r="A10227" s="30"/>
      <c r="B10227" s="30"/>
      <c r="C10227" s="30"/>
      <c r="D10227" s="31" t="s">
        <v>32416</v>
      </c>
      <c r="E10227" s="30"/>
      <c r="F10227" s="33">
        <f ca="1">ROUND((G10220+G10221+G10226)*(1+G2/100),2)</f>
        <v>0</v>
      </c>
      <c r="G10227" s="30"/>
    </row>
    <row r="10228" spans="1:7" ht="15.48" thickBot="1" customHeight="1">
      <c r="A10228" s="39"/>
      <c r="B10228" s="39"/>
      <c r="C10228" s="39"/>
      <c r="D10228" s="50" t="s">
        <v>32417</v>
      </c>
      <c r="E10228" s="51"/>
      <c r="F10228" s="51"/>
      <c r="G10228" s="51"/>
    </row>
    <row r="10229" spans="1:7" ht="49.08" thickBot="1" customHeight="1">
      <c r="A10229" s="34" t="s">
        <v>32418</v>
      </c>
      <c r="B10229" s="35" t="s">
        <v>32419</v>
      </c>
      <c r="C10229" s="35" t="s">
        <v>32420</v>
      </c>
      <c r="D10229" s="36" t="s">
        <v>32421</v>
      </c>
      <c r="E10229" s="37"/>
      <c r="F10229" s="38">
        <f ca="1">F10238</f>
        <v>0</v>
      </c>
      <c r="G10229" s="37"/>
    </row>
    <row r="10230" spans="1:7" ht="21.36" thickBot="1" customHeight="1">
      <c r="A10230" s="26"/>
      <c r="B10230" s="26"/>
      <c r="C10230" s="26"/>
      <c r="D10230" s="25" t="s">
        <v>32422</v>
      </c>
      <c r="E10230" s="25"/>
      <c r="F10230" s="25"/>
      <c r="G10230" s="25"/>
    </row>
    <row r="10231" spans="1:7" ht="39.84" thickBot="1" customHeight="1">
      <c r="A10231" s="24" t="s">
        <v>32423</v>
      </c>
      <c r="B10231" s="24" t="s">
        <v>32424</v>
      </c>
      <c r="C10231" s="24" t="s">
        <v>32425</v>
      </c>
      <c r="D10231" s="25" t="s">
        <v>32426</v>
      </c>
      <c r="E10231" s="28">
        <v>0.02100</v>
      </c>
      <c r="F10231" s="29">
        <f ca="1">ROUND(41.250,3)</f>
        <v>0</v>
      </c>
      <c r="G10231" s="27">
        <f ca="1">ROUND(E10231*F10231,2)</f>
        <v>0</v>
      </c>
    </row>
    <row r="10232" spans="1:7" ht="21.36" thickBot="1" customHeight="1">
      <c r="A10232" s="24" t="s">
        <v>32427</v>
      </c>
      <c r="B10232" s="24" t="s">
        <v>32428</v>
      </c>
      <c r="C10232" s="24" t="s">
        <v>32429</v>
      </c>
      <c r="D10232" s="25" t="s">
        <v>32430</v>
      </c>
      <c r="E10232" s="28">
        <v>0.08000</v>
      </c>
      <c r="F10232" s="29">
        <f ca="1">F10236</f>
        <v>0</v>
      </c>
      <c r="G10232" s="27">
        <f ca="1">ROUND(E10232*F10232,2)</f>
        <v>0</v>
      </c>
    </row>
    <row r="10233" spans="1:7" ht="24.36" thickBot="1" customHeight="1">
      <c r="A10233" s="24" t="s">
        <v>32431</v>
      </c>
      <c r="B10233" s="24" t="s">
        <v>32432</v>
      </c>
      <c r="C10233" s="24" t="s">
        <v>32433</v>
      </c>
      <c r="D10233" s="25" t="s">
        <v>32434</v>
      </c>
      <c r="E10233" s="28">
        <v>1.00000</v>
      </c>
      <c r="F10233" s="29">
        <f ca="1">ROUND(21.000,3)</f>
        <v>0</v>
      </c>
      <c r="G10233" s="27">
        <f ca="1">ROUND(E10233*F10233,2)</f>
        <v>0</v>
      </c>
    </row>
    <row r="10234" spans="1:7" ht="24.36" thickBot="1" customHeight="1">
      <c r="A10234" s="24" t="s">
        <v>32435</v>
      </c>
      <c r="B10234" s="24" t="s">
        <v>32436</v>
      </c>
      <c r="C10234" s="24" t="s">
        <v>32437</v>
      </c>
      <c r="D10234" s="25" t="s">
        <v>32438</v>
      </c>
      <c r="E10234" s="28">
        <v>1.00000</v>
      </c>
      <c r="F10234" s="29">
        <f ca="1">ROUND(19.000,3)</f>
        <v>0</v>
      </c>
      <c r="G10234" s="27">
        <f ca="1">ROUND(E10234*F10234,2)</f>
        <v>0</v>
      </c>
    </row>
    <row r="10235" spans="1:7" ht="24.36" thickBot="1" customHeight="1">
      <c r="A10235" s="24" t="s">
        <v>32439</v>
      </c>
      <c r="B10235" s="24" t="s">
        <v>32440</v>
      </c>
      <c r="C10235" s="24" t="s">
        <v>32441</v>
      </c>
      <c r="D10235" s="25" t="s">
        <v>32442</v>
      </c>
      <c r="E10235" s="28">
        <v>0.20000</v>
      </c>
      <c r="F10235" s="29">
        <f ca="1">ROUND(19.000,3)</f>
        <v>0</v>
      </c>
      <c r="G10235" s="27">
        <f ca="1">ROUND(E10235*F10235,2)</f>
        <v>0</v>
      </c>
    </row>
    <row r="10236" spans="1:7" ht="15.12" thickBot="1" customHeight="1">
      <c r="A10236" s="26"/>
      <c r="B10236" s="26"/>
      <c r="C10236" s="26"/>
      <c r="D10236" s="24" t="s">
        <v>32443</v>
      </c>
      <c r="E10236" s="28">
        <v>0.08000</v>
      </c>
      <c r="F10236" s="29">
        <f ca="1">ROUND((G10233+G10234+G10235),3)</f>
        <v>0</v>
      </c>
      <c r="G10236" s="27">
        <f ca="1">ROUND(E10236*F10236,2)</f>
        <v>0</v>
      </c>
    </row>
    <row r="10237" spans="1:7" ht="15.12" thickBot="1" customHeight="1">
      <c r="A10237" s="24" t="s">
        <v>32444</v>
      </c>
      <c r="B10237" s="24"/>
      <c r="C10237" s="24" t="s">
        <v>32445</v>
      </c>
      <c r="D10237" s="25" t="s">
        <v>32446</v>
      </c>
      <c r="E10237" s="28">
        <v>3.00000</v>
      </c>
      <c r="F10237" s="29">
        <f ca="1">ROUND(3.500,3)</f>
        <v>0</v>
      </c>
      <c r="G10237" s="27">
        <f ca="1">ROUND((E10237*F10237)/100,2)</f>
        <v>0</v>
      </c>
    </row>
    <row r="10238" spans="1:7" ht="15.48" thickBot="1" customHeight="1">
      <c r="A10238" s="30"/>
      <c r="B10238" s="30"/>
      <c r="C10238" s="30"/>
      <c r="D10238" s="31" t="s">
        <v>32447</v>
      </c>
      <c r="E10238" s="30"/>
      <c r="F10238" s="33">
        <f ca="1">ROUND((G10231+G10232+G10237)*(1+G2/100),2)</f>
        <v>0</v>
      </c>
      <c r="G10238" s="30"/>
    </row>
    <row r="10239" spans="1:7" ht="58.32" thickBot="1" customHeight="1">
      <c r="A10239" s="34" t="s">
        <v>32448</v>
      </c>
      <c r="B10239" s="35" t="s">
        <v>32449</v>
      </c>
      <c r="C10239" s="35" t="s">
        <v>32450</v>
      </c>
      <c r="D10239" s="36" t="s">
        <v>32451</v>
      </c>
      <c r="E10239" s="37"/>
      <c r="F10239" s="38">
        <f ca="1">F10251</f>
        <v>0</v>
      </c>
      <c r="G10239" s="37"/>
    </row>
    <row r="10240" spans="1:7" ht="21.36" thickBot="1" customHeight="1">
      <c r="A10240" s="26"/>
      <c r="B10240" s="26"/>
      <c r="C10240" s="26"/>
      <c r="D10240" s="25" t="s">
        <v>32452</v>
      </c>
      <c r="E10240" s="25"/>
      <c r="F10240" s="25"/>
      <c r="G10240" s="25"/>
    </row>
    <row r="10241" spans="1:7" ht="21.36" thickBot="1" customHeight="1">
      <c r="A10241" s="24" t="s">
        <v>32453</v>
      </c>
      <c r="B10241" s="24" t="s">
        <v>32454</v>
      </c>
      <c r="C10241" s="24" t="s">
        <v>32455</v>
      </c>
      <c r="D10241" s="25" t="s">
        <v>32456</v>
      </c>
      <c r="E10241" s="28">
        <v>0.04889</v>
      </c>
      <c r="F10241" s="29">
        <f ca="1">ROUND(1.320,3)</f>
        <v>0</v>
      </c>
      <c r="G10241" s="27">
        <f ca="1">ROUND(E10241*F10241,2)</f>
        <v>0</v>
      </c>
    </row>
    <row r="10242" spans="1:7" ht="30.60" thickBot="1" customHeight="1">
      <c r="A10242" s="24" t="s">
        <v>32457</v>
      </c>
      <c r="B10242" s="24" t="s">
        <v>32458</v>
      </c>
      <c r="C10242" s="24" t="s">
        <v>32459</v>
      </c>
      <c r="D10242" s="25" t="s">
        <v>32460</v>
      </c>
      <c r="E10242" s="28">
        <v>1.00000</v>
      </c>
      <c r="F10242" s="29">
        <f ca="1">ROUND(0.160,3)</f>
        <v>0</v>
      </c>
      <c r="G10242" s="27">
        <f ca="1">ROUND(E10242*F10242,2)</f>
        <v>0</v>
      </c>
    </row>
    <row r="10243" spans="1:7" ht="30.60" thickBot="1" customHeight="1">
      <c r="A10243" s="24" t="s">
        <v>32461</v>
      </c>
      <c r="B10243" s="24" t="s">
        <v>32462</v>
      </c>
      <c r="C10243" s="24" t="s">
        <v>32463</v>
      </c>
      <c r="D10243" s="25" t="s">
        <v>32464</v>
      </c>
      <c r="E10243" s="28">
        <v>0.00220</v>
      </c>
      <c r="F10243" s="29">
        <f ca="1">ROUND(11.950,3)</f>
        <v>0</v>
      </c>
      <c r="G10243" s="27">
        <f ca="1">ROUND(E10243*F10243,2)</f>
        <v>0</v>
      </c>
    </row>
    <row r="10244" spans="1:7" ht="30.60" thickBot="1" customHeight="1">
      <c r="A10244" s="24" t="s">
        <v>32465</v>
      </c>
      <c r="B10244" s="24" t="s">
        <v>32466</v>
      </c>
      <c r="C10244" s="24" t="s">
        <v>32467</v>
      </c>
      <c r="D10244" s="25" t="s">
        <v>32468</v>
      </c>
      <c r="E10244" s="28">
        <v>0.50000</v>
      </c>
      <c r="F10244" s="29">
        <f ca="1">ROUND(6.190,3)</f>
        <v>0</v>
      </c>
      <c r="G10244" s="27">
        <f ca="1">ROUND(E10244*F10244,2)</f>
        <v>0</v>
      </c>
    </row>
    <row r="10245" spans="1:7" ht="21.36" thickBot="1" customHeight="1">
      <c r="A10245" s="24" t="s">
        <v>32469</v>
      </c>
      <c r="B10245" s="24" t="s">
        <v>32470</v>
      </c>
      <c r="C10245" s="24" t="s">
        <v>32471</v>
      </c>
      <c r="D10245" s="25" t="s">
        <v>32472</v>
      </c>
      <c r="E10245" s="28">
        <v>0.20000</v>
      </c>
      <c r="F10245" s="29">
        <f ca="1">F10249</f>
        <v>0</v>
      </c>
      <c r="G10245" s="27">
        <f ca="1">ROUND(E10245*F10245,2)</f>
        <v>0</v>
      </c>
    </row>
    <row r="10246" spans="1:7" ht="24.36" thickBot="1" customHeight="1">
      <c r="A10246" s="24" t="s">
        <v>32473</v>
      </c>
      <c r="B10246" s="24" t="s">
        <v>32474</v>
      </c>
      <c r="C10246" s="24" t="s">
        <v>32475</v>
      </c>
      <c r="D10246" s="25" t="s">
        <v>32476</v>
      </c>
      <c r="E10246" s="28">
        <v>1.00000</v>
      </c>
      <c r="F10246" s="29">
        <f ca="1">ROUND(21.000,3)</f>
        <v>0</v>
      </c>
      <c r="G10246" s="27">
        <f ca="1">ROUND(E10246*F10246,2)</f>
        <v>0</v>
      </c>
    </row>
    <row r="10247" spans="1:7" ht="24.36" thickBot="1" customHeight="1">
      <c r="A10247" s="24" t="s">
        <v>32477</v>
      </c>
      <c r="B10247" s="24" t="s">
        <v>32478</v>
      </c>
      <c r="C10247" s="24" t="s">
        <v>32479</v>
      </c>
      <c r="D10247" s="25" t="s">
        <v>32480</v>
      </c>
      <c r="E10247" s="28">
        <v>1.00000</v>
      </c>
      <c r="F10247" s="29">
        <f ca="1">ROUND(19.000,3)</f>
        <v>0</v>
      </c>
      <c r="G10247" s="27">
        <f ca="1">ROUND(E10247*F10247,2)</f>
        <v>0</v>
      </c>
    </row>
    <row r="10248" spans="1:7" ht="24.36" thickBot="1" customHeight="1">
      <c r="A10248" s="24" t="s">
        <v>32481</v>
      </c>
      <c r="B10248" s="24" t="s">
        <v>32482</v>
      </c>
      <c r="C10248" s="24" t="s">
        <v>32483</v>
      </c>
      <c r="D10248" s="25" t="s">
        <v>32484</v>
      </c>
      <c r="E10248" s="28">
        <v>0.20000</v>
      </c>
      <c r="F10248" s="29">
        <f ca="1">ROUND(19.000,3)</f>
        <v>0</v>
      </c>
      <c r="G10248" s="27">
        <f ca="1">ROUND(E10248*F10248,2)</f>
        <v>0</v>
      </c>
    </row>
    <row r="10249" spans="1:7" ht="15.12" thickBot="1" customHeight="1">
      <c r="A10249" s="26"/>
      <c r="B10249" s="26"/>
      <c r="C10249" s="26"/>
      <c r="D10249" s="24" t="s">
        <v>32485</v>
      </c>
      <c r="E10249" s="28">
        <v>0.20000</v>
      </c>
      <c r="F10249" s="29">
        <f ca="1">ROUND((G10246+G10247+G10248),3)</f>
        <v>0</v>
      </c>
      <c r="G10249" s="27">
        <f ca="1">ROUND(E10249*F10249,2)</f>
        <v>0</v>
      </c>
    </row>
    <row r="10250" spans="1:7" ht="15.12" thickBot="1" customHeight="1">
      <c r="A10250" s="24" t="s">
        <v>32486</v>
      </c>
      <c r="B10250" s="24"/>
      <c r="C10250" s="24" t="s">
        <v>32487</v>
      </c>
      <c r="D10250" s="25" t="s">
        <v>32488</v>
      </c>
      <c r="E10250" s="28">
        <v>5.00000</v>
      </c>
      <c r="F10250" s="29">
        <f ca="1">ROUND(8.760,3)</f>
        <v>0</v>
      </c>
      <c r="G10250" s="27">
        <f ca="1">ROUND((E10250*F10250)/100,2)</f>
        <v>0</v>
      </c>
    </row>
    <row r="10251" spans="1:7" ht="15.48" thickBot="1" customHeight="1">
      <c r="A10251" s="30"/>
      <c r="B10251" s="30"/>
      <c r="C10251" s="30"/>
      <c r="D10251" s="31" t="s">
        <v>32489</v>
      </c>
      <c r="E10251" s="30"/>
      <c r="F10251" s="33">
        <f ca="1">ROUND((G10241+G10242+G10243+G10244+G10245+G10250)*(1+G2/100),2)</f>
        <v>0</v>
      </c>
      <c r="G10251" s="30"/>
    </row>
    <row r="10252" spans="1:7" ht="58.32" thickBot="1" customHeight="1">
      <c r="A10252" s="34" t="s">
        <v>32490</v>
      </c>
      <c r="B10252" s="35" t="s">
        <v>32491</v>
      </c>
      <c r="C10252" s="35" t="s">
        <v>32492</v>
      </c>
      <c r="D10252" s="36" t="s">
        <v>32493</v>
      </c>
      <c r="E10252" s="37"/>
      <c r="F10252" s="38">
        <f ca="1">F10264</f>
        <v>0</v>
      </c>
      <c r="G10252" s="37"/>
    </row>
    <row r="10253" spans="1:7" ht="21.36" thickBot="1" customHeight="1">
      <c r="A10253" s="26"/>
      <c r="B10253" s="26"/>
      <c r="C10253" s="26"/>
      <c r="D10253" s="25" t="s">
        <v>32494</v>
      </c>
      <c r="E10253" s="25"/>
      <c r="F10253" s="25"/>
      <c r="G10253" s="25"/>
    </row>
    <row r="10254" spans="1:7" ht="21.36" thickBot="1" customHeight="1">
      <c r="A10254" s="24" t="s">
        <v>32495</v>
      </c>
      <c r="B10254" s="24" t="s">
        <v>32496</v>
      </c>
      <c r="C10254" s="24" t="s">
        <v>32497</v>
      </c>
      <c r="D10254" s="25" t="s">
        <v>32498</v>
      </c>
      <c r="E10254" s="28">
        <v>0.04889</v>
      </c>
      <c r="F10254" s="29">
        <f ca="1">ROUND(1.320,3)</f>
        <v>0</v>
      </c>
      <c r="G10254" s="27">
        <f ca="1">ROUND(E10254*F10254,2)</f>
        <v>0</v>
      </c>
    </row>
    <row r="10255" spans="1:7" ht="30.60" thickBot="1" customHeight="1">
      <c r="A10255" s="24" t="s">
        <v>32499</v>
      </c>
      <c r="B10255" s="24" t="s">
        <v>32500</v>
      </c>
      <c r="C10255" s="24" t="s">
        <v>32501</v>
      </c>
      <c r="D10255" s="25" t="s">
        <v>32502</v>
      </c>
      <c r="E10255" s="28">
        <v>2.00000</v>
      </c>
      <c r="F10255" s="29">
        <f ca="1">ROUND(0.160,3)</f>
        <v>0</v>
      </c>
      <c r="G10255" s="27">
        <f ca="1">ROUND(E10255*F10255,2)</f>
        <v>0</v>
      </c>
    </row>
    <row r="10256" spans="1:7" ht="30.60" thickBot="1" customHeight="1">
      <c r="A10256" s="24" t="s">
        <v>32503</v>
      </c>
      <c r="B10256" s="24" t="s">
        <v>32504</v>
      </c>
      <c r="C10256" s="24" t="s">
        <v>32505</v>
      </c>
      <c r="D10256" s="25" t="s">
        <v>32506</v>
      </c>
      <c r="E10256" s="28">
        <v>0.04400</v>
      </c>
      <c r="F10256" s="29">
        <f ca="1">ROUND(11.950,3)</f>
        <v>0</v>
      </c>
      <c r="G10256" s="27">
        <f ca="1">ROUND(E10256*F10256,2)</f>
        <v>0</v>
      </c>
    </row>
    <row r="10257" spans="1:7" ht="30.60" thickBot="1" customHeight="1">
      <c r="A10257" s="24" t="s">
        <v>32507</v>
      </c>
      <c r="B10257" s="24" t="s">
        <v>32508</v>
      </c>
      <c r="C10257" s="24" t="s">
        <v>32509</v>
      </c>
      <c r="D10257" s="25" t="s">
        <v>32510</v>
      </c>
      <c r="E10257" s="28">
        <v>1.00000</v>
      </c>
      <c r="F10257" s="29">
        <f ca="1">ROUND(6.190,3)</f>
        <v>0</v>
      </c>
      <c r="G10257" s="27">
        <f ca="1">ROUND(E10257*F10257,2)</f>
        <v>0</v>
      </c>
    </row>
    <row r="10258" spans="1:7" ht="21.36" thickBot="1" customHeight="1">
      <c r="A10258" s="24" t="s">
        <v>32511</v>
      </c>
      <c r="B10258" s="24" t="s">
        <v>32512</v>
      </c>
      <c r="C10258" s="24" t="s">
        <v>32513</v>
      </c>
      <c r="D10258" s="25" t="s">
        <v>32514</v>
      </c>
      <c r="E10258" s="28">
        <v>0.26666</v>
      </c>
      <c r="F10258" s="29">
        <f ca="1">F10262</f>
        <v>0</v>
      </c>
      <c r="G10258" s="27">
        <f ca="1">ROUND(E10258*F10258,2)</f>
        <v>0</v>
      </c>
    </row>
    <row r="10259" spans="1:7" ht="24.36" thickBot="1" customHeight="1">
      <c r="A10259" s="24" t="s">
        <v>32515</v>
      </c>
      <c r="B10259" s="24" t="s">
        <v>32516</v>
      </c>
      <c r="C10259" s="24" t="s">
        <v>32517</v>
      </c>
      <c r="D10259" s="25" t="s">
        <v>32518</v>
      </c>
      <c r="E10259" s="28">
        <v>1.00000</v>
      </c>
      <c r="F10259" s="29">
        <f ca="1">ROUND(21.000,3)</f>
        <v>0</v>
      </c>
      <c r="G10259" s="27">
        <f ca="1">ROUND(E10259*F10259,2)</f>
        <v>0</v>
      </c>
    </row>
    <row r="10260" spans="1:7" ht="24.36" thickBot="1" customHeight="1">
      <c r="A10260" s="24" t="s">
        <v>32519</v>
      </c>
      <c r="B10260" s="24" t="s">
        <v>32520</v>
      </c>
      <c r="C10260" s="24" t="s">
        <v>32521</v>
      </c>
      <c r="D10260" s="25" t="s">
        <v>32522</v>
      </c>
      <c r="E10260" s="28">
        <v>1.00000</v>
      </c>
      <c r="F10260" s="29">
        <f ca="1">ROUND(19.000,3)</f>
        <v>0</v>
      </c>
      <c r="G10260" s="27">
        <f ca="1">ROUND(E10260*F10260,2)</f>
        <v>0</v>
      </c>
    </row>
    <row r="10261" spans="1:7" ht="24.36" thickBot="1" customHeight="1">
      <c r="A10261" s="24" t="s">
        <v>32523</v>
      </c>
      <c r="B10261" s="24" t="s">
        <v>32524</v>
      </c>
      <c r="C10261" s="24" t="s">
        <v>32525</v>
      </c>
      <c r="D10261" s="25" t="s">
        <v>32526</v>
      </c>
      <c r="E10261" s="28">
        <v>0.20000</v>
      </c>
      <c r="F10261" s="29">
        <f ca="1">ROUND(19.000,3)</f>
        <v>0</v>
      </c>
      <c r="G10261" s="27">
        <f ca="1">ROUND(E10261*F10261,2)</f>
        <v>0</v>
      </c>
    </row>
    <row r="10262" spans="1:7" ht="15.12" thickBot="1" customHeight="1">
      <c r="A10262" s="26"/>
      <c r="B10262" s="26"/>
      <c r="C10262" s="26"/>
      <c r="D10262" s="24" t="s">
        <v>32527</v>
      </c>
      <c r="E10262" s="28">
        <v>0.26666</v>
      </c>
      <c r="F10262" s="29">
        <f ca="1">ROUND((G10259+G10260+G10261),3)</f>
        <v>0</v>
      </c>
      <c r="G10262" s="27">
        <f ca="1">ROUND(E10262*F10262,2)</f>
        <v>0</v>
      </c>
    </row>
    <row r="10263" spans="1:7" ht="15.12" thickBot="1" customHeight="1">
      <c r="A10263" s="24" t="s">
        <v>32528</v>
      </c>
      <c r="B10263" s="24"/>
      <c r="C10263" s="24" t="s">
        <v>32529</v>
      </c>
      <c r="D10263" s="25" t="s">
        <v>32530</v>
      </c>
      <c r="E10263" s="28">
        <v>5.00000</v>
      </c>
      <c r="F10263" s="29">
        <f ca="1">ROUND(11.680,3)</f>
        <v>0</v>
      </c>
      <c r="G10263" s="27">
        <f ca="1">ROUND((E10263*F10263)/100,2)</f>
        <v>0</v>
      </c>
    </row>
    <row r="10264" spans="1:7" ht="15.48" thickBot="1" customHeight="1">
      <c r="A10264" s="30"/>
      <c r="B10264" s="30"/>
      <c r="C10264" s="30"/>
      <c r="D10264" s="31" t="s">
        <v>32531</v>
      </c>
      <c r="E10264" s="30"/>
      <c r="F10264" s="33">
        <f ca="1">ROUND((G10254+G10255+G10256+G10257+G10258+G10263)*(1+G2/100),2)</f>
        <v>0</v>
      </c>
      <c r="G10264" s="30"/>
    </row>
    <row r="10265" spans="1:7" ht="58.32" thickBot="1" customHeight="1">
      <c r="A10265" s="34" t="s">
        <v>32532</v>
      </c>
      <c r="B10265" s="35" t="s">
        <v>32533</v>
      </c>
      <c r="C10265" s="35" t="s">
        <v>32534</v>
      </c>
      <c r="D10265" s="36" t="s">
        <v>32535</v>
      </c>
      <c r="E10265" s="37"/>
      <c r="F10265" s="38">
        <f ca="1">F10277</f>
        <v>0</v>
      </c>
      <c r="G10265" s="37"/>
    </row>
    <row r="10266" spans="1:7" ht="21.36" thickBot="1" customHeight="1">
      <c r="A10266" s="26"/>
      <c r="B10266" s="26"/>
      <c r="C10266" s="26"/>
      <c r="D10266" s="25" t="s">
        <v>32536</v>
      </c>
      <c r="E10266" s="25"/>
      <c r="F10266" s="25"/>
      <c r="G10266" s="25"/>
    </row>
    <row r="10267" spans="1:7" ht="21.36" thickBot="1" customHeight="1">
      <c r="A10267" s="24" t="s">
        <v>32537</v>
      </c>
      <c r="B10267" s="24" t="s">
        <v>32538</v>
      </c>
      <c r="C10267" s="24" t="s">
        <v>32539</v>
      </c>
      <c r="D10267" s="25" t="s">
        <v>32540</v>
      </c>
      <c r="E10267" s="28">
        <v>0.04889</v>
      </c>
      <c r="F10267" s="29">
        <f ca="1">ROUND(1.320,3)</f>
        <v>0</v>
      </c>
      <c r="G10267" s="27">
        <f ca="1">ROUND(E10267*F10267,2)</f>
        <v>0</v>
      </c>
    </row>
    <row r="10268" spans="1:7" ht="30.60" thickBot="1" customHeight="1">
      <c r="A10268" s="24" t="s">
        <v>32541</v>
      </c>
      <c r="B10268" s="24" t="s">
        <v>32542</v>
      </c>
      <c r="C10268" s="24" t="s">
        <v>32543</v>
      </c>
      <c r="D10268" s="25" t="s">
        <v>32544</v>
      </c>
      <c r="E10268" s="28">
        <v>1.00000</v>
      </c>
      <c r="F10268" s="29">
        <f ca="1">ROUND(0.440,3)</f>
        <v>0</v>
      </c>
      <c r="G10268" s="27">
        <f ca="1">ROUND(E10268*F10268,2)</f>
        <v>0</v>
      </c>
    </row>
    <row r="10269" spans="1:7" ht="30.60" thickBot="1" customHeight="1">
      <c r="A10269" s="24" t="s">
        <v>32545</v>
      </c>
      <c r="B10269" s="24" t="s">
        <v>32546</v>
      </c>
      <c r="C10269" s="24" t="s">
        <v>32547</v>
      </c>
      <c r="D10269" s="25" t="s">
        <v>32548</v>
      </c>
      <c r="E10269" s="28">
        <v>0.03333</v>
      </c>
      <c r="F10269" s="29">
        <f ca="1">ROUND(11.950,3)</f>
        <v>0</v>
      </c>
      <c r="G10269" s="27">
        <f ca="1">ROUND(E10269*F10269,2)</f>
        <v>0</v>
      </c>
    </row>
    <row r="10270" spans="1:7" ht="30.60" thickBot="1" customHeight="1">
      <c r="A10270" s="24" t="s">
        <v>32549</v>
      </c>
      <c r="B10270" s="24" t="s">
        <v>32550</v>
      </c>
      <c r="C10270" s="24" t="s">
        <v>32551</v>
      </c>
      <c r="D10270" s="25" t="s">
        <v>32552</v>
      </c>
      <c r="E10270" s="28">
        <v>0.75000</v>
      </c>
      <c r="F10270" s="29">
        <f ca="1">ROUND(6.190,3)</f>
        <v>0</v>
      </c>
      <c r="G10270" s="27">
        <f ca="1">ROUND(E10270*F10270,2)</f>
        <v>0</v>
      </c>
    </row>
    <row r="10271" spans="1:7" ht="21.36" thickBot="1" customHeight="1">
      <c r="A10271" s="24" t="s">
        <v>32553</v>
      </c>
      <c r="B10271" s="24" t="s">
        <v>32554</v>
      </c>
      <c r="C10271" s="24" t="s">
        <v>32555</v>
      </c>
      <c r="D10271" s="25" t="s">
        <v>32556</v>
      </c>
      <c r="E10271" s="28">
        <v>0.26667</v>
      </c>
      <c r="F10271" s="29">
        <f ca="1">F10275</f>
        <v>0</v>
      </c>
      <c r="G10271" s="27">
        <f ca="1">ROUND(E10271*F10271,2)</f>
        <v>0</v>
      </c>
    </row>
    <row r="10272" spans="1:7" ht="24.36" thickBot="1" customHeight="1">
      <c r="A10272" s="24" t="s">
        <v>32557</v>
      </c>
      <c r="B10272" s="24" t="s">
        <v>32558</v>
      </c>
      <c r="C10272" s="24" t="s">
        <v>32559</v>
      </c>
      <c r="D10272" s="25" t="s">
        <v>32560</v>
      </c>
      <c r="E10272" s="28">
        <v>1.00000</v>
      </c>
      <c r="F10272" s="29">
        <f ca="1">ROUND(21.000,3)</f>
        <v>0</v>
      </c>
      <c r="G10272" s="27">
        <f ca="1">ROUND(E10272*F10272,2)</f>
        <v>0</v>
      </c>
    </row>
    <row r="10273" spans="1:7" ht="24.36" thickBot="1" customHeight="1">
      <c r="A10273" s="24" t="s">
        <v>32561</v>
      </c>
      <c r="B10273" s="24" t="s">
        <v>32562</v>
      </c>
      <c r="C10273" s="24" t="s">
        <v>32563</v>
      </c>
      <c r="D10273" s="25" t="s">
        <v>32564</v>
      </c>
      <c r="E10273" s="28">
        <v>1.00000</v>
      </c>
      <c r="F10273" s="29">
        <f ca="1">ROUND(19.000,3)</f>
        <v>0</v>
      </c>
      <c r="G10273" s="27">
        <f ca="1">ROUND(E10273*F10273,2)</f>
        <v>0</v>
      </c>
    </row>
    <row r="10274" spans="1:7" ht="24.36" thickBot="1" customHeight="1">
      <c r="A10274" s="24" t="s">
        <v>32565</v>
      </c>
      <c r="B10274" s="24" t="s">
        <v>32566</v>
      </c>
      <c r="C10274" s="24" t="s">
        <v>32567</v>
      </c>
      <c r="D10274" s="25" t="s">
        <v>32568</v>
      </c>
      <c r="E10274" s="28">
        <v>0.20000</v>
      </c>
      <c r="F10274" s="29">
        <f ca="1">ROUND(19.000,3)</f>
        <v>0</v>
      </c>
      <c r="G10274" s="27">
        <f ca="1">ROUND(E10274*F10274,2)</f>
        <v>0</v>
      </c>
    </row>
    <row r="10275" spans="1:7" ht="15.12" thickBot="1" customHeight="1">
      <c r="A10275" s="26"/>
      <c r="B10275" s="26"/>
      <c r="C10275" s="26"/>
      <c r="D10275" s="24" t="s">
        <v>32569</v>
      </c>
      <c r="E10275" s="28">
        <v>0.26667</v>
      </c>
      <c r="F10275" s="29">
        <f ca="1">ROUND((G10272+G10273+G10274),3)</f>
        <v>0</v>
      </c>
      <c r="G10275" s="27">
        <f ca="1">ROUND(E10275*F10275,2)</f>
        <v>0</v>
      </c>
    </row>
    <row r="10276" spans="1:7" ht="15.12" thickBot="1" customHeight="1">
      <c r="A10276" s="24" t="s">
        <v>32570</v>
      </c>
      <c r="B10276" s="24"/>
      <c r="C10276" s="24" t="s">
        <v>32571</v>
      </c>
      <c r="D10276" s="25" t="s">
        <v>32572</v>
      </c>
      <c r="E10276" s="28">
        <v>5.00000</v>
      </c>
      <c r="F10276" s="29">
        <f ca="1">ROUND(11.680,3)</f>
        <v>0</v>
      </c>
      <c r="G10276" s="27">
        <f ca="1">ROUND((E10276*F10276)/100,2)</f>
        <v>0</v>
      </c>
    </row>
    <row r="10277" spans="1:7" ht="15.48" thickBot="1" customHeight="1">
      <c r="A10277" s="30"/>
      <c r="B10277" s="30"/>
      <c r="C10277" s="30"/>
      <c r="D10277" s="31" t="s">
        <v>32573</v>
      </c>
      <c r="E10277" s="30"/>
      <c r="F10277" s="33">
        <f ca="1">ROUND((G10267+G10268+G10269+G10270+G10271+G10276)*(1+G2/100),2)</f>
        <v>0</v>
      </c>
      <c r="G10277" s="30"/>
    </row>
    <row r="10278" spans="1:7" ht="58.32" thickBot="1" customHeight="1">
      <c r="A10278" s="34" t="s">
        <v>32574</v>
      </c>
      <c r="B10278" s="35" t="s">
        <v>32575</v>
      </c>
      <c r="C10278" s="35" t="s">
        <v>32576</v>
      </c>
      <c r="D10278" s="36" t="s">
        <v>32577</v>
      </c>
      <c r="E10278" s="37"/>
      <c r="F10278" s="38">
        <f ca="1">F10290</f>
        <v>0</v>
      </c>
      <c r="G10278" s="37"/>
    </row>
    <row r="10279" spans="1:7" ht="21.36" thickBot="1" customHeight="1">
      <c r="A10279" s="26"/>
      <c r="B10279" s="26"/>
      <c r="C10279" s="26"/>
      <c r="D10279" s="25" t="s">
        <v>32578</v>
      </c>
      <c r="E10279" s="25"/>
      <c r="F10279" s="25"/>
      <c r="G10279" s="25"/>
    </row>
    <row r="10280" spans="1:7" ht="21.36" thickBot="1" customHeight="1">
      <c r="A10280" s="24" t="s">
        <v>32579</v>
      </c>
      <c r="B10280" s="24" t="s">
        <v>32580</v>
      </c>
      <c r="C10280" s="24" t="s">
        <v>32581</v>
      </c>
      <c r="D10280" s="25" t="s">
        <v>32582</v>
      </c>
      <c r="E10280" s="28">
        <v>0.04889</v>
      </c>
      <c r="F10280" s="29">
        <f ca="1">ROUND(1.320,3)</f>
        <v>0</v>
      </c>
      <c r="G10280" s="27">
        <f ca="1">ROUND(E10280*F10280,2)</f>
        <v>0</v>
      </c>
    </row>
    <row r="10281" spans="1:7" ht="30.60" thickBot="1" customHeight="1">
      <c r="A10281" s="24" t="s">
        <v>32583</v>
      </c>
      <c r="B10281" s="24" t="s">
        <v>32584</v>
      </c>
      <c r="C10281" s="24" t="s">
        <v>32585</v>
      </c>
      <c r="D10281" s="25" t="s">
        <v>32586</v>
      </c>
      <c r="E10281" s="28">
        <v>1.00000</v>
      </c>
      <c r="F10281" s="29">
        <f ca="1">ROUND(0.440,3)</f>
        <v>0</v>
      </c>
      <c r="G10281" s="27">
        <f ca="1">ROUND(E10281*F10281,2)</f>
        <v>0</v>
      </c>
    </row>
    <row r="10282" spans="1:7" ht="30.60" thickBot="1" customHeight="1">
      <c r="A10282" s="24" t="s">
        <v>32587</v>
      </c>
      <c r="B10282" s="24" t="s">
        <v>32588</v>
      </c>
      <c r="C10282" s="24" t="s">
        <v>32589</v>
      </c>
      <c r="D10282" s="25" t="s">
        <v>32590</v>
      </c>
      <c r="E10282" s="28">
        <v>0.05000</v>
      </c>
      <c r="F10282" s="29">
        <f ca="1">ROUND(11.950,3)</f>
        <v>0</v>
      </c>
      <c r="G10282" s="27">
        <f ca="1">ROUND(E10282*F10282,2)</f>
        <v>0</v>
      </c>
    </row>
    <row r="10283" spans="1:7" ht="30.60" thickBot="1" customHeight="1">
      <c r="A10283" s="24" t="s">
        <v>32591</v>
      </c>
      <c r="B10283" s="24" t="s">
        <v>32592</v>
      </c>
      <c r="C10283" s="24" t="s">
        <v>32593</v>
      </c>
      <c r="D10283" s="25" t="s">
        <v>32594</v>
      </c>
      <c r="E10283" s="28">
        <v>1.00000</v>
      </c>
      <c r="F10283" s="29">
        <f ca="1">ROUND(6.190,3)</f>
        <v>0</v>
      </c>
      <c r="G10283" s="27">
        <f ca="1">ROUND(E10283*F10283,2)</f>
        <v>0</v>
      </c>
    </row>
    <row r="10284" spans="1:7" ht="21.36" thickBot="1" customHeight="1">
      <c r="A10284" s="24" t="s">
        <v>32595</v>
      </c>
      <c r="B10284" s="24" t="s">
        <v>32596</v>
      </c>
      <c r="C10284" s="24" t="s">
        <v>32597</v>
      </c>
      <c r="D10284" s="25" t="s">
        <v>32598</v>
      </c>
      <c r="E10284" s="28">
        <v>0.32000</v>
      </c>
      <c r="F10284" s="29">
        <f ca="1">F10288</f>
        <v>0</v>
      </c>
      <c r="G10284" s="27">
        <f ca="1">ROUND(E10284*F10284,2)</f>
        <v>0</v>
      </c>
    </row>
    <row r="10285" spans="1:7" ht="24.36" thickBot="1" customHeight="1">
      <c r="A10285" s="24" t="s">
        <v>32599</v>
      </c>
      <c r="B10285" s="24" t="s">
        <v>32600</v>
      </c>
      <c r="C10285" s="24" t="s">
        <v>32601</v>
      </c>
      <c r="D10285" s="25" t="s">
        <v>32602</v>
      </c>
      <c r="E10285" s="28">
        <v>1.00000</v>
      </c>
      <c r="F10285" s="29">
        <f ca="1">ROUND(21.000,3)</f>
        <v>0</v>
      </c>
      <c r="G10285" s="27">
        <f ca="1">ROUND(E10285*F10285,2)</f>
        <v>0</v>
      </c>
    </row>
    <row r="10286" spans="1:7" ht="24.36" thickBot="1" customHeight="1">
      <c r="A10286" s="24" t="s">
        <v>32603</v>
      </c>
      <c r="B10286" s="24" t="s">
        <v>32604</v>
      </c>
      <c r="C10286" s="24" t="s">
        <v>32605</v>
      </c>
      <c r="D10286" s="25" t="s">
        <v>32606</v>
      </c>
      <c r="E10286" s="28">
        <v>1.00000</v>
      </c>
      <c r="F10286" s="29">
        <f ca="1">ROUND(19.000,3)</f>
        <v>0</v>
      </c>
      <c r="G10286" s="27">
        <f ca="1">ROUND(E10286*F10286,2)</f>
        <v>0</v>
      </c>
    </row>
    <row r="10287" spans="1:7" ht="24.36" thickBot="1" customHeight="1">
      <c r="A10287" s="24" t="s">
        <v>32607</v>
      </c>
      <c r="B10287" s="24" t="s">
        <v>32608</v>
      </c>
      <c r="C10287" s="24" t="s">
        <v>32609</v>
      </c>
      <c r="D10287" s="25" t="s">
        <v>32610</v>
      </c>
      <c r="E10287" s="28">
        <v>0.20000</v>
      </c>
      <c r="F10287" s="29">
        <f ca="1">ROUND(19.000,3)</f>
        <v>0</v>
      </c>
      <c r="G10287" s="27">
        <f ca="1">ROUND(E10287*F10287,2)</f>
        <v>0</v>
      </c>
    </row>
    <row r="10288" spans="1:7" ht="15.12" thickBot="1" customHeight="1">
      <c r="A10288" s="26"/>
      <c r="B10288" s="26"/>
      <c r="C10288" s="26"/>
      <c r="D10288" s="24" t="s">
        <v>32611</v>
      </c>
      <c r="E10288" s="28">
        <v>0.32000</v>
      </c>
      <c r="F10288" s="29">
        <f ca="1">ROUND((G10285+G10286+G10287),3)</f>
        <v>0</v>
      </c>
      <c r="G10288" s="27">
        <f ca="1">ROUND(E10288*F10288,2)</f>
        <v>0</v>
      </c>
    </row>
    <row r="10289" spans="1:7" ht="15.12" thickBot="1" customHeight="1">
      <c r="A10289" s="24" t="s">
        <v>32612</v>
      </c>
      <c r="B10289" s="24"/>
      <c r="C10289" s="24" t="s">
        <v>32613</v>
      </c>
      <c r="D10289" s="25" t="s">
        <v>32614</v>
      </c>
      <c r="E10289" s="28">
        <v>5.00000</v>
      </c>
      <c r="F10289" s="29">
        <f ca="1">ROUND(14.020,3)</f>
        <v>0</v>
      </c>
      <c r="G10289" s="27">
        <f ca="1">ROUND((E10289*F10289)/100,2)</f>
        <v>0</v>
      </c>
    </row>
    <row r="10290" spans="1:7" ht="15.48" thickBot="1" customHeight="1">
      <c r="A10290" s="30"/>
      <c r="B10290" s="30"/>
      <c r="C10290" s="30"/>
      <c r="D10290" s="31" t="s">
        <v>32615</v>
      </c>
      <c r="E10290" s="30"/>
      <c r="F10290" s="33">
        <f ca="1">ROUND((G10280+G10281+G10282+G10283+G10284+G10289)*(1+G2/100),2)</f>
        <v>0</v>
      </c>
      <c r="G10290" s="30"/>
    </row>
    <row r="10291" spans="1:7" ht="39.84" thickBot="1" customHeight="1">
      <c r="A10291" s="34" t="s">
        <v>32616</v>
      </c>
      <c r="B10291" s="35" t="s">
        <v>32617</v>
      </c>
      <c r="C10291" s="35" t="s">
        <v>32618</v>
      </c>
      <c r="D10291" s="36" t="s">
        <v>32619</v>
      </c>
      <c r="E10291" s="37"/>
      <c r="F10291" s="38">
        <f ca="1">F10301</f>
        <v>0</v>
      </c>
      <c r="G10291" s="37"/>
    </row>
    <row r="10292" spans="1:7" ht="21.36" thickBot="1" customHeight="1">
      <c r="A10292" s="26"/>
      <c r="B10292" s="26"/>
      <c r="C10292" s="26"/>
      <c r="D10292" s="25" t="s">
        <v>32620</v>
      </c>
      <c r="E10292" s="25"/>
      <c r="F10292" s="25"/>
      <c r="G10292" s="25"/>
    </row>
    <row r="10293" spans="1:7" ht="39.84" thickBot="1" customHeight="1">
      <c r="A10293" s="24" t="s">
        <v>32621</v>
      </c>
      <c r="B10293" s="24" t="s">
        <v>32622</v>
      </c>
      <c r="C10293" s="24" t="s">
        <v>32623</v>
      </c>
      <c r="D10293" s="25" t="s">
        <v>32624</v>
      </c>
      <c r="E10293" s="28">
        <v>0.02200</v>
      </c>
      <c r="F10293" s="29">
        <f ca="1">ROUND(41.250,3)</f>
        <v>0</v>
      </c>
      <c r="G10293" s="27">
        <f ca="1">ROUND(E10293*F10293,2)</f>
        <v>0</v>
      </c>
    </row>
    <row r="10294" spans="1:7" ht="30.60" thickBot="1" customHeight="1">
      <c r="A10294" s="24" t="s">
        <v>32625</v>
      </c>
      <c r="B10294" s="24" t="s">
        <v>32626</v>
      </c>
      <c r="C10294" s="24" t="s">
        <v>32627</v>
      </c>
      <c r="D10294" s="25" t="s">
        <v>32628</v>
      </c>
      <c r="E10294" s="28">
        <v>1.60000</v>
      </c>
      <c r="F10294" s="29">
        <f ca="1">ROUND(1.470,3)</f>
        <v>0</v>
      </c>
      <c r="G10294" s="27">
        <f ca="1">ROUND(E10294*F10294,2)</f>
        <v>0</v>
      </c>
    </row>
    <row r="10295" spans="1:7" ht="21.36" thickBot="1" customHeight="1">
      <c r="A10295" s="24" t="s">
        <v>32629</v>
      </c>
      <c r="B10295" s="24" t="s">
        <v>32630</v>
      </c>
      <c r="C10295" s="24" t="s">
        <v>32631</v>
      </c>
      <c r="D10295" s="25" t="s">
        <v>32632</v>
      </c>
      <c r="E10295" s="28">
        <v>0.16000</v>
      </c>
      <c r="F10295" s="29">
        <f ca="1">F10299</f>
        <v>0</v>
      </c>
      <c r="G10295" s="27">
        <f ca="1">ROUND(E10295*F10295,2)</f>
        <v>0</v>
      </c>
    </row>
    <row r="10296" spans="1:7" ht="24.36" thickBot="1" customHeight="1">
      <c r="A10296" s="24" t="s">
        <v>32633</v>
      </c>
      <c r="B10296" s="24" t="s">
        <v>32634</v>
      </c>
      <c r="C10296" s="24" t="s">
        <v>32635</v>
      </c>
      <c r="D10296" s="25" t="s">
        <v>32636</v>
      </c>
      <c r="E10296" s="28">
        <v>1.00000</v>
      </c>
      <c r="F10296" s="29">
        <f ca="1">ROUND(21.000,3)</f>
        <v>0</v>
      </c>
      <c r="G10296" s="27">
        <f ca="1">ROUND(E10296*F10296,2)</f>
        <v>0</v>
      </c>
    </row>
    <row r="10297" spans="1:7" ht="24.36" thickBot="1" customHeight="1">
      <c r="A10297" s="24" t="s">
        <v>32637</v>
      </c>
      <c r="B10297" s="24" t="s">
        <v>32638</v>
      </c>
      <c r="C10297" s="24" t="s">
        <v>32639</v>
      </c>
      <c r="D10297" s="25" t="s">
        <v>32640</v>
      </c>
      <c r="E10297" s="28">
        <v>1.00000</v>
      </c>
      <c r="F10297" s="29">
        <f ca="1">ROUND(19.000,3)</f>
        <v>0</v>
      </c>
      <c r="G10297" s="27">
        <f ca="1">ROUND(E10297*F10297,2)</f>
        <v>0</v>
      </c>
    </row>
    <row r="10298" spans="1:7" ht="24.36" thickBot="1" customHeight="1">
      <c r="A10298" s="24" t="s">
        <v>32641</v>
      </c>
      <c r="B10298" s="24" t="s">
        <v>32642</v>
      </c>
      <c r="C10298" s="24" t="s">
        <v>32643</v>
      </c>
      <c r="D10298" s="25" t="s">
        <v>32644</v>
      </c>
      <c r="E10298" s="28">
        <v>0.20000</v>
      </c>
      <c r="F10298" s="29">
        <f ca="1">ROUND(19.000,3)</f>
        <v>0</v>
      </c>
      <c r="G10298" s="27">
        <f ca="1">ROUND(E10298*F10298,2)</f>
        <v>0</v>
      </c>
    </row>
    <row r="10299" spans="1:7" ht="15.12" thickBot="1" customHeight="1">
      <c r="A10299" s="26"/>
      <c r="B10299" s="26"/>
      <c r="C10299" s="26"/>
      <c r="D10299" s="24" t="s">
        <v>32645</v>
      </c>
      <c r="E10299" s="28">
        <v>0.16000</v>
      </c>
      <c r="F10299" s="29">
        <f ca="1">ROUND((G10296+G10297+G10298),3)</f>
        <v>0</v>
      </c>
      <c r="G10299" s="27">
        <f ca="1">ROUND(E10299*F10299,2)</f>
        <v>0</v>
      </c>
    </row>
    <row r="10300" spans="1:7" ht="15.12" thickBot="1" customHeight="1">
      <c r="A10300" s="24" t="s">
        <v>32646</v>
      </c>
      <c r="B10300" s="24"/>
      <c r="C10300" s="24" t="s">
        <v>32647</v>
      </c>
      <c r="D10300" s="25" t="s">
        <v>32648</v>
      </c>
      <c r="E10300" s="28">
        <v>3.00000</v>
      </c>
      <c r="F10300" s="29">
        <f ca="1">ROUND(7.010,3)</f>
        <v>0</v>
      </c>
      <c r="G10300" s="27">
        <f ca="1">ROUND((E10300*F10300)/100,2)</f>
        <v>0</v>
      </c>
    </row>
    <row r="10301" spans="1:7" ht="25.08" thickBot="1" customHeight="1">
      <c r="A10301" s="30"/>
      <c r="B10301" s="30"/>
      <c r="C10301" s="30"/>
      <c r="D10301" s="31" t="s">
        <v>32649</v>
      </c>
      <c r="E10301" s="30"/>
      <c r="F10301" s="33">
        <f ca="1">ROUND((G10293+G10294+G10295+G10300)*(1+G2/100),2)</f>
        <v>0</v>
      </c>
      <c r="G10301" s="30"/>
    </row>
    <row r="10302" spans="1:7" ht="39.84" thickBot="1" customHeight="1">
      <c r="A10302" s="34" t="s">
        <v>32650</v>
      </c>
      <c r="B10302" s="35" t="s">
        <v>32651</v>
      </c>
      <c r="C10302" s="35" t="s">
        <v>32652</v>
      </c>
      <c r="D10302" s="36" t="s">
        <v>32653</v>
      </c>
      <c r="E10302" s="37"/>
      <c r="F10302" s="38">
        <f ca="1">F10312</f>
        <v>0</v>
      </c>
      <c r="G10302" s="37"/>
    </row>
    <row r="10303" spans="1:7" ht="21.36" thickBot="1" customHeight="1">
      <c r="A10303" s="26"/>
      <c r="B10303" s="26"/>
      <c r="C10303" s="26"/>
      <c r="D10303" s="25" t="s">
        <v>32654</v>
      </c>
      <c r="E10303" s="25"/>
      <c r="F10303" s="25"/>
      <c r="G10303" s="25"/>
    </row>
    <row r="10304" spans="1:7" ht="39.84" thickBot="1" customHeight="1">
      <c r="A10304" s="24" t="s">
        <v>32655</v>
      </c>
      <c r="B10304" s="24" t="s">
        <v>32656</v>
      </c>
      <c r="C10304" s="24" t="s">
        <v>32657</v>
      </c>
      <c r="D10304" s="25" t="s">
        <v>32658</v>
      </c>
      <c r="E10304" s="28">
        <v>0.02200</v>
      </c>
      <c r="F10304" s="29">
        <f ca="1">ROUND(41.250,3)</f>
        <v>0</v>
      </c>
      <c r="G10304" s="27">
        <f ca="1">ROUND(E10304*F10304,2)</f>
        <v>0</v>
      </c>
    </row>
    <row r="10305" spans="1:7" ht="30.60" thickBot="1" customHeight="1">
      <c r="A10305" s="24" t="s">
        <v>32659</v>
      </c>
      <c r="B10305" s="24" t="s">
        <v>32660</v>
      </c>
      <c r="C10305" s="24" t="s">
        <v>32661</v>
      </c>
      <c r="D10305" s="25" t="s">
        <v>32662</v>
      </c>
      <c r="E10305" s="28">
        <v>2.00000</v>
      </c>
      <c r="F10305" s="29">
        <f ca="1">ROUND(1.470,3)</f>
        <v>0</v>
      </c>
      <c r="G10305" s="27">
        <f ca="1">ROUND(E10305*F10305,2)</f>
        <v>0</v>
      </c>
    </row>
    <row r="10306" spans="1:7" ht="21.36" thickBot="1" customHeight="1">
      <c r="A10306" s="24" t="s">
        <v>32663</v>
      </c>
      <c r="B10306" s="24" t="s">
        <v>32664</v>
      </c>
      <c r="C10306" s="24" t="s">
        <v>32665</v>
      </c>
      <c r="D10306" s="25" t="s">
        <v>32666</v>
      </c>
      <c r="E10306" s="28">
        <v>0.12000</v>
      </c>
      <c r="F10306" s="29">
        <f ca="1">F10310</f>
        <v>0</v>
      </c>
      <c r="G10306" s="27">
        <f ca="1">ROUND(E10306*F10306,2)</f>
        <v>0</v>
      </c>
    </row>
    <row r="10307" spans="1:7" ht="24.36" thickBot="1" customHeight="1">
      <c r="A10307" s="24" t="s">
        <v>32667</v>
      </c>
      <c r="B10307" s="24" t="s">
        <v>32668</v>
      </c>
      <c r="C10307" s="24" t="s">
        <v>32669</v>
      </c>
      <c r="D10307" s="25" t="s">
        <v>32670</v>
      </c>
      <c r="E10307" s="28">
        <v>1.00000</v>
      </c>
      <c r="F10307" s="29">
        <f ca="1">ROUND(21.000,3)</f>
        <v>0</v>
      </c>
      <c r="G10307" s="27">
        <f ca="1">ROUND(E10307*F10307,2)</f>
        <v>0</v>
      </c>
    </row>
    <row r="10308" spans="1:7" ht="24.36" thickBot="1" customHeight="1">
      <c r="A10308" s="24" t="s">
        <v>32671</v>
      </c>
      <c r="B10308" s="24" t="s">
        <v>32672</v>
      </c>
      <c r="C10308" s="24" t="s">
        <v>32673</v>
      </c>
      <c r="D10308" s="25" t="s">
        <v>32674</v>
      </c>
      <c r="E10308" s="28">
        <v>1.00000</v>
      </c>
      <c r="F10308" s="29">
        <f ca="1">ROUND(19.000,3)</f>
        <v>0</v>
      </c>
      <c r="G10308" s="27">
        <f ca="1">ROUND(E10308*F10308,2)</f>
        <v>0</v>
      </c>
    </row>
    <row r="10309" spans="1:7" ht="24.36" thickBot="1" customHeight="1">
      <c r="A10309" s="24" t="s">
        <v>32675</v>
      </c>
      <c r="B10309" s="24" t="s">
        <v>32676</v>
      </c>
      <c r="C10309" s="24" t="s">
        <v>32677</v>
      </c>
      <c r="D10309" s="25" t="s">
        <v>32678</v>
      </c>
      <c r="E10309" s="28">
        <v>0.20000</v>
      </c>
      <c r="F10309" s="29">
        <f ca="1">ROUND(19.000,3)</f>
        <v>0</v>
      </c>
      <c r="G10309" s="27">
        <f ca="1">ROUND(E10309*F10309,2)</f>
        <v>0</v>
      </c>
    </row>
    <row r="10310" spans="1:7" ht="15.12" thickBot="1" customHeight="1">
      <c r="A10310" s="26"/>
      <c r="B10310" s="26"/>
      <c r="C10310" s="26"/>
      <c r="D10310" s="24" t="s">
        <v>32679</v>
      </c>
      <c r="E10310" s="28">
        <v>0.12000</v>
      </c>
      <c r="F10310" s="29">
        <f ca="1">ROUND((G10307+G10308+G10309),3)</f>
        <v>0</v>
      </c>
      <c r="G10310" s="27">
        <f ca="1">ROUND(E10310*F10310,2)</f>
        <v>0</v>
      </c>
    </row>
    <row r="10311" spans="1:7" ht="15.12" thickBot="1" customHeight="1">
      <c r="A10311" s="24" t="s">
        <v>32680</v>
      </c>
      <c r="B10311" s="24"/>
      <c r="C10311" s="24" t="s">
        <v>32681</v>
      </c>
      <c r="D10311" s="25" t="s">
        <v>32682</v>
      </c>
      <c r="E10311" s="28">
        <v>3.00000</v>
      </c>
      <c r="F10311" s="29">
        <f ca="1">ROUND(5.260,3)</f>
        <v>0</v>
      </c>
      <c r="G10311" s="27">
        <f ca="1">ROUND((E10311*F10311)/100,2)</f>
        <v>0</v>
      </c>
    </row>
    <row r="10312" spans="1:7" ht="25.08" thickBot="1" customHeight="1">
      <c r="A10312" s="30"/>
      <c r="B10312" s="30"/>
      <c r="C10312" s="30"/>
      <c r="D10312" s="31" t="s">
        <v>32683</v>
      </c>
      <c r="E10312" s="30"/>
      <c r="F10312" s="33">
        <f ca="1">ROUND((G10304+G10305+G10306+G10311)*(1+G2/100),2)</f>
        <v>0</v>
      </c>
      <c r="G10312" s="30"/>
    </row>
    <row r="10313" spans="1:7" ht="39.84" thickBot="1" customHeight="1">
      <c r="A10313" s="34" t="s">
        <v>32684</v>
      </c>
      <c r="B10313" s="35" t="s">
        <v>32685</v>
      </c>
      <c r="C10313" s="35" t="s">
        <v>32686</v>
      </c>
      <c r="D10313" s="36" t="s">
        <v>32687</v>
      </c>
      <c r="E10313" s="37"/>
      <c r="F10313" s="38">
        <f ca="1">F10323</f>
        <v>0</v>
      </c>
      <c r="G10313" s="37"/>
    </row>
    <row r="10314" spans="1:7" ht="21.36" thickBot="1" customHeight="1">
      <c r="A10314" s="26"/>
      <c r="B10314" s="26"/>
      <c r="C10314" s="26"/>
      <c r="D10314" s="25" t="s">
        <v>32688</v>
      </c>
      <c r="E10314" s="25"/>
      <c r="F10314" s="25"/>
      <c r="G10314" s="25"/>
    </row>
    <row r="10315" spans="1:7" ht="39.84" thickBot="1" customHeight="1">
      <c r="A10315" s="24" t="s">
        <v>32689</v>
      </c>
      <c r="B10315" s="24" t="s">
        <v>32690</v>
      </c>
      <c r="C10315" s="24" t="s">
        <v>32691</v>
      </c>
      <c r="D10315" s="25" t="s">
        <v>32692</v>
      </c>
      <c r="E10315" s="28">
        <v>0.02200</v>
      </c>
      <c r="F10315" s="29">
        <f ca="1">ROUND(41.250,3)</f>
        <v>0</v>
      </c>
      <c r="G10315" s="27">
        <f ca="1">ROUND(E10315*F10315,2)</f>
        <v>0</v>
      </c>
    </row>
    <row r="10316" spans="1:7" ht="30.60" thickBot="1" customHeight="1">
      <c r="A10316" s="24" t="s">
        <v>32693</v>
      </c>
      <c r="B10316" s="24" t="s">
        <v>32694</v>
      </c>
      <c r="C10316" s="24" t="s">
        <v>32695</v>
      </c>
      <c r="D10316" s="25" t="s">
        <v>32696</v>
      </c>
      <c r="E10316" s="28">
        <v>3.20000</v>
      </c>
      <c r="F10316" s="29">
        <f ca="1">ROUND(1.470,3)</f>
        <v>0</v>
      </c>
      <c r="G10316" s="27">
        <f ca="1">ROUND(E10316*F10316,2)</f>
        <v>0</v>
      </c>
    </row>
    <row r="10317" spans="1:7" ht="21.36" thickBot="1" customHeight="1">
      <c r="A10317" s="24" t="s">
        <v>32697</v>
      </c>
      <c r="B10317" s="24" t="s">
        <v>32698</v>
      </c>
      <c r="C10317" s="24" t="s">
        <v>32699</v>
      </c>
      <c r="D10317" s="25" t="s">
        <v>32700</v>
      </c>
      <c r="E10317" s="28">
        <v>0.26667</v>
      </c>
      <c r="F10317" s="29">
        <f ca="1">F10321</f>
        <v>0</v>
      </c>
      <c r="G10317" s="27">
        <f ca="1">ROUND(E10317*F10317,2)</f>
        <v>0</v>
      </c>
    </row>
    <row r="10318" spans="1:7" ht="24.36" thickBot="1" customHeight="1">
      <c r="A10318" s="24" t="s">
        <v>32701</v>
      </c>
      <c r="B10318" s="24" t="s">
        <v>32702</v>
      </c>
      <c r="C10318" s="24" t="s">
        <v>32703</v>
      </c>
      <c r="D10318" s="25" t="s">
        <v>32704</v>
      </c>
      <c r="E10318" s="28">
        <v>1.00000</v>
      </c>
      <c r="F10318" s="29">
        <f ca="1">ROUND(21.000,3)</f>
        <v>0</v>
      </c>
      <c r="G10318" s="27">
        <f ca="1">ROUND(E10318*F10318,2)</f>
        <v>0</v>
      </c>
    </row>
    <row r="10319" spans="1:7" ht="24.36" thickBot="1" customHeight="1">
      <c r="A10319" s="24" t="s">
        <v>32705</v>
      </c>
      <c r="B10319" s="24" t="s">
        <v>32706</v>
      </c>
      <c r="C10319" s="24" t="s">
        <v>32707</v>
      </c>
      <c r="D10319" s="25" t="s">
        <v>32708</v>
      </c>
      <c r="E10319" s="28">
        <v>1.00000</v>
      </c>
      <c r="F10319" s="29">
        <f ca="1">ROUND(19.000,3)</f>
        <v>0</v>
      </c>
      <c r="G10319" s="27">
        <f ca="1">ROUND(E10319*F10319,2)</f>
        <v>0</v>
      </c>
    </row>
    <row r="10320" spans="1:7" ht="24.36" thickBot="1" customHeight="1">
      <c r="A10320" s="24" t="s">
        <v>32709</v>
      </c>
      <c r="B10320" s="24" t="s">
        <v>32710</v>
      </c>
      <c r="C10320" s="24" t="s">
        <v>32711</v>
      </c>
      <c r="D10320" s="25" t="s">
        <v>32712</v>
      </c>
      <c r="E10320" s="28">
        <v>0.20000</v>
      </c>
      <c r="F10320" s="29">
        <f ca="1">ROUND(19.000,3)</f>
        <v>0</v>
      </c>
      <c r="G10320" s="27">
        <f ca="1">ROUND(E10320*F10320,2)</f>
        <v>0</v>
      </c>
    </row>
    <row r="10321" spans="1:7" ht="15.12" thickBot="1" customHeight="1">
      <c r="A10321" s="26"/>
      <c r="B10321" s="26"/>
      <c r="C10321" s="26"/>
      <c r="D10321" s="24" t="s">
        <v>32713</v>
      </c>
      <c r="E10321" s="28">
        <v>0.26667</v>
      </c>
      <c r="F10321" s="29">
        <f ca="1">ROUND((G10318+G10319+G10320),3)</f>
        <v>0</v>
      </c>
      <c r="G10321" s="27">
        <f ca="1">ROUND(E10321*F10321,2)</f>
        <v>0</v>
      </c>
    </row>
    <row r="10322" spans="1:7" ht="15.12" thickBot="1" customHeight="1">
      <c r="A10322" s="24" t="s">
        <v>32714</v>
      </c>
      <c r="B10322" s="24"/>
      <c r="C10322" s="24" t="s">
        <v>32715</v>
      </c>
      <c r="D10322" s="25" t="s">
        <v>32716</v>
      </c>
      <c r="E10322" s="28">
        <v>5.00000</v>
      </c>
      <c r="F10322" s="29">
        <f ca="1">ROUND(11.680,3)</f>
        <v>0</v>
      </c>
      <c r="G10322" s="27">
        <f ca="1">ROUND((E10322*F10322)/100,2)</f>
        <v>0</v>
      </c>
    </row>
    <row r="10323" spans="1:7" ht="25.08" thickBot="1" customHeight="1">
      <c r="A10323" s="30"/>
      <c r="B10323" s="30"/>
      <c r="C10323" s="30"/>
      <c r="D10323" s="31" t="s">
        <v>32717</v>
      </c>
      <c r="E10323" s="30"/>
      <c r="F10323" s="33">
        <f ca="1">ROUND((G10315+G10316+G10317+G10322)*(1+G2/100),2)</f>
        <v>0</v>
      </c>
      <c r="G10323" s="30"/>
    </row>
    <row r="10324" spans="1:7" ht="39.84" thickBot="1" customHeight="1">
      <c r="A10324" s="34" t="s">
        <v>32718</v>
      </c>
      <c r="B10324" s="35" t="s">
        <v>32719</v>
      </c>
      <c r="C10324" s="35" t="s">
        <v>32720</v>
      </c>
      <c r="D10324" s="36" t="s">
        <v>32721</v>
      </c>
      <c r="E10324" s="37"/>
      <c r="F10324" s="38">
        <f ca="1">F10334</f>
        <v>0</v>
      </c>
      <c r="G10324" s="37"/>
    </row>
    <row r="10325" spans="1:7" ht="21.36" thickBot="1" customHeight="1">
      <c r="A10325" s="26"/>
      <c r="B10325" s="26"/>
      <c r="C10325" s="26"/>
      <c r="D10325" s="25" t="s">
        <v>32722</v>
      </c>
      <c r="E10325" s="25"/>
      <c r="F10325" s="25"/>
      <c r="G10325" s="25"/>
    </row>
    <row r="10326" spans="1:7" ht="30.60" thickBot="1" customHeight="1">
      <c r="A10326" s="24" t="s">
        <v>32723</v>
      </c>
      <c r="B10326" s="24" t="s">
        <v>32724</v>
      </c>
      <c r="C10326" s="24" t="s">
        <v>32725</v>
      </c>
      <c r="D10326" s="25" t="s">
        <v>32726</v>
      </c>
      <c r="E10326" s="28">
        <v>0.02200</v>
      </c>
      <c r="F10326" s="29">
        <f ca="1">ROUND(27.500,3)</f>
        <v>0</v>
      </c>
      <c r="G10326" s="27">
        <f ca="1">ROUND(E10326*F10326,2)</f>
        <v>0</v>
      </c>
    </row>
    <row r="10327" spans="1:7" ht="30.60" thickBot="1" customHeight="1">
      <c r="A10327" s="24" t="s">
        <v>32727</v>
      </c>
      <c r="B10327" s="24" t="s">
        <v>32728</v>
      </c>
      <c r="C10327" s="24" t="s">
        <v>32729</v>
      </c>
      <c r="D10327" s="25" t="s">
        <v>32730</v>
      </c>
      <c r="E10327" s="28">
        <v>1.60000</v>
      </c>
      <c r="F10327" s="29">
        <f ca="1">ROUND(1.470,3)</f>
        <v>0</v>
      </c>
      <c r="G10327" s="27">
        <f ca="1">ROUND(E10327*F10327,2)</f>
        <v>0</v>
      </c>
    </row>
    <row r="10328" spans="1:7" ht="21.36" thickBot="1" customHeight="1">
      <c r="A10328" s="24" t="s">
        <v>32731</v>
      </c>
      <c r="B10328" s="24" t="s">
        <v>32732</v>
      </c>
      <c r="C10328" s="24" t="s">
        <v>32733</v>
      </c>
      <c r="D10328" s="25" t="s">
        <v>32734</v>
      </c>
      <c r="E10328" s="28">
        <v>0.16000</v>
      </c>
      <c r="F10328" s="29">
        <f ca="1">F10332</f>
        <v>0</v>
      </c>
      <c r="G10328" s="27">
        <f ca="1">ROUND(E10328*F10328,2)</f>
        <v>0</v>
      </c>
    </row>
    <row r="10329" spans="1:7" ht="24.36" thickBot="1" customHeight="1">
      <c r="A10329" s="24" t="s">
        <v>32735</v>
      </c>
      <c r="B10329" s="24" t="s">
        <v>32736</v>
      </c>
      <c r="C10329" s="24" t="s">
        <v>32737</v>
      </c>
      <c r="D10329" s="25" t="s">
        <v>32738</v>
      </c>
      <c r="E10329" s="28">
        <v>1.00000</v>
      </c>
      <c r="F10329" s="29">
        <f ca="1">ROUND(21.000,3)</f>
        <v>0</v>
      </c>
      <c r="G10329" s="27">
        <f ca="1">ROUND(E10329*F10329,2)</f>
        <v>0</v>
      </c>
    </row>
    <row r="10330" spans="1:7" ht="24.36" thickBot="1" customHeight="1">
      <c r="A10330" s="24" t="s">
        <v>32739</v>
      </c>
      <c r="B10330" s="24" t="s">
        <v>32740</v>
      </c>
      <c r="C10330" s="24" t="s">
        <v>32741</v>
      </c>
      <c r="D10330" s="25" t="s">
        <v>32742</v>
      </c>
      <c r="E10330" s="28">
        <v>1.00000</v>
      </c>
      <c r="F10330" s="29">
        <f ca="1">ROUND(19.000,3)</f>
        <v>0</v>
      </c>
      <c r="G10330" s="27">
        <f ca="1">ROUND(E10330*F10330,2)</f>
        <v>0</v>
      </c>
    </row>
    <row r="10331" spans="1:7" ht="24.36" thickBot="1" customHeight="1">
      <c r="A10331" s="24" t="s">
        <v>32743</v>
      </c>
      <c r="B10331" s="24" t="s">
        <v>32744</v>
      </c>
      <c r="C10331" s="24" t="s">
        <v>32745</v>
      </c>
      <c r="D10331" s="25" t="s">
        <v>32746</v>
      </c>
      <c r="E10331" s="28">
        <v>0.20000</v>
      </c>
      <c r="F10331" s="29">
        <f ca="1">ROUND(19.000,3)</f>
        <v>0</v>
      </c>
      <c r="G10331" s="27">
        <f ca="1">ROUND(E10331*F10331,2)</f>
        <v>0</v>
      </c>
    </row>
    <row r="10332" spans="1:7" ht="15.12" thickBot="1" customHeight="1">
      <c r="A10332" s="26"/>
      <c r="B10332" s="26"/>
      <c r="C10332" s="26"/>
      <c r="D10332" s="24" t="s">
        <v>32747</v>
      </c>
      <c r="E10332" s="28">
        <v>0.16000</v>
      </c>
      <c r="F10332" s="29">
        <f ca="1">ROUND((G10329+G10330+G10331),3)</f>
        <v>0</v>
      </c>
      <c r="G10332" s="27">
        <f ca="1">ROUND(E10332*F10332,2)</f>
        <v>0</v>
      </c>
    </row>
    <row r="10333" spans="1:7" ht="15.12" thickBot="1" customHeight="1">
      <c r="A10333" s="24" t="s">
        <v>32748</v>
      </c>
      <c r="B10333" s="24"/>
      <c r="C10333" s="24" t="s">
        <v>32749</v>
      </c>
      <c r="D10333" s="25" t="s">
        <v>32750</v>
      </c>
      <c r="E10333" s="28">
        <v>5.00000</v>
      </c>
      <c r="F10333" s="29">
        <f ca="1">ROUND(7.010,3)</f>
        <v>0</v>
      </c>
      <c r="G10333" s="27">
        <f ca="1">ROUND((E10333*F10333)/100,2)</f>
        <v>0</v>
      </c>
    </row>
    <row r="10334" spans="1:7" ht="25.08" thickBot="1" customHeight="1">
      <c r="A10334" s="30"/>
      <c r="B10334" s="30"/>
      <c r="C10334" s="30"/>
      <c r="D10334" s="31" t="s">
        <v>32751</v>
      </c>
      <c r="E10334" s="30"/>
      <c r="F10334" s="33">
        <f ca="1">ROUND((G10326+G10327+G10328+G10333)*(1+G2/100),2)</f>
        <v>0</v>
      </c>
      <c r="G10334" s="30"/>
    </row>
    <row r="10335" spans="1:7" ht="39.84" thickBot="1" customHeight="1">
      <c r="A10335" s="34" t="s">
        <v>32752</v>
      </c>
      <c r="B10335" s="35" t="s">
        <v>32753</v>
      </c>
      <c r="C10335" s="35" t="s">
        <v>32754</v>
      </c>
      <c r="D10335" s="36" t="s">
        <v>32755</v>
      </c>
      <c r="E10335" s="37"/>
      <c r="F10335" s="38">
        <f ca="1">F10345</f>
        <v>0</v>
      </c>
      <c r="G10335" s="37"/>
    </row>
    <row r="10336" spans="1:7" ht="21.36" thickBot="1" customHeight="1">
      <c r="A10336" s="26"/>
      <c r="B10336" s="26"/>
      <c r="C10336" s="26"/>
      <c r="D10336" s="25" t="s">
        <v>32756</v>
      </c>
      <c r="E10336" s="25"/>
      <c r="F10336" s="25"/>
      <c r="G10336" s="25"/>
    </row>
    <row r="10337" spans="1:7" ht="30.60" thickBot="1" customHeight="1">
      <c r="A10337" s="24" t="s">
        <v>32757</v>
      </c>
      <c r="B10337" s="24" t="s">
        <v>32758</v>
      </c>
      <c r="C10337" s="24" t="s">
        <v>32759</v>
      </c>
      <c r="D10337" s="25" t="s">
        <v>32760</v>
      </c>
      <c r="E10337" s="28">
        <v>0.02200</v>
      </c>
      <c r="F10337" s="29">
        <f ca="1">ROUND(27.500,3)</f>
        <v>0</v>
      </c>
      <c r="G10337" s="27">
        <f ca="1">ROUND(E10337*F10337,2)</f>
        <v>0</v>
      </c>
    </row>
    <row r="10338" spans="1:7" ht="30.60" thickBot="1" customHeight="1">
      <c r="A10338" s="24" t="s">
        <v>32761</v>
      </c>
      <c r="B10338" s="24" t="s">
        <v>32762</v>
      </c>
      <c r="C10338" s="24" t="s">
        <v>32763</v>
      </c>
      <c r="D10338" s="25" t="s">
        <v>32764</v>
      </c>
      <c r="E10338" s="28">
        <v>2.40000</v>
      </c>
      <c r="F10338" s="29">
        <f ca="1">ROUND(1.470,3)</f>
        <v>0</v>
      </c>
      <c r="G10338" s="27">
        <f ca="1">ROUND(E10338*F10338,2)</f>
        <v>0</v>
      </c>
    </row>
    <row r="10339" spans="1:7" ht="21.36" thickBot="1" customHeight="1">
      <c r="A10339" s="24" t="s">
        <v>32765</v>
      </c>
      <c r="B10339" s="24" t="s">
        <v>32766</v>
      </c>
      <c r="C10339" s="24" t="s">
        <v>32767</v>
      </c>
      <c r="D10339" s="25" t="s">
        <v>32768</v>
      </c>
      <c r="E10339" s="28">
        <v>0.22000</v>
      </c>
      <c r="F10339" s="29">
        <f ca="1">F10343</f>
        <v>0</v>
      </c>
      <c r="G10339" s="27">
        <f ca="1">ROUND(E10339*F10339,2)</f>
        <v>0</v>
      </c>
    </row>
    <row r="10340" spans="1:7" ht="24.36" thickBot="1" customHeight="1">
      <c r="A10340" s="24" t="s">
        <v>32769</v>
      </c>
      <c r="B10340" s="24" t="s">
        <v>32770</v>
      </c>
      <c r="C10340" s="24" t="s">
        <v>32771</v>
      </c>
      <c r="D10340" s="25" t="s">
        <v>32772</v>
      </c>
      <c r="E10340" s="28">
        <v>1.00000</v>
      </c>
      <c r="F10340" s="29">
        <f ca="1">ROUND(21.000,3)</f>
        <v>0</v>
      </c>
      <c r="G10340" s="27">
        <f ca="1">ROUND(E10340*F10340,2)</f>
        <v>0</v>
      </c>
    </row>
    <row r="10341" spans="1:7" ht="24.36" thickBot="1" customHeight="1">
      <c r="A10341" s="24" t="s">
        <v>32773</v>
      </c>
      <c r="B10341" s="24" t="s">
        <v>32774</v>
      </c>
      <c r="C10341" s="24" t="s">
        <v>32775</v>
      </c>
      <c r="D10341" s="25" t="s">
        <v>32776</v>
      </c>
      <c r="E10341" s="28">
        <v>1.00000</v>
      </c>
      <c r="F10341" s="29">
        <f ca="1">ROUND(19.000,3)</f>
        <v>0</v>
      </c>
      <c r="G10341" s="27">
        <f ca="1">ROUND(E10341*F10341,2)</f>
        <v>0</v>
      </c>
    </row>
    <row r="10342" spans="1:7" ht="24.36" thickBot="1" customHeight="1">
      <c r="A10342" s="24" t="s">
        <v>32777</v>
      </c>
      <c r="B10342" s="24" t="s">
        <v>32778</v>
      </c>
      <c r="C10342" s="24" t="s">
        <v>32779</v>
      </c>
      <c r="D10342" s="25" t="s">
        <v>32780</v>
      </c>
      <c r="E10342" s="28">
        <v>0.20000</v>
      </c>
      <c r="F10342" s="29">
        <f ca="1">ROUND(19.000,3)</f>
        <v>0</v>
      </c>
      <c r="G10342" s="27">
        <f ca="1">ROUND(E10342*F10342,2)</f>
        <v>0</v>
      </c>
    </row>
    <row r="10343" spans="1:7" ht="15.12" thickBot="1" customHeight="1">
      <c r="A10343" s="26"/>
      <c r="B10343" s="26"/>
      <c r="C10343" s="26"/>
      <c r="D10343" s="24" t="s">
        <v>32781</v>
      </c>
      <c r="E10343" s="28">
        <v>0.22000</v>
      </c>
      <c r="F10343" s="29">
        <f ca="1">ROUND((G10340+G10341+G10342),3)</f>
        <v>0</v>
      </c>
      <c r="G10343" s="27">
        <f ca="1">ROUND(E10343*F10343,2)</f>
        <v>0</v>
      </c>
    </row>
    <row r="10344" spans="1:7" ht="15.12" thickBot="1" customHeight="1">
      <c r="A10344" s="24" t="s">
        <v>32782</v>
      </c>
      <c r="B10344" s="24"/>
      <c r="C10344" s="24" t="s">
        <v>32783</v>
      </c>
      <c r="D10344" s="25" t="s">
        <v>32784</v>
      </c>
      <c r="E10344" s="28">
        <v>5.00000</v>
      </c>
      <c r="F10344" s="29">
        <f ca="1">ROUND(9.640,3)</f>
        <v>0</v>
      </c>
      <c r="G10344" s="27">
        <f ca="1">ROUND((E10344*F10344)/100,2)</f>
        <v>0</v>
      </c>
    </row>
    <row r="10345" spans="1:7" ht="25.08" thickBot="1" customHeight="1">
      <c r="A10345" s="30"/>
      <c r="B10345" s="30"/>
      <c r="C10345" s="30"/>
      <c r="D10345" s="31" t="s">
        <v>32785</v>
      </c>
      <c r="E10345" s="30"/>
      <c r="F10345" s="33">
        <f ca="1">ROUND((G10337+G10338+G10339+G10344)*(1+G2/100),2)</f>
        <v>0</v>
      </c>
      <c r="G10345" s="30"/>
    </row>
    <row r="10346" spans="1:7" ht="39.84" thickBot="1" customHeight="1">
      <c r="A10346" s="34" t="s">
        <v>32786</v>
      </c>
      <c r="B10346" s="35" t="s">
        <v>32787</v>
      </c>
      <c r="C10346" s="35" t="s">
        <v>32788</v>
      </c>
      <c r="D10346" s="36" t="s">
        <v>32789</v>
      </c>
      <c r="E10346" s="37"/>
      <c r="F10346" s="38">
        <f ca="1">F10356</f>
        <v>0</v>
      </c>
      <c r="G10346" s="37"/>
    </row>
    <row r="10347" spans="1:7" ht="21.36" thickBot="1" customHeight="1">
      <c r="A10347" s="26"/>
      <c r="B10347" s="26"/>
      <c r="C10347" s="26"/>
      <c r="D10347" s="25" t="s">
        <v>32790</v>
      </c>
      <c r="E10347" s="25"/>
      <c r="F10347" s="25"/>
      <c r="G10347" s="25"/>
    </row>
    <row r="10348" spans="1:7" ht="30.60" thickBot="1" customHeight="1">
      <c r="A10348" s="24" t="s">
        <v>32791</v>
      </c>
      <c r="B10348" s="24" t="s">
        <v>32792</v>
      </c>
      <c r="C10348" s="24" t="s">
        <v>32793</v>
      </c>
      <c r="D10348" s="25" t="s">
        <v>32794</v>
      </c>
      <c r="E10348" s="28">
        <v>0.02200</v>
      </c>
      <c r="F10348" s="29">
        <f ca="1">ROUND(27.500,3)</f>
        <v>0</v>
      </c>
      <c r="G10348" s="27">
        <f ca="1">ROUND(E10348*F10348,2)</f>
        <v>0</v>
      </c>
    </row>
    <row r="10349" spans="1:7" ht="30.60" thickBot="1" customHeight="1">
      <c r="A10349" s="24" t="s">
        <v>32795</v>
      </c>
      <c r="B10349" s="24" t="s">
        <v>32796</v>
      </c>
      <c r="C10349" s="24" t="s">
        <v>32797</v>
      </c>
      <c r="D10349" s="25" t="s">
        <v>32798</v>
      </c>
      <c r="E10349" s="28">
        <v>3.20000</v>
      </c>
      <c r="F10349" s="29">
        <f ca="1">ROUND(1.470,3)</f>
        <v>0</v>
      </c>
      <c r="G10349" s="27">
        <f ca="1">ROUND(E10349*F10349,2)</f>
        <v>0</v>
      </c>
    </row>
    <row r="10350" spans="1:7" ht="21.36" thickBot="1" customHeight="1">
      <c r="A10350" s="24" t="s">
        <v>32799</v>
      </c>
      <c r="B10350" s="24" t="s">
        <v>32800</v>
      </c>
      <c r="C10350" s="24" t="s">
        <v>32801</v>
      </c>
      <c r="D10350" s="25" t="s">
        <v>32802</v>
      </c>
      <c r="E10350" s="28">
        <v>0.26667</v>
      </c>
      <c r="F10350" s="29">
        <f ca="1">F10354</f>
        <v>0</v>
      </c>
      <c r="G10350" s="27">
        <f ca="1">ROUND(E10350*F10350,2)</f>
        <v>0</v>
      </c>
    </row>
    <row r="10351" spans="1:7" ht="24.36" thickBot="1" customHeight="1">
      <c r="A10351" s="24" t="s">
        <v>32803</v>
      </c>
      <c r="B10351" s="24" t="s">
        <v>32804</v>
      </c>
      <c r="C10351" s="24" t="s">
        <v>32805</v>
      </c>
      <c r="D10351" s="25" t="s">
        <v>32806</v>
      </c>
      <c r="E10351" s="28">
        <v>1.00000</v>
      </c>
      <c r="F10351" s="29">
        <f ca="1">ROUND(21.000,3)</f>
        <v>0</v>
      </c>
      <c r="G10351" s="27">
        <f ca="1">ROUND(E10351*F10351,2)</f>
        <v>0</v>
      </c>
    </row>
    <row r="10352" spans="1:7" ht="24.36" thickBot="1" customHeight="1">
      <c r="A10352" s="24" t="s">
        <v>32807</v>
      </c>
      <c r="B10352" s="24" t="s">
        <v>32808</v>
      </c>
      <c r="C10352" s="24" t="s">
        <v>32809</v>
      </c>
      <c r="D10352" s="25" t="s">
        <v>32810</v>
      </c>
      <c r="E10352" s="28">
        <v>1.00000</v>
      </c>
      <c r="F10352" s="29">
        <f ca="1">ROUND(19.000,3)</f>
        <v>0</v>
      </c>
      <c r="G10352" s="27">
        <f ca="1">ROUND(E10352*F10352,2)</f>
        <v>0</v>
      </c>
    </row>
    <row r="10353" spans="1:7" ht="24.36" thickBot="1" customHeight="1">
      <c r="A10353" s="24" t="s">
        <v>32811</v>
      </c>
      <c r="B10353" s="24" t="s">
        <v>32812</v>
      </c>
      <c r="C10353" s="24" t="s">
        <v>32813</v>
      </c>
      <c r="D10353" s="25" t="s">
        <v>32814</v>
      </c>
      <c r="E10353" s="28">
        <v>0.20000</v>
      </c>
      <c r="F10353" s="29">
        <f ca="1">ROUND(19.000,3)</f>
        <v>0</v>
      </c>
      <c r="G10353" s="27">
        <f ca="1">ROUND(E10353*F10353,2)</f>
        <v>0</v>
      </c>
    </row>
    <row r="10354" spans="1:7" ht="15.12" thickBot="1" customHeight="1">
      <c r="A10354" s="26"/>
      <c r="B10354" s="26"/>
      <c r="C10354" s="26"/>
      <c r="D10354" s="24" t="s">
        <v>32815</v>
      </c>
      <c r="E10354" s="28">
        <v>0.26667</v>
      </c>
      <c r="F10354" s="29">
        <f ca="1">ROUND((G10351+G10352+G10353),3)</f>
        <v>0</v>
      </c>
      <c r="G10354" s="27">
        <f ca="1">ROUND(E10354*F10354,2)</f>
        <v>0</v>
      </c>
    </row>
    <row r="10355" spans="1:7" ht="15.12" thickBot="1" customHeight="1">
      <c r="A10355" s="24" t="s">
        <v>32816</v>
      </c>
      <c r="B10355" s="24"/>
      <c r="C10355" s="24" t="s">
        <v>32817</v>
      </c>
      <c r="D10355" s="25" t="s">
        <v>32818</v>
      </c>
      <c r="E10355" s="28">
        <v>5.00000</v>
      </c>
      <c r="F10355" s="29">
        <f ca="1">ROUND(11.680,3)</f>
        <v>0</v>
      </c>
      <c r="G10355" s="27">
        <f ca="1">ROUND((E10355*F10355)/100,2)</f>
        <v>0</v>
      </c>
    </row>
    <row r="10356" spans="1:7" ht="25.08" thickBot="1" customHeight="1">
      <c r="A10356" s="30"/>
      <c r="B10356" s="30"/>
      <c r="C10356" s="30"/>
      <c r="D10356" s="31" t="s">
        <v>32819</v>
      </c>
      <c r="E10356" s="30"/>
      <c r="F10356" s="33">
        <f ca="1">ROUND((G10348+G10349+G10350+G10355)*(1+G2/100),2)</f>
        <v>0</v>
      </c>
      <c r="G10356" s="30"/>
    </row>
    <row r="10357" spans="1:7" ht="58.32" thickBot="1" customHeight="1">
      <c r="A10357" s="34" t="s">
        <v>32820</v>
      </c>
      <c r="B10357" s="35" t="s">
        <v>32821</v>
      </c>
      <c r="C10357" s="35" t="s">
        <v>32822</v>
      </c>
      <c r="D10357" s="36" t="s">
        <v>32823</v>
      </c>
      <c r="E10357" s="37"/>
      <c r="F10357" s="38">
        <f ca="1">F10367</f>
        <v>0</v>
      </c>
      <c r="G10357" s="37"/>
    </row>
    <row r="10358" spans="1:7" ht="30.60" thickBot="1" customHeight="1">
      <c r="A10358" s="26"/>
      <c r="B10358" s="26"/>
      <c r="C10358" s="26"/>
      <c r="D10358" s="25" t="s">
        <v>32824</v>
      </c>
      <c r="E10358" s="25"/>
      <c r="F10358" s="25"/>
      <c r="G10358" s="25"/>
    </row>
    <row r="10359" spans="1:7" ht="30.60" thickBot="1" customHeight="1">
      <c r="A10359" s="24" t="s">
        <v>32825</v>
      </c>
      <c r="B10359" s="24" t="s">
        <v>32826</v>
      </c>
      <c r="C10359" s="24" t="s">
        <v>32827</v>
      </c>
      <c r="D10359" s="25" t="s">
        <v>32828</v>
      </c>
      <c r="E10359" s="28">
        <v>0.01500</v>
      </c>
      <c r="F10359" s="29">
        <f ca="1">ROUND(72.490,3)</f>
        <v>0</v>
      </c>
      <c r="G10359" s="27">
        <f ca="1">ROUND(E10359*F10359,2)</f>
        <v>0</v>
      </c>
    </row>
    <row r="10360" spans="1:7" ht="49.08" thickBot="1" customHeight="1">
      <c r="A10360" s="24" t="s">
        <v>32829</v>
      </c>
      <c r="B10360" s="24" t="s">
        <v>32830</v>
      </c>
      <c r="C10360" s="24" t="s">
        <v>32831</v>
      </c>
      <c r="D10360" s="25" t="s">
        <v>32832</v>
      </c>
      <c r="E10360" s="28">
        <v>0.50000</v>
      </c>
      <c r="F10360" s="29">
        <f ca="1">ROUND(8.930,3)</f>
        <v>0</v>
      </c>
      <c r="G10360" s="27">
        <f ca="1">ROUND(E10360*F10360,2)</f>
        <v>0</v>
      </c>
    </row>
    <row r="10361" spans="1:7" ht="21.36" thickBot="1" customHeight="1">
      <c r="A10361" s="24" t="s">
        <v>32833</v>
      </c>
      <c r="B10361" s="24" t="s">
        <v>32834</v>
      </c>
      <c r="C10361" s="24" t="s">
        <v>32835</v>
      </c>
      <c r="D10361" s="25" t="s">
        <v>32836</v>
      </c>
      <c r="E10361" s="28">
        <v>0.26667</v>
      </c>
      <c r="F10361" s="29">
        <f ca="1">F10365</f>
        <v>0</v>
      </c>
      <c r="G10361" s="27">
        <f ca="1">ROUND(E10361*F10361,2)</f>
        <v>0</v>
      </c>
    </row>
    <row r="10362" spans="1:7" ht="24.36" thickBot="1" customHeight="1">
      <c r="A10362" s="24" t="s">
        <v>32837</v>
      </c>
      <c r="B10362" s="24" t="s">
        <v>32838</v>
      </c>
      <c r="C10362" s="24" t="s">
        <v>32839</v>
      </c>
      <c r="D10362" s="25" t="s">
        <v>32840</v>
      </c>
      <c r="E10362" s="28">
        <v>1.00000</v>
      </c>
      <c r="F10362" s="29">
        <f ca="1">ROUND(21.000,3)</f>
        <v>0</v>
      </c>
      <c r="G10362" s="27">
        <f ca="1">ROUND(E10362*F10362,2)</f>
        <v>0</v>
      </c>
    </row>
    <row r="10363" spans="1:7" ht="24.36" thickBot="1" customHeight="1">
      <c r="A10363" s="24" t="s">
        <v>32841</v>
      </c>
      <c r="B10363" s="24" t="s">
        <v>32842</v>
      </c>
      <c r="C10363" s="24" t="s">
        <v>32843</v>
      </c>
      <c r="D10363" s="25" t="s">
        <v>32844</v>
      </c>
      <c r="E10363" s="28">
        <v>1.00000</v>
      </c>
      <c r="F10363" s="29">
        <f ca="1">ROUND(19.000,3)</f>
        <v>0</v>
      </c>
      <c r="G10363" s="27">
        <f ca="1">ROUND(E10363*F10363,2)</f>
        <v>0</v>
      </c>
    </row>
    <row r="10364" spans="1:7" ht="24.36" thickBot="1" customHeight="1">
      <c r="A10364" s="24" t="s">
        <v>32845</v>
      </c>
      <c r="B10364" s="24" t="s">
        <v>32846</v>
      </c>
      <c r="C10364" s="24" t="s">
        <v>32847</v>
      </c>
      <c r="D10364" s="25" t="s">
        <v>32848</v>
      </c>
      <c r="E10364" s="28">
        <v>0.20000</v>
      </c>
      <c r="F10364" s="29">
        <f ca="1">ROUND(19.000,3)</f>
        <v>0</v>
      </c>
      <c r="G10364" s="27">
        <f ca="1">ROUND(E10364*F10364,2)</f>
        <v>0</v>
      </c>
    </row>
    <row r="10365" spans="1:7" ht="15.12" thickBot="1" customHeight="1">
      <c r="A10365" s="26"/>
      <c r="B10365" s="26"/>
      <c r="C10365" s="26"/>
      <c r="D10365" s="24" t="s">
        <v>32849</v>
      </c>
      <c r="E10365" s="28">
        <v>0.26667</v>
      </c>
      <c r="F10365" s="29">
        <f ca="1">ROUND((G10362+G10363+G10364),3)</f>
        <v>0</v>
      </c>
      <c r="G10365" s="27">
        <f ca="1">ROUND(E10365*F10365,2)</f>
        <v>0</v>
      </c>
    </row>
    <row r="10366" spans="1:7" ht="15.12" thickBot="1" customHeight="1">
      <c r="A10366" s="24" t="s">
        <v>32850</v>
      </c>
      <c r="B10366" s="24"/>
      <c r="C10366" s="24" t="s">
        <v>32851</v>
      </c>
      <c r="D10366" s="25" t="s">
        <v>32852</v>
      </c>
      <c r="E10366" s="28">
        <v>5.00000</v>
      </c>
      <c r="F10366" s="29">
        <f ca="1">ROUND(11.680,3)</f>
        <v>0</v>
      </c>
      <c r="G10366" s="27">
        <f ca="1">ROUND((E10366*F10366)/100,2)</f>
        <v>0</v>
      </c>
    </row>
    <row r="10367" spans="1:7" ht="15.48" thickBot="1" customHeight="1">
      <c r="A10367" s="30"/>
      <c r="B10367" s="30"/>
      <c r="C10367" s="30"/>
      <c r="D10367" s="31" t="s">
        <v>32853</v>
      </c>
      <c r="E10367" s="30"/>
      <c r="F10367" s="33">
        <f ca="1">ROUND((G10359+G10360+G10361+G10366)*(1+G2/100),2)</f>
        <v>0</v>
      </c>
      <c r="G10367" s="30"/>
    </row>
    <row r="10368" spans="1:7" ht="67.56" thickBot="1" customHeight="1">
      <c r="A10368" s="34" t="s">
        <v>32854</v>
      </c>
      <c r="B10368" s="35" t="s">
        <v>32855</v>
      </c>
      <c r="C10368" s="35" t="s">
        <v>32856</v>
      </c>
      <c r="D10368" s="36" t="s">
        <v>32857</v>
      </c>
      <c r="E10368" s="37"/>
      <c r="F10368" s="38">
        <f ca="1">F10378</f>
        <v>0</v>
      </c>
      <c r="G10368" s="37"/>
    </row>
    <row r="10369" spans="1:7" ht="30.60" thickBot="1" customHeight="1">
      <c r="A10369" s="26"/>
      <c r="B10369" s="26"/>
      <c r="C10369" s="26"/>
      <c r="D10369" s="25" t="s">
        <v>32858</v>
      </c>
      <c r="E10369" s="25"/>
      <c r="F10369" s="25"/>
      <c r="G10369" s="25"/>
    </row>
    <row r="10370" spans="1:7" ht="30.60" thickBot="1" customHeight="1">
      <c r="A10370" s="24" t="s">
        <v>32859</v>
      </c>
      <c r="B10370" s="24" t="s">
        <v>32860</v>
      </c>
      <c r="C10370" s="24" t="s">
        <v>32861</v>
      </c>
      <c r="D10370" s="25" t="s">
        <v>32862</v>
      </c>
      <c r="E10370" s="28">
        <v>0.01500</v>
      </c>
      <c r="F10370" s="29">
        <f ca="1">ROUND(72.490,3)</f>
        <v>0</v>
      </c>
      <c r="G10370" s="27">
        <f ca="1">ROUND(E10370*F10370,2)</f>
        <v>0</v>
      </c>
    </row>
    <row r="10371" spans="1:7" ht="49.08" thickBot="1" customHeight="1">
      <c r="A10371" s="24" t="s">
        <v>32863</v>
      </c>
      <c r="B10371" s="24" t="s">
        <v>32864</v>
      </c>
      <c r="C10371" s="24" t="s">
        <v>32865</v>
      </c>
      <c r="D10371" s="25" t="s">
        <v>32866</v>
      </c>
      <c r="E10371" s="28">
        <v>0.50000</v>
      </c>
      <c r="F10371" s="29">
        <f ca="1">ROUND(8.930,3)</f>
        <v>0</v>
      </c>
      <c r="G10371" s="27">
        <f ca="1">ROUND(E10371*F10371,2)</f>
        <v>0</v>
      </c>
    </row>
    <row r="10372" spans="1:7" ht="21.36" thickBot="1" customHeight="1">
      <c r="A10372" s="24" t="s">
        <v>32867</v>
      </c>
      <c r="B10372" s="24" t="s">
        <v>32868</v>
      </c>
      <c r="C10372" s="24" t="s">
        <v>32869</v>
      </c>
      <c r="D10372" s="25" t="s">
        <v>32870</v>
      </c>
      <c r="E10372" s="28">
        <v>0.37000</v>
      </c>
      <c r="F10372" s="29">
        <f ca="1">F10376</f>
        <v>0</v>
      </c>
      <c r="G10372" s="27">
        <f ca="1">ROUND(E10372*F10372,2)</f>
        <v>0</v>
      </c>
    </row>
    <row r="10373" spans="1:7" ht="24.36" thickBot="1" customHeight="1">
      <c r="A10373" s="24" t="s">
        <v>32871</v>
      </c>
      <c r="B10373" s="24" t="s">
        <v>32872</v>
      </c>
      <c r="C10373" s="24" t="s">
        <v>32873</v>
      </c>
      <c r="D10373" s="25" t="s">
        <v>32874</v>
      </c>
      <c r="E10373" s="28">
        <v>1.00000</v>
      </c>
      <c r="F10373" s="29">
        <f ca="1">ROUND(21.000,3)</f>
        <v>0</v>
      </c>
      <c r="G10373" s="27">
        <f ca="1">ROUND(E10373*F10373,2)</f>
        <v>0</v>
      </c>
    </row>
    <row r="10374" spans="1:7" ht="24.36" thickBot="1" customHeight="1">
      <c r="A10374" s="24" t="s">
        <v>32875</v>
      </c>
      <c r="B10374" s="24" t="s">
        <v>32876</v>
      </c>
      <c r="C10374" s="24" t="s">
        <v>32877</v>
      </c>
      <c r="D10374" s="25" t="s">
        <v>32878</v>
      </c>
      <c r="E10374" s="28">
        <v>1.00000</v>
      </c>
      <c r="F10374" s="29">
        <f ca="1">ROUND(19.000,3)</f>
        <v>0</v>
      </c>
      <c r="G10374" s="27">
        <f ca="1">ROUND(E10374*F10374,2)</f>
        <v>0</v>
      </c>
    </row>
    <row r="10375" spans="1:7" ht="24.36" thickBot="1" customHeight="1">
      <c r="A10375" s="24" t="s">
        <v>32879</v>
      </c>
      <c r="B10375" s="24" t="s">
        <v>32880</v>
      </c>
      <c r="C10375" s="24" t="s">
        <v>32881</v>
      </c>
      <c r="D10375" s="25" t="s">
        <v>32882</v>
      </c>
      <c r="E10375" s="28">
        <v>0.20000</v>
      </c>
      <c r="F10375" s="29">
        <f ca="1">ROUND(19.000,3)</f>
        <v>0</v>
      </c>
      <c r="G10375" s="27">
        <f ca="1">ROUND(E10375*F10375,2)</f>
        <v>0</v>
      </c>
    </row>
    <row r="10376" spans="1:7" ht="15.12" thickBot="1" customHeight="1">
      <c r="A10376" s="26"/>
      <c r="B10376" s="26"/>
      <c r="C10376" s="26"/>
      <c r="D10376" s="24" t="s">
        <v>32883</v>
      </c>
      <c r="E10376" s="28">
        <v>0.37000</v>
      </c>
      <c r="F10376" s="29">
        <f ca="1">ROUND((G10373+G10374+G10375),3)</f>
        <v>0</v>
      </c>
      <c r="G10376" s="27">
        <f ca="1">ROUND(E10376*F10376,2)</f>
        <v>0</v>
      </c>
    </row>
    <row r="10377" spans="1:7" ht="15.12" thickBot="1" customHeight="1">
      <c r="A10377" s="24" t="s">
        <v>32884</v>
      </c>
      <c r="B10377" s="24"/>
      <c r="C10377" s="24" t="s">
        <v>32885</v>
      </c>
      <c r="D10377" s="25" t="s">
        <v>32886</v>
      </c>
      <c r="E10377" s="28">
        <v>5.00000</v>
      </c>
      <c r="F10377" s="29">
        <f ca="1">ROUND(16.210,3)</f>
        <v>0</v>
      </c>
      <c r="G10377" s="27">
        <f ca="1">ROUND((E10377*F10377)/100,2)</f>
        <v>0</v>
      </c>
    </row>
    <row r="10378" spans="1:7" ht="15.48" thickBot="1" customHeight="1">
      <c r="A10378" s="30"/>
      <c r="B10378" s="30"/>
      <c r="C10378" s="30"/>
      <c r="D10378" s="31" t="s">
        <v>32887</v>
      </c>
      <c r="E10378" s="30"/>
      <c r="F10378" s="33">
        <f ca="1">ROUND((G10370+G10371+G10372+G10377)*(1+G2/100),2)</f>
        <v>0</v>
      </c>
      <c r="G10378" s="30"/>
    </row>
    <row r="10379" spans="1:7" ht="58.32" thickBot="1" customHeight="1">
      <c r="A10379" s="34" t="s">
        <v>32888</v>
      </c>
      <c r="B10379" s="35" t="s">
        <v>32889</v>
      </c>
      <c r="C10379" s="35" t="s">
        <v>32890</v>
      </c>
      <c r="D10379" s="36" t="s">
        <v>32891</v>
      </c>
      <c r="E10379" s="37"/>
      <c r="F10379" s="38">
        <f ca="1">F10389</f>
        <v>0</v>
      </c>
      <c r="G10379" s="37"/>
    </row>
    <row r="10380" spans="1:7" ht="30.60" thickBot="1" customHeight="1">
      <c r="A10380" s="26"/>
      <c r="B10380" s="26"/>
      <c r="C10380" s="26"/>
      <c r="D10380" s="25" t="s">
        <v>32892</v>
      </c>
      <c r="E10380" s="25"/>
      <c r="F10380" s="25"/>
      <c r="G10380" s="25"/>
    </row>
    <row r="10381" spans="1:7" ht="30.60" thickBot="1" customHeight="1">
      <c r="A10381" s="24" t="s">
        <v>32893</v>
      </c>
      <c r="B10381" s="24" t="s">
        <v>32894</v>
      </c>
      <c r="C10381" s="24" t="s">
        <v>32895</v>
      </c>
      <c r="D10381" s="25" t="s">
        <v>32896</v>
      </c>
      <c r="E10381" s="28">
        <v>0.01500</v>
      </c>
      <c r="F10381" s="29">
        <f ca="1">ROUND(72.490,3)</f>
        <v>0</v>
      </c>
      <c r="G10381" s="27">
        <f ca="1">ROUND(E10381*F10381,2)</f>
        <v>0</v>
      </c>
    </row>
    <row r="10382" spans="1:7" ht="49.08" thickBot="1" customHeight="1">
      <c r="A10382" s="24" t="s">
        <v>32897</v>
      </c>
      <c r="B10382" s="24" t="s">
        <v>32898</v>
      </c>
      <c r="C10382" s="24" t="s">
        <v>32899</v>
      </c>
      <c r="D10382" s="25" t="s">
        <v>32900</v>
      </c>
      <c r="E10382" s="28">
        <v>0.70000</v>
      </c>
      <c r="F10382" s="29">
        <f ca="1">ROUND(8.930,3)</f>
        <v>0</v>
      </c>
      <c r="G10382" s="27">
        <f ca="1">ROUND(E10382*F10382,2)</f>
        <v>0</v>
      </c>
    </row>
    <row r="10383" spans="1:7" ht="21.36" thickBot="1" customHeight="1">
      <c r="A10383" s="24" t="s">
        <v>32901</v>
      </c>
      <c r="B10383" s="24" t="s">
        <v>32902</v>
      </c>
      <c r="C10383" s="24" t="s">
        <v>32903</v>
      </c>
      <c r="D10383" s="25" t="s">
        <v>32904</v>
      </c>
      <c r="E10383" s="28">
        <v>0.30000</v>
      </c>
      <c r="F10383" s="29">
        <f ca="1">F10387</f>
        <v>0</v>
      </c>
      <c r="G10383" s="27">
        <f ca="1">ROUND(E10383*F10383,2)</f>
        <v>0</v>
      </c>
    </row>
    <row r="10384" spans="1:7" ht="24.36" thickBot="1" customHeight="1">
      <c r="A10384" s="24" t="s">
        <v>32905</v>
      </c>
      <c r="B10384" s="24" t="s">
        <v>32906</v>
      </c>
      <c r="C10384" s="24" t="s">
        <v>32907</v>
      </c>
      <c r="D10384" s="25" t="s">
        <v>32908</v>
      </c>
      <c r="E10384" s="28">
        <v>1.00000</v>
      </c>
      <c r="F10384" s="29">
        <f ca="1">ROUND(21.000,3)</f>
        <v>0</v>
      </c>
      <c r="G10384" s="27">
        <f ca="1">ROUND(E10384*F10384,2)</f>
        <v>0</v>
      </c>
    </row>
    <row r="10385" spans="1:7" ht="24.36" thickBot="1" customHeight="1">
      <c r="A10385" s="24" t="s">
        <v>32909</v>
      </c>
      <c r="B10385" s="24" t="s">
        <v>32910</v>
      </c>
      <c r="C10385" s="24" t="s">
        <v>32911</v>
      </c>
      <c r="D10385" s="25" t="s">
        <v>32912</v>
      </c>
      <c r="E10385" s="28">
        <v>1.00000</v>
      </c>
      <c r="F10385" s="29">
        <f ca="1">ROUND(19.000,3)</f>
        <v>0</v>
      </c>
      <c r="G10385" s="27">
        <f ca="1">ROUND(E10385*F10385,2)</f>
        <v>0</v>
      </c>
    </row>
    <row r="10386" spans="1:7" ht="24.36" thickBot="1" customHeight="1">
      <c r="A10386" s="24" t="s">
        <v>32913</v>
      </c>
      <c r="B10386" s="24" t="s">
        <v>32914</v>
      </c>
      <c r="C10386" s="24" t="s">
        <v>32915</v>
      </c>
      <c r="D10386" s="25" t="s">
        <v>32916</v>
      </c>
      <c r="E10386" s="28">
        <v>0.20000</v>
      </c>
      <c r="F10386" s="29">
        <f ca="1">ROUND(19.000,3)</f>
        <v>0</v>
      </c>
      <c r="G10386" s="27">
        <f ca="1">ROUND(E10386*F10386,2)</f>
        <v>0</v>
      </c>
    </row>
    <row r="10387" spans="1:7" ht="15.12" thickBot="1" customHeight="1">
      <c r="A10387" s="26"/>
      <c r="B10387" s="26"/>
      <c r="C10387" s="26"/>
      <c r="D10387" s="24" t="s">
        <v>32917</v>
      </c>
      <c r="E10387" s="28">
        <v>0.30000</v>
      </c>
      <c r="F10387" s="29">
        <f ca="1">ROUND((G10384+G10385+G10386),3)</f>
        <v>0</v>
      </c>
      <c r="G10387" s="27">
        <f ca="1">ROUND(E10387*F10387,2)</f>
        <v>0</v>
      </c>
    </row>
    <row r="10388" spans="1:7" ht="15.12" thickBot="1" customHeight="1">
      <c r="A10388" s="24" t="s">
        <v>32918</v>
      </c>
      <c r="B10388" s="24"/>
      <c r="C10388" s="24" t="s">
        <v>32919</v>
      </c>
      <c r="D10388" s="25" t="s">
        <v>32920</v>
      </c>
      <c r="E10388" s="28">
        <v>5.00000</v>
      </c>
      <c r="F10388" s="29">
        <f ca="1">ROUND(13.140,3)</f>
        <v>0</v>
      </c>
      <c r="G10388" s="27">
        <f ca="1">ROUND((E10388*F10388)/100,2)</f>
        <v>0</v>
      </c>
    </row>
    <row r="10389" spans="1:7" ht="15.48" thickBot="1" customHeight="1">
      <c r="A10389" s="30"/>
      <c r="B10389" s="30"/>
      <c r="C10389" s="30"/>
      <c r="D10389" s="31" t="s">
        <v>32921</v>
      </c>
      <c r="E10389" s="30"/>
      <c r="F10389" s="33">
        <f ca="1">ROUND((G10381+G10382+G10383+G10388)*(1+G2/100),2)</f>
        <v>0</v>
      </c>
      <c r="G10389" s="30"/>
    </row>
    <row r="10390" spans="1:7" ht="67.56" thickBot="1" customHeight="1">
      <c r="A10390" s="34" t="s">
        <v>32922</v>
      </c>
      <c r="B10390" s="35" t="s">
        <v>32923</v>
      </c>
      <c r="C10390" s="35" t="s">
        <v>32924</v>
      </c>
      <c r="D10390" s="36" t="s">
        <v>32925</v>
      </c>
      <c r="E10390" s="37"/>
      <c r="F10390" s="38">
        <f ca="1">F10400</f>
        <v>0</v>
      </c>
      <c r="G10390" s="37"/>
    </row>
    <row r="10391" spans="1:7" ht="30.60" thickBot="1" customHeight="1">
      <c r="A10391" s="26"/>
      <c r="B10391" s="26"/>
      <c r="C10391" s="26"/>
      <c r="D10391" s="25" t="s">
        <v>32926</v>
      </c>
      <c r="E10391" s="25"/>
      <c r="F10391" s="25"/>
      <c r="G10391" s="25"/>
    </row>
    <row r="10392" spans="1:7" ht="30.60" thickBot="1" customHeight="1">
      <c r="A10392" s="24" t="s">
        <v>32927</v>
      </c>
      <c r="B10392" s="24" t="s">
        <v>32928</v>
      </c>
      <c r="C10392" s="24" t="s">
        <v>32929</v>
      </c>
      <c r="D10392" s="25" t="s">
        <v>32930</v>
      </c>
      <c r="E10392" s="28">
        <v>0.01500</v>
      </c>
      <c r="F10392" s="29">
        <f ca="1">ROUND(72.490,3)</f>
        <v>0</v>
      </c>
      <c r="G10392" s="27">
        <f ca="1">ROUND(E10392*F10392,2)</f>
        <v>0</v>
      </c>
    </row>
    <row r="10393" spans="1:7" ht="49.08" thickBot="1" customHeight="1">
      <c r="A10393" s="24" t="s">
        <v>32931</v>
      </c>
      <c r="B10393" s="24" t="s">
        <v>32932</v>
      </c>
      <c r="C10393" s="24" t="s">
        <v>32933</v>
      </c>
      <c r="D10393" s="25" t="s">
        <v>32934</v>
      </c>
      <c r="E10393" s="28">
        <v>0.70000</v>
      </c>
      <c r="F10393" s="29">
        <f ca="1">ROUND(8.930,3)</f>
        <v>0</v>
      </c>
      <c r="G10393" s="27">
        <f ca="1">ROUND(E10393*F10393,2)</f>
        <v>0</v>
      </c>
    </row>
    <row r="10394" spans="1:7" ht="21.36" thickBot="1" customHeight="1">
      <c r="A10394" s="24" t="s">
        <v>32935</v>
      </c>
      <c r="B10394" s="24" t="s">
        <v>32936</v>
      </c>
      <c r="C10394" s="24" t="s">
        <v>32937</v>
      </c>
      <c r="D10394" s="25" t="s">
        <v>32938</v>
      </c>
      <c r="E10394" s="28">
        <v>0.42000</v>
      </c>
      <c r="F10394" s="29">
        <f ca="1">F10398</f>
        <v>0</v>
      </c>
      <c r="G10394" s="27">
        <f ca="1">ROUND(E10394*F10394,2)</f>
        <v>0</v>
      </c>
    </row>
    <row r="10395" spans="1:7" ht="24.36" thickBot="1" customHeight="1">
      <c r="A10395" s="24" t="s">
        <v>32939</v>
      </c>
      <c r="B10395" s="24" t="s">
        <v>32940</v>
      </c>
      <c r="C10395" s="24" t="s">
        <v>32941</v>
      </c>
      <c r="D10395" s="25" t="s">
        <v>32942</v>
      </c>
      <c r="E10395" s="28">
        <v>1.00000</v>
      </c>
      <c r="F10395" s="29">
        <f ca="1">ROUND(21.000,3)</f>
        <v>0</v>
      </c>
      <c r="G10395" s="27">
        <f ca="1">ROUND(E10395*F10395,2)</f>
        <v>0</v>
      </c>
    </row>
    <row r="10396" spans="1:7" ht="24.36" thickBot="1" customHeight="1">
      <c r="A10396" s="24" t="s">
        <v>32943</v>
      </c>
      <c r="B10396" s="24" t="s">
        <v>32944</v>
      </c>
      <c r="C10396" s="24" t="s">
        <v>32945</v>
      </c>
      <c r="D10396" s="25" t="s">
        <v>32946</v>
      </c>
      <c r="E10396" s="28">
        <v>1.00000</v>
      </c>
      <c r="F10396" s="29">
        <f ca="1">ROUND(19.000,3)</f>
        <v>0</v>
      </c>
      <c r="G10396" s="27">
        <f ca="1">ROUND(E10396*F10396,2)</f>
        <v>0</v>
      </c>
    </row>
    <row r="10397" spans="1:7" ht="24.36" thickBot="1" customHeight="1">
      <c r="A10397" s="24" t="s">
        <v>32947</v>
      </c>
      <c r="B10397" s="24" t="s">
        <v>32948</v>
      </c>
      <c r="C10397" s="24" t="s">
        <v>32949</v>
      </c>
      <c r="D10397" s="25" t="s">
        <v>32950</v>
      </c>
      <c r="E10397" s="28">
        <v>0.20000</v>
      </c>
      <c r="F10397" s="29">
        <f ca="1">ROUND(19.000,3)</f>
        <v>0</v>
      </c>
      <c r="G10397" s="27">
        <f ca="1">ROUND(E10397*F10397,2)</f>
        <v>0</v>
      </c>
    </row>
    <row r="10398" spans="1:7" ht="15.12" thickBot="1" customHeight="1">
      <c r="A10398" s="26"/>
      <c r="B10398" s="26"/>
      <c r="C10398" s="26"/>
      <c r="D10398" s="24" t="s">
        <v>32951</v>
      </c>
      <c r="E10398" s="28">
        <v>0.42000</v>
      </c>
      <c r="F10398" s="29">
        <f ca="1">ROUND((G10395+G10396+G10397),3)</f>
        <v>0</v>
      </c>
      <c r="G10398" s="27">
        <f ca="1">ROUND(E10398*F10398,2)</f>
        <v>0</v>
      </c>
    </row>
    <row r="10399" spans="1:7" ht="15.12" thickBot="1" customHeight="1">
      <c r="A10399" s="24" t="s">
        <v>32952</v>
      </c>
      <c r="B10399" s="24"/>
      <c r="C10399" s="24" t="s">
        <v>32953</v>
      </c>
      <c r="D10399" s="25" t="s">
        <v>32954</v>
      </c>
      <c r="E10399" s="28">
        <v>5.00000</v>
      </c>
      <c r="F10399" s="29">
        <f ca="1">ROUND(18.400,3)</f>
        <v>0</v>
      </c>
      <c r="G10399" s="27">
        <f ca="1">ROUND((E10399*F10399)/100,2)</f>
        <v>0</v>
      </c>
    </row>
    <row r="10400" spans="1:7" ht="15.48" thickBot="1" customHeight="1">
      <c r="A10400" s="30"/>
      <c r="B10400" s="30"/>
      <c r="C10400" s="30"/>
      <c r="D10400" s="31" t="s">
        <v>32955</v>
      </c>
      <c r="E10400" s="30"/>
      <c r="F10400" s="33">
        <f ca="1">ROUND((G10392+G10393+G10394+G10399)*(1+G2/100),2)</f>
        <v>0</v>
      </c>
      <c r="G10400" s="30"/>
    </row>
    <row r="10401" spans="1:7" ht="67.56" thickBot="1" customHeight="1">
      <c r="A10401" s="34" t="s">
        <v>32956</v>
      </c>
      <c r="B10401" s="35" t="s">
        <v>32957</v>
      </c>
      <c r="C10401" s="35" t="s">
        <v>32958</v>
      </c>
      <c r="D10401" s="36" t="s">
        <v>32959</v>
      </c>
      <c r="E10401" s="37"/>
      <c r="F10401" s="38">
        <f ca="1">F10411</f>
        <v>0</v>
      </c>
      <c r="G10401" s="37"/>
    </row>
    <row r="10402" spans="1:7" ht="30.60" thickBot="1" customHeight="1">
      <c r="A10402" s="26"/>
      <c r="B10402" s="26"/>
      <c r="C10402" s="26"/>
      <c r="D10402" s="25" t="s">
        <v>32960</v>
      </c>
      <c r="E10402" s="25"/>
      <c r="F10402" s="25"/>
      <c r="G10402" s="25"/>
    </row>
    <row r="10403" spans="1:7" ht="30.60" thickBot="1" customHeight="1">
      <c r="A10403" s="24" t="s">
        <v>32961</v>
      </c>
      <c r="B10403" s="24" t="s">
        <v>32962</v>
      </c>
      <c r="C10403" s="24" t="s">
        <v>32963</v>
      </c>
      <c r="D10403" s="25" t="s">
        <v>32964</v>
      </c>
      <c r="E10403" s="28">
        <v>0.02000</v>
      </c>
      <c r="F10403" s="29">
        <f ca="1">ROUND(72.490,3)</f>
        <v>0</v>
      </c>
      <c r="G10403" s="27">
        <f ca="1">ROUND(E10403*F10403,2)</f>
        <v>0</v>
      </c>
    </row>
    <row r="10404" spans="1:7" ht="49.08" thickBot="1" customHeight="1">
      <c r="A10404" s="24" t="s">
        <v>32965</v>
      </c>
      <c r="B10404" s="24" t="s">
        <v>32966</v>
      </c>
      <c r="C10404" s="24" t="s">
        <v>32967</v>
      </c>
      <c r="D10404" s="25" t="s">
        <v>32968</v>
      </c>
      <c r="E10404" s="28">
        <v>0.85000</v>
      </c>
      <c r="F10404" s="29">
        <f ca="1">ROUND(8.930,3)</f>
        <v>0</v>
      </c>
      <c r="G10404" s="27">
        <f ca="1">ROUND(E10404*F10404,2)</f>
        <v>0</v>
      </c>
    </row>
    <row r="10405" spans="1:7" ht="21.36" thickBot="1" customHeight="1">
      <c r="A10405" s="24" t="s">
        <v>32969</v>
      </c>
      <c r="B10405" s="24" t="s">
        <v>32970</v>
      </c>
      <c r="C10405" s="24" t="s">
        <v>32971</v>
      </c>
      <c r="D10405" s="25" t="s">
        <v>32972</v>
      </c>
      <c r="E10405" s="28">
        <v>0.33330</v>
      </c>
      <c r="F10405" s="29">
        <f ca="1">F10409</f>
        <v>0</v>
      </c>
      <c r="G10405" s="27">
        <f ca="1">ROUND(E10405*F10405,2)</f>
        <v>0</v>
      </c>
    </row>
    <row r="10406" spans="1:7" ht="24.36" thickBot="1" customHeight="1">
      <c r="A10406" s="24" t="s">
        <v>32973</v>
      </c>
      <c r="B10406" s="24" t="s">
        <v>32974</v>
      </c>
      <c r="C10406" s="24" t="s">
        <v>32975</v>
      </c>
      <c r="D10406" s="25" t="s">
        <v>32976</v>
      </c>
      <c r="E10406" s="28">
        <v>1.00000</v>
      </c>
      <c r="F10406" s="29">
        <f ca="1">ROUND(21.000,3)</f>
        <v>0</v>
      </c>
      <c r="G10406" s="27">
        <f ca="1">ROUND(E10406*F10406,2)</f>
        <v>0</v>
      </c>
    </row>
    <row r="10407" spans="1:7" ht="24.36" thickBot="1" customHeight="1">
      <c r="A10407" s="24" t="s">
        <v>32977</v>
      </c>
      <c r="B10407" s="24" t="s">
        <v>32978</v>
      </c>
      <c r="C10407" s="24" t="s">
        <v>32979</v>
      </c>
      <c r="D10407" s="25" t="s">
        <v>32980</v>
      </c>
      <c r="E10407" s="28">
        <v>1.00000</v>
      </c>
      <c r="F10407" s="29">
        <f ca="1">ROUND(19.000,3)</f>
        <v>0</v>
      </c>
      <c r="G10407" s="27">
        <f ca="1">ROUND(E10407*F10407,2)</f>
        <v>0</v>
      </c>
    </row>
    <row r="10408" spans="1:7" ht="24.36" thickBot="1" customHeight="1">
      <c r="A10408" s="24" t="s">
        <v>32981</v>
      </c>
      <c r="B10408" s="24" t="s">
        <v>32982</v>
      </c>
      <c r="C10408" s="24" t="s">
        <v>32983</v>
      </c>
      <c r="D10408" s="25" t="s">
        <v>32984</v>
      </c>
      <c r="E10408" s="28">
        <v>0.20000</v>
      </c>
      <c r="F10408" s="29">
        <f ca="1">ROUND(19.000,3)</f>
        <v>0</v>
      </c>
      <c r="G10408" s="27">
        <f ca="1">ROUND(E10408*F10408,2)</f>
        <v>0</v>
      </c>
    </row>
    <row r="10409" spans="1:7" ht="15.12" thickBot="1" customHeight="1">
      <c r="A10409" s="26"/>
      <c r="B10409" s="26"/>
      <c r="C10409" s="26"/>
      <c r="D10409" s="24" t="s">
        <v>32985</v>
      </c>
      <c r="E10409" s="28">
        <v>0.33330</v>
      </c>
      <c r="F10409" s="29">
        <f ca="1">ROUND((G10406+G10407+G10408),3)</f>
        <v>0</v>
      </c>
      <c r="G10409" s="27">
        <f ca="1">ROUND(E10409*F10409,2)</f>
        <v>0</v>
      </c>
    </row>
    <row r="10410" spans="1:7" ht="15.12" thickBot="1" customHeight="1">
      <c r="A10410" s="24" t="s">
        <v>32986</v>
      </c>
      <c r="B10410" s="24"/>
      <c r="C10410" s="24" t="s">
        <v>32987</v>
      </c>
      <c r="D10410" s="25" t="s">
        <v>32988</v>
      </c>
      <c r="E10410" s="28">
        <v>5.00000</v>
      </c>
      <c r="F10410" s="29">
        <f ca="1">ROUND(14.600,3)</f>
        <v>0</v>
      </c>
      <c r="G10410" s="27">
        <f ca="1">ROUND((E10410*F10410)/100,2)</f>
        <v>0</v>
      </c>
    </row>
    <row r="10411" spans="1:7" ht="15.48" thickBot="1" customHeight="1">
      <c r="A10411" s="30"/>
      <c r="B10411" s="30"/>
      <c r="C10411" s="30"/>
      <c r="D10411" s="31" t="s">
        <v>32989</v>
      </c>
      <c r="E10411" s="30"/>
      <c r="F10411" s="33">
        <f ca="1">ROUND((G10403+G10404+G10405+G10410)*(1+G2/100),2)</f>
        <v>0</v>
      </c>
      <c r="G10411" s="30"/>
    </row>
    <row r="10412" spans="1:7" ht="67.56" thickBot="1" customHeight="1">
      <c r="A10412" s="34" t="s">
        <v>32990</v>
      </c>
      <c r="B10412" s="35" t="s">
        <v>32991</v>
      </c>
      <c r="C10412" s="35" t="s">
        <v>32992</v>
      </c>
      <c r="D10412" s="36" t="s">
        <v>32993</v>
      </c>
      <c r="E10412" s="37"/>
      <c r="F10412" s="38">
        <f ca="1">F10422</f>
        <v>0</v>
      </c>
      <c r="G10412" s="37"/>
    </row>
    <row r="10413" spans="1:7" ht="30.60" thickBot="1" customHeight="1">
      <c r="A10413" s="26"/>
      <c r="B10413" s="26"/>
      <c r="C10413" s="26"/>
      <c r="D10413" s="25" t="s">
        <v>32994</v>
      </c>
      <c r="E10413" s="25"/>
      <c r="F10413" s="25"/>
      <c r="G10413" s="25"/>
    </row>
    <row r="10414" spans="1:7" ht="30.60" thickBot="1" customHeight="1">
      <c r="A10414" s="24" t="s">
        <v>32995</v>
      </c>
      <c r="B10414" s="24" t="s">
        <v>32996</v>
      </c>
      <c r="C10414" s="24" t="s">
        <v>32997</v>
      </c>
      <c r="D10414" s="25" t="s">
        <v>32998</v>
      </c>
      <c r="E10414" s="28">
        <v>0.02000</v>
      </c>
      <c r="F10414" s="29">
        <f ca="1">ROUND(72.490,3)</f>
        <v>0</v>
      </c>
      <c r="G10414" s="27">
        <f ca="1">ROUND(E10414*F10414,2)</f>
        <v>0</v>
      </c>
    </row>
    <row r="10415" spans="1:7" ht="49.08" thickBot="1" customHeight="1">
      <c r="A10415" s="24" t="s">
        <v>32999</v>
      </c>
      <c r="B10415" s="24" t="s">
        <v>33000</v>
      </c>
      <c r="C10415" s="24" t="s">
        <v>33001</v>
      </c>
      <c r="D10415" s="25" t="s">
        <v>33002</v>
      </c>
      <c r="E10415" s="28">
        <v>0.85000</v>
      </c>
      <c r="F10415" s="29">
        <f ca="1">ROUND(8.930,3)</f>
        <v>0</v>
      </c>
      <c r="G10415" s="27">
        <f ca="1">ROUND(E10415*F10415,2)</f>
        <v>0</v>
      </c>
    </row>
    <row r="10416" spans="1:7" ht="21.36" thickBot="1" customHeight="1">
      <c r="A10416" s="24" t="s">
        <v>33003</v>
      </c>
      <c r="B10416" s="24" t="s">
        <v>33004</v>
      </c>
      <c r="C10416" s="24" t="s">
        <v>33005</v>
      </c>
      <c r="D10416" s="25" t="s">
        <v>33006</v>
      </c>
      <c r="E10416" s="28">
        <v>0.45000</v>
      </c>
      <c r="F10416" s="29">
        <f ca="1">F10420</f>
        <v>0</v>
      </c>
      <c r="G10416" s="27">
        <f ca="1">ROUND(E10416*F10416,2)</f>
        <v>0</v>
      </c>
    </row>
    <row r="10417" spans="1:7" ht="24.36" thickBot="1" customHeight="1">
      <c r="A10417" s="24" t="s">
        <v>33007</v>
      </c>
      <c r="B10417" s="24" t="s">
        <v>33008</v>
      </c>
      <c r="C10417" s="24" t="s">
        <v>33009</v>
      </c>
      <c r="D10417" s="25" t="s">
        <v>33010</v>
      </c>
      <c r="E10417" s="28">
        <v>1.00000</v>
      </c>
      <c r="F10417" s="29">
        <f ca="1">ROUND(21.000,3)</f>
        <v>0</v>
      </c>
      <c r="G10417" s="27">
        <f ca="1">ROUND(E10417*F10417,2)</f>
        <v>0</v>
      </c>
    </row>
    <row r="10418" spans="1:7" ht="24.36" thickBot="1" customHeight="1">
      <c r="A10418" s="24" t="s">
        <v>33011</v>
      </c>
      <c r="B10418" s="24" t="s">
        <v>33012</v>
      </c>
      <c r="C10418" s="24" t="s">
        <v>33013</v>
      </c>
      <c r="D10418" s="25" t="s">
        <v>33014</v>
      </c>
      <c r="E10418" s="28">
        <v>1.00000</v>
      </c>
      <c r="F10418" s="29">
        <f ca="1">ROUND(19.000,3)</f>
        <v>0</v>
      </c>
      <c r="G10418" s="27">
        <f ca="1">ROUND(E10418*F10418,2)</f>
        <v>0</v>
      </c>
    </row>
    <row r="10419" spans="1:7" ht="24.36" thickBot="1" customHeight="1">
      <c r="A10419" s="24" t="s">
        <v>33015</v>
      </c>
      <c r="B10419" s="24" t="s">
        <v>33016</v>
      </c>
      <c r="C10419" s="24" t="s">
        <v>33017</v>
      </c>
      <c r="D10419" s="25" t="s">
        <v>33018</v>
      </c>
      <c r="E10419" s="28">
        <v>0.20000</v>
      </c>
      <c r="F10419" s="29">
        <f ca="1">ROUND(19.000,3)</f>
        <v>0</v>
      </c>
      <c r="G10419" s="27">
        <f ca="1">ROUND(E10419*F10419,2)</f>
        <v>0</v>
      </c>
    </row>
    <row r="10420" spans="1:7" ht="15.12" thickBot="1" customHeight="1">
      <c r="A10420" s="26"/>
      <c r="B10420" s="26"/>
      <c r="C10420" s="26"/>
      <c r="D10420" s="24" t="s">
        <v>33019</v>
      </c>
      <c r="E10420" s="28">
        <v>0.45000</v>
      </c>
      <c r="F10420" s="29">
        <f ca="1">ROUND((G10417+G10418+G10419),3)</f>
        <v>0</v>
      </c>
      <c r="G10420" s="27">
        <f ca="1">ROUND(E10420*F10420,2)</f>
        <v>0</v>
      </c>
    </row>
    <row r="10421" spans="1:7" ht="15.12" thickBot="1" customHeight="1">
      <c r="A10421" s="24" t="s">
        <v>33020</v>
      </c>
      <c r="B10421" s="24"/>
      <c r="C10421" s="24" t="s">
        <v>33021</v>
      </c>
      <c r="D10421" s="25" t="s">
        <v>33022</v>
      </c>
      <c r="E10421" s="28">
        <v>5.00000</v>
      </c>
      <c r="F10421" s="29">
        <f ca="1">ROUND(19.710,3)</f>
        <v>0</v>
      </c>
      <c r="G10421" s="27">
        <f ca="1">ROUND((E10421*F10421)/100,2)</f>
        <v>0</v>
      </c>
    </row>
    <row r="10422" spans="1:7" ht="15.48" thickBot="1" customHeight="1">
      <c r="A10422" s="30"/>
      <c r="B10422" s="30"/>
      <c r="C10422" s="30"/>
      <c r="D10422" s="31" t="s">
        <v>33023</v>
      </c>
      <c r="E10422" s="30"/>
      <c r="F10422" s="33">
        <f ca="1">ROUND((G10414+G10415+G10416+G10421)*(1+G2/100),2)</f>
        <v>0</v>
      </c>
      <c r="G10422" s="30"/>
    </row>
    <row r="10423" spans="1:7" ht="30.60" thickBot="1" customHeight="1">
      <c r="A10423" s="34" t="s">
        <v>33024</v>
      </c>
      <c r="B10423" s="35" t="s">
        <v>33025</v>
      </c>
      <c r="C10423" s="35" t="s">
        <v>33026</v>
      </c>
      <c r="D10423" s="36" t="s">
        <v>33027</v>
      </c>
      <c r="E10423" s="37"/>
      <c r="F10423" s="38">
        <f ca="1">F10440</f>
        <v>0</v>
      </c>
      <c r="G10423" s="37"/>
    </row>
    <row r="10424" spans="1:7" ht="30.60" thickBot="1" customHeight="1">
      <c r="A10424" s="26"/>
      <c r="B10424" s="26"/>
      <c r="C10424" s="26"/>
      <c r="D10424" s="25" t="s">
        <v>33028</v>
      </c>
      <c r="E10424" s="25"/>
      <c r="F10424" s="25"/>
      <c r="G10424" s="25"/>
    </row>
    <row r="10425" spans="1:7" ht="39.84" thickBot="1" customHeight="1">
      <c r="A10425" s="24" t="s">
        <v>33029</v>
      </c>
      <c r="B10425" s="24" t="s">
        <v>33030</v>
      </c>
      <c r="C10425" s="24" t="s">
        <v>33031</v>
      </c>
      <c r="D10425" s="25" t="s">
        <v>33032</v>
      </c>
      <c r="E10425" s="28">
        <v>0.37000</v>
      </c>
      <c r="F10425" s="29">
        <f ca="1">ROUND(61.390,3)</f>
        <v>0</v>
      </c>
      <c r="G10425" s="27">
        <f ca="1">ROUND(E10425*F10425,2)</f>
        <v>0</v>
      </c>
    </row>
    <row r="10426" spans="1:7" ht="39.84" thickBot="1" customHeight="1">
      <c r="A10426" s="24" t="s">
        <v>33033</v>
      </c>
      <c r="B10426" s="24" t="s">
        <v>33034</v>
      </c>
      <c r="C10426" s="24" t="s">
        <v>33035</v>
      </c>
      <c r="D10426" s="25" t="s">
        <v>33036</v>
      </c>
      <c r="E10426" s="28">
        <v>0.23625</v>
      </c>
      <c r="F10426" s="29">
        <f ca="1">ROUND(16.680,3)</f>
        <v>0</v>
      </c>
      <c r="G10426" s="27">
        <f ca="1">ROUND(E10426*F10426,2)</f>
        <v>0</v>
      </c>
    </row>
    <row r="10427" spans="1:7" ht="39.84" thickBot="1" customHeight="1">
      <c r="A10427" s="24" t="s">
        <v>33037</v>
      </c>
      <c r="B10427" s="24" t="s">
        <v>33038</v>
      </c>
      <c r="C10427" s="24" t="s">
        <v>33039</v>
      </c>
      <c r="D10427" s="25" t="s">
        <v>33040</v>
      </c>
      <c r="E10427" s="28">
        <v>0.70000</v>
      </c>
      <c r="F10427" s="29">
        <f ca="1">ROUND(5.840,3)</f>
        <v>0</v>
      </c>
      <c r="G10427" s="27">
        <f ca="1">ROUND(E10427*F10427,2)</f>
        <v>0</v>
      </c>
    </row>
    <row r="10428" spans="1:7" ht="30.60" thickBot="1" customHeight="1">
      <c r="A10428" s="24" t="s">
        <v>33041</v>
      </c>
      <c r="B10428" s="24" t="s">
        <v>33042</v>
      </c>
      <c r="C10428" s="24" t="s">
        <v>33043</v>
      </c>
      <c r="D10428" s="25" t="s">
        <v>33044</v>
      </c>
      <c r="E10428" s="28">
        <v>0.02222</v>
      </c>
      <c r="F10428" s="29">
        <f ca="1">ROUND(57.880,3)</f>
        <v>0</v>
      </c>
      <c r="G10428" s="27">
        <f ca="1">ROUND(E10428*F10428,2)</f>
        <v>0</v>
      </c>
    </row>
    <row r="10429" spans="1:7" ht="30.60" thickBot="1" customHeight="1">
      <c r="A10429" s="24" t="s">
        <v>33045</v>
      </c>
      <c r="B10429" s="24" t="s">
        <v>33046</v>
      </c>
      <c r="C10429" s="24" t="s">
        <v>33047</v>
      </c>
      <c r="D10429" s="25" t="s">
        <v>33048</v>
      </c>
      <c r="E10429" s="28">
        <v>0.01467</v>
      </c>
      <c r="F10429" s="29">
        <f ca="1">ROUND(20.550,3)</f>
        <v>0</v>
      </c>
      <c r="G10429" s="27">
        <f ca="1">ROUND(E10429*F10429,2)</f>
        <v>0</v>
      </c>
    </row>
    <row r="10430" spans="1:7" ht="30.60" thickBot="1" customHeight="1">
      <c r="A10430" s="24" t="s">
        <v>33049</v>
      </c>
      <c r="B10430" s="24" t="s">
        <v>33050</v>
      </c>
      <c r="C10430" s="24" t="s">
        <v>33051</v>
      </c>
      <c r="D10430" s="25" t="s">
        <v>33052</v>
      </c>
      <c r="E10430" s="28">
        <v>0.16667</v>
      </c>
      <c r="F10430" s="29">
        <f ca="1">ROUND(4.400,3)</f>
        <v>0</v>
      </c>
      <c r="G10430" s="27">
        <f ca="1">ROUND(E10430*F10430,2)</f>
        <v>0</v>
      </c>
    </row>
    <row r="10431" spans="1:7" ht="39.84" thickBot="1" customHeight="1">
      <c r="A10431" s="24" t="s">
        <v>33053</v>
      </c>
      <c r="B10431" s="24" t="s">
        <v>33054</v>
      </c>
      <c r="C10431" s="24" t="s">
        <v>33055</v>
      </c>
      <c r="D10431" s="25" t="s">
        <v>33056</v>
      </c>
      <c r="E10431" s="28">
        <v>0.01000</v>
      </c>
      <c r="F10431" s="29">
        <f ca="1">ROUND(15.090,3)</f>
        <v>0</v>
      </c>
      <c r="G10431" s="27">
        <f ca="1">ROUND(E10431*F10431,2)</f>
        <v>0</v>
      </c>
    </row>
    <row r="10432" spans="1:7" ht="30.60" thickBot="1" customHeight="1">
      <c r="A10432" s="24" t="s">
        <v>33057</v>
      </c>
      <c r="B10432" s="24" t="s">
        <v>33058</v>
      </c>
      <c r="C10432" s="24" t="s">
        <v>33059</v>
      </c>
      <c r="D10432" s="25" t="s">
        <v>33060</v>
      </c>
      <c r="E10432" s="28">
        <v>0.01578</v>
      </c>
      <c r="F10432" s="29">
        <f ca="1">ROUND(64.190,3)</f>
        <v>0</v>
      </c>
      <c r="G10432" s="27">
        <f ca="1">ROUND(E10432*F10432,2)</f>
        <v>0</v>
      </c>
    </row>
    <row r="10433" spans="1:7" ht="21.36" thickBot="1" customHeight="1">
      <c r="A10433" s="24" t="s">
        <v>33061</v>
      </c>
      <c r="B10433" s="24" t="s">
        <v>33062</v>
      </c>
      <c r="C10433" s="24" t="s">
        <v>33063</v>
      </c>
      <c r="D10433" s="25" t="s">
        <v>33064</v>
      </c>
      <c r="E10433" s="28">
        <v>0.20000</v>
      </c>
      <c r="F10433" s="29">
        <f ca="1">ROUND(2.000,3)</f>
        <v>0</v>
      </c>
      <c r="G10433" s="27">
        <f ca="1">ROUND(E10433*F10433,2)</f>
        <v>0</v>
      </c>
    </row>
    <row r="10434" spans="1:7" ht="21.36" thickBot="1" customHeight="1">
      <c r="A10434" s="24" t="s">
        <v>33065</v>
      </c>
      <c r="B10434" s="24" t="s">
        <v>33066</v>
      </c>
      <c r="C10434" s="24" t="s">
        <v>33067</v>
      </c>
      <c r="D10434" s="25" t="s">
        <v>33068</v>
      </c>
      <c r="E10434" s="28">
        <v>0.38000</v>
      </c>
      <c r="F10434" s="29">
        <f ca="1">F10438</f>
        <v>0</v>
      </c>
      <c r="G10434" s="27">
        <f ca="1">ROUND(E10434*F10434,2)</f>
        <v>0</v>
      </c>
    </row>
    <row r="10435" spans="1:7" ht="24.36" thickBot="1" customHeight="1">
      <c r="A10435" s="24" t="s">
        <v>33069</v>
      </c>
      <c r="B10435" s="24" t="s">
        <v>33070</v>
      </c>
      <c r="C10435" s="24" t="s">
        <v>33071</v>
      </c>
      <c r="D10435" s="25" t="s">
        <v>33072</v>
      </c>
      <c r="E10435" s="28">
        <v>1.00000</v>
      </c>
      <c r="F10435" s="29">
        <f ca="1">ROUND(21.000,3)</f>
        <v>0</v>
      </c>
      <c r="G10435" s="27">
        <f ca="1">ROUND(E10435*F10435,2)</f>
        <v>0</v>
      </c>
    </row>
    <row r="10436" spans="1:7" ht="24.36" thickBot="1" customHeight="1">
      <c r="A10436" s="24" t="s">
        <v>33073</v>
      </c>
      <c r="B10436" s="24" t="s">
        <v>33074</v>
      </c>
      <c r="C10436" s="24" t="s">
        <v>33075</v>
      </c>
      <c r="D10436" s="25" t="s">
        <v>33076</v>
      </c>
      <c r="E10436" s="28">
        <v>1.00000</v>
      </c>
      <c r="F10436" s="29">
        <f ca="1">ROUND(19.000,3)</f>
        <v>0</v>
      </c>
      <c r="G10436" s="27">
        <f ca="1">ROUND(E10436*F10436,2)</f>
        <v>0</v>
      </c>
    </row>
    <row r="10437" spans="1:7" ht="24.36" thickBot="1" customHeight="1">
      <c r="A10437" s="24" t="s">
        <v>33077</v>
      </c>
      <c r="B10437" s="24" t="s">
        <v>33078</v>
      </c>
      <c r="C10437" s="24" t="s">
        <v>33079</v>
      </c>
      <c r="D10437" s="25" t="s">
        <v>33080</v>
      </c>
      <c r="E10437" s="28">
        <v>0.20000</v>
      </c>
      <c r="F10437" s="29">
        <f ca="1">ROUND(19.000,3)</f>
        <v>0</v>
      </c>
      <c r="G10437" s="27">
        <f ca="1">ROUND(E10437*F10437,2)</f>
        <v>0</v>
      </c>
    </row>
    <row r="10438" spans="1:7" ht="15.12" thickBot="1" customHeight="1">
      <c r="A10438" s="26"/>
      <c r="B10438" s="26"/>
      <c r="C10438" s="26"/>
      <c r="D10438" s="24" t="s">
        <v>33081</v>
      </c>
      <c r="E10438" s="28">
        <v>0.38000</v>
      </c>
      <c r="F10438" s="29">
        <f ca="1">ROUND((G10435+G10436+G10437),3)</f>
        <v>0</v>
      </c>
      <c r="G10438" s="27">
        <f ca="1">ROUND(E10438*F10438,2)</f>
        <v>0</v>
      </c>
    </row>
    <row r="10439" spans="1:7" ht="15.12" thickBot="1" customHeight="1">
      <c r="A10439" s="24" t="s">
        <v>33082</v>
      </c>
      <c r="B10439" s="24"/>
      <c r="C10439" s="24" t="s">
        <v>33083</v>
      </c>
      <c r="D10439" s="25" t="s">
        <v>33084</v>
      </c>
      <c r="E10439" s="28">
        <v>5.00000</v>
      </c>
      <c r="F10439" s="29">
        <f ca="1">ROUND(16.640,3)</f>
        <v>0</v>
      </c>
      <c r="G10439" s="27">
        <f ca="1">ROUND((E10439*F10439)/100,2)</f>
        <v>0</v>
      </c>
    </row>
    <row r="10440" spans="1:7" ht="25.08" thickBot="1" customHeight="1">
      <c r="A10440" s="30"/>
      <c r="B10440" s="30"/>
      <c r="C10440" s="30"/>
      <c r="D10440" s="31" t="s">
        <v>33085</v>
      </c>
      <c r="E10440" s="30"/>
      <c r="F10440" s="33">
        <f ca="1">ROUND((G10425+G10426+G10427+G10428+G10429+G10430+G10431+G10432+G10433+G10434+G10439)*(1+G2/100),2)</f>
        <v>0</v>
      </c>
      <c r="G10440" s="30"/>
    </row>
    <row r="10441" spans="1:7" ht="30.60" thickBot="1" customHeight="1">
      <c r="A10441" s="34" t="s">
        <v>33086</v>
      </c>
      <c r="B10441" s="35" t="s">
        <v>33087</v>
      </c>
      <c r="C10441" s="35" t="s">
        <v>33088</v>
      </c>
      <c r="D10441" s="36" t="s">
        <v>33089</v>
      </c>
      <c r="E10441" s="37"/>
      <c r="F10441" s="38">
        <f ca="1">F10453</f>
        <v>0</v>
      </c>
      <c r="G10441" s="37"/>
    </row>
    <row r="10442" spans="1:7" ht="30.60" thickBot="1" customHeight="1">
      <c r="A10442" s="26"/>
      <c r="B10442" s="26"/>
      <c r="C10442" s="26"/>
      <c r="D10442" s="25" t="s">
        <v>33090</v>
      </c>
      <c r="E10442" s="25"/>
      <c r="F10442" s="25"/>
      <c r="G10442" s="25"/>
    </row>
    <row r="10443" spans="1:7" ht="30.60" thickBot="1" customHeight="1">
      <c r="A10443" s="24" t="s">
        <v>33091</v>
      </c>
      <c r="B10443" s="24" t="s">
        <v>33092</v>
      </c>
      <c r="C10443" s="24" t="s">
        <v>33093</v>
      </c>
      <c r="D10443" s="25" t="s">
        <v>33094</v>
      </c>
      <c r="E10443" s="28">
        <v>0.37000</v>
      </c>
      <c r="F10443" s="29">
        <f ca="1">ROUND(61.390,3)</f>
        <v>0</v>
      </c>
      <c r="G10443" s="27">
        <f ca="1">ROUND(E10443*F10443,2)</f>
        <v>0</v>
      </c>
    </row>
    <row r="10444" spans="1:7" ht="21.36" thickBot="1" customHeight="1">
      <c r="A10444" s="24" t="s">
        <v>33095</v>
      </c>
      <c r="B10444" s="24" t="s">
        <v>33096</v>
      </c>
      <c r="C10444" s="24" t="s">
        <v>33097</v>
      </c>
      <c r="D10444" s="25" t="s">
        <v>33098</v>
      </c>
      <c r="E10444" s="28">
        <v>0.32000</v>
      </c>
      <c r="F10444" s="29">
        <f ca="1">ROUND(4.960,3)</f>
        <v>0</v>
      </c>
      <c r="G10444" s="27">
        <f ca="1">ROUND(E10444*F10444,2)</f>
        <v>0</v>
      </c>
    </row>
    <row r="10445" spans="1:7" ht="21.36" thickBot="1" customHeight="1">
      <c r="A10445" s="24" t="s">
        <v>33099</v>
      </c>
      <c r="B10445" s="24" t="s">
        <v>33100</v>
      </c>
      <c r="C10445" s="24" t="s">
        <v>33101</v>
      </c>
      <c r="D10445" s="25" t="s">
        <v>33102</v>
      </c>
      <c r="E10445" s="28">
        <v>0.20000</v>
      </c>
      <c r="F10445" s="29">
        <f ca="1">ROUND(17.850,3)</f>
        <v>0</v>
      </c>
      <c r="G10445" s="27">
        <f ca="1">ROUND(E10445*F10445,2)</f>
        <v>0</v>
      </c>
    </row>
    <row r="10446" spans="1:7" ht="21.36" thickBot="1" customHeight="1">
      <c r="A10446" s="24" t="s">
        <v>33103</v>
      </c>
      <c r="B10446" s="24" t="s">
        <v>33104</v>
      </c>
      <c r="C10446" s="24" t="s">
        <v>33105</v>
      </c>
      <c r="D10446" s="25" t="s">
        <v>33106</v>
      </c>
      <c r="E10446" s="28">
        <v>0.08000</v>
      </c>
      <c r="F10446" s="29">
        <f ca="1">ROUND(8.500,3)</f>
        <v>0</v>
      </c>
      <c r="G10446" s="27">
        <f ca="1">ROUND(E10446*F10446,2)</f>
        <v>0</v>
      </c>
    </row>
    <row r="10447" spans="1:7" ht="49.08" thickBot="1" customHeight="1">
      <c r="A10447" s="24" t="s">
        <v>33107</v>
      </c>
      <c r="B10447" s="24" t="s">
        <v>33108</v>
      </c>
      <c r="C10447" s="24" t="s">
        <v>33109</v>
      </c>
      <c r="D10447" s="25" t="s">
        <v>33110</v>
      </c>
      <c r="E10447" s="28">
        <v>0.05000</v>
      </c>
      <c r="F10447" s="29">
        <f ca="1">ROUND(38.550,3)</f>
        <v>0</v>
      </c>
      <c r="G10447" s="27">
        <f ca="1">ROUND(E10447*F10447,2)</f>
        <v>0</v>
      </c>
    </row>
    <row r="10448" spans="1:7" ht="21.36" thickBot="1" customHeight="1">
      <c r="A10448" s="24" t="s">
        <v>33111</v>
      </c>
      <c r="B10448" s="24" t="s">
        <v>33112</v>
      </c>
      <c r="C10448" s="24" t="s">
        <v>33113</v>
      </c>
      <c r="D10448" s="25" t="s">
        <v>33114</v>
      </c>
      <c r="E10448" s="28">
        <v>0.44400</v>
      </c>
      <c r="F10448" s="29">
        <f ca="1">F10452</f>
        <v>0</v>
      </c>
      <c r="G10448" s="27">
        <f ca="1">ROUND(E10448*F10448,2)</f>
        <v>0</v>
      </c>
    </row>
    <row r="10449" spans="1:7" ht="24.36" thickBot="1" customHeight="1">
      <c r="A10449" s="24" t="s">
        <v>33115</v>
      </c>
      <c r="B10449" s="24" t="s">
        <v>33116</v>
      </c>
      <c r="C10449" s="24" t="s">
        <v>33117</v>
      </c>
      <c r="D10449" s="25" t="s">
        <v>33118</v>
      </c>
      <c r="E10449" s="28">
        <v>1.00000</v>
      </c>
      <c r="F10449" s="29">
        <f ca="1">ROUND(21.000,3)</f>
        <v>0</v>
      </c>
      <c r="G10449" s="27">
        <f ca="1">ROUND(E10449*F10449,2)</f>
        <v>0</v>
      </c>
    </row>
    <row r="10450" spans="1:7" ht="24.36" thickBot="1" customHeight="1">
      <c r="A10450" s="24" t="s">
        <v>33119</v>
      </c>
      <c r="B10450" s="24" t="s">
        <v>33120</v>
      </c>
      <c r="C10450" s="24" t="s">
        <v>33121</v>
      </c>
      <c r="D10450" s="25" t="s">
        <v>33122</v>
      </c>
      <c r="E10450" s="28">
        <v>1.00000</v>
      </c>
      <c r="F10450" s="29">
        <f ca="1">ROUND(19.000,3)</f>
        <v>0</v>
      </c>
      <c r="G10450" s="27">
        <f ca="1">ROUND(E10450*F10450,2)</f>
        <v>0</v>
      </c>
    </row>
    <row r="10451" spans="1:7" ht="24.36" thickBot="1" customHeight="1">
      <c r="A10451" s="24" t="s">
        <v>33123</v>
      </c>
      <c r="B10451" s="24" t="s">
        <v>33124</v>
      </c>
      <c r="C10451" s="24" t="s">
        <v>33125</v>
      </c>
      <c r="D10451" s="25" t="s">
        <v>33126</v>
      </c>
      <c r="E10451" s="28">
        <v>0.20000</v>
      </c>
      <c r="F10451" s="29">
        <f ca="1">ROUND(19.000,3)</f>
        <v>0</v>
      </c>
      <c r="G10451" s="27">
        <f ca="1">ROUND(E10451*F10451,2)</f>
        <v>0</v>
      </c>
    </row>
    <row r="10452" spans="1:7" ht="15.12" thickBot="1" customHeight="1">
      <c r="A10452" s="26"/>
      <c r="B10452" s="26"/>
      <c r="C10452" s="26"/>
      <c r="D10452" s="24" t="s">
        <v>33127</v>
      </c>
      <c r="E10452" s="28">
        <v>0.44400</v>
      </c>
      <c r="F10452" s="29">
        <f ca="1">ROUND((G10449+G10450+G10451),3)</f>
        <v>0</v>
      </c>
      <c r="G10452" s="27">
        <f ca="1">ROUND(E10452*F10452,2)</f>
        <v>0</v>
      </c>
    </row>
    <row r="10453" spans="1:7" ht="15.48" thickBot="1" customHeight="1">
      <c r="A10453" s="30"/>
      <c r="B10453" s="30"/>
      <c r="C10453" s="30"/>
      <c r="D10453" s="31" t="s">
        <v>33128</v>
      </c>
      <c r="E10453" s="30"/>
      <c r="F10453" s="33">
        <f ca="1">ROUND((G10443+G10444+G10445+G10446+G10447+G10448)*(1+G2/100),2)</f>
        <v>0</v>
      </c>
      <c r="G10453" s="30"/>
    </row>
    <row r="10454" spans="1:7" ht="30.60" thickBot="1" customHeight="1">
      <c r="A10454" s="34" t="s">
        <v>33129</v>
      </c>
      <c r="B10454" s="35" t="s">
        <v>33130</v>
      </c>
      <c r="C10454" s="35" t="s">
        <v>33131</v>
      </c>
      <c r="D10454" s="36" t="s">
        <v>33132</v>
      </c>
      <c r="E10454" s="37"/>
      <c r="F10454" s="38">
        <f ca="1">F10465</f>
        <v>0</v>
      </c>
      <c r="G10454" s="37"/>
    </row>
    <row r="10455" spans="1:7" ht="30.60" thickBot="1" customHeight="1">
      <c r="A10455" s="26"/>
      <c r="B10455" s="26"/>
      <c r="C10455" s="26"/>
      <c r="D10455" s="25" t="s">
        <v>33133</v>
      </c>
      <c r="E10455" s="25"/>
      <c r="F10455" s="25"/>
      <c r="G10455" s="25"/>
    </row>
    <row r="10456" spans="1:7" ht="58.32" thickBot="1" customHeight="1">
      <c r="A10456" s="24" t="s">
        <v>33134</v>
      </c>
      <c r="B10456" s="24" t="s">
        <v>33135</v>
      </c>
      <c r="C10456" s="24" t="s">
        <v>33136</v>
      </c>
      <c r="D10456" s="25" t="s">
        <v>33137</v>
      </c>
      <c r="E10456" s="28">
        <v>0.05500</v>
      </c>
      <c r="F10456" s="29">
        <f ca="1">ROUND(165.210,3)</f>
        <v>0</v>
      </c>
      <c r="G10456" s="27">
        <f ca="1">ROUND(E10456*F10456,2)</f>
        <v>0</v>
      </c>
    </row>
    <row r="10457" spans="1:7" ht="58.32" thickBot="1" customHeight="1">
      <c r="A10457" s="24" t="s">
        <v>33138</v>
      </c>
      <c r="B10457" s="24" t="s">
        <v>33139</v>
      </c>
      <c r="C10457" s="24" t="s">
        <v>33140</v>
      </c>
      <c r="D10457" s="25" t="s">
        <v>33141</v>
      </c>
      <c r="E10457" s="28">
        <v>0.73080</v>
      </c>
      <c r="F10457" s="29">
        <f ca="1">ROUND(16.250,3)</f>
        <v>0</v>
      </c>
      <c r="G10457" s="27">
        <f ca="1">ROUND(E10457*F10457,2)</f>
        <v>0</v>
      </c>
    </row>
    <row r="10458" spans="1:7" ht="49.08" thickBot="1" customHeight="1">
      <c r="A10458" s="24" t="s">
        <v>33142</v>
      </c>
      <c r="B10458" s="24" t="s">
        <v>33143</v>
      </c>
      <c r="C10458" s="24" t="s">
        <v>33144</v>
      </c>
      <c r="D10458" s="25" t="s">
        <v>33145</v>
      </c>
      <c r="E10458" s="28">
        <v>0.06800</v>
      </c>
      <c r="F10458" s="29">
        <f ca="1">ROUND(456.980,3)</f>
        <v>0</v>
      </c>
      <c r="G10458" s="27">
        <f ca="1">ROUND(E10458*F10458,2)</f>
        <v>0</v>
      </c>
    </row>
    <row r="10459" spans="1:7" ht="21.36" thickBot="1" customHeight="1">
      <c r="A10459" s="24" t="s">
        <v>33146</v>
      </c>
      <c r="B10459" s="24" t="s">
        <v>33147</v>
      </c>
      <c r="C10459" s="24" t="s">
        <v>33148</v>
      </c>
      <c r="D10459" s="25" t="s">
        <v>33149</v>
      </c>
      <c r="E10459" s="28">
        <v>0.36000</v>
      </c>
      <c r="F10459" s="29">
        <f ca="1">F10463</f>
        <v>0</v>
      </c>
      <c r="G10459" s="27">
        <f ca="1">ROUND(E10459*F10459,2)</f>
        <v>0</v>
      </c>
    </row>
    <row r="10460" spans="1:7" ht="24.36" thickBot="1" customHeight="1">
      <c r="A10460" s="24" t="s">
        <v>33150</v>
      </c>
      <c r="B10460" s="24" t="s">
        <v>33151</v>
      </c>
      <c r="C10460" s="24" t="s">
        <v>33152</v>
      </c>
      <c r="D10460" s="25" t="s">
        <v>33153</v>
      </c>
      <c r="E10460" s="28">
        <v>1.00000</v>
      </c>
      <c r="F10460" s="29">
        <f ca="1">ROUND(21.000,3)</f>
        <v>0</v>
      </c>
      <c r="G10460" s="27">
        <f ca="1">ROUND(E10460*F10460,2)</f>
        <v>0</v>
      </c>
    </row>
    <row r="10461" spans="1:7" ht="24.36" thickBot="1" customHeight="1">
      <c r="A10461" s="24" t="s">
        <v>33154</v>
      </c>
      <c r="B10461" s="24" t="s">
        <v>33155</v>
      </c>
      <c r="C10461" s="24" t="s">
        <v>33156</v>
      </c>
      <c r="D10461" s="25" t="s">
        <v>33157</v>
      </c>
      <c r="E10461" s="28">
        <v>1.00000</v>
      </c>
      <c r="F10461" s="29">
        <f ca="1">ROUND(19.000,3)</f>
        <v>0</v>
      </c>
      <c r="G10461" s="27">
        <f ca="1">ROUND(E10461*F10461,2)</f>
        <v>0</v>
      </c>
    </row>
    <row r="10462" spans="1:7" ht="24.36" thickBot="1" customHeight="1">
      <c r="A10462" s="24" t="s">
        <v>33158</v>
      </c>
      <c r="B10462" s="24" t="s">
        <v>33159</v>
      </c>
      <c r="C10462" s="24" t="s">
        <v>33160</v>
      </c>
      <c r="D10462" s="25" t="s">
        <v>33161</v>
      </c>
      <c r="E10462" s="28">
        <v>0.20000</v>
      </c>
      <c r="F10462" s="29">
        <f ca="1">ROUND(19.000,3)</f>
        <v>0</v>
      </c>
      <c r="G10462" s="27">
        <f ca="1">ROUND(E10462*F10462,2)</f>
        <v>0</v>
      </c>
    </row>
    <row r="10463" spans="1:7" ht="15.12" thickBot="1" customHeight="1">
      <c r="A10463" s="26"/>
      <c r="B10463" s="26"/>
      <c r="C10463" s="26"/>
      <c r="D10463" s="24" t="s">
        <v>33162</v>
      </c>
      <c r="E10463" s="28">
        <v>0.36000</v>
      </c>
      <c r="F10463" s="29">
        <f ca="1">ROUND((G10460+G10461+G10462),3)</f>
        <v>0</v>
      </c>
      <c r="G10463" s="27">
        <f ca="1">ROUND(E10463*F10463,2)</f>
        <v>0</v>
      </c>
    </row>
    <row r="10464" spans="1:7" ht="15.12" thickBot="1" customHeight="1">
      <c r="A10464" s="24" t="s">
        <v>33163</v>
      </c>
      <c r="B10464" s="24"/>
      <c r="C10464" s="24" t="s">
        <v>33164</v>
      </c>
      <c r="D10464" s="25" t="s">
        <v>33165</v>
      </c>
      <c r="E10464" s="28">
        <v>5.00000</v>
      </c>
      <c r="F10464" s="29">
        <f ca="1">ROUND(15.770,3)</f>
        <v>0</v>
      </c>
      <c r="G10464" s="27">
        <f ca="1">ROUND((E10464*F10464)/100,2)</f>
        <v>0</v>
      </c>
    </row>
    <row r="10465" spans="1:7" ht="15.48" thickBot="1" customHeight="1">
      <c r="A10465" s="30"/>
      <c r="B10465" s="30"/>
      <c r="C10465" s="30"/>
      <c r="D10465" s="31" t="s">
        <v>33166</v>
      </c>
      <c r="E10465" s="30"/>
      <c r="F10465" s="33">
        <f ca="1">ROUND((G10456+G10457+G10458+G10459+G10464)*(1+G2/100),2)</f>
        <v>0</v>
      </c>
      <c r="G10465" s="30"/>
    </row>
    <row r="10466" spans="1:7" ht="15.48" thickBot="1" customHeight="1">
      <c r="A10466" s="39"/>
      <c r="B10466" s="39"/>
      <c r="C10466" s="39"/>
      <c r="D10466" s="55" t="s">
        <v>33167</v>
      </c>
      <c r="E10466" s="56"/>
      <c r="F10466" s="56"/>
      <c r="G10466" s="56"/>
    </row>
    <row r="10467" spans="1:7" ht="15.48" thickBot="1" customHeight="1">
      <c r="A10467" s="57" t="s">
        <v>33168</v>
      </c>
      <c r="B10467" s="57" t="s">
        <v>33169</v>
      </c>
      <c r="C10467" s="58"/>
      <c r="D10467" s="59" t="s">
        <v>33170</v>
      </c>
      <c r="E10467" s="58"/>
      <c r="F10467" s="58"/>
      <c r="G10467" s="58"/>
    </row>
    <row r="10468" spans="1:7" ht="15.48" thickBot="1" customHeight="1">
      <c r="A10468" s="18" t="s">
        <v>33171</v>
      </c>
      <c r="B10468" s="18" t="s">
        <v>33172</v>
      </c>
      <c r="C10468" s="19"/>
      <c r="D10468" s="20" t="s">
        <v>33173</v>
      </c>
      <c r="E10468" s="19"/>
      <c r="F10468" s="19"/>
      <c r="G10468" s="19"/>
    </row>
    <row r="10469" spans="1:7" ht="30.60" thickBot="1" customHeight="1">
      <c r="A10469" s="10" t="s">
        <v>33174</v>
      </c>
      <c r="B10469" s="24" t="s">
        <v>33175</v>
      </c>
      <c r="C10469" s="24" t="s">
        <v>33176</v>
      </c>
      <c r="D10469" s="25" t="s">
        <v>33177</v>
      </c>
      <c r="E10469" s="26"/>
      <c r="F10469" s="27">
        <f ca="1">F10482</f>
        <v>0</v>
      </c>
      <c r="G10469" s="26"/>
    </row>
    <row r="10470" spans="1:7" ht="49.08" thickBot="1" customHeight="1">
      <c r="A10470" s="26"/>
      <c r="B10470" s="26"/>
      <c r="C10470" s="26"/>
      <c r="D10470" s="25" t="s">
        <v>33178</v>
      </c>
      <c r="E10470" s="25"/>
      <c r="F10470" s="25"/>
      <c r="G10470" s="25"/>
    </row>
    <row r="10471" spans="1:7" ht="21.36" thickBot="1" customHeight="1">
      <c r="A10471" s="24" t="s">
        <v>33179</v>
      </c>
      <c r="B10471" s="24" t="s">
        <v>33180</v>
      </c>
      <c r="C10471" s="24" t="s">
        <v>33181</v>
      </c>
      <c r="D10471" s="25" t="s">
        <v>33182</v>
      </c>
      <c r="E10471" s="28">
        <v>1.05000</v>
      </c>
      <c r="F10471" s="29">
        <f ca="1">ROUND(22.860,3)</f>
        <v>0</v>
      </c>
      <c r="G10471" s="27">
        <f ca="1">ROUND(E10471*F10471,2)</f>
        <v>0</v>
      </c>
    </row>
    <row r="10472" spans="1:7" ht="49.08" thickBot="1" customHeight="1">
      <c r="A10472" s="24" t="s">
        <v>33183</v>
      </c>
      <c r="B10472" s="24" t="s">
        <v>33184</v>
      </c>
      <c r="C10472" s="24" t="s">
        <v>33185</v>
      </c>
      <c r="D10472" s="25" t="s">
        <v>33186</v>
      </c>
      <c r="E10472" s="28">
        <v>0.45000</v>
      </c>
      <c r="F10472" s="29">
        <f ca="1">ROUND(10.250,3)</f>
        <v>0</v>
      </c>
      <c r="G10472" s="27">
        <f ca="1">ROUND(E10472*F10472,2)</f>
        <v>0</v>
      </c>
    </row>
    <row r="10473" spans="1:7" ht="30.60" thickBot="1" customHeight="1">
      <c r="A10473" s="24" t="s">
        <v>33187</v>
      </c>
      <c r="B10473" s="24" t="s">
        <v>33188</v>
      </c>
      <c r="C10473" s="24" t="s">
        <v>33189</v>
      </c>
      <c r="D10473" s="25" t="s">
        <v>33190</v>
      </c>
      <c r="E10473" s="28">
        <v>0.04000</v>
      </c>
      <c r="F10473" s="29">
        <f ca="1">ROUND(11.740,3)</f>
        <v>0</v>
      </c>
      <c r="G10473" s="27">
        <f ca="1">ROUND(E10473*F10473,2)</f>
        <v>0</v>
      </c>
    </row>
    <row r="10474" spans="1:7" ht="39.84" thickBot="1" customHeight="1">
      <c r="A10474" s="24" t="s">
        <v>33191</v>
      </c>
      <c r="B10474" s="24" t="s">
        <v>33192</v>
      </c>
      <c r="C10474" s="24" t="s">
        <v>33193</v>
      </c>
      <c r="D10474" s="25" t="s">
        <v>33194</v>
      </c>
      <c r="E10474" s="28">
        <v>0.05000</v>
      </c>
      <c r="F10474" s="29">
        <f ca="1">ROUND(27.850,3)</f>
        <v>0</v>
      </c>
      <c r="G10474" s="27">
        <f ca="1">ROUND(E10474*F10474,2)</f>
        <v>0</v>
      </c>
    </row>
    <row r="10475" spans="1:7" ht="39.84" thickBot="1" customHeight="1">
      <c r="A10475" s="24" t="s">
        <v>33195</v>
      </c>
      <c r="B10475" s="24" t="s">
        <v>33196</v>
      </c>
      <c r="C10475" s="24" t="s">
        <v>33197</v>
      </c>
      <c r="D10475" s="25" t="s">
        <v>33198</v>
      </c>
      <c r="E10475" s="28">
        <v>0.05000</v>
      </c>
      <c r="F10475" s="29">
        <f ca="1">ROUND(18.800,3)</f>
        <v>0</v>
      </c>
      <c r="G10475" s="27">
        <f ca="1">ROUND(E10475*F10475,2)</f>
        <v>0</v>
      </c>
    </row>
    <row r="10476" spans="1:7" ht="21.36" thickBot="1" customHeight="1">
      <c r="A10476" s="24" t="s">
        <v>33199</v>
      </c>
      <c r="B10476" s="24" t="s">
        <v>33200</v>
      </c>
      <c r="C10476" s="24" t="s">
        <v>33201</v>
      </c>
      <c r="D10476" s="25" t="s">
        <v>33202</v>
      </c>
      <c r="E10476" s="28">
        <v>0.45000</v>
      </c>
      <c r="F10476" s="29">
        <f ca="1">F10480</f>
        <v>0</v>
      </c>
      <c r="G10476" s="27">
        <f ca="1">ROUND(E10476*F10476,2)</f>
        <v>0</v>
      </c>
    </row>
    <row r="10477" spans="1:7" ht="24.36" thickBot="1" customHeight="1">
      <c r="A10477" s="24" t="s">
        <v>33203</v>
      </c>
      <c r="B10477" s="24" t="s">
        <v>33204</v>
      </c>
      <c r="C10477" s="24" t="s">
        <v>33205</v>
      </c>
      <c r="D10477" s="25" t="s">
        <v>33206</v>
      </c>
      <c r="E10477" s="28">
        <v>1.00000</v>
      </c>
      <c r="F10477" s="29">
        <f ca="1">ROUND(21.000,3)</f>
        <v>0</v>
      </c>
      <c r="G10477" s="27">
        <f ca="1">ROUND(E10477*F10477,2)</f>
        <v>0</v>
      </c>
    </row>
    <row r="10478" spans="1:7" ht="24.36" thickBot="1" customHeight="1">
      <c r="A10478" s="24" t="s">
        <v>33207</v>
      </c>
      <c r="B10478" s="24" t="s">
        <v>33208</v>
      </c>
      <c r="C10478" s="24" t="s">
        <v>33209</v>
      </c>
      <c r="D10478" s="25" t="s">
        <v>33210</v>
      </c>
      <c r="E10478" s="28">
        <v>1.00000</v>
      </c>
      <c r="F10478" s="29">
        <f ca="1">ROUND(19.000,3)</f>
        <v>0</v>
      </c>
      <c r="G10478" s="27">
        <f ca="1">ROUND(E10478*F10478,2)</f>
        <v>0</v>
      </c>
    </row>
    <row r="10479" spans="1:7" ht="24.36" thickBot="1" customHeight="1">
      <c r="A10479" s="24" t="s">
        <v>33211</v>
      </c>
      <c r="B10479" s="24" t="s">
        <v>33212</v>
      </c>
      <c r="C10479" s="24" t="s">
        <v>33213</v>
      </c>
      <c r="D10479" s="25" t="s">
        <v>33214</v>
      </c>
      <c r="E10479" s="28">
        <v>0.20000</v>
      </c>
      <c r="F10479" s="29">
        <f ca="1">ROUND(19.000,3)</f>
        <v>0</v>
      </c>
      <c r="G10479" s="27">
        <f ca="1">ROUND(E10479*F10479,2)</f>
        <v>0</v>
      </c>
    </row>
    <row r="10480" spans="1:7" ht="15.12" thickBot="1" customHeight="1">
      <c r="A10480" s="26"/>
      <c r="B10480" s="26"/>
      <c r="C10480" s="26"/>
      <c r="D10480" s="24" t="s">
        <v>33215</v>
      </c>
      <c r="E10480" s="28">
        <v>0.45000</v>
      </c>
      <c r="F10480" s="29">
        <f ca="1">ROUND((G10477+G10478+G10479),3)</f>
        <v>0</v>
      </c>
      <c r="G10480" s="27">
        <f ca="1">ROUND(E10480*F10480,2)</f>
        <v>0</v>
      </c>
    </row>
    <row r="10481" spans="1:7" ht="15.12" thickBot="1" customHeight="1">
      <c r="A10481" s="24" t="s">
        <v>33216</v>
      </c>
      <c r="B10481" s="24"/>
      <c r="C10481" s="24" t="s">
        <v>33217</v>
      </c>
      <c r="D10481" s="25" t="s">
        <v>33218</v>
      </c>
      <c r="E10481" s="28">
        <v>3.00000</v>
      </c>
      <c r="F10481" s="29">
        <f ca="1">ROUND(19.710,3)</f>
        <v>0</v>
      </c>
      <c r="G10481" s="27">
        <f ca="1">ROUND((E10481*F10481)/100,2)</f>
        <v>0</v>
      </c>
    </row>
    <row r="10482" spans="1:7" ht="15.48" thickBot="1" customHeight="1">
      <c r="A10482" s="30"/>
      <c r="B10482" s="30"/>
      <c r="C10482" s="30"/>
      <c r="D10482" s="31" t="s">
        <v>33219</v>
      </c>
      <c r="E10482" s="30"/>
      <c r="F10482" s="33">
        <f ca="1">ROUND((G10471+G10472+G10473+G10474+G10475+G10476+G10481)*(1+G2/100),2)</f>
        <v>0</v>
      </c>
      <c r="G10482" s="30"/>
    </row>
    <row r="10483" spans="1:7" ht="30.60" thickBot="1" customHeight="1">
      <c r="A10483" s="34" t="s">
        <v>33220</v>
      </c>
      <c r="B10483" s="35" t="s">
        <v>33221</v>
      </c>
      <c r="C10483" s="35" t="s">
        <v>33222</v>
      </c>
      <c r="D10483" s="36" t="s">
        <v>33223</v>
      </c>
      <c r="E10483" s="37"/>
      <c r="F10483" s="38">
        <f ca="1">F10496</f>
        <v>0</v>
      </c>
      <c r="G10483" s="37"/>
    </row>
    <row r="10484" spans="1:7" ht="49.08" thickBot="1" customHeight="1">
      <c r="A10484" s="26"/>
      <c r="B10484" s="26"/>
      <c r="C10484" s="26"/>
      <c r="D10484" s="25" t="s">
        <v>33224</v>
      </c>
      <c r="E10484" s="25"/>
      <c r="F10484" s="25"/>
      <c r="G10484" s="25"/>
    </row>
    <row r="10485" spans="1:7" ht="21.36" thickBot="1" customHeight="1">
      <c r="A10485" s="24" t="s">
        <v>33225</v>
      </c>
      <c r="B10485" s="24" t="s">
        <v>33226</v>
      </c>
      <c r="C10485" s="24" t="s">
        <v>33227</v>
      </c>
      <c r="D10485" s="25" t="s">
        <v>33228</v>
      </c>
      <c r="E10485" s="28">
        <v>1.05000</v>
      </c>
      <c r="F10485" s="29">
        <f ca="1">ROUND(26.670,3)</f>
        <v>0</v>
      </c>
      <c r="G10485" s="27">
        <f ca="1">ROUND(E10485*F10485,2)</f>
        <v>0</v>
      </c>
    </row>
    <row r="10486" spans="1:7" ht="49.08" thickBot="1" customHeight="1">
      <c r="A10486" s="24" t="s">
        <v>33229</v>
      </c>
      <c r="B10486" s="24" t="s">
        <v>33230</v>
      </c>
      <c r="C10486" s="24" t="s">
        <v>33231</v>
      </c>
      <c r="D10486" s="25" t="s">
        <v>33232</v>
      </c>
      <c r="E10486" s="28">
        <v>0.45000</v>
      </c>
      <c r="F10486" s="29">
        <f ca="1">ROUND(10.250,3)</f>
        <v>0</v>
      </c>
      <c r="G10486" s="27">
        <f ca="1">ROUND(E10486*F10486,2)</f>
        <v>0</v>
      </c>
    </row>
    <row r="10487" spans="1:7" ht="30.60" thickBot="1" customHeight="1">
      <c r="A10487" s="24" t="s">
        <v>33233</v>
      </c>
      <c r="B10487" s="24" t="s">
        <v>33234</v>
      </c>
      <c r="C10487" s="24" t="s">
        <v>33235</v>
      </c>
      <c r="D10487" s="25" t="s">
        <v>33236</v>
      </c>
      <c r="E10487" s="28">
        <v>0.04000</v>
      </c>
      <c r="F10487" s="29">
        <f ca="1">ROUND(11.740,3)</f>
        <v>0</v>
      </c>
      <c r="G10487" s="27">
        <f ca="1">ROUND(E10487*F10487,2)</f>
        <v>0</v>
      </c>
    </row>
    <row r="10488" spans="1:7" ht="39.84" thickBot="1" customHeight="1">
      <c r="A10488" s="24" t="s">
        <v>33237</v>
      </c>
      <c r="B10488" s="24" t="s">
        <v>33238</v>
      </c>
      <c r="C10488" s="24" t="s">
        <v>33239</v>
      </c>
      <c r="D10488" s="25" t="s">
        <v>33240</v>
      </c>
      <c r="E10488" s="28">
        <v>0.05000</v>
      </c>
      <c r="F10488" s="29">
        <f ca="1">ROUND(27.850,3)</f>
        <v>0</v>
      </c>
      <c r="G10488" s="27">
        <f ca="1">ROUND(E10488*F10488,2)</f>
        <v>0</v>
      </c>
    </row>
    <row r="10489" spans="1:7" ht="39.84" thickBot="1" customHeight="1">
      <c r="A10489" s="24" t="s">
        <v>33241</v>
      </c>
      <c r="B10489" s="24" t="s">
        <v>33242</v>
      </c>
      <c r="C10489" s="24" t="s">
        <v>33243</v>
      </c>
      <c r="D10489" s="25" t="s">
        <v>33244</v>
      </c>
      <c r="E10489" s="28">
        <v>0.05000</v>
      </c>
      <c r="F10489" s="29">
        <f ca="1">ROUND(18.800,3)</f>
        <v>0</v>
      </c>
      <c r="G10489" s="27">
        <f ca="1">ROUND(E10489*F10489,2)</f>
        <v>0</v>
      </c>
    </row>
    <row r="10490" spans="1:7" ht="21.36" thickBot="1" customHeight="1">
      <c r="A10490" s="24" t="s">
        <v>33245</v>
      </c>
      <c r="B10490" s="24" t="s">
        <v>33246</v>
      </c>
      <c r="C10490" s="24" t="s">
        <v>33247</v>
      </c>
      <c r="D10490" s="25" t="s">
        <v>33248</v>
      </c>
      <c r="E10490" s="28">
        <v>0.45000</v>
      </c>
      <c r="F10490" s="29">
        <f ca="1">F10494</f>
        <v>0</v>
      </c>
      <c r="G10490" s="27">
        <f ca="1">ROUND(E10490*F10490,2)</f>
        <v>0</v>
      </c>
    </row>
    <row r="10491" spans="1:7" ht="24.36" thickBot="1" customHeight="1">
      <c r="A10491" s="24" t="s">
        <v>33249</v>
      </c>
      <c r="B10491" s="24" t="s">
        <v>33250</v>
      </c>
      <c r="C10491" s="24" t="s">
        <v>33251</v>
      </c>
      <c r="D10491" s="25" t="s">
        <v>33252</v>
      </c>
      <c r="E10491" s="28">
        <v>1.00000</v>
      </c>
      <c r="F10491" s="29">
        <f ca="1">ROUND(21.000,3)</f>
        <v>0</v>
      </c>
      <c r="G10491" s="27">
        <f ca="1">ROUND(E10491*F10491,2)</f>
        <v>0</v>
      </c>
    </row>
    <row r="10492" spans="1:7" ht="24.36" thickBot="1" customHeight="1">
      <c r="A10492" s="24" t="s">
        <v>33253</v>
      </c>
      <c r="B10492" s="24" t="s">
        <v>33254</v>
      </c>
      <c r="C10492" s="24" t="s">
        <v>33255</v>
      </c>
      <c r="D10492" s="25" t="s">
        <v>33256</v>
      </c>
      <c r="E10492" s="28">
        <v>1.00000</v>
      </c>
      <c r="F10492" s="29">
        <f ca="1">ROUND(19.000,3)</f>
        <v>0</v>
      </c>
      <c r="G10492" s="27">
        <f ca="1">ROUND(E10492*F10492,2)</f>
        <v>0</v>
      </c>
    </row>
    <row r="10493" spans="1:7" ht="24.36" thickBot="1" customHeight="1">
      <c r="A10493" s="24" t="s">
        <v>33257</v>
      </c>
      <c r="B10493" s="24" t="s">
        <v>33258</v>
      </c>
      <c r="C10493" s="24" t="s">
        <v>33259</v>
      </c>
      <c r="D10493" s="25" t="s">
        <v>33260</v>
      </c>
      <c r="E10493" s="28">
        <v>0.20000</v>
      </c>
      <c r="F10493" s="29">
        <f ca="1">ROUND(19.000,3)</f>
        <v>0</v>
      </c>
      <c r="G10493" s="27">
        <f ca="1">ROUND(E10493*F10493,2)</f>
        <v>0</v>
      </c>
    </row>
    <row r="10494" spans="1:7" ht="15.12" thickBot="1" customHeight="1">
      <c r="A10494" s="26"/>
      <c r="B10494" s="26"/>
      <c r="C10494" s="26"/>
      <c r="D10494" s="24" t="s">
        <v>33261</v>
      </c>
      <c r="E10494" s="28">
        <v>0.45000</v>
      </c>
      <c r="F10494" s="29">
        <f ca="1">ROUND((G10491+G10492+G10493),3)</f>
        <v>0</v>
      </c>
      <c r="G10494" s="27">
        <f ca="1">ROUND(E10494*F10494,2)</f>
        <v>0</v>
      </c>
    </row>
    <row r="10495" spans="1:7" ht="15.12" thickBot="1" customHeight="1">
      <c r="A10495" s="24" t="s">
        <v>33262</v>
      </c>
      <c r="B10495" s="24"/>
      <c r="C10495" s="24" t="s">
        <v>33263</v>
      </c>
      <c r="D10495" s="25" t="s">
        <v>33264</v>
      </c>
      <c r="E10495" s="28">
        <v>3.00000</v>
      </c>
      <c r="F10495" s="29">
        <f ca="1">ROUND(19.710,3)</f>
        <v>0</v>
      </c>
      <c r="G10495" s="27">
        <f ca="1">ROUND((E10495*F10495)/100,2)</f>
        <v>0</v>
      </c>
    </row>
    <row r="10496" spans="1:7" ht="15.48" thickBot="1" customHeight="1">
      <c r="A10496" s="30"/>
      <c r="B10496" s="30"/>
      <c r="C10496" s="30"/>
      <c r="D10496" s="31" t="s">
        <v>33265</v>
      </c>
      <c r="E10496" s="30"/>
      <c r="F10496" s="33">
        <f ca="1">ROUND((G10485+G10486+G10487+G10488+G10489+G10490+G10495)*(1+G2/100),2)</f>
        <v>0</v>
      </c>
      <c r="G10496" s="30"/>
    </row>
    <row r="10497" spans="1:7" ht="21.36" thickBot="1" customHeight="1">
      <c r="A10497" s="34" t="s">
        <v>33266</v>
      </c>
      <c r="B10497" s="35" t="s">
        <v>33267</v>
      </c>
      <c r="C10497" s="35" t="s">
        <v>33268</v>
      </c>
      <c r="D10497" s="36" t="s">
        <v>33269</v>
      </c>
      <c r="E10497" s="37"/>
      <c r="F10497" s="38">
        <f ca="1">F10508</f>
        <v>0</v>
      </c>
      <c r="G10497" s="37"/>
    </row>
    <row r="10498" spans="1:7" ht="39.84" thickBot="1" customHeight="1">
      <c r="A10498" s="26"/>
      <c r="B10498" s="26"/>
      <c r="C10498" s="26"/>
      <c r="D10498" s="25" t="s">
        <v>33270</v>
      </c>
      <c r="E10498" s="25"/>
      <c r="F10498" s="25"/>
      <c r="G10498" s="25"/>
    </row>
    <row r="10499" spans="1:7" ht="15.12" thickBot="1" customHeight="1">
      <c r="A10499" s="24" t="s">
        <v>33271</v>
      </c>
      <c r="B10499" s="24" t="s">
        <v>33272</v>
      </c>
      <c r="C10499" s="24" t="s">
        <v>33273</v>
      </c>
      <c r="D10499" s="25" t="s">
        <v>33274</v>
      </c>
      <c r="E10499" s="28">
        <v>3.00000</v>
      </c>
      <c r="F10499" s="29">
        <f ca="1">ROUND(2.290,3)</f>
        <v>0</v>
      </c>
      <c r="G10499" s="27">
        <f ca="1">ROUND(E10499*F10499,2)</f>
        <v>0</v>
      </c>
    </row>
    <row r="10500" spans="1:7" ht="49.08" thickBot="1" customHeight="1">
      <c r="A10500" s="24" t="s">
        <v>33275</v>
      </c>
      <c r="B10500" s="24" t="s">
        <v>33276</v>
      </c>
      <c r="C10500" s="24" t="s">
        <v>33277</v>
      </c>
      <c r="D10500" s="25" t="s">
        <v>33278</v>
      </c>
      <c r="E10500" s="28">
        <v>0.01000</v>
      </c>
      <c r="F10500" s="29">
        <f ca="1">ROUND(10.250,3)</f>
        <v>0</v>
      </c>
      <c r="G10500" s="27">
        <f ca="1">ROUND(E10500*F10500,2)</f>
        <v>0</v>
      </c>
    </row>
    <row r="10501" spans="1:7" ht="30.60" thickBot="1" customHeight="1">
      <c r="A10501" s="24" t="s">
        <v>33279</v>
      </c>
      <c r="B10501" s="24" t="s">
        <v>33280</v>
      </c>
      <c r="C10501" s="24" t="s">
        <v>33281</v>
      </c>
      <c r="D10501" s="25" t="s">
        <v>33282</v>
      </c>
      <c r="E10501" s="28">
        <v>0.02000</v>
      </c>
      <c r="F10501" s="29">
        <f ca="1">ROUND(11.740,3)</f>
        <v>0</v>
      </c>
      <c r="G10501" s="27">
        <f ca="1">ROUND(E10501*F10501,2)</f>
        <v>0</v>
      </c>
    </row>
    <row r="10502" spans="1:7" ht="21.36" thickBot="1" customHeight="1">
      <c r="A10502" s="24" t="s">
        <v>33283</v>
      </c>
      <c r="B10502" s="24" t="s">
        <v>33284</v>
      </c>
      <c r="C10502" s="24" t="s">
        <v>33285</v>
      </c>
      <c r="D10502" s="25" t="s">
        <v>33286</v>
      </c>
      <c r="E10502" s="28">
        <v>0.15000</v>
      </c>
      <c r="F10502" s="29">
        <f ca="1">F10506</f>
        <v>0</v>
      </c>
      <c r="G10502" s="27">
        <f ca="1">ROUND(E10502*F10502,2)</f>
        <v>0</v>
      </c>
    </row>
    <row r="10503" spans="1:7" ht="24.36" thickBot="1" customHeight="1">
      <c r="A10503" s="24" t="s">
        <v>33287</v>
      </c>
      <c r="B10503" s="24" t="s">
        <v>33288</v>
      </c>
      <c r="C10503" s="24" t="s">
        <v>33289</v>
      </c>
      <c r="D10503" s="25" t="s">
        <v>33290</v>
      </c>
      <c r="E10503" s="28">
        <v>1.00000</v>
      </c>
      <c r="F10503" s="29">
        <f ca="1">ROUND(21.000,3)</f>
        <v>0</v>
      </c>
      <c r="G10503" s="27">
        <f ca="1">ROUND(E10503*F10503,2)</f>
        <v>0</v>
      </c>
    </row>
    <row r="10504" spans="1:7" ht="24.36" thickBot="1" customHeight="1">
      <c r="A10504" s="24" t="s">
        <v>33291</v>
      </c>
      <c r="B10504" s="24" t="s">
        <v>33292</v>
      </c>
      <c r="C10504" s="24" t="s">
        <v>33293</v>
      </c>
      <c r="D10504" s="25" t="s">
        <v>33294</v>
      </c>
      <c r="E10504" s="28">
        <v>1.00000</v>
      </c>
      <c r="F10504" s="29">
        <f ca="1">ROUND(19.000,3)</f>
        <v>0</v>
      </c>
      <c r="G10504" s="27">
        <f ca="1">ROUND(E10504*F10504,2)</f>
        <v>0</v>
      </c>
    </row>
    <row r="10505" spans="1:7" ht="24.36" thickBot="1" customHeight="1">
      <c r="A10505" s="24" t="s">
        <v>33295</v>
      </c>
      <c r="B10505" s="24" t="s">
        <v>33296</v>
      </c>
      <c r="C10505" s="24" t="s">
        <v>33297</v>
      </c>
      <c r="D10505" s="25" t="s">
        <v>33298</v>
      </c>
      <c r="E10505" s="28">
        <v>0.20000</v>
      </c>
      <c r="F10505" s="29">
        <f ca="1">ROUND(19.000,3)</f>
        <v>0</v>
      </c>
      <c r="G10505" s="27">
        <f ca="1">ROUND(E10505*F10505,2)</f>
        <v>0</v>
      </c>
    </row>
    <row r="10506" spans="1:7" ht="15.12" thickBot="1" customHeight="1">
      <c r="A10506" s="26"/>
      <c r="B10506" s="26"/>
      <c r="C10506" s="26"/>
      <c r="D10506" s="24" t="s">
        <v>33299</v>
      </c>
      <c r="E10506" s="28">
        <v>0.15000</v>
      </c>
      <c r="F10506" s="29">
        <f ca="1">ROUND((G10503+G10504+G10505),3)</f>
        <v>0</v>
      </c>
      <c r="G10506" s="27">
        <f ca="1">ROUND(E10506*F10506,2)</f>
        <v>0</v>
      </c>
    </row>
    <row r="10507" spans="1:7" ht="15.12" thickBot="1" customHeight="1">
      <c r="A10507" s="24" t="s">
        <v>33300</v>
      </c>
      <c r="B10507" s="24"/>
      <c r="C10507" s="24" t="s">
        <v>33301</v>
      </c>
      <c r="D10507" s="25" t="s">
        <v>33302</v>
      </c>
      <c r="E10507" s="28">
        <v>3.00000</v>
      </c>
      <c r="F10507" s="29">
        <f ca="1">ROUND(6.570,3)</f>
        <v>0</v>
      </c>
      <c r="G10507" s="27">
        <f ca="1">ROUND((E10507*F10507)/100,2)</f>
        <v>0</v>
      </c>
    </row>
    <row r="10508" spans="1:7" ht="15.48" thickBot="1" customHeight="1">
      <c r="A10508" s="30"/>
      <c r="B10508" s="30"/>
      <c r="C10508" s="30"/>
      <c r="D10508" s="31" t="s">
        <v>33303</v>
      </c>
      <c r="E10508" s="30"/>
      <c r="F10508" s="33">
        <f ca="1">ROUND((G10499+G10500+G10501+G10502+G10507)*(1+G2/100),2)</f>
        <v>0</v>
      </c>
      <c r="G10508" s="30"/>
    </row>
    <row r="10509" spans="1:7" ht="21.36" thickBot="1" customHeight="1">
      <c r="A10509" s="34" t="s">
        <v>33304</v>
      </c>
      <c r="B10509" s="35" t="s">
        <v>33305</v>
      </c>
      <c r="C10509" s="35" t="s">
        <v>33306</v>
      </c>
      <c r="D10509" s="36" t="s">
        <v>33307</v>
      </c>
      <c r="E10509" s="37"/>
      <c r="F10509" s="38">
        <f ca="1">F10522</f>
        <v>0</v>
      </c>
      <c r="G10509" s="37"/>
    </row>
    <row r="10510" spans="1:7" ht="12.12" thickBot="1" customHeight="1">
      <c r="A10510" s="26"/>
      <c r="B10510" s="26"/>
      <c r="C10510" s="26"/>
      <c r="D10510" s="25" t="s">
        <v>33308</v>
      </c>
      <c r="E10510" s="25"/>
      <c r="F10510" s="25"/>
      <c r="G10510" s="25"/>
    </row>
    <row r="10511" spans="1:7" ht="21.36" thickBot="1" customHeight="1">
      <c r="A10511" s="24" t="s">
        <v>33309</v>
      </c>
      <c r="B10511" s="24" t="s">
        <v>33310</v>
      </c>
      <c r="C10511" s="24" t="s">
        <v>33311</v>
      </c>
      <c r="D10511" s="25" t="s">
        <v>33312</v>
      </c>
      <c r="E10511" s="28">
        <v>3.33000</v>
      </c>
      <c r="F10511" s="29">
        <f ca="1">ROUND(7.150,3)</f>
        <v>0</v>
      </c>
      <c r="G10511" s="27">
        <f ca="1">ROUND(E10511*F10511,2)</f>
        <v>0</v>
      </c>
    </row>
    <row r="10512" spans="1:7" ht="49.08" thickBot="1" customHeight="1">
      <c r="A10512" s="24" t="s">
        <v>33313</v>
      </c>
      <c r="B10512" s="24" t="s">
        <v>33314</v>
      </c>
      <c r="C10512" s="24" t="s">
        <v>33315</v>
      </c>
      <c r="D10512" s="25" t="s">
        <v>33316</v>
      </c>
      <c r="E10512" s="28">
        <v>0.15000</v>
      </c>
      <c r="F10512" s="29">
        <f ca="1">ROUND(10.250,3)</f>
        <v>0</v>
      </c>
      <c r="G10512" s="27">
        <f ca="1">ROUND(E10512*F10512,2)</f>
        <v>0</v>
      </c>
    </row>
    <row r="10513" spans="1:7" ht="30.60" thickBot="1" customHeight="1">
      <c r="A10513" s="24" t="s">
        <v>33317</v>
      </c>
      <c r="B10513" s="24" t="s">
        <v>33318</v>
      </c>
      <c r="C10513" s="24" t="s">
        <v>33319</v>
      </c>
      <c r="D10513" s="25" t="s">
        <v>33320</v>
      </c>
      <c r="E10513" s="28">
        <v>0.01500</v>
      </c>
      <c r="F10513" s="29">
        <f ca="1">ROUND(11.740,3)</f>
        <v>0</v>
      </c>
      <c r="G10513" s="27">
        <f ca="1">ROUND(E10513*F10513,2)</f>
        <v>0</v>
      </c>
    </row>
    <row r="10514" spans="1:7" ht="39.84" thickBot="1" customHeight="1">
      <c r="A10514" s="24" t="s">
        <v>33321</v>
      </c>
      <c r="B10514" s="24" t="s">
        <v>33322</v>
      </c>
      <c r="C10514" s="24" t="s">
        <v>33323</v>
      </c>
      <c r="D10514" s="25" t="s">
        <v>33324</v>
      </c>
      <c r="E10514" s="28">
        <v>0.01700</v>
      </c>
      <c r="F10514" s="29">
        <f ca="1">ROUND(27.850,3)</f>
        <v>0</v>
      </c>
      <c r="G10514" s="27">
        <f ca="1">ROUND(E10514*F10514,2)</f>
        <v>0</v>
      </c>
    </row>
    <row r="10515" spans="1:7" ht="39.84" thickBot="1" customHeight="1">
      <c r="A10515" s="24" t="s">
        <v>33325</v>
      </c>
      <c r="B10515" s="24" t="s">
        <v>33326</v>
      </c>
      <c r="C10515" s="24" t="s">
        <v>33327</v>
      </c>
      <c r="D10515" s="25" t="s">
        <v>33328</v>
      </c>
      <c r="E10515" s="28">
        <v>0.01700</v>
      </c>
      <c r="F10515" s="29">
        <f ca="1">ROUND(18.800,3)</f>
        <v>0</v>
      </c>
      <c r="G10515" s="27">
        <f ca="1">ROUND(E10515*F10515,2)</f>
        <v>0</v>
      </c>
    </row>
    <row r="10516" spans="1:7" ht="21.36" thickBot="1" customHeight="1">
      <c r="A10516" s="24" t="s">
        <v>33329</v>
      </c>
      <c r="B10516" s="24" t="s">
        <v>33330</v>
      </c>
      <c r="C10516" s="24" t="s">
        <v>33331</v>
      </c>
      <c r="D10516" s="25" t="s">
        <v>33332</v>
      </c>
      <c r="E10516" s="28">
        <v>0.15000</v>
      </c>
      <c r="F10516" s="29">
        <f ca="1">F10520</f>
        <v>0</v>
      </c>
      <c r="G10516" s="27">
        <f ca="1">ROUND(E10516*F10516,2)</f>
        <v>0</v>
      </c>
    </row>
    <row r="10517" spans="1:7" ht="24.36" thickBot="1" customHeight="1">
      <c r="A10517" s="24" t="s">
        <v>33333</v>
      </c>
      <c r="B10517" s="24" t="s">
        <v>33334</v>
      </c>
      <c r="C10517" s="24" t="s">
        <v>33335</v>
      </c>
      <c r="D10517" s="25" t="s">
        <v>33336</v>
      </c>
      <c r="E10517" s="28">
        <v>1.00000</v>
      </c>
      <c r="F10517" s="29">
        <f ca="1">ROUND(21.000,3)</f>
        <v>0</v>
      </c>
      <c r="G10517" s="27">
        <f ca="1">ROUND(E10517*F10517,2)</f>
        <v>0</v>
      </c>
    </row>
    <row r="10518" spans="1:7" ht="24.36" thickBot="1" customHeight="1">
      <c r="A10518" s="24" t="s">
        <v>33337</v>
      </c>
      <c r="B10518" s="24" t="s">
        <v>33338</v>
      </c>
      <c r="C10518" s="24" t="s">
        <v>33339</v>
      </c>
      <c r="D10518" s="25" t="s">
        <v>33340</v>
      </c>
      <c r="E10518" s="28">
        <v>1.00000</v>
      </c>
      <c r="F10518" s="29">
        <f ca="1">ROUND(19.000,3)</f>
        <v>0</v>
      </c>
      <c r="G10518" s="27">
        <f ca="1">ROUND(E10518*F10518,2)</f>
        <v>0</v>
      </c>
    </row>
    <row r="10519" spans="1:7" ht="24.36" thickBot="1" customHeight="1">
      <c r="A10519" s="24" t="s">
        <v>33341</v>
      </c>
      <c r="B10519" s="24" t="s">
        <v>33342</v>
      </c>
      <c r="C10519" s="24" t="s">
        <v>33343</v>
      </c>
      <c r="D10519" s="25" t="s">
        <v>33344</v>
      </c>
      <c r="E10519" s="28">
        <v>0.20000</v>
      </c>
      <c r="F10519" s="29">
        <f ca="1">ROUND(19.000,3)</f>
        <v>0</v>
      </c>
      <c r="G10519" s="27">
        <f ca="1">ROUND(E10519*F10519,2)</f>
        <v>0</v>
      </c>
    </row>
    <row r="10520" spans="1:7" ht="15.12" thickBot="1" customHeight="1">
      <c r="A10520" s="26"/>
      <c r="B10520" s="26"/>
      <c r="C10520" s="26"/>
      <c r="D10520" s="24" t="s">
        <v>33345</v>
      </c>
      <c r="E10520" s="28">
        <v>0.15000</v>
      </c>
      <c r="F10520" s="29">
        <f ca="1">ROUND((G10517+G10518+G10519),3)</f>
        <v>0</v>
      </c>
      <c r="G10520" s="27">
        <f ca="1">ROUND(E10520*F10520,2)</f>
        <v>0</v>
      </c>
    </row>
    <row r="10521" spans="1:7" ht="15.12" thickBot="1" customHeight="1">
      <c r="A10521" s="24" t="s">
        <v>33346</v>
      </c>
      <c r="B10521" s="24"/>
      <c r="C10521" s="24" t="s">
        <v>33347</v>
      </c>
      <c r="D10521" s="25" t="s">
        <v>33348</v>
      </c>
      <c r="E10521" s="28">
        <v>3.00000</v>
      </c>
      <c r="F10521" s="29">
        <f ca="1">ROUND(6.570,3)</f>
        <v>0</v>
      </c>
      <c r="G10521" s="27">
        <f ca="1">ROUND((E10521*F10521)/100,2)</f>
        <v>0</v>
      </c>
    </row>
    <row r="10522" spans="1:7" ht="15.48" thickBot="1" customHeight="1">
      <c r="A10522" s="30"/>
      <c r="B10522" s="30"/>
      <c r="C10522" s="30"/>
      <c r="D10522" s="31" t="s">
        <v>33349</v>
      </c>
      <c r="E10522" s="30"/>
      <c r="F10522" s="33">
        <f ca="1">ROUND((G10511+G10512+G10513+G10514+G10515+G10516+G10521)*(1+G2/100),2)</f>
        <v>0</v>
      </c>
      <c r="G10522" s="30"/>
    </row>
    <row r="10523" spans="1:7" ht="25.08" thickBot="1" customHeight="1">
      <c r="A10523" s="34" t="s">
        <v>33350</v>
      </c>
      <c r="B10523" s="35" t="s">
        <v>33351</v>
      </c>
      <c r="C10523" s="35" t="s">
        <v>33352</v>
      </c>
      <c r="D10523" s="36" t="s">
        <v>33353</v>
      </c>
      <c r="E10523" s="37"/>
      <c r="F10523" s="38">
        <f ca="1">F10533</f>
        <v>0</v>
      </c>
      <c r="G10523" s="37"/>
    </row>
    <row r="10524" spans="1:7" ht="12.12" thickBot="1" customHeight="1">
      <c r="A10524" s="26"/>
      <c r="B10524" s="26"/>
      <c r="C10524" s="26"/>
      <c r="D10524" s="25" t="s">
        <v>33354</v>
      </c>
      <c r="E10524" s="25"/>
      <c r="F10524" s="25"/>
      <c r="G10524" s="25"/>
    </row>
    <row r="10525" spans="1:7" ht="30.60" thickBot="1" customHeight="1">
      <c r="A10525" s="24" t="s">
        <v>33355</v>
      </c>
      <c r="B10525" s="24" t="s">
        <v>33356</v>
      </c>
      <c r="C10525" s="24" t="s">
        <v>33357</v>
      </c>
      <c r="D10525" s="25" t="s">
        <v>33358</v>
      </c>
      <c r="E10525" s="28">
        <v>0.00000</v>
      </c>
      <c r="F10525" s="29">
        <f ca="1">ROUND(10.670,3)</f>
        <v>0</v>
      </c>
      <c r="G10525" s="27">
        <f ca="1">ROUND(E10525*F10525,2)</f>
        <v>0</v>
      </c>
    </row>
    <row r="10526" spans="1:7" ht="30.60" thickBot="1" customHeight="1">
      <c r="A10526" s="24" t="s">
        <v>33359</v>
      </c>
      <c r="B10526" s="24" t="s">
        <v>33360</v>
      </c>
      <c r="C10526" s="24" t="s">
        <v>33361</v>
      </c>
      <c r="D10526" s="25" t="s">
        <v>33362</v>
      </c>
      <c r="E10526" s="28">
        <v>0.00000</v>
      </c>
      <c r="F10526" s="29">
        <f ca="1">ROUND(6.720,3)</f>
        <v>0</v>
      </c>
      <c r="G10526" s="27">
        <f ca="1">ROUND(E10526*F10526,2)</f>
        <v>0</v>
      </c>
    </row>
    <row r="10527" spans="1:7" ht="21.36" thickBot="1" customHeight="1">
      <c r="A10527" s="24" t="s">
        <v>33363</v>
      </c>
      <c r="B10527" s="24" t="s">
        <v>33364</v>
      </c>
      <c r="C10527" s="24" t="s">
        <v>33365</v>
      </c>
      <c r="D10527" s="25" t="s">
        <v>33366</v>
      </c>
      <c r="E10527" s="28">
        <v>0.40000</v>
      </c>
      <c r="F10527" s="29">
        <f ca="1">F10531</f>
        <v>0</v>
      </c>
      <c r="G10527" s="27">
        <f ca="1">ROUND(E10527*F10527,2)</f>
        <v>0</v>
      </c>
    </row>
    <row r="10528" spans="1:7" ht="24.36" thickBot="1" customHeight="1">
      <c r="A10528" s="24" t="s">
        <v>33367</v>
      </c>
      <c r="B10528" s="24" t="s">
        <v>33368</v>
      </c>
      <c r="C10528" s="24" t="s">
        <v>33369</v>
      </c>
      <c r="D10528" s="25" t="s">
        <v>33370</v>
      </c>
      <c r="E10528" s="28">
        <v>1.00000</v>
      </c>
      <c r="F10528" s="29">
        <f ca="1">ROUND(21.000,3)</f>
        <v>0</v>
      </c>
      <c r="G10528" s="27">
        <f ca="1">ROUND(E10528*F10528,2)</f>
        <v>0</v>
      </c>
    </row>
    <row r="10529" spans="1:7" ht="24.36" thickBot="1" customHeight="1">
      <c r="A10529" s="24" t="s">
        <v>33371</v>
      </c>
      <c r="B10529" s="24" t="s">
        <v>33372</v>
      </c>
      <c r="C10529" s="24" t="s">
        <v>33373</v>
      </c>
      <c r="D10529" s="25" t="s">
        <v>33374</v>
      </c>
      <c r="E10529" s="28">
        <v>1.00000</v>
      </c>
      <c r="F10529" s="29">
        <f ca="1">ROUND(19.000,3)</f>
        <v>0</v>
      </c>
      <c r="G10529" s="27">
        <f ca="1">ROUND(E10529*F10529,2)</f>
        <v>0</v>
      </c>
    </row>
    <row r="10530" spans="1:7" ht="24.36" thickBot="1" customHeight="1">
      <c r="A10530" s="24" t="s">
        <v>33375</v>
      </c>
      <c r="B10530" s="24" t="s">
        <v>33376</v>
      </c>
      <c r="C10530" s="24" t="s">
        <v>33377</v>
      </c>
      <c r="D10530" s="25" t="s">
        <v>33378</v>
      </c>
      <c r="E10530" s="28">
        <v>0.20000</v>
      </c>
      <c r="F10530" s="29">
        <f ca="1">ROUND(19.000,3)</f>
        <v>0</v>
      </c>
      <c r="G10530" s="27">
        <f ca="1">ROUND(E10530*F10530,2)</f>
        <v>0</v>
      </c>
    </row>
    <row r="10531" spans="1:7" ht="15.12" thickBot="1" customHeight="1">
      <c r="A10531" s="26"/>
      <c r="B10531" s="26"/>
      <c r="C10531" s="26"/>
      <c r="D10531" s="24" t="s">
        <v>33379</v>
      </c>
      <c r="E10531" s="28">
        <v>0.40000</v>
      </c>
      <c r="F10531" s="29">
        <f ca="1">ROUND((G10528+G10529+G10530),3)</f>
        <v>0</v>
      </c>
      <c r="G10531" s="27">
        <f ca="1">ROUND(E10531*F10531,2)</f>
        <v>0</v>
      </c>
    </row>
    <row r="10532" spans="1:7" ht="15.12" thickBot="1" customHeight="1">
      <c r="A10532" s="24" t="s">
        <v>33380</v>
      </c>
      <c r="B10532" s="24"/>
      <c r="C10532" s="24" t="s">
        <v>33381</v>
      </c>
      <c r="D10532" s="25" t="s">
        <v>33382</v>
      </c>
      <c r="E10532" s="28">
        <v>5.00000</v>
      </c>
      <c r="F10532" s="29">
        <f ca="1">ROUND(17.520,3)</f>
        <v>0</v>
      </c>
      <c r="G10532" s="27">
        <f ca="1">ROUND((E10532*F10532)/100,2)</f>
        <v>0</v>
      </c>
    </row>
    <row r="10533" spans="1:7" ht="25.08" thickBot="1" customHeight="1">
      <c r="A10533" s="30"/>
      <c r="B10533" s="30"/>
      <c r="C10533" s="30"/>
      <c r="D10533" s="31" t="s">
        <v>33383</v>
      </c>
      <c r="E10533" s="30"/>
      <c r="F10533" s="33">
        <f ca="1">ROUND((G10525+G10526+G10527+G10532)*(1+G2/100),2)</f>
        <v>0</v>
      </c>
      <c r="G10533" s="30"/>
    </row>
    <row r="10534" spans="1:7" ht="49.08" thickBot="1" customHeight="1">
      <c r="A10534" s="34" t="s">
        <v>33384</v>
      </c>
      <c r="B10534" s="35" t="s">
        <v>33385</v>
      </c>
      <c r="C10534" s="35" t="s">
        <v>33386</v>
      </c>
      <c r="D10534" s="36" t="s">
        <v>33387</v>
      </c>
      <c r="E10534" s="37"/>
      <c r="F10534" s="38">
        <f ca="1">F10544</f>
        <v>0</v>
      </c>
      <c r="G10534" s="37"/>
    </row>
    <row r="10535" spans="1:7" ht="21.36" thickBot="1" customHeight="1">
      <c r="A10535" s="26"/>
      <c r="B10535" s="26"/>
      <c r="C10535" s="26"/>
      <c r="D10535" s="25" t="s">
        <v>33388</v>
      </c>
      <c r="E10535" s="25"/>
      <c r="F10535" s="25"/>
      <c r="G10535" s="25"/>
    </row>
    <row r="10536" spans="1:7" ht="39.84" thickBot="1" customHeight="1">
      <c r="A10536" s="24" t="s">
        <v>33389</v>
      </c>
      <c r="B10536" s="24" t="s">
        <v>33390</v>
      </c>
      <c r="C10536" s="24" t="s">
        <v>33391</v>
      </c>
      <c r="D10536" s="25" t="s">
        <v>33392</v>
      </c>
      <c r="E10536" s="28">
        <v>0.00733</v>
      </c>
      <c r="F10536" s="29">
        <f ca="1">ROUND(82.550,3)</f>
        <v>0</v>
      </c>
      <c r="G10536" s="27">
        <f ca="1">ROUND(E10536*F10536,2)</f>
        <v>0</v>
      </c>
    </row>
    <row r="10537" spans="1:7" ht="39.84" thickBot="1" customHeight="1">
      <c r="A10537" s="24" t="s">
        <v>33393</v>
      </c>
      <c r="B10537" s="24" t="s">
        <v>33394</v>
      </c>
      <c r="C10537" s="24" t="s">
        <v>33395</v>
      </c>
      <c r="D10537" s="25" t="s">
        <v>33396</v>
      </c>
      <c r="E10537" s="28">
        <v>0.26250</v>
      </c>
      <c r="F10537" s="29">
        <f ca="1">ROUND(72.820,3)</f>
        <v>0</v>
      </c>
      <c r="G10537" s="27">
        <f ca="1">ROUND(E10537*F10537,2)</f>
        <v>0</v>
      </c>
    </row>
    <row r="10538" spans="1:7" ht="21.36" thickBot="1" customHeight="1">
      <c r="A10538" s="24" t="s">
        <v>33397</v>
      </c>
      <c r="B10538" s="24" t="s">
        <v>33398</v>
      </c>
      <c r="C10538" s="24" t="s">
        <v>33399</v>
      </c>
      <c r="D10538" s="25" t="s">
        <v>33400</v>
      </c>
      <c r="E10538" s="28">
        <v>0.66667</v>
      </c>
      <c r="F10538" s="29">
        <f ca="1">F10542</f>
        <v>0</v>
      </c>
      <c r="G10538" s="27">
        <f ca="1">ROUND(E10538*F10538,2)</f>
        <v>0</v>
      </c>
    </row>
    <row r="10539" spans="1:7" ht="24.36" thickBot="1" customHeight="1">
      <c r="A10539" s="24" t="s">
        <v>33401</v>
      </c>
      <c r="B10539" s="24" t="s">
        <v>33402</v>
      </c>
      <c r="C10539" s="24" t="s">
        <v>33403</v>
      </c>
      <c r="D10539" s="25" t="s">
        <v>33404</v>
      </c>
      <c r="E10539" s="28">
        <v>1.00000</v>
      </c>
      <c r="F10539" s="29">
        <f ca="1">ROUND(21.000,3)</f>
        <v>0</v>
      </c>
      <c r="G10539" s="27">
        <f ca="1">ROUND(E10539*F10539,2)</f>
        <v>0</v>
      </c>
    </row>
    <row r="10540" spans="1:7" ht="24.36" thickBot="1" customHeight="1">
      <c r="A10540" s="24" t="s">
        <v>33405</v>
      </c>
      <c r="B10540" s="24" t="s">
        <v>33406</v>
      </c>
      <c r="C10540" s="24" t="s">
        <v>33407</v>
      </c>
      <c r="D10540" s="25" t="s">
        <v>33408</v>
      </c>
      <c r="E10540" s="28">
        <v>1.00000</v>
      </c>
      <c r="F10540" s="29">
        <f ca="1">ROUND(19.000,3)</f>
        <v>0</v>
      </c>
      <c r="G10540" s="27">
        <f ca="1">ROUND(E10540*F10540,2)</f>
        <v>0</v>
      </c>
    </row>
    <row r="10541" spans="1:7" ht="24.36" thickBot="1" customHeight="1">
      <c r="A10541" s="24" t="s">
        <v>33409</v>
      </c>
      <c r="B10541" s="24" t="s">
        <v>33410</v>
      </c>
      <c r="C10541" s="24" t="s">
        <v>33411</v>
      </c>
      <c r="D10541" s="25" t="s">
        <v>33412</v>
      </c>
      <c r="E10541" s="28">
        <v>0.20000</v>
      </c>
      <c r="F10541" s="29">
        <f ca="1">ROUND(19.000,3)</f>
        <v>0</v>
      </c>
      <c r="G10541" s="27">
        <f ca="1">ROUND(E10541*F10541,2)</f>
        <v>0</v>
      </c>
    </row>
    <row r="10542" spans="1:7" ht="15.12" thickBot="1" customHeight="1">
      <c r="A10542" s="26"/>
      <c r="B10542" s="26"/>
      <c r="C10542" s="26"/>
      <c r="D10542" s="24" t="s">
        <v>33413</v>
      </c>
      <c r="E10542" s="28">
        <v>0.66667</v>
      </c>
      <c r="F10542" s="29">
        <f ca="1">ROUND((G10539+G10540+G10541),3)</f>
        <v>0</v>
      </c>
      <c r="G10542" s="27">
        <f ca="1">ROUND(E10542*F10542,2)</f>
        <v>0</v>
      </c>
    </row>
    <row r="10543" spans="1:7" ht="15.12" thickBot="1" customHeight="1">
      <c r="A10543" s="24" t="s">
        <v>33414</v>
      </c>
      <c r="B10543" s="24"/>
      <c r="C10543" s="24" t="s">
        <v>33415</v>
      </c>
      <c r="D10543" s="25" t="s">
        <v>33416</v>
      </c>
      <c r="E10543" s="28">
        <v>5.00000</v>
      </c>
      <c r="F10543" s="29">
        <f ca="1">ROUND(29.200,3)</f>
        <v>0</v>
      </c>
      <c r="G10543" s="27">
        <f ca="1">ROUND((E10543*F10543)/100,2)</f>
        <v>0</v>
      </c>
    </row>
    <row r="10544" spans="1:7" ht="25.08" thickBot="1" customHeight="1">
      <c r="A10544" s="30"/>
      <c r="B10544" s="30"/>
      <c r="C10544" s="30"/>
      <c r="D10544" s="31" t="s">
        <v>33417</v>
      </c>
      <c r="E10544" s="30"/>
      <c r="F10544" s="33">
        <f ca="1">ROUND((G10536+G10537+G10538+G10543)*(1+G2/100),2)</f>
        <v>0</v>
      </c>
      <c r="G10544" s="30"/>
    </row>
    <row r="10545" spans="1:7" ht="58.32" thickBot="1" customHeight="1">
      <c r="A10545" s="34" t="s">
        <v>33418</v>
      </c>
      <c r="B10545" s="35" t="s">
        <v>33419</v>
      </c>
      <c r="C10545" s="35" t="s">
        <v>33420</v>
      </c>
      <c r="D10545" s="36" t="s">
        <v>33421</v>
      </c>
      <c r="E10545" s="37"/>
      <c r="F10545" s="38">
        <f ca="1">F10555</f>
        <v>0</v>
      </c>
      <c r="G10545" s="37"/>
    </row>
    <row r="10546" spans="1:7" ht="21.36" thickBot="1" customHeight="1">
      <c r="A10546" s="26"/>
      <c r="B10546" s="26"/>
      <c r="C10546" s="26"/>
      <c r="D10546" s="25" t="s">
        <v>33422</v>
      </c>
      <c r="E10546" s="25"/>
      <c r="F10546" s="25"/>
      <c r="G10546" s="25"/>
    </row>
    <row r="10547" spans="1:7" ht="39.84" thickBot="1" customHeight="1">
      <c r="A10547" s="24" t="s">
        <v>33423</v>
      </c>
      <c r="B10547" s="24" t="s">
        <v>33424</v>
      </c>
      <c r="C10547" s="24" t="s">
        <v>33425</v>
      </c>
      <c r="D10547" s="25" t="s">
        <v>33426</v>
      </c>
      <c r="E10547" s="28">
        <v>0.00733</v>
      </c>
      <c r="F10547" s="29">
        <f ca="1">ROUND(82.550,3)</f>
        <v>0</v>
      </c>
      <c r="G10547" s="27">
        <f ca="1">ROUND(E10547*F10547,2)</f>
        <v>0</v>
      </c>
    </row>
    <row r="10548" spans="1:7" ht="39.84" thickBot="1" customHeight="1">
      <c r="A10548" s="24" t="s">
        <v>33427</v>
      </c>
      <c r="B10548" s="24" t="s">
        <v>33428</v>
      </c>
      <c r="C10548" s="24" t="s">
        <v>33429</v>
      </c>
      <c r="D10548" s="25" t="s">
        <v>33430</v>
      </c>
      <c r="E10548" s="28">
        <v>0.26250</v>
      </c>
      <c r="F10548" s="29">
        <f ca="1">ROUND(72.820,3)</f>
        <v>0</v>
      </c>
      <c r="G10548" s="27">
        <f ca="1">ROUND(E10548*F10548,2)</f>
        <v>0</v>
      </c>
    </row>
    <row r="10549" spans="1:7" ht="21.36" thickBot="1" customHeight="1">
      <c r="A10549" s="24" t="s">
        <v>33431</v>
      </c>
      <c r="B10549" s="24" t="s">
        <v>33432</v>
      </c>
      <c r="C10549" s="24" t="s">
        <v>33433</v>
      </c>
      <c r="D10549" s="25" t="s">
        <v>33434</v>
      </c>
      <c r="E10549" s="28">
        <v>0.93000</v>
      </c>
      <c r="F10549" s="29">
        <f ca="1">F10553</f>
        <v>0</v>
      </c>
      <c r="G10549" s="27">
        <f ca="1">ROUND(E10549*F10549,2)</f>
        <v>0</v>
      </c>
    </row>
    <row r="10550" spans="1:7" ht="24.36" thickBot="1" customHeight="1">
      <c r="A10550" s="24" t="s">
        <v>33435</v>
      </c>
      <c r="B10550" s="24" t="s">
        <v>33436</v>
      </c>
      <c r="C10550" s="24" t="s">
        <v>33437</v>
      </c>
      <c r="D10550" s="25" t="s">
        <v>33438</v>
      </c>
      <c r="E10550" s="28">
        <v>1.00000</v>
      </c>
      <c r="F10550" s="29">
        <f ca="1">ROUND(21.000,3)</f>
        <v>0</v>
      </c>
      <c r="G10550" s="27">
        <f ca="1">ROUND(E10550*F10550,2)</f>
        <v>0</v>
      </c>
    </row>
    <row r="10551" spans="1:7" ht="24.36" thickBot="1" customHeight="1">
      <c r="A10551" s="24" t="s">
        <v>33439</v>
      </c>
      <c r="B10551" s="24" t="s">
        <v>33440</v>
      </c>
      <c r="C10551" s="24" t="s">
        <v>33441</v>
      </c>
      <c r="D10551" s="25" t="s">
        <v>33442</v>
      </c>
      <c r="E10551" s="28">
        <v>1.00000</v>
      </c>
      <c r="F10551" s="29">
        <f ca="1">ROUND(19.000,3)</f>
        <v>0</v>
      </c>
      <c r="G10551" s="27">
        <f ca="1">ROUND(E10551*F10551,2)</f>
        <v>0</v>
      </c>
    </row>
    <row r="10552" spans="1:7" ht="24.36" thickBot="1" customHeight="1">
      <c r="A10552" s="24" t="s">
        <v>33443</v>
      </c>
      <c r="B10552" s="24" t="s">
        <v>33444</v>
      </c>
      <c r="C10552" s="24" t="s">
        <v>33445</v>
      </c>
      <c r="D10552" s="25" t="s">
        <v>33446</v>
      </c>
      <c r="E10552" s="28">
        <v>0.20000</v>
      </c>
      <c r="F10552" s="29">
        <f ca="1">ROUND(19.000,3)</f>
        <v>0</v>
      </c>
      <c r="G10552" s="27">
        <f ca="1">ROUND(E10552*F10552,2)</f>
        <v>0</v>
      </c>
    </row>
    <row r="10553" spans="1:7" ht="15.12" thickBot="1" customHeight="1">
      <c r="A10553" s="26"/>
      <c r="B10553" s="26"/>
      <c r="C10553" s="26"/>
      <c r="D10553" s="24" t="s">
        <v>33447</v>
      </c>
      <c r="E10553" s="28">
        <v>0.93000</v>
      </c>
      <c r="F10553" s="29">
        <f ca="1">ROUND((G10550+G10551+G10552),3)</f>
        <v>0</v>
      </c>
      <c r="G10553" s="27">
        <f ca="1">ROUND(E10553*F10553,2)</f>
        <v>0</v>
      </c>
    </row>
    <row r="10554" spans="1:7" ht="15.12" thickBot="1" customHeight="1">
      <c r="A10554" s="24" t="s">
        <v>33448</v>
      </c>
      <c r="B10554" s="24"/>
      <c r="C10554" s="24" t="s">
        <v>33449</v>
      </c>
      <c r="D10554" s="25" t="s">
        <v>33450</v>
      </c>
      <c r="E10554" s="28">
        <v>5.00000</v>
      </c>
      <c r="F10554" s="29">
        <f ca="1">ROUND(40.730,3)</f>
        <v>0</v>
      </c>
      <c r="G10554" s="27">
        <f ca="1">ROUND((E10554*F10554)/100,2)</f>
        <v>0</v>
      </c>
    </row>
    <row r="10555" spans="1:7" ht="25.08" thickBot="1" customHeight="1">
      <c r="A10555" s="30"/>
      <c r="B10555" s="30"/>
      <c r="C10555" s="30"/>
      <c r="D10555" s="31" t="s">
        <v>33451</v>
      </c>
      <c r="E10555" s="30"/>
      <c r="F10555" s="33">
        <f ca="1">ROUND((G10547+G10548+G10549+G10554)*(1+G2/100),2)</f>
        <v>0</v>
      </c>
      <c r="G10555" s="30"/>
    </row>
    <row r="10556" spans="1:7" ht="49.08" thickBot="1" customHeight="1">
      <c r="A10556" s="34" t="s">
        <v>33452</v>
      </c>
      <c r="B10556" s="35" t="s">
        <v>33453</v>
      </c>
      <c r="C10556" s="35" t="s">
        <v>33454</v>
      </c>
      <c r="D10556" s="36" t="s">
        <v>33455</v>
      </c>
      <c r="E10556" s="37"/>
      <c r="F10556" s="38">
        <f ca="1">F10566</f>
        <v>0</v>
      </c>
      <c r="G10556" s="37"/>
    </row>
    <row r="10557" spans="1:7" ht="21.36" thickBot="1" customHeight="1">
      <c r="A10557" s="26"/>
      <c r="B10557" s="26"/>
      <c r="C10557" s="26"/>
      <c r="D10557" s="25" t="s">
        <v>33456</v>
      </c>
      <c r="E10557" s="25"/>
      <c r="F10557" s="25"/>
      <c r="G10557" s="25"/>
    </row>
    <row r="10558" spans="1:7" ht="39.84" thickBot="1" customHeight="1">
      <c r="A10558" s="24" t="s">
        <v>33457</v>
      </c>
      <c r="B10558" s="24" t="s">
        <v>33458</v>
      </c>
      <c r="C10558" s="24" t="s">
        <v>33459</v>
      </c>
      <c r="D10558" s="25" t="s">
        <v>33460</v>
      </c>
      <c r="E10558" s="28">
        <v>0.00733</v>
      </c>
      <c r="F10558" s="29">
        <f ca="1">ROUND(82.550,3)</f>
        <v>0</v>
      </c>
      <c r="G10558" s="27">
        <f ca="1">ROUND(E10558*F10558,2)</f>
        <v>0</v>
      </c>
    </row>
    <row r="10559" spans="1:7" ht="39.84" thickBot="1" customHeight="1">
      <c r="A10559" s="24" t="s">
        <v>33461</v>
      </c>
      <c r="B10559" s="24" t="s">
        <v>33462</v>
      </c>
      <c r="C10559" s="24" t="s">
        <v>33463</v>
      </c>
      <c r="D10559" s="25" t="s">
        <v>33464</v>
      </c>
      <c r="E10559" s="28">
        <v>0.26250</v>
      </c>
      <c r="F10559" s="29">
        <f ca="1">ROUND(72.820,3)</f>
        <v>0</v>
      </c>
      <c r="G10559" s="27">
        <f ca="1">ROUND(E10559*F10559,2)</f>
        <v>0</v>
      </c>
    </row>
    <row r="10560" spans="1:7" ht="21.36" thickBot="1" customHeight="1">
      <c r="A10560" s="24" t="s">
        <v>33465</v>
      </c>
      <c r="B10560" s="24" t="s">
        <v>33466</v>
      </c>
      <c r="C10560" s="24" t="s">
        <v>33467</v>
      </c>
      <c r="D10560" s="25" t="s">
        <v>33468</v>
      </c>
      <c r="E10560" s="28">
        <v>0.53333</v>
      </c>
      <c r="F10560" s="29">
        <f ca="1">F10564</f>
        <v>0</v>
      </c>
      <c r="G10560" s="27">
        <f ca="1">ROUND(E10560*F10560,2)</f>
        <v>0</v>
      </c>
    </row>
    <row r="10561" spans="1:7" ht="24.36" thickBot="1" customHeight="1">
      <c r="A10561" s="24" t="s">
        <v>33469</v>
      </c>
      <c r="B10561" s="24" t="s">
        <v>33470</v>
      </c>
      <c r="C10561" s="24" t="s">
        <v>33471</v>
      </c>
      <c r="D10561" s="25" t="s">
        <v>33472</v>
      </c>
      <c r="E10561" s="28">
        <v>1.00000</v>
      </c>
      <c r="F10561" s="29">
        <f ca="1">ROUND(21.000,3)</f>
        <v>0</v>
      </c>
      <c r="G10561" s="27">
        <f ca="1">ROUND(E10561*F10561,2)</f>
        <v>0</v>
      </c>
    </row>
    <row r="10562" spans="1:7" ht="24.36" thickBot="1" customHeight="1">
      <c r="A10562" s="24" t="s">
        <v>33473</v>
      </c>
      <c r="B10562" s="24" t="s">
        <v>33474</v>
      </c>
      <c r="C10562" s="24" t="s">
        <v>33475</v>
      </c>
      <c r="D10562" s="25" t="s">
        <v>33476</v>
      </c>
      <c r="E10562" s="28">
        <v>1.00000</v>
      </c>
      <c r="F10562" s="29">
        <f ca="1">ROUND(19.000,3)</f>
        <v>0</v>
      </c>
      <c r="G10562" s="27">
        <f ca="1">ROUND(E10562*F10562,2)</f>
        <v>0</v>
      </c>
    </row>
    <row r="10563" spans="1:7" ht="24.36" thickBot="1" customHeight="1">
      <c r="A10563" s="24" t="s">
        <v>33477</v>
      </c>
      <c r="B10563" s="24" t="s">
        <v>33478</v>
      </c>
      <c r="C10563" s="24" t="s">
        <v>33479</v>
      </c>
      <c r="D10563" s="25" t="s">
        <v>33480</v>
      </c>
      <c r="E10563" s="28">
        <v>0.20000</v>
      </c>
      <c r="F10563" s="29">
        <f ca="1">ROUND(19.000,3)</f>
        <v>0</v>
      </c>
      <c r="G10563" s="27">
        <f ca="1">ROUND(E10563*F10563,2)</f>
        <v>0</v>
      </c>
    </row>
    <row r="10564" spans="1:7" ht="15.12" thickBot="1" customHeight="1">
      <c r="A10564" s="26"/>
      <c r="B10564" s="26"/>
      <c r="C10564" s="26"/>
      <c r="D10564" s="24" t="s">
        <v>33481</v>
      </c>
      <c r="E10564" s="28">
        <v>0.53333</v>
      </c>
      <c r="F10564" s="29">
        <f ca="1">ROUND((G10561+G10562+G10563),3)</f>
        <v>0</v>
      </c>
      <c r="G10564" s="27">
        <f ca="1">ROUND(E10564*F10564,2)</f>
        <v>0</v>
      </c>
    </row>
    <row r="10565" spans="1:7" ht="15.12" thickBot="1" customHeight="1">
      <c r="A10565" s="24" t="s">
        <v>33482</v>
      </c>
      <c r="B10565" s="24"/>
      <c r="C10565" s="24" t="s">
        <v>33483</v>
      </c>
      <c r="D10565" s="25" t="s">
        <v>33484</v>
      </c>
      <c r="E10565" s="28">
        <v>5.00000</v>
      </c>
      <c r="F10565" s="29">
        <f ca="1">ROUND(23.360,3)</f>
        <v>0</v>
      </c>
      <c r="G10565" s="27">
        <f ca="1">ROUND((E10565*F10565)/100,2)</f>
        <v>0</v>
      </c>
    </row>
    <row r="10566" spans="1:7" ht="25.08" thickBot="1" customHeight="1">
      <c r="A10566" s="30"/>
      <c r="B10566" s="30"/>
      <c r="C10566" s="30"/>
      <c r="D10566" s="31" t="s">
        <v>33485</v>
      </c>
      <c r="E10566" s="30"/>
      <c r="F10566" s="33">
        <f ca="1">ROUND((G10558+G10559+G10560+G10565)*(1+G2/100),2)</f>
        <v>0</v>
      </c>
      <c r="G10566" s="30"/>
    </row>
    <row r="10567" spans="1:7" ht="49.08" thickBot="1" customHeight="1">
      <c r="A10567" s="34" t="s">
        <v>33486</v>
      </c>
      <c r="B10567" s="35" t="s">
        <v>33487</v>
      </c>
      <c r="C10567" s="35" t="s">
        <v>33488</v>
      </c>
      <c r="D10567" s="36" t="s">
        <v>33489</v>
      </c>
      <c r="E10567" s="37"/>
      <c r="F10567" s="38">
        <f ca="1">F10577</f>
        <v>0</v>
      </c>
      <c r="G10567" s="37"/>
    </row>
    <row r="10568" spans="1:7" ht="21.36" thickBot="1" customHeight="1">
      <c r="A10568" s="26"/>
      <c r="B10568" s="26"/>
      <c r="C10568" s="26"/>
      <c r="D10568" s="25" t="s">
        <v>33490</v>
      </c>
      <c r="E10568" s="25"/>
      <c r="F10568" s="25"/>
      <c r="G10568" s="25"/>
    </row>
    <row r="10569" spans="1:7" ht="39.84" thickBot="1" customHeight="1">
      <c r="A10569" s="24" t="s">
        <v>33491</v>
      </c>
      <c r="B10569" s="24" t="s">
        <v>33492</v>
      </c>
      <c r="C10569" s="24" t="s">
        <v>33493</v>
      </c>
      <c r="D10569" s="25" t="s">
        <v>33494</v>
      </c>
      <c r="E10569" s="28">
        <v>0.00733</v>
      </c>
      <c r="F10569" s="29">
        <f ca="1">ROUND(82.550,3)</f>
        <v>0</v>
      </c>
      <c r="G10569" s="27">
        <f ca="1">ROUND(E10569*F10569,2)</f>
        <v>0</v>
      </c>
    </row>
    <row r="10570" spans="1:7" ht="39.84" thickBot="1" customHeight="1">
      <c r="A10570" s="24" t="s">
        <v>33495</v>
      </c>
      <c r="B10570" s="24" t="s">
        <v>33496</v>
      </c>
      <c r="C10570" s="24" t="s">
        <v>33497</v>
      </c>
      <c r="D10570" s="25" t="s">
        <v>33498</v>
      </c>
      <c r="E10570" s="28">
        <v>0.26250</v>
      </c>
      <c r="F10570" s="29">
        <f ca="1">ROUND(72.820,3)</f>
        <v>0</v>
      </c>
      <c r="G10570" s="27">
        <f ca="1">ROUND(E10570*F10570,2)</f>
        <v>0</v>
      </c>
    </row>
    <row r="10571" spans="1:7" ht="21.36" thickBot="1" customHeight="1">
      <c r="A10571" s="24" t="s">
        <v>33499</v>
      </c>
      <c r="B10571" s="24" t="s">
        <v>33500</v>
      </c>
      <c r="C10571" s="24" t="s">
        <v>33501</v>
      </c>
      <c r="D10571" s="25" t="s">
        <v>33502</v>
      </c>
      <c r="E10571" s="28">
        <v>0.75000</v>
      </c>
      <c r="F10571" s="29">
        <f ca="1">F10575</f>
        <v>0</v>
      </c>
      <c r="G10571" s="27">
        <f ca="1">ROUND(E10571*F10571,2)</f>
        <v>0</v>
      </c>
    </row>
    <row r="10572" spans="1:7" ht="24.36" thickBot="1" customHeight="1">
      <c r="A10572" s="24" t="s">
        <v>33503</v>
      </c>
      <c r="B10572" s="24" t="s">
        <v>33504</v>
      </c>
      <c r="C10572" s="24" t="s">
        <v>33505</v>
      </c>
      <c r="D10572" s="25" t="s">
        <v>33506</v>
      </c>
      <c r="E10572" s="28">
        <v>1.00000</v>
      </c>
      <c r="F10572" s="29">
        <f ca="1">ROUND(21.000,3)</f>
        <v>0</v>
      </c>
      <c r="G10572" s="27">
        <f ca="1">ROUND(E10572*F10572,2)</f>
        <v>0</v>
      </c>
    </row>
    <row r="10573" spans="1:7" ht="24.36" thickBot="1" customHeight="1">
      <c r="A10573" s="24" t="s">
        <v>33507</v>
      </c>
      <c r="B10573" s="24" t="s">
        <v>33508</v>
      </c>
      <c r="C10573" s="24" t="s">
        <v>33509</v>
      </c>
      <c r="D10573" s="25" t="s">
        <v>33510</v>
      </c>
      <c r="E10573" s="28">
        <v>1.00000</v>
      </c>
      <c r="F10573" s="29">
        <f ca="1">ROUND(19.000,3)</f>
        <v>0</v>
      </c>
      <c r="G10573" s="27">
        <f ca="1">ROUND(E10573*F10573,2)</f>
        <v>0</v>
      </c>
    </row>
    <row r="10574" spans="1:7" ht="24.36" thickBot="1" customHeight="1">
      <c r="A10574" s="24" t="s">
        <v>33511</v>
      </c>
      <c r="B10574" s="24" t="s">
        <v>33512</v>
      </c>
      <c r="C10574" s="24" t="s">
        <v>33513</v>
      </c>
      <c r="D10574" s="25" t="s">
        <v>33514</v>
      </c>
      <c r="E10574" s="28">
        <v>0.20000</v>
      </c>
      <c r="F10574" s="29">
        <f ca="1">ROUND(19.000,3)</f>
        <v>0</v>
      </c>
      <c r="G10574" s="27">
        <f ca="1">ROUND(E10574*F10574,2)</f>
        <v>0</v>
      </c>
    </row>
    <row r="10575" spans="1:7" ht="15.12" thickBot="1" customHeight="1">
      <c r="A10575" s="26"/>
      <c r="B10575" s="26"/>
      <c r="C10575" s="26"/>
      <c r="D10575" s="24" t="s">
        <v>33515</v>
      </c>
      <c r="E10575" s="28">
        <v>0.75000</v>
      </c>
      <c r="F10575" s="29">
        <f ca="1">ROUND((G10572+G10573+G10574),3)</f>
        <v>0</v>
      </c>
      <c r="G10575" s="27">
        <f ca="1">ROUND(E10575*F10575,2)</f>
        <v>0</v>
      </c>
    </row>
    <row r="10576" spans="1:7" ht="15.12" thickBot="1" customHeight="1">
      <c r="A10576" s="24" t="s">
        <v>33516</v>
      </c>
      <c r="B10576" s="24"/>
      <c r="C10576" s="24" t="s">
        <v>33517</v>
      </c>
      <c r="D10576" s="25" t="s">
        <v>33518</v>
      </c>
      <c r="E10576" s="28">
        <v>5.00000</v>
      </c>
      <c r="F10576" s="29">
        <f ca="1">ROUND(32.850,3)</f>
        <v>0</v>
      </c>
      <c r="G10576" s="27">
        <f ca="1">ROUND((E10576*F10576)/100,2)</f>
        <v>0</v>
      </c>
    </row>
    <row r="10577" spans="1:7" ht="25.08" thickBot="1" customHeight="1">
      <c r="A10577" s="30"/>
      <c r="B10577" s="30"/>
      <c r="C10577" s="30"/>
      <c r="D10577" s="31" t="s">
        <v>33519</v>
      </c>
      <c r="E10577" s="30"/>
      <c r="F10577" s="33">
        <f ca="1">ROUND((G10569+G10570+G10571+G10576)*(1+G2/100),2)</f>
        <v>0</v>
      </c>
      <c r="G10577" s="30"/>
    </row>
    <row r="10578" spans="1:7" ht="39.84" thickBot="1" customHeight="1">
      <c r="A10578" s="34" t="s">
        <v>33520</v>
      </c>
      <c r="B10578" s="35" t="s">
        <v>33521</v>
      </c>
      <c r="C10578" s="35" t="s">
        <v>33522</v>
      </c>
      <c r="D10578" s="36" t="s">
        <v>33523</v>
      </c>
      <c r="E10578" s="37"/>
      <c r="F10578" s="38">
        <f ca="1">F10588</f>
        <v>0</v>
      </c>
      <c r="G10578" s="37"/>
    </row>
    <row r="10579" spans="1:7" ht="21.36" thickBot="1" customHeight="1">
      <c r="A10579" s="26"/>
      <c r="B10579" s="26"/>
      <c r="C10579" s="26"/>
      <c r="D10579" s="25" t="s">
        <v>33524</v>
      </c>
      <c r="E10579" s="25"/>
      <c r="F10579" s="25"/>
      <c r="G10579" s="25"/>
    </row>
    <row r="10580" spans="1:7" ht="30.60" thickBot="1" customHeight="1">
      <c r="A10580" s="24" t="s">
        <v>33525</v>
      </c>
      <c r="B10580" s="24" t="s">
        <v>33526</v>
      </c>
      <c r="C10580" s="24" t="s">
        <v>33527</v>
      </c>
      <c r="D10580" s="25" t="s">
        <v>33528</v>
      </c>
      <c r="E10580" s="28">
        <v>0.02500</v>
      </c>
      <c r="F10580" s="29">
        <f ca="1">ROUND(14.290,3)</f>
        <v>0</v>
      </c>
      <c r="G10580" s="27">
        <f ca="1">ROUND(E10580*F10580,2)</f>
        <v>0</v>
      </c>
    </row>
    <row r="10581" spans="1:7" ht="24.36" thickBot="1" customHeight="1">
      <c r="A10581" s="24" t="s">
        <v>33529</v>
      </c>
      <c r="B10581" s="24" t="s">
        <v>33530</v>
      </c>
      <c r="C10581" s="24" t="s">
        <v>33531</v>
      </c>
      <c r="D10581" s="25" t="s">
        <v>33532</v>
      </c>
      <c r="E10581" s="28">
        <v>0.36000</v>
      </c>
      <c r="F10581" s="29">
        <f ca="1">ROUND(7.526,3)</f>
        <v>0</v>
      </c>
      <c r="G10581" s="27">
        <f ca="1">ROUND(E10581*F10581,2)</f>
        <v>0</v>
      </c>
    </row>
    <row r="10582" spans="1:7" ht="21.36" thickBot="1" customHeight="1">
      <c r="A10582" s="24" t="s">
        <v>33533</v>
      </c>
      <c r="B10582" s="24" t="s">
        <v>33534</v>
      </c>
      <c r="C10582" s="24" t="s">
        <v>33535</v>
      </c>
      <c r="D10582" s="25" t="s">
        <v>33536</v>
      </c>
      <c r="E10582" s="28">
        <v>0.36000</v>
      </c>
      <c r="F10582" s="29">
        <f ca="1">F10586</f>
        <v>0</v>
      </c>
      <c r="G10582" s="27">
        <f ca="1">ROUND(E10582*F10582,2)</f>
        <v>0</v>
      </c>
    </row>
    <row r="10583" spans="1:7" ht="24.36" thickBot="1" customHeight="1">
      <c r="A10583" s="24" t="s">
        <v>33537</v>
      </c>
      <c r="B10583" s="24" t="s">
        <v>33538</v>
      </c>
      <c r="C10583" s="24" t="s">
        <v>33539</v>
      </c>
      <c r="D10583" s="25" t="s">
        <v>33540</v>
      </c>
      <c r="E10583" s="28">
        <v>1.00000</v>
      </c>
      <c r="F10583" s="29">
        <f ca="1">ROUND(21.000,3)</f>
        <v>0</v>
      </c>
      <c r="G10583" s="27">
        <f ca="1">ROUND(E10583*F10583,2)</f>
        <v>0</v>
      </c>
    </row>
    <row r="10584" spans="1:7" ht="24.36" thickBot="1" customHeight="1">
      <c r="A10584" s="24" t="s">
        <v>33541</v>
      </c>
      <c r="B10584" s="24" t="s">
        <v>33542</v>
      </c>
      <c r="C10584" s="24" t="s">
        <v>33543</v>
      </c>
      <c r="D10584" s="25" t="s">
        <v>33544</v>
      </c>
      <c r="E10584" s="28">
        <v>1.00000</v>
      </c>
      <c r="F10584" s="29">
        <f ca="1">ROUND(19.000,3)</f>
        <v>0</v>
      </c>
      <c r="G10584" s="27">
        <f ca="1">ROUND(E10584*F10584,2)</f>
        <v>0</v>
      </c>
    </row>
    <row r="10585" spans="1:7" ht="24.36" thickBot="1" customHeight="1">
      <c r="A10585" s="24" t="s">
        <v>33545</v>
      </c>
      <c r="B10585" s="24" t="s">
        <v>33546</v>
      </c>
      <c r="C10585" s="24" t="s">
        <v>33547</v>
      </c>
      <c r="D10585" s="25" t="s">
        <v>33548</v>
      </c>
      <c r="E10585" s="28">
        <v>0.20000</v>
      </c>
      <c r="F10585" s="29">
        <f ca="1">ROUND(19.000,3)</f>
        <v>0</v>
      </c>
      <c r="G10585" s="27">
        <f ca="1">ROUND(E10585*F10585,2)</f>
        <v>0</v>
      </c>
    </row>
    <row r="10586" spans="1:7" ht="15.12" thickBot="1" customHeight="1">
      <c r="A10586" s="26"/>
      <c r="B10586" s="26"/>
      <c r="C10586" s="26"/>
      <c r="D10586" s="24" t="s">
        <v>33549</v>
      </c>
      <c r="E10586" s="28">
        <v>0.36000</v>
      </c>
      <c r="F10586" s="29">
        <f ca="1">ROUND((G10583+G10584+G10585),3)</f>
        <v>0</v>
      </c>
      <c r="G10586" s="27">
        <f ca="1">ROUND(E10586*F10586,2)</f>
        <v>0</v>
      </c>
    </row>
    <row r="10587" spans="1:7" ht="15.12" thickBot="1" customHeight="1">
      <c r="A10587" s="24" t="s">
        <v>33550</v>
      </c>
      <c r="B10587" s="24"/>
      <c r="C10587" s="24" t="s">
        <v>33551</v>
      </c>
      <c r="D10587" s="25" t="s">
        <v>33552</v>
      </c>
      <c r="E10587" s="28">
        <v>3.00000</v>
      </c>
      <c r="F10587" s="29">
        <f ca="1">ROUND(15.770,3)</f>
        <v>0</v>
      </c>
      <c r="G10587" s="27">
        <f ca="1">ROUND((E10587*F10587)/100,2)</f>
        <v>0</v>
      </c>
    </row>
    <row r="10588" spans="1:7" ht="15.48" thickBot="1" customHeight="1">
      <c r="A10588" s="30"/>
      <c r="B10588" s="30"/>
      <c r="C10588" s="30"/>
      <c r="D10588" s="31" t="s">
        <v>33553</v>
      </c>
      <c r="E10588" s="30"/>
      <c r="F10588" s="33">
        <f ca="1">ROUND((G10580+G10581+G10582+G10587)*(1+G2/100),2)</f>
        <v>0</v>
      </c>
      <c r="G10588" s="30"/>
    </row>
    <row r="10589" spans="1:7" ht="49.08" thickBot="1" customHeight="1">
      <c r="A10589" s="34" t="s">
        <v>33554</v>
      </c>
      <c r="B10589" s="35" t="s">
        <v>33555</v>
      </c>
      <c r="C10589" s="35" t="s">
        <v>33556</v>
      </c>
      <c r="D10589" s="36" t="s">
        <v>33557</v>
      </c>
      <c r="E10589" s="37"/>
      <c r="F10589" s="38">
        <f ca="1">F10599</f>
        <v>0</v>
      </c>
      <c r="G10589" s="37"/>
    </row>
    <row r="10590" spans="1:7" ht="21.36" thickBot="1" customHeight="1">
      <c r="A10590" s="26"/>
      <c r="B10590" s="26"/>
      <c r="C10590" s="26"/>
      <c r="D10590" s="25" t="s">
        <v>33558</v>
      </c>
      <c r="E10590" s="25"/>
      <c r="F10590" s="25"/>
      <c r="G10590" s="25"/>
    </row>
    <row r="10591" spans="1:7" ht="30.60" thickBot="1" customHeight="1">
      <c r="A10591" s="24" t="s">
        <v>33559</v>
      </c>
      <c r="B10591" s="24" t="s">
        <v>33560</v>
      </c>
      <c r="C10591" s="24" t="s">
        <v>33561</v>
      </c>
      <c r="D10591" s="25" t="s">
        <v>33562</v>
      </c>
      <c r="E10591" s="28">
        <v>0.02500</v>
      </c>
      <c r="F10591" s="29">
        <f ca="1">ROUND(14.290,3)</f>
        <v>0</v>
      </c>
      <c r="G10591" s="27">
        <f ca="1">ROUND(E10591*F10591,2)</f>
        <v>0</v>
      </c>
    </row>
    <row r="10592" spans="1:7" ht="24.36" thickBot="1" customHeight="1">
      <c r="A10592" s="24" t="s">
        <v>33563</v>
      </c>
      <c r="B10592" s="24" t="s">
        <v>33564</v>
      </c>
      <c r="C10592" s="24" t="s">
        <v>33565</v>
      </c>
      <c r="D10592" s="25" t="s">
        <v>33566</v>
      </c>
      <c r="E10592" s="28">
        <v>0.50000</v>
      </c>
      <c r="F10592" s="29">
        <f ca="1">ROUND(7.526,3)</f>
        <v>0</v>
      </c>
      <c r="G10592" s="27">
        <f ca="1">ROUND(E10592*F10592,2)</f>
        <v>0</v>
      </c>
    </row>
    <row r="10593" spans="1:7" ht="21.36" thickBot="1" customHeight="1">
      <c r="A10593" s="24" t="s">
        <v>33567</v>
      </c>
      <c r="B10593" s="24" t="s">
        <v>33568</v>
      </c>
      <c r="C10593" s="24" t="s">
        <v>33569</v>
      </c>
      <c r="D10593" s="25" t="s">
        <v>33570</v>
      </c>
      <c r="E10593" s="28">
        <v>0.60000</v>
      </c>
      <c r="F10593" s="29">
        <f ca="1">F10597</f>
        <v>0</v>
      </c>
      <c r="G10593" s="27">
        <f ca="1">ROUND(E10593*F10593,2)</f>
        <v>0</v>
      </c>
    </row>
    <row r="10594" spans="1:7" ht="24.36" thickBot="1" customHeight="1">
      <c r="A10594" s="24" t="s">
        <v>33571</v>
      </c>
      <c r="B10594" s="24" t="s">
        <v>33572</v>
      </c>
      <c r="C10594" s="24" t="s">
        <v>33573</v>
      </c>
      <c r="D10594" s="25" t="s">
        <v>33574</v>
      </c>
      <c r="E10594" s="28">
        <v>1.00000</v>
      </c>
      <c r="F10594" s="29">
        <f ca="1">ROUND(21.000,3)</f>
        <v>0</v>
      </c>
      <c r="G10594" s="27">
        <f ca="1">ROUND(E10594*F10594,2)</f>
        <v>0</v>
      </c>
    </row>
    <row r="10595" spans="1:7" ht="24.36" thickBot="1" customHeight="1">
      <c r="A10595" s="24" t="s">
        <v>33575</v>
      </c>
      <c r="B10595" s="24" t="s">
        <v>33576</v>
      </c>
      <c r="C10595" s="24" t="s">
        <v>33577</v>
      </c>
      <c r="D10595" s="25" t="s">
        <v>33578</v>
      </c>
      <c r="E10595" s="28">
        <v>1.00000</v>
      </c>
      <c r="F10595" s="29">
        <f ca="1">ROUND(19.000,3)</f>
        <v>0</v>
      </c>
      <c r="G10595" s="27">
        <f ca="1">ROUND(E10595*F10595,2)</f>
        <v>0</v>
      </c>
    </row>
    <row r="10596" spans="1:7" ht="24.36" thickBot="1" customHeight="1">
      <c r="A10596" s="24" t="s">
        <v>33579</v>
      </c>
      <c r="B10596" s="24" t="s">
        <v>33580</v>
      </c>
      <c r="C10596" s="24" t="s">
        <v>33581</v>
      </c>
      <c r="D10596" s="25" t="s">
        <v>33582</v>
      </c>
      <c r="E10596" s="28">
        <v>0.20000</v>
      </c>
      <c r="F10596" s="29">
        <f ca="1">ROUND(19.000,3)</f>
        <v>0</v>
      </c>
      <c r="G10596" s="27">
        <f ca="1">ROUND(E10596*F10596,2)</f>
        <v>0</v>
      </c>
    </row>
    <row r="10597" spans="1:7" ht="15.12" thickBot="1" customHeight="1">
      <c r="A10597" s="26"/>
      <c r="B10597" s="26"/>
      <c r="C10597" s="26"/>
      <c r="D10597" s="24" t="s">
        <v>33583</v>
      </c>
      <c r="E10597" s="28">
        <v>0.60000</v>
      </c>
      <c r="F10597" s="29">
        <f ca="1">ROUND((G10594+G10595+G10596),3)</f>
        <v>0</v>
      </c>
      <c r="G10597" s="27">
        <f ca="1">ROUND(E10597*F10597,2)</f>
        <v>0</v>
      </c>
    </row>
    <row r="10598" spans="1:7" ht="15.12" thickBot="1" customHeight="1">
      <c r="A10598" s="24" t="s">
        <v>33584</v>
      </c>
      <c r="B10598" s="24"/>
      <c r="C10598" s="24" t="s">
        <v>33585</v>
      </c>
      <c r="D10598" s="25" t="s">
        <v>33586</v>
      </c>
      <c r="E10598" s="28">
        <v>3.00000</v>
      </c>
      <c r="F10598" s="29">
        <f ca="1">ROUND(26.280,3)</f>
        <v>0</v>
      </c>
      <c r="G10598" s="27">
        <f ca="1">ROUND((E10598*F10598)/100,2)</f>
        <v>0</v>
      </c>
    </row>
    <row r="10599" spans="1:7" ht="15.48" thickBot="1" customHeight="1">
      <c r="A10599" s="30"/>
      <c r="B10599" s="30"/>
      <c r="C10599" s="30"/>
      <c r="D10599" s="31" t="s">
        <v>33587</v>
      </c>
      <c r="E10599" s="30"/>
      <c r="F10599" s="33">
        <f ca="1">ROUND((G10591+G10592+G10593+G10598)*(1+G2/100),2)</f>
        <v>0</v>
      </c>
      <c r="G10599" s="30"/>
    </row>
    <row r="10600" spans="1:7" ht="21.36" thickBot="1" customHeight="1">
      <c r="A10600" s="34" t="s">
        <v>33588</v>
      </c>
      <c r="B10600" s="35" t="s">
        <v>33589</v>
      </c>
      <c r="C10600" s="35" t="s">
        <v>33590</v>
      </c>
      <c r="D10600" s="36" t="s">
        <v>33591</v>
      </c>
      <c r="E10600" s="37"/>
      <c r="F10600" s="38">
        <f ca="1">F10611</f>
        <v>0</v>
      </c>
      <c r="G10600" s="37"/>
    </row>
    <row r="10601" spans="1:7" ht="39.84" thickBot="1" customHeight="1">
      <c r="A10601" s="26"/>
      <c r="B10601" s="26"/>
      <c r="C10601" s="26"/>
      <c r="D10601" s="25" t="s">
        <v>33592</v>
      </c>
      <c r="E10601" s="25"/>
      <c r="F10601" s="25"/>
      <c r="G10601" s="25"/>
    </row>
    <row r="10602" spans="1:7" ht="30.60" thickBot="1" customHeight="1">
      <c r="A10602" s="24" t="s">
        <v>33593</v>
      </c>
      <c r="B10602" s="24" t="s">
        <v>33594</v>
      </c>
      <c r="C10602" s="24" t="s">
        <v>33595</v>
      </c>
      <c r="D10602" s="25" t="s">
        <v>33596</v>
      </c>
      <c r="E10602" s="28">
        <v>3.00000</v>
      </c>
      <c r="F10602" s="29">
        <f ca="1">ROUND(1.950,3)</f>
        <v>0</v>
      </c>
      <c r="G10602" s="27">
        <f ca="1">ROUND(E10602*F10602,2)</f>
        <v>0</v>
      </c>
    </row>
    <row r="10603" spans="1:7" ht="49.08" thickBot="1" customHeight="1">
      <c r="A10603" s="24" t="s">
        <v>33597</v>
      </c>
      <c r="B10603" s="24" t="s">
        <v>33598</v>
      </c>
      <c r="C10603" s="24" t="s">
        <v>33599</v>
      </c>
      <c r="D10603" s="25" t="s">
        <v>33600</v>
      </c>
      <c r="E10603" s="28">
        <v>0.01000</v>
      </c>
      <c r="F10603" s="29">
        <f ca="1">ROUND(10.250,3)</f>
        <v>0</v>
      </c>
      <c r="G10603" s="27">
        <f ca="1">ROUND(E10603*F10603,2)</f>
        <v>0</v>
      </c>
    </row>
    <row r="10604" spans="1:7" ht="30.60" thickBot="1" customHeight="1">
      <c r="A10604" s="24" t="s">
        <v>33601</v>
      </c>
      <c r="B10604" s="24" t="s">
        <v>33602</v>
      </c>
      <c r="C10604" s="24" t="s">
        <v>33603</v>
      </c>
      <c r="D10604" s="25" t="s">
        <v>33604</v>
      </c>
      <c r="E10604" s="28">
        <v>0.02000</v>
      </c>
      <c r="F10604" s="29">
        <f ca="1">ROUND(11.740,3)</f>
        <v>0</v>
      </c>
      <c r="G10604" s="27">
        <f ca="1">ROUND(E10604*F10604,2)</f>
        <v>0</v>
      </c>
    </row>
    <row r="10605" spans="1:7" ht="21.36" thickBot="1" customHeight="1">
      <c r="A10605" s="24" t="s">
        <v>33605</v>
      </c>
      <c r="B10605" s="24" t="s">
        <v>33606</v>
      </c>
      <c r="C10605" s="24" t="s">
        <v>33607</v>
      </c>
      <c r="D10605" s="25" t="s">
        <v>33608</v>
      </c>
      <c r="E10605" s="28">
        <v>0.15000</v>
      </c>
      <c r="F10605" s="29">
        <f ca="1">F10609</f>
        <v>0</v>
      </c>
      <c r="G10605" s="27">
        <f ca="1">ROUND(E10605*F10605,2)</f>
        <v>0</v>
      </c>
    </row>
    <row r="10606" spans="1:7" ht="24.36" thickBot="1" customHeight="1">
      <c r="A10606" s="24" t="s">
        <v>33609</v>
      </c>
      <c r="B10606" s="24" t="s">
        <v>33610</v>
      </c>
      <c r="C10606" s="24" t="s">
        <v>33611</v>
      </c>
      <c r="D10606" s="25" t="s">
        <v>33612</v>
      </c>
      <c r="E10606" s="28">
        <v>1.00000</v>
      </c>
      <c r="F10606" s="29">
        <f ca="1">ROUND(21.000,3)</f>
        <v>0</v>
      </c>
      <c r="G10606" s="27">
        <f ca="1">ROUND(E10606*F10606,2)</f>
        <v>0</v>
      </c>
    </row>
    <row r="10607" spans="1:7" ht="24.36" thickBot="1" customHeight="1">
      <c r="A10607" s="24" t="s">
        <v>33613</v>
      </c>
      <c r="B10607" s="24" t="s">
        <v>33614</v>
      </c>
      <c r="C10607" s="24" t="s">
        <v>33615</v>
      </c>
      <c r="D10607" s="25" t="s">
        <v>33616</v>
      </c>
      <c r="E10607" s="28">
        <v>1.00000</v>
      </c>
      <c r="F10607" s="29">
        <f ca="1">ROUND(19.000,3)</f>
        <v>0</v>
      </c>
      <c r="G10607" s="27">
        <f ca="1">ROUND(E10607*F10607,2)</f>
        <v>0</v>
      </c>
    </row>
    <row r="10608" spans="1:7" ht="24.36" thickBot="1" customHeight="1">
      <c r="A10608" s="24" t="s">
        <v>33617</v>
      </c>
      <c r="B10608" s="24" t="s">
        <v>33618</v>
      </c>
      <c r="C10608" s="24" t="s">
        <v>33619</v>
      </c>
      <c r="D10608" s="25" t="s">
        <v>33620</v>
      </c>
      <c r="E10608" s="28">
        <v>0.20000</v>
      </c>
      <c r="F10608" s="29">
        <f ca="1">ROUND(19.000,3)</f>
        <v>0</v>
      </c>
      <c r="G10608" s="27">
        <f ca="1">ROUND(E10608*F10608,2)</f>
        <v>0</v>
      </c>
    </row>
    <row r="10609" spans="1:7" ht="15.12" thickBot="1" customHeight="1">
      <c r="A10609" s="26"/>
      <c r="B10609" s="26"/>
      <c r="C10609" s="26"/>
      <c r="D10609" s="24" t="s">
        <v>33621</v>
      </c>
      <c r="E10609" s="28">
        <v>0.15000</v>
      </c>
      <c r="F10609" s="29">
        <f ca="1">ROUND((G10606+G10607+G10608),3)</f>
        <v>0</v>
      </c>
      <c r="G10609" s="27">
        <f ca="1">ROUND(E10609*F10609,2)</f>
        <v>0</v>
      </c>
    </row>
    <row r="10610" spans="1:7" ht="15.12" thickBot="1" customHeight="1">
      <c r="A10610" s="24" t="s">
        <v>33622</v>
      </c>
      <c r="B10610" s="24"/>
      <c r="C10610" s="24" t="s">
        <v>33623</v>
      </c>
      <c r="D10610" s="25" t="s">
        <v>33624</v>
      </c>
      <c r="E10610" s="28">
        <v>3.00000</v>
      </c>
      <c r="F10610" s="29">
        <f ca="1">ROUND(6.570,3)</f>
        <v>0</v>
      </c>
      <c r="G10610" s="27">
        <f ca="1">ROUND((E10610*F10610)/100,2)</f>
        <v>0</v>
      </c>
    </row>
    <row r="10611" spans="1:7" ht="15.48" thickBot="1" customHeight="1">
      <c r="A10611" s="30"/>
      <c r="B10611" s="30"/>
      <c r="C10611" s="30"/>
      <c r="D10611" s="31" t="s">
        <v>33625</v>
      </c>
      <c r="E10611" s="30"/>
      <c r="F10611" s="33">
        <f ca="1">ROUND((G10602+G10603+G10604+G10605+G10610)*(1+G2/100),2)</f>
        <v>0</v>
      </c>
      <c r="G10611" s="30"/>
    </row>
    <row r="10612" spans="1:7" ht="21.36" thickBot="1" customHeight="1">
      <c r="A10612" s="34" t="s">
        <v>33626</v>
      </c>
      <c r="B10612" s="35" t="s">
        <v>33627</v>
      </c>
      <c r="C10612" s="35" t="s">
        <v>33628</v>
      </c>
      <c r="D10612" s="36" t="s">
        <v>33629</v>
      </c>
      <c r="E10612" s="37"/>
      <c r="F10612" s="38">
        <f ca="1">F10625</f>
        <v>0</v>
      </c>
      <c r="G10612" s="37"/>
    </row>
    <row r="10613" spans="1:7" ht="76.80" thickBot="1" customHeight="1">
      <c r="A10613" s="26"/>
      <c r="B10613" s="26"/>
      <c r="C10613" s="26"/>
      <c r="D10613" s="25" t="s">
        <v>33630</v>
      </c>
      <c r="E10613" s="25"/>
      <c r="F10613" s="25"/>
      <c r="G10613" s="25"/>
    </row>
    <row r="10614" spans="1:7" ht="30.60" thickBot="1" customHeight="1">
      <c r="A10614" s="24" t="s">
        <v>33631</v>
      </c>
      <c r="B10614" s="24" t="s">
        <v>33632</v>
      </c>
      <c r="C10614" s="24" t="s">
        <v>33633</v>
      </c>
      <c r="D10614" s="25" t="s">
        <v>33634</v>
      </c>
      <c r="E10614" s="28">
        <v>1.07500</v>
      </c>
      <c r="F10614" s="29">
        <f ca="1">ROUND(25.000,3)</f>
        <v>0</v>
      </c>
      <c r="G10614" s="27">
        <f ca="1">ROUND(E10614*F10614,2)</f>
        <v>0</v>
      </c>
    </row>
    <row r="10615" spans="1:7" ht="39.84" thickBot="1" customHeight="1">
      <c r="A10615" s="24" t="s">
        <v>33635</v>
      </c>
      <c r="B10615" s="24" t="s">
        <v>33636</v>
      </c>
      <c r="C10615" s="24" t="s">
        <v>33637</v>
      </c>
      <c r="D10615" s="25" t="s">
        <v>33638</v>
      </c>
      <c r="E10615" s="28">
        <v>0.10000</v>
      </c>
      <c r="F10615" s="29">
        <f ca="1">ROUND(2.630,3)</f>
        <v>0</v>
      </c>
      <c r="G10615" s="27">
        <f ca="1">ROUND(E10615*F10615,2)</f>
        <v>0</v>
      </c>
    </row>
    <row r="10616" spans="1:7" ht="30.60" thickBot="1" customHeight="1">
      <c r="A10616" s="24" t="s">
        <v>33639</v>
      </c>
      <c r="B10616" s="24" t="s">
        <v>33640</v>
      </c>
      <c r="C10616" s="24" t="s">
        <v>33641</v>
      </c>
      <c r="D10616" s="25" t="s">
        <v>33642</v>
      </c>
      <c r="E10616" s="28">
        <v>0.35000</v>
      </c>
      <c r="F10616" s="29">
        <f ca="1">ROUND(8.350,3)</f>
        <v>0</v>
      </c>
      <c r="G10616" s="27">
        <f ca="1">ROUND(E10616*F10616,2)</f>
        <v>0</v>
      </c>
    </row>
    <row r="10617" spans="1:7" ht="30.60" thickBot="1" customHeight="1">
      <c r="A10617" s="24" t="s">
        <v>33643</v>
      </c>
      <c r="B10617" s="24" t="s">
        <v>33644</v>
      </c>
      <c r="C10617" s="24" t="s">
        <v>33645</v>
      </c>
      <c r="D10617" s="25" t="s">
        <v>33646</v>
      </c>
      <c r="E10617" s="28">
        <v>0.08000</v>
      </c>
      <c r="F10617" s="29">
        <f ca="1">ROUND(11.740,3)</f>
        <v>0</v>
      </c>
      <c r="G10617" s="27">
        <f ca="1">ROUND(E10617*F10617,2)</f>
        <v>0</v>
      </c>
    </row>
    <row r="10618" spans="1:7" ht="30.60" thickBot="1" customHeight="1">
      <c r="A10618" s="24" t="s">
        <v>33647</v>
      </c>
      <c r="B10618" s="24" t="s">
        <v>33648</v>
      </c>
      <c r="C10618" s="24" t="s">
        <v>33649</v>
      </c>
      <c r="D10618" s="25" t="s">
        <v>33650</v>
      </c>
      <c r="E10618" s="28">
        <v>0.20000</v>
      </c>
      <c r="F10618" s="29">
        <f ca="1">ROUND(15.400,3)</f>
        <v>0</v>
      </c>
      <c r="G10618" s="27">
        <f ca="1">ROUND(E10618*F10618,2)</f>
        <v>0</v>
      </c>
    </row>
    <row r="10619" spans="1:7" ht="21.36" thickBot="1" customHeight="1">
      <c r="A10619" s="24" t="s">
        <v>33651</v>
      </c>
      <c r="B10619" s="24" t="s">
        <v>33652</v>
      </c>
      <c r="C10619" s="24" t="s">
        <v>33653</v>
      </c>
      <c r="D10619" s="25" t="s">
        <v>33654</v>
      </c>
      <c r="E10619" s="28">
        <v>0.50000</v>
      </c>
      <c r="F10619" s="29">
        <f ca="1">F10623</f>
        <v>0</v>
      </c>
      <c r="G10619" s="27">
        <f ca="1">ROUND(E10619*F10619,2)</f>
        <v>0</v>
      </c>
    </row>
    <row r="10620" spans="1:7" ht="24.36" thickBot="1" customHeight="1">
      <c r="A10620" s="24" t="s">
        <v>33655</v>
      </c>
      <c r="B10620" s="24" t="s">
        <v>33656</v>
      </c>
      <c r="C10620" s="24" t="s">
        <v>33657</v>
      </c>
      <c r="D10620" s="25" t="s">
        <v>33658</v>
      </c>
      <c r="E10620" s="28">
        <v>1.00000</v>
      </c>
      <c r="F10620" s="29">
        <f ca="1">ROUND(21.000,3)</f>
        <v>0</v>
      </c>
      <c r="G10620" s="27">
        <f ca="1">ROUND(E10620*F10620,2)</f>
        <v>0</v>
      </c>
    </row>
    <row r="10621" spans="1:7" ht="24.36" thickBot="1" customHeight="1">
      <c r="A10621" s="24" t="s">
        <v>33659</v>
      </c>
      <c r="B10621" s="24" t="s">
        <v>33660</v>
      </c>
      <c r="C10621" s="24" t="s">
        <v>33661</v>
      </c>
      <c r="D10621" s="25" t="s">
        <v>33662</v>
      </c>
      <c r="E10621" s="28">
        <v>1.00000</v>
      </c>
      <c r="F10621" s="29">
        <f ca="1">ROUND(19.000,3)</f>
        <v>0</v>
      </c>
      <c r="G10621" s="27">
        <f ca="1">ROUND(E10621*F10621,2)</f>
        <v>0</v>
      </c>
    </row>
    <row r="10622" spans="1:7" ht="24.36" thickBot="1" customHeight="1">
      <c r="A10622" s="24" t="s">
        <v>33663</v>
      </c>
      <c r="B10622" s="24" t="s">
        <v>33664</v>
      </c>
      <c r="C10622" s="24" t="s">
        <v>33665</v>
      </c>
      <c r="D10622" s="25" t="s">
        <v>33666</v>
      </c>
      <c r="E10622" s="28">
        <v>0.20000</v>
      </c>
      <c r="F10622" s="29">
        <f ca="1">ROUND(19.000,3)</f>
        <v>0</v>
      </c>
      <c r="G10622" s="27">
        <f ca="1">ROUND(E10622*F10622,2)</f>
        <v>0</v>
      </c>
    </row>
    <row r="10623" spans="1:7" ht="15.12" thickBot="1" customHeight="1">
      <c r="A10623" s="26"/>
      <c r="B10623" s="26"/>
      <c r="C10623" s="26"/>
      <c r="D10623" s="24" t="s">
        <v>33667</v>
      </c>
      <c r="E10623" s="28">
        <v>0.50000</v>
      </c>
      <c r="F10623" s="29">
        <f ca="1">ROUND((G10620+G10621+G10622),3)</f>
        <v>0</v>
      </c>
      <c r="G10623" s="27">
        <f ca="1">ROUND(E10623*F10623,2)</f>
        <v>0</v>
      </c>
    </row>
    <row r="10624" spans="1:7" ht="15.12" thickBot="1" customHeight="1">
      <c r="A10624" s="24" t="s">
        <v>33668</v>
      </c>
      <c r="B10624" s="24"/>
      <c r="C10624" s="24" t="s">
        <v>33669</v>
      </c>
      <c r="D10624" s="25" t="s">
        <v>33670</v>
      </c>
      <c r="E10624" s="28">
        <v>3.00000</v>
      </c>
      <c r="F10624" s="29">
        <f ca="1">ROUND(21.900,3)</f>
        <v>0</v>
      </c>
      <c r="G10624" s="27">
        <f ca="1">ROUND((E10624*F10624)/100,2)</f>
        <v>0</v>
      </c>
    </row>
    <row r="10625" spans="1:7" ht="15.48" thickBot="1" customHeight="1">
      <c r="A10625" s="30"/>
      <c r="B10625" s="30"/>
      <c r="C10625" s="30"/>
      <c r="D10625" s="31" t="s">
        <v>33671</v>
      </c>
      <c r="E10625" s="30"/>
      <c r="F10625" s="33">
        <f ca="1">ROUND((G10614+G10615+G10616+G10617+G10618+G10619+G10624)*(1+G2/100),2)</f>
        <v>0</v>
      </c>
      <c r="G10625" s="30"/>
    </row>
    <row r="10626" spans="1:7" ht="30.60" thickBot="1" customHeight="1">
      <c r="A10626" s="34" t="s">
        <v>33672</v>
      </c>
      <c r="B10626" s="35" t="s">
        <v>33673</v>
      </c>
      <c r="C10626" s="35" t="s">
        <v>33674</v>
      </c>
      <c r="D10626" s="36" t="s">
        <v>33675</v>
      </c>
      <c r="E10626" s="37"/>
      <c r="F10626" s="38">
        <f ca="1">F10638</f>
        <v>0</v>
      </c>
      <c r="G10626" s="37"/>
    </row>
    <row r="10627" spans="1:7" ht="67.56" thickBot="1" customHeight="1">
      <c r="A10627" s="26"/>
      <c r="B10627" s="26"/>
      <c r="C10627" s="26"/>
      <c r="D10627" s="25" t="s">
        <v>33676</v>
      </c>
      <c r="E10627" s="25"/>
      <c r="F10627" s="25"/>
      <c r="G10627" s="25"/>
    </row>
    <row r="10628" spans="1:7" ht="30.60" thickBot="1" customHeight="1">
      <c r="A10628" s="24" t="s">
        <v>33677</v>
      </c>
      <c r="B10628" s="24" t="s">
        <v>33678</v>
      </c>
      <c r="C10628" s="24" t="s">
        <v>33679</v>
      </c>
      <c r="D10628" s="25" t="s">
        <v>33680</v>
      </c>
      <c r="E10628" s="28">
        <v>0.19350</v>
      </c>
      <c r="F10628" s="29">
        <f ca="1">ROUND(25.000,3)</f>
        <v>0</v>
      </c>
      <c r="G10628" s="27">
        <f ca="1">ROUND(E10628*F10628,2)</f>
        <v>0</v>
      </c>
    </row>
    <row r="10629" spans="1:7" ht="39.84" thickBot="1" customHeight="1">
      <c r="A10629" s="24" t="s">
        <v>33681</v>
      </c>
      <c r="B10629" s="24" t="s">
        <v>33682</v>
      </c>
      <c r="C10629" s="24" t="s">
        <v>33683</v>
      </c>
      <c r="D10629" s="25" t="s">
        <v>33684</v>
      </c>
      <c r="E10629" s="28">
        <v>0.01800</v>
      </c>
      <c r="F10629" s="29">
        <f ca="1">ROUND(2.630,3)</f>
        <v>0</v>
      </c>
      <c r="G10629" s="27">
        <f ca="1">ROUND(E10629*F10629,2)</f>
        <v>0</v>
      </c>
    </row>
    <row r="10630" spans="1:7" ht="30.60" thickBot="1" customHeight="1">
      <c r="A10630" s="24" t="s">
        <v>33685</v>
      </c>
      <c r="B10630" s="24" t="s">
        <v>33686</v>
      </c>
      <c r="C10630" s="24" t="s">
        <v>33687</v>
      </c>
      <c r="D10630" s="25" t="s">
        <v>33688</v>
      </c>
      <c r="E10630" s="28">
        <v>0.06300</v>
      </c>
      <c r="F10630" s="29">
        <f ca="1">ROUND(8.350,3)</f>
        <v>0</v>
      </c>
      <c r="G10630" s="27">
        <f ca="1">ROUND(E10630*F10630,2)</f>
        <v>0</v>
      </c>
    </row>
    <row r="10631" spans="1:7" ht="30.60" thickBot="1" customHeight="1">
      <c r="A10631" s="24" t="s">
        <v>33689</v>
      </c>
      <c r="B10631" s="24" t="s">
        <v>33690</v>
      </c>
      <c r="C10631" s="24" t="s">
        <v>33691</v>
      </c>
      <c r="D10631" s="25" t="s">
        <v>33692</v>
      </c>
      <c r="E10631" s="28">
        <v>0.01440</v>
      </c>
      <c r="F10631" s="29">
        <f ca="1">ROUND(11.740,3)</f>
        <v>0</v>
      </c>
      <c r="G10631" s="27">
        <f ca="1">ROUND(E10631*F10631,2)</f>
        <v>0</v>
      </c>
    </row>
    <row r="10632" spans="1:7" ht="21.36" thickBot="1" customHeight="1">
      <c r="A10632" s="24" t="s">
        <v>33693</v>
      </c>
      <c r="B10632" s="24" t="s">
        <v>33694</v>
      </c>
      <c r="C10632" s="24" t="s">
        <v>33695</v>
      </c>
      <c r="D10632" s="25" t="s">
        <v>33696</v>
      </c>
      <c r="E10632" s="28">
        <v>0.09000</v>
      </c>
      <c r="F10632" s="29">
        <f ca="1">F10636</f>
        <v>0</v>
      </c>
      <c r="G10632" s="27">
        <f ca="1">ROUND(E10632*F10632,2)</f>
        <v>0</v>
      </c>
    </row>
    <row r="10633" spans="1:7" ht="24.36" thickBot="1" customHeight="1">
      <c r="A10633" s="24" t="s">
        <v>33697</v>
      </c>
      <c r="B10633" s="24" t="s">
        <v>33698</v>
      </c>
      <c r="C10633" s="24" t="s">
        <v>33699</v>
      </c>
      <c r="D10633" s="25" t="s">
        <v>33700</v>
      </c>
      <c r="E10633" s="28">
        <v>1.00000</v>
      </c>
      <c r="F10633" s="29">
        <f ca="1">ROUND(21.000,3)</f>
        <v>0</v>
      </c>
      <c r="G10633" s="27">
        <f ca="1">ROUND(E10633*F10633,2)</f>
        <v>0</v>
      </c>
    </row>
    <row r="10634" spans="1:7" ht="24.36" thickBot="1" customHeight="1">
      <c r="A10634" s="24" t="s">
        <v>33701</v>
      </c>
      <c r="B10634" s="24" t="s">
        <v>33702</v>
      </c>
      <c r="C10634" s="24" t="s">
        <v>33703</v>
      </c>
      <c r="D10634" s="25" t="s">
        <v>33704</v>
      </c>
      <c r="E10634" s="28">
        <v>1.00000</v>
      </c>
      <c r="F10634" s="29">
        <f ca="1">ROUND(19.000,3)</f>
        <v>0</v>
      </c>
      <c r="G10634" s="27">
        <f ca="1">ROUND(E10634*F10634,2)</f>
        <v>0</v>
      </c>
    </row>
    <row r="10635" spans="1:7" ht="24.36" thickBot="1" customHeight="1">
      <c r="A10635" s="24" t="s">
        <v>33705</v>
      </c>
      <c r="B10635" s="24" t="s">
        <v>33706</v>
      </c>
      <c r="C10635" s="24" t="s">
        <v>33707</v>
      </c>
      <c r="D10635" s="25" t="s">
        <v>33708</v>
      </c>
      <c r="E10635" s="28">
        <v>0.20000</v>
      </c>
      <c r="F10635" s="29">
        <f ca="1">ROUND(19.000,3)</f>
        <v>0</v>
      </c>
      <c r="G10635" s="27">
        <f ca="1">ROUND(E10635*F10635,2)</f>
        <v>0</v>
      </c>
    </row>
    <row r="10636" spans="1:7" ht="15.12" thickBot="1" customHeight="1">
      <c r="A10636" s="26"/>
      <c r="B10636" s="26"/>
      <c r="C10636" s="26"/>
      <c r="D10636" s="24" t="s">
        <v>33709</v>
      </c>
      <c r="E10636" s="28">
        <v>0.09000</v>
      </c>
      <c r="F10636" s="29">
        <f ca="1">ROUND((G10633+G10634+G10635),3)</f>
        <v>0</v>
      </c>
      <c r="G10636" s="27">
        <f ca="1">ROUND(E10636*F10636,2)</f>
        <v>0</v>
      </c>
    </row>
    <row r="10637" spans="1:7" ht="15.12" thickBot="1" customHeight="1">
      <c r="A10637" s="24" t="s">
        <v>33710</v>
      </c>
      <c r="B10637" s="24"/>
      <c r="C10637" s="24" t="s">
        <v>33711</v>
      </c>
      <c r="D10637" s="25" t="s">
        <v>33712</v>
      </c>
      <c r="E10637" s="28">
        <v>3.00000</v>
      </c>
      <c r="F10637" s="29">
        <f ca="1">ROUND(3.940,3)</f>
        <v>0</v>
      </c>
      <c r="G10637" s="27">
        <f ca="1">ROUND((E10637*F10637)/100,2)</f>
        <v>0</v>
      </c>
    </row>
    <row r="10638" spans="1:7" ht="15.48" thickBot="1" customHeight="1">
      <c r="A10638" s="30"/>
      <c r="B10638" s="30"/>
      <c r="C10638" s="30"/>
      <c r="D10638" s="31" t="s">
        <v>33713</v>
      </c>
      <c r="E10638" s="30"/>
      <c r="F10638" s="33">
        <f ca="1">ROUND((G10628+G10629+G10630+G10631+G10632+G10637)*(1+G2/100),2)</f>
        <v>0</v>
      </c>
      <c r="G10638" s="30"/>
    </row>
    <row r="10639" spans="1:7" ht="15.48" thickBot="1" customHeight="1">
      <c r="A10639" s="34" t="s">
        <v>33714</v>
      </c>
      <c r="B10639" s="35" t="s">
        <v>33715</v>
      </c>
      <c r="C10639" s="35" t="s">
        <v>33716</v>
      </c>
      <c r="D10639" s="36" t="s">
        <v>33717</v>
      </c>
      <c r="E10639" s="37"/>
      <c r="F10639" s="38">
        <f ca="1">F10648</f>
        <v>0</v>
      </c>
      <c r="G10639" s="37"/>
    </row>
    <row r="10640" spans="1:7" ht="30.60" thickBot="1" customHeight="1">
      <c r="A10640" s="26"/>
      <c r="B10640" s="26"/>
      <c r="C10640" s="26"/>
      <c r="D10640" s="25" t="s">
        <v>33718</v>
      </c>
      <c r="E10640" s="25"/>
      <c r="F10640" s="25"/>
      <c r="G10640" s="25"/>
    </row>
    <row r="10641" spans="1:7" ht="21.36" thickBot="1" customHeight="1">
      <c r="A10641" s="24" t="s">
        <v>33719</v>
      </c>
      <c r="B10641" s="24" t="s">
        <v>33720</v>
      </c>
      <c r="C10641" s="24" t="s">
        <v>33721</v>
      </c>
      <c r="D10641" s="25" t="s">
        <v>33722</v>
      </c>
      <c r="E10641" s="28">
        <v>0.58300</v>
      </c>
      <c r="F10641" s="29">
        <f ca="1">ROUND(28.060,3)</f>
        <v>0</v>
      </c>
      <c r="G10641" s="27">
        <f ca="1">ROUND(E10641*F10641,2)</f>
        <v>0</v>
      </c>
    </row>
    <row r="10642" spans="1:7" ht="21.36" thickBot="1" customHeight="1">
      <c r="A10642" s="24" t="s">
        <v>33723</v>
      </c>
      <c r="B10642" s="24" t="s">
        <v>33724</v>
      </c>
      <c r="C10642" s="24" t="s">
        <v>33725</v>
      </c>
      <c r="D10642" s="25" t="s">
        <v>33726</v>
      </c>
      <c r="E10642" s="28">
        <v>0.10000</v>
      </c>
      <c r="F10642" s="29">
        <f ca="1">F10646</f>
        <v>0</v>
      </c>
      <c r="G10642" s="27">
        <f ca="1">ROUND(E10642*F10642,2)</f>
        <v>0</v>
      </c>
    </row>
    <row r="10643" spans="1:7" ht="24.36" thickBot="1" customHeight="1">
      <c r="A10643" s="24" t="s">
        <v>33727</v>
      </c>
      <c r="B10643" s="24" t="s">
        <v>33728</v>
      </c>
      <c r="C10643" s="24" t="s">
        <v>33729</v>
      </c>
      <c r="D10643" s="25" t="s">
        <v>33730</v>
      </c>
      <c r="E10643" s="28">
        <v>1.00000</v>
      </c>
      <c r="F10643" s="29">
        <f ca="1">ROUND(21.000,3)</f>
        <v>0</v>
      </c>
      <c r="G10643" s="27">
        <f ca="1">ROUND(E10643*F10643,2)</f>
        <v>0</v>
      </c>
    </row>
    <row r="10644" spans="1:7" ht="24.36" thickBot="1" customHeight="1">
      <c r="A10644" s="24" t="s">
        <v>33731</v>
      </c>
      <c r="B10644" s="24" t="s">
        <v>33732</v>
      </c>
      <c r="C10644" s="24" t="s">
        <v>33733</v>
      </c>
      <c r="D10644" s="25" t="s">
        <v>33734</v>
      </c>
      <c r="E10644" s="28">
        <v>1.00000</v>
      </c>
      <c r="F10644" s="29">
        <f ca="1">ROUND(19.000,3)</f>
        <v>0</v>
      </c>
      <c r="G10644" s="27">
        <f ca="1">ROUND(E10644*F10644,2)</f>
        <v>0</v>
      </c>
    </row>
    <row r="10645" spans="1:7" ht="24.36" thickBot="1" customHeight="1">
      <c r="A10645" s="24" t="s">
        <v>33735</v>
      </c>
      <c r="B10645" s="24" t="s">
        <v>33736</v>
      </c>
      <c r="C10645" s="24" t="s">
        <v>33737</v>
      </c>
      <c r="D10645" s="25" t="s">
        <v>33738</v>
      </c>
      <c r="E10645" s="28">
        <v>0.20000</v>
      </c>
      <c r="F10645" s="29">
        <f ca="1">ROUND(19.000,3)</f>
        <v>0</v>
      </c>
      <c r="G10645" s="27">
        <f ca="1">ROUND(E10645*F10645,2)</f>
        <v>0</v>
      </c>
    </row>
    <row r="10646" spans="1:7" ht="15.12" thickBot="1" customHeight="1">
      <c r="A10646" s="26"/>
      <c r="B10646" s="26"/>
      <c r="C10646" s="26"/>
      <c r="D10646" s="24" t="s">
        <v>33739</v>
      </c>
      <c r="E10646" s="28">
        <v>0.10000</v>
      </c>
      <c r="F10646" s="29">
        <f ca="1">ROUND((G10643+G10644+G10645),3)</f>
        <v>0</v>
      </c>
      <c r="G10646" s="27">
        <f ca="1">ROUND(E10646*F10646,2)</f>
        <v>0</v>
      </c>
    </row>
    <row r="10647" spans="1:7" ht="15.12" thickBot="1" customHeight="1">
      <c r="A10647" s="24" t="s">
        <v>33740</v>
      </c>
      <c r="B10647" s="24"/>
      <c r="C10647" s="24" t="s">
        <v>33741</v>
      </c>
      <c r="D10647" s="25" t="s">
        <v>33742</v>
      </c>
      <c r="E10647" s="28">
        <v>3.00000</v>
      </c>
      <c r="F10647" s="29">
        <f ca="1">ROUND(4.380,3)</f>
        <v>0</v>
      </c>
      <c r="G10647" s="27">
        <f ca="1">ROUND((E10647*F10647)/100,2)</f>
        <v>0</v>
      </c>
    </row>
    <row r="10648" spans="1:7" ht="15.48" thickBot="1" customHeight="1">
      <c r="A10648" s="30"/>
      <c r="B10648" s="30"/>
      <c r="C10648" s="30"/>
      <c r="D10648" s="31" t="s">
        <v>33743</v>
      </c>
      <c r="E10648" s="30"/>
      <c r="F10648" s="33">
        <f ca="1">ROUND((G10641+G10642+G10647)*(1+G2/100),2)</f>
        <v>0</v>
      </c>
      <c r="G10648" s="30"/>
    </row>
    <row r="10649" spans="1:7" ht="21.36" thickBot="1" customHeight="1">
      <c r="A10649" s="34" t="s">
        <v>33744</v>
      </c>
      <c r="B10649" s="35" t="s">
        <v>33745</v>
      </c>
      <c r="C10649" s="35" t="s">
        <v>33746</v>
      </c>
      <c r="D10649" s="36" t="s">
        <v>33747</v>
      </c>
      <c r="E10649" s="37"/>
      <c r="F10649" s="38">
        <f ca="1">F10661</f>
        <v>0</v>
      </c>
      <c r="G10649" s="37"/>
    </row>
    <row r="10650" spans="1:7" ht="58.32" thickBot="1" customHeight="1">
      <c r="A10650" s="26"/>
      <c r="B10650" s="26"/>
      <c r="C10650" s="26"/>
      <c r="D10650" s="25" t="s">
        <v>33748</v>
      </c>
      <c r="E10650" s="25"/>
      <c r="F10650" s="25"/>
      <c r="G10650" s="25"/>
    </row>
    <row r="10651" spans="1:7" ht="49.08" thickBot="1" customHeight="1">
      <c r="A10651" s="24" t="s">
        <v>33749</v>
      </c>
      <c r="B10651" s="24" t="s">
        <v>33750</v>
      </c>
      <c r="C10651" s="24" t="s">
        <v>33751</v>
      </c>
      <c r="D10651" s="25" t="s">
        <v>33752</v>
      </c>
      <c r="E10651" s="28">
        <v>1.05000</v>
      </c>
      <c r="F10651" s="29">
        <f ca="1">ROUND(19.270,3)</f>
        <v>0</v>
      </c>
      <c r="G10651" s="27">
        <f ca="1">ROUND(E10651*F10651,2)</f>
        <v>0</v>
      </c>
    </row>
    <row r="10652" spans="1:7" ht="39.84" thickBot="1" customHeight="1">
      <c r="A10652" s="24" t="s">
        <v>33753</v>
      </c>
      <c r="B10652" s="24" t="s">
        <v>33754</v>
      </c>
      <c r="C10652" s="24" t="s">
        <v>33755</v>
      </c>
      <c r="D10652" s="25" t="s">
        <v>33756</v>
      </c>
      <c r="E10652" s="28">
        <v>0.10000</v>
      </c>
      <c r="F10652" s="29">
        <f ca="1">ROUND(2.630,3)</f>
        <v>0</v>
      </c>
      <c r="G10652" s="27">
        <f ca="1">ROUND(E10652*F10652,2)</f>
        <v>0</v>
      </c>
    </row>
    <row r="10653" spans="1:7" ht="30.60" thickBot="1" customHeight="1">
      <c r="A10653" s="24" t="s">
        <v>33757</v>
      </c>
      <c r="B10653" s="24" t="s">
        <v>33758</v>
      </c>
      <c r="C10653" s="24" t="s">
        <v>33759</v>
      </c>
      <c r="D10653" s="25" t="s">
        <v>33760</v>
      </c>
      <c r="E10653" s="28">
        <v>0.35000</v>
      </c>
      <c r="F10653" s="29">
        <f ca="1">ROUND(8.350,3)</f>
        <v>0</v>
      </c>
      <c r="G10653" s="27">
        <f ca="1">ROUND(E10653*F10653,2)</f>
        <v>0</v>
      </c>
    </row>
    <row r="10654" spans="1:7" ht="30.60" thickBot="1" customHeight="1">
      <c r="A10654" s="24" t="s">
        <v>33761</v>
      </c>
      <c r="B10654" s="24" t="s">
        <v>33762</v>
      </c>
      <c r="C10654" s="24" t="s">
        <v>33763</v>
      </c>
      <c r="D10654" s="25" t="s">
        <v>33764</v>
      </c>
      <c r="E10654" s="28">
        <v>0.08000</v>
      </c>
      <c r="F10654" s="29">
        <f ca="1">ROUND(11.740,3)</f>
        <v>0</v>
      </c>
      <c r="G10654" s="27">
        <f ca="1">ROUND(E10654*F10654,2)</f>
        <v>0</v>
      </c>
    </row>
    <row r="10655" spans="1:7" ht="21.36" thickBot="1" customHeight="1">
      <c r="A10655" s="24" t="s">
        <v>33765</v>
      </c>
      <c r="B10655" s="24" t="s">
        <v>33766</v>
      </c>
      <c r="C10655" s="24" t="s">
        <v>33767</v>
      </c>
      <c r="D10655" s="25" t="s">
        <v>33768</v>
      </c>
      <c r="E10655" s="28">
        <v>0.50000</v>
      </c>
      <c r="F10655" s="29">
        <f ca="1">F10659</f>
        <v>0</v>
      </c>
      <c r="G10655" s="27">
        <f ca="1">ROUND(E10655*F10655,2)</f>
        <v>0</v>
      </c>
    </row>
    <row r="10656" spans="1:7" ht="24.36" thickBot="1" customHeight="1">
      <c r="A10656" s="24" t="s">
        <v>33769</v>
      </c>
      <c r="B10656" s="24" t="s">
        <v>33770</v>
      </c>
      <c r="C10656" s="24" t="s">
        <v>33771</v>
      </c>
      <c r="D10656" s="25" t="s">
        <v>33772</v>
      </c>
      <c r="E10656" s="28">
        <v>1.00000</v>
      </c>
      <c r="F10656" s="29">
        <f ca="1">ROUND(21.000,3)</f>
        <v>0</v>
      </c>
      <c r="G10656" s="27">
        <f ca="1">ROUND(E10656*F10656,2)</f>
        <v>0</v>
      </c>
    </row>
    <row r="10657" spans="1:7" ht="24.36" thickBot="1" customHeight="1">
      <c r="A10657" s="24" t="s">
        <v>33773</v>
      </c>
      <c r="B10657" s="24" t="s">
        <v>33774</v>
      </c>
      <c r="C10657" s="24" t="s">
        <v>33775</v>
      </c>
      <c r="D10657" s="25" t="s">
        <v>33776</v>
      </c>
      <c r="E10657" s="28">
        <v>1.00000</v>
      </c>
      <c r="F10657" s="29">
        <f ca="1">ROUND(19.000,3)</f>
        <v>0</v>
      </c>
      <c r="G10657" s="27">
        <f ca="1">ROUND(E10657*F10657,2)</f>
        <v>0</v>
      </c>
    </row>
    <row r="10658" spans="1:7" ht="24.36" thickBot="1" customHeight="1">
      <c r="A10658" s="24" t="s">
        <v>33777</v>
      </c>
      <c r="B10658" s="24" t="s">
        <v>33778</v>
      </c>
      <c r="C10658" s="24" t="s">
        <v>33779</v>
      </c>
      <c r="D10658" s="25" t="s">
        <v>33780</v>
      </c>
      <c r="E10658" s="28">
        <v>0.20000</v>
      </c>
      <c r="F10658" s="29">
        <f ca="1">ROUND(19.000,3)</f>
        <v>0</v>
      </c>
      <c r="G10658" s="27">
        <f ca="1">ROUND(E10658*F10658,2)</f>
        <v>0</v>
      </c>
    </row>
    <row r="10659" spans="1:7" ht="15.12" thickBot="1" customHeight="1">
      <c r="A10659" s="26"/>
      <c r="B10659" s="26"/>
      <c r="C10659" s="26"/>
      <c r="D10659" s="24" t="s">
        <v>33781</v>
      </c>
      <c r="E10659" s="28">
        <v>0.50000</v>
      </c>
      <c r="F10659" s="29">
        <f ca="1">ROUND((G10656+G10657+G10658),3)</f>
        <v>0</v>
      </c>
      <c r="G10659" s="27">
        <f ca="1">ROUND(E10659*F10659,2)</f>
        <v>0</v>
      </c>
    </row>
    <row r="10660" spans="1:7" ht="15.12" thickBot="1" customHeight="1">
      <c r="A10660" s="24" t="s">
        <v>33782</v>
      </c>
      <c r="B10660" s="24"/>
      <c r="C10660" s="24" t="s">
        <v>33783</v>
      </c>
      <c r="D10660" s="25" t="s">
        <v>33784</v>
      </c>
      <c r="E10660" s="28">
        <v>3.00000</v>
      </c>
      <c r="F10660" s="29">
        <f ca="1">ROUND(21.900,3)</f>
        <v>0</v>
      </c>
      <c r="G10660" s="27">
        <f ca="1">ROUND((E10660*F10660)/100,2)</f>
        <v>0</v>
      </c>
    </row>
    <row r="10661" spans="1:7" ht="15.48" thickBot="1" customHeight="1">
      <c r="A10661" s="30"/>
      <c r="B10661" s="30"/>
      <c r="C10661" s="30"/>
      <c r="D10661" s="31" t="s">
        <v>33785</v>
      </c>
      <c r="E10661" s="30"/>
      <c r="F10661" s="33">
        <f ca="1">ROUND((G10651+G10652+G10653+G10654+G10655+G10660)*(1+G2/100),2)</f>
        <v>0</v>
      </c>
      <c r="G10661" s="30"/>
    </row>
    <row r="10662" spans="1:7" ht="21.36" thickBot="1" customHeight="1">
      <c r="A10662" s="34" t="s">
        <v>33786</v>
      </c>
      <c r="B10662" s="35" t="s">
        <v>33787</v>
      </c>
      <c r="C10662" s="35" t="s">
        <v>33788</v>
      </c>
      <c r="D10662" s="36" t="s">
        <v>33789</v>
      </c>
      <c r="E10662" s="37"/>
      <c r="F10662" s="38">
        <f ca="1">F10671</f>
        <v>0</v>
      </c>
      <c r="G10662" s="37"/>
    </row>
    <row r="10663" spans="1:7" ht="21.36" thickBot="1" customHeight="1">
      <c r="A10663" s="26"/>
      <c r="B10663" s="26"/>
      <c r="C10663" s="26"/>
      <c r="D10663" s="25" t="s">
        <v>33790</v>
      </c>
      <c r="E10663" s="25"/>
      <c r="F10663" s="25"/>
      <c r="G10663" s="25"/>
    </row>
    <row r="10664" spans="1:7" ht="15.12" thickBot="1" customHeight="1">
      <c r="A10664" s="24" t="s">
        <v>33791</v>
      </c>
      <c r="B10664" s="24" t="s">
        <v>33792</v>
      </c>
      <c r="C10664" s="24" t="s">
        <v>33793</v>
      </c>
      <c r="D10664" s="25" t="s">
        <v>33794</v>
      </c>
      <c r="E10664" s="28">
        <v>0.03000</v>
      </c>
      <c r="F10664" s="29">
        <f ca="1">ROUND(65.450,3)</f>
        <v>0</v>
      </c>
      <c r="G10664" s="27">
        <f ca="1">ROUND(E10664*F10664,2)</f>
        <v>0</v>
      </c>
    </row>
    <row r="10665" spans="1:7" ht="21.36" thickBot="1" customHeight="1">
      <c r="A10665" s="24" t="s">
        <v>33795</v>
      </c>
      <c r="B10665" s="24" t="s">
        <v>33796</v>
      </c>
      <c r="C10665" s="24" t="s">
        <v>33797</v>
      </c>
      <c r="D10665" s="25" t="s">
        <v>33798</v>
      </c>
      <c r="E10665" s="28">
        <v>0.10000</v>
      </c>
      <c r="F10665" s="29">
        <f ca="1">F10669</f>
        <v>0</v>
      </c>
      <c r="G10665" s="27">
        <f ca="1">ROUND(E10665*F10665,2)</f>
        <v>0</v>
      </c>
    </row>
    <row r="10666" spans="1:7" ht="24.36" thickBot="1" customHeight="1">
      <c r="A10666" s="24" t="s">
        <v>33799</v>
      </c>
      <c r="B10666" s="24" t="s">
        <v>33800</v>
      </c>
      <c r="C10666" s="24" t="s">
        <v>33801</v>
      </c>
      <c r="D10666" s="25" t="s">
        <v>33802</v>
      </c>
      <c r="E10666" s="28">
        <v>1.00000</v>
      </c>
      <c r="F10666" s="29">
        <f ca="1">ROUND(21.000,3)</f>
        <v>0</v>
      </c>
      <c r="G10666" s="27">
        <f ca="1">ROUND(E10666*F10666,2)</f>
        <v>0</v>
      </c>
    </row>
    <row r="10667" spans="1:7" ht="24.36" thickBot="1" customHeight="1">
      <c r="A10667" s="24" t="s">
        <v>33803</v>
      </c>
      <c r="B10667" s="24" t="s">
        <v>33804</v>
      </c>
      <c r="C10667" s="24" t="s">
        <v>33805</v>
      </c>
      <c r="D10667" s="25" t="s">
        <v>33806</v>
      </c>
      <c r="E10667" s="28">
        <v>1.00000</v>
      </c>
      <c r="F10667" s="29">
        <f ca="1">ROUND(19.000,3)</f>
        <v>0</v>
      </c>
      <c r="G10667" s="27">
        <f ca="1">ROUND(E10667*F10667,2)</f>
        <v>0</v>
      </c>
    </row>
    <row r="10668" spans="1:7" ht="24.36" thickBot="1" customHeight="1">
      <c r="A10668" s="24" t="s">
        <v>33807</v>
      </c>
      <c r="B10668" s="24" t="s">
        <v>33808</v>
      </c>
      <c r="C10668" s="24" t="s">
        <v>33809</v>
      </c>
      <c r="D10668" s="25" t="s">
        <v>33810</v>
      </c>
      <c r="E10668" s="28">
        <v>0.20000</v>
      </c>
      <c r="F10668" s="29">
        <f ca="1">ROUND(19.000,3)</f>
        <v>0</v>
      </c>
      <c r="G10668" s="27">
        <f ca="1">ROUND(E10668*F10668,2)</f>
        <v>0</v>
      </c>
    </row>
    <row r="10669" spans="1:7" ht="15.12" thickBot="1" customHeight="1">
      <c r="A10669" s="26"/>
      <c r="B10669" s="26"/>
      <c r="C10669" s="26"/>
      <c r="D10669" s="24" t="s">
        <v>33811</v>
      </c>
      <c r="E10669" s="28">
        <v>0.10000</v>
      </c>
      <c r="F10669" s="29">
        <f ca="1">ROUND((G10666+G10667+G10668),3)</f>
        <v>0</v>
      </c>
      <c r="G10669" s="27">
        <f ca="1">ROUND(E10669*F10669,2)</f>
        <v>0</v>
      </c>
    </row>
    <row r="10670" spans="1:7" ht="15.12" thickBot="1" customHeight="1">
      <c r="A10670" s="24" t="s">
        <v>33812</v>
      </c>
      <c r="B10670" s="24"/>
      <c r="C10670" s="24" t="s">
        <v>33813</v>
      </c>
      <c r="D10670" s="25" t="s">
        <v>33814</v>
      </c>
      <c r="E10670" s="28">
        <v>3.00000</v>
      </c>
      <c r="F10670" s="29">
        <f ca="1">ROUND(4.380,3)</f>
        <v>0</v>
      </c>
      <c r="G10670" s="27">
        <f ca="1">ROUND((E10670*F10670)/100,2)</f>
        <v>0</v>
      </c>
    </row>
    <row r="10671" spans="1:7" ht="15.48" thickBot="1" customHeight="1">
      <c r="A10671" s="30"/>
      <c r="B10671" s="30"/>
      <c r="C10671" s="30"/>
      <c r="D10671" s="31" t="s">
        <v>33815</v>
      </c>
      <c r="E10671" s="30"/>
      <c r="F10671" s="33">
        <f ca="1">ROUND((G10664+G10665+G10670)*(1+G2/100),2)</f>
        <v>0</v>
      </c>
      <c r="G10671" s="30"/>
    </row>
    <row r="10672" spans="1:7" ht="21.36" thickBot="1" customHeight="1">
      <c r="A10672" s="34" t="s">
        <v>33816</v>
      </c>
      <c r="B10672" s="35" t="s">
        <v>33817</v>
      </c>
      <c r="C10672" s="35" t="s">
        <v>33818</v>
      </c>
      <c r="D10672" s="36" t="s">
        <v>33819</v>
      </c>
      <c r="E10672" s="37"/>
      <c r="F10672" s="38">
        <f ca="1">F10700</f>
        <v>0</v>
      </c>
      <c r="G10672" s="37"/>
    </row>
    <row r="10673" spans="1:7" ht="113.76" thickBot="1" customHeight="1">
      <c r="A10673" s="26"/>
      <c r="B10673" s="26"/>
      <c r="C10673" s="26"/>
      <c r="D10673" s="25" t="s">
        <v>33820</v>
      </c>
      <c r="E10673" s="25"/>
      <c r="F10673" s="25"/>
      <c r="G10673" s="25"/>
    </row>
    <row r="10674" spans="1:7" ht="21.36" thickBot="1" customHeight="1">
      <c r="A10674" s="24" t="s">
        <v>33821</v>
      </c>
      <c r="B10674" s="24" t="s">
        <v>33822</v>
      </c>
      <c r="C10674" s="24" t="s">
        <v>33823</v>
      </c>
      <c r="D10674" s="25" t="s">
        <v>33824</v>
      </c>
      <c r="E10674" s="28">
        <v>1.00000</v>
      </c>
      <c r="F10674" s="29">
        <f ca="1">F10677</f>
        <v>0</v>
      </c>
      <c r="G10674" s="27">
        <f ca="1">ROUND(E10674*F10674,2)</f>
        <v>0</v>
      </c>
    </row>
    <row r="10675" spans="1:7" ht="21.36" thickBot="1" customHeight="1">
      <c r="A10675" s="24" t="s">
        <v>33825</v>
      </c>
      <c r="B10675" s="24" t="s">
        <v>33826</v>
      </c>
      <c r="C10675" s="24" t="s">
        <v>33827</v>
      </c>
      <c r="D10675" s="25" t="s">
        <v>33828</v>
      </c>
      <c r="E10675" s="28">
        <v>4.00000</v>
      </c>
      <c r="F10675" s="29">
        <f ca="1">ROUND(43.800,3)</f>
        <v>0</v>
      </c>
      <c r="G10675" s="27">
        <f ca="1">ROUND(E10675*F10675,2)</f>
        <v>0</v>
      </c>
    </row>
    <row r="10676" spans="1:7" ht="15.12" thickBot="1" customHeight="1">
      <c r="A10676" s="24" t="s">
        <v>33829</v>
      </c>
      <c r="B10676" s="24"/>
      <c r="C10676" s="24" t="s">
        <v>33830</v>
      </c>
      <c r="D10676" s="25" t="s">
        <v>33831</v>
      </c>
      <c r="E10676" s="28">
        <v>3.00000</v>
      </c>
      <c r="F10676" s="29">
        <f ca="1">ROUND(175.200,3)</f>
        <v>0</v>
      </c>
      <c r="G10676" s="27">
        <f ca="1">ROUND((E10676*F10676)/100,2)</f>
        <v>0</v>
      </c>
    </row>
    <row r="10677" spans="1:7" ht="15.12" thickBot="1" customHeight="1">
      <c r="A10677" s="26"/>
      <c r="B10677" s="26"/>
      <c r="C10677" s="26"/>
      <c r="D10677" s="24" t="s">
        <v>33832</v>
      </c>
      <c r="E10677" s="28">
        <v>1.00000</v>
      </c>
      <c r="F10677" s="29">
        <f ca="1">ROUND((G10675+G10676),3)</f>
        <v>0</v>
      </c>
      <c r="G10677" s="27">
        <f ca="1">ROUND(E10677*F10677,2)</f>
        <v>0</v>
      </c>
    </row>
    <row r="10678" spans="1:7" ht="21.36" thickBot="1" customHeight="1">
      <c r="A10678" s="24" t="s">
        <v>33833</v>
      </c>
      <c r="B10678" s="24" t="s">
        <v>33834</v>
      </c>
      <c r="C10678" s="24" t="s">
        <v>33835</v>
      </c>
      <c r="D10678" s="25" t="s">
        <v>33836</v>
      </c>
      <c r="E10678" s="28">
        <v>16.00000</v>
      </c>
      <c r="F10678" s="29">
        <f ca="1">F10681</f>
        <v>0</v>
      </c>
      <c r="G10678" s="27">
        <f ca="1">ROUND(E10678*F10678,2)</f>
        <v>0</v>
      </c>
    </row>
    <row r="10679" spans="1:7" ht="21.36" thickBot="1" customHeight="1">
      <c r="A10679" s="24" t="s">
        <v>33837</v>
      </c>
      <c r="B10679" s="24" t="s">
        <v>33838</v>
      </c>
      <c r="C10679" s="24" t="s">
        <v>33839</v>
      </c>
      <c r="D10679" s="25" t="s">
        <v>33840</v>
      </c>
      <c r="E10679" s="28">
        <v>0.35000</v>
      </c>
      <c r="F10679" s="29">
        <f ca="1">ROUND(43.800,3)</f>
        <v>0</v>
      </c>
      <c r="G10679" s="27">
        <f ca="1">ROUND(E10679*F10679,2)</f>
        <v>0</v>
      </c>
    </row>
    <row r="10680" spans="1:7" ht="15.12" thickBot="1" customHeight="1">
      <c r="A10680" s="24" t="s">
        <v>33841</v>
      </c>
      <c r="B10680" s="24"/>
      <c r="C10680" s="24" t="s">
        <v>33842</v>
      </c>
      <c r="D10680" s="25" t="s">
        <v>33843</v>
      </c>
      <c r="E10680" s="28">
        <v>3.00000</v>
      </c>
      <c r="F10680" s="29">
        <f ca="1">ROUND(15.330,3)</f>
        <v>0</v>
      </c>
      <c r="G10680" s="27">
        <f ca="1">ROUND((E10680*F10680)/100,2)</f>
        <v>0</v>
      </c>
    </row>
    <row r="10681" spans="1:7" ht="15.12" thickBot="1" customHeight="1">
      <c r="A10681" s="26"/>
      <c r="B10681" s="26"/>
      <c r="C10681" s="26"/>
      <c r="D10681" s="24" t="s">
        <v>33844</v>
      </c>
      <c r="E10681" s="28">
        <v>16.00000</v>
      </c>
      <c r="F10681" s="29">
        <f ca="1">ROUND((G10679+G10680),3)</f>
        <v>0</v>
      </c>
      <c r="G10681" s="27">
        <f ca="1">ROUND(E10681*F10681,2)</f>
        <v>0</v>
      </c>
    </row>
    <row r="10682" spans="1:7" ht="15.12" thickBot="1" customHeight="1">
      <c r="A10682" s="24" t="s">
        <v>33845</v>
      </c>
      <c r="B10682" s="24" t="s">
        <v>33846</v>
      </c>
      <c r="C10682" s="24" t="s">
        <v>33847</v>
      </c>
      <c r="D10682" s="25" t="s">
        <v>33848</v>
      </c>
      <c r="E10682" s="28">
        <v>16.00000</v>
      </c>
      <c r="F10682" s="29">
        <f ca="1">F10689</f>
        <v>0</v>
      </c>
      <c r="G10682" s="27">
        <f ca="1">ROUND(E10682*F10682,2)</f>
        <v>0</v>
      </c>
    </row>
    <row r="10683" spans="1:7" ht="30.60" thickBot="1" customHeight="1">
      <c r="A10683" s="24" t="s">
        <v>33849</v>
      </c>
      <c r="B10683" s="24" t="s">
        <v>33850</v>
      </c>
      <c r="C10683" s="24" t="s">
        <v>33851</v>
      </c>
      <c r="D10683" s="25" t="s">
        <v>33852</v>
      </c>
      <c r="E10683" s="28">
        <v>0.02200</v>
      </c>
      <c r="F10683" s="29">
        <f ca="1">ROUND(39.500,3)</f>
        <v>0</v>
      </c>
      <c r="G10683" s="27">
        <f ca="1">ROUND(E10683*F10683,2)</f>
        <v>0</v>
      </c>
    </row>
    <row r="10684" spans="1:7" ht="30.60" thickBot="1" customHeight="1">
      <c r="A10684" s="24" t="s">
        <v>33853</v>
      </c>
      <c r="B10684" s="24" t="s">
        <v>33854</v>
      </c>
      <c r="C10684" s="24" t="s">
        <v>33855</v>
      </c>
      <c r="D10684" s="25" t="s">
        <v>33856</v>
      </c>
      <c r="E10684" s="28">
        <v>1.00000</v>
      </c>
      <c r="F10684" s="29">
        <f ca="1">ROUND(1.290,3)</f>
        <v>0</v>
      </c>
      <c r="G10684" s="27">
        <f ca="1">ROUND(E10684*F10684,2)</f>
        <v>0</v>
      </c>
    </row>
    <row r="10685" spans="1:7" ht="30.60" thickBot="1" customHeight="1">
      <c r="A10685" s="24" t="s">
        <v>33857</v>
      </c>
      <c r="B10685" s="24" t="s">
        <v>33858</v>
      </c>
      <c r="C10685" s="24" t="s">
        <v>33859</v>
      </c>
      <c r="D10685" s="25" t="s">
        <v>33860</v>
      </c>
      <c r="E10685" s="28">
        <v>0.10000</v>
      </c>
      <c r="F10685" s="29">
        <f ca="1">ROUND(1.190,3)</f>
        <v>0</v>
      </c>
      <c r="G10685" s="27">
        <f ca="1">ROUND(E10685*F10685,2)</f>
        <v>0</v>
      </c>
    </row>
    <row r="10686" spans="1:7" ht="21.36" thickBot="1" customHeight="1">
      <c r="A10686" s="24" t="s">
        <v>33861</v>
      </c>
      <c r="B10686" s="24" t="s">
        <v>33862</v>
      </c>
      <c r="C10686" s="24" t="s">
        <v>33863</v>
      </c>
      <c r="D10686" s="25" t="s">
        <v>33864</v>
      </c>
      <c r="E10686" s="28">
        <v>0.25000</v>
      </c>
      <c r="F10686" s="29">
        <f ca="1">ROUND(0.320,3)</f>
        <v>0</v>
      </c>
      <c r="G10686" s="27">
        <f ca="1">ROUND(E10686*F10686,2)</f>
        <v>0</v>
      </c>
    </row>
    <row r="10687" spans="1:7" ht="21.36" thickBot="1" customHeight="1">
      <c r="A10687" s="24" t="s">
        <v>33865</v>
      </c>
      <c r="B10687" s="24" t="s">
        <v>33866</v>
      </c>
      <c r="C10687" s="24" t="s">
        <v>33867</v>
      </c>
      <c r="D10687" s="25" t="s">
        <v>33868</v>
      </c>
      <c r="E10687" s="28">
        <v>0.33000</v>
      </c>
      <c r="F10687" s="29">
        <f ca="1">ROUND(43.800,3)</f>
        <v>0</v>
      </c>
      <c r="G10687" s="27">
        <f ca="1">ROUND(E10687*F10687,2)</f>
        <v>0</v>
      </c>
    </row>
    <row r="10688" spans="1:7" ht="15.12" thickBot="1" customHeight="1">
      <c r="A10688" s="24" t="s">
        <v>33869</v>
      </c>
      <c r="B10688" s="24"/>
      <c r="C10688" s="24" t="s">
        <v>33870</v>
      </c>
      <c r="D10688" s="25" t="s">
        <v>33871</v>
      </c>
      <c r="E10688" s="28">
        <v>3.00000</v>
      </c>
      <c r="F10688" s="29">
        <f ca="1">ROUND(14.450,3)</f>
        <v>0</v>
      </c>
      <c r="G10688" s="27">
        <f ca="1">ROUND((E10688*F10688)/100,2)</f>
        <v>0</v>
      </c>
    </row>
    <row r="10689" spans="1:7" ht="15.12" thickBot="1" customHeight="1">
      <c r="A10689" s="26"/>
      <c r="B10689" s="26"/>
      <c r="C10689" s="26"/>
      <c r="D10689" s="24" t="s">
        <v>33872</v>
      </c>
      <c r="E10689" s="28">
        <v>16.00000</v>
      </c>
      <c r="F10689" s="29">
        <f ca="1">ROUND((G10683+G10684+G10685+G10686+G10687+G10688),3)</f>
        <v>0</v>
      </c>
      <c r="G10689" s="27">
        <f ca="1">ROUND(E10689*F10689,2)</f>
        <v>0</v>
      </c>
    </row>
    <row r="10690" spans="1:7" ht="21.36" thickBot="1" customHeight="1">
      <c r="A10690" s="24" t="s">
        <v>33873</v>
      </c>
      <c r="B10690" s="24" t="s">
        <v>33874</v>
      </c>
      <c r="C10690" s="24" t="s">
        <v>33875</v>
      </c>
      <c r="D10690" s="25" t="s">
        <v>33876</v>
      </c>
      <c r="E10690" s="28">
        <v>16.00000</v>
      </c>
      <c r="F10690" s="29">
        <f ca="1">F10699</f>
        <v>0</v>
      </c>
      <c r="G10690" s="27">
        <f ca="1">ROUND(E10690*F10690,2)</f>
        <v>0</v>
      </c>
    </row>
    <row r="10691" spans="1:7" ht="24.36" thickBot="1" customHeight="1">
      <c r="A10691" s="24" t="s">
        <v>33877</v>
      </c>
      <c r="B10691" s="24" t="s">
        <v>33878</v>
      </c>
      <c r="C10691" s="24" t="s">
        <v>33879</v>
      </c>
      <c r="D10691" s="25" t="s">
        <v>33880</v>
      </c>
      <c r="E10691" s="28">
        <v>0.02140</v>
      </c>
      <c r="F10691" s="29">
        <f ca="1">ROUND(42.700,3)</f>
        <v>0</v>
      </c>
      <c r="G10691" s="27">
        <f ca="1">ROUND(E10691*F10691,2)</f>
        <v>0</v>
      </c>
    </row>
    <row r="10692" spans="1:7" ht="24.36" thickBot="1" customHeight="1">
      <c r="A10692" s="24" t="s">
        <v>33881</v>
      </c>
      <c r="B10692" s="24" t="s">
        <v>33882</v>
      </c>
      <c r="C10692" s="24" t="s">
        <v>33883</v>
      </c>
      <c r="D10692" s="25" t="s">
        <v>33884</v>
      </c>
      <c r="E10692" s="28">
        <v>0.01000</v>
      </c>
      <c r="F10692" s="29">
        <f ca="1">ROUND(85.930,3)</f>
        <v>0</v>
      </c>
      <c r="G10692" s="27">
        <f ca="1">ROUND(E10692*F10692,2)</f>
        <v>0</v>
      </c>
    </row>
    <row r="10693" spans="1:7" ht="30.60" thickBot="1" customHeight="1">
      <c r="A10693" s="24" t="s">
        <v>33885</v>
      </c>
      <c r="B10693" s="24" t="s">
        <v>33886</v>
      </c>
      <c r="C10693" s="24" t="s">
        <v>33887</v>
      </c>
      <c r="D10693" s="25" t="s">
        <v>33888</v>
      </c>
      <c r="E10693" s="28">
        <v>0.01100</v>
      </c>
      <c r="F10693" s="29">
        <f ca="1">ROUND(2.520,3)</f>
        <v>0</v>
      </c>
      <c r="G10693" s="27">
        <f ca="1">ROUND(E10693*F10693,2)</f>
        <v>0</v>
      </c>
    </row>
    <row r="10694" spans="1:7" ht="24.36" thickBot="1" customHeight="1">
      <c r="A10694" s="24" t="s">
        <v>33889</v>
      </c>
      <c r="B10694" s="24" t="s">
        <v>33890</v>
      </c>
      <c r="C10694" s="24" t="s">
        <v>33891</v>
      </c>
      <c r="D10694" s="25" t="s">
        <v>33892</v>
      </c>
      <c r="E10694" s="28">
        <v>0.01100</v>
      </c>
      <c r="F10694" s="29">
        <f ca="1">ROUND(4.730,3)</f>
        <v>0</v>
      </c>
      <c r="G10694" s="27">
        <f ca="1">ROUND(E10694*F10694,2)</f>
        <v>0</v>
      </c>
    </row>
    <row r="10695" spans="1:7" ht="24.36" thickBot="1" customHeight="1">
      <c r="A10695" s="24" t="s">
        <v>33893</v>
      </c>
      <c r="B10695" s="24" t="s">
        <v>33894</v>
      </c>
      <c r="C10695" s="24" t="s">
        <v>33895</v>
      </c>
      <c r="D10695" s="25" t="s">
        <v>33896</v>
      </c>
      <c r="E10695" s="28">
        <v>0.01500</v>
      </c>
      <c r="F10695" s="29">
        <f ca="1">ROUND(0.650,3)</f>
        <v>0</v>
      </c>
      <c r="G10695" s="27">
        <f ca="1">ROUND(E10695*F10695,2)</f>
        <v>0</v>
      </c>
    </row>
    <row r="10696" spans="1:7" ht="24.36" thickBot="1" customHeight="1">
      <c r="A10696" s="24" t="s">
        <v>33897</v>
      </c>
      <c r="B10696" s="24" t="s">
        <v>33898</v>
      </c>
      <c r="C10696" s="24" t="s">
        <v>33899</v>
      </c>
      <c r="D10696" s="25" t="s">
        <v>33900</v>
      </c>
      <c r="E10696" s="28">
        <v>0.01100</v>
      </c>
      <c r="F10696" s="29">
        <f ca="1">ROUND(4.060,3)</f>
        <v>0</v>
      </c>
      <c r="G10696" s="27">
        <f ca="1">ROUND(E10696*F10696,2)</f>
        <v>0</v>
      </c>
    </row>
    <row r="10697" spans="1:7" ht="21.36" thickBot="1" customHeight="1">
      <c r="A10697" s="24" t="s">
        <v>33901</v>
      </c>
      <c r="B10697" s="24" t="s">
        <v>33902</v>
      </c>
      <c r="C10697" s="24" t="s">
        <v>33903</v>
      </c>
      <c r="D10697" s="25" t="s">
        <v>33904</v>
      </c>
      <c r="E10697" s="28">
        <v>0.16000</v>
      </c>
      <c r="F10697" s="29">
        <f ca="1">ROUND(43.800,3)</f>
        <v>0</v>
      </c>
      <c r="G10697" s="27">
        <f ca="1">ROUND(E10697*F10697,2)</f>
        <v>0</v>
      </c>
    </row>
    <row r="10698" spans="1:7" ht="15.12" thickBot="1" customHeight="1">
      <c r="A10698" s="24" t="s">
        <v>33905</v>
      </c>
      <c r="B10698" s="24"/>
      <c r="C10698" s="24" t="s">
        <v>33906</v>
      </c>
      <c r="D10698" s="25" t="s">
        <v>33907</v>
      </c>
      <c r="E10698" s="28">
        <v>3.00000</v>
      </c>
      <c r="F10698" s="29">
        <f ca="1">ROUND(7.010,3)</f>
        <v>0</v>
      </c>
      <c r="G10698" s="27">
        <f ca="1">ROUND((E10698*F10698)/100,2)</f>
        <v>0</v>
      </c>
    </row>
    <row r="10699" spans="1:7" ht="15.12" thickBot="1" customHeight="1">
      <c r="A10699" s="26"/>
      <c r="B10699" s="26"/>
      <c r="C10699" s="26"/>
      <c r="D10699" s="24" t="s">
        <v>33908</v>
      </c>
      <c r="E10699" s="28">
        <v>16.00000</v>
      </c>
      <c r="F10699" s="29">
        <f ca="1">ROUND((G10691+G10692+G10693+G10694+G10695+G10696+G10697+G10698),3)</f>
        <v>0</v>
      </c>
      <c r="G10699" s="27">
        <f ca="1">ROUND(E10699*F10699,2)</f>
        <v>0</v>
      </c>
    </row>
    <row r="10700" spans="1:7" ht="15.48" thickBot="1" customHeight="1">
      <c r="A10700" s="30"/>
      <c r="B10700" s="30"/>
      <c r="C10700" s="30"/>
      <c r="D10700" s="31" t="s">
        <v>33909</v>
      </c>
      <c r="E10700" s="30"/>
      <c r="F10700" s="33">
        <f ca="1">ROUND((G10674+G10678+G10682+G10690)*(1+G2/100),2)</f>
        <v>0</v>
      </c>
      <c r="G10700" s="30"/>
    </row>
    <row r="10701" spans="1:7" ht="15.48" thickBot="1" customHeight="1">
      <c r="A10701" s="34" t="s">
        <v>33910</v>
      </c>
      <c r="B10701" s="35" t="s">
        <v>33911</v>
      </c>
      <c r="C10701" s="35" t="s">
        <v>33912</v>
      </c>
      <c r="D10701" s="36" t="s">
        <v>33913</v>
      </c>
      <c r="E10701" s="37"/>
      <c r="F10701" s="38">
        <f ca="1">F10713</f>
        <v>0</v>
      </c>
      <c r="G10701" s="37"/>
    </row>
    <row r="10702" spans="1:7" ht="21.36" thickBot="1" customHeight="1">
      <c r="A10702" s="26"/>
      <c r="B10702" s="26"/>
      <c r="C10702" s="26"/>
      <c r="D10702" s="25" t="s">
        <v>33914</v>
      </c>
      <c r="E10702" s="25"/>
      <c r="F10702" s="25"/>
      <c r="G10702" s="25"/>
    </row>
    <row r="10703" spans="1:7" ht="30.60" thickBot="1" customHeight="1">
      <c r="A10703" s="24" t="s">
        <v>33915</v>
      </c>
      <c r="B10703" s="24" t="s">
        <v>33916</v>
      </c>
      <c r="C10703" s="24" t="s">
        <v>33917</v>
      </c>
      <c r="D10703" s="25" t="s">
        <v>33918</v>
      </c>
      <c r="E10703" s="28">
        <v>0.02200</v>
      </c>
      <c r="F10703" s="29">
        <f ca="1">ROUND(39.500,3)</f>
        <v>0</v>
      </c>
      <c r="G10703" s="27">
        <f ca="1">ROUND(E10703*F10703,2)</f>
        <v>0</v>
      </c>
    </row>
    <row r="10704" spans="1:7" ht="30.60" thickBot="1" customHeight="1">
      <c r="A10704" s="24" t="s">
        <v>33919</v>
      </c>
      <c r="B10704" s="24" t="s">
        <v>33920</v>
      </c>
      <c r="C10704" s="24" t="s">
        <v>33921</v>
      </c>
      <c r="D10704" s="25" t="s">
        <v>33922</v>
      </c>
      <c r="E10704" s="28">
        <v>1.00000</v>
      </c>
      <c r="F10704" s="29">
        <f ca="1">ROUND(1.290,3)</f>
        <v>0</v>
      </c>
      <c r="G10704" s="27">
        <f ca="1">ROUND(E10704*F10704,2)</f>
        <v>0</v>
      </c>
    </row>
    <row r="10705" spans="1:7" ht="30.60" thickBot="1" customHeight="1">
      <c r="A10705" s="24" t="s">
        <v>33923</v>
      </c>
      <c r="B10705" s="24" t="s">
        <v>33924</v>
      </c>
      <c r="C10705" s="24" t="s">
        <v>33925</v>
      </c>
      <c r="D10705" s="25" t="s">
        <v>33926</v>
      </c>
      <c r="E10705" s="28">
        <v>0.10000</v>
      </c>
      <c r="F10705" s="29">
        <f ca="1">ROUND(1.190,3)</f>
        <v>0</v>
      </c>
      <c r="G10705" s="27">
        <f ca="1">ROUND(E10705*F10705,2)</f>
        <v>0</v>
      </c>
    </row>
    <row r="10706" spans="1:7" ht="21.36" thickBot="1" customHeight="1">
      <c r="A10706" s="24" t="s">
        <v>33927</v>
      </c>
      <c r="B10706" s="24" t="s">
        <v>33928</v>
      </c>
      <c r="C10706" s="24" t="s">
        <v>33929</v>
      </c>
      <c r="D10706" s="25" t="s">
        <v>33930</v>
      </c>
      <c r="E10706" s="28">
        <v>0.25000</v>
      </c>
      <c r="F10706" s="29">
        <f ca="1">ROUND(0.320,3)</f>
        <v>0</v>
      </c>
      <c r="G10706" s="27">
        <f ca="1">ROUND(E10706*F10706,2)</f>
        <v>0</v>
      </c>
    </row>
    <row r="10707" spans="1:7" ht="21.36" thickBot="1" customHeight="1">
      <c r="A10707" s="24" t="s">
        <v>33931</v>
      </c>
      <c r="B10707" s="24" t="s">
        <v>33932</v>
      </c>
      <c r="C10707" s="24" t="s">
        <v>33933</v>
      </c>
      <c r="D10707" s="25" t="s">
        <v>33934</v>
      </c>
      <c r="E10707" s="28">
        <v>0.33000</v>
      </c>
      <c r="F10707" s="29">
        <f ca="1">F10711</f>
        <v>0</v>
      </c>
      <c r="G10707" s="27">
        <f ca="1">ROUND(E10707*F10707,2)</f>
        <v>0</v>
      </c>
    </row>
    <row r="10708" spans="1:7" ht="24.36" thickBot="1" customHeight="1">
      <c r="A10708" s="24" t="s">
        <v>33935</v>
      </c>
      <c r="B10708" s="24" t="s">
        <v>33936</v>
      </c>
      <c r="C10708" s="24" t="s">
        <v>33937</v>
      </c>
      <c r="D10708" s="25" t="s">
        <v>33938</v>
      </c>
      <c r="E10708" s="28">
        <v>1.00000</v>
      </c>
      <c r="F10708" s="29">
        <f ca="1">ROUND(21.000,3)</f>
        <v>0</v>
      </c>
      <c r="G10708" s="27">
        <f ca="1">ROUND(E10708*F10708,2)</f>
        <v>0</v>
      </c>
    </row>
    <row r="10709" spans="1:7" ht="24.36" thickBot="1" customHeight="1">
      <c r="A10709" s="24" t="s">
        <v>33939</v>
      </c>
      <c r="B10709" s="24" t="s">
        <v>33940</v>
      </c>
      <c r="C10709" s="24" t="s">
        <v>33941</v>
      </c>
      <c r="D10709" s="25" t="s">
        <v>33942</v>
      </c>
      <c r="E10709" s="28">
        <v>1.00000</v>
      </c>
      <c r="F10709" s="29">
        <f ca="1">ROUND(19.000,3)</f>
        <v>0</v>
      </c>
      <c r="G10709" s="27">
        <f ca="1">ROUND(E10709*F10709,2)</f>
        <v>0</v>
      </c>
    </row>
    <row r="10710" spans="1:7" ht="24.36" thickBot="1" customHeight="1">
      <c r="A10710" s="24" t="s">
        <v>33943</v>
      </c>
      <c r="B10710" s="24" t="s">
        <v>33944</v>
      </c>
      <c r="C10710" s="24" t="s">
        <v>33945</v>
      </c>
      <c r="D10710" s="25" t="s">
        <v>33946</v>
      </c>
      <c r="E10710" s="28">
        <v>0.20000</v>
      </c>
      <c r="F10710" s="29">
        <f ca="1">ROUND(19.000,3)</f>
        <v>0</v>
      </c>
      <c r="G10710" s="27">
        <f ca="1">ROUND(E10710*F10710,2)</f>
        <v>0</v>
      </c>
    </row>
    <row r="10711" spans="1:7" ht="15.12" thickBot="1" customHeight="1">
      <c r="A10711" s="26"/>
      <c r="B10711" s="26"/>
      <c r="C10711" s="26"/>
      <c r="D10711" s="24" t="s">
        <v>33947</v>
      </c>
      <c r="E10711" s="28">
        <v>0.33000</v>
      </c>
      <c r="F10711" s="29">
        <f ca="1">ROUND((G10708+G10709+G10710),3)</f>
        <v>0</v>
      </c>
      <c r="G10711" s="27">
        <f ca="1">ROUND(E10711*F10711,2)</f>
        <v>0</v>
      </c>
    </row>
    <row r="10712" spans="1:7" ht="15.12" thickBot="1" customHeight="1">
      <c r="A10712" s="24" t="s">
        <v>33948</v>
      </c>
      <c r="B10712" s="24"/>
      <c r="C10712" s="24" t="s">
        <v>33949</v>
      </c>
      <c r="D10712" s="25" t="s">
        <v>33950</v>
      </c>
      <c r="E10712" s="28">
        <v>3.00000</v>
      </c>
      <c r="F10712" s="29">
        <f ca="1">ROUND(14.450,3)</f>
        <v>0</v>
      </c>
      <c r="G10712" s="27">
        <f ca="1">ROUND((E10712*F10712)/100,2)</f>
        <v>0</v>
      </c>
    </row>
    <row r="10713" spans="1:7" ht="15.48" thickBot="1" customHeight="1">
      <c r="A10713" s="30"/>
      <c r="B10713" s="30"/>
      <c r="C10713" s="30"/>
      <c r="D10713" s="31" t="s">
        <v>33951</v>
      </c>
      <c r="E10713" s="30"/>
      <c r="F10713" s="33">
        <f ca="1">ROUND((G10703+G10704+G10705+G10706+G10707+G10712)*(1+G2/100),2)</f>
        <v>0</v>
      </c>
      <c r="G10713" s="30"/>
    </row>
    <row r="10714" spans="1:7" ht="15.48" thickBot="1" customHeight="1">
      <c r="A10714" s="34" t="s">
        <v>33952</v>
      </c>
      <c r="B10714" s="35" t="s">
        <v>33953</v>
      </c>
      <c r="C10714" s="35" t="s">
        <v>33954</v>
      </c>
      <c r="D10714" s="36" t="s">
        <v>33955</v>
      </c>
      <c r="E10714" s="37"/>
      <c r="F10714" s="38">
        <f ca="1">F10718</f>
        <v>0</v>
      </c>
      <c r="G10714" s="37"/>
    </row>
    <row r="10715" spans="1:7" ht="21.36" thickBot="1" customHeight="1">
      <c r="A10715" s="26"/>
      <c r="B10715" s="26"/>
      <c r="C10715" s="26"/>
      <c r="D10715" s="25" t="s">
        <v>33956</v>
      </c>
      <c r="E10715" s="25"/>
      <c r="F10715" s="25"/>
      <c r="G10715" s="25"/>
    </row>
    <row r="10716" spans="1:7" ht="30.60" thickBot="1" customHeight="1">
      <c r="A10716" s="24" t="s">
        <v>33957</v>
      </c>
      <c r="B10716" s="24" t="s">
        <v>33958</v>
      </c>
      <c r="C10716" s="24" t="s">
        <v>33959</v>
      </c>
      <c r="D10716" s="25" t="s">
        <v>33960</v>
      </c>
      <c r="E10716" s="28">
        <v>15.00000</v>
      </c>
      <c r="F10716" s="29">
        <f ca="1">ROUND(0.070,3)</f>
        <v>0</v>
      </c>
      <c r="G10716" s="27">
        <f ca="1">ROUND(E10716*F10716,2)</f>
        <v>0</v>
      </c>
    </row>
    <row r="10717" spans="1:7" ht="24.36" thickBot="1" customHeight="1">
      <c r="A10717" s="24" t="s">
        <v>33961</v>
      </c>
      <c r="B10717" s="24" t="s">
        <v>33962</v>
      </c>
      <c r="C10717" s="24" t="s">
        <v>33963</v>
      </c>
      <c r="D10717" s="25" t="s">
        <v>33964</v>
      </c>
      <c r="E10717" s="28">
        <v>0.20000</v>
      </c>
      <c r="F10717" s="29">
        <f ca="1">ROUND(49.500,3)</f>
        <v>0</v>
      </c>
      <c r="G10717" s="27">
        <f ca="1">ROUND(E10717*F10717,2)</f>
        <v>0</v>
      </c>
    </row>
    <row r="10718" spans="1:7" ht="15.48" thickBot="1" customHeight="1">
      <c r="A10718" s="30"/>
      <c r="B10718" s="30"/>
      <c r="C10718" s="30"/>
      <c r="D10718" s="31" t="s">
        <v>33965</v>
      </c>
      <c r="E10718" s="30"/>
      <c r="F10718" s="33">
        <f ca="1">ROUND((G10716+G10717)*(1+G2/100),2)</f>
        <v>0</v>
      </c>
      <c r="G10718" s="30"/>
    </row>
    <row r="10719" spans="1:7" ht="21.36" thickBot="1" customHeight="1">
      <c r="A10719" s="34" t="s">
        <v>33966</v>
      </c>
      <c r="B10719" s="35" t="s">
        <v>33967</v>
      </c>
      <c r="C10719" s="35" t="s">
        <v>33968</v>
      </c>
      <c r="D10719" s="36" t="s">
        <v>33969</v>
      </c>
      <c r="E10719" s="37"/>
      <c r="F10719" s="38">
        <f ca="1">F10724</f>
        <v>0</v>
      </c>
      <c r="G10719" s="37"/>
    </row>
    <row r="10720" spans="1:7" ht="12.12" thickBot="1" customHeight="1">
      <c r="A10720" s="26"/>
      <c r="B10720" s="26"/>
      <c r="C10720" s="26"/>
      <c r="D10720" s="25" t="s">
        <v>33970</v>
      </c>
      <c r="E10720" s="25"/>
      <c r="F10720" s="25"/>
      <c r="G10720" s="25"/>
    </row>
    <row r="10721" spans="1:7" ht="21.36" thickBot="1" customHeight="1">
      <c r="A10721" s="24" t="s">
        <v>33971</v>
      </c>
      <c r="B10721" s="24" t="s">
        <v>33972</v>
      </c>
      <c r="C10721" s="24" t="s">
        <v>33973</v>
      </c>
      <c r="D10721" s="25" t="s">
        <v>33974</v>
      </c>
      <c r="E10721" s="28">
        <v>0.02500</v>
      </c>
      <c r="F10721" s="29">
        <f ca="1">ROUND(121.430,3)</f>
        <v>0</v>
      </c>
      <c r="G10721" s="27">
        <f ca="1">ROUND(E10721*F10721,2)</f>
        <v>0</v>
      </c>
    </row>
    <row r="10722" spans="1:7" ht="15.12" thickBot="1" customHeight="1">
      <c r="A10722" s="24" t="s">
        <v>33975</v>
      </c>
      <c r="B10722" s="24" t="s">
        <v>33976</v>
      </c>
      <c r="C10722" s="24" t="s">
        <v>33977</v>
      </c>
      <c r="D10722" s="25" t="s">
        <v>33978</v>
      </c>
      <c r="E10722" s="28">
        <v>0.15000</v>
      </c>
      <c r="F10722" s="29">
        <f ca="1">ROUND(9.090,3)</f>
        <v>0</v>
      </c>
      <c r="G10722" s="27">
        <f ca="1">ROUND(E10722*F10722,2)</f>
        <v>0</v>
      </c>
    </row>
    <row r="10723" spans="1:7" ht="24.36" thickBot="1" customHeight="1">
      <c r="A10723" s="24" t="s">
        <v>33979</v>
      </c>
      <c r="B10723" s="24" t="s">
        <v>33980</v>
      </c>
      <c r="C10723" s="24" t="s">
        <v>33981</v>
      </c>
      <c r="D10723" s="25" t="s">
        <v>33982</v>
      </c>
      <c r="E10723" s="28">
        <v>3.00000</v>
      </c>
      <c r="F10723" s="29">
        <f ca="1">ROUND(47.500,3)</f>
        <v>0</v>
      </c>
      <c r="G10723" s="27">
        <f ca="1">ROUND(E10723*F10723,2)</f>
        <v>0</v>
      </c>
    </row>
    <row r="10724" spans="1:7" ht="15.48" thickBot="1" customHeight="1">
      <c r="A10724" s="30"/>
      <c r="B10724" s="30"/>
      <c r="C10724" s="30"/>
      <c r="D10724" s="31" t="s">
        <v>33983</v>
      </c>
      <c r="E10724" s="30"/>
      <c r="F10724" s="33">
        <f ca="1">ROUND((G10721+G10722+G10723)*(1+G2/100),2)</f>
        <v>0</v>
      </c>
      <c r="G10724" s="30"/>
    </row>
    <row r="10725" spans="1:7" ht="15.48" thickBot="1" customHeight="1">
      <c r="A10725" s="34" t="s">
        <v>33984</v>
      </c>
      <c r="B10725" s="35" t="s">
        <v>33985</v>
      </c>
      <c r="C10725" s="35" t="s">
        <v>33986</v>
      </c>
      <c r="D10725" s="36" t="s">
        <v>33987</v>
      </c>
      <c r="E10725" s="37"/>
      <c r="F10725" s="38">
        <f ca="1">F10758</f>
        <v>0</v>
      </c>
      <c r="G10725" s="37"/>
    </row>
    <row r="10726" spans="1:7" ht="39.84" thickBot="1" customHeight="1">
      <c r="A10726" s="26"/>
      <c r="B10726" s="26"/>
      <c r="C10726" s="26"/>
      <c r="D10726" s="25" t="s">
        <v>33988</v>
      </c>
      <c r="E10726" s="25"/>
      <c r="F10726" s="25"/>
      <c r="G10726" s="25"/>
    </row>
    <row r="10727" spans="1:7" ht="21.36" thickBot="1" customHeight="1">
      <c r="A10727" s="24" t="s">
        <v>33989</v>
      </c>
      <c r="B10727" s="24" t="s">
        <v>33990</v>
      </c>
      <c r="C10727" s="24" t="s">
        <v>33991</v>
      </c>
      <c r="D10727" s="25" t="s">
        <v>33992</v>
      </c>
      <c r="E10727" s="28">
        <v>13.00000</v>
      </c>
      <c r="F10727" s="29">
        <f ca="1">F10731</f>
        <v>0</v>
      </c>
      <c r="G10727" s="27">
        <f ca="1">ROUND(E10727*F10727,2)</f>
        <v>0</v>
      </c>
    </row>
    <row r="10728" spans="1:7" ht="30.60" thickBot="1" customHeight="1">
      <c r="A10728" s="24" t="s">
        <v>33993</v>
      </c>
      <c r="B10728" s="24" t="s">
        <v>33994</v>
      </c>
      <c r="C10728" s="24" t="s">
        <v>33995</v>
      </c>
      <c r="D10728" s="25" t="s">
        <v>33996</v>
      </c>
      <c r="E10728" s="28">
        <v>0.10000</v>
      </c>
      <c r="F10728" s="29">
        <f ca="1">ROUND(3.740,3)</f>
        <v>0</v>
      </c>
      <c r="G10728" s="27">
        <f ca="1">ROUND(E10728*F10728,2)</f>
        <v>0</v>
      </c>
    </row>
    <row r="10729" spans="1:7" ht="21.36" thickBot="1" customHeight="1">
      <c r="A10729" s="24" t="s">
        <v>33997</v>
      </c>
      <c r="B10729" s="24" t="s">
        <v>33998</v>
      </c>
      <c r="C10729" s="24" t="s">
        <v>33999</v>
      </c>
      <c r="D10729" s="25" t="s">
        <v>34000</v>
      </c>
      <c r="E10729" s="28">
        <v>0.30000</v>
      </c>
      <c r="F10729" s="29">
        <f ca="1">ROUND(43.800,3)</f>
        <v>0</v>
      </c>
      <c r="G10729" s="27">
        <f ca="1">ROUND(E10729*F10729,2)</f>
        <v>0</v>
      </c>
    </row>
    <row r="10730" spans="1:7" ht="15.12" thickBot="1" customHeight="1">
      <c r="A10730" s="24" t="s">
        <v>34001</v>
      </c>
      <c r="B10730" s="24"/>
      <c r="C10730" s="24" t="s">
        <v>34002</v>
      </c>
      <c r="D10730" s="25" t="s">
        <v>34003</v>
      </c>
      <c r="E10730" s="28">
        <v>3.00000</v>
      </c>
      <c r="F10730" s="29">
        <f ca="1">ROUND(13.140,3)</f>
        <v>0</v>
      </c>
      <c r="G10730" s="27">
        <f ca="1">ROUND((E10730*F10730)/100,2)</f>
        <v>0</v>
      </c>
    </row>
    <row r="10731" spans="1:7" ht="15.12" thickBot="1" customHeight="1">
      <c r="A10731" s="26"/>
      <c r="B10731" s="26"/>
      <c r="C10731" s="26"/>
      <c r="D10731" s="24" t="s">
        <v>34004</v>
      </c>
      <c r="E10731" s="28">
        <v>13.00000</v>
      </c>
      <c r="F10731" s="29">
        <f ca="1">ROUND((G10728+G10729+G10730),3)</f>
        <v>0</v>
      </c>
      <c r="G10731" s="27">
        <f ca="1">ROUND(E10731*F10731,2)</f>
        <v>0</v>
      </c>
    </row>
    <row r="10732" spans="1:7" ht="21.36" thickBot="1" customHeight="1">
      <c r="A10732" s="24" t="s">
        <v>34005</v>
      </c>
      <c r="B10732" s="24" t="s">
        <v>34006</v>
      </c>
      <c r="C10732" s="24" t="s">
        <v>34007</v>
      </c>
      <c r="D10732" s="25" t="s">
        <v>34008</v>
      </c>
      <c r="E10732" s="28">
        <v>13.00000</v>
      </c>
      <c r="F10732" s="29">
        <f ca="1">F10739</f>
        <v>0</v>
      </c>
      <c r="G10732" s="27">
        <f ca="1">ROUND(E10732*F10732,2)</f>
        <v>0</v>
      </c>
    </row>
    <row r="10733" spans="1:7" ht="30.60" thickBot="1" customHeight="1">
      <c r="A10733" s="24" t="s">
        <v>34009</v>
      </c>
      <c r="B10733" s="24" t="s">
        <v>34010</v>
      </c>
      <c r="C10733" s="24" t="s">
        <v>34011</v>
      </c>
      <c r="D10733" s="25" t="s">
        <v>34012</v>
      </c>
      <c r="E10733" s="28">
        <v>1.20000</v>
      </c>
      <c r="F10733" s="29">
        <f ca="1">ROUND(3.850,3)</f>
        <v>0</v>
      </c>
      <c r="G10733" s="27">
        <f ca="1">ROUND(E10733*F10733,2)</f>
        <v>0</v>
      </c>
    </row>
    <row r="10734" spans="1:7" ht="30.60" thickBot="1" customHeight="1">
      <c r="A10734" s="24" t="s">
        <v>34013</v>
      </c>
      <c r="B10734" s="24" t="s">
        <v>34014</v>
      </c>
      <c r="C10734" s="24" t="s">
        <v>34015</v>
      </c>
      <c r="D10734" s="25" t="s">
        <v>34016</v>
      </c>
      <c r="E10734" s="28">
        <v>0.02520</v>
      </c>
      <c r="F10734" s="29">
        <f ca="1">ROUND(27.500,3)</f>
        <v>0</v>
      </c>
      <c r="G10734" s="27">
        <f ca="1">ROUND(E10734*F10734,2)</f>
        <v>0</v>
      </c>
    </row>
    <row r="10735" spans="1:7" ht="21.36" thickBot="1" customHeight="1">
      <c r="A10735" s="24" t="s">
        <v>34017</v>
      </c>
      <c r="B10735" s="24" t="s">
        <v>34018</v>
      </c>
      <c r="C10735" s="24" t="s">
        <v>34019</v>
      </c>
      <c r="D10735" s="25" t="s">
        <v>34020</v>
      </c>
      <c r="E10735" s="28">
        <v>0.37500</v>
      </c>
      <c r="F10735" s="29">
        <f ca="1">ROUND(1.050,3)</f>
        <v>0</v>
      </c>
      <c r="G10735" s="27">
        <f ca="1">ROUND(E10735*F10735,2)</f>
        <v>0</v>
      </c>
    </row>
    <row r="10736" spans="1:7" ht="39.84" thickBot="1" customHeight="1">
      <c r="A10736" s="24" t="s">
        <v>34021</v>
      </c>
      <c r="B10736" s="24" t="s">
        <v>34022</v>
      </c>
      <c r="C10736" s="24" t="s">
        <v>34023</v>
      </c>
      <c r="D10736" s="25" t="s">
        <v>34024</v>
      </c>
      <c r="E10736" s="28">
        <v>0.15000</v>
      </c>
      <c r="F10736" s="29">
        <f ca="1">ROUND(4.050,3)</f>
        <v>0</v>
      </c>
      <c r="G10736" s="27">
        <f ca="1">ROUND(E10736*F10736,2)</f>
        <v>0</v>
      </c>
    </row>
    <row r="10737" spans="1:7" ht="21.36" thickBot="1" customHeight="1">
      <c r="A10737" s="24" t="s">
        <v>34025</v>
      </c>
      <c r="B10737" s="24" t="s">
        <v>34026</v>
      </c>
      <c r="C10737" s="24" t="s">
        <v>34027</v>
      </c>
      <c r="D10737" s="25" t="s">
        <v>34028</v>
      </c>
      <c r="E10737" s="28">
        <v>0.51100</v>
      </c>
      <c r="F10737" s="29">
        <f ca="1">ROUND(43.800,3)</f>
        <v>0</v>
      </c>
      <c r="G10737" s="27">
        <f ca="1">ROUND(E10737*F10737,2)</f>
        <v>0</v>
      </c>
    </row>
    <row r="10738" spans="1:7" ht="15.12" thickBot="1" customHeight="1">
      <c r="A10738" s="24" t="s">
        <v>34029</v>
      </c>
      <c r="B10738" s="24"/>
      <c r="C10738" s="24" t="s">
        <v>34030</v>
      </c>
      <c r="D10738" s="25" t="s">
        <v>34031</v>
      </c>
      <c r="E10738" s="28">
        <v>3.00000</v>
      </c>
      <c r="F10738" s="29">
        <f ca="1">ROUND(22.380,3)</f>
        <v>0</v>
      </c>
      <c r="G10738" s="27">
        <f ca="1">ROUND((E10738*F10738)/100,2)</f>
        <v>0</v>
      </c>
    </row>
    <row r="10739" spans="1:7" ht="15.12" thickBot="1" customHeight="1">
      <c r="A10739" s="26"/>
      <c r="B10739" s="26"/>
      <c r="C10739" s="26"/>
      <c r="D10739" s="24" t="s">
        <v>34032</v>
      </c>
      <c r="E10739" s="28">
        <v>13.00000</v>
      </c>
      <c r="F10739" s="29">
        <f ca="1">ROUND((G10733+G10734+G10735+G10736+G10737+G10738),3)</f>
        <v>0</v>
      </c>
      <c r="G10739" s="27">
        <f ca="1">ROUND(E10739*F10739,2)</f>
        <v>0</v>
      </c>
    </row>
    <row r="10740" spans="1:7" ht="15.12" thickBot="1" customHeight="1">
      <c r="A10740" s="24" t="s">
        <v>34033</v>
      </c>
      <c r="B10740" s="24" t="s">
        <v>34034</v>
      </c>
      <c r="C10740" s="24" t="s">
        <v>34035</v>
      </c>
      <c r="D10740" s="25" t="s">
        <v>34036</v>
      </c>
      <c r="E10740" s="28">
        <v>13.00000</v>
      </c>
      <c r="F10740" s="29">
        <f ca="1">F10747</f>
        <v>0</v>
      </c>
      <c r="G10740" s="27">
        <f ca="1">ROUND(E10740*F10740,2)</f>
        <v>0</v>
      </c>
    </row>
    <row r="10741" spans="1:7" ht="30.60" thickBot="1" customHeight="1">
      <c r="A10741" s="24" t="s">
        <v>34037</v>
      </c>
      <c r="B10741" s="24" t="s">
        <v>34038</v>
      </c>
      <c r="C10741" s="24" t="s">
        <v>34039</v>
      </c>
      <c r="D10741" s="25" t="s">
        <v>34040</v>
      </c>
      <c r="E10741" s="28">
        <v>0.02200</v>
      </c>
      <c r="F10741" s="29">
        <f ca="1">ROUND(39.500,3)</f>
        <v>0</v>
      </c>
      <c r="G10741" s="27">
        <f ca="1">ROUND(E10741*F10741,2)</f>
        <v>0</v>
      </c>
    </row>
    <row r="10742" spans="1:7" ht="30.60" thickBot="1" customHeight="1">
      <c r="A10742" s="24" t="s">
        <v>34041</v>
      </c>
      <c r="B10742" s="24" t="s">
        <v>34042</v>
      </c>
      <c r="C10742" s="24" t="s">
        <v>34043</v>
      </c>
      <c r="D10742" s="25" t="s">
        <v>34044</v>
      </c>
      <c r="E10742" s="28">
        <v>1.00000</v>
      </c>
      <c r="F10742" s="29">
        <f ca="1">ROUND(1.290,3)</f>
        <v>0</v>
      </c>
      <c r="G10742" s="27">
        <f ca="1">ROUND(E10742*F10742,2)</f>
        <v>0</v>
      </c>
    </row>
    <row r="10743" spans="1:7" ht="30.60" thickBot="1" customHeight="1">
      <c r="A10743" s="24" t="s">
        <v>34045</v>
      </c>
      <c r="B10743" s="24" t="s">
        <v>34046</v>
      </c>
      <c r="C10743" s="24" t="s">
        <v>34047</v>
      </c>
      <c r="D10743" s="25" t="s">
        <v>34048</v>
      </c>
      <c r="E10743" s="28">
        <v>0.10000</v>
      </c>
      <c r="F10743" s="29">
        <f ca="1">ROUND(1.190,3)</f>
        <v>0</v>
      </c>
      <c r="G10743" s="27">
        <f ca="1">ROUND(E10743*F10743,2)</f>
        <v>0</v>
      </c>
    </row>
    <row r="10744" spans="1:7" ht="21.36" thickBot="1" customHeight="1">
      <c r="A10744" s="24" t="s">
        <v>34049</v>
      </c>
      <c r="B10744" s="24" t="s">
        <v>34050</v>
      </c>
      <c r="C10744" s="24" t="s">
        <v>34051</v>
      </c>
      <c r="D10744" s="25" t="s">
        <v>34052</v>
      </c>
      <c r="E10744" s="28">
        <v>0.25000</v>
      </c>
      <c r="F10744" s="29">
        <f ca="1">ROUND(0.320,3)</f>
        <v>0</v>
      </c>
      <c r="G10744" s="27">
        <f ca="1">ROUND(E10744*F10744,2)</f>
        <v>0</v>
      </c>
    </row>
    <row r="10745" spans="1:7" ht="21.36" thickBot="1" customHeight="1">
      <c r="A10745" s="24" t="s">
        <v>34053</v>
      </c>
      <c r="B10745" s="24" t="s">
        <v>34054</v>
      </c>
      <c r="C10745" s="24" t="s">
        <v>34055</v>
      </c>
      <c r="D10745" s="25" t="s">
        <v>34056</v>
      </c>
      <c r="E10745" s="28">
        <v>0.33000</v>
      </c>
      <c r="F10745" s="29">
        <f ca="1">ROUND(43.800,3)</f>
        <v>0</v>
      </c>
      <c r="G10745" s="27">
        <f ca="1">ROUND(E10745*F10745,2)</f>
        <v>0</v>
      </c>
    </row>
    <row r="10746" spans="1:7" ht="15.12" thickBot="1" customHeight="1">
      <c r="A10746" s="24" t="s">
        <v>34057</v>
      </c>
      <c r="B10746" s="24"/>
      <c r="C10746" s="24" t="s">
        <v>34058</v>
      </c>
      <c r="D10746" s="25" t="s">
        <v>34059</v>
      </c>
      <c r="E10746" s="28">
        <v>3.00000</v>
      </c>
      <c r="F10746" s="29">
        <f ca="1">ROUND(14.450,3)</f>
        <v>0</v>
      </c>
      <c r="G10746" s="27">
        <f ca="1">ROUND((E10746*F10746)/100,2)</f>
        <v>0</v>
      </c>
    </row>
    <row r="10747" spans="1:7" ht="15.12" thickBot="1" customHeight="1">
      <c r="A10747" s="26"/>
      <c r="B10747" s="26"/>
      <c r="C10747" s="26"/>
      <c r="D10747" s="24" t="s">
        <v>34060</v>
      </c>
      <c r="E10747" s="28">
        <v>13.00000</v>
      </c>
      <c r="F10747" s="29">
        <f ca="1">ROUND((G10741+G10742+G10743+G10744+G10745+G10746),3)</f>
        <v>0</v>
      </c>
      <c r="G10747" s="27">
        <f ca="1">ROUND(E10747*F10747,2)</f>
        <v>0</v>
      </c>
    </row>
    <row r="10748" spans="1:7" ht="21.36" thickBot="1" customHeight="1">
      <c r="A10748" s="24" t="s">
        <v>34061</v>
      </c>
      <c r="B10748" s="24" t="s">
        <v>34062</v>
      </c>
      <c r="C10748" s="24" t="s">
        <v>34063</v>
      </c>
      <c r="D10748" s="25" t="s">
        <v>34064</v>
      </c>
      <c r="E10748" s="28">
        <v>13.00000</v>
      </c>
      <c r="F10748" s="29">
        <f ca="1">F10757</f>
        <v>0</v>
      </c>
      <c r="G10748" s="27">
        <f ca="1">ROUND(E10748*F10748,2)</f>
        <v>0</v>
      </c>
    </row>
    <row r="10749" spans="1:7" ht="24.36" thickBot="1" customHeight="1">
      <c r="A10749" s="24" t="s">
        <v>34065</v>
      </c>
      <c r="B10749" s="24" t="s">
        <v>34066</v>
      </c>
      <c r="C10749" s="24" t="s">
        <v>34067</v>
      </c>
      <c r="D10749" s="25" t="s">
        <v>34068</v>
      </c>
      <c r="E10749" s="28">
        <v>0.02140</v>
      </c>
      <c r="F10749" s="29">
        <f ca="1">ROUND(42.700,3)</f>
        <v>0</v>
      </c>
      <c r="G10749" s="27">
        <f ca="1">ROUND(E10749*F10749,2)</f>
        <v>0</v>
      </c>
    </row>
    <row r="10750" spans="1:7" ht="24.36" thickBot="1" customHeight="1">
      <c r="A10750" s="24" t="s">
        <v>34069</v>
      </c>
      <c r="B10750" s="24" t="s">
        <v>34070</v>
      </c>
      <c r="C10750" s="24" t="s">
        <v>34071</v>
      </c>
      <c r="D10750" s="25" t="s">
        <v>34072</v>
      </c>
      <c r="E10750" s="28">
        <v>0.01000</v>
      </c>
      <c r="F10750" s="29">
        <f ca="1">ROUND(85.930,3)</f>
        <v>0</v>
      </c>
      <c r="G10750" s="27">
        <f ca="1">ROUND(E10750*F10750,2)</f>
        <v>0</v>
      </c>
    </row>
    <row r="10751" spans="1:7" ht="30.60" thickBot="1" customHeight="1">
      <c r="A10751" s="24" t="s">
        <v>34073</v>
      </c>
      <c r="B10751" s="24" t="s">
        <v>34074</v>
      </c>
      <c r="C10751" s="24" t="s">
        <v>34075</v>
      </c>
      <c r="D10751" s="25" t="s">
        <v>34076</v>
      </c>
      <c r="E10751" s="28">
        <v>0.01100</v>
      </c>
      <c r="F10751" s="29">
        <f ca="1">ROUND(2.520,3)</f>
        <v>0</v>
      </c>
      <c r="G10751" s="27">
        <f ca="1">ROUND(E10751*F10751,2)</f>
        <v>0</v>
      </c>
    </row>
    <row r="10752" spans="1:7" ht="24.36" thickBot="1" customHeight="1">
      <c r="A10752" s="24" t="s">
        <v>34077</v>
      </c>
      <c r="B10752" s="24" t="s">
        <v>34078</v>
      </c>
      <c r="C10752" s="24" t="s">
        <v>34079</v>
      </c>
      <c r="D10752" s="25" t="s">
        <v>34080</v>
      </c>
      <c r="E10752" s="28">
        <v>0.01100</v>
      </c>
      <c r="F10752" s="29">
        <f ca="1">ROUND(4.730,3)</f>
        <v>0</v>
      </c>
      <c r="G10752" s="27">
        <f ca="1">ROUND(E10752*F10752,2)</f>
        <v>0</v>
      </c>
    </row>
    <row r="10753" spans="1:7" ht="24.36" thickBot="1" customHeight="1">
      <c r="A10753" s="24" t="s">
        <v>34081</v>
      </c>
      <c r="B10753" s="24" t="s">
        <v>34082</v>
      </c>
      <c r="C10753" s="24" t="s">
        <v>34083</v>
      </c>
      <c r="D10753" s="25" t="s">
        <v>34084</v>
      </c>
      <c r="E10753" s="28">
        <v>0.01500</v>
      </c>
      <c r="F10753" s="29">
        <f ca="1">ROUND(0.650,3)</f>
        <v>0</v>
      </c>
      <c r="G10753" s="27">
        <f ca="1">ROUND(E10753*F10753,2)</f>
        <v>0</v>
      </c>
    </row>
    <row r="10754" spans="1:7" ht="24.36" thickBot="1" customHeight="1">
      <c r="A10754" s="24" t="s">
        <v>34085</v>
      </c>
      <c r="B10754" s="24" t="s">
        <v>34086</v>
      </c>
      <c r="C10754" s="24" t="s">
        <v>34087</v>
      </c>
      <c r="D10754" s="25" t="s">
        <v>34088</v>
      </c>
      <c r="E10754" s="28">
        <v>0.01100</v>
      </c>
      <c r="F10754" s="29">
        <f ca="1">ROUND(4.060,3)</f>
        <v>0</v>
      </c>
      <c r="G10754" s="27">
        <f ca="1">ROUND(E10754*F10754,2)</f>
        <v>0</v>
      </c>
    </row>
    <row r="10755" spans="1:7" ht="21.36" thickBot="1" customHeight="1">
      <c r="A10755" s="24" t="s">
        <v>34089</v>
      </c>
      <c r="B10755" s="24" t="s">
        <v>34090</v>
      </c>
      <c r="C10755" s="24" t="s">
        <v>34091</v>
      </c>
      <c r="D10755" s="25" t="s">
        <v>34092</v>
      </c>
      <c r="E10755" s="28">
        <v>0.16000</v>
      </c>
      <c r="F10755" s="29">
        <f ca="1">ROUND(43.800,3)</f>
        <v>0</v>
      </c>
      <c r="G10755" s="27">
        <f ca="1">ROUND(E10755*F10755,2)</f>
        <v>0</v>
      </c>
    </row>
    <row r="10756" spans="1:7" ht="15.12" thickBot="1" customHeight="1">
      <c r="A10756" s="24" t="s">
        <v>34093</v>
      </c>
      <c r="B10756" s="24"/>
      <c r="C10756" s="24" t="s">
        <v>34094</v>
      </c>
      <c r="D10756" s="25" t="s">
        <v>34095</v>
      </c>
      <c r="E10756" s="28">
        <v>3.00000</v>
      </c>
      <c r="F10756" s="29">
        <f ca="1">ROUND(7.010,3)</f>
        <v>0</v>
      </c>
      <c r="G10756" s="27">
        <f ca="1">ROUND((E10756*F10756)/100,2)</f>
        <v>0</v>
      </c>
    </row>
    <row r="10757" spans="1:7" ht="15.12" thickBot="1" customHeight="1">
      <c r="A10757" s="26"/>
      <c r="B10757" s="26"/>
      <c r="C10757" s="26"/>
      <c r="D10757" s="24" t="s">
        <v>34096</v>
      </c>
      <c r="E10757" s="28">
        <v>13.00000</v>
      </c>
      <c r="F10757" s="29">
        <f ca="1">ROUND((G10749+G10750+G10751+G10752+G10753+G10754+G10755+G10756),3)</f>
        <v>0</v>
      </c>
      <c r="G10757" s="27">
        <f ca="1">ROUND(E10757*F10757,2)</f>
        <v>0</v>
      </c>
    </row>
    <row r="10758" spans="1:7" ht="15.48" thickBot="1" customHeight="1">
      <c r="A10758" s="30"/>
      <c r="B10758" s="30"/>
      <c r="C10758" s="30"/>
      <c r="D10758" s="31" t="s">
        <v>34097</v>
      </c>
      <c r="E10758" s="30"/>
      <c r="F10758" s="33">
        <f ca="1">ROUND((G10727+G10732+G10740+G10748)*(1+G2/100),2)</f>
        <v>0</v>
      </c>
      <c r="G10758" s="30"/>
    </row>
    <row r="10759" spans="1:7" ht="21.36" thickBot="1" customHeight="1">
      <c r="A10759" s="34" t="s">
        <v>34098</v>
      </c>
      <c r="B10759" s="35" t="s">
        <v>34099</v>
      </c>
      <c r="C10759" s="35" t="s">
        <v>34100</v>
      </c>
      <c r="D10759" s="36" t="s">
        <v>34101</v>
      </c>
      <c r="E10759" s="37"/>
      <c r="F10759" s="38">
        <f ca="1">F10769</f>
        <v>0</v>
      </c>
      <c r="G10759" s="37"/>
    </row>
    <row r="10760" spans="1:7" ht="58.32" thickBot="1" customHeight="1">
      <c r="A10760" s="26"/>
      <c r="B10760" s="26"/>
      <c r="C10760" s="26"/>
      <c r="D10760" s="25" t="s">
        <v>34102</v>
      </c>
      <c r="E10760" s="25"/>
      <c r="F10760" s="25"/>
      <c r="G10760" s="25"/>
    </row>
    <row r="10761" spans="1:7" ht="39.84" thickBot="1" customHeight="1">
      <c r="A10761" s="24" t="s">
        <v>34103</v>
      </c>
      <c r="B10761" s="24" t="s">
        <v>34104</v>
      </c>
      <c r="C10761" s="24" t="s">
        <v>34105</v>
      </c>
      <c r="D10761" s="25" t="s">
        <v>34106</v>
      </c>
      <c r="E10761" s="28">
        <v>0.01111</v>
      </c>
      <c r="F10761" s="29">
        <f ca="1">ROUND(96.780,3)</f>
        <v>0</v>
      </c>
      <c r="G10761" s="27">
        <f ca="1">ROUND(E10761*F10761,2)</f>
        <v>0</v>
      </c>
    </row>
    <row r="10762" spans="1:7" ht="39.84" thickBot="1" customHeight="1">
      <c r="A10762" s="24" t="s">
        <v>34107</v>
      </c>
      <c r="B10762" s="24" t="s">
        <v>34108</v>
      </c>
      <c r="C10762" s="24" t="s">
        <v>34109</v>
      </c>
      <c r="D10762" s="25" t="s">
        <v>34110</v>
      </c>
      <c r="E10762" s="28">
        <v>0.01667</v>
      </c>
      <c r="F10762" s="29">
        <f ca="1">ROUND(69.000,3)</f>
        <v>0</v>
      </c>
      <c r="G10762" s="27">
        <f ca="1">ROUND(E10762*F10762,2)</f>
        <v>0</v>
      </c>
    </row>
    <row r="10763" spans="1:7" ht="21.36" thickBot="1" customHeight="1">
      <c r="A10763" s="24" t="s">
        <v>34111</v>
      </c>
      <c r="B10763" s="24" t="s">
        <v>34112</v>
      </c>
      <c r="C10763" s="24" t="s">
        <v>34113</v>
      </c>
      <c r="D10763" s="25" t="s">
        <v>34114</v>
      </c>
      <c r="E10763" s="28">
        <v>0.32000</v>
      </c>
      <c r="F10763" s="29">
        <f ca="1">F10767</f>
        <v>0</v>
      </c>
      <c r="G10763" s="27">
        <f ca="1">ROUND(E10763*F10763,2)</f>
        <v>0</v>
      </c>
    </row>
    <row r="10764" spans="1:7" ht="24.36" thickBot="1" customHeight="1">
      <c r="A10764" s="24" t="s">
        <v>34115</v>
      </c>
      <c r="B10764" s="24" t="s">
        <v>34116</v>
      </c>
      <c r="C10764" s="24" t="s">
        <v>34117</v>
      </c>
      <c r="D10764" s="25" t="s">
        <v>34118</v>
      </c>
      <c r="E10764" s="28">
        <v>1.00000</v>
      </c>
      <c r="F10764" s="29">
        <f ca="1">ROUND(21.000,3)</f>
        <v>0</v>
      </c>
      <c r="G10764" s="27">
        <f ca="1">ROUND(E10764*F10764,2)</f>
        <v>0</v>
      </c>
    </row>
    <row r="10765" spans="1:7" ht="24.36" thickBot="1" customHeight="1">
      <c r="A10765" s="24" t="s">
        <v>34119</v>
      </c>
      <c r="B10765" s="24" t="s">
        <v>34120</v>
      </c>
      <c r="C10765" s="24" t="s">
        <v>34121</v>
      </c>
      <c r="D10765" s="25" t="s">
        <v>34122</v>
      </c>
      <c r="E10765" s="28">
        <v>1.00000</v>
      </c>
      <c r="F10765" s="29">
        <f ca="1">ROUND(19.000,3)</f>
        <v>0</v>
      </c>
      <c r="G10765" s="27">
        <f ca="1">ROUND(E10765*F10765,2)</f>
        <v>0</v>
      </c>
    </row>
    <row r="10766" spans="1:7" ht="24.36" thickBot="1" customHeight="1">
      <c r="A10766" s="24" t="s">
        <v>34123</v>
      </c>
      <c r="B10766" s="24" t="s">
        <v>34124</v>
      </c>
      <c r="C10766" s="24" t="s">
        <v>34125</v>
      </c>
      <c r="D10766" s="25" t="s">
        <v>34126</v>
      </c>
      <c r="E10766" s="28">
        <v>0.20000</v>
      </c>
      <c r="F10766" s="29">
        <f ca="1">ROUND(19.000,3)</f>
        <v>0</v>
      </c>
      <c r="G10766" s="27">
        <f ca="1">ROUND(E10766*F10766,2)</f>
        <v>0</v>
      </c>
    </row>
    <row r="10767" spans="1:7" ht="15.12" thickBot="1" customHeight="1">
      <c r="A10767" s="26"/>
      <c r="B10767" s="26"/>
      <c r="C10767" s="26"/>
      <c r="D10767" s="24" t="s">
        <v>34127</v>
      </c>
      <c r="E10767" s="28">
        <v>0.32000</v>
      </c>
      <c r="F10767" s="29">
        <f ca="1">ROUND((G10764+G10765+G10766),3)</f>
        <v>0</v>
      </c>
      <c r="G10767" s="27">
        <f ca="1">ROUND(E10767*F10767,2)</f>
        <v>0</v>
      </c>
    </row>
    <row r="10768" spans="1:7" ht="15.12" thickBot="1" customHeight="1">
      <c r="A10768" s="24" t="s">
        <v>34128</v>
      </c>
      <c r="B10768" s="24"/>
      <c r="C10768" s="24" t="s">
        <v>34129</v>
      </c>
      <c r="D10768" s="25" t="s">
        <v>34130</v>
      </c>
      <c r="E10768" s="28">
        <v>3.00000</v>
      </c>
      <c r="F10768" s="29">
        <f ca="1">ROUND(14.020,3)</f>
        <v>0</v>
      </c>
      <c r="G10768" s="27">
        <f ca="1">ROUND((E10768*F10768)/100,2)</f>
        <v>0</v>
      </c>
    </row>
    <row r="10769" spans="1:7" ht="15.48" thickBot="1" customHeight="1">
      <c r="A10769" s="30"/>
      <c r="B10769" s="30"/>
      <c r="C10769" s="30"/>
      <c r="D10769" s="31" t="s">
        <v>34131</v>
      </c>
      <c r="E10769" s="30"/>
      <c r="F10769" s="33">
        <f ca="1">ROUND((G10761+G10762+G10763+G10768)*(1+G2/100),2)</f>
        <v>0</v>
      </c>
      <c r="G10769" s="30"/>
    </row>
    <row r="10770" spans="1:7" ht="21.36" thickBot="1" customHeight="1">
      <c r="A10770" s="34" t="s">
        <v>34132</v>
      </c>
      <c r="B10770" s="35" t="s">
        <v>34133</v>
      </c>
      <c r="C10770" s="35" t="s">
        <v>34134</v>
      </c>
      <c r="D10770" s="36" t="s">
        <v>34135</v>
      </c>
      <c r="E10770" s="37"/>
      <c r="F10770" s="38">
        <f ca="1">F10783</f>
        <v>0</v>
      </c>
      <c r="G10770" s="37"/>
    </row>
    <row r="10771" spans="1:7" ht="67.56" thickBot="1" customHeight="1">
      <c r="A10771" s="26"/>
      <c r="B10771" s="26"/>
      <c r="C10771" s="26"/>
      <c r="D10771" s="25" t="s">
        <v>34136</v>
      </c>
      <c r="E10771" s="25"/>
      <c r="F10771" s="25"/>
      <c r="G10771" s="25"/>
    </row>
    <row r="10772" spans="1:7" ht="24.36" thickBot="1" customHeight="1">
      <c r="A10772" s="24" t="s">
        <v>34137</v>
      </c>
      <c r="B10772" s="24" t="s">
        <v>34138</v>
      </c>
      <c r="C10772" s="24" t="s">
        <v>34139</v>
      </c>
      <c r="D10772" s="25" t="s">
        <v>34140</v>
      </c>
      <c r="E10772" s="28">
        <v>0.10000</v>
      </c>
      <c r="F10772" s="29">
        <f ca="1">ROUND(122.520,3)</f>
        <v>0</v>
      </c>
      <c r="G10772" s="27">
        <f ca="1">ROUND(E10772*F10772,2)</f>
        <v>0</v>
      </c>
    </row>
    <row r="10773" spans="1:7" ht="30.60" thickBot="1" customHeight="1">
      <c r="A10773" s="24" t="s">
        <v>34141</v>
      </c>
      <c r="B10773" s="24" t="s">
        <v>34142</v>
      </c>
      <c r="C10773" s="24" t="s">
        <v>34143</v>
      </c>
      <c r="D10773" s="25" t="s">
        <v>34144</v>
      </c>
      <c r="E10773" s="28">
        <v>0.01100</v>
      </c>
      <c r="F10773" s="29">
        <f ca="1">ROUND(2.520,3)</f>
        <v>0</v>
      </c>
      <c r="G10773" s="27">
        <f ca="1">ROUND(E10773*F10773,2)</f>
        <v>0</v>
      </c>
    </row>
    <row r="10774" spans="1:7" ht="24.36" thickBot="1" customHeight="1">
      <c r="A10774" s="24" t="s">
        <v>34145</v>
      </c>
      <c r="B10774" s="24" t="s">
        <v>34146</v>
      </c>
      <c r="C10774" s="24" t="s">
        <v>34147</v>
      </c>
      <c r="D10774" s="25" t="s">
        <v>34148</v>
      </c>
      <c r="E10774" s="28">
        <v>0.01100</v>
      </c>
      <c r="F10774" s="29">
        <f ca="1">ROUND(4.730,3)</f>
        <v>0</v>
      </c>
      <c r="G10774" s="27">
        <f ca="1">ROUND(E10774*F10774,2)</f>
        <v>0</v>
      </c>
    </row>
    <row r="10775" spans="1:7" ht="24.36" thickBot="1" customHeight="1">
      <c r="A10775" s="24" t="s">
        <v>34149</v>
      </c>
      <c r="B10775" s="24" t="s">
        <v>34150</v>
      </c>
      <c r="C10775" s="24" t="s">
        <v>34151</v>
      </c>
      <c r="D10775" s="25" t="s">
        <v>34152</v>
      </c>
      <c r="E10775" s="28">
        <v>0.01500</v>
      </c>
      <c r="F10775" s="29">
        <f ca="1">ROUND(0.650,3)</f>
        <v>0</v>
      </c>
      <c r="G10775" s="27">
        <f ca="1">ROUND(E10775*F10775,2)</f>
        <v>0</v>
      </c>
    </row>
    <row r="10776" spans="1:7" ht="24.36" thickBot="1" customHeight="1">
      <c r="A10776" s="24" t="s">
        <v>34153</v>
      </c>
      <c r="B10776" s="24" t="s">
        <v>34154</v>
      </c>
      <c r="C10776" s="24" t="s">
        <v>34155</v>
      </c>
      <c r="D10776" s="25" t="s">
        <v>34156</v>
      </c>
      <c r="E10776" s="28">
        <v>0.01100</v>
      </c>
      <c r="F10776" s="29">
        <f ca="1">ROUND(4.060,3)</f>
        <v>0</v>
      </c>
      <c r="G10776" s="27">
        <f ca="1">ROUND(E10776*F10776,2)</f>
        <v>0</v>
      </c>
    </row>
    <row r="10777" spans="1:7" ht="21.36" thickBot="1" customHeight="1">
      <c r="A10777" s="24" t="s">
        <v>34157</v>
      </c>
      <c r="B10777" s="24" t="s">
        <v>34158</v>
      </c>
      <c r="C10777" s="24" t="s">
        <v>34159</v>
      </c>
      <c r="D10777" s="25" t="s">
        <v>34160</v>
      </c>
      <c r="E10777" s="28">
        <v>0.30000</v>
      </c>
      <c r="F10777" s="29">
        <f ca="1">F10781</f>
        <v>0</v>
      </c>
      <c r="G10777" s="27">
        <f ca="1">ROUND(E10777*F10777,2)</f>
        <v>0</v>
      </c>
    </row>
    <row r="10778" spans="1:7" ht="24.36" thickBot="1" customHeight="1">
      <c r="A10778" s="24" t="s">
        <v>34161</v>
      </c>
      <c r="B10778" s="24" t="s">
        <v>34162</v>
      </c>
      <c r="C10778" s="24" t="s">
        <v>34163</v>
      </c>
      <c r="D10778" s="25" t="s">
        <v>34164</v>
      </c>
      <c r="E10778" s="28">
        <v>1.00000</v>
      </c>
      <c r="F10778" s="29">
        <f ca="1">ROUND(21.000,3)</f>
        <v>0</v>
      </c>
      <c r="G10778" s="27">
        <f ca="1">ROUND(E10778*F10778,2)</f>
        <v>0</v>
      </c>
    </row>
    <row r="10779" spans="1:7" ht="24.36" thickBot="1" customHeight="1">
      <c r="A10779" s="24" t="s">
        <v>34165</v>
      </c>
      <c r="B10779" s="24" t="s">
        <v>34166</v>
      </c>
      <c r="C10779" s="24" t="s">
        <v>34167</v>
      </c>
      <c r="D10779" s="25" t="s">
        <v>34168</v>
      </c>
      <c r="E10779" s="28">
        <v>1.00000</v>
      </c>
      <c r="F10779" s="29">
        <f ca="1">ROUND(19.000,3)</f>
        <v>0</v>
      </c>
      <c r="G10779" s="27">
        <f ca="1">ROUND(E10779*F10779,2)</f>
        <v>0</v>
      </c>
    </row>
    <row r="10780" spans="1:7" ht="24.36" thickBot="1" customHeight="1">
      <c r="A10780" s="24" t="s">
        <v>34169</v>
      </c>
      <c r="B10780" s="24" t="s">
        <v>34170</v>
      </c>
      <c r="C10780" s="24" t="s">
        <v>34171</v>
      </c>
      <c r="D10780" s="25" t="s">
        <v>34172</v>
      </c>
      <c r="E10780" s="28">
        <v>0.20000</v>
      </c>
      <c r="F10780" s="29">
        <f ca="1">ROUND(19.000,3)</f>
        <v>0</v>
      </c>
      <c r="G10780" s="27">
        <f ca="1">ROUND(E10780*F10780,2)</f>
        <v>0</v>
      </c>
    </row>
    <row r="10781" spans="1:7" ht="15.12" thickBot="1" customHeight="1">
      <c r="A10781" s="26"/>
      <c r="B10781" s="26"/>
      <c r="C10781" s="26"/>
      <c r="D10781" s="24" t="s">
        <v>34173</v>
      </c>
      <c r="E10781" s="28">
        <v>0.30000</v>
      </c>
      <c r="F10781" s="29">
        <f ca="1">ROUND((G10778+G10779+G10780),3)</f>
        <v>0</v>
      </c>
      <c r="G10781" s="27">
        <f ca="1">ROUND(E10781*F10781,2)</f>
        <v>0</v>
      </c>
    </row>
    <row r="10782" spans="1:7" ht="15.12" thickBot="1" customHeight="1">
      <c r="A10782" s="24" t="s">
        <v>34174</v>
      </c>
      <c r="B10782" s="24"/>
      <c r="C10782" s="24" t="s">
        <v>34175</v>
      </c>
      <c r="D10782" s="25" t="s">
        <v>34176</v>
      </c>
      <c r="E10782" s="28">
        <v>3.00000</v>
      </c>
      <c r="F10782" s="29">
        <f ca="1">ROUND(13.140,3)</f>
        <v>0</v>
      </c>
      <c r="G10782" s="27">
        <f ca="1">ROUND((E10782*F10782)/100,2)</f>
        <v>0</v>
      </c>
    </row>
    <row r="10783" spans="1:7" ht="15.48" thickBot="1" customHeight="1">
      <c r="A10783" s="30"/>
      <c r="B10783" s="30"/>
      <c r="C10783" s="30"/>
      <c r="D10783" s="31" t="s">
        <v>34177</v>
      </c>
      <c r="E10783" s="30"/>
      <c r="F10783" s="33">
        <f ca="1">ROUND((G10772+G10773+G10774+G10775+G10776+G10777+G10782)*(1+G2/100),2)</f>
        <v>0</v>
      </c>
      <c r="G10783" s="30"/>
    </row>
    <row r="10784" spans="1:7" ht="39.84" thickBot="1" customHeight="1">
      <c r="A10784" s="34" t="s">
        <v>34178</v>
      </c>
      <c r="B10784" s="35" t="s">
        <v>34179</v>
      </c>
      <c r="C10784" s="35" t="s">
        <v>34180</v>
      </c>
      <c r="D10784" s="36" t="s">
        <v>34181</v>
      </c>
      <c r="E10784" s="37"/>
      <c r="F10784" s="38">
        <f ca="1">F10794</f>
        <v>0</v>
      </c>
      <c r="G10784" s="37"/>
    </row>
    <row r="10785" spans="1:7" ht="21.36" thickBot="1" customHeight="1">
      <c r="A10785" s="26"/>
      <c r="B10785" s="26"/>
      <c r="C10785" s="26"/>
      <c r="D10785" s="25" t="s">
        <v>34182</v>
      </c>
      <c r="E10785" s="25"/>
      <c r="F10785" s="25"/>
      <c r="G10785" s="25"/>
    </row>
    <row r="10786" spans="1:7" ht="39.84" thickBot="1" customHeight="1">
      <c r="A10786" s="24" t="s">
        <v>34183</v>
      </c>
      <c r="B10786" s="24" t="s">
        <v>34184</v>
      </c>
      <c r="C10786" s="24" t="s">
        <v>34185</v>
      </c>
      <c r="D10786" s="25" t="s">
        <v>34186</v>
      </c>
      <c r="E10786" s="28">
        <v>0.01667</v>
      </c>
      <c r="F10786" s="29">
        <f ca="1">ROUND(23.660,3)</f>
        <v>0</v>
      </c>
      <c r="G10786" s="27">
        <f ca="1">ROUND(E10786*F10786,2)</f>
        <v>0</v>
      </c>
    </row>
    <row r="10787" spans="1:7" ht="39.84" thickBot="1" customHeight="1">
      <c r="A10787" s="24" t="s">
        <v>34187</v>
      </c>
      <c r="B10787" s="24" t="s">
        <v>34188</v>
      </c>
      <c r="C10787" s="24" t="s">
        <v>34189</v>
      </c>
      <c r="D10787" s="25" t="s">
        <v>34190</v>
      </c>
      <c r="E10787" s="28">
        <v>0.01667</v>
      </c>
      <c r="F10787" s="29">
        <f ca="1">ROUND(69.000,3)</f>
        <v>0</v>
      </c>
      <c r="G10787" s="27">
        <f ca="1">ROUND(E10787*F10787,2)</f>
        <v>0</v>
      </c>
    </row>
    <row r="10788" spans="1:7" ht="21.36" thickBot="1" customHeight="1">
      <c r="A10788" s="24" t="s">
        <v>34191</v>
      </c>
      <c r="B10788" s="24" t="s">
        <v>34192</v>
      </c>
      <c r="C10788" s="24" t="s">
        <v>34193</v>
      </c>
      <c r="D10788" s="25" t="s">
        <v>34194</v>
      </c>
      <c r="E10788" s="28">
        <v>0.32000</v>
      </c>
      <c r="F10788" s="29">
        <f ca="1">F10792</f>
        <v>0</v>
      </c>
      <c r="G10788" s="27">
        <f ca="1">ROUND(E10788*F10788,2)</f>
        <v>0</v>
      </c>
    </row>
    <row r="10789" spans="1:7" ht="24.36" thickBot="1" customHeight="1">
      <c r="A10789" s="24" t="s">
        <v>34195</v>
      </c>
      <c r="B10789" s="24" t="s">
        <v>34196</v>
      </c>
      <c r="C10789" s="24" t="s">
        <v>34197</v>
      </c>
      <c r="D10789" s="25" t="s">
        <v>34198</v>
      </c>
      <c r="E10789" s="28">
        <v>1.00000</v>
      </c>
      <c r="F10789" s="29">
        <f ca="1">ROUND(21.000,3)</f>
        <v>0</v>
      </c>
      <c r="G10789" s="27">
        <f ca="1">ROUND(E10789*F10789,2)</f>
        <v>0</v>
      </c>
    </row>
    <row r="10790" spans="1:7" ht="24.36" thickBot="1" customHeight="1">
      <c r="A10790" s="24" t="s">
        <v>34199</v>
      </c>
      <c r="B10790" s="24" t="s">
        <v>34200</v>
      </c>
      <c r="C10790" s="24" t="s">
        <v>34201</v>
      </c>
      <c r="D10790" s="25" t="s">
        <v>34202</v>
      </c>
      <c r="E10790" s="28">
        <v>1.00000</v>
      </c>
      <c r="F10790" s="29">
        <f ca="1">ROUND(19.000,3)</f>
        <v>0</v>
      </c>
      <c r="G10790" s="27">
        <f ca="1">ROUND(E10790*F10790,2)</f>
        <v>0</v>
      </c>
    </row>
    <row r="10791" spans="1:7" ht="24.36" thickBot="1" customHeight="1">
      <c r="A10791" s="24" t="s">
        <v>34203</v>
      </c>
      <c r="B10791" s="24" t="s">
        <v>34204</v>
      </c>
      <c r="C10791" s="24" t="s">
        <v>34205</v>
      </c>
      <c r="D10791" s="25" t="s">
        <v>34206</v>
      </c>
      <c r="E10791" s="28">
        <v>0.20000</v>
      </c>
      <c r="F10791" s="29">
        <f ca="1">ROUND(19.000,3)</f>
        <v>0</v>
      </c>
      <c r="G10791" s="27">
        <f ca="1">ROUND(E10791*F10791,2)</f>
        <v>0</v>
      </c>
    </row>
    <row r="10792" spans="1:7" ht="15.12" thickBot="1" customHeight="1">
      <c r="A10792" s="26"/>
      <c r="B10792" s="26"/>
      <c r="C10792" s="26"/>
      <c r="D10792" s="24" t="s">
        <v>34207</v>
      </c>
      <c r="E10792" s="28">
        <v>0.32000</v>
      </c>
      <c r="F10792" s="29">
        <f ca="1">ROUND((G10789+G10790+G10791),3)</f>
        <v>0</v>
      </c>
      <c r="G10792" s="27">
        <f ca="1">ROUND(E10792*F10792,2)</f>
        <v>0</v>
      </c>
    </row>
    <row r="10793" spans="1:7" ht="15.12" thickBot="1" customHeight="1">
      <c r="A10793" s="24" t="s">
        <v>34208</v>
      </c>
      <c r="B10793" s="24"/>
      <c r="C10793" s="24" t="s">
        <v>34209</v>
      </c>
      <c r="D10793" s="25" t="s">
        <v>34210</v>
      </c>
      <c r="E10793" s="28">
        <v>5.00000</v>
      </c>
      <c r="F10793" s="29">
        <f ca="1">ROUND(14.020,3)</f>
        <v>0</v>
      </c>
      <c r="G10793" s="27">
        <f ca="1">ROUND((E10793*F10793)/100,2)</f>
        <v>0</v>
      </c>
    </row>
    <row r="10794" spans="1:7" ht="15.48" thickBot="1" customHeight="1">
      <c r="A10794" s="30"/>
      <c r="B10794" s="30"/>
      <c r="C10794" s="30"/>
      <c r="D10794" s="31" t="s">
        <v>34211</v>
      </c>
      <c r="E10794" s="30"/>
      <c r="F10794" s="33">
        <f ca="1">ROUND((G10786+G10787+G10788+G10793)*(1+G2/100),2)</f>
        <v>0</v>
      </c>
      <c r="G10794" s="30"/>
    </row>
    <row r="10795" spans="1:7" ht="39.84" thickBot="1" customHeight="1">
      <c r="A10795" s="34" t="s">
        <v>34212</v>
      </c>
      <c r="B10795" s="35" t="s">
        <v>34213</v>
      </c>
      <c r="C10795" s="35" t="s">
        <v>34214</v>
      </c>
      <c r="D10795" s="36" t="s">
        <v>34215</v>
      </c>
      <c r="E10795" s="37"/>
      <c r="F10795" s="38">
        <f ca="1">F10805</f>
        <v>0</v>
      </c>
      <c r="G10795" s="37"/>
    </row>
    <row r="10796" spans="1:7" ht="21.36" thickBot="1" customHeight="1">
      <c r="A10796" s="26"/>
      <c r="B10796" s="26"/>
      <c r="C10796" s="26"/>
      <c r="D10796" s="25" t="s">
        <v>34216</v>
      </c>
      <c r="E10796" s="25"/>
      <c r="F10796" s="25"/>
      <c r="G10796" s="25"/>
    </row>
    <row r="10797" spans="1:7" ht="39.84" thickBot="1" customHeight="1">
      <c r="A10797" s="24" t="s">
        <v>34217</v>
      </c>
      <c r="B10797" s="24" t="s">
        <v>34218</v>
      </c>
      <c r="C10797" s="24" t="s">
        <v>34219</v>
      </c>
      <c r="D10797" s="25" t="s">
        <v>34220</v>
      </c>
      <c r="E10797" s="28">
        <v>0.01666</v>
      </c>
      <c r="F10797" s="29">
        <f ca="1">ROUND(23.660,3)</f>
        <v>0</v>
      </c>
      <c r="G10797" s="27">
        <f ca="1">ROUND(E10797*F10797,2)</f>
        <v>0</v>
      </c>
    </row>
    <row r="10798" spans="1:7" ht="39.84" thickBot="1" customHeight="1">
      <c r="A10798" s="24" t="s">
        <v>34221</v>
      </c>
      <c r="B10798" s="24" t="s">
        <v>34222</v>
      </c>
      <c r="C10798" s="24" t="s">
        <v>34223</v>
      </c>
      <c r="D10798" s="25" t="s">
        <v>34224</v>
      </c>
      <c r="E10798" s="28">
        <v>0.01667</v>
      </c>
      <c r="F10798" s="29">
        <f ca="1">ROUND(69.000,3)</f>
        <v>0</v>
      </c>
      <c r="G10798" s="27">
        <f ca="1">ROUND(E10798*F10798,2)</f>
        <v>0</v>
      </c>
    </row>
    <row r="10799" spans="1:7" ht="21.36" thickBot="1" customHeight="1">
      <c r="A10799" s="24" t="s">
        <v>34225</v>
      </c>
      <c r="B10799" s="24" t="s">
        <v>34226</v>
      </c>
      <c r="C10799" s="24" t="s">
        <v>34227</v>
      </c>
      <c r="D10799" s="25" t="s">
        <v>34228</v>
      </c>
      <c r="E10799" s="28">
        <v>0.26667</v>
      </c>
      <c r="F10799" s="29">
        <f ca="1">F10803</f>
        <v>0</v>
      </c>
      <c r="G10799" s="27">
        <f ca="1">ROUND(E10799*F10799,2)</f>
        <v>0</v>
      </c>
    </row>
    <row r="10800" spans="1:7" ht="24.36" thickBot="1" customHeight="1">
      <c r="A10800" s="24" t="s">
        <v>34229</v>
      </c>
      <c r="B10800" s="24" t="s">
        <v>34230</v>
      </c>
      <c r="C10800" s="24" t="s">
        <v>34231</v>
      </c>
      <c r="D10800" s="25" t="s">
        <v>34232</v>
      </c>
      <c r="E10800" s="28">
        <v>1.00000</v>
      </c>
      <c r="F10800" s="29">
        <f ca="1">ROUND(21.000,3)</f>
        <v>0</v>
      </c>
      <c r="G10800" s="27">
        <f ca="1">ROUND(E10800*F10800,2)</f>
        <v>0</v>
      </c>
    </row>
    <row r="10801" spans="1:7" ht="24.36" thickBot="1" customHeight="1">
      <c r="A10801" s="24" t="s">
        <v>34233</v>
      </c>
      <c r="B10801" s="24" t="s">
        <v>34234</v>
      </c>
      <c r="C10801" s="24" t="s">
        <v>34235</v>
      </c>
      <c r="D10801" s="25" t="s">
        <v>34236</v>
      </c>
      <c r="E10801" s="28">
        <v>1.00000</v>
      </c>
      <c r="F10801" s="29">
        <f ca="1">ROUND(19.000,3)</f>
        <v>0</v>
      </c>
      <c r="G10801" s="27">
        <f ca="1">ROUND(E10801*F10801,2)</f>
        <v>0</v>
      </c>
    </row>
    <row r="10802" spans="1:7" ht="24.36" thickBot="1" customHeight="1">
      <c r="A10802" s="24" t="s">
        <v>34237</v>
      </c>
      <c r="B10802" s="24" t="s">
        <v>34238</v>
      </c>
      <c r="C10802" s="24" t="s">
        <v>34239</v>
      </c>
      <c r="D10802" s="25" t="s">
        <v>34240</v>
      </c>
      <c r="E10802" s="28">
        <v>0.20000</v>
      </c>
      <c r="F10802" s="29">
        <f ca="1">ROUND(19.000,3)</f>
        <v>0</v>
      </c>
      <c r="G10802" s="27">
        <f ca="1">ROUND(E10802*F10802,2)</f>
        <v>0</v>
      </c>
    </row>
    <row r="10803" spans="1:7" ht="15.12" thickBot="1" customHeight="1">
      <c r="A10803" s="26"/>
      <c r="B10803" s="26"/>
      <c r="C10803" s="26"/>
      <c r="D10803" s="24" t="s">
        <v>34241</v>
      </c>
      <c r="E10803" s="28">
        <v>0.26667</v>
      </c>
      <c r="F10803" s="29">
        <f ca="1">ROUND((G10800+G10801+G10802),3)</f>
        <v>0</v>
      </c>
      <c r="G10803" s="27">
        <f ca="1">ROUND(E10803*F10803,2)</f>
        <v>0</v>
      </c>
    </row>
    <row r="10804" spans="1:7" ht="15.12" thickBot="1" customHeight="1">
      <c r="A10804" s="24" t="s">
        <v>34242</v>
      </c>
      <c r="B10804" s="24"/>
      <c r="C10804" s="24" t="s">
        <v>34243</v>
      </c>
      <c r="D10804" s="25" t="s">
        <v>34244</v>
      </c>
      <c r="E10804" s="28">
        <v>5.00000</v>
      </c>
      <c r="F10804" s="29">
        <f ca="1">ROUND(11.680,3)</f>
        <v>0</v>
      </c>
      <c r="G10804" s="27">
        <f ca="1">ROUND((E10804*F10804)/100,2)</f>
        <v>0</v>
      </c>
    </row>
    <row r="10805" spans="1:7" ht="15.48" thickBot="1" customHeight="1">
      <c r="A10805" s="30"/>
      <c r="B10805" s="30"/>
      <c r="C10805" s="30"/>
      <c r="D10805" s="31" t="s">
        <v>34245</v>
      </c>
      <c r="E10805" s="30"/>
      <c r="F10805" s="33">
        <f ca="1">ROUND((G10797+G10798+G10799+G10804)*(1+G2/100),2)</f>
        <v>0</v>
      </c>
      <c r="G10805" s="30"/>
    </row>
    <row r="10806" spans="1:7" ht="15.48" thickBot="1" customHeight="1">
      <c r="A10806" s="39"/>
      <c r="B10806" s="39"/>
      <c r="C10806" s="39"/>
      <c r="D10806" s="50" t="s">
        <v>34246</v>
      </c>
      <c r="E10806" s="51"/>
      <c r="F10806" s="51"/>
      <c r="G10806" s="51"/>
    </row>
    <row r="10807" spans="1:7" ht="15.48" thickBot="1" customHeight="1">
      <c r="A10807" s="52" t="s">
        <v>34247</v>
      </c>
      <c r="B10807" s="52" t="s">
        <v>34248</v>
      </c>
      <c r="C10807" s="53"/>
      <c r="D10807" s="54" t="s">
        <v>34249</v>
      </c>
      <c r="E10807" s="53"/>
      <c r="F10807" s="53"/>
      <c r="G10807" s="53"/>
    </row>
    <row r="10808" spans="1:7" ht="49.08" thickBot="1" customHeight="1">
      <c r="A10808" s="10" t="s">
        <v>34250</v>
      </c>
      <c r="B10808" s="24" t="s">
        <v>34251</v>
      </c>
      <c r="C10808" s="24" t="s">
        <v>34252</v>
      </c>
      <c r="D10808" s="25" t="s">
        <v>34253</v>
      </c>
      <c r="E10808" s="26"/>
      <c r="F10808" s="27">
        <f ca="1">F10819</f>
        <v>0</v>
      </c>
      <c r="G10808" s="26"/>
    </row>
    <row r="10809" spans="1:7" ht="21.36" thickBot="1" customHeight="1">
      <c r="A10809" s="26"/>
      <c r="B10809" s="26"/>
      <c r="C10809" s="26"/>
      <c r="D10809" s="25" t="s">
        <v>34254</v>
      </c>
      <c r="E10809" s="25"/>
      <c r="F10809" s="25"/>
      <c r="G10809" s="25"/>
    </row>
    <row r="10810" spans="1:7" ht="39.84" thickBot="1" customHeight="1">
      <c r="A10810" s="24" t="s">
        <v>34255</v>
      </c>
      <c r="B10810" s="24" t="s">
        <v>34256</v>
      </c>
      <c r="C10810" s="24" t="s">
        <v>34257</v>
      </c>
      <c r="D10810" s="25" t="s">
        <v>34258</v>
      </c>
      <c r="E10810" s="28">
        <v>1.05000</v>
      </c>
      <c r="F10810" s="29">
        <f ca="1">ROUND(33.840,3)</f>
        <v>0</v>
      </c>
      <c r="G10810" s="27">
        <f ca="1">ROUND(E10810*F10810,2)</f>
        <v>0</v>
      </c>
    </row>
    <row r="10811" spans="1:7" ht="49.08" thickBot="1" customHeight="1">
      <c r="A10811" s="24" t="s">
        <v>34259</v>
      </c>
      <c r="B10811" s="24" t="s">
        <v>34260</v>
      </c>
      <c r="C10811" s="24" t="s">
        <v>34261</v>
      </c>
      <c r="D10811" s="25" t="s">
        <v>34262</v>
      </c>
      <c r="E10811" s="28">
        <v>0.50400</v>
      </c>
      <c r="F10811" s="29">
        <f ca="1">ROUND(10.250,3)</f>
        <v>0</v>
      </c>
      <c r="G10811" s="27">
        <f ca="1">ROUND(E10811*F10811,2)</f>
        <v>0</v>
      </c>
    </row>
    <row r="10812" spans="1:7" ht="30.60" thickBot="1" customHeight="1">
      <c r="A10812" s="24" t="s">
        <v>34263</v>
      </c>
      <c r="B10812" s="24" t="s">
        <v>34264</v>
      </c>
      <c r="C10812" s="24" t="s">
        <v>34265</v>
      </c>
      <c r="D10812" s="25" t="s">
        <v>34266</v>
      </c>
      <c r="E10812" s="28">
        <v>0.17160</v>
      </c>
      <c r="F10812" s="29">
        <f ca="1">ROUND(11.000,3)</f>
        <v>0</v>
      </c>
      <c r="G10812" s="27">
        <f ca="1">ROUND(E10812*F10812,2)</f>
        <v>0</v>
      </c>
    </row>
    <row r="10813" spans="1:7" ht="21.36" thickBot="1" customHeight="1">
      <c r="A10813" s="24" t="s">
        <v>34267</v>
      </c>
      <c r="B10813" s="24" t="s">
        <v>34268</v>
      </c>
      <c r="C10813" s="24" t="s">
        <v>34269</v>
      </c>
      <c r="D10813" s="25" t="s">
        <v>34270</v>
      </c>
      <c r="E10813" s="28">
        <v>0.50000</v>
      </c>
      <c r="F10813" s="29">
        <f ca="1">F10817</f>
        <v>0</v>
      </c>
      <c r="G10813" s="27">
        <f ca="1">ROUND(E10813*F10813,2)</f>
        <v>0</v>
      </c>
    </row>
    <row r="10814" spans="1:7" ht="24.36" thickBot="1" customHeight="1">
      <c r="A10814" s="24" t="s">
        <v>34271</v>
      </c>
      <c r="B10814" s="24" t="s">
        <v>34272</v>
      </c>
      <c r="C10814" s="24" t="s">
        <v>34273</v>
      </c>
      <c r="D10814" s="25" t="s">
        <v>34274</v>
      </c>
      <c r="E10814" s="28">
        <v>1.00000</v>
      </c>
      <c r="F10814" s="29">
        <f ca="1">ROUND(21.000,3)</f>
        <v>0</v>
      </c>
      <c r="G10814" s="27">
        <f ca="1">ROUND(E10814*F10814,2)</f>
        <v>0</v>
      </c>
    </row>
    <row r="10815" spans="1:7" ht="24.36" thickBot="1" customHeight="1">
      <c r="A10815" s="24" t="s">
        <v>34275</v>
      </c>
      <c r="B10815" s="24" t="s">
        <v>34276</v>
      </c>
      <c r="C10815" s="24" t="s">
        <v>34277</v>
      </c>
      <c r="D10815" s="25" t="s">
        <v>34278</v>
      </c>
      <c r="E10815" s="28">
        <v>1.00000</v>
      </c>
      <c r="F10815" s="29">
        <f ca="1">ROUND(19.000,3)</f>
        <v>0</v>
      </c>
      <c r="G10815" s="27">
        <f ca="1">ROUND(E10815*F10815,2)</f>
        <v>0</v>
      </c>
    </row>
    <row r="10816" spans="1:7" ht="24.36" thickBot="1" customHeight="1">
      <c r="A10816" s="24" t="s">
        <v>34279</v>
      </c>
      <c r="B10816" s="24" t="s">
        <v>34280</v>
      </c>
      <c r="C10816" s="24" t="s">
        <v>34281</v>
      </c>
      <c r="D10816" s="25" t="s">
        <v>34282</v>
      </c>
      <c r="E10816" s="28">
        <v>0.20000</v>
      </c>
      <c r="F10816" s="29">
        <f ca="1">ROUND(19.000,3)</f>
        <v>0</v>
      </c>
      <c r="G10816" s="27">
        <f ca="1">ROUND(E10816*F10816,2)</f>
        <v>0</v>
      </c>
    </row>
    <row r="10817" spans="1:7" ht="15.12" thickBot="1" customHeight="1">
      <c r="A10817" s="26"/>
      <c r="B10817" s="26"/>
      <c r="C10817" s="26"/>
      <c r="D10817" s="24" t="s">
        <v>34283</v>
      </c>
      <c r="E10817" s="28">
        <v>0.50000</v>
      </c>
      <c r="F10817" s="29">
        <f ca="1">ROUND((G10814+G10815+G10816),3)</f>
        <v>0</v>
      </c>
      <c r="G10817" s="27">
        <f ca="1">ROUND(E10817*F10817,2)</f>
        <v>0</v>
      </c>
    </row>
    <row r="10818" spans="1:7" ht="15.12" thickBot="1" customHeight="1">
      <c r="A10818" s="24" t="s">
        <v>34284</v>
      </c>
      <c r="B10818" s="24"/>
      <c r="C10818" s="24" t="s">
        <v>34285</v>
      </c>
      <c r="D10818" s="25" t="s">
        <v>34286</v>
      </c>
      <c r="E10818" s="28">
        <v>3.00000</v>
      </c>
      <c r="F10818" s="29">
        <f ca="1">ROUND(21.900,3)</f>
        <v>0</v>
      </c>
      <c r="G10818" s="27">
        <f ca="1">ROUND((E10818*F10818)/100,2)</f>
        <v>0</v>
      </c>
    </row>
    <row r="10819" spans="1:7" ht="25.08" thickBot="1" customHeight="1">
      <c r="A10819" s="30"/>
      <c r="B10819" s="30"/>
      <c r="C10819" s="30"/>
      <c r="D10819" s="31" t="s">
        <v>34287</v>
      </c>
      <c r="E10819" s="30"/>
      <c r="F10819" s="33">
        <f ca="1">ROUND((G10810+G10811+G10812+G10813+G10818)*(1+G2/100),2)</f>
        <v>0</v>
      </c>
      <c r="G10819" s="30"/>
    </row>
    <row r="10820" spans="1:7" ht="30.60" thickBot="1" customHeight="1">
      <c r="A10820" s="34" t="s">
        <v>34288</v>
      </c>
      <c r="B10820" s="35" t="s">
        <v>34289</v>
      </c>
      <c r="C10820" s="35" t="s">
        <v>34290</v>
      </c>
      <c r="D10820" s="36" t="s">
        <v>34291</v>
      </c>
      <c r="E10820" s="37"/>
      <c r="F10820" s="38">
        <f ca="1">F10831</f>
        <v>0</v>
      </c>
      <c r="G10820" s="37"/>
    </row>
    <row r="10821" spans="1:7" ht="21.36" thickBot="1" customHeight="1">
      <c r="A10821" s="26"/>
      <c r="B10821" s="26"/>
      <c r="C10821" s="26"/>
      <c r="D10821" s="25" t="s">
        <v>34292</v>
      </c>
      <c r="E10821" s="25"/>
      <c r="F10821" s="25"/>
      <c r="G10821" s="25"/>
    </row>
    <row r="10822" spans="1:7" ht="21.36" thickBot="1" customHeight="1">
      <c r="A10822" s="24" t="s">
        <v>34293</v>
      </c>
      <c r="B10822" s="24" t="s">
        <v>34294</v>
      </c>
      <c r="C10822" s="24" t="s">
        <v>34295</v>
      </c>
      <c r="D10822" s="25" t="s">
        <v>34296</v>
      </c>
      <c r="E10822" s="28">
        <v>1.10000</v>
      </c>
      <c r="F10822" s="29">
        <f ca="1">ROUND(11.500,3)</f>
        <v>0</v>
      </c>
      <c r="G10822" s="27">
        <f ca="1">ROUND(E10822*F10822,2)</f>
        <v>0</v>
      </c>
    </row>
    <row r="10823" spans="1:7" ht="49.08" thickBot="1" customHeight="1">
      <c r="A10823" s="24" t="s">
        <v>34297</v>
      </c>
      <c r="B10823" s="24" t="s">
        <v>34298</v>
      </c>
      <c r="C10823" s="24" t="s">
        <v>34299</v>
      </c>
      <c r="D10823" s="25" t="s">
        <v>34300</v>
      </c>
      <c r="E10823" s="28">
        <v>0.25200</v>
      </c>
      <c r="F10823" s="29">
        <f ca="1">ROUND(10.250,3)</f>
        <v>0</v>
      </c>
      <c r="G10823" s="27">
        <f ca="1">ROUND(E10823*F10823,2)</f>
        <v>0</v>
      </c>
    </row>
    <row r="10824" spans="1:7" ht="30.60" thickBot="1" customHeight="1">
      <c r="A10824" s="24" t="s">
        <v>34301</v>
      </c>
      <c r="B10824" s="24" t="s">
        <v>34302</v>
      </c>
      <c r="C10824" s="24" t="s">
        <v>34303</v>
      </c>
      <c r="D10824" s="25" t="s">
        <v>34304</v>
      </c>
      <c r="E10824" s="28">
        <v>0.12000</v>
      </c>
      <c r="F10824" s="29">
        <f ca="1">ROUND(11.000,3)</f>
        <v>0</v>
      </c>
      <c r="G10824" s="27">
        <f ca="1">ROUND(E10824*F10824,2)</f>
        <v>0</v>
      </c>
    </row>
    <row r="10825" spans="1:7" ht="21.36" thickBot="1" customHeight="1">
      <c r="A10825" s="24" t="s">
        <v>34305</v>
      </c>
      <c r="B10825" s="24" t="s">
        <v>34306</v>
      </c>
      <c r="C10825" s="24" t="s">
        <v>34307</v>
      </c>
      <c r="D10825" s="25" t="s">
        <v>34308</v>
      </c>
      <c r="E10825" s="28">
        <v>0.66667</v>
      </c>
      <c r="F10825" s="29">
        <f ca="1">F10829</f>
        <v>0</v>
      </c>
      <c r="G10825" s="27">
        <f ca="1">ROUND(E10825*F10825,2)</f>
        <v>0</v>
      </c>
    </row>
    <row r="10826" spans="1:7" ht="24.36" thickBot="1" customHeight="1">
      <c r="A10826" s="24" t="s">
        <v>34309</v>
      </c>
      <c r="B10826" s="24" t="s">
        <v>34310</v>
      </c>
      <c r="C10826" s="24" t="s">
        <v>34311</v>
      </c>
      <c r="D10826" s="25" t="s">
        <v>34312</v>
      </c>
      <c r="E10826" s="28">
        <v>1.00000</v>
      </c>
      <c r="F10826" s="29">
        <f ca="1">ROUND(21.000,3)</f>
        <v>0</v>
      </c>
      <c r="G10826" s="27">
        <f ca="1">ROUND(E10826*F10826,2)</f>
        <v>0</v>
      </c>
    </row>
    <row r="10827" spans="1:7" ht="24.36" thickBot="1" customHeight="1">
      <c r="A10827" s="24" t="s">
        <v>34313</v>
      </c>
      <c r="B10827" s="24" t="s">
        <v>34314</v>
      </c>
      <c r="C10827" s="24" t="s">
        <v>34315</v>
      </c>
      <c r="D10827" s="25" t="s">
        <v>34316</v>
      </c>
      <c r="E10827" s="28">
        <v>1.00000</v>
      </c>
      <c r="F10827" s="29">
        <f ca="1">ROUND(19.000,3)</f>
        <v>0</v>
      </c>
      <c r="G10827" s="27">
        <f ca="1">ROUND(E10827*F10827,2)</f>
        <v>0</v>
      </c>
    </row>
    <row r="10828" spans="1:7" ht="24.36" thickBot="1" customHeight="1">
      <c r="A10828" s="24" t="s">
        <v>34317</v>
      </c>
      <c r="B10828" s="24" t="s">
        <v>34318</v>
      </c>
      <c r="C10828" s="24" t="s">
        <v>34319</v>
      </c>
      <c r="D10828" s="25" t="s">
        <v>34320</v>
      </c>
      <c r="E10828" s="28">
        <v>0.20000</v>
      </c>
      <c r="F10828" s="29">
        <f ca="1">ROUND(19.000,3)</f>
        <v>0</v>
      </c>
      <c r="G10828" s="27">
        <f ca="1">ROUND(E10828*F10828,2)</f>
        <v>0</v>
      </c>
    </row>
    <row r="10829" spans="1:7" ht="15.12" thickBot="1" customHeight="1">
      <c r="A10829" s="26"/>
      <c r="B10829" s="26"/>
      <c r="C10829" s="26"/>
      <c r="D10829" s="24" t="s">
        <v>34321</v>
      </c>
      <c r="E10829" s="28">
        <v>0.66667</v>
      </c>
      <c r="F10829" s="29">
        <f ca="1">ROUND((G10826+G10827+G10828),3)</f>
        <v>0</v>
      </c>
      <c r="G10829" s="27">
        <f ca="1">ROUND(E10829*F10829,2)</f>
        <v>0</v>
      </c>
    </row>
    <row r="10830" spans="1:7" ht="15.12" thickBot="1" customHeight="1">
      <c r="A10830" s="24" t="s">
        <v>34322</v>
      </c>
      <c r="B10830" s="24"/>
      <c r="C10830" s="24" t="s">
        <v>34323</v>
      </c>
      <c r="D10830" s="25" t="s">
        <v>34324</v>
      </c>
      <c r="E10830" s="28">
        <v>3.00000</v>
      </c>
      <c r="F10830" s="29">
        <f ca="1">ROUND(29.200,3)</f>
        <v>0</v>
      </c>
      <c r="G10830" s="27">
        <f ca="1">ROUND((E10830*F10830)/100,2)</f>
        <v>0</v>
      </c>
    </row>
    <row r="10831" spans="1:7" ht="25.08" thickBot="1" customHeight="1">
      <c r="A10831" s="30"/>
      <c r="B10831" s="30"/>
      <c r="C10831" s="30"/>
      <c r="D10831" s="31" t="s">
        <v>34325</v>
      </c>
      <c r="E10831" s="30"/>
      <c r="F10831" s="33">
        <f ca="1">ROUND((G10822+G10823+G10824+G10825+G10830)*(1+G2/100),2)</f>
        <v>0</v>
      </c>
      <c r="G10831" s="30"/>
    </row>
    <row r="10832" spans="1:7" ht="39.84" thickBot="1" customHeight="1">
      <c r="A10832" s="34" t="s">
        <v>34326</v>
      </c>
      <c r="B10832" s="35" t="s">
        <v>34327</v>
      </c>
      <c r="C10832" s="35" t="s">
        <v>34328</v>
      </c>
      <c r="D10832" s="36" t="s">
        <v>34329</v>
      </c>
      <c r="E10832" s="37"/>
      <c r="F10832" s="38">
        <f ca="1">F10843</f>
        <v>0</v>
      </c>
      <c r="G10832" s="37"/>
    </row>
    <row r="10833" spans="1:7" ht="21.36" thickBot="1" customHeight="1">
      <c r="A10833" s="26"/>
      <c r="B10833" s="26"/>
      <c r="C10833" s="26"/>
      <c r="D10833" s="25" t="s">
        <v>34330</v>
      </c>
      <c r="E10833" s="25"/>
      <c r="F10833" s="25"/>
      <c r="G10833" s="25"/>
    </row>
    <row r="10834" spans="1:7" ht="39.84" thickBot="1" customHeight="1">
      <c r="A10834" s="24" t="s">
        <v>34331</v>
      </c>
      <c r="B10834" s="24" t="s">
        <v>34332</v>
      </c>
      <c r="C10834" s="24" t="s">
        <v>34333</v>
      </c>
      <c r="D10834" s="25" t="s">
        <v>34334</v>
      </c>
      <c r="E10834" s="28">
        <v>1.05000</v>
      </c>
      <c r="F10834" s="29">
        <f ca="1">ROUND(29.000,3)</f>
        <v>0</v>
      </c>
      <c r="G10834" s="27">
        <f ca="1">ROUND(E10834*F10834,2)</f>
        <v>0</v>
      </c>
    </row>
    <row r="10835" spans="1:7" ht="49.08" thickBot="1" customHeight="1">
      <c r="A10835" s="24" t="s">
        <v>34335</v>
      </c>
      <c r="B10835" s="24" t="s">
        <v>34336</v>
      </c>
      <c r="C10835" s="24" t="s">
        <v>34337</v>
      </c>
      <c r="D10835" s="25" t="s">
        <v>34338</v>
      </c>
      <c r="E10835" s="28">
        <v>0.50400</v>
      </c>
      <c r="F10835" s="29">
        <f ca="1">ROUND(10.250,3)</f>
        <v>0</v>
      </c>
      <c r="G10835" s="27">
        <f ca="1">ROUND(E10835*F10835,2)</f>
        <v>0</v>
      </c>
    </row>
    <row r="10836" spans="1:7" ht="30.60" thickBot="1" customHeight="1">
      <c r="A10836" s="24" t="s">
        <v>34339</v>
      </c>
      <c r="B10836" s="24" t="s">
        <v>34340</v>
      </c>
      <c r="C10836" s="24" t="s">
        <v>34341</v>
      </c>
      <c r="D10836" s="25" t="s">
        <v>34342</v>
      </c>
      <c r="E10836" s="28">
        <v>0.15607</v>
      </c>
      <c r="F10836" s="29">
        <f ca="1">ROUND(11.000,3)</f>
        <v>0</v>
      </c>
      <c r="G10836" s="27">
        <f ca="1">ROUND(E10836*F10836,2)</f>
        <v>0</v>
      </c>
    </row>
    <row r="10837" spans="1:7" ht="21.36" thickBot="1" customHeight="1">
      <c r="A10837" s="24" t="s">
        <v>34343</v>
      </c>
      <c r="B10837" s="24" t="s">
        <v>34344</v>
      </c>
      <c r="C10837" s="24" t="s">
        <v>34345</v>
      </c>
      <c r="D10837" s="25" t="s">
        <v>34346</v>
      </c>
      <c r="E10837" s="28">
        <v>0.66667</v>
      </c>
      <c r="F10837" s="29">
        <f ca="1">F10841</f>
        <v>0</v>
      </c>
      <c r="G10837" s="27">
        <f ca="1">ROUND(E10837*F10837,2)</f>
        <v>0</v>
      </c>
    </row>
    <row r="10838" spans="1:7" ht="24.36" thickBot="1" customHeight="1">
      <c r="A10838" s="24" t="s">
        <v>34347</v>
      </c>
      <c r="B10838" s="24" t="s">
        <v>34348</v>
      </c>
      <c r="C10838" s="24" t="s">
        <v>34349</v>
      </c>
      <c r="D10838" s="25" t="s">
        <v>34350</v>
      </c>
      <c r="E10838" s="28">
        <v>1.00000</v>
      </c>
      <c r="F10838" s="29">
        <f ca="1">ROUND(21.000,3)</f>
        <v>0</v>
      </c>
      <c r="G10838" s="27">
        <f ca="1">ROUND(E10838*F10838,2)</f>
        <v>0</v>
      </c>
    </row>
    <row r="10839" spans="1:7" ht="24.36" thickBot="1" customHeight="1">
      <c r="A10839" s="24" t="s">
        <v>34351</v>
      </c>
      <c r="B10839" s="24" t="s">
        <v>34352</v>
      </c>
      <c r="C10839" s="24" t="s">
        <v>34353</v>
      </c>
      <c r="D10839" s="25" t="s">
        <v>34354</v>
      </c>
      <c r="E10839" s="28">
        <v>1.00000</v>
      </c>
      <c r="F10839" s="29">
        <f ca="1">ROUND(19.000,3)</f>
        <v>0</v>
      </c>
      <c r="G10839" s="27">
        <f ca="1">ROUND(E10839*F10839,2)</f>
        <v>0</v>
      </c>
    </row>
    <row r="10840" spans="1:7" ht="24.36" thickBot="1" customHeight="1">
      <c r="A10840" s="24" t="s">
        <v>34355</v>
      </c>
      <c r="B10840" s="24" t="s">
        <v>34356</v>
      </c>
      <c r="C10840" s="24" t="s">
        <v>34357</v>
      </c>
      <c r="D10840" s="25" t="s">
        <v>34358</v>
      </c>
      <c r="E10840" s="28">
        <v>0.20000</v>
      </c>
      <c r="F10840" s="29">
        <f ca="1">ROUND(19.000,3)</f>
        <v>0</v>
      </c>
      <c r="G10840" s="27">
        <f ca="1">ROUND(E10840*F10840,2)</f>
        <v>0</v>
      </c>
    </row>
    <row r="10841" spans="1:7" ht="15.12" thickBot="1" customHeight="1">
      <c r="A10841" s="26"/>
      <c r="B10841" s="26"/>
      <c r="C10841" s="26"/>
      <c r="D10841" s="24" t="s">
        <v>34359</v>
      </c>
      <c r="E10841" s="28">
        <v>0.66667</v>
      </c>
      <c r="F10841" s="29">
        <f ca="1">ROUND((G10838+G10839+G10840),3)</f>
        <v>0</v>
      </c>
      <c r="G10841" s="27">
        <f ca="1">ROUND(E10841*F10841,2)</f>
        <v>0</v>
      </c>
    </row>
    <row r="10842" spans="1:7" ht="15.12" thickBot="1" customHeight="1">
      <c r="A10842" s="24" t="s">
        <v>34360</v>
      </c>
      <c r="B10842" s="24"/>
      <c r="C10842" s="24" t="s">
        <v>34361</v>
      </c>
      <c r="D10842" s="25" t="s">
        <v>34362</v>
      </c>
      <c r="E10842" s="28">
        <v>3.00000</v>
      </c>
      <c r="F10842" s="29">
        <f ca="1">ROUND(29.200,3)</f>
        <v>0</v>
      </c>
      <c r="G10842" s="27">
        <f ca="1">ROUND((E10842*F10842)/100,2)</f>
        <v>0</v>
      </c>
    </row>
    <row r="10843" spans="1:7" ht="15.48" thickBot="1" customHeight="1">
      <c r="A10843" s="30"/>
      <c r="B10843" s="30"/>
      <c r="C10843" s="30"/>
      <c r="D10843" s="31" t="s">
        <v>34363</v>
      </c>
      <c r="E10843" s="30"/>
      <c r="F10843" s="33">
        <f ca="1">ROUND((G10834+G10835+G10836+G10837+G10842)*(1+G2/100),2)</f>
        <v>0</v>
      </c>
      <c r="G10843" s="30"/>
    </row>
    <row r="10844" spans="1:7" ht="30.60" thickBot="1" customHeight="1">
      <c r="A10844" s="34" t="s">
        <v>34364</v>
      </c>
      <c r="B10844" s="35" t="s">
        <v>34365</v>
      </c>
      <c r="C10844" s="35" t="s">
        <v>34366</v>
      </c>
      <c r="D10844" s="36" t="s">
        <v>34367</v>
      </c>
      <c r="E10844" s="37"/>
      <c r="F10844" s="38">
        <f ca="1">F10855</f>
        <v>0</v>
      </c>
      <c r="G10844" s="37"/>
    </row>
    <row r="10845" spans="1:7" ht="21.36" thickBot="1" customHeight="1">
      <c r="A10845" s="26"/>
      <c r="B10845" s="26"/>
      <c r="C10845" s="26"/>
      <c r="D10845" s="25" t="s">
        <v>34368</v>
      </c>
      <c r="E10845" s="25"/>
      <c r="F10845" s="25"/>
      <c r="G10845" s="25"/>
    </row>
    <row r="10846" spans="1:7" ht="30.60" thickBot="1" customHeight="1">
      <c r="A10846" s="24" t="s">
        <v>34369</v>
      </c>
      <c r="B10846" s="24" t="s">
        <v>34370</v>
      </c>
      <c r="C10846" s="24" t="s">
        <v>34371</v>
      </c>
      <c r="D10846" s="25" t="s">
        <v>34372</v>
      </c>
      <c r="E10846" s="28">
        <v>1.07500</v>
      </c>
      <c r="F10846" s="29">
        <f ca="1">ROUND(25.000,3)</f>
        <v>0</v>
      </c>
      <c r="G10846" s="27">
        <f ca="1">ROUND(E10846*F10846,2)</f>
        <v>0</v>
      </c>
    </row>
    <row r="10847" spans="1:7" ht="30.60" thickBot="1" customHeight="1">
      <c r="A10847" s="24" t="s">
        <v>34373</v>
      </c>
      <c r="B10847" s="24" t="s">
        <v>34374</v>
      </c>
      <c r="C10847" s="24" t="s">
        <v>34375</v>
      </c>
      <c r="D10847" s="25" t="s">
        <v>34376</v>
      </c>
      <c r="E10847" s="28">
        <v>0.50000</v>
      </c>
      <c r="F10847" s="29">
        <f ca="1">ROUND(8.350,3)</f>
        <v>0</v>
      </c>
      <c r="G10847" s="27">
        <f ca="1">ROUND(E10847*F10847,2)</f>
        <v>0</v>
      </c>
    </row>
    <row r="10848" spans="1:7" ht="30.60" thickBot="1" customHeight="1">
      <c r="A10848" s="24" t="s">
        <v>34377</v>
      </c>
      <c r="B10848" s="24" t="s">
        <v>34378</v>
      </c>
      <c r="C10848" s="24" t="s">
        <v>34379</v>
      </c>
      <c r="D10848" s="25" t="s">
        <v>34380</v>
      </c>
      <c r="E10848" s="28">
        <v>0.07333</v>
      </c>
      <c r="F10848" s="29">
        <f ca="1">ROUND(11.740,3)</f>
        <v>0</v>
      </c>
      <c r="G10848" s="27">
        <f ca="1">ROUND(E10848*F10848,2)</f>
        <v>0</v>
      </c>
    </row>
    <row r="10849" spans="1:7" ht="21.36" thickBot="1" customHeight="1">
      <c r="A10849" s="24" t="s">
        <v>34381</v>
      </c>
      <c r="B10849" s="24" t="s">
        <v>34382</v>
      </c>
      <c r="C10849" s="24" t="s">
        <v>34383</v>
      </c>
      <c r="D10849" s="25" t="s">
        <v>34384</v>
      </c>
      <c r="E10849" s="28">
        <v>0.50000</v>
      </c>
      <c r="F10849" s="29">
        <f ca="1">F10853</f>
        <v>0</v>
      </c>
      <c r="G10849" s="27">
        <f ca="1">ROUND(E10849*F10849,2)</f>
        <v>0</v>
      </c>
    </row>
    <row r="10850" spans="1:7" ht="24.36" thickBot="1" customHeight="1">
      <c r="A10850" s="24" t="s">
        <v>34385</v>
      </c>
      <c r="B10850" s="24" t="s">
        <v>34386</v>
      </c>
      <c r="C10850" s="24" t="s">
        <v>34387</v>
      </c>
      <c r="D10850" s="25" t="s">
        <v>34388</v>
      </c>
      <c r="E10850" s="28">
        <v>1.00000</v>
      </c>
      <c r="F10850" s="29">
        <f ca="1">ROUND(21.000,3)</f>
        <v>0</v>
      </c>
      <c r="G10850" s="27">
        <f ca="1">ROUND(E10850*F10850,2)</f>
        <v>0</v>
      </c>
    </row>
    <row r="10851" spans="1:7" ht="24.36" thickBot="1" customHeight="1">
      <c r="A10851" s="24" t="s">
        <v>34389</v>
      </c>
      <c r="B10851" s="24" t="s">
        <v>34390</v>
      </c>
      <c r="C10851" s="24" t="s">
        <v>34391</v>
      </c>
      <c r="D10851" s="25" t="s">
        <v>34392</v>
      </c>
      <c r="E10851" s="28">
        <v>1.00000</v>
      </c>
      <c r="F10851" s="29">
        <f ca="1">ROUND(19.000,3)</f>
        <v>0</v>
      </c>
      <c r="G10851" s="27">
        <f ca="1">ROUND(E10851*F10851,2)</f>
        <v>0</v>
      </c>
    </row>
    <row r="10852" spans="1:7" ht="24.36" thickBot="1" customHeight="1">
      <c r="A10852" s="24" t="s">
        <v>34393</v>
      </c>
      <c r="B10852" s="24" t="s">
        <v>34394</v>
      </c>
      <c r="C10852" s="24" t="s">
        <v>34395</v>
      </c>
      <c r="D10852" s="25" t="s">
        <v>34396</v>
      </c>
      <c r="E10852" s="28">
        <v>0.20000</v>
      </c>
      <c r="F10852" s="29">
        <f ca="1">ROUND(19.000,3)</f>
        <v>0</v>
      </c>
      <c r="G10852" s="27">
        <f ca="1">ROUND(E10852*F10852,2)</f>
        <v>0</v>
      </c>
    </row>
    <row r="10853" spans="1:7" ht="15.12" thickBot="1" customHeight="1">
      <c r="A10853" s="26"/>
      <c r="B10853" s="26"/>
      <c r="C10853" s="26"/>
      <c r="D10853" s="24" t="s">
        <v>34397</v>
      </c>
      <c r="E10853" s="28">
        <v>0.50000</v>
      </c>
      <c r="F10853" s="29">
        <f ca="1">ROUND((G10850+G10851+G10852),3)</f>
        <v>0</v>
      </c>
      <c r="G10853" s="27">
        <f ca="1">ROUND(E10853*F10853,2)</f>
        <v>0</v>
      </c>
    </row>
    <row r="10854" spans="1:7" ht="15.12" thickBot="1" customHeight="1">
      <c r="A10854" s="24" t="s">
        <v>34398</v>
      </c>
      <c r="B10854" s="24"/>
      <c r="C10854" s="24" t="s">
        <v>34399</v>
      </c>
      <c r="D10854" s="25" t="s">
        <v>34400</v>
      </c>
      <c r="E10854" s="28">
        <v>3.00000</v>
      </c>
      <c r="F10854" s="29">
        <f ca="1">ROUND(21.900,3)</f>
        <v>0</v>
      </c>
      <c r="G10854" s="27">
        <f ca="1">ROUND((E10854*F10854)/100,2)</f>
        <v>0</v>
      </c>
    </row>
    <row r="10855" spans="1:7" ht="15.48" thickBot="1" customHeight="1">
      <c r="A10855" s="30"/>
      <c r="B10855" s="30"/>
      <c r="C10855" s="30"/>
      <c r="D10855" s="31" t="s">
        <v>34401</v>
      </c>
      <c r="E10855" s="30"/>
      <c r="F10855" s="33">
        <f ca="1">ROUND((G10846+G10847+G10848+G10849+G10854)*(1+G2/100),2)</f>
        <v>0</v>
      </c>
      <c r="G10855" s="30"/>
    </row>
    <row r="10856" spans="1:7" ht="39.84" thickBot="1" customHeight="1">
      <c r="A10856" s="34" t="s">
        <v>34402</v>
      </c>
      <c r="B10856" s="35" t="s">
        <v>34403</v>
      </c>
      <c r="C10856" s="35" t="s">
        <v>34404</v>
      </c>
      <c r="D10856" s="36" t="s">
        <v>34405</v>
      </c>
      <c r="E10856" s="37"/>
      <c r="F10856" s="38">
        <f ca="1">F10867</f>
        <v>0</v>
      </c>
      <c r="G10856" s="37"/>
    </row>
    <row r="10857" spans="1:7" ht="21.36" thickBot="1" customHeight="1">
      <c r="A10857" s="26"/>
      <c r="B10857" s="26"/>
      <c r="C10857" s="26"/>
      <c r="D10857" s="25" t="s">
        <v>34406</v>
      </c>
      <c r="E10857" s="25"/>
      <c r="F10857" s="25"/>
      <c r="G10857" s="25"/>
    </row>
    <row r="10858" spans="1:7" ht="39.84" thickBot="1" customHeight="1">
      <c r="A10858" s="24" t="s">
        <v>34407</v>
      </c>
      <c r="B10858" s="24" t="s">
        <v>34408</v>
      </c>
      <c r="C10858" s="24" t="s">
        <v>34409</v>
      </c>
      <c r="D10858" s="25" t="s">
        <v>34410</v>
      </c>
      <c r="E10858" s="28">
        <v>6.56250</v>
      </c>
      <c r="F10858" s="29">
        <f ca="1">ROUND(2.800,3)</f>
        <v>0</v>
      </c>
      <c r="G10858" s="27">
        <f ca="1">ROUND(E10858*F10858,2)</f>
        <v>0</v>
      </c>
    </row>
    <row r="10859" spans="1:7" ht="21.36" thickBot="1" customHeight="1">
      <c r="A10859" s="24" t="s">
        <v>34411</v>
      </c>
      <c r="B10859" s="24" t="s">
        <v>34412</v>
      </c>
      <c r="C10859" s="24" t="s">
        <v>34413</v>
      </c>
      <c r="D10859" s="25" t="s">
        <v>34414</v>
      </c>
      <c r="E10859" s="28">
        <v>2.26800</v>
      </c>
      <c r="F10859" s="29">
        <f ca="1">ROUND(1.620,3)</f>
        <v>0</v>
      </c>
      <c r="G10859" s="27">
        <f ca="1">ROUND(E10859*F10859,2)</f>
        <v>0</v>
      </c>
    </row>
    <row r="10860" spans="1:7" ht="30.60" thickBot="1" customHeight="1">
      <c r="A10860" s="24" t="s">
        <v>34415</v>
      </c>
      <c r="B10860" s="24" t="s">
        <v>34416</v>
      </c>
      <c r="C10860" s="24" t="s">
        <v>34417</v>
      </c>
      <c r="D10860" s="25" t="s">
        <v>34418</v>
      </c>
      <c r="E10860" s="28">
        <v>0.13376</v>
      </c>
      <c r="F10860" s="29">
        <f ca="1">ROUND(11.740,3)</f>
        <v>0</v>
      </c>
      <c r="G10860" s="27">
        <f ca="1">ROUND(E10860*F10860,2)</f>
        <v>0</v>
      </c>
    </row>
    <row r="10861" spans="1:7" ht="21.36" thickBot="1" customHeight="1">
      <c r="A10861" s="24" t="s">
        <v>34419</v>
      </c>
      <c r="B10861" s="24" t="s">
        <v>34420</v>
      </c>
      <c r="C10861" s="24" t="s">
        <v>34421</v>
      </c>
      <c r="D10861" s="25" t="s">
        <v>34422</v>
      </c>
      <c r="E10861" s="28">
        <v>0.60000</v>
      </c>
      <c r="F10861" s="29">
        <f ca="1">F10865</f>
        <v>0</v>
      </c>
      <c r="G10861" s="27">
        <f ca="1">ROUND(E10861*F10861,2)</f>
        <v>0</v>
      </c>
    </row>
    <row r="10862" spans="1:7" ht="24.36" thickBot="1" customHeight="1">
      <c r="A10862" s="24" t="s">
        <v>34423</v>
      </c>
      <c r="B10862" s="24" t="s">
        <v>34424</v>
      </c>
      <c r="C10862" s="24" t="s">
        <v>34425</v>
      </c>
      <c r="D10862" s="25" t="s">
        <v>34426</v>
      </c>
      <c r="E10862" s="28">
        <v>1.00000</v>
      </c>
      <c r="F10862" s="29">
        <f ca="1">ROUND(21.000,3)</f>
        <v>0</v>
      </c>
      <c r="G10862" s="27">
        <f ca="1">ROUND(E10862*F10862,2)</f>
        <v>0</v>
      </c>
    </row>
    <row r="10863" spans="1:7" ht="24.36" thickBot="1" customHeight="1">
      <c r="A10863" s="24" t="s">
        <v>34427</v>
      </c>
      <c r="B10863" s="24" t="s">
        <v>34428</v>
      </c>
      <c r="C10863" s="24" t="s">
        <v>34429</v>
      </c>
      <c r="D10863" s="25" t="s">
        <v>34430</v>
      </c>
      <c r="E10863" s="28">
        <v>1.00000</v>
      </c>
      <c r="F10863" s="29">
        <f ca="1">ROUND(19.000,3)</f>
        <v>0</v>
      </c>
      <c r="G10863" s="27">
        <f ca="1">ROUND(E10863*F10863,2)</f>
        <v>0</v>
      </c>
    </row>
    <row r="10864" spans="1:7" ht="24.36" thickBot="1" customHeight="1">
      <c r="A10864" s="24" t="s">
        <v>34431</v>
      </c>
      <c r="B10864" s="24" t="s">
        <v>34432</v>
      </c>
      <c r="C10864" s="24" t="s">
        <v>34433</v>
      </c>
      <c r="D10864" s="25" t="s">
        <v>34434</v>
      </c>
      <c r="E10864" s="28">
        <v>0.20000</v>
      </c>
      <c r="F10864" s="29">
        <f ca="1">ROUND(19.000,3)</f>
        <v>0</v>
      </c>
      <c r="G10864" s="27">
        <f ca="1">ROUND(E10864*F10864,2)</f>
        <v>0</v>
      </c>
    </row>
    <row r="10865" spans="1:7" ht="15.12" thickBot="1" customHeight="1">
      <c r="A10865" s="26"/>
      <c r="B10865" s="26"/>
      <c r="C10865" s="26"/>
      <c r="D10865" s="24" t="s">
        <v>34435</v>
      </c>
      <c r="E10865" s="28">
        <v>0.60000</v>
      </c>
      <c r="F10865" s="29">
        <f ca="1">ROUND((G10862+G10863+G10864),3)</f>
        <v>0</v>
      </c>
      <c r="G10865" s="27">
        <f ca="1">ROUND(E10865*F10865,2)</f>
        <v>0</v>
      </c>
    </row>
    <row r="10866" spans="1:7" ht="15.12" thickBot="1" customHeight="1">
      <c r="A10866" s="24" t="s">
        <v>34436</v>
      </c>
      <c r="B10866" s="24"/>
      <c r="C10866" s="24" t="s">
        <v>34437</v>
      </c>
      <c r="D10866" s="25" t="s">
        <v>34438</v>
      </c>
      <c r="E10866" s="28">
        <v>7.00000</v>
      </c>
      <c r="F10866" s="29">
        <f ca="1">ROUND(26.280,3)</f>
        <v>0</v>
      </c>
      <c r="G10866" s="27">
        <f ca="1">ROUND((E10866*F10866)/100,2)</f>
        <v>0</v>
      </c>
    </row>
    <row r="10867" spans="1:7" ht="15.48" thickBot="1" customHeight="1">
      <c r="A10867" s="30"/>
      <c r="B10867" s="30"/>
      <c r="C10867" s="30"/>
      <c r="D10867" s="31" t="s">
        <v>34439</v>
      </c>
      <c r="E10867" s="30"/>
      <c r="F10867" s="33">
        <f ca="1">ROUND((G10858+G10859+G10860+G10861+G10866)*(1+G2/100),2)</f>
        <v>0</v>
      </c>
      <c r="G10867" s="30"/>
    </row>
    <row r="10868" spans="1:7" ht="49.08" thickBot="1" customHeight="1">
      <c r="A10868" s="34" t="s">
        <v>34440</v>
      </c>
      <c r="B10868" s="35" t="s">
        <v>34441</v>
      </c>
      <c r="C10868" s="35" t="s">
        <v>34442</v>
      </c>
      <c r="D10868" s="36" t="s">
        <v>34443</v>
      </c>
      <c r="E10868" s="37"/>
      <c r="F10868" s="38">
        <f ca="1">F10879</f>
        <v>0</v>
      </c>
      <c r="G10868" s="37"/>
    </row>
    <row r="10869" spans="1:7" ht="21.36" thickBot="1" customHeight="1">
      <c r="A10869" s="26"/>
      <c r="B10869" s="26"/>
      <c r="C10869" s="26"/>
      <c r="D10869" s="25" t="s">
        <v>34444</v>
      </c>
      <c r="E10869" s="25"/>
      <c r="F10869" s="25"/>
      <c r="G10869" s="25"/>
    </row>
    <row r="10870" spans="1:7" ht="39.84" thickBot="1" customHeight="1">
      <c r="A10870" s="24" t="s">
        <v>34445</v>
      </c>
      <c r="B10870" s="24" t="s">
        <v>34446</v>
      </c>
      <c r="C10870" s="24" t="s">
        <v>34447</v>
      </c>
      <c r="D10870" s="25" t="s">
        <v>34448</v>
      </c>
      <c r="E10870" s="28">
        <v>1.10000</v>
      </c>
      <c r="F10870" s="29">
        <f ca="1">ROUND(10.120,3)</f>
        <v>0</v>
      </c>
      <c r="G10870" s="27">
        <f ca="1">ROUND(E10870*F10870,2)</f>
        <v>0</v>
      </c>
    </row>
    <row r="10871" spans="1:7" ht="30.60" thickBot="1" customHeight="1">
      <c r="A10871" s="24" t="s">
        <v>34449</v>
      </c>
      <c r="B10871" s="24" t="s">
        <v>34450</v>
      </c>
      <c r="C10871" s="24" t="s">
        <v>34451</v>
      </c>
      <c r="D10871" s="25" t="s">
        <v>34452</v>
      </c>
      <c r="E10871" s="28">
        <v>0.40000</v>
      </c>
      <c r="F10871" s="29">
        <f ca="1">ROUND(8.350,3)</f>
        <v>0</v>
      </c>
      <c r="G10871" s="27">
        <f ca="1">ROUND(E10871*F10871,2)</f>
        <v>0</v>
      </c>
    </row>
    <row r="10872" spans="1:7" ht="30.60" thickBot="1" customHeight="1">
      <c r="A10872" s="24" t="s">
        <v>34453</v>
      </c>
      <c r="B10872" s="24" t="s">
        <v>34454</v>
      </c>
      <c r="C10872" s="24" t="s">
        <v>34455</v>
      </c>
      <c r="D10872" s="25" t="s">
        <v>34456</v>
      </c>
      <c r="E10872" s="28">
        <v>0.21600</v>
      </c>
      <c r="F10872" s="29">
        <f ca="1">ROUND(11.740,3)</f>
        <v>0</v>
      </c>
      <c r="G10872" s="27">
        <f ca="1">ROUND(E10872*F10872,2)</f>
        <v>0</v>
      </c>
    </row>
    <row r="10873" spans="1:7" ht="21.36" thickBot="1" customHeight="1">
      <c r="A10873" s="24" t="s">
        <v>34457</v>
      </c>
      <c r="B10873" s="24" t="s">
        <v>34458</v>
      </c>
      <c r="C10873" s="24" t="s">
        <v>34459</v>
      </c>
      <c r="D10873" s="25" t="s">
        <v>34460</v>
      </c>
      <c r="E10873" s="28">
        <v>0.60000</v>
      </c>
      <c r="F10873" s="29">
        <f ca="1">F10877</f>
        <v>0</v>
      </c>
      <c r="G10873" s="27">
        <f ca="1">ROUND(E10873*F10873,2)</f>
        <v>0</v>
      </c>
    </row>
    <row r="10874" spans="1:7" ht="24.36" thickBot="1" customHeight="1">
      <c r="A10874" s="24" t="s">
        <v>34461</v>
      </c>
      <c r="B10874" s="24" t="s">
        <v>34462</v>
      </c>
      <c r="C10874" s="24" t="s">
        <v>34463</v>
      </c>
      <c r="D10874" s="25" t="s">
        <v>34464</v>
      </c>
      <c r="E10874" s="28">
        <v>1.00000</v>
      </c>
      <c r="F10874" s="29">
        <f ca="1">ROUND(21.000,3)</f>
        <v>0</v>
      </c>
      <c r="G10874" s="27">
        <f ca="1">ROUND(E10874*F10874,2)</f>
        <v>0</v>
      </c>
    </row>
    <row r="10875" spans="1:7" ht="24.36" thickBot="1" customHeight="1">
      <c r="A10875" s="24" t="s">
        <v>34465</v>
      </c>
      <c r="B10875" s="24" t="s">
        <v>34466</v>
      </c>
      <c r="C10875" s="24" t="s">
        <v>34467</v>
      </c>
      <c r="D10875" s="25" t="s">
        <v>34468</v>
      </c>
      <c r="E10875" s="28">
        <v>1.00000</v>
      </c>
      <c r="F10875" s="29">
        <f ca="1">ROUND(19.000,3)</f>
        <v>0</v>
      </c>
      <c r="G10875" s="27">
        <f ca="1">ROUND(E10875*F10875,2)</f>
        <v>0</v>
      </c>
    </row>
    <row r="10876" spans="1:7" ht="24.36" thickBot="1" customHeight="1">
      <c r="A10876" s="24" t="s">
        <v>34469</v>
      </c>
      <c r="B10876" s="24" t="s">
        <v>34470</v>
      </c>
      <c r="C10876" s="24" t="s">
        <v>34471</v>
      </c>
      <c r="D10876" s="25" t="s">
        <v>34472</v>
      </c>
      <c r="E10876" s="28">
        <v>0.20000</v>
      </c>
      <c r="F10876" s="29">
        <f ca="1">ROUND(19.000,3)</f>
        <v>0</v>
      </c>
      <c r="G10876" s="27">
        <f ca="1">ROUND(E10876*F10876,2)</f>
        <v>0</v>
      </c>
    </row>
    <row r="10877" spans="1:7" ht="15.12" thickBot="1" customHeight="1">
      <c r="A10877" s="26"/>
      <c r="B10877" s="26"/>
      <c r="C10877" s="26"/>
      <c r="D10877" s="24" t="s">
        <v>34473</v>
      </c>
      <c r="E10877" s="28">
        <v>0.60000</v>
      </c>
      <c r="F10877" s="29">
        <f ca="1">ROUND((G10874+G10875+G10876),3)</f>
        <v>0</v>
      </c>
      <c r="G10877" s="27">
        <f ca="1">ROUND(E10877*F10877,2)</f>
        <v>0</v>
      </c>
    </row>
    <row r="10878" spans="1:7" ht="15.12" thickBot="1" customHeight="1">
      <c r="A10878" s="24" t="s">
        <v>34474</v>
      </c>
      <c r="B10878" s="24"/>
      <c r="C10878" s="24" t="s">
        <v>34475</v>
      </c>
      <c r="D10878" s="25" t="s">
        <v>34476</v>
      </c>
      <c r="E10878" s="28">
        <v>7.00000</v>
      </c>
      <c r="F10878" s="29">
        <f ca="1">ROUND(26.280,3)</f>
        <v>0</v>
      </c>
      <c r="G10878" s="27">
        <f ca="1">ROUND((E10878*F10878)/100,2)</f>
        <v>0</v>
      </c>
    </row>
    <row r="10879" spans="1:7" ht="25.08" thickBot="1" customHeight="1">
      <c r="A10879" s="30"/>
      <c r="B10879" s="30"/>
      <c r="C10879" s="30"/>
      <c r="D10879" s="31" t="s">
        <v>34477</v>
      </c>
      <c r="E10879" s="30"/>
      <c r="F10879" s="33">
        <f ca="1">ROUND((G10870+G10871+G10872+G10873+G10878)*(1+G2/100),2)</f>
        <v>0</v>
      </c>
      <c r="G10879" s="30"/>
    </row>
    <row r="10880" spans="1:7" ht="39.84" thickBot="1" customHeight="1">
      <c r="A10880" s="34" t="s">
        <v>34478</v>
      </c>
      <c r="B10880" s="35" t="s">
        <v>34479</v>
      </c>
      <c r="C10880" s="35" t="s">
        <v>34480</v>
      </c>
      <c r="D10880" s="36" t="s">
        <v>34481</v>
      </c>
      <c r="E10880" s="37"/>
      <c r="F10880" s="38">
        <f ca="1">F10891</f>
        <v>0</v>
      </c>
      <c r="G10880" s="37"/>
    </row>
    <row r="10881" spans="1:7" ht="21.36" thickBot="1" customHeight="1">
      <c r="A10881" s="26"/>
      <c r="B10881" s="26"/>
      <c r="C10881" s="26"/>
      <c r="D10881" s="25" t="s">
        <v>34482</v>
      </c>
      <c r="E10881" s="25"/>
      <c r="F10881" s="25"/>
      <c r="G10881" s="25"/>
    </row>
    <row r="10882" spans="1:7" ht="30.60" thickBot="1" customHeight="1">
      <c r="A10882" s="24" t="s">
        <v>34483</v>
      </c>
      <c r="B10882" s="24" t="s">
        <v>34484</v>
      </c>
      <c r="C10882" s="24" t="s">
        <v>34485</v>
      </c>
      <c r="D10882" s="25" t="s">
        <v>34486</v>
      </c>
      <c r="E10882" s="28">
        <v>16.00000</v>
      </c>
      <c r="F10882" s="29">
        <f ca="1">ROUND(1.840,3)</f>
        <v>0</v>
      </c>
      <c r="G10882" s="27">
        <f ca="1">ROUND(E10882*F10882,2)</f>
        <v>0</v>
      </c>
    </row>
    <row r="10883" spans="1:7" ht="30.60" thickBot="1" customHeight="1">
      <c r="A10883" s="24" t="s">
        <v>34487</v>
      </c>
      <c r="B10883" s="24" t="s">
        <v>34488</v>
      </c>
      <c r="C10883" s="24" t="s">
        <v>34489</v>
      </c>
      <c r="D10883" s="25" t="s">
        <v>34490</v>
      </c>
      <c r="E10883" s="28">
        <v>0.40000</v>
      </c>
      <c r="F10883" s="29">
        <f ca="1">ROUND(8.350,3)</f>
        <v>0</v>
      </c>
      <c r="G10883" s="27">
        <f ca="1">ROUND(E10883*F10883,2)</f>
        <v>0</v>
      </c>
    </row>
    <row r="10884" spans="1:7" ht="30.60" thickBot="1" customHeight="1">
      <c r="A10884" s="24" t="s">
        <v>34491</v>
      </c>
      <c r="B10884" s="24" t="s">
        <v>34492</v>
      </c>
      <c r="C10884" s="24" t="s">
        <v>34493</v>
      </c>
      <c r="D10884" s="25" t="s">
        <v>34494</v>
      </c>
      <c r="E10884" s="28">
        <v>0.21600</v>
      </c>
      <c r="F10884" s="29">
        <f ca="1">ROUND(11.740,3)</f>
        <v>0</v>
      </c>
      <c r="G10884" s="27">
        <f ca="1">ROUND(E10884*F10884,2)</f>
        <v>0</v>
      </c>
    </row>
    <row r="10885" spans="1:7" ht="21.36" thickBot="1" customHeight="1">
      <c r="A10885" s="24" t="s">
        <v>34495</v>
      </c>
      <c r="B10885" s="24" t="s">
        <v>34496</v>
      </c>
      <c r="C10885" s="24" t="s">
        <v>34497</v>
      </c>
      <c r="D10885" s="25" t="s">
        <v>34498</v>
      </c>
      <c r="E10885" s="28">
        <v>0.40000</v>
      </c>
      <c r="F10885" s="29">
        <f ca="1">F10889</f>
        <v>0</v>
      </c>
      <c r="G10885" s="27">
        <f ca="1">ROUND(E10885*F10885,2)</f>
        <v>0</v>
      </c>
    </row>
    <row r="10886" spans="1:7" ht="24.36" thickBot="1" customHeight="1">
      <c r="A10886" s="24" t="s">
        <v>34499</v>
      </c>
      <c r="B10886" s="24" t="s">
        <v>34500</v>
      </c>
      <c r="C10886" s="24" t="s">
        <v>34501</v>
      </c>
      <c r="D10886" s="25" t="s">
        <v>34502</v>
      </c>
      <c r="E10886" s="28">
        <v>1.00000</v>
      </c>
      <c r="F10886" s="29">
        <f ca="1">ROUND(21.000,3)</f>
        <v>0</v>
      </c>
      <c r="G10886" s="27">
        <f ca="1">ROUND(E10886*F10886,2)</f>
        <v>0</v>
      </c>
    </row>
    <row r="10887" spans="1:7" ht="24.36" thickBot="1" customHeight="1">
      <c r="A10887" s="24" t="s">
        <v>34503</v>
      </c>
      <c r="B10887" s="24" t="s">
        <v>34504</v>
      </c>
      <c r="C10887" s="24" t="s">
        <v>34505</v>
      </c>
      <c r="D10887" s="25" t="s">
        <v>34506</v>
      </c>
      <c r="E10887" s="28">
        <v>1.00000</v>
      </c>
      <c r="F10887" s="29">
        <f ca="1">ROUND(19.000,3)</f>
        <v>0</v>
      </c>
      <c r="G10887" s="27">
        <f ca="1">ROUND(E10887*F10887,2)</f>
        <v>0</v>
      </c>
    </row>
    <row r="10888" spans="1:7" ht="24.36" thickBot="1" customHeight="1">
      <c r="A10888" s="24" t="s">
        <v>34507</v>
      </c>
      <c r="B10888" s="24" t="s">
        <v>34508</v>
      </c>
      <c r="C10888" s="24" t="s">
        <v>34509</v>
      </c>
      <c r="D10888" s="25" t="s">
        <v>34510</v>
      </c>
      <c r="E10888" s="28">
        <v>0.20000</v>
      </c>
      <c r="F10888" s="29">
        <f ca="1">ROUND(19.000,3)</f>
        <v>0</v>
      </c>
      <c r="G10888" s="27">
        <f ca="1">ROUND(E10888*F10888,2)</f>
        <v>0</v>
      </c>
    </row>
    <row r="10889" spans="1:7" ht="15.12" thickBot="1" customHeight="1">
      <c r="A10889" s="26"/>
      <c r="B10889" s="26"/>
      <c r="C10889" s="26"/>
      <c r="D10889" s="24" t="s">
        <v>34511</v>
      </c>
      <c r="E10889" s="28">
        <v>0.40000</v>
      </c>
      <c r="F10889" s="29">
        <f ca="1">ROUND((G10886+G10887+G10888),3)</f>
        <v>0</v>
      </c>
      <c r="G10889" s="27">
        <f ca="1">ROUND(E10889*F10889,2)</f>
        <v>0</v>
      </c>
    </row>
    <row r="10890" spans="1:7" ht="15.12" thickBot="1" customHeight="1">
      <c r="A10890" s="24" t="s">
        <v>34512</v>
      </c>
      <c r="B10890" s="24"/>
      <c r="C10890" s="24" t="s">
        <v>34513</v>
      </c>
      <c r="D10890" s="25" t="s">
        <v>34514</v>
      </c>
      <c r="E10890" s="28">
        <v>7.00000</v>
      </c>
      <c r="F10890" s="29">
        <f ca="1">ROUND(17.520,3)</f>
        <v>0</v>
      </c>
      <c r="G10890" s="27">
        <f ca="1">ROUND((E10890*F10890)/100,2)</f>
        <v>0</v>
      </c>
    </row>
    <row r="10891" spans="1:7" ht="15.48" thickBot="1" customHeight="1">
      <c r="A10891" s="30"/>
      <c r="B10891" s="30"/>
      <c r="C10891" s="30"/>
      <c r="D10891" s="31" t="s">
        <v>34515</v>
      </c>
      <c r="E10891" s="30"/>
      <c r="F10891" s="33">
        <f ca="1">ROUND((G10882+G10883+G10884+G10885+G10890)*(1+G2/100),2)</f>
        <v>0</v>
      </c>
      <c r="G10891" s="30"/>
    </row>
    <row r="10892" spans="1:7" ht="30.60" thickBot="1" customHeight="1">
      <c r="A10892" s="34" t="s">
        <v>34516</v>
      </c>
      <c r="B10892" s="35" t="s">
        <v>34517</v>
      </c>
      <c r="C10892" s="35" t="s">
        <v>34518</v>
      </c>
      <c r="D10892" s="36" t="s">
        <v>34519</v>
      </c>
      <c r="E10892" s="37"/>
      <c r="F10892" s="38">
        <f ca="1">F10903</f>
        <v>0</v>
      </c>
      <c r="G10892" s="37"/>
    </row>
    <row r="10893" spans="1:7" ht="30.60" thickBot="1" customHeight="1">
      <c r="A10893" s="26"/>
      <c r="B10893" s="26"/>
      <c r="C10893" s="26"/>
      <c r="D10893" s="25" t="s">
        <v>34520</v>
      </c>
      <c r="E10893" s="25"/>
      <c r="F10893" s="25"/>
      <c r="G10893" s="25"/>
    </row>
    <row r="10894" spans="1:7" ht="24.36" thickBot="1" customHeight="1">
      <c r="A10894" s="24" t="s">
        <v>34521</v>
      </c>
      <c r="B10894" s="24" t="s">
        <v>34522</v>
      </c>
      <c r="C10894" s="24" t="s">
        <v>34523</v>
      </c>
      <c r="D10894" s="25" t="s">
        <v>34524</v>
      </c>
      <c r="E10894" s="28">
        <v>28.00000</v>
      </c>
      <c r="F10894" s="29">
        <f ca="1">ROUND(3.150,3)</f>
        <v>0</v>
      </c>
      <c r="G10894" s="27">
        <f ca="1">ROUND(E10894*F10894,2)</f>
        <v>0</v>
      </c>
    </row>
    <row r="10895" spans="1:7" ht="49.08" thickBot="1" customHeight="1">
      <c r="A10895" s="24" t="s">
        <v>34525</v>
      </c>
      <c r="B10895" s="24" t="s">
        <v>34526</v>
      </c>
      <c r="C10895" s="24" t="s">
        <v>34527</v>
      </c>
      <c r="D10895" s="25" t="s">
        <v>34528</v>
      </c>
      <c r="E10895" s="28">
        <v>0.44000</v>
      </c>
      <c r="F10895" s="29">
        <f ca="1">ROUND(10.250,3)</f>
        <v>0</v>
      </c>
      <c r="G10895" s="27">
        <f ca="1">ROUND(E10895*F10895,2)</f>
        <v>0</v>
      </c>
    </row>
    <row r="10896" spans="1:7" ht="30.60" thickBot="1" customHeight="1">
      <c r="A10896" s="24" t="s">
        <v>34529</v>
      </c>
      <c r="B10896" s="24" t="s">
        <v>34530</v>
      </c>
      <c r="C10896" s="24" t="s">
        <v>34531</v>
      </c>
      <c r="D10896" s="25" t="s">
        <v>34532</v>
      </c>
      <c r="E10896" s="28">
        <v>0.22000</v>
      </c>
      <c r="F10896" s="29">
        <f ca="1">ROUND(11.000,3)</f>
        <v>0</v>
      </c>
      <c r="G10896" s="27">
        <f ca="1">ROUND(E10896*F10896,2)</f>
        <v>0</v>
      </c>
    </row>
    <row r="10897" spans="1:7" ht="21.36" thickBot="1" customHeight="1">
      <c r="A10897" s="24" t="s">
        <v>34533</v>
      </c>
      <c r="B10897" s="24" t="s">
        <v>34534</v>
      </c>
      <c r="C10897" s="24" t="s">
        <v>34535</v>
      </c>
      <c r="D10897" s="25" t="s">
        <v>34536</v>
      </c>
      <c r="E10897" s="28">
        <v>0.60000</v>
      </c>
      <c r="F10897" s="29">
        <f ca="1">F10901</f>
        <v>0</v>
      </c>
      <c r="G10897" s="27">
        <f ca="1">ROUND(E10897*F10897,2)</f>
        <v>0</v>
      </c>
    </row>
    <row r="10898" spans="1:7" ht="24.36" thickBot="1" customHeight="1">
      <c r="A10898" s="24" t="s">
        <v>34537</v>
      </c>
      <c r="B10898" s="24" t="s">
        <v>34538</v>
      </c>
      <c r="C10898" s="24" t="s">
        <v>34539</v>
      </c>
      <c r="D10898" s="25" t="s">
        <v>34540</v>
      </c>
      <c r="E10898" s="28">
        <v>1.00000</v>
      </c>
      <c r="F10898" s="29">
        <f ca="1">ROUND(21.000,3)</f>
        <v>0</v>
      </c>
      <c r="G10898" s="27">
        <f ca="1">ROUND(E10898*F10898,2)</f>
        <v>0</v>
      </c>
    </row>
    <row r="10899" spans="1:7" ht="24.36" thickBot="1" customHeight="1">
      <c r="A10899" s="24" t="s">
        <v>34541</v>
      </c>
      <c r="B10899" s="24" t="s">
        <v>34542</v>
      </c>
      <c r="C10899" s="24" t="s">
        <v>34543</v>
      </c>
      <c r="D10899" s="25" t="s">
        <v>34544</v>
      </c>
      <c r="E10899" s="28">
        <v>1.00000</v>
      </c>
      <c r="F10899" s="29">
        <f ca="1">ROUND(19.000,3)</f>
        <v>0</v>
      </c>
      <c r="G10899" s="27">
        <f ca="1">ROUND(E10899*F10899,2)</f>
        <v>0</v>
      </c>
    </row>
    <row r="10900" spans="1:7" ht="24.36" thickBot="1" customHeight="1">
      <c r="A10900" s="24" t="s">
        <v>34545</v>
      </c>
      <c r="B10900" s="24" t="s">
        <v>34546</v>
      </c>
      <c r="C10900" s="24" t="s">
        <v>34547</v>
      </c>
      <c r="D10900" s="25" t="s">
        <v>34548</v>
      </c>
      <c r="E10900" s="28">
        <v>0.20000</v>
      </c>
      <c r="F10900" s="29">
        <f ca="1">ROUND(19.000,3)</f>
        <v>0</v>
      </c>
      <c r="G10900" s="27">
        <f ca="1">ROUND(E10900*F10900,2)</f>
        <v>0</v>
      </c>
    </row>
    <row r="10901" spans="1:7" ht="15.12" thickBot="1" customHeight="1">
      <c r="A10901" s="26"/>
      <c r="B10901" s="26"/>
      <c r="C10901" s="26"/>
      <c r="D10901" s="24" t="s">
        <v>34549</v>
      </c>
      <c r="E10901" s="28">
        <v>0.60000</v>
      </c>
      <c r="F10901" s="29">
        <f ca="1">ROUND((G10898+G10899+G10900),3)</f>
        <v>0</v>
      </c>
      <c r="G10901" s="27">
        <f ca="1">ROUND(E10901*F10901,2)</f>
        <v>0</v>
      </c>
    </row>
    <row r="10902" spans="1:7" ht="15.12" thickBot="1" customHeight="1">
      <c r="A10902" s="24" t="s">
        <v>34550</v>
      </c>
      <c r="B10902" s="24"/>
      <c r="C10902" s="24" t="s">
        <v>34551</v>
      </c>
      <c r="D10902" s="25" t="s">
        <v>34552</v>
      </c>
      <c r="E10902" s="28">
        <v>5.00000</v>
      </c>
      <c r="F10902" s="29">
        <f ca="1">ROUND(26.280,3)</f>
        <v>0</v>
      </c>
      <c r="G10902" s="27">
        <f ca="1">ROUND((E10902*F10902)/100,2)</f>
        <v>0</v>
      </c>
    </row>
    <row r="10903" spans="1:7" ht="25.08" thickBot="1" customHeight="1">
      <c r="A10903" s="30"/>
      <c r="B10903" s="30"/>
      <c r="C10903" s="30"/>
      <c r="D10903" s="31" t="s">
        <v>34553</v>
      </c>
      <c r="E10903" s="30"/>
      <c r="F10903" s="33">
        <f ca="1">ROUND((G10894+G10895+G10896+G10897+G10902)*(1+G2/100),2)</f>
        <v>0</v>
      </c>
      <c r="G10903" s="30"/>
    </row>
    <row r="10904" spans="1:7" ht="39.84" thickBot="1" customHeight="1">
      <c r="A10904" s="34" t="s">
        <v>34554</v>
      </c>
      <c r="B10904" s="35" t="s">
        <v>34555</v>
      </c>
      <c r="C10904" s="35" t="s">
        <v>34556</v>
      </c>
      <c r="D10904" s="36" t="s">
        <v>34557</v>
      </c>
      <c r="E10904" s="37"/>
      <c r="F10904" s="38">
        <f ca="1">F10915</f>
        <v>0</v>
      </c>
      <c r="G10904" s="37"/>
    </row>
    <row r="10905" spans="1:7" ht="21.36" thickBot="1" customHeight="1">
      <c r="A10905" s="26"/>
      <c r="B10905" s="26"/>
      <c r="C10905" s="26"/>
      <c r="D10905" s="25" t="s">
        <v>34558</v>
      </c>
      <c r="E10905" s="25"/>
      <c r="F10905" s="25"/>
      <c r="G10905" s="25"/>
    </row>
    <row r="10906" spans="1:7" ht="39.84" thickBot="1" customHeight="1">
      <c r="A10906" s="24" t="s">
        <v>34559</v>
      </c>
      <c r="B10906" s="24" t="s">
        <v>34560</v>
      </c>
      <c r="C10906" s="24" t="s">
        <v>34561</v>
      </c>
      <c r="D10906" s="25" t="s">
        <v>34562</v>
      </c>
      <c r="E10906" s="28">
        <v>1.10000</v>
      </c>
      <c r="F10906" s="29">
        <f ca="1">ROUND(35.190,3)</f>
        <v>0</v>
      </c>
      <c r="G10906" s="27">
        <f ca="1">ROUND(E10906*F10906,2)</f>
        <v>0</v>
      </c>
    </row>
    <row r="10907" spans="1:7" ht="30.60" thickBot="1" customHeight="1">
      <c r="A10907" s="24" t="s">
        <v>34563</v>
      </c>
      <c r="B10907" s="24" t="s">
        <v>34564</v>
      </c>
      <c r="C10907" s="24" t="s">
        <v>34565</v>
      </c>
      <c r="D10907" s="25" t="s">
        <v>34566</v>
      </c>
      <c r="E10907" s="28">
        <v>0.44000</v>
      </c>
      <c r="F10907" s="29">
        <f ca="1">ROUND(8.350,3)</f>
        <v>0</v>
      </c>
      <c r="G10907" s="27">
        <f ca="1">ROUND(E10907*F10907,2)</f>
        <v>0</v>
      </c>
    </row>
    <row r="10908" spans="1:7" ht="30.60" thickBot="1" customHeight="1">
      <c r="A10908" s="24" t="s">
        <v>34567</v>
      </c>
      <c r="B10908" s="24" t="s">
        <v>34568</v>
      </c>
      <c r="C10908" s="24" t="s">
        <v>34569</v>
      </c>
      <c r="D10908" s="25" t="s">
        <v>34570</v>
      </c>
      <c r="E10908" s="28">
        <v>0.35200</v>
      </c>
      <c r="F10908" s="29">
        <f ca="1">ROUND(11.740,3)</f>
        <v>0</v>
      </c>
      <c r="G10908" s="27">
        <f ca="1">ROUND(E10908*F10908,2)</f>
        <v>0</v>
      </c>
    </row>
    <row r="10909" spans="1:7" ht="21.36" thickBot="1" customHeight="1">
      <c r="A10909" s="24" t="s">
        <v>34571</v>
      </c>
      <c r="B10909" s="24" t="s">
        <v>34572</v>
      </c>
      <c r="C10909" s="24" t="s">
        <v>34573</v>
      </c>
      <c r="D10909" s="25" t="s">
        <v>34574</v>
      </c>
      <c r="E10909" s="28">
        <v>0.45000</v>
      </c>
      <c r="F10909" s="29">
        <f ca="1">F10913</f>
        <v>0</v>
      </c>
      <c r="G10909" s="27">
        <f ca="1">ROUND(E10909*F10909,2)</f>
        <v>0</v>
      </c>
    </row>
    <row r="10910" spans="1:7" ht="24.36" thickBot="1" customHeight="1">
      <c r="A10910" s="24" t="s">
        <v>34575</v>
      </c>
      <c r="B10910" s="24" t="s">
        <v>34576</v>
      </c>
      <c r="C10910" s="24" t="s">
        <v>34577</v>
      </c>
      <c r="D10910" s="25" t="s">
        <v>34578</v>
      </c>
      <c r="E10910" s="28">
        <v>1.00000</v>
      </c>
      <c r="F10910" s="29">
        <f ca="1">ROUND(21.000,3)</f>
        <v>0</v>
      </c>
      <c r="G10910" s="27">
        <f ca="1">ROUND(E10910*F10910,2)</f>
        <v>0</v>
      </c>
    </row>
    <row r="10911" spans="1:7" ht="24.36" thickBot="1" customHeight="1">
      <c r="A10911" s="24" t="s">
        <v>34579</v>
      </c>
      <c r="B10911" s="24" t="s">
        <v>34580</v>
      </c>
      <c r="C10911" s="24" t="s">
        <v>34581</v>
      </c>
      <c r="D10911" s="25" t="s">
        <v>34582</v>
      </c>
      <c r="E10911" s="28">
        <v>1.00000</v>
      </c>
      <c r="F10911" s="29">
        <f ca="1">ROUND(19.000,3)</f>
        <v>0</v>
      </c>
      <c r="G10911" s="27">
        <f ca="1">ROUND(E10911*F10911,2)</f>
        <v>0</v>
      </c>
    </row>
    <row r="10912" spans="1:7" ht="24.36" thickBot="1" customHeight="1">
      <c r="A10912" s="24" t="s">
        <v>34583</v>
      </c>
      <c r="B10912" s="24" t="s">
        <v>34584</v>
      </c>
      <c r="C10912" s="24" t="s">
        <v>34585</v>
      </c>
      <c r="D10912" s="25" t="s">
        <v>34586</v>
      </c>
      <c r="E10912" s="28">
        <v>0.20000</v>
      </c>
      <c r="F10912" s="29">
        <f ca="1">ROUND(19.000,3)</f>
        <v>0</v>
      </c>
      <c r="G10912" s="27">
        <f ca="1">ROUND(E10912*F10912,2)</f>
        <v>0</v>
      </c>
    </row>
    <row r="10913" spans="1:7" ht="15.12" thickBot="1" customHeight="1">
      <c r="A10913" s="26"/>
      <c r="B10913" s="26"/>
      <c r="C10913" s="26"/>
      <c r="D10913" s="24" t="s">
        <v>34587</v>
      </c>
      <c r="E10913" s="28">
        <v>0.45000</v>
      </c>
      <c r="F10913" s="29">
        <f ca="1">ROUND((G10910+G10911+G10912),3)</f>
        <v>0</v>
      </c>
      <c r="G10913" s="27">
        <f ca="1">ROUND(E10913*F10913,2)</f>
        <v>0</v>
      </c>
    </row>
    <row r="10914" spans="1:7" ht="15.12" thickBot="1" customHeight="1">
      <c r="A10914" s="24" t="s">
        <v>34588</v>
      </c>
      <c r="B10914" s="24"/>
      <c r="C10914" s="24" t="s">
        <v>34589</v>
      </c>
      <c r="D10914" s="25" t="s">
        <v>34590</v>
      </c>
      <c r="E10914" s="28">
        <v>7.00000</v>
      </c>
      <c r="F10914" s="29">
        <f ca="1">ROUND(19.710,3)</f>
        <v>0</v>
      </c>
      <c r="G10914" s="27">
        <f ca="1">ROUND((E10914*F10914)/100,2)</f>
        <v>0</v>
      </c>
    </row>
    <row r="10915" spans="1:7" ht="15.48" thickBot="1" customHeight="1">
      <c r="A10915" s="30"/>
      <c r="B10915" s="30"/>
      <c r="C10915" s="30"/>
      <c r="D10915" s="31" t="s">
        <v>34591</v>
      </c>
      <c r="E10915" s="30"/>
      <c r="F10915" s="33">
        <f ca="1">ROUND((G10906+G10907+G10908+G10909+G10914)*(1+G2/100),2)</f>
        <v>0</v>
      </c>
      <c r="G10915" s="30"/>
    </row>
    <row r="10916" spans="1:7" ht="30.60" thickBot="1" customHeight="1">
      <c r="A10916" s="34" t="s">
        <v>34592</v>
      </c>
      <c r="B10916" s="35" t="s">
        <v>34593</v>
      </c>
      <c r="C10916" s="35" t="s">
        <v>34594</v>
      </c>
      <c r="D10916" s="36" t="s">
        <v>34595</v>
      </c>
      <c r="E10916" s="37"/>
      <c r="F10916" s="38">
        <f ca="1">F10925</f>
        <v>0</v>
      </c>
      <c r="G10916" s="37"/>
    </row>
    <row r="10917" spans="1:7" ht="12.12" thickBot="1" customHeight="1">
      <c r="A10917" s="26"/>
      <c r="B10917" s="26"/>
      <c r="C10917" s="26"/>
      <c r="D10917" s="25" t="s">
        <v>34596</v>
      </c>
      <c r="E10917" s="25"/>
      <c r="F10917" s="25"/>
      <c r="G10917" s="25"/>
    </row>
    <row r="10918" spans="1:7" ht="39.84" thickBot="1" customHeight="1">
      <c r="A10918" s="24" t="s">
        <v>34597</v>
      </c>
      <c r="B10918" s="24" t="s">
        <v>34598</v>
      </c>
      <c r="C10918" s="24" t="s">
        <v>34599</v>
      </c>
      <c r="D10918" s="25" t="s">
        <v>34600</v>
      </c>
      <c r="E10918" s="28">
        <v>0.09200</v>
      </c>
      <c r="F10918" s="29">
        <f ca="1">ROUND(107.430,3)</f>
        <v>0</v>
      </c>
      <c r="G10918" s="27">
        <f ca="1">ROUND(E10918*F10918,2)</f>
        <v>0</v>
      </c>
    </row>
    <row r="10919" spans="1:7" ht="21.36" thickBot="1" customHeight="1">
      <c r="A10919" s="24" t="s">
        <v>34601</v>
      </c>
      <c r="B10919" s="24" t="s">
        <v>34602</v>
      </c>
      <c r="C10919" s="24" t="s">
        <v>34603</v>
      </c>
      <c r="D10919" s="25" t="s">
        <v>34604</v>
      </c>
      <c r="E10919" s="28">
        <v>0.45000</v>
      </c>
      <c r="F10919" s="29">
        <f ca="1">F10923</f>
        <v>0</v>
      </c>
      <c r="G10919" s="27">
        <f ca="1">ROUND(E10919*F10919,2)</f>
        <v>0</v>
      </c>
    </row>
    <row r="10920" spans="1:7" ht="24.36" thickBot="1" customHeight="1">
      <c r="A10920" s="24" t="s">
        <v>34605</v>
      </c>
      <c r="B10920" s="24" t="s">
        <v>34606</v>
      </c>
      <c r="C10920" s="24" t="s">
        <v>34607</v>
      </c>
      <c r="D10920" s="25" t="s">
        <v>34608</v>
      </c>
      <c r="E10920" s="28">
        <v>1.00000</v>
      </c>
      <c r="F10920" s="29">
        <f ca="1">ROUND(21.000,3)</f>
        <v>0</v>
      </c>
      <c r="G10920" s="27">
        <f ca="1">ROUND(E10920*F10920,2)</f>
        <v>0</v>
      </c>
    </row>
    <row r="10921" spans="1:7" ht="24.36" thickBot="1" customHeight="1">
      <c r="A10921" s="24" t="s">
        <v>34609</v>
      </c>
      <c r="B10921" s="24" t="s">
        <v>34610</v>
      </c>
      <c r="C10921" s="24" t="s">
        <v>34611</v>
      </c>
      <c r="D10921" s="25" t="s">
        <v>34612</v>
      </c>
      <c r="E10921" s="28">
        <v>1.00000</v>
      </c>
      <c r="F10921" s="29">
        <f ca="1">ROUND(19.000,3)</f>
        <v>0</v>
      </c>
      <c r="G10921" s="27">
        <f ca="1">ROUND(E10921*F10921,2)</f>
        <v>0</v>
      </c>
    </row>
    <row r="10922" spans="1:7" ht="24.36" thickBot="1" customHeight="1">
      <c r="A10922" s="24" t="s">
        <v>34613</v>
      </c>
      <c r="B10922" s="24" t="s">
        <v>34614</v>
      </c>
      <c r="C10922" s="24" t="s">
        <v>34615</v>
      </c>
      <c r="D10922" s="25" t="s">
        <v>34616</v>
      </c>
      <c r="E10922" s="28">
        <v>0.20000</v>
      </c>
      <c r="F10922" s="29">
        <f ca="1">ROUND(19.000,3)</f>
        <v>0</v>
      </c>
      <c r="G10922" s="27">
        <f ca="1">ROUND(E10922*F10922,2)</f>
        <v>0</v>
      </c>
    </row>
    <row r="10923" spans="1:7" ht="15.12" thickBot="1" customHeight="1">
      <c r="A10923" s="26"/>
      <c r="B10923" s="26"/>
      <c r="C10923" s="26"/>
      <c r="D10923" s="24" t="s">
        <v>34617</v>
      </c>
      <c r="E10923" s="28">
        <v>0.45000</v>
      </c>
      <c r="F10923" s="29">
        <f ca="1">ROUND((G10920+G10921+G10922),3)</f>
        <v>0</v>
      </c>
      <c r="G10923" s="27">
        <f ca="1">ROUND(E10923*F10923,2)</f>
        <v>0</v>
      </c>
    </row>
    <row r="10924" spans="1:7" ht="15.12" thickBot="1" customHeight="1">
      <c r="A10924" s="24" t="s">
        <v>34618</v>
      </c>
      <c r="B10924" s="24"/>
      <c r="C10924" s="24" t="s">
        <v>34619</v>
      </c>
      <c r="D10924" s="25" t="s">
        <v>34620</v>
      </c>
      <c r="E10924" s="28">
        <v>7.00000</v>
      </c>
      <c r="F10924" s="29">
        <f ca="1">ROUND(19.710,3)</f>
        <v>0</v>
      </c>
      <c r="G10924" s="27">
        <f ca="1">ROUND((E10924*F10924)/100,2)</f>
        <v>0</v>
      </c>
    </row>
    <row r="10925" spans="1:7" ht="15.48" thickBot="1" customHeight="1">
      <c r="A10925" s="30"/>
      <c r="B10925" s="30"/>
      <c r="C10925" s="30"/>
      <c r="D10925" s="31" t="s">
        <v>34621</v>
      </c>
      <c r="E10925" s="30"/>
      <c r="F10925" s="33">
        <f ca="1">ROUND((G10918+G10919+G10924)*(1+G2/100),2)</f>
        <v>0</v>
      </c>
      <c r="G10925" s="30"/>
    </row>
    <row r="10926" spans="1:7" ht="30.60" thickBot="1" customHeight="1">
      <c r="A10926" s="34" t="s">
        <v>34622</v>
      </c>
      <c r="B10926" s="35" t="s">
        <v>34623</v>
      </c>
      <c r="C10926" s="35" t="s">
        <v>34624</v>
      </c>
      <c r="D10926" s="36" t="s">
        <v>34625</v>
      </c>
      <c r="E10926" s="37"/>
      <c r="F10926" s="38">
        <f ca="1">F10937</f>
        <v>0</v>
      </c>
      <c r="G10926" s="37"/>
    </row>
    <row r="10927" spans="1:7" ht="12.12" thickBot="1" customHeight="1">
      <c r="A10927" s="26"/>
      <c r="B10927" s="26"/>
      <c r="C10927" s="26"/>
      <c r="D10927" s="25" t="s">
        <v>34626</v>
      </c>
      <c r="E10927" s="25"/>
      <c r="F10927" s="25"/>
      <c r="G10927" s="25"/>
    </row>
    <row r="10928" spans="1:7" ht="30.60" thickBot="1" customHeight="1">
      <c r="A10928" s="24" t="s">
        <v>34627</v>
      </c>
      <c r="B10928" s="24" t="s">
        <v>34628</v>
      </c>
      <c r="C10928" s="24" t="s">
        <v>34629</v>
      </c>
      <c r="D10928" s="25" t="s">
        <v>34630</v>
      </c>
      <c r="E10928" s="28">
        <v>28.00000</v>
      </c>
      <c r="F10928" s="29">
        <f ca="1">ROUND(0.400,3)</f>
        <v>0</v>
      </c>
      <c r="G10928" s="27">
        <f ca="1">ROUND(E10928*F10928,2)</f>
        <v>0</v>
      </c>
    </row>
    <row r="10929" spans="1:7" ht="49.08" thickBot="1" customHeight="1">
      <c r="A10929" s="24" t="s">
        <v>34631</v>
      </c>
      <c r="B10929" s="24" t="s">
        <v>34632</v>
      </c>
      <c r="C10929" s="24" t="s">
        <v>34633</v>
      </c>
      <c r="D10929" s="25" t="s">
        <v>34634</v>
      </c>
      <c r="E10929" s="28">
        <v>0.44000</v>
      </c>
      <c r="F10929" s="29">
        <f ca="1">ROUND(10.250,3)</f>
        <v>0</v>
      </c>
      <c r="G10929" s="27">
        <f ca="1">ROUND(E10929*F10929,2)</f>
        <v>0</v>
      </c>
    </row>
    <row r="10930" spans="1:7" ht="30.60" thickBot="1" customHeight="1">
      <c r="A10930" s="24" t="s">
        <v>34635</v>
      </c>
      <c r="B10930" s="24" t="s">
        <v>34636</v>
      </c>
      <c r="C10930" s="24" t="s">
        <v>34637</v>
      </c>
      <c r="D10930" s="25" t="s">
        <v>34638</v>
      </c>
      <c r="E10930" s="28">
        <v>0.22000</v>
      </c>
      <c r="F10930" s="29">
        <f ca="1">ROUND(11.000,3)</f>
        <v>0</v>
      </c>
      <c r="G10930" s="27">
        <f ca="1">ROUND(E10930*F10930,2)</f>
        <v>0</v>
      </c>
    </row>
    <row r="10931" spans="1:7" ht="21.36" thickBot="1" customHeight="1">
      <c r="A10931" s="24" t="s">
        <v>34639</v>
      </c>
      <c r="B10931" s="24" t="s">
        <v>34640</v>
      </c>
      <c r="C10931" s="24" t="s">
        <v>34641</v>
      </c>
      <c r="D10931" s="25" t="s">
        <v>34642</v>
      </c>
      <c r="E10931" s="28">
        <v>0.60000</v>
      </c>
      <c r="F10931" s="29">
        <f ca="1">F10935</f>
        <v>0</v>
      </c>
      <c r="G10931" s="27">
        <f ca="1">ROUND(E10931*F10931,2)</f>
        <v>0</v>
      </c>
    </row>
    <row r="10932" spans="1:7" ht="24.36" thickBot="1" customHeight="1">
      <c r="A10932" s="24" t="s">
        <v>34643</v>
      </c>
      <c r="B10932" s="24" t="s">
        <v>34644</v>
      </c>
      <c r="C10932" s="24" t="s">
        <v>34645</v>
      </c>
      <c r="D10932" s="25" t="s">
        <v>34646</v>
      </c>
      <c r="E10932" s="28">
        <v>1.00000</v>
      </c>
      <c r="F10932" s="29">
        <f ca="1">ROUND(21.000,3)</f>
        <v>0</v>
      </c>
      <c r="G10932" s="27">
        <f ca="1">ROUND(E10932*F10932,2)</f>
        <v>0</v>
      </c>
    </row>
    <row r="10933" spans="1:7" ht="24.36" thickBot="1" customHeight="1">
      <c r="A10933" s="24" t="s">
        <v>34647</v>
      </c>
      <c r="B10933" s="24" t="s">
        <v>34648</v>
      </c>
      <c r="C10933" s="24" t="s">
        <v>34649</v>
      </c>
      <c r="D10933" s="25" t="s">
        <v>34650</v>
      </c>
      <c r="E10933" s="28">
        <v>1.00000</v>
      </c>
      <c r="F10933" s="29">
        <f ca="1">ROUND(19.000,3)</f>
        <v>0</v>
      </c>
      <c r="G10933" s="27">
        <f ca="1">ROUND(E10933*F10933,2)</f>
        <v>0</v>
      </c>
    </row>
    <row r="10934" spans="1:7" ht="24.36" thickBot="1" customHeight="1">
      <c r="A10934" s="24" t="s">
        <v>34651</v>
      </c>
      <c r="B10934" s="24" t="s">
        <v>34652</v>
      </c>
      <c r="C10934" s="24" t="s">
        <v>34653</v>
      </c>
      <c r="D10934" s="25" t="s">
        <v>34654</v>
      </c>
      <c r="E10934" s="28">
        <v>0.20000</v>
      </c>
      <c r="F10934" s="29">
        <f ca="1">ROUND(19.000,3)</f>
        <v>0</v>
      </c>
      <c r="G10934" s="27">
        <f ca="1">ROUND(E10934*F10934,2)</f>
        <v>0</v>
      </c>
    </row>
    <row r="10935" spans="1:7" ht="15.12" thickBot="1" customHeight="1">
      <c r="A10935" s="26"/>
      <c r="B10935" s="26"/>
      <c r="C10935" s="26"/>
      <c r="D10935" s="24" t="s">
        <v>34655</v>
      </c>
      <c r="E10935" s="28">
        <v>0.60000</v>
      </c>
      <c r="F10935" s="29">
        <f ca="1">ROUND((G10932+G10933+G10934),3)</f>
        <v>0</v>
      </c>
      <c r="G10935" s="27">
        <f ca="1">ROUND(E10935*F10935,2)</f>
        <v>0</v>
      </c>
    </row>
    <row r="10936" spans="1:7" ht="15.12" thickBot="1" customHeight="1">
      <c r="A10936" s="24" t="s">
        <v>34656</v>
      </c>
      <c r="B10936" s="24"/>
      <c r="C10936" s="24" t="s">
        <v>34657</v>
      </c>
      <c r="D10936" s="25" t="s">
        <v>34658</v>
      </c>
      <c r="E10936" s="28">
        <v>5.00000</v>
      </c>
      <c r="F10936" s="29">
        <f ca="1">ROUND(26.280,3)</f>
        <v>0</v>
      </c>
      <c r="G10936" s="27">
        <f ca="1">ROUND((E10936*F10936)/100,2)</f>
        <v>0</v>
      </c>
    </row>
    <row r="10937" spans="1:7" ht="15.48" thickBot="1" customHeight="1">
      <c r="A10937" s="30"/>
      <c r="B10937" s="30"/>
      <c r="C10937" s="30"/>
      <c r="D10937" s="31" t="s">
        <v>34659</v>
      </c>
      <c r="E10937" s="30"/>
      <c r="F10937" s="33">
        <f ca="1">ROUND((G10928+G10929+G10930+G10931+G10936)*(1+G2/100),2)</f>
        <v>0</v>
      </c>
      <c r="G10937" s="30"/>
    </row>
    <row r="10938" spans="1:7" ht="30.60" thickBot="1" customHeight="1">
      <c r="A10938" s="34" t="s">
        <v>34660</v>
      </c>
      <c r="B10938" s="35" t="s">
        <v>34661</v>
      </c>
      <c r="C10938" s="35" t="s">
        <v>34662</v>
      </c>
      <c r="D10938" s="36" t="s">
        <v>34663</v>
      </c>
      <c r="E10938" s="37"/>
      <c r="F10938" s="38">
        <f ca="1">F10949</f>
        <v>0</v>
      </c>
      <c r="G10938" s="37"/>
    </row>
    <row r="10939" spans="1:7" ht="12.12" thickBot="1" customHeight="1">
      <c r="A10939" s="26"/>
      <c r="B10939" s="26"/>
      <c r="C10939" s="26"/>
      <c r="D10939" s="25" t="s">
        <v>34664</v>
      </c>
      <c r="E10939" s="25"/>
      <c r="F10939" s="25"/>
      <c r="G10939" s="25"/>
    </row>
    <row r="10940" spans="1:7" ht="30.60" thickBot="1" customHeight="1">
      <c r="A10940" s="24" t="s">
        <v>34665</v>
      </c>
      <c r="B10940" s="24" t="s">
        <v>34666</v>
      </c>
      <c r="C10940" s="24" t="s">
        <v>34667</v>
      </c>
      <c r="D10940" s="25" t="s">
        <v>34668</v>
      </c>
      <c r="E10940" s="28">
        <v>1.10000</v>
      </c>
      <c r="F10940" s="29">
        <f ca="1">ROUND(9.470,3)</f>
        <v>0</v>
      </c>
      <c r="G10940" s="27">
        <f ca="1">ROUND(E10940*F10940,2)</f>
        <v>0</v>
      </c>
    </row>
    <row r="10941" spans="1:7" ht="49.08" thickBot="1" customHeight="1">
      <c r="A10941" s="24" t="s">
        <v>34669</v>
      </c>
      <c r="B10941" s="24" t="s">
        <v>34670</v>
      </c>
      <c r="C10941" s="24" t="s">
        <v>34671</v>
      </c>
      <c r="D10941" s="25" t="s">
        <v>34672</v>
      </c>
      <c r="E10941" s="28">
        <v>0.44000</v>
      </c>
      <c r="F10941" s="29">
        <f ca="1">ROUND(10.250,3)</f>
        <v>0</v>
      </c>
      <c r="G10941" s="27">
        <f ca="1">ROUND(E10941*F10941,2)</f>
        <v>0</v>
      </c>
    </row>
    <row r="10942" spans="1:7" ht="30.60" thickBot="1" customHeight="1">
      <c r="A10942" s="24" t="s">
        <v>34673</v>
      </c>
      <c r="B10942" s="24" t="s">
        <v>34674</v>
      </c>
      <c r="C10942" s="24" t="s">
        <v>34675</v>
      </c>
      <c r="D10942" s="25" t="s">
        <v>34676</v>
      </c>
      <c r="E10942" s="28">
        <v>0.22000</v>
      </c>
      <c r="F10942" s="29">
        <f ca="1">ROUND(11.000,3)</f>
        <v>0</v>
      </c>
      <c r="G10942" s="27">
        <f ca="1">ROUND(E10942*F10942,2)</f>
        <v>0</v>
      </c>
    </row>
    <row r="10943" spans="1:7" ht="21.36" thickBot="1" customHeight="1">
      <c r="A10943" s="24" t="s">
        <v>34677</v>
      </c>
      <c r="B10943" s="24" t="s">
        <v>34678</v>
      </c>
      <c r="C10943" s="24" t="s">
        <v>34679</v>
      </c>
      <c r="D10943" s="25" t="s">
        <v>34680</v>
      </c>
      <c r="E10943" s="28">
        <v>0.60000</v>
      </c>
      <c r="F10943" s="29">
        <f ca="1">F10947</f>
        <v>0</v>
      </c>
      <c r="G10943" s="27">
        <f ca="1">ROUND(E10943*F10943,2)</f>
        <v>0</v>
      </c>
    </row>
    <row r="10944" spans="1:7" ht="24.36" thickBot="1" customHeight="1">
      <c r="A10944" s="24" t="s">
        <v>34681</v>
      </c>
      <c r="B10944" s="24" t="s">
        <v>34682</v>
      </c>
      <c r="C10944" s="24" t="s">
        <v>34683</v>
      </c>
      <c r="D10944" s="25" t="s">
        <v>34684</v>
      </c>
      <c r="E10944" s="28">
        <v>1.00000</v>
      </c>
      <c r="F10944" s="29">
        <f ca="1">ROUND(21.000,3)</f>
        <v>0</v>
      </c>
      <c r="G10944" s="27">
        <f ca="1">ROUND(E10944*F10944,2)</f>
        <v>0</v>
      </c>
    </row>
    <row r="10945" spans="1:7" ht="24.36" thickBot="1" customHeight="1">
      <c r="A10945" s="24" t="s">
        <v>34685</v>
      </c>
      <c r="B10945" s="24" t="s">
        <v>34686</v>
      </c>
      <c r="C10945" s="24" t="s">
        <v>34687</v>
      </c>
      <c r="D10945" s="25" t="s">
        <v>34688</v>
      </c>
      <c r="E10945" s="28">
        <v>1.00000</v>
      </c>
      <c r="F10945" s="29">
        <f ca="1">ROUND(19.000,3)</f>
        <v>0</v>
      </c>
      <c r="G10945" s="27">
        <f ca="1">ROUND(E10945*F10945,2)</f>
        <v>0</v>
      </c>
    </row>
    <row r="10946" spans="1:7" ht="24.36" thickBot="1" customHeight="1">
      <c r="A10946" s="24" t="s">
        <v>34689</v>
      </c>
      <c r="B10946" s="24" t="s">
        <v>34690</v>
      </c>
      <c r="C10946" s="24" t="s">
        <v>34691</v>
      </c>
      <c r="D10946" s="25" t="s">
        <v>34692</v>
      </c>
      <c r="E10946" s="28">
        <v>0.20000</v>
      </c>
      <c r="F10946" s="29">
        <f ca="1">ROUND(19.000,3)</f>
        <v>0</v>
      </c>
      <c r="G10946" s="27">
        <f ca="1">ROUND(E10946*F10946,2)</f>
        <v>0</v>
      </c>
    </row>
    <row r="10947" spans="1:7" ht="15.12" thickBot="1" customHeight="1">
      <c r="A10947" s="26"/>
      <c r="B10947" s="26"/>
      <c r="C10947" s="26"/>
      <c r="D10947" s="24" t="s">
        <v>34693</v>
      </c>
      <c r="E10947" s="28">
        <v>0.60000</v>
      </c>
      <c r="F10947" s="29">
        <f ca="1">ROUND((G10944+G10945+G10946),3)</f>
        <v>0</v>
      </c>
      <c r="G10947" s="27">
        <f ca="1">ROUND(E10947*F10947,2)</f>
        <v>0</v>
      </c>
    </row>
    <row r="10948" spans="1:7" ht="15.12" thickBot="1" customHeight="1">
      <c r="A10948" s="24" t="s">
        <v>34694</v>
      </c>
      <c r="B10948" s="24"/>
      <c r="C10948" s="24" t="s">
        <v>34695</v>
      </c>
      <c r="D10948" s="25" t="s">
        <v>34696</v>
      </c>
      <c r="E10948" s="28">
        <v>5.00000</v>
      </c>
      <c r="F10948" s="29">
        <f ca="1">ROUND(26.280,3)</f>
        <v>0</v>
      </c>
      <c r="G10948" s="27">
        <f ca="1">ROUND((E10948*F10948)/100,2)</f>
        <v>0</v>
      </c>
    </row>
    <row r="10949" spans="1:7" ht="15.48" thickBot="1" customHeight="1">
      <c r="A10949" s="30"/>
      <c r="B10949" s="30"/>
      <c r="C10949" s="30"/>
      <c r="D10949" s="31" t="s">
        <v>34697</v>
      </c>
      <c r="E10949" s="30"/>
      <c r="F10949" s="33">
        <f ca="1">ROUND((G10940+G10941+G10942+G10943+G10948)*(1+G2/100),2)</f>
        <v>0</v>
      </c>
      <c r="G10949" s="30"/>
    </row>
    <row r="10950" spans="1:7" ht="49.08" thickBot="1" customHeight="1">
      <c r="A10950" s="34" t="s">
        <v>34698</v>
      </c>
      <c r="B10950" s="35" t="s">
        <v>34699</v>
      </c>
      <c r="C10950" s="35" t="s">
        <v>34700</v>
      </c>
      <c r="D10950" s="36" t="s">
        <v>34701</v>
      </c>
      <c r="E10950" s="37"/>
      <c r="F10950" s="38">
        <f ca="1">F10961</f>
        <v>0</v>
      </c>
      <c r="G10950" s="37"/>
    </row>
    <row r="10951" spans="1:7" ht="21.36" thickBot="1" customHeight="1">
      <c r="A10951" s="26"/>
      <c r="B10951" s="26"/>
      <c r="C10951" s="26"/>
      <c r="D10951" s="25" t="s">
        <v>34702</v>
      </c>
      <c r="E10951" s="25"/>
      <c r="F10951" s="25"/>
      <c r="G10951" s="25"/>
    </row>
    <row r="10952" spans="1:7" ht="39.84" thickBot="1" customHeight="1">
      <c r="A10952" s="24" t="s">
        <v>34703</v>
      </c>
      <c r="B10952" s="24" t="s">
        <v>34704</v>
      </c>
      <c r="C10952" s="24" t="s">
        <v>34705</v>
      </c>
      <c r="D10952" s="25" t="s">
        <v>34706</v>
      </c>
      <c r="E10952" s="28">
        <v>1.10000</v>
      </c>
      <c r="F10952" s="29">
        <f ca="1">ROUND(62.900,3)</f>
        <v>0</v>
      </c>
      <c r="G10952" s="27">
        <f ca="1">ROUND(E10952*F10952,2)</f>
        <v>0</v>
      </c>
    </row>
    <row r="10953" spans="1:7" ht="21.36" thickBot="1" customHeight="1">
      <c r="A10953" s="24" t="s">
        <v>34707</v>
      </c>
      <c r="B10953" s="24" t="s">
        <v>34708</v>
      </c>
      <c r="C10953" s="24" t="s">
        <v>34709</v>
      </c>
      <c r="D10953" s="25" t="s">
        <v>34710</v>
      </c>
      <c r="E10953" s="28">
        <v>2.26800</v>
      </c>
      <c r="F10953" s="29">
        <f ca="1">ROUND(1.620,3)</f>
        <v>0</v>
      </c>
      <c r="G10953" s="27">
        <f ca="1">ROUND(E10953*F10953,2)</f>
        <v>0</v>
      </c>
    </row>
    <row r="10954" spans="1:7" ht="30.60" thickBot="1" customHeight="1">
      <c r="A10954" s="24" t="s">
        <v>34711</v>
      </c>
      <c r="B10954" s="24" t="s">
        <v>34712</v>
      </c>
      <c r="C10954" s="24" t="s">
        <v>34713</v>
      </c>
      <c r="D10954" s="25" t="s">
        <v>34714</v>
      </c>
      <c r="E10954" s="28">
        <v>0.13376</v>
      </c>
      <c r="F10954" s="29">
        <f ca="1">ROUND(11.740,3)</f>
        <v>0</v>
      </c>
      <c r="G10954" s="27">
        <f ca="1">ROUND(E10954*F10954,2)</f>
        <v>0</v>
      </c>
    </row>
    <row r="10955" spans="1:7" ht="21.36" thickBot="1" customHeight="1">
      <c r="A10955" s="24" t="s">
        <v>34715</v>
      </c>
      <c r="B10955" s="24" t="s">
        <v>34716</v>
      </c>
      <c r="C10955" s="24" t="s">
        <v>34717</v>
      </c>
      <c r="D10955" s="25" t="s">
        <v>34718</v>
      </c>
      <c r="E10955" s="28">
        <v>0.60000</v>
      </c>
      <c r="F10955" s="29">
        <f ca="1">F10959</f>
        <v>0</v>
      </c>
      <c r="G10955" s="27">
        <f ca="1">ROUND(E10955*F10955,2)</f>
        <v>0</v>
      </c>
    </row>
    <row r="10956" spans="1:7" ht="24.36" thickBot="1" customHeight="1">
      <c r="A10956" s="24" t="s">
        <v>34719</v>
      </c>
      <c r="B10956" s="24" t="s">
        <v>34720</v>
      </c>
      <c r="C10956" s="24" t="s">
        <v>34721</v>
      </c>
      <c r="D10956" s="25" t="s">
        <v>34722</v>
      </c>
      <c r="E10956" s="28">
        <v>1.00000</v>
      </c>
      <c r="F10956" s="29">
        <f ca="1">ROUND(21.000,3)</f>
        <v>0</v>
      </c>
      <c r="G10956" s="27">
        <f ca="1">ROUND(E10956*F10956,2)</f>
        <v>0</v>
      </c>
    </row>
    <row r="10957" spans="1:7" ht="24.36" thickBot="1" customHeight="1">
      <c r="A10957" s="24" t="s">
        <v>34723</v>
      </c>
      <c r="B10957" s="24" t="s">
        <v>34724</v>
      </c>
      <c r="C10957" s="24" t="s">
        <v>34725</v>
      </c>
      <c r="D10957" s="25" t="s">
        <v>34726</v>
      </c>
      <c r="E10957" s="28">
        <v>1.00000</v>
      </c>
      <c r="F10957" s="29">
        <f ca="1">ROUND(19.000,3)</f>
        <v>0</v>
      </c>
      <c r="G10957" s="27">
        <f ca="1">ROUND(E10957*F10957,2)</f>
        <v>0</v>
      </c>
    </row>
    <row r="10958" spans="1:7" ht="24.36" thickBot="1" customHeight="1">
      <c r="A10958" s="24" t="s">
        <v>34727</v>
      </c>
      <c r="B10958" s="24" t="s">
        <v>34728</v>
      </c>
      <c r="C10958" s="24" t="s">
        <v>34729</v>
      </c>
      <c r="D10958" s="25" t="s">
        <v>34730</v>
      </c>
      <c r="E10958" s="28">
        <v>0.20000</v>
      </c>
      <c r="F10958" s="29">
        <f ca="1">ROUND(19.000,3)</f>
        <v>0</v>
      </c>
      <c r="G10958" s="27">
        <f ca="1">ROUND(E10958*F10958,2)</f>
        <v>0</v>
      </c>
    </row>
    <row r="10959" spans="1:7" ht="15.12" thickBot="1" customHeight="1">
      <c r="A10959" s="26"/>
      <c r="B10959" s="26"/>
      <c r="C10959" s="26"/>
      <c r="D10959" s="24" t="s">
        <v>34731</v>
      </c>
      <c r="E10959" s="28">
        <v>0.60000</v>
      </c>
      <c r="F10959" s="29">
        <f ca="1">ROUND((G10956+G10957+G10958),3)</f>
        <v>0</v>
      </c>
      <c r="G10959" s="27">
        <f ca="1">ROUND(E10959*F10959,2)</f>
        <v>0</v>
      </c>
    </row>
    <row r="10960" spans="1:7" ht="15.12" thickBot="1" customHeight="1">
      <c r="A10960" s="24" t="s">
        <v>34732</v>
      </c>
      <c r="B10960" s="24"/>
      <c r="C10960" s="24" t="s">
        <v>34733</v>
      </c>
      <c r="D10960" s="25" t="s">
        <v>34734</v>
      </c>
      <c r="E10960" s="28">
        <v>7.00000</v>
      </c>
      <c r="F10960" s="29">
        <f ca="1">ROUND(26.280,3)</f>
        <v>0</v>
      </c>
      <c r="G10960" s="27">
        <f ca="1">ROUND((E10960*F10960)/100,2)</f>
        <v>0</v>
      </c>
    </row>
    <row r="10961" spans="1:7" ht="15.48" thickBot="1" customHeight="1">
      <c r="A10961" s="30"/>
      <c r="B10961" s="30"/>
      <c r="C10961" s="30"/>
      <c r="D10961" s="31" t="s">
        <v>34735</v>
      </c>
      <c r="E10961" s="30"/>
      <c r="F10961" s="33">
        <f ca="1">ROUND((G10952+G10953+G10954+G10955+G10960)*(1+G2/100),2)</f>
        <v>0</v>
      </c>
      <c r="G10961" s="30"/>
    </row>
    <row r="10962" spans="1:7" ht="49.08" thickBot="1" customHeight="1">
      <c r="A10962" s="34" t="s">
        <v>34736</v>
      </c>
      <c r="B10962" s="35" t="s">
        <v>34737</v>
      </c>
      <c r="C10962" s="35" t="s">
        <v>34738</v>
      </c>
      <c r="D10962" s="36" t="s">
        <v>34739</v>
      </c>
      <c r="E10962" s="37"/>
      <c r="F10962" s="38">
        <f ca="1">F10973</f>
        <v>0</v>
      </c>
      <c r="G10962" s="37"/>
    </row>
    <row r="10963" spans="1:7" ht="21.36" thickBot="1" customHeight="1">
      <c r="A10963" s="26"/>
      <c r="B10963" s="26"/>
      <c r="C10963" s="26"/>
      <c r="D10963" s="25" t="s">
        <v>34740</v>
      </c>
      <c r="E10963" s="25"/>
      <c r="F10963" s="25"/>
      <c r="G10963" s="25"/>
    </row>
    <row r="10964" spans="1:7" ht="39.84" thickBot="1" customHeight="1">
      <c r="A10964" s="24" t="s">
        <v>34741</v>
      </c>
      <c r="B10964" s="24" t="s">
        <v>34742</v>
      </c>
      <c r="C10964" s="24" t="s">
        <v>34743</v>
      </c>
      <c r="D10964" s="25" t="s">
        <v>34744</v>
      </c>
      <c r="E10964" s="28">
        <v>1.10000</v>
      </c>
      <c r="F10964" s="29">
        <f ca="1">ROUND(55.900,3)</f>
        <v>0</v>
      </c>
      <c r="G10964" s="27">
        <f ca="1">ROUND(E10964*F10964,2)</f>
        <v>0</v>
      </c>
    </row>
    <row r="10965" spans="1:7" ht="21.36" thickBot="1" customHeight="1">
      <c r="A10965" s="24" t="s">
        <v>34745</v>
      </c>
      <c r="B10965" s="24" t="s">
        <v>34746</v>
      </c>
      <c r="C10965" s="24" t="s">
        <v>34747</v>
      </c>
      <c r="D10965" s="25" t="s">
        <v>34748</v>
      </c>
      <c r="E10965" s="28">
        <v>2.26800</v>
      </c>
      <c r="F10965" s="29">
        <f ca="1">ROUND(1.620,3)</f>
        <v>0</v>
      </c>
      <c r="G10965" s="27">
        <f ca="1">ROUND(E10965*F10965,2)</f>
        <v>0</v>
      </c>
    </row>
    <row r="10966" spans="1:7" ht="30.60" thickBot="1" customHeight="1">
      <c r="A10966" s="24" t="s">
        <v>34749</v>
      </c>
      <c r="B10966" s="24" t="s">
        <v>34750</v>
      </c>
      <c r="C10966" s="24" t="s">
        <v>34751</v>
      </c>
      <c r="D10966" s="25" t="s">
        <v>34752</v>
      </c>
      <c r="E10966" s="28">
        <v>0.13376</v>
      </c>
      <c r="F10966" s="29">
        <f ca="1">ROUND(11.740,3)</f>
        <v>0</v>
      </c>
      <c r="G10966" s="27">
        <f ca="1">ROUND(E10966*F10966,2)</f>
        <v>0</v>
      </c>
    </row>
    <row r="10967" spans="1:7" ht="21.36" thickBot="1" customHeight="1">
      <c r="A10967" s="24" t="s">
        <v>34753</v>
      </c>
      <c r="B10967" s="24" t="s">
        <v>34754</v>
      </c>
      <c r="C10967" s="24" t="s">
        <v>34755</v>
      </c>
      <c r="D10967" s="25" t="s">
        <v>34756</v>
      </c>
      <c r="E10967" s="28">
        <v>0.60000</v>
      </c>
      <c r="F10967" s="29">
        <f ca="1">F10971</f>
        <v>0</v>
      </c>
      <c r="G10967" s="27">
        <f ca="1">ROUND(E10967*F10967,2)</f>
        <v>0</v>
      </c>
    </row>
    <row r="10968" spans="1:7" ht="24.36" thickBot="1" customHeight="1">
      <c r="A10968" s="24" t="s">
        <v>34757</v>
      </c>
      <c r="B10968" s="24" t="s">
        <v>34758</v>
      </c>
      <c r="C10968" s="24" t="s">
        <v>34759</v>
      </c>
      <c r="D10968" s="25" t="s">
        <v>34760</v>
      </c>
      <c r="E10968" s="28">
        <v>1.00000</v>
      </c>
      <c r="F10968" s="29">
        <f ca="1">ROUND(21.000,3)</f>
        <v>0</v>
      </c>
      <c r="G10968" s="27">
        <f ca="1">ROUND(E10968*F10968,2)</f>
        <v>0</v>
      </c>
    </row>
    <row r="10969" spans="1:7" ht="24.36" thickBot="1" customHeight="1">
      <c r="A10969" s="24" t="s">
        <v>34761</v>
      </c>
      <c r="B10969" s="24" t="s">
        <v>34762</v>
      </c>
      <c r="C10969" s="24" t="s">
        <v>34763</v>
      </c>
      <c r="D10969" s="25" t="s">
        <v>34764</v>
      </c>
      <c r="E10969" s="28">
        <v>1.00000</v>
      </c>
      <c r="F10969" s="29">
        <f ca="1">ROUND(19.000,3)</f>
        <v>0</v>
      </c>
      <c r="G10969" s="27">
        <f ca="1">ROUND(E10969*F10969,2)</f>
        <v>0</v>
      </c>
    </row>
    <row r="10970" spans="1:7" ht="24.36" thickBot="1" customHeight="1">
      <c r="A10970" s="24" t="s">
        <v>34765</v>
      </c>
      <c r="B10970" s="24" t="s">
        <v>34766</v>
      </c>
      <c r="C10970" s="24" t="s">
        <v>34767</v>
      </c>
      <c r="D10970" s="25" t="s">
        <v>34768</v>
      </c>
      <c r="E10970" s="28">
        <v>0.20000</v>
      </c>
      <c r="F10970" s="29">
        <f ca="1">ROUND(19.000,3)</f>
        <v>0</v>
      </c>
      <c r="G10970" s="27">
        <f ca="1">ROUND(E10970*F10970,2)</f>
        <v>0</v>
      </c>
    </row>
    <row r="10971" spans="1:7" ht="15.12" thickBot="1" customHeight="1">
      <c r="A10971" s="26"/>
      <c r="B10971" s="26"/>
      <c r="C10971" s="26"/>
      <c r="D10971" s="24" t="s">
        <v>34769</v>
      </c>
      <c r="E10971" s="28">
        <v>0.60000</v>
      </c>
      <c r="F10971" s="29">
        <f ca="1">ROUND((G10968+G10969+G10970),3)</f>
        <v>0</v>
      </c>
      <c r="G10971" s="27">
        <f ca="1">ROUND(E10971*F10971,2)</f>
        <v>0</v>
      </c>
    </row>
    <row r="10972" spans="1:7" ht="15.12" thickBot="1" customHeight="1">
      <c r="A10972" s="24" t="s">
        <v>34770</v>
      </c>
      <c r="B10972" s="24"/>
      <c r="C10972" s="24" t="s">
        <v>34771</v>
      </c>
      <c r="D10972" s="25" t="s">
        <v>34772</v>
      </c>
      <c r="E10972" s="28">
        <v>7.00000</v>
      </c>
      <c r="F10972" s="29">
        <f ca="1">ROUND(26.280,3)</f>
        <v>0</v>
      </c>
      <c r="G10972" s="27">
        <f ca="1">ROUND((E10972*F10972)/100,2)</f>
        <v>0</v>
      </c>
    </row>
    <row r="10973" spans="1:7" ht="15.48" thickBot="1" customHeight="1">
      <c r="A10973" s="30"/>
      <c r="B10973" s="30"/>
      <c r="C10973" s="30"/>
      <c r="D10973" s="31" t="s">
        <v>34773</v>
      </c>
      <c r="E10973" s="30"/>
      <c r="F10973" s="33">
        <f ca="1">ROUND((G10964+G10965+G10966+G10967+G10972)*(1+G2/100),2)</f>
        <v>0</v>
      </c>
      <c r="G10973" s="30"/>
    </row>
    <row r="10974" spans="1:7" ht="21.36" thickBot="1" customHeight="1">
      <c r="A10974" s="34" t="s">
        <v>34774</v>
      </c>
      <c r="B10974" s="35" t="s">
        <v>34775</v>
      </c>
      <c r="C10974" s="35" t="s">
        <v>34776</v>
      </c>
      <c r="D10974" s="36" t="s">
        <v>34777</v>
      </c>
      <c r="E10974" s="37"/>
      <c r="F10974" s="38">
        <f ca="1">F10981</f>
        <v>0</v>
      </c>
      <c r="G10974" s="37"/>
    </row>
    <row r="10975" spans="1:7" ht="39.84" thickBot="1" customHeight="1">
      <c r="A10975" s="26"/>
      <c r="B10975" s="26"/>
      <c r="C10975" s="26"/>
      <c r="D10975" s="25" t="s">
        <v>34778</v>
      </c>
      <c r="E10975" s="25"/>
      <c r="F10975" s="25"/>
      <c r="G10975" s="25"/>
    </row>
    <row r="10976" spans="1:7" ht="21.36" thickBot="1" customHeight="1">
      <c r="A10976" s="24" t="s">
        <v>34779</v>
      </c>
      <c r="B10976" s="24" t="s">
        <v>34780</v>
      </c>
      <c r="C10976" s="24" t="s">
        <v>34781</v>
      </c>
      <c r="D10976" s="25" t="s">
        <v>34782</v>
      </c>
      <c r="E10976" s="28">
        <v>1.05000</v>
      </c>
      <c r="F10976" s="29">
        <f ca="1">ROUND(38.420,3)</f>
        <v>0</v>
      </c>
      <c r="G10976" s="27">
        <f ca="1">ROUND(E10976*F10976,2)</f>
        <v>0</v>
      </c>
    </row>
    <row r="10977" spans="1:7" ht="21.36" thickBot="1" customHeight="1">
      <c r="A10977" s="24" t="s">
        <v>34783</v>
      </c>
      <c r="B10977" s="24" t="s">
        <v>34784</v>
      </c>
      <c r="C10977" s="24" t="s">
        <v>34785</v>
      </c>
      <c r="D10977" s="25" t="s">
        <v>34786</v>
      </c>
      <c r="E10977" s="28">
        <v>1.10000</v>
      </c>
      <c r="F10977" s="29">
        <f ca="1">ROUND(0.790,3)</f>
        <v>0</v>
      </c>
      <c r="G10977" s="27">
        <f ca="1">ROUND(E10977*F10977,2)</f>
        <v>0</v>
      </c>
    </row>
    <row r="10978" spans="1:7" ht="21.36" thickBot="1" customHeight="1">
      <c r="A10978" s="24" t="s">
        <v>34787</v>
      </c>
      <c r="B10978" s="24" t="s">
        <v>34788</v>
      </c>
      <c r="C10978" s="24" t="s">
        <v>34789</v>
      </c>
      <c r="D10978" s="25" t="s">
        <v>34790</v>
      </c>
      <c r="E10978" s="28">
        <v>0.50000</v>
      </c>
      <c r="F10978" s="29">
        <f ca="1">ROUND(0.300,3)</f>
        <v>0</v>
      </c>
      <c r="G10978" s="27">
        <f ca="1">ROUND(E10978*F10978,2)</f>
        <v>0</v>
      </c>
    </row>
    <row r="10979" spans="1:7" ht="21.36" thickBot="1" customHeight="1">
      <c r="A10979" s="24" t="s">
        <v>34791</v>
      </c>
      <c r="B10979" s="24" t="s">
        <v>34792</v>
      </c>
      <c r="C10979" s="24" t="s">
        <v>34793</v>
      </c>
      <c r="D10979" s="25" t="s">
        <v>34794</v>
      </c>
      <c r="E10979" s="28">
        <v>0.05000</v>
      </c>
      <c r="F10979" s="29">
        <f ca="1">ROUND(4.000,3)</f>
        <v>0</v>
      </c>
      <c r="G10979" s="27">
        <f ca="1">ROUND(E10979*F10979,2)</f>
        <v>0</v>
      </c>
    </row>
    <row r="10980" spans="1:7" ht="24.36" thickBot="1" customHeight="1">
      <c r="A10980" s="24" t="s">
        <v>34795</v>
      </c>
      <c r="B10980" s="24" t="s">
        <v>34796</v>
      </c>
      <c r="C10980" s="24" t="s">
        <v>34797</v>
      </c>
      <c r="D10980" s="25" t="s">
        <v>34798</v>
      </c>
      <c r="E10980" s="28">
        <v>0.20000</v>
      </c>
      <c r="F10980" s="29">
        <f ca="1">ROUND(49.500,3)</f>
        <v>0</v>
      </c>
      <c r="G10980" s="27">
        <f ca="1">ROUND(E10980*F10980,2)</f>
        <v>0</v>
      </c>
    </row>
    <row r="10981" spans="1:7" ht="15.48" thickBot="1" customHeight="1">
      <c r="A10981" s="30"/>
      <c r="B10981" s="30"/>
      <c r="C10981" s="30"/>
      <c r="D10981" s="31" t="s">
        <v>34799</v>
      </c>
      <c r="E10981" s="30"/>
      <c r="F10981" s="33">
        <f ca="1">ROUND((G10976+G10977+G10978+G10979+G10980)*(1+G2/100),2)</f>
        <v>0</v>
      </c>
      <c r="G10981" s="30"/>
    </row>
    <row r="10982" spans="1:7" ht="21.36" thickBot="1" customHeight="1">
      <c r="A10982" s="34" t="s">
        <v>34800</v>
      </c>
      <c r="B10982" s="35" t="s">
        <v>34801</v>
      </c>
      <c r="C10982" s="35" t="s">
        <v>34802</v>
      </c>
      <c r="D10982" s="36" t="s">
        <v>34803</v>
      </c>
      <c r="E10982" s="37"/>
      <c r="F10982" s="38">
        <f ca="1">F10989</f>
        <v>0</v>
      </c>
      <c r="G10982" s="37"/>
    </row>
    <row r="10983" spans="1:7" ht="39.84" thickBot="1" customHeight="1">
      <c r="A10983" s="26"/>
      <c r="B10983" s="26"/>
      <c r="C10983" s="26"/>
      <c r="D10983" s="25" t="s">
        <v>34804</v>
      </c>
      <c r="E10983" s="25"/>
      <c r="F10983" s="25"/>
      <c r="G10983" s="25"/>
    </row>
    <row r="10984" spans="1:7" ht="21.36" thickBot="1" customHeight="1">
      <c r="A10984" s="24" t="s">
        <v>34805</v>
      </c>
      <c r="B10984" s="24" t="s">
        <v>34806</v>
      </c>
      <c r="C10984" s="24" t="s">
        <v>34807</v>
      </c>
      <c r="D10984" s="25" t="s">
        <v>34808</v>
      </c>
      <c r="E10984" s="28">
        <v>1.05000</v>
      </c>
      <c r="F10984" s="29">
        <f ca="1">ROUND(17.360,3)</f>
        <v>0</v>
      </c>
      <c r="G10984" s="27">
        <f ca="1">ROUND(E10984*F10984,2)</f>
        <v>0</v>
      </c>
    </row>
    <row r="10985" spans="1:7" ht="21.36" thickBot="1" customHeight="1">
      <c r="A10985" s="24" t="s">
        <v>34809</v>
      </c>
      <c r="B10985" s="24" t="s">
        <v>34810</v>
      </c>
      <c r="C10985" s="24" t="s">
        <v>34811</v>
      </c>
      <c r="D10985" s="25" t="s">
        <v>34812</v>
      </c>
      <c r="E10985" s="28">
        <v>1.10000</v>
      </c>
      <c r="F10985" s="29">
        <f ca="1">ROUND(0.790,3)</f>
        <v>0</v>
      </c>
      <c r="G10985" s="27">
        <f ca="1">ROUND(E10985*F10985,2)</f>
        <v>0</v>
      </c>
    </row>
    <row r="10986" spans="1:7" ht="21.36" thickBot="1" customHeight="1">
      <c r="A10986" s="24" t="s">
        <v>34813</v>
      </c>
      <c r="B10986" s="24" t="s">
        <v>34814</v>
      </c>
      <c r="C10986" s="24" t="s">
        <v>34815</v>
      </c>
      <c r="D10986" s="25" t="s">
        <v>34816</v>
      </c>
      <c r="E10986" s="28">
        <v>0.50000</v>
      </c>
      <c r="F10986" s="29">
        <f ca="1">ROUND(0.300,3)</f>
        <v>0</v>
      </c>
      <c r="G10986" s="27">
        <f ca="1">ROUND(E10986*F10986,2)</f>
        <v>0</v>
      </c>
    </row>
    <row r="10987" spans="1:7" ht="21.36" thickBot="1" customHeight="1">
      <c r="A10987" s="24" t="s">
        <v>34817</v>
      </c>
      <c r="B10987" s="24" t="s">
        <v>34818</v>
      </c>
      <c r="C10987" s="24" t="s">
        <v>34819</v>
      </c>
      <c r="D10987" s="25" t="s">
        <v>34820</v>
      </c>
      <c r="E10987" s="28">
        <v>0.05000</v>
      </c>
      <c r="F10987" s="29">
        <f ca="1">ROUND(4.000,3)</f>
        <v>0</v>
      </c>
      <c r="G10987" s="27">
        <f ca="1">ROUND(E10987*F10987,2)</f>
        <v>0</v>
      </c>
    </row>
    <row r="10988" spans="1:7" ht="24.36" thickBot="1" customHeight="1">
      <c r="A10988" s="24" t="s">
        <v>34821</v>
      </c>
      <c r="B10988" s="24" t="s">
        <v>34822</v>
      </c>
      <c r="C10988" s="24" t="s">
        <v>34823</v>
      </c>
      <c r="D10988" s="25" t="s">
        <v>34824</v>
      </c>
      <c r="E10988" s="28">
        <v>0.20000</v>
      </c>
      <c r="F10988" s="29">
        <f ca="1">ROUND(49.500,3)</f>
        <v>0</v>
      </c>
      <c r="G10988" s="27">
        <f ca="1">ROUND(E10988*F10988,2)</f>
        <v>0</v>
      </c>
    </row>
    <row r="10989" spans="1:7" ht="15.48" thickBot="1" customHeight="1">
      <c r="A10989" s="30"/>
      <c r="B10989" s="30"/>
      <c r="C10989" s="30"/>
      <c r="D10989" s="31" t="s">
        <v>34825</v>
      </c>
      <c r="E10989" s="30"/>
      <c r="F10989" s="33">
        <f ca="1">ROUND((G10984+G10985+G10986+G10987+G10988)*(1+G2/100),2)</f>
        <v>0</v>
      </c>
      <c r="G10989" s="30"/>
    </row>
    <row r="10990" spans="1:7" ht="21.36" thickBot="1" customHeight="1">
      <c r="A10990" s="34" t="s">
        <v>34826</v>
      </c>
      <c r="B10990" s="35" t="s">
        <v>34827</v>
      </c>
      <c r="C10990" s="35" t="s">
        <v>34828</v>
      </c>
      <c r="D10990" s="36" t="s">
        <v>34829</v>
      </c>
      <c r="E10990" s="37"/>
      <c r="F10990" s="38">
        <f ca="1">F11001</f>
        <v>0</v>
      </c>
      <c r="G10990" s="37"/>
    </row>
    <row r="10991" spans="1:7" ht="12.12" thickBot="1" customHeight="1">
      <c r="A10991" s="26"/>
      <c r="B10991" s="26"/>
      <c r="C10991" s="26"/>
      <c r="D10991" s="25" t="s">
        <v>34830</v>
      </c>
      <c r="E10991" s="25"/>
      <c r="F10991" s="25"/>
      <c r="G10991" s="25"/>
    </row>
    <row r="10992" spans="1:7" ht="21.36" thickBot="1" customHeight="1">
      <c r="A10992" s="24" t="s">
        <v>34831</v>
      </c>
      <c r="B10992" s="24" t="s">
        <v>34832</v>
      </c>
      <c r="C10992" s="24" t="s">
        <v>34833</v>
      </c>
      <c r="D10992" s="25" t="s">
        <v>34834</v>
      </c>
      <c r="E10992" s="28">
        <v>0.20000</v>
      </c>
      <c r="F10992" s="29">
        <f ca="1">ROUND(22.860,3)</f>
        <v>0</v>
      </c>
      <c r="G10992" s="27">
        <f ca="1">ROUND(E10992*F10992,2)</f>
        <v>0</v>
      </c>
    </row>
    <row r="10993" spans="1:7" ht="49.08" thickBot="1" customHeight="1">
      <c r="A10993" s="24" t="s">
        <v>34835</v>
      </c>
      <c r="B10993" s="24" t="s">
        <v>34836</v>
      </c>
      <c r="C10993" s="24" t="s">
        <v>34837</v>
      </c>
      <c r="D10993" s="25" t="s">
        <v>34838</v>
      </c>
      <c r="E10993" s="28">
        <v>0.08000</v>
      </c>
      <c r="F10993" s="29">
        <f ca="1">ROUND(10.250,3)</f>
        <v>0</v>
      </c>
      <c r="G10993" s="27">
        <f ca="1">ROUND(E10993*F10993,2)</f>
        <v>0</v>
      </c>
    </row>
    <row r="10994" spans="1:7" ht="30.60" thickBot="1" customHeight="1">
      <c r="A10994" s="24" t="s">
        <v>34839</v>
      </c>
      <c r="B10994" s="24" t="s">
        <v>34840</v>
      </c>
      <c r="C10994" s="24" t="s">
        <v>34841</v>
      </c>
      <c r="D10994" s="25" t="s">
        <v>34842</v>
      </c>
      <c r="E10994" s="28">
        <v>0.07000</v>
      </c>
      <c r="F10994" s="29">
        <f ca="1">ROUND(11.000,3)</f>
        <v>0</v>
      </c>
      <c r="G10994" s="27">
        <f ca="1">ROUND(E10994*F10994,2)</f>
        <v>0</v>
      </c>
    </row>
    <row r="10995" spans="1:7" ht="21.36" thickBot="1" customHeight="1">
      <c r="A10995" s="24" t="s">
        <v>34843</v>
      </c>
      <c r="B10995" s="24" t="s">
        <v>34844</v>
      </c>
      <c r="C10995" s="24" t="s">
        <v>34845</v>
      </c>
      <c r="D10995" s="25" t="s">
        <v>34846</v>
      </c>
      <c r="E10995" s="28">
        <v>0.15000</v>
      </c>
      <c r="F10995" s="29">
        <f ca="1">F10999</f>
        <v>0</v>
      </c>
      <c r="G10995" s="27">
        <f ca="1">ROUND(E10995*F10995,2)</f>
        <v>0</v>
      </c>
    </row>
    <row r="10996" spans="1:7" ht="24.36" thickBot="1" customHeight="1">
      <c r="A10996" s="24" t="s">
        <v>34847</v>
      </c>
      <c r="B10996" s="24" t="s">
        <v>34848</v>
      </c>
      <c r="C10996" s="24" t="s">
        <v>34849</v>
      </c>
      <c r="D10996" s="25" t="s">
        <v>34850</v>
      </c>
      <c r="E10996" s="28">
        <v>1.00000</v>
      </c>
      <c r="F10996" s="29">
        <f ca="1">ROUND(21.000,3)</f>
        <v>0</v>
      </c>
      <c r="G10996" s="27">
        <f ca="1">ROUND(E10996*F10996,2)</f>
        <v>0</v>
      </c>
    </row>
    <row r="10997" spans="1:7" ht="24.36" thickBot="1" customHeight="1">
      <c r="A10997" s="24" t="s">
        <v>34851</v>
      </c>
      <c r="B10997" s="24" t="s">
        <v>34852</v>
      </c>
      <c r="C10997" s="24" t="s">
        <v>34853</v>
      </c>
      <c r="D10997" s="25" t="s">
        <v>34854</v>
      </c>
      <c r="E10997" s="28">
        <v>1.00000</v>
      </c>
      <c r="F10997" s="29">
        <f ca="1">ROUND(19.000,3)</f>
        <v>0</v>
      </c>
      <c r="G10997" s="27">
        <f ca="1">ROUND(E10997*F10997,2)</f>
        <v>0</v>
      </c>
    </row>
    <row r="10998" spans="1:7" ht="24.36" thickBot="1" customHeight="1">
      <c r="A10998" s="24" t="s">
        <v>34855</v>
      </c>
      <c r="B10998" s="24" t="s">
        <v>34856</v>
      </c>
      <c r="C10998" s="24" t="s">
        <v>34857</v>
      </c>
      <c r="D10998" s="25" t="s">
        <v>34858</v>
      </c>
      <c r="E10998" s="28">
        <v>0.20000</v>
      </c>
      <c r="F10998" s="29">
        <f ca="1">ROUND(19.000,3)</f>
        <v>0</v>
      </c>
      <c r="G10998" s="27">
        <f ca="1">ROUND(E10998*F10998,2)</f>
        <v>0</v>
      </c>
    </row>
    <row r="10999" spans="1:7" ht="15.12" thickBot="1" customHeight="1">
      <c r="A10999" s="26"/>
      <c r="B10999" s="26"/>
      <c r="C10999" s="26"/>
      <c r="D10999" s="24" t="s">
        <v>34859</v>
      </c>
      <c r="E10999" s="28">
        <v>0.15000</v>
      </c>
      <c r="F10999" s="29">
        <f ca="1">ROUND((G10996+G10997+G10998),3)</f>
        <v>0</v>
      </c>
      <c r="G10999" s="27">
        <f ca="1">ROUND(E10999*F10999,2)</f>
        <v>0</v>
      </c>
    </row>
    <row r="11000" spans="1:7" ht="15.12" thickBot="1" customHeight="1">
      <c r="A11000" s="24" t="s">
        <v>34860</v>
      </c>
      <c r="B11000" s="24"/>
      <c r="C11000" s="24" t="s">
        <v>34861</v>
      </c>
      <c r="D11000" s="25" t="s">
        <v>34862</v>
      </c>
      <c r="E11000" s="28">
        <v>3.00000</v>
      </c>
      <c r="F11000" s="29">
        <f ca="1">ROUND(6.570,3)</f>
        <v>0</v>
      </c>
      <c r="G11000" s="27">
        <f ca="1">ROUND((E11000*F11000)/100,2)</f>
        <v>0</v>
      </c>
    </row>
    <row r="11001" spans="1:7" ht="15.48" thickBot="1" customHeight="1">
      <c r="A11001" s="30"/>
      <c r="B11001" s="30"/>
      <c r="C11001" s="30"/>
      <c r="D11001" s="31" t="s">
        <v>34863</v>
      </c>
      <c r="E11001" s="30"/>
      <c r="F11001" s="33">
        <f ca="1">ROUND((G10992+G10993+G10994+G10995+G11000)*(1+G2/100),2)</f>
        <v>0</v>
      </c>
      <c r="G11001" s="30"/>
    </row>
    <row r="11002" spans="1:7" ht="21.36" thickBot="1" customHeight="1">
      <c r="A11002" s="34" t="s">
        <v>34864</v>
      </c>
      <c r="B11002" s="35" t="s">
        <v>34865</v>
      </c>
      <c r="C11002" s="35" t="s">
        <v>34866</v>
      </c>
      <c r="D11002" s="36" t="s">
        <v>34867</v>
      </c>
      <c r="E11002" s="37"/>
      <c r="F11002" s="38">
        <f ca="1">F11008</f>
        <v>0</v>
      </c>
      <c r="G11002" s="37"/>
    </row>
    <row r="11003" spans="1:7" ht="12.12" thickBot="1" customHeight="1">
      <c r="A11003" s="26"/>
      <c r="B11003" s="26"/>
      <c r="C11003" s="26"/>
      <c r="D11003" s="25" t="s">
        <v>34868</v>
      </c>
      <c r="E11003" s="25"/>
      <c r="F11003" s="25"/>
      <c r="G11003" s="25"/>
    </row>
    <row r="11004" spans="1:7" ht="24.36" thickBot="1" customHeight="1">
      <c r="A11004" s="24" t="s">
        <v>34869</v>
      </c>
      <c r="B11004" s="24" t="s">
        <v>34870</v>
      </c>
      <c r="C11004" s="24" t="s">
        <v>34871</v>
      </c>
      <c r="D11004" s="25" t="s">
        <v>34872</v>
      </c>
      <c r="E11004" s="28">
        <v>0.12000</v>
      </c>
      <c r="F11004" s="29">
        <f ca="1">ROUND(49.500,3)</f>
        <v>0</v>
      </c>
      <c r="G11004" s="27">
        <f ca="1">ROUND(E11004*F11004,2)</f>
        <v>0</v>
      </c>
    </row>
    <row r="11005" spans="1:7" ht="30.60" thickBot="1" customHeight="1">
      <c r="A11005" s="24" t="s">
        <v>34873</v>
      </c>
      <c r="B11005" s="24" t="s">
        <v>34874</v>
      </c>
      <c r="C11005" s="24" t="s">
        <v>34875</v>
      </c>
      <c r="D11005" s="25" t="s">
        <v>34876</v>
      </c>
      <c r="E11005" s="28">
        <v>3.00000</v>
      </c>
      <c r="F11005" s="29">
        <f ca="1">ROUND(0.050,3)</f>
        <v>0</v>
      </c>
      <c r="G11005" s="27">
        <f ca="1">ROUND(E11005*F11005,2)</f>
        <v>0</v>
      </c>
    </row>
    <row r="11006" spans="1:7" ht="21.36" thickBot="1" customHeight="1">
      <c r="A11006" s="24" t="s">
        <v>34877</v>
      </c>
      <c r="B11006" s="24" t="s">
        <v>34878</v>
      </c>
      <c r="C11006" s="24" t="s">
        <v>34879</v>
      </c>
      <c r="D11006" s="25" t="s">
        <v>34880</v>
      </c>
      <c r="E11006" s="28">
        <v>0.00000</v>
      </c>
      <c r="F11006" s="29">
        <f ca="1">ROUND(6.600,3)</f>
        <v>0</v>
      </c>
      <c r="G11006" s="27">
        <f ca="1">ROUND(E11006*F11006,2)</f>
        <v>0</v>
      </c>
    </row>
    <row r="11007" spans="1:7" ht="21.36" thickBot="1" customHeight="1">
      <c r="A11007" s="24" t="s">
        <v>34881</v>
      </c>
      <c r="B11007" s="24" t="s">
        <v>34882</v>
      </c>
      <c r="C11007" s="24" t="s">
        <v>34883</v>
      </c>
      <c r="D11007" s="25" t="s">
        <v>34884</v>
      </c>
      <c r="E11007" s="28">
        <v>0.50000</v>
      </c>
      <c r="F11007" s="29">
        <f ca="1">ROUND(9.500,3)</f>
        <v>0</v>
      </c>
      <c r="G11007" s="27">
        <f ca="1">ROUND(E11007*F11007,2)</f>
        <v>0</v>
      </c>
    </row>
    <row r="11008" spans="1:7" ht="15.48" thickBot="1" customHeight="1">
      <c r="A11008" s="30"/>
      <c r="B11008" s="30"/>
      <c r="C11008" s="30"/>
      <c r="D11008" s="31" t="s">
        <v>34885</v>
      </c>
      <c r="E11008" s="30"/>
      <c r="F11008" s="33">
        <f ca="1">ROUND((G11004+G11005+G11006+G11007)*(1+G2/100),2)</f>
        <v>0</v>
      </c>
      <c r="G11008" s="30"/>
    </row>
    <row r="11009" spans="1:7" ht="21.36" thickBot="1" customHeight="1">
      <c r="A11009" s="34" t="s">
        <v>34886</v>
      </c>
      <c r="B11009" s="35" t="s">
        <v>34887</v>
      </c>
      <c r="C11009" s="35" t="s">
        <v>34888</v>
      </c>
      <c r="D11009" s="36" t="s">
        <v>34889</v>
      </c>
      <c r="E11009" s="37"/>
      <c r="F11009" s="38">
        <f ca="1">F11015</f>
        <v>0</v>
      </c>
      <c r="G11009" s="37"/>
    </row>
    <row r="11010" spans="1:7" ht="39.84" thickBot="1" customHeight="1">
      <c r="A11010" s="26"/>
      <c r="B11010" s="26"/>
      <c r="C11010" s="26"/>
      <c r="D11010" s="25" t="s">
        <v>34890</v>
      </c>
      <c r="E11010" s="25"/>
      <c r="F11010" s="25"/>
      <c r="G11010" s="25"/>
    </row>
    <row r="11011" spans="1:7" ht="21.36" thickBot="1" customHeight="1">
      <c r="A11011" s="24" t="s">
        <v>34891</v>
      </c>
      <c r="B11011" s="24" t="s">
        <v>34892</v>
      </c>
      <c r="C11011" s="24" t="s">
        <v>34893</v>
      </c>
      <c r="D11011" s="25" t="s">
        <v>34894</v>
      </c>
      <c r="E11011" s="28">
        <v>0.05000</v>
      </c>
      <c r="F11011" s="29">
        <f ca="1">ROUND(5.160,3)</f>
        <v>0</v>
      </c>
      <c r="G11011" s="27">
        <f ca="1">ROUND(E11011*F11011,2)</f>
        <v>0</v>
      </c>
    </row>
    <row r="11012" spans="1:7" ht="21.36" thickBot="1" customHeight="1">
      <c r="A11012" s="24" t="s">
        <v>34895</v>
      </c>
      <c r="B11012" s="24" t="s">
        <v>34896</v>
      </c>
      <c r="C11012" s="24" t="s">
        <v>34897</v>
      </c>
      <c r="D11012" s="25" t="s">
        <v>34898</v>
      </c>
      <c r="E11012" s="28">
        <v>0.02220</v>
      </c>
      <c r="F11012" s="29">
        <f ca="1">ROUND(6.270,3)</f>
        <v>0</v>
      </c>
      <c r="G11012" s="27">
        <f ca="1">ROUND(E11012*F11012,2)</f>
        <v>0</v>
      </c>
    </row>
    <row r="11013" spans="1:7" ht="21.36" thickBot="1" customHeight="1">
      <c r="A11013" s="24" t="s">
        <v>34899</v>
      </c>
      <c r="B11013" s="24" t="s">
        <v>34900</v>
      </c>
      <c r="C11013" s="24" t="s">
        <v>34901</v>
      </c>
      <c r="D11013" s="25" t="s">
        <v>34902</v>
      </c>
      <c r="E11013" s="28">
        <v>126.00000</v>
      </c>
      <c r="F11013" s="29">
        <f ca="1">ROUND(0.250,3)</f>
        <v>0</v>
      </c>
      <c r="G11013" s="27">
        <f ca="1">ROUND(E11013*F11013,2)</f>
        <v>0</v>
      </c>
    </row>
    <row r="11014" spans="1:7" ht="24.36" thickBot="1" customHeight="1">
      <c r="A11014" s="24" t="s">
        <v>34903</v>
      </c>
      <c r="B11014" s="24" t="s">
        <v>34904</v>
      </c>
      <c r="C11014" s="24" t="s">
        <v>34905</v>
      </c>
      <c r="D11014" s="25" t="s">
        <v>34906</v>
      </c>
      <c r="E11014" s="28">
        <v>0.20000</v>
      </c>
      <c r="F11014" s="29">
        <f ca="1">ROUND(49.500,3)</f>
        <v>0</v>
      </c>
      <c r="G11014" s="27">
        <f ca="1">ROUND(E11014*F11014,2)</f>
        <v>0</v>
      </c>
    </row>
    <row r="11015" spans="1:7" ht="15.48" thickBot="1" customHeight="1">
      <c r="A11015" s="30"/>
      <c r="B11015" s="30"/>
      <c r="C11015" s="30"/>
      <c r="D11015" s="31" t="s">
        <v>34907</v>
      </c>
      <c r="E11015" s="30"/>
      <c r="F11015" s="33">
        <f ca="1">ROUND((G11011+G11012+G11013+G11014)*(1+G2/100),2)</f>
        <v>0</v>
      </c>
      <c r="G11015" s="30"/>
    </row>
    <row r="11016" spans="1:7" ht="21.36" thickBot="1" customHeight="1">
      <c r="A11016" s="34" t="s">
        <v>34908</v>
      </c>
      <c r="B11016" s="35" t="s">
        <v>34909</v>
      </c>
      <c r="C11016" s="35" t="s">
        <v>34910</v>
      </c>
      <c r="D11016" s="36" t="s">
        <v>34911</v>
      </c>
      <c r="E11016" s="37"/>
      <c r="F11016" s="38">
        <f ca="1">F11022</f>
        <v>0</v>
      </c>
      <c r="G11016" s="37"/>
    </row>
    <row r="11017" spans="1:7" ht="39.84" thickBot="1" customHeight="1">
      <c r="A11017" s="26"/>
      <c r="B11017" s="26"/>
      <c r="C11017" s="26"/>
      <c r="D11017" s="25" t="s">
        <v>34912</v>
      </c>
      <c r="E11017" s="25"/>
      <c r="F11017" s="25"/>
      <c r="G11017" s="25"/>
    </row>
    <row r="11018" spans="1:7" ht="15.12" thickBot="1" customHeight="1">
      <c r="A11018" s="24" t="s">
        <v>34913</v>
      </c>
      <c r="B11018" s="24" t="s">
        <v>34914</v>
      </c>
      <c r="C11018" s="24" t="s">
        <v>34915</v>
      </c>
      <c r="D11018" s="25" t="s">
        <v>34916</v>
      </c>
      <c r="E11018" s="28">
        <v>1.00000</v>
      </c>
      <c r="F11018" s="29">
        <f ca="1">ROUND(50.000,3)</f>
        <v>0</v>
      </c>
      <c r="G11018" s="27">
        <f ca="1">ROUND(E11018*F11018,2)</f>
        <v>0</v>
      </c>
    </row>
    <row r="11019" spans="1:7" ht="30.60" thickBot="1" customHeight="1">
      <c r="A11019" s="24" t="s">
        <v>34917</v>
      </c>
      <c r="B11019" s="24" t="s">
        <v>34918</v>
      </c>
      <c r="C11019" s="24" t="s">
        <v>34919</v>
      </c>
      <c r="D11019" s="25" t="s">
        <v>34920</v>
      </c>
      <c r="E11019" s="28">
        <v>8.00000</v>
      </c>
      <c r="F11019" s="29">
        <f ca="1">ROUND(0.400,3)</f>
        <v>0</v>
      </c>
      <c r="G11019" s="27">
        <f ca="1">ROUND(E11019*F11019,2)</f>
        <v>0</v>
      </c>
    </row>
    <row r="11020" spans="1:7" ht="30.60" thickBot="1" customHeight="1">
      <c r="A11020" s="24" t="s">
        <v>34921</v>
      </c>
      <c r="B11020" s="24" t="s">
        <v>34922</v>
      </c>
      <c r="C11020" s="24" t="s">
        <v>34923</v>
      </c>
      <c r="D11020" s="25" t="s">
        <v>34924</v>
      </c>
      <c r="E11020" s="28">
        <v>0.15000</v>
      </c>
      <c r="F11020" s="29">
        <f ca="1">ROUND(2.350,3)</f>
        <v>0</v>
      </c>
      <c r="G11020" s="27">
        <f ca="1">ROUND(E11020*F11020,2)</f>
        <v>0</v>
      </c>
    </row>
    <row r="11021" spans="1:7" ht="24.36" thickBot="1" customHeight="1">
      <c r="A11021" s="24" t="s">
        <v>34925</v>
      </c>
      <c r="B11021" s="24" t="s">
        <v>34926</v>
      </c>
      <c r="C11021" s="24" t="s">
        <v>34927</v>
      </c>
      <c r="D11021" s="25" t="s">
        <v>34928</v>
      </c>
      <c r="E11021" s="28">
        <v>0.60000</v>
      </c>
      <c r="F11021" s="29">
        <f ca="1">ROUND(49.500,3)</f>
        <v>0</v>
      </c>
      <c r="G11021" s="27">
        <f ca="1">ROUND(E11021*F11021,2)</f>
        <v>0</v>
      </c>
    </row>
    <row r="11022" spans="1:7" ht="15.48" thickBot="1" customHeight="1">
      <c r="A11022" s="30"/>
      <c r="B11022" s="30"/>
      <c r="C11022" s="30"/>
      <c r="D11022" s="31" t="s">
        <v>34929</v>
      </c>
      <c r="E11022" s="30"/>
      <c r="F11022" s="33">
        <f ca="1">ROUND((G11018+G11019+G11020+G11021)*(1+G2/100),2)</f>
        <v>0</v>
      </c>
      <c r="G11022" s="30"/>
    </row>
    <row r="11023" spans="1:7" ht="15.48" thickBot="1" customHeight="1">
      <c r="A11023" s="34" t="s">
        <v>34930</v>
      </c>
      <c r="B11023" s="35" t="s">
        <v>34931</v>
      </c>
      <c r="C11023" s="35" t="s">
        <v>34932</v>
      </c>
      <c r="D11023" s="36" t="s">
        <v>34933</v>
      </c>
      <c r="E11023" s="37"/>
      <c r="F11023" s="38">
        <f ca="1">F11030</f>
        <v>0</v>
      </c>
      <c r="G11023" s="37"/>
    </row>
    <row r="11024" spans="1:7" ht="49.08" thickBot="1" customHeight="1">
      <c r="A11024" s="26"/>
      <c r="B11024" s="26"/>
      <c r="C11024" s="26"/>
      <c r="D11024" s="25" t="s">
        <v>34934</v>
      </c>
      <c r="E11024" s="25"/>
      <c r="F11024" s="25"/>
      <c r="G11024" s="25"/>
    </row>
    <row r="11025" spans="1:7" ht="15.12" thickBot="1" customHeight="1">
      <c r="A11025" s="24" t="s">
        <v>34935</v>
      </c>
      <c r="B11025" s="24" t="s">
        <v>34936</v>
      </c>
      <c r="C11025" s="24" t="s">
        <v>34937</v>
      </c>
      <c r="D11025" s="25" t="s">
        <v>34938</v>
      </c>
      <c r="E11025" s="28">
        <v>1.05000</v>
      </c>
      <c r="F11025" s="29">
        <f ca="1">ROUND(65.000,3)</f>
        <v>0</v>
      </c>
      <c r="G11025" s="27">
        <f ca="1">ROUND(E11025*F11025,2)</f>
        <v>0</v>
      </c>
    </row>
    <row r="11026" spans="1:7" ht="30.60" thickBot="1" customHeight="1">
      <c r="A11026" s="24" t="s">
        <v>34939</v>
      </c>
      <c r="B11026" s="24" t="s">
        <v>34940</v>
      </c>
      <c r="C11026" s="24" t="s">
        <v>34941</v>
      </c>
      <c r="D11026" s="25" t="s">
        <v>34942</v>
      </c>
      <c r="E11026" s="28">
        <v>6.00000</v>
      </c>
      <c r="F11026" s="29">
        <f ca="1">ROUND(0.400,3)</f>
        <v>0</v>
      </c>
      <c r="G11026" s="27">
        <f ca="1">ROUND(E11026*F11026,2)</f>
        <v>0</v>
      </c>
    </row>
    <row r="11027" spans="1:7" ht="30.60" thickBot="1" customHeight="1">
      <c r="A11027" s="24" t="s">
        <v>34943</v>
      </c>
      <c r="B11027" s="24" t="s">
        <v>34944</v>
      </c>
      <c r="C11027" s="24" t="s">
        <v>34945</v>
      </c>
      <c r="D11027" s="25" t="s">
        <v>34946</v>
      </c>
      <c r="E11027" s="28">
        <v>0.90000</v>
      </c>
      <c r="F11027" s="29">
        <f ca="1">ROUND(2.350,3)</f>
        <v>0</v>
      </c>
      <c r="G11027" s="27">
        <f ca="1">ROUND(E11027*F11027,2)</f>
        <v>0</v>
      </c>
    </row>
    <row r="11028" spans="1:7" ht="15.12" thickBot="1" customHeight="1">
      <c r="A11028" s="24" t="s">
        <v>34947</v>
      </c>
      <c r="B11028" s="24" t="s">
        <v>34948</v>
      </c>
      <c r="C11028" s="24" t="s">
        <v>34949</v>
      </c>
      <c r="D11028" s="25" t="s">
        <v>34950</v>
      </c>
      <c r="E11028" s="28">
        <v>50.00000</v>
      </c>
      <c r="F11028" s="29">
        <f ca="1">ROUND(0.020,3)</f>
        <v>0</v>
      </c>
      <c r="G11028" s="27">
        <f ca="1">ROUND(E11028*F11028,2)</f>
        <v>0</v>
      </c>
    </row>
    <row r="11029" spans="1:7" ht="24.36" thickBot="1" customHeight="1">
      <c r="A11029" s="24" t="s">
        <v>34951</v>
      </c>
      <c r="B11029" s="24" t="s">
        <v>34952</v>
      </c>
      <c r="C11029" s="24" t="s">
        <v>34953</v>
      </c>
      <c r="D11029" s="25" t="s">
        <v>34954</v>
      </c>
      <c r="E11029" s="28">
        <v>1.33300</v>
      </c>
      <c r="F11029" s="29">
        <f ca="1">ROUND(49.500,3)</f>
        <v>0</v>
      </c>
      <c r="G11029" s="27">
        <f ca="1">ROUND(E11029*F11029,2)</f>
        <v>0</v>
      </c>
    </row>
    <row r="11030" spans="1:7" ht="15.48" thickBot="1" customHeight="1">
      <c r="A11030" s="30"/>
      <c r="B11030" s="30"/>
      <c r="C11030" s="30"/>
      <c r="D11030" s="31" t="s">
        <v>34955</v>
      </c>
      <c r="E11030" s="30"/>
      <c r="F11030" s="33">
        <f ca="1">ROUND((G11025+G11026+G11027+G11028+G11029)*(1+G2/100),2)</f>
        <v>0</v>
      </c>
      <c r="G11030" s="30"/>
    </row>
    <row r="11031" spans="1:7" ht="21.36" thickBot="1" customHeight="1">
      <c r="A11031" s="34" t="s">
        <v>34956</v>
      </c>
      <c r="B11031" s="35" t="s">
        <v>34957</v>
      </c>
      <c r="C11031" s="35" t="s">
        <v>34958</v>
      </c>
      <c r="D11031" s="36" t="s">
        <v>34959</v>
      </c>
      <c r="E11031" s="37"/>
      <c r="F11031" s="38">
        <f ca="1">F11035</f>
        <v>0</v>
      </c>
      <c r="G11031" s="37"/>
    </row>
    <row r="11032" spans="1:7" ht="21.36" thickBot="1" customHeight="1">
      <c r="A11032" s="26"/>
      <c r="B11032" s="26"/>
      <c r="C11032" s="26"/>
      <c r="D11032" s="25" t="s">
        <v>34960</v>
      </c>
      <c r="E11032" s="25"/>
      <c r="F11032" s="25"/>
      <c r="G11032" s="25"/>
    </row>
    <row r="11033" spans="1:7" ht="30.60" thickBot="1" customHeight="1">
      <c r="A11033" s="24" t="s">
        <v>34961</v>
      </c>
      <c r="B11033" s="24" t="s">
        <v>34962</v>
      </c>
      <c r="C11033" s="24" t="s">
        <v>34963</v>
      </c>
      <c r="D11033" s="25" t="s">
        <v>34964</v>
      </c>
      <c r="E11033" s="28">
        <v>1.00000</v>
      </c>
      <c r="F11033" s="29">
        <f ca="1">ROUND(63.700,3)</f>
        <v>0</v>
      </c>
      <c r="G11033" s="27">
        <f ca="1">ROUND(E11033*F11033,2)</f>
        <v>0</v>
      </c>
    </row>
    <row r="11034" spans="1:7" ht="24.36" thickBot="1" customHeight="1">
      <c r="A11034" s="24" t="s">
        <v>34965</v>
      </c>
      <c r="B11034" s="24" t="s">
        <v>34966</v>
      </c>
      <c r="C11034" s="24" t="s">
        <v>34967</v>
      </c>
      <c r="D11034" s="25" t="s">
        <v>34968</v>
      </c>
      <c r="E11034" s="28">
        <v>0.10000</v>
      </c>
      <c r="F11034" s="29">
        <f ca="1">ROUND(49.500,3)</f>
        <v>0</v>
      </c>
      <c r="G11034" s="27">
        <f ca="1">ROUND(E11034*F11034,2)</f>
        <v>0</v>
      </c>
    </row>
    <row r="11035" spans="1:7" ht="15.48" thickBot="1" customHeight="1">
      <c r="A11035" s="30"/>
      <c r="B11035" s="30"/>
      <c r="C11035" s="30"/>
      <c r="D11035" s="31" t="s">
        <v>34969</v>
      </c>
      <c r="E11035" s="30"/>
      <c r="F11035" s="33">
        <f ca="1">ROUND((G11033+G11034)*(1+G2/100),2)</f>
        <v>0</v>
      </c>
      <c r="G11035" s="30"/>
    </row>
    <row r="11036" spans="1:7" ht="25.08" thickBot="1" customHeight="1">
      <c r="A11036" s="42" t="s">
        <v>34970</v>
      </c>
      <c r="B11036" s="42" t="s">
        <v>34971</v>
      </c>
      <c r="C11036" s="43"/>
      <c r="D11036" s="44" t="s">
        <v>34972</v>
      </c>
      <c r="E11036" s="43"/>
      <c r="F11036" s="43"/>
      <c r="G11036" s="43"/>
    </row>
    <row r="11037" spans="1:7" ht="25.08" thickBot="1" customHeight="1">
      <c r="A11037" s="45" t="s">
        <v>34973</v>
      </c>
      <c r="B11037" s="45" t="s">
        <v>34974</v>
      </c>
      <c r="C11037" s="46"/>
      <c r="D11037" s="47" t="s">
        <v>34975</v>
      </c>
      <c r="E11037" s="46"/>
      <c r="F11037" s="46"/>
      <c r="G11037" s="46"/>
    </row>
    <row r="11038" spans="1:7" ht="30.60" thickBot="1" customHeight="1">
      <c r="A11038" s="10" t="s">
        <v>34976</v>
      </c>
      <c r="B11038" s="24" t="s">
        <v>34977</v>
      </c>
      <c r="C11038" s="24" t="s">
        <v>34978</v>
      </c>
      <c r="D11038" s="25" t="s">
        <v>34979</v>
      </c>
      <c r="E11038" s="26"/>
      <c r="F11038" s="27">
        <f ca="1">F11049</f>
        <v>0</v>
      </c>
      <c r="G11038" s="26"/>
    </row>
    <row r="11039" spans="1:7" ht="30.60" thickBot="1" customHeight="1">
      <c r="A11039" s="26"/>
      <c r="B11039" s="26"/>
      <c r="C11039" s="26"/>
      <c r="D11039" s="25" t="s">
        <v>34980</v>
      </c>
      <c r="E11039" s="25"/>
      <c r="F11039" s="25"/>
      <c r="G11039" s="25"/>
    </row>
    <row r="11040" spans="1:7" ht="24.36" thickBot="1" customHeight="1">
      <c r="A11040" s="24" t="s">
        <v>34981</v>
      </c>
      <c r="B11040" s="24" t="s">
        <v>34982</v>
      </c>
      <c r="C11040" s="24" t="s">
        <v>34983</v>
      </c>
      <c r="D11040" s="25" t="s">
        <v>34984</v>
      </c>
      <c r="E11040" s="28">
        <v>4.00000</v>
      </c>
      <c r="F11040" s="29">
        <f ca="1">ROUND(3.150,3)</f>
        <v>0</v>
      </c>
      <c r="G11040" s="27">
        <f ca="1">ROUND(E11040*F11040,2)</f>
        <v>0</v>
      </c>
    </row>
    <row r="11041" spans="1:7" ht="30.60" thickBot="1" customHeight="1">
      <c r="A11041" s="24" t="s">
        <v>34985</v>
      </c>
      <c r="B11041" s="24" t="s">
        <v>34986</v>
      </c>
      <c r="C11041" s="24" t="s">
        <v>34987</v>
      </c>
      <c r="D11041" s="25" t="s">
        <v>34988</v>
      </c>
      <c r="E11041" s="28">
        <v>0.06666</v>
      </c>
      <c r="F11041" s="29">
        <f ca="1">ROUND(8.350,3)</f>
        <v>0</v>
      </c>
      <c r="G11041" s="27">
        <f ca="1">ROUND(E11041*F11041,2)</f>
        <v>0</v>
      </c>
    </row>
    <row r="11042" spans="1:7" ht="30.60" thickBot="1" customHeight="1">
      <c r="A11042" s="24" t="s">
        <v>34989</v>
      </c>
      <c r="B11042" s="24" t="s">
        <v>34990</v>
      </c>
      <c r="C11042" s="24" t="s">
        <v>34991</v>
      </c>
      <c r="D11042" s="25" t="s">
        <v>34992</v>
      </c>
      <c r="E11042" s="28">
        <v>0.04000</v>
      </c>
      <c r="F11042" s="29">
        <f ca="1">ROUND(11.740,3)</f>
        <v>0</v>
      </c>
      <c r="G11042" s="27">
        <f ca="1">ROUND(E11042*F11042,2)</f>
        <v>0</v>
      </c>
    </row>
    <row r="11043" spans="1:7" ht="21.36" thickBot="1" customHeight="1">
      <c r="A11043" s="24" t="s">
        <v>34993</v>
      </c>
      <c r="B11043" s="24" t="s">
        <v>34994</v>
      </c>
      <c r="C11043" s="24" t="s">
        <v>34995</v>
      </c>
      <c r="D11043" s="25" t="s">
        <v>34996</v>
      </c>
      <c r="E11043" s="28">
        <v>0.40000</v>
      </c>
      <c r="F11043" s="29">
        <f ca="1">F11047</f>
        <v>0</v>
      </c>
      <c r="G11043" s="27">
        <f ca="1">ROUND(E11043*F11043,2)</f>
        <v>0</v>
      </c>
    </row>
    <row r="11044" spans="1:7" ht="24.36" thickBot="1" customHeight="1">
      <c r="A11044" s="24" t="s">
        <v>34997</v>
      </c>
      <c r="B11044" s="24" t="s">
        <v>34998</v>
      </c>
      <c r="C11044" s="24" t="s">
        <v>34999</v>
      </c>
      <c r="D11044" s="25" t="s">
        <v>35000</v>
      </c>
      <c r="E11044" s="28">
        <v>1.00000</v>
      </c>
      <c r="F11044" s="29">
        <f ca="1">ROUND(21.000,3)</f>
        <v>0</v>
      </c>
      <c r="G11044" s="27">
        <f ca="1">ROUND(E11044*F11044,2)</f>
        <v>0</v>
      </c>
    </row>
    <row r="11045" spans="1:7" ht="24.36" thickBot="1" customHeight="1">
      <c r="A11045" s="24" t="s">
        <v>35001</v>
      </c>
      <c r="B11045" s="24" t="s">
        <v>35002</v>
      </c>
      <c r="C11045" s="24" t="s">
        <v>35003</v>
      </c>
      <c r="D11045" s="25" t="s">
        <v>35004</v>
      </c>
      <c r="E11045" s="28">
        <v>1.00000</v>
      </c>
      <c r="F11045" s="29">
        <f ca="1">ROUND(19.000,3)</f>
        <v>0</v>
      </c>
      <c r="G11045" s="27">
        <f ca="1">ROUND(E11045*F11045,2)</f>
        <v>0</v>
      </c>
    </row>
    <row r="11046" spans="1:7" ht="24.36" thickBot="1" customHeight="1">
      <c r="A11046" s="24" t="s">
        <v>35005</v>
      </c>
      <c r="B11046" s="24" t="s">
        <v>35006</v>
      </c>
      <c r="C11046" s="24" t="s">
        <v>35007</v>
      </c>
      <c r="D11046" s="25" t="s">
        <v>35008</v>
      </c>
      <c r="E11046" s="28">
        <v>0.20000</v>
      </c>
      <c r="F11046" s="29">
        <f ca="1">ROUND(19.000,3)</f>
        <v>0</v>
      </c>
      <c r="G11046" s="27">
        <f ca="1">ROUND(E11046*F11046,2)</f>
        <v>0</v>
      </c>
    </row>
    <row r="11047" spans="1:7" ht="15.12" thickBot="1" customHeight="1">
      <c r="A11047" s="26"/>
      <c r="B11047" s="26"/>
      <c r="C11047" s="26"/>
      <c r="D11047" s="24" t="s">
        <v>35009</v>
      </c>
      <c r="E11047" s="28">
        <v>0.40000</v>
      </c>
      <c r="F11047" s="29">
        <f ca="1">ROUND((G11044+G11045+G11046),3)</f>
        <v>0</v>
      </c>
      <c r="G11047" s="27">
        <f ca="1">ROUND(E11047*F11047,2)</f>
        <v>0</v>
      </c>
    </row>
    <row r="11048" spans="1:7" ht="15.12" thickBot="1" customHeight="1">
      <c r="A11048" s="24" t="s">
        <v>35010</v>
      </c>
      <c r="B11048" s="24"/>
      <c r="C11048" s="24" t="s">
        <v>35011</v>
      </c>
      <c r="D11048" s="25" t="s">
        <v>35012</v>
      </c>
      <c r="E11048" s="28">
        <v>7.00000</v>
      </c>
      <c r="F11048" s="29">
        <f ca="1">ROUND(17.520,3)</f>
        <v>0</v>
      </c>
      <c r="G11048" s="27">
        <f ca="1">ROUND((E11048*F11048)/100,2)</f>
        <v>0</v>
      </c>
    </row>
    <row r="11049" spans="1:7" ht="15.48" thickBot="1" customHeight="1">
      <c r="A11049" s="30"/>
      <c r="B11049" s="30"/>
      <c r="C11049" s="30"/>
      <c r="D11049" s="31" t="s">
        <v>35013</v>
      </c>
      <c r="E11049" s="30"/>
      <c r="F11049" s="33">
        <f ca="1">ROUND((G11040+G11041+G11042+G11043+G11048)*(1+G2/100),2)</f>
        <v>0</v>
      </c>
      <c r="G11049" s="30"/>
    </row>
    <row r="11050" spans="1:7" ht="30.60" thickBot="1" customHeight="1">
      <c r="A11050" s="34" t="s">
        <v>35014</v>
      </c>
      <c r="B11050" s="35" t="s">
        <v>35015</v>
      </c>
      <c r="C11050" s="35" t="s">
        <v>35016</v>
      </c>
      <c r="D11050" s="36" t="s">
        <v>35017</v>
      </c>
      <c r="E11050" s="37"/>
      <c r="F11050" s="38">
        <f ca="1">F11061</f>
        <v>0</v>
      </c>
      <c r="G11050" s="37"/>
    </row>
    <row r="11051" spans="1:7" ht="12.12" thickBot="1" customHeight="1">
      <c r="A11051" s="26"/>
      <c r="B11051" s="26"/>
      <c r="C11051" s="26"/>
      <c r="D11051" s="25" t="s">
        <v>35018</v>
      </c>
      <c r="E11051" s="25"/>
      <c r="F11051" s="25"/>
      <c r="G11051" s="25"/>
    </row>
    <row r="11052" spans="1:7" ht="39.84" thickBot="1" customHeight="1">
      <c r="A11052" s="24" t="s">
        <v>35019</v>
      </c>
      <c r="B11052" s="24" t="s">
        <v>35020</v>
      </c>
      <c r="C11052" s="24" t="s">
        <v>35021</v>
      </c>
      <c r="D11052" s="25" t="s">
        <v>35022</v>
      </c>
      <c r="E11052" s="28">
        <v>0.63000</v>
      </c>
      <c r="F11052" s="29">
        <f ca="1">ROUND(21.120,3)</f>
        <v>0</v>
      </c>
      <c r="G11052" s="27">
        <f ca="1">ROUND(E11052*F11052,2)</f>
        <v>0</v>
      </c>
    </row>
    <row r="11053" spans="1:7" ht="30.60" thickBot="1" customHeight="1">
      <c r="A11053" s="24" t="s">
        <v>35023</v>
      </c>
      <c r="B11053" s="24" t="s">
        <v>35024</v>
      </c>
      <c r="C11053" s="24" t="s">
        <v>35025</v>
      </c>
      <c r="D11053" s="25" t="s">
        <v>35026</v>
      </c>
      <c r="E11053" s="28">
        <v>0.12600</v>
      </c>
      <c r="F11053" s="29">
        <f ca="1">ROUND(8.350,3)</f>
        <v>0</v>
      </c>
      <c r="G11053" s="27">
        <f ca="1">ROUND(E11053*F11053,2)</f>
        <v>0</v>
      </c>
    </row>
    <row r="11054" spans="1:7" ht="30.60" thickBot="1" customHeight="1">
      <c r="A11054" s="24" t="s">
        <v>35027</v>
      </c>
      <c r="B11054" s="24" t="s">
        <v>35028</v>
      </c>
      <c r="C11054" s="24" t="s">
        <v>35029</v>
      </c>
      <c r="D11054" s="25" t="s">
        <v>35030</v>
      </c>
      <c r="E11054" s="28">
        <v>0.04000</v>
      </c>
      <c r="F11054" s="29">
        <f ca="1">ROUND(11.740,3)</f>
        <v>0</v>
      </c>
      <c r="G11054" s="27">
        <f ca="1">ROUND(E11054*F11054,2)</f>
        <v>0</v>
      </c>
    </row>
    <row r="11055" spans="1:7" ht="21.36" thickBot="1" customHeight="1">
      <c r="A11055" s="24" t="s">
        <v>35031</v>
      </c>
      <c r="B11055" s="24" t="s">
        <v>35032</v>
      </c>
      <c r="C11055" s="24" t="s">
        <v>35033</v>
      </c>
      <c r="D11055" s="25" t="s">
        <v>35034</v>
      </c>
      <c r="E11055" s="28">
        <v>0.40000</v>
      </c>
      <c r="F11055" s="29">
        <f ca="1">F11059</f>
        <v>0</v>
      </c>
      <c r="G11055" s="27">
        <f ca="1">ROUND(E11055*F11055,2)</f>
        <v>0</v>
      </c>
    </row>
    <row r="11056" spans="1:7" ht="24.36" thickBot="1" customHeight="1">
      <c r="A11056" s="24" t="s">
        <v>35035</v>
      </c>
      <c r="B11056" s="24" t="s">
        <v>35036</v>
      </c>
      <c r="C11056" s="24" t="s">
        <v>35037</v>
      </c>
      <c r="D11056" s="25" t="s">
        <v>35038</v>
      </c>
      <c r="E11056" s="28">
        <v>1.00000</v>
      </c>
      <c r="F11056" s="29">
        <f ca="1">ROUND(21.000,3)</f>
        <v>0</v>
      </c>
      <c r="G11056" s="27">
        <f ca="1">ROUND(E11056*F11056,2)</f>
        <v>0</v>
      </c>
    </row>
    <row r="11057" spans="1:7" ht="24.36" thickBot="1" customHeight="1">
      <c r="A11057" s="24" t="s">
        <v>35039</v>
      </c>
      <c r="B11057" s="24" t="s">
        <v>35040</v>
      </c>
      <c r="C11057" s="24" t="s">
        <v>35041</v>
      </c>
      <c r="D11057" s="25" t="s">
        <v>35042</v>
      </c>
      <c r="E11057" s="28">
        <v>1.00000</v>
      </c>
      <c r="F11057" s="29">
        <f ca="1">ROUND(19.000,3)</f>
        <v>0</v>
      </c>
      <c r="G11057" s="27">
        <f ca="1">ROUND(E11057*F11057,2)</f>
        <v>0</v>
      </c>
    </row>
    <row r="11058" spans="1:7" ht="24.36" thickBot="1" customHeight="1">
      <c r="A11058" s="24" t="s">
        <v>35043</v>
      </c>
      <c r="B11058" s="24" t="s">
        <v>35044</v>
      </c>
      <c r="C11058" s="24" t="s">
        <v>35045</v>
      </c>
      <c r="D11058" s="25" t="s">
        <v>35046</v>
      </c>
      <c r="E11058" s="28">
        <v>0.20000</v>
      </c>
      <c r="F11058" s="29">
        <f ca="1">ROUND(19.000,3)</f>
        <v>0</v>
      </c>
      <c r="G11058" s="27">
        <f ca="1">ROUND(E11058*F11058,2)</f>
        <v>0</v>
      </c>
    </row>
    <row r="11059" spans="1:7" ht="15.12" thickBot="1" customHeight="1">
      <c r="A11059" s="26"/>
      <c r="B11059" s="26"/>
      <c r="C11059" s="26"/>
      <c r="D11059" s="24" t="s">
        <v>35047</v>
      </c>
      <c r="E11059" s="28">
        <v>0.40000</v>
      </c>
      <c r="F11059" s="29">
        <f ca="1">ROUND((G11056+G11057+G11058),3)</f>
        <v>0</v>
      </c>
      <c r="G11059" s="27">
        <f ca="1">ROUND(E11059*F11059,2)</f>
        <v>0</v>
      </c>
    </row>
    <row r="11060" spans="1:7" ht="15.12" thickBot="1" customHeight="1">
      <c r="A11060" s="24" t="s">
        <v>35048</v>
      </c>
      <c r="B11060" s="24"/>
      <c r="C11060" s="24" t="s">
        <v>35049</v>
      </c>
      <c r="D11060" s="25" t="s">
        <v>35050</v>
      </c>
      <c r="E11060" s="28">
        <v>7.00000</v>
      </c>
      <c r="F11060" s="29">
        <f ca="1">ROUND(17.520,3)</f>
        <v>0</v>
      </c>
      <c r="G11060" s="27">
        <f ca="1">ROUND((E11060*F11060)/100,2)</f>
        <v>0</v>
      </c>
    </row>
    <row r="11061" spans="1:7" ht="15.48" thickBot="1" customHeight="1">
      <c r="A11061" s="30"/>
      <c r="B11061" s="30"/>
      <c r="C11061" s="30"/>
      <c r="D11061" s="31" t="s">
        <v>35051</v>
      </c>
      <c r="E11061" s="30"/>
      <c r="F11061" s="33">
        <f ca="1">ROUND((G11052+G11053+G11054+G11055+G11060)*(1+G2/100),2)</f>
        <v>0</v>
      </c>
      <c r="G11061" s="30"/>
    </row>
    <row r="11062" spans="1:7" ht="25.08" thickBot="1" customHeight="1">
      <c r="A11062" s="34" t="s">
        <v>35052</v>
      </c>
      <c r="B11062" s="35" t="s">
        <v>35053</v>
      </c>
      <c r="C11062" s="35" t="s">
        <v>35054</v>
      </c>
      <c r="D11062" s="36" t="s">
        <v>35055</v>
      </c>
      <c r="E11062" s="37"/>
      <c r="F11062" s="38">
        <f ca="1">F11073</f>
        <v>0</v>
      </c>
      <c r="G11062" s="37"/>
    </row>
    <row r="11063" spans="1:7" ht="12.12" thickBot="1" customHeight="1">
      <c r="A11063" s="26"/>
      <c r="B11063" s="26"/>
      <c r="C11063" s="26"/>
      <c r="D11063" s="25" t="s">
        <v>35056</v>
      </c>
      <c r="E11063" s="25"/>
      <c r="F11063" s="25"/>
      <c r="G11063" s="25"/>
    </row>
    <row r="11064" spans="1:7" ht="30.60" thickBot="1" customHeight="1">
      <c r="A11064" s="24" t="s">
        <v>35057</v>
      </c>
      <c r="B11064" s="24" t="s">
        <v>35058</v>
      </c>
      <c r="C11064" s="24" t="s">
        <v>35059</v>
      </c>
      <c r="D11064" s="25" t="s">
        <v>35060</v>
      </c>
      <c r="E11064" s="28">
        <v>3.15000</v>
      </c>
      <c r="F11064" s="29">
        <f ca="1">ROUND(1.950,3)</f>
        <v>0</v>
      </c>
      <c r="G11064" s="27">
        <f ca="1">ROUND(E11064*F11064,2)</f>
        <v>0</v>
      </c>
    </row>
    <row r="11065" spans="1:7" ht="49.08" thickBot="1" customHeight="1">
      <c r="A11065" s="24" t="s">
        <v>35061</v>
      </c>
      <c r="B11065" s="24" t="s">
        <v>35062</v>
      </c>
      <c r="C11065" s="24" t="s">
        <v>35063</v>
      </c>
      <c r="D11065" s="25" t="s">
        <v>35064</v>
      </c>
      <c r="E11065" s="28">
        <v>0.03520</v>
      </c>
      <c r="F11065" s="29">
        <f ca="1">ROUND(10.250,3)</f>
        <v>0</v>
      </c>
      <c r="G11065" s="27">
        <f ca="1">ROUND(E11065*F11065,2)</f>
        <v>0</v>
      </c>
    </row>
    <row r="11066" spans="1:7" ht="30.60" thickBot="1" customHeight="1">
      <c r="A11066" s="24" t="s">
        <v>35065</v>
      </c>
      <c r="B11066" s="24" t="s">
        <v>35066</v>
      </c>
      <c r="C11066" s="24" t="s">
        <v>35067</v>
      </c>
      <c r="D11066" s="25" t="s">
        <v>35068</v>
      </c>
      <c r="E11066" s="28">
        <v>0.00700</v>
      </c>
      <c r="F11066" s="29">
        <f ca="1">ROUND(11.740,3)</f>
        <v>0</v>
      </c>
      <c r="G11066" s="27">
        <f ca="1">ROUND(E11066*F11066,2)</f>
        <v>0</v>
      </c>
    </row>
    <row r="11067" spans="1:7" ht="21.36" thickBot="1" customHeight="1">
      <c r="A11067" s="24" t="s">
        <v>35069</v>
      </c>
      <c r="B11067" s="24" t="s">
        <v>35070</v>
      </c>
      <c r="C11067" s="24" t="s">
        <v>35071</v>
      </c>
      <c r="D11067" s="25" t="s">
        <v>35072</v>
      </c>
      <c r="E11067" s="28">
        <v>0.11429</v>
      </c>
      <c r="F11067" s="29">
        <f ca="1">F11071</f>
        <v>0</v>
      </c>
      <c r="G11067" s="27">
        <f ca="1">ROUND(E11067*F11067,2)</f>
        <v>0</v>
      </c>
    </row>
    <row r="11068" spans="1:7" ht="24.36" thickBot="1" customHeight="1">
      <c r="A11068" s="24" t="s">
        <v>35073</v>
      </c>
      <c r="B11068" s="24" t="s">
        <v>35074</v>
      </c>
      <c r="C11068" s="24" t="s">
        <v>35075</v>
      </c>
      <c r="D11068" s="25" t="s">
        <v>35076</v>
      </c>
      <c r="E11068" s="28">
        <v>1.00000</v>
      </c>
      <c r="F11068" s="29">
        <f ca="1">ROUND(21.000,3)</f>
        <v>0</v>
      </c>
      <c r="G11068" s="27">
        <f ca="1">ROUND(E11068*F11068,2)</f>
        <v>0</v>
      </c>
    </row>
    <row r="11069" spans="1:7" ht="24.36" thickBot="1" customHeight="1">
      <c r="A11069" s="24" t="s">
        <v>35077</v>
      </c>
      <c r="B11069" s="24" t="s">
        <v>35078</v>
      </c>
      <c r="C11069" s="24" t="s">
        <v>35079</v>
      </c>
      <c r="D11069" s="25" t="s">
        <v>35080</v>
      </c>
      <c r="E11069" s="28">
        <v>1.00000</v>
      </c>
      <c r="F11069" s="29">
        <f ca="1">ROUND(19.000,3)</f>
        <v>0</v>
      </c>
      <c r="G11069" s="27">
        <f ca="1">ROUND(E11069*F11069,2)</f>
        <v>0</v>
      </c>
    </row>
    <row r="11070" spans="1:7" ht="24.36" thickBot="1" customHeight="1">
      <c r="A11070" s="24" t="s">
        <v>35081</v>
      </c>
      <c r="B11070" s="24" t="s">
        <v>35082</v>
      </c>
      <c r="C11070" s="24" t="s">
        <v>35083</v>
      </c>
      <c r="D11070" s="25" t="s">
        <v>35084</v>
      </c>
      <c r="E11070" s="28">
        <v>0.20000</v>
      </c>
      <c r="F11070" s="29">
        <f ca="1">ROUND(19.000,3)</f>
        <v>0</v>
      </c>
      <c r="G11070" s="27">
        <f ca="1">ROUND(E11070*F11070,2)</f>
        <v>0</v>
      </c>
    </row>
    <row r="11071" spans="1:7" ht="15.12" thickBot="1" customHeight="1">
      <c r="A11071" s="26"/>
      <c r="B11071" s="26"/>
      <c r="C11071" s="26"/>
      <c r="D11071" s="24" t="s">
        <v>35085</v>
      </c>
      <c r="E11071" s="28">
        <v>0.11429</v>
      </c>
      <c r="F11071" s="29">
        <f ca="1">ROUND((G11068+G11069+G11070),3)</f>
        <v>0</v>
      </c>
      <c r="G11071" s="27">
        <f ca="1">ROUND(E11071*F11071,2)</f>
        <v>0</v>
      </c>
    </row>
    <row r="11072" spans="1:7" ht="15.12" thickBot="1" customHeight="1">
      <c r="A11072" s="24" t="s">
        <v>35086</v>
      </c>
      <c r="B11072" s="24"/>
      <c r="C11072" s="24" t="s">
        <v>35087</v>
      </c>
      <c r="D11072" s="25" t="s">
        <v>35088</v>
      </c>
      <c r="E11072" s="28">
        <v>5.00000</v>
      </c>
      <c r="F11072" s="29">
        <f ca="1">ROUND(5.010,3)</f>
        <v>0</v>
      </c>
      <c r="G11072" s="27">
        <f ca="1">ROUND((E11072*F11072)/100,2)</f>
        <v>0</v>
      </c>
    </row>
    <row r="11073" spans="1:7" ht="15.48" thickBot="1" customHeight="1">
      <c r="A11073" s="30"/>
      <c r="B11073" s="30"/>
      <c r="C11073" s="30"/>
      <c r="D11073" s="31" t="s">
        <v>35089</v>
      </c>
      <c r="E11073" s="30"/>
      <c r="F11073" s="33">
        <f ca="1">ROUND((G11064+G11065+G11066+G11067+G11072)*(1+G2/100),2)</f>
        <v>0</v>
      </c>
      <c r="G11073" s="30"/>
    </row>
    <row r="11074" spans="1:7" ht="25.08" thickBot="1" customHeight="1">
      <c r="A11074" s="34" t="s">
        <v>35090</v>
      </c>
      <c r="B11074" s="35" t="s">
        <v>35091</v>
      </c>
      <c r="C11074" s="35" t="s">
        <v>35092</v>
      </c>
      <c r="D11074" s="36" t="s">
        <v>35093</v>
      </c>
      <c r="E11074" s="37"/>
      <c r="F11074" s="38">
        <f ca="1">F11085</f>
        <v>0</v>
      </c>
      <c r="G11074" s="37"/>
    </row>
    <row r="11075" spans="1:7" ht="12.12" thickBot="1" customHeight="1">
      <c r="A11075" s="26"/>
      <c r="B11075" s="26"/>
      <c r="C11075" s="26"/>
      <c r="D11075" s="25" t="s">
        <v>35094</v>
      </c>
      <c r="E11075" s="25"/>
      <c r="F11075" s="25"/>
      <c r="G11075" s="25"/>
    </row>
    <row r="11076" spans="1:7" ht="30.60" thickBot="1" customHeight="1">
      <c r="A11076" s="24" t="s">
        <v>35095</v>
      </c>
      <c r="B11076" s="24" t="s">
        <v>35096</v>
      </c>
      <c r="C11076" s="24" t="s">
        <v>35097</v>
      </c>
      <c r="D11076" s="25" t="s">
        <v>35098</v>
      </c>
      <c r="E11076" s="28">
        <v>2.33333</v>
      </c>
      <c r="F11076" s="29">
        <f ca="1">ROUND(1.990,3)</f>
        <v>0</v>
      </c>
      <c r="G11076" s="27">
        <f ca="1">ROUND(E11076*F11076,2)</f>
        <v>0</v>
      </c>
    </row>
    <row r="11077" spans="1:7" ht="49.08" thickBot="1" customHeight="1">
      <c r="A11077" s="24" t="s">
        <v>35099</v>
      </c>
      <c r="B11077" s="24" t="s">
        <v>35100</v>
      </c>
      <c r="C11077" s="24" t="s">
        <v>35101</v>
      </c>
      <c r="D11077" s="25" t="s">
        <v>35102</v>
      </c>
      <c r="E11077" s="28">
        <v>0.03520</v>
      </c>
      <c r="F11077" s="29">
        <f ca="1">ROUND(10.250,3)</f>
        <v>0</v>
      </c>
      <c r="G11077" s="27">
        <f ca="1">ROUND(E11077*F11077,2)</f>
        <v>0</v>
      </c>
    </row>
    <row r="11078" spans="1:7" ht="30.60" thickBot="1" customHeight="1">
      <c r="A11078" s="24" t="s">
        <v>35103</v>
      </c>
      <c r="B11078" s="24" t="s">
        <v>35104</v>
      </c>
      <c r="C11078" s="24" t="s">
        <v>35105</v>
      </c>
      <c r="D11078" s="25" t="s">
        <v>35106</v>
      </c>
      <c r="E11078" s="28">
        <v>0.00746</v>
      </c>
      <c r="F11078" s="29">
        <f ca="1">ROUND(11.740,3)</f>
        <v>0</v>
      </c>
      <c r="G11078" s="27">
        <f ca="1">ROUND(E11078*F11078,2)</f>
        <v>0</v>
      </c>
    </row>
    <row r="11079" spans="1:7" ht="21.36" thickBot="1" customHeight="1">
      <c r="A11079" s="24" t="s">
        <v>35107</v>
      </c>
      <c r="B11079" s="24" t="s">
        <v>35108</v>
      </c>
      <c r="C11079" s="24" t="s">
        <v>35109</v>
      </c>
      <c r="D11079" s="25" t="s">
        <v>35110</v>
      </c>
      <c r="E11079" s="28">
        <v>0.11429</v>
      </c>
      <c r="F11079" s="29">
        <f ca="1">F11083</f>
        <v>0</v>
      </c>
      <c r="G11079" s="27">
        <f ca="1">ROUND(E11079*F11079,2)</f>
        <v>0</v>
      </c>
    </row>
    <row r="11080" spans="1:7" ht="24.36" thickBot="1" customHeight="1">
      <c r="A11080" s="24" t="s">
        <v>35111</v>
      </c>
      <c r="B11080" s="24" t="s">
        <v>35112</v>
      </c>
      <c r="C11080" s="24" t="s">
        <v>35113</v>
      </c>
      <c r="D11080" s="25" t="s">
        <v>35114</v>
      </c>
      <c r="E11080" s="28">
        <v>1.00000</v>
      </c>
      <c r="F11080" s="29">
        <f ca="1">ROUND(21.000,3)</f>
        <v>0</v>
      </c>
      <c r="G11080" s="27">
        <f ca="1">ROUND(E11080*F11080,2)</f>
        <v>0</v>
      </c>
    </row>
    <row r="11081" spans="1:7" ht="24.36" thickBot="1" customHeight="1">
      <c r="A11081" s="24" t="s">
        <v>35115</v>
      </c>
      <c r="B11081" s="24" t="s">
        <v>35116</v>
      </c>
      <c r="C11081" s="24" t="s">
        <v>35117</v>
      </c>
      <c r="D11081" s="25" t="s">
        <v>35118</v>
      </c>
      <c r="E11081" s="28">
        <v>1.00000</v>
      </c>
      <c r="F11081" s="29">
        <f ca="1">ROUND(19.000,3)</f>
        <v>0</v>
      </c>
      <c r="G11081" s="27">
        <f ca="1">ROUND(E11081*F11081,2)</f>
        <v>0</v>
      </c>
    </row>
    <row r="11082" spans="1:7" ht="24.36" thickBot="1" customHeight="1">
      <c r="A11082" s="24" t="s">
        <v>35119</v>
      </c>
      <c r="B11082" s="24" t="s">
        <v>35120</v>
      </c>
      <c r="C11082" s="24" t="s">
        <v>35121</v>
      </c>
      <c r="D11082" s="25" t="s">
        <v>35122</v>
      </c>
      <c r="E11082" s="28">
        <v>0.20000</v>
      </c>
      <c r="F11082" s="29">
        <f ca="1">ROUND(19.000,3)</f>
        <v>0</v>
      </c>
      <c r="G11082" s="27">
        <f ca="1">ROUND(E11082*F11082,2)</f>
        <v>0</v>
      </c>
    </row>
    <row r="11083" spans="1:7" ht="15.12" thickBot="1" customHeight="1">
      <c r="A11083" s="26"/>
      <c r="B11083" s="26"/>
      <c r="C11083" s="26"/>
      <c r="D11083" s="24" t="s">
        <v>35123</v>
      </c>
      <c r="E11083" s="28">
        <v>0.11429</v>
      </c>
      <c r="F11083" s="29">
        <f ca="1">ROUND((G11080+G11081+G11082),3)</f>
        <v>0</v>
      </c>
      <c r="G11083" s="27">
        <f ca="1">ROUND(E11083*F11083,2)</f>
        <v>0</v>
      </c>
    </row>
    <row r="11084" spans="1:7" ht="15.12" thickBot="1" customHeight="1">
      <c r="A11084" s="24" t="s">
        <v>35124</v>
      </c>
      <c r="B11084" s="24"/>
      <c r="C11084" s="24" t="s">
        <v>35125</v>
      </c>
      <c r="D11084" s="25" t="s">
        <v>35126</v>
      </c>
      <c r="E11084" s="28">
        <v>5.00000</v>
      </c>
      <c r="F11084" s="29">
        <f ca="1">ROUND(5.010,3)</f>
        <v>0</v>
      </c>
      <c r="G11084" s="27">
        <f ca="1">ROUND((E11084*F11084)/100,2)</f>
        <v>0</v>
      </c>
    </row>
    <row r="11085" spans="1:7" ht="15.48" thickBot="1" customHeight="1">
      <c r="A11085" s="30"/>
      <c r="B11085" s="30"/>
      <c r="C11085" s="30"/>
      <c r="D11085" s="31" t="s">
        <v>35127</v>
      </c>
      <c r="E11085" s="30"/>
      <c r="F11085" s="33">
        <f ca="1">ROUND((G11076+G11077+G11078+G11079+G11084)*(1+G2/100),2)</f>
        <v>0</v>
      </c>
      <c r="G11085" s="30"/>
    </row>
    <row r="11086" spans="1:7" ht="25.08" thickBot="1" customHeight="1">
      <c r="A11086" s="34" t="s">
        <v>35128</v>
      </c>
      <c r="B11086" s="35" t="s">
        <v>35129</v>
      </c>
      <c r="C11086" s="35" t="s">
        <v>35130</v>
      </c>
      <c r="D11086" s="36" t="s">
        <v>35131</v>
      </c>
      <c r="E11086" s="37"/>
      <c r="F11086" s="38">
        <f ca="1">F11097</f>
        <v>0</v>
      </c>
      <c r="G11086" s="37"/>
    </row>
    <row r="11087" spans="1:7" ht="12.12" thickBot="1" customHeight="1">
      <c r="A11087" s="26"/>
      <c r="B11087" s="26"/>
      <c r="C11087" s="26"/>
      <c r="D11087" s="25" t="s">
        <v>35132</v>
      </c>
      <c r="E11087" s="25"/>
      <c r="F11087" s="25"/>
      <c r="G11087" s="25"/>
    </row>
    <row r="11088" spans="1:7" ht="30.60" thickBot="1" customHeight="1">
      <c r="A11088" s="24" t="s">
        <v>35133</v>
      </c>
      <c r="B11088" s="24" t="s">
        <v>35134</v>
      </c>
      <c r="C11088" s="24" t="s">
        <v>35135</v>
      </c>
      <c r="D11088" s="25" t="s">
        <v>35136</v>
      </c>
      <c r="E11088" s="28">
        <v>2.33333</v>
      </c>
      <c r="F11088" s="29">
        <f ca="1">ROUND(1.950,3)</f>
        <v>0</v>
      </c>
      <c r="G11088" s="27">
        <f ca="1">ROUND(E11088*F11088,2)</f>
        <v>0</v>
      </c>
    </row>
    <row r="11089" spans="1:7" ht="49.08" thickBot="1" customHeight="1">
      <c r="A11089" s="24" t="s">
        <v>35137</v>
      </c>
      <c r="B11089" s="24" t="s">
        <v>35138</v>
      </c>
      <c r="C11089" s="24" t="s">
        <v>35139</v>
      </c>
      <c r="D11089" s="25" t="s">
        <v>35140</v>
      </c>
      <c r="E11089" s="28">
        <v>0.03520</v>
      </c>
      <c r="F11089" s="29">
        <f ca="1">ROUND(10.250,3)</f>
        <v>0</v>
      </c>
      <c r="G11089" s="27">
        <f ca="1">ROUND(E11089*F11089,2)</f>
        <v>0</v>
      </c>
    </row>
    <row r="11090" spans="1:7" ht="30.60" thickBot="1" customHeight="1">
      <c r="A11090" s="24" t="s">
        <v>35141</v>
      </c>
      <c r="B11090" s="24" t="s">
        <v>35142</v>
      </c>
      <c r="C11090" s="24" t="s">
        <v>35143</v>
      </c>
      <c r="D11090" s="25" t="s">
        <v>35144</v>
      </c>
      <c r="E11090" s="28">
        <v>0.00746</v>
      </c>
      <c r="F11090" s="29">
        <f ca="1">ROUND(11.740,3)</f>
        <v>0</v>
      </c>
      <c r="G11090" s="27">
        <f ca="1">ROUND(E11090*F11090,2)</f>
        <v>0</v>
      </c>
    </row>
    <row r="11091" spans="1:7" ht="21.36" thickBot="1" customHeight="1">
      <c r="A11091" s="24" t="s">
        <v>35145</v>
      </c>
      <c r="B11091" s="24" t="s">
        <v>35146</v>
      </c>
      <c r="C11091" s="24" t="s">
        <v>35147</v>
      </c>
      <c r="D11091" s="25" t="s">
        <v>35148</v>
      </c>
      <c r="E11091" s="28">
        <v>0.11429</v>
      </c>
      <c r="F11091" s="29">
        <f ca="1">F11095</f>
        <v>0</v>
      </c>
      <c r="G11091" s="27">
        <f ca="1">ROUND(E11091*F11091,2)</f>
        <v>0</v>
      </c>
    </row>
    <row r="11092" spans="1:7" ht="24.36" thickBot="1" customHeight="1">
      <c r="A11092" s="24" t="s">
        <v>35149</v>
      </c>
      <c r="B11092" s="24" t="s">
        <v>35150</v>
      </c>
      <c r="C11092" s="24" t="s">
        <v>35151</v>
      </c>
      <c r="D11092" s="25" t="s">
        <v>35152</v>
      </c>
      <c r="E11092" s="28">
        <v>1.00000</v>
      </c>
      <c r="F11092" s="29">
        <f ca="1">ROUND(21.000,3)</f>
        <v>0</v>
      </c>
      <c r="G11092" s="27">
        <f ca="1">ROUND(E11092*F11092,2)</f>
        <v>0</v>
      </c>
    </row>
    <row r="11093" spans="1:7" ht="24.36" thickBot="1" customHeight="1">
      <c r="A11093" s="24" t="s">
        <v>35153</v>
      </c>
      <c r="B11093" s="24" t="s">
        <v>35154</v>
      </c>
      <c r="C11093" s="24" t="s">
        <v>35155</v>
      </c>
      <c r="D11093" s="25" t="s">
        <v>35156</v>
      </c>
      <c r="E11093" s="28">
        <v>1.00000</v>
      </c>
      <c r="F11093" s="29">
        <f ca="1">ROUND(19.000,3)</f>
        <v>0</v>
      </c>
      <c r="G11093" s="27">
        <f ca="1">ROUND(E11093*F11093,2)</f>
        <v>0</v>
      </c>
    </row>
    <row r="11094" spans="1:7" ht="24.36" thickBot="1" customHeight="1">
      <c r="A11094" s="24" t="s">
        <v>35157</v>
      </c>
      <c r="B11094" s="24" t="s">
        <v>35158</v>
      </c>
      <c r="C11094" s="24" t="s">
        <v>35159</v>
      </c>
      <c r="D11094" s="25" t="s">
        <v>35160</v>
      </c>
      <c r="E11094" s="28">
        <v>0.20000</v>
      </c>
      <c r="F11094" s="29">
        <f ca="1">ROUND(19.000,3)</f>
        <v>0</v>
      </c>
      <c r="G11094" s="27">
        <f ca="1">ROUND(E11094*F11094,2)</f>
        <v>0</v>
      </c>
    </row>
    <row r="11095" spans="1:7" ht="15.12" thickBot="1" customHeight="1">
      <c r="A11095" s="26"/>
      <c r="B11095" s="26"/>
      <c r="C11095" s="26"/>
      <c r="D11095" s="24" t="s">
        <v>35161</v>
      </c>
      <c r="E11095" s="28">
        <v>0.11429</v>
      </c>
      <c r="F11095" s="29">
        <f ca="1">ROUND((G11092+G11093+G11094),3)</f>
        <v>0</v>
      </c>
      <c r="G11095" s="27">
        <f ca="1">ROUND(E11095*F11095,2)</f>
        <v>0</v>
      </c>
    </row>
    <row r="11096" spans="1:7" ht="15.12" thickBot="1" customHeight="1">
      <c r="A11096" s="24" t="s">
        <v>35162</v>
      </c>
      <c r="B11096" s="24"/>
      <c r="C11096" s="24" t="s">
        <v>35163</v>
      </c>
      <c r="D11096" s="25" t="s">
        <v>35164</v>
      </c>
      <c r="E11096" s="28">
        <v>5.00000</v>
      </c>
      <c r="F11096" s="29">
        <f ca="1">ROUND(5.010,3)</f>
        <v>0</v>
      </c>
      <c r="G11096" s="27">
        <f ca="1">ROUND((E11096*F11096)/100,2)</f>
        <v>0</v>
      </c>
    </row>
    <row r="11097" spans="1:7" ht="15.48" thickBot="1" customHeight="1">
      <c r="A11097" s="30"/>
      <c r="B11097" s="30"/>
      <c r="C11097" s="30"/>
      <c r="D11097" s="31" t="s">
        <v>35165</v>
      </c>
      <c r="E11097" s="30"/>
      <c r="F11097" s="33">
        <f ca="1">ROUND((G11088+G11089+G11090+G11091+G11096)*(1+G2/100),2)</f>
        <v>0</v>
      </c>
      <c r="G11097" s="30"/>
    </row>
    <row r="11098" spans="1:7" ht="25.08" thickBot="1" customHeight="1">
      <c r="A11098" s="34" t="s">
        <v>35166</v>
      </c>
      <c r="B11098" s="35" t="s">
        <v>35167</v>
      </c>
      <c r="C11098" s="35" t="s">
        <v>35168</v>
      </c>
      <c r="D11098" s="36" t="s">
        <v>35169</v>
      </c>
      <c r="E11098" s="37"/>
      <c r="F11098" s="38">
        <f ca="1">F11109</f>
        <v>0</v>
      </c>
      <c r="G11098" s="37"/>
    </row>
    <row r="11099" spans="1:7" ht="12.12" thickBot="1" customHeight="1">
      <c r="A11099" s="26"/>
      <c r="B11099" s="26"/>
      <c r="C11099" s="26"/>
      <c r="D11099" s="25" t="s">
        <v>35170</v>
      </c>
      <c r="E11099" s="25"/>
      <c r="F11099" s="25"/>
      <c r="G11099" s="25"/>
    </row>
    <row r="11100" spans="1:7" ht="30.60" thickBot="1" customHeight="1">
      <c r="A11100" s="24" t="s">
        <v>35171</v>
      </c>
      <c r="B11100" s="24" t="s">
        <v>35172</v>
      </c>
      <c r="C11100" s="24" t="s">
        <v>35173</v>
      </c>
      <c r="D11100" s="25" t="s">
        <v>35174</v>
      </c>
      <c r="E11100" s="28">
        <v>3.19000</v>
      </c>
      <c r="F11100" s="29">
        <f ca="1">ROUND(1.890,3)</f>
        <v>0</v>
      </c>
      <c r="G11100" s="27">
        <f ca="1">ROUND(E11100*F11100,2)</f>
        <v>0</v>
      </c>
    </row>
    <row r="11101" spans="1:7" ht="49.08" thickBot="1" customHeight="1">
      <c r="A11101" s="24" t="s">
        <v>35175</v>
      </c>
      <c r="B11101" s="24" t="s">
        <v>35176</v>
      </c>
      <c r="C11101" s="24" t="s">
        <v>35177</v>
      </c>
      <c r="D11101" s="25" t="s">
        <v>35178</v>
      </c>
      <c r="E11101" s="28">
        <v>0.03520</v>
      </c>
      <c r="F11101" s="29">
        <f ca="1">ROUND(10.250,3)</f>
        <v>0</v>
      </c>
      <c r="G11101" s="27">
        <f ca="1">ROUND(E11101*F11101,2)</f>
        <v>0</v>
      </c>
    </row>
    <row r="11102" spans="1:7" ht="30.60" thickBot="1" customHeight="1">
      <c r="A11102" s="24" t="s">
        <v>35179</v>
      </c>
      <c r="B11102" s="24" t="s">
        <v>35180</v>
      </c>
      <c r="C11102" s="24" t="s">
        <v>35181</v>
      </c>
      <c r="D11102" s="25" t="s">
        <v>35182</v>
      </c>
      <c r="E11102" s="28">
        <v>0.00787</v>
      </c>
      <c r="F11102" s="29">
        <f ca="1">ROUND(11.740,3)</f>
        <v>0</v>
      </c>
      <c r="G11102" s="27">
        <f ca="1">ROUND(E11102*F11102,2)</f>
        <v>0</v>
      </c>
    </row>
    <row r="11103" spans="1:7" ht="21.36" thickBot="1" customHeight="1">
      <c r="A11103" s="24" t="s">
        <v>35183</v>
      </c>
      <c r="B11103" s="24" t="s">
        <v>35184</v>
      </c>
      <c r="C11103" s="24" t="s">
        <v>35185</v>
      </c>
      <c r="D11103" s="25" t="s">
        <v>35186</v>
      </c>
      <c r="E11103" s="28">
        <v>0.11429</v>
      </c>
      <c r="F11103" s="29">
        <f ca="1">F11107</f>
        <v>0</v>
      </c>
      <c r="G11103" s="27">
        <f ca="1">ROUND(E11103*F11103,2)</f>
        <v>0</v>
      </c>
    </row>
    <row r="11104" spans="1:7" ht="24.36" thickBot="1" customHeight="1">
      <c r="A11104" s="24" t="s">
        <v>35187</v>
      </c>
      <c r="B11104" s="24" t="s">
        <v>35188</v>
      </c>
      <c r="C11104" s="24" t="s">
        <v>35189</v>
      </c>
      <c r="D11104" s="25" t="s">
        <v>35190</v>
      </c>
      <c r="E11104" s="28">
        <v>1.00000</v>
      </c>
      <c r="F11104" s="29">
        <f ca="1">ROUND(21.000,3)</f>
        <v>0</v>
      </c>
      <c r="G11104" s="27">
        <f ca="1">ROUND(E11104*F11104,2)</f>
        <v>0</v>
      </c>
    </row>
    <row r="11105" spans="1:7" ht="24.36" thickBot="1" customHeight="1">
      <c r="A11105" s="24" t="s">
        <v>35191</v>
      </c>
      <c r="B11105" s="24" t="s">
        <v>35192</v>
      </c>
      <c r="C11105" s="24" t="s">
        <v>35193</v>
      </c>
      <c r="D11105" s="25" t="s">
        <v>35194</v>
      </c>
      <c r="E11105" s="28">
        <v>1.00000</v>
      </c>
      <c r="F11105" s="29">
        <f ca="1">ROUND(19.000,3)</f>
        <v>0</v>
      </c>
      <c r="G11105" s="27">
        <f ca="1">ROUND(E11105*F11105,2)</f>
        <v>0</v>
      </c>
    </row>
    <row r="11106" spans="1:7" ht="24.36" thickBot="1" customHeight="1">
      <c r="A11106" s="24" t="s">
        <v>35195</v>
      </c>
      <c r="B11106" s="24" t="s">
        <v>35196</v>
      </c>
      <c r="C11106" s="24" t="s">
        <v>35197</v>
      </c>
      <c r="D11106" s="25" t="s">
        <v>35198</v>
      </c>
      <c r="E11106" s="28">
        <v>0.20000</v>
      </c>
      <c r="F11106" s="29">
        <f ca="1">ROUND(19.000,3)</f>
        <v>0</v>
      </c>
      <c r="G11106" s="27">
        <f ca="1">ROUND(E11106*F11106,2)</f>
        <v>0</v>
      </c>
    </row>
    <row r="11107" spans="1:7" ht="15.12" thickBot="1" customHeight="1">
      <c r="A11107" s="26"/>
      <c r="B11107" s="26"/>
      <c r="C11107" s="26"/>
      <c r="D11107" s="24" t="s">
        <v>35199</v>
      </c>
      <c r="E11107" s="28">
        <v>0.11429</v>
      </c>
      <c r="F11107" s="29">
        <f ca="1">ROUND((G11104+G11105+G11106),3)</f>
        <v>0</v>
      </c>
      <c r="G11107" s="27">
        <f ca="1">ROUND(E11107*F11107,2)</f>
        <v>0</v>
      </c>
    </row>
    <row r="11108" spans="1:7" ht="15.12" thickBot="1" customHeight="1">
      <c r="A11108" s="24" t="s">
        <v>35200</v>
      </c>
      <c r="B11108" s="24"/>
      <c r="C11108" s="24" t="s">
        <v>35201</v>
      </c>
      <c r="D11108" s="25" t="s">
        <v>35202</v>
      </c>
      <c r="E11108" s="28">
        <v>5.00000</v>
      </c>
      <c r="F11108" s="29">
        <f ca="1">ROUND(5.010,3)</f>
        <v>0</v>
      </c>
      <c r="G11108" s="27">
        <f ca="1">ROUND((E11108*F11108)/100,2)</f>
        <v>0</v>
      </c>
    </row>
    <row r="11109" spans="1:7" ht="15.48" thickBot="1" customHeight="1">
      <c r="A11109" s="30"/>
      <c r="B11109" s="30"/>
      <c r="C11109" s="30"/>
      <c r="D11109" s="31" t="s">
        <v>35203</v>
      </c>
      <c r="E11109" s="30"/>
      <c r="F11109" s="33">
        <f ca="1">ROUND((G11100+G11101+G11102+G11103+G11108)*(1+G2/100),2)</f>
        <v>0</v>
      </c>
      <c r="G11109" s="30"/>
    </row>
    <row r="11110" spans="1:7" ht="15.48" thickBot="1" customHeight="1">
      <c r="A11110" s="39"/>
      <c r="B11110" s="39"/>
      <c r="C11110" s="39"/>
      <c r="D11110" s="48" t="s">
        <v>35204</v>
      </c>
      <c r="E11110" s="49"/>
      <c r="F11110" s="49"/>
      <c r="G11110" s="49"/>
    </row>
    <row r="11111" spans="1:7" ht="15.48" thickBot="1" customHeight="1">
      <c r="A11111" s="39"/>
      <c r="B11111" s="39"/>
      <c r="C11111" s="39"/>
      <c r="D11111" s="40" t="s">
        <v>35205</v>
      </c>
      <c r="E11111" s="41"/>
      <c r="F11111" s="41"/>
      <c r="G11111" s="41"/>
    </row>
    <row r="11112" spans="1:7" ht="15.48" thickBot="1" customHeight="1">
      <c r="A11112" s="39"/>
      <c r="B11112" s="39"/>
      <c r="C11112" s="39"/>
      <c r="D11112" s="50" t="s">
        <v>35206</v>
      </c>
      <c r="E11112" s="51"/>
      <c r="F11112" s="51"/>
      <c r="G11112" s="51"/>
    </row>
    <row r="11113" spans="1:7" ht="15.48" thickBot="1" customHeight="1">
      <c r="A11113" s="52" t="s">
        <v>35207</v>
      </c>
      <c r="B11113" s="52" t="s">
        <v>35208</v>
      </c>
      <c r="C11113" s="53"/>
      <c r="D11113" s="54" t="s">
        <v>35209</v>
      </c>
      <c r="E11113" s="53"/>
      <c r="F11113" s="53"/>
      <c r="G11113" s="53"/>
    </row>
    <row r="11114" spans="1:7" ht="30.60" thickBot="1" customHeight="1">
      <c r="A11114" s="10" t="s">
        <v>35210</v>
      </c>
      <c r="B11114" s="24" t="s">
        <v>35211</v>
      </c>
      <c r="C11114" s="24" t="s">
        <v>35212</v>
      </c>
      <c r="D11114" s="25" t="s">
        <v>35213</v>
      </c>
      <c r="E11114" s="26"/>
      <c r="F11114" s="27">
        <f ca="1">F11124</f>
        <v>0</v>
      </c>
      <c r="G11114" s="26"/>
    </row>
    <row r="11115" spans="1:7" ht="49.08" thickBot="1" customHeight="1">
      <c r="A11115" s="26"/>
      <c r="B11115" s="26"/>
      <c r="C11115" s="26"/>
      <c r="D11115" s="25" t="s">
        <v>35214</v>
      </c>
      <c r="E11115" s="25"/>
      <c r="F11115" s="25"/>
      <c r="G11115" s="25"/>
    </row>
    <row r="11116" spans="1:7" ht="30.60" thickBot="1" customHeight="1">
      <c r="A11116" s="24" t="s">
        <v>35215</v>
      </c>
      <c r="B11116" s="24" t="s">
        <v>35216</v>
      </c>
      <c r="C11116" s="24" t="s">
        <v>35217</v>
      </c>
      <c r="D11116" s="25" t="s">
        <v>35218</v>
      </c>
      <c r="E11116" s="28">
        <v>0.07000</v>
      </c>
      <c r="F11116" s="29">
        <f ca="1">ROUND(110.660,3)</f>
        <v>0</v>
      </c>
      <c r="G11116" s="27">
        <f ca="1">ROUND(E11116*F11116,2)</f>
        <v>0</v>
      </c>
    </row>
    <row r="11117" spans="1:7" ht="24.36" thickBot="1" customHeight="1">
      <c r="A11117" s="24" t="s">
        <v>35219</v>
      </c>
      <c r="B11117" s="24" t="s">
        <v>35220</v>
      </c>
      <c r="C11117" s="24" t="s">
        <v>35221</v>
      </c>
      <c r="D11117" s="25" t="s">
        <v>35222</v>
      </c>
      <c r="E11117" s="28">
        <v>0.10000</v>
      </c>
      <c r="F11117" s="29">
        <f ca="1">ROUND(4.630,3)</f>
        <v>0</v>
      </c>
      <c r="G11117" s="27">
        <f ca="1">ROUND(E11117*F11117,2)</f>
        <v>0</v>
      </c>
    </row>
    <row r="11118" spans="1:7" ht="21.36" thickBot="1" customHeight="1">
      <c r="A11118" s="24" t="s">
        <v>35223</v>
      </c>
      <c r="B11118" s="24" t="s">
        <v>35224</v>
      </c>
      <c r="C11118" s="24" t="s">
        <v>35225</v>
      </c>
      <c r="D11118" s="25" t="s">
        <v>35226</v>
      </c>
      <c r="E11118" s="28">
        <v>0.40000</v>
      </c>
      <c r="F11118" s="29">
        <f ca="1">F11122</f>
        <v>0</v>
      </c>
      <c r="G11118" s="27">
        <f ca="1">ROUND(E11118*F11118,2)</f>
        <v>0</v>
      </c>
    </row>
    <row r="11119" spans="1:7" ht="24.36" thickBot="1" customHeight="1">
      <c r="A11119" s="24" t="s">
        <v>35227</v>
      </c>
      <c r="B11119" s="24" t="s">
        <v>35228</v>
      </c>
      <c r="C11119" s="24" t="s">
        <v>35229</v>
      </c>
      <c r="D11119" s="25" t="s">
        <v>35230</v>
      </c>
      <c r="E11119" s="28">
        <v>1.00000</v>
      </c>
      <c r="F11119" s="29">
        <f ca="1">ROUND(21.000,3)</f>
        <v>0</v>
      </c>
      <c r="G11119" s="27">
        <f ca="1">ROUND(E11119*F11119,2)</f>
        <v>0</v>
      </c>
    </row>
    <row r="11120" spans="1:7" ht="24.36" thickBot="1" customHeight="1">
      <c r="A11120" s="24" t="s">
        <v>35231</v>
      </c>
      <c r="B11120" s="24" t="s">
        <v>35232</v>
      </c>
      <c r="C11120" s="24" t="s">
        <v>35233</v>
      </c>
      <c r="D11120" s="25" t="s">
        <v>35234</v>
      </c>
      <c r="E11120" s="28">
        <v>1.00000</v>
      </c>
      <c r="F11120" s="29">
        <f ca="1">ROUND(19.000,3)</f>
        <v>0</v>
      </c>
      <c r="G11120" s="27">
        <f ca="1">ROUND(E11120*F11120,2)</f>
        <v>0</v>
      </c>
    </row>
    <row r="11121" spans="1:7" ht="24.36" thickBot="1" customHeight="1">
      <c r="A11121" s="24" t="s">
        <v>35235</v>
      </c>
      <c r="B11121" s="24" t="s">
        <v>35236</v>
      </c>
      <c r="C11121" s="24" t="s">
        <v>35237</v>
      </c>
      <c r="D11121" s="25" t="s">
        <v>35238</v>
      </c>
      <c r="E11121" s="28">
        <v>0.20000</v>
      </c>
      <c r="F11121" s="29">
        <f ca="1">ROUND(19.000,3)</f>
        <v>0</v>
      </c>
      <c r="G11121" s="27">
        <f ca="1">ROUND(E11121*F11121,2)</f>
        <v>0</v>
      </c>
    </row>
    <row r="11122" spans="1:7" ht="15.12" thickBot="1" customHeight="1">
      <c r="A11122" s="26"/>
      <c r="B11122" s="26"/>
      <c r="C11122" s="26"/>
      <c r="D11122" s="24" t="s">
        <v>35239</v>
      </c>
      <c r="E11122" s="28">
        <v>0.40000</v>
      </c>
      <c r="F11122" s="29">
        <f ca="1">ROUND((G11119+G11120+G11121),3)</f>
        <v>0</v>
      </c>
      <c r="G11122" s="27">
        <f ca="1">ROUND(E11122*F11122,2)</f>
        <v>0</v>
      </c>
    </row>
    <row r="11123" spans="1:7" ht="15.12" thickBot="1" customHeight="1">
      <c r="A11123" s="24" t="s">
        <v>35240</v>
      </c>
      <c r="B11123" s="24"/>
      <c r="C11123" s="24" t="s">
        <v>35241</v>
      </c>
      <c r="D11123" s="25" t="s">
        <v>35242</v>
      </c>
      <c r="E11123" s="28">
        <v>3.00000</v>
      </c>
      <c r="F11123" s="29">
        <f ca="1">ROUND(17.520,3)</f>
        <v>0</v>
      </c>
      <c r="G11123" s="27">
        <f ca="1">ROUND((E11123*F11123)/100,2)</f>
        <v>0</v>
      </c>
    </row>
    <row r="11124" spans="1:7" ht="15.48" thickBot="1" customHeight="1">
      <c r="A11124" s="30"/>
      <c r="B11124" s="30"/>
      <c r="C11124" s="30"/>
      <c r="D11124" s="31" t="s">
        <v>35243</v>
      </c>
      <c r="E11124" s="30"/>
      <c r="F11124" s="33">
        <f ca="1">ROUND((G11116+G11117+G11118+G11123)*(1+G2/100),2)</f>
        <v>0</v>
      </c>
      <c r="G11124" s="30"/>
    </row>
    <row r="11125" spans="1:7" ht="30.60" thickBot="1" customHeight="1">
      <c r="A11125" s="34" t="s">
        <v>35244</v>
      </c>
      <c r="B11125" s="35" t="s">
        <v>35245</v>
      </c>
      <c r="C11125" s="35" t="s">
        <v>35246</v>
      </c>
      <c r="D11125" s="36" t="s">
        <v>35247</v>
      </c>
      <c r="E11125" s="37"/>
      <c r="F11125" s="38">
        <f ca="1">F11135</f>
        <v>0</v>
      </c>
      <c r="G11125" s="37"/>
    </row>
    <row r="11126" spans="1:7" ht="49.08" thickBot="1" customHeight="1">
      <c r="A11126" s="26"/>
      <c r="B11126" s="26"/>
      <c r="C11126" s="26"/>
      <c r="D11126" s="25" t="s">
        <v>35248</v>
      </c>
      <c r="E11126" s="25"/>
      <c r="F11126" s="25"/>
      <c r="G11126" s="25"/>
    </row>
    <row r="11127" spans="1:7" ht="30.60" thickBot="1" customHeight="1">
      <c r="A11127" s="24" t="s">
        <v>35249</v>
      </c>
      <c r="B11127" s="24" t="s">
        <v>35250</v>
      </c>
      <c r="C11127" s="24" t="s">
        <v>35251</v>
      </c>
      <c r="D11127" s="25" t="s">
        <v>35252</v>
      </c>
      <c r="E11127" s="28">
        <v>0.07000</v>
      </c>
      <c r="F11127" s="29">
        <f ca="1">ROUND(62.730,3)</f>
        <v>0</v>
      </c>
      <c r="G11127" s="27">
        <f ca="1">ROUND(E11127*F11127,2)</f>
        <v>0</v>
      </c>
    </row>
    <row r="11128" spans="1:7" ht="24.36" thickBot="1" customHeight="1">
      <c r="A11128" s="24" t="s">
        <v>35253</v>
      </c>
      <c r="B11128" s="24" t="s">
        <v>35254</v>
      </c>
      <c r="C11128" s="24" t="s">
        <v>35255</v>
      </c>
      <c r="D11128" s="25" t="s">
        <v>35256</v>
      </c>
      <c r="E11128" s="28">
        <v>0.10000</v>
      </c>
      <c r="F11128" s="29">
        <f ca="1">ROUND(4.630,3)</f>
        <v>0</v>
      </c>
      <c r="G11128" s="27">
        <f ca="1">ROUND(E11128*F11128,2)</f>
        <v>0</v>
      </c>
    </row>
    <row r="11129" spans="1:7" ht="21.36" thickBot="1" customHeight="1">
      <c r="A11129" s="24" t="s">
        <v>35257</v>
      </c>
      <c r="B11129" s="24" t="s">
        <v>35258</v>
      </c>
      <c r="C11129" s="24" t="s">
        <v>35259</v>
      </c>
      <c r="D11129" s="25" t="s">
        <v>35260</v>
      </c>
      <c r="E11129" s="28">
        <v>0.40000</v>
      </c>
      <c r="F11129" s="29">
        <f ca="1">F11133</f>
        <v>0</v>
      </c>
      <c r="G11129" s="27">
        <f ca="1">ROUND(E11129*F11129,2)</f>
        <v>0</v>
      </c>
    </row>
    <row r="11130" spans="1:7" ht="24.36" thickBot="1" customHeight="1">
      <c r="A11130" s="24" t="s">
        <v>35261</v>
      </c>
      <c r="B11130" s="24" t="s">
        <v>35262</v>
      </c>
      <c r="C11130" s="24" t="s">
        <v>35263</v>
      </c>
      <c r="D11130" s="25" t="s">
        <v>35264</v>
      </c>
      <c r="E11130" s="28">
        <v>1.00000</v>
      </c>
      <c r="F11130" s="29">
        <f ca="1">ROUND(21.000,3)</f>
        <v>0</v>
      </c>
      <c r="G11130" s="27">
        <f ca="1">ROUND(E11130*F11130,2)</f>
        <v>0</v>
      </c>
    </row>
    <row r="11131" spans="1:7" ht="24.36" thickBot="1" customHeight="1">
      <c r="A11131" s="24" t="s">
        <v>35265</v>
      </c>
      <c r="B11131" s="24" t="s">
        <v>35266</v>
      </c>
      <c r="C11131" s="24" t="s">
        <v>35267</v>
      </c>
      <c r="D11131" s="25" t="s">
        <v>35268</v>
      </c>
      <c r="E11131" s="28">
        <v>1.00000</v>
      </c>
      <c r="F11131" s="29">
        <f ca="1">ROUND(19.000,3)</f>
        <v>0</v>
      </c>
      <c r="G11131" s="27">
        <f ca="1">ROUND(E11131*F11131,2)</f>
        <v>0</v>
      </c>
    </row>
    <row r="11132" spans="1:7" ht="24.36" thickBot="1" customHeight="1">
      <c r="A11132" s="24" t="s">
        <v>35269</v>
      </c>
      <c r="B11132" s="24" t="s">
        <v>35270</v>
      </c>
      <c r="C11132" s="24" t="s">
        <v>35271</v>
      </c>
      <c r="D11132" s="25" t="s">
        <v>35272</v>
      </c>
      <c r="E11132" s="28">
        <v>0.20000</v>
      </c>
      <c r="F11132" s="29">
        <f ca="1">ROUND(19.000,3)</f>
        <v>0</v>
      </c>
      <c r="G11132" s="27">
        <f ca="1">ROUND(E11132*F11132,2)</f>
        <v>0</v>
      </c>
    </row>
    <row r="11133" spans="1:7" ht="15.12" thickBot="1" customHeight="1">
      <c r="A11133" s="26"/>
      <c r="B11133" s="26"/>
      <c r="C11133" s="26"/>
      <c r="D11133" s="24" t="s">
        <v>35273</v>
      </c>
      <c r="E11133" s="28">
        <v>0.40000</v>
      </c>
      <c r="F11133" s="29">
        <f ca="1">ROUND((G11130+G11131+G11132),3)</f>
        <v>0</v>
      </c>
      <c r="G11133" s="27">
        <f ca="1">ROUND(E11133*F11133,2)</f>
        <v>0</v>
      </c>
    </row>
    <row r="11134" spans="1:7" ht="15.12" thickBot="1" customHeight="1">
      <c r="A11134" s="24" t="s">
        <v>35274</v>
      </c>
      <c r="B11134" s="24"/>
      <c r="C11134" s="24" t="s">
        <v>35275</v>
      </c>
      <c r="D11134" s="25" t="s">
        <v>35276</v>
      </c>
      <c r="E11134" s="28">
        <v>3.00000</v>
      </c>
      <c r="F11134" s="29">
        <f ca="1">ROUND(17.520,3)</f>
        <v>0</v>
      </c>
      <c r="G11134" s="27">
        <f ca="1">ROUND((E11134*F11134)/100,2)</f>
        <v>0</v>
      </c>
    </row>
    <row r="11135" spans="1:7" ht="15.48" thickBot="1" customHeight="1">
      <c r="A11135" s="30"/>
      <c r="B11135" s="30"/>
      <c r="C11135" s="30"/>
      <c r="D11135" s="31" t="s">
        <v>35277</v>
      </c>
      <c r="E11135" s="30"/>
      <c r="F11135" s="33">
        <f ca="1">ROUND((G11127+G11128+G11129+G11134)*(1+G2/100),2)</f>
        <v>0</v>
      </c>
      <c r="G11135" s="30"/>
    </row>
    <row r="11136" spans="1:7" ht="21.36" thickBot="1" customHeight="1">
      <c r="A11136" s="34" t="s">
        <v>35278</v>
      </c>
      <c r="B11136" s="35" t="s">
        <v>35279</v>
      </c>
      <c r="C11136" s="35" t="s">
        <v>35280</v>
      </c>
      <c r="D11136" s="36" t="s">
        <v>35281</v>
      </c>
      <c r="E11136" s="37"/>
      <c r="F11136" s="38">
        <f ca="1">F11146</f>
        <v>0</v>
      </c>
      <c r="G11136" s="37"/>
    </row>
    <row r="11137" spans="1:7" ht="21.36" thickBot="1" customHeight="1">
      <c r="A11137" s="26"/>
      <c r="B11137" s="26"/>
      <c r="C11137" s="26"/>
      <c r="D11137" s="25" t="s">
        <v>35282</v>
      </c>
      <c r="E11137" s="25"/>
      <c r="F11137" s="25"/>
      <c r="G11137" s="25"/>
    </row>
    <row r="11138" spans="1:7" ht="30.60" thickBot="1" customHeight="1">
      <c r="A11138" s="24" t="s">
        <v>35283</v>
      </c>
      <c r="B11138" s="24" t="s">
        <v>35284</v>
      </c>
      <c r="C11138" s="24" t="s">
        <v>35285</v>
      </c>
      <c r="D11138" s="25" t="s">
        <v>35286</v>
      </c>
      <c r="E11138" s="28">
        <v>0.10500</v>
      </c>
      <c r="F11138" s="29">
        <f ca="1">ROUND(73.890,3)</f>
        <v>0</v>
      </c>
      <c r="G11138" s="27">
        <f ca="1">ROUND(E11138*F11138,2)</f>
        <v>0</v>
      </c>
    </row>
    <row r="11139" spans="1:7" ht="24.36" thickBot="1" customHeight="1">
      <c r="A11139" s="24" t="s">
        <v>35287</v>
      </c>
      <c r="B11139" s="24" t="s">
        <v>35288</v>
      </c>
      <c r="C11139" s="24" t="s">
        <v>35289</v>
      </c>
      <c r="D11139" s="25" t="s">
        <v>35290</v>
      </c>
      <c r="E11139" s="28">
        <v>0.07500</v>
      </c>
      <c r="F11139" s="29">
        <f ca="1">ROUND(4.630,3)</f>
        <v>0</v>
      </c>
      <c r="G11139" s="27">
        <f ca="1">ROUND(E11139*F11139,2)</f>
        <v>0</v>
      </c>
    </row>
    <row r="11140" spans="1:7" ht="21.36" thickBot="1" customHeight="1">
      <c r="A11140" s="24" t="s">
        <v>35291</v>
      </c>
      <c r="B11140" s="24" t="s">
        <v>35292</v>
      </c>
      <c r="C11140" s="24" t="s">
        <v>35293</v>
      </c>
      <c r="D11140" s="25" t="s">
        <v>35294</v>
      </c>
      <c r="E11140" s="28">
        <v>0.50000</v>
      </c>
      <c r="F11140" s="29">
        <f ca="1">F11144</f>
        <v>0</v>
      </c>
      <c r="G11140" s="27">
        <f ca="1">ROUND(E11140*F11140,2)</f>
        <v>0</v>
      </c>
    </row>
    <row r="11141" spans="1:7" ht="24.36" thickBot="1" customHeight="1">
      <c r="A11141" s="24" t="s">
        <v>35295</v>
      </c>
      <c r="B11141" s="24" t="s">
        <v>35296</v>
      </c>
      <c r="C11141" s="24" t="s">
        <v>35297</v>
      </c>
      <c r="D11141" s="25" t="s">
        <v>35298</v>
      </c>
      <c r="E11141" s="28">
        <v>1.00000</v>
      </c>
      <c r="F11141" s="29">
        <f ca="1">ROUND(21.000,3)</f>
        <v>0</v>
      </c>
      <c r="G11141" s="27">
        <f ca="1">ROUND(E11141*F11141,2)</f>
        <v>0</v>
      </c>
    </row>
    <row r="11142" spans="1:7" ht="24.36" thickBot="1" customHeight="1">
      <c r="A11142" s="24" t="s">
        <v>35299</v>
      </c>
      <c r="B11142" s="24" t="s">
        <v>35300</v>
      </c>
      <c r="C11142" s="24" t="s">
        <v>35301</v>
      </c>
      <c r="D11142" s="25" t="s">
        <v>35302</v>
      </c>
      <c r="E11142" s="28">
        <v>1.00000</v>
      </c>
      <c r="F11142" s="29">
        <f ca="1">ROUND(19.000,3)</f>
        <v>0</v>
      </c>
      <c r="G11142" s="27">
        <f ca="1">ROUND(E11142*F11142,2)</f>
        <v>0</v>
      </c>
    </row>
    <row r="11143" spans="1:7" ht="24.36" thickBot="1" customHeight="1">
      <c r="A11143" s="24" t="s">
        <v>35303</v>
      </c>
      <c r="B11143" s="24" t="s">
        <v>35304</v>
      </c>
      <c r="C11143" s="24" t="s">
        <v>35305</v>
      </c>
      <c r="D11143" s="25" t="s">
        <v>35306</v>
      </c>
      <c r="E11143" s="28">
        <v>0.20000</v>
      </c>
      <c r="F11143" s="29">
        <f ca="1">ROUND(19.000,3)</f>
        <v>0</v>
      </c>
      <c r="G11143" s="27">
        <f ca="1">ROUND(E11143*F11143,2)</f>
        <v>0</v>
      </c>
    </row>
    <row r="11144" spans="1:7" ht="15.12" thickBot="1" customHeight="1">
      <c r="A11144" s="26"/>
      <c r="B11144" s="26"/>
      <c r="C11144" s="26"/>
      <c r="D11144" s="24" t="s">
        <v>35307</v>
      </c>
      <c r="E11144" s="28">
        <v>0.50000</v>
      </c>
      <c r="F11144" s="29">
        <f ca="1">ROUND((G11141+G11142+G11143),3)</f>
        <v>0</v>
      </c>
      <c r="G11144" s="27">
        <f ca="1">ROUND(E11144*F11144,2)</f>
        <v>0</v>
      </c>
    </row>
    <row r="11145" spans="1:7" ht="15.12" thickBot="1" customHeight="1">
      <c r="A11145" s="24" t="s">
        <v>35308</v>
      </c>
      <c r="B11145" s="24"/>
      <c r="C11145" s="24" t="s">
        <v>35309</v>
      </c>
      <c r="D11145" s="25" t="s">
        <v>35310</v>
      </c>
      <c r="E11145" s="28">
        <v>3.00000</v>
      </c>
      <c r="F11145" s="29">
        <f ca="1">ROUND(21.900,3)</f>
        <v>0</v>
      </c>
      <c r="G11145" s="27">
        <f ca="1">ROUND((E11145*F11145)/100,2)</f>
        <v>0</v>
      </c>
    </row>
    <row r="11146" spans="1:7" ht="15.48" thickBot="1" customHeight="1">
      <c r="A11146" s="30"/>
      <c r="B11146" s="30"/>
      <c r="C11146" s="30"/>
      <c r="D11146" s="31" t="s">
        <v>35311</v>
      </c>
      <c r="E11146" s="30"/>
      <c r="F11146" s="33">
        <f ca="1">ROUND((G11138+G11139+G11140+G11145)*(1+G2/100),2)</f>
        <v>0</v>
      </c>
      <c r="G11146" s="30"/>
    </row>
    <row r="11147" spans="1:7" ht="15.48" thickBot="1" customHeight="1">
      <c r="A11147" s="34" t="s">
        <v>35312</v>
      </c>
      <c r="B11147" s="35" t="s">
        <v>35313</v>
      </c>
      <c r="C11147" s="35" t="s">
        <v>35314</v>
      </c>
      <c r="D11147" s="36" t="s">
        <v>35315</v>
      </c>
      <c r="E11147" s="37"/>
      <c r="F11147" s="38">
        <f ca="1">F11157</f>
        <v>0</v>
      </c>
      <c r="G11147" s="37"/>
    </row>
    <row r="11148" spans="1:7" ht="39.84" thickBot="1" customHeight="1">
      <c r="A11148" s="26"/>
      <c r="B11148" s="26"/>
      <c r="C11148" s="26"/>
      <c r="D11148" s="25" t="s">
        <v>35316</v>
      </c>
      <c r="E11148" s="25"/>
      <c r="F11148" s="25"/>
      <c r="G11148" s="25"/>
    </row>
    <row r="11149" spans="1:7" ht="39.84" thickBot="1" customHeight="1">
      <c r="A11149" s="24" t="s">
        <v>35317</v>
      </c>
      <c r="B11149" s="24" t="s">
        <v>35318</v>
      </c>
      <c r="C11149" s="24" t="s">
        <v>35319</v>
      </c>
      <c r="D11149" s="25" t="s">
        <v>35320</v>
      </c>
      <c r="E11149" s="28">
        <v>0.01375</v>
      </c>
      <c r="F11149" s="29">
        <f ca="1">ROUND(23.990,3)</f>
        <v>0</v>
      </c>
      <c r="G11149" s="27">
        <f ca="1">ROUND(E11149*F11149,2)</f>
        <v>0</v>
      </c>
    </row>
    <row r="11150" spans="1:7" ht="24.36" thickBot="1" customHeight="1">
      <c r="A11150" s="24" t="s">
        <v>35321</v>
      </c>
      <c r="B11150" s="24" t="s">
        <v>35322</v>
      </c>
      <c r="C11150" s="24" t="s">
        <v>35323</v>
      </c>
      <c r="D11150" s="25" t="s">
        <v>35324</v>
      </c>
      <c r="E11150" s="28">
        <v>0.16000</v>
      </c>
      <c r="F11150" s="29">
        <f ca="1">ROUND(1.100,3)</f>
        <v>0</v>
      </c>
      <c r="G11150" s="27">
        <f ca="1">ROUND(E11150*F11150,2)</f>
        <v>0</v>
      </c>
    </row>
    <row r="11151" spans="1:7" ht="21.36" thickBot="1" customHeight="1">
      <c r="A11151" s="24" t="s">
        <v>35325</v>
      </c>
      <c r="B11151" s="24" t="s">
        <v>35326</v>
      </c>
      <c r="C11151" s="24" t="s">
        <v>35327</v>
      </c>
      <c r="D11151" s="25" t="s">
        <v>35328</v>
      </c>
      <c r="E11151" s="28">
        <v>0.40000</v>
      </c>
      <c r="F11151" s="29">
        <f ca="1">F11155</f>
        <v>0</v>
      </c>
      <c r="G11151" s="27">
        <f ca="1">ROUND(E11151*F11151,2)</f>
        <v>0</v>
      </c>
    </row>
    <row r="11152" spans="1:7" ht="24.36" thickBot="1" customHeight="1">
      <c r="A11152" s="24" t="s">
        <v>35329</v>
      </c>
      <c r="B11152" s="24" t="s">
        <v>35330</v>
      </c>
      <c r="C11152" s="24" t="s">
        <v>35331</v>
      </c>
      <c r="D11152" s="25" t="s">
        <v>35332</v>
      </c>
      <c r="E11152" s="28">
        <v>1.00000</v>
      </c>
      <c r="F11152" s="29">
        <f ca="1">ROUND(21.000,3)</f>
        <v>0</v>
      </c>
      <c r="G11152" s="27">
        <f ca="1">ROUND(E11152*F11152,2)</f>
        <v>0</v>
      </c>
    </row>
    <row r="11153" spans="1:7" ht="24.36" thickBot="1" customHeight="1">
      <c r="A11153" s="24" t="s">
        <v>35333</v>
      </c>
      <c r="B11153" s="24" t="s">
        <v>35334</v>
      </c>
      <c r="C11153" s="24" t="s">
        <v>35335</v>
      </c>
      <c r="D11153" s="25" t="s">
        <v>35336</v>
      </c>
      <c r="E11153" s="28">
        <v>1.00000</v>
      </c>
      <c r="F11153" s="29">
        <f ca="1">ROUND(19.000,3)</f>
        <v>0</v>
      </c>
      <c r="G11153" s="27">
        <f ca="1">ROUND(E11153*F11153,2)</f>
        <v>0</v>
      </c>
    </row>
    <row r="11154" spans="1:7" ht="24.36" thickBot="1" customHeight="1">
      <c r="A11154" s="24" t="s">
        <v>35337</v>
      </c>
      <c r="B11154" s="24" t="s">
        <v>35338</v>
      </c>
      <c r="C11154" s="24" t="s">
        <v>35339</v>
      </c>
      <c r="D11154" s="25" t="s">
        <v>35340</v>
      </c>
      <c r="E11154" s="28">
        <v>0.20000</v>
      </c>
      <c r="F11154" s="29">
        <f ca="1">ROUND(19.000,3)</f>
        <v>0</v>
      </c>
      <c r="G11154" s="27">
        <f ca="1">ROUND(E11154*F11154,2)</f>
        <v>0</v>
      </c>
    </row>
    <row r="11155" spans="1:7" ht="15.12" thickBot="1" customHeight="1">
      <c r="A11155" s="26"/>
      <c r="B11155" s="26"/>
      <c r="C11155" s="26"/>
      <c r="D11155" s="24" t="s">
        <v>35341</v>
      </c>
      <c r="E11155" s="28">
        <v>0.40000</v>
      </c>
      <c r="F11155" s="29">
        <f ca="1">ROUND((G11152+G11153+G11154),3)</f>
        <v>0</v>
      </c>
      <c r="G11155" s="27">
        <f ca="1">ROUND(E11155*F11155,2)</f>
        <v>0</v>
      </c>
    </row>
    <row r="11156" spans="1:7" ht="15.12" thickBot="1" customHeight="1">
      <c r="A11156" s="24" t="s">
        <v>35342</v>
      </c>
      <c r="B11156" s="24"/>
      <c r="C11156" s="24" t="s">
        <v>35343</v>
      </c>
      <c r="D11156" s="25" t="s">
        <v>35344</v>
      </c>
      <c r="E11156" s="28">
        <v>3.00000</v>
      </c>
      <c r="F11156" s="29">
        <f ca="1">ROUND(17.520,3)</f>
        <v>0</v>
      </c>
      <c r="G11156" s="27">
        <f ca="1">ROUND((E11156*F11156)/100,2)</f>
        <v>0</v>
      </c>
    </row>
    <row r="11157" spans="1:7" ht="15.48" thickBot="1" customHeight="1">
      <c r="A11157" s="30"/>
      <c r="B11157" s="30"/>
      <c r="C11157" s="30"/>
      <c r="D11157" s="31" t="s">
        <v>35345</v>
      </c>
      <c r="E11157" s="30"/>
      <c r="F11157" s="33">
        <f ca="1">ROUND((G11149+G11150+G11151+G11156)*(1+G2/100),2)</f>
        <v>0</v>
      </c>
      <c r="G11157" s="30"/>
    </row>
    <row r="11158" spans="1:7" ht="21.36" thickBot="1" customHeight="1">
      <c r="A11158" s="34" t="s">
        <v>35346</v>
      </c>
      <c r="B11158" s="35" t="s">
        <v>35347</v>
      </c>
      <c r="C11158" s="35" t="s">
        <v>35348</v>
      </c>
      <c r="D11158" s="36" t="s">
        <v>35349</v>
      </c>
      <c r="E11158" s="37"/>
      <c r="F11158" s="38">
        <f ca="1">F11168</f>
        <v>0</v>
      </c>
      <c r="G11158" s="37"/>
    </row>
    <row r="11159" spans="1:7" ht="39.84" thickBot="1" customHeight="1">
      <c r="A11159" s="26"/>
      <c r="B11159" s="26"/>
      <c r="C11159" s="26"/>
      <c r="D11159" s="25" t="s">
        <v>35350</v>
      </c>
      <c r="E11159" s="25"/>
      <c r="F11159" s="25"/>
      <c r="G11159" s="25"/>
    </row>
    <row r="11160" spans="1:7" ht="30.60" thickBot="1" customHeight="1">
      <c r="A11160" s="24" t="s">
        <v>35351</v>
      </c>
      <c r="B11160" s="24" t="s">
        <v>35352</v>
      </c>
      <c r="C11160" s="24" t="s">
        <v>35353</v>
      </c>
      <c r="D11160" s="25" t="s">
        <v>35354</v>
      </c>
      <c r="E11160" s="28">
        <v>0.02625</v>
      </c>
      <c r="F11160" s="29">
        <f ca="1">ROUND(73.890,3)</f>
        <v>0</v>
      </c>
      <c r="G11160" s="27">
        <f ca="1">ROUND(E11160*F11160,2)</f>
        <v>0</v>
      </c>
    </row>
    <row r="11161" spans="1:7" ht="24.36" thickBot="1" customHeight="1">
      <c r="A11161" s="24" t="s">
        <v>35355</v>
      </c>
      <c r="B11161" s="24" t="s">
        <v>35356</v>
      </c>
      <c r="C11161" s="24" t="s">
        <v>35357</v>
      </c>
      <c r="D11161" s="25" t="s">
        <v>35358</v>
      </c>
      <c r="E11161" s="28">
        <v>0.05000</v>
      </c>
      <c r="F11161" s="29">
        <f ca="1">ROUND(4.630,3)</f>
        <v>0</v>
      </c>
      <c r="G11161" s="27">
        <f ca="1">ROUND(E11161*F11161,2)</f>
        <v>0</v>
      </c>
    </row>
    <row r="11162" spans="1:7" ht="21.36" thickBot="1" customHeight="1">
      <c r="A11162" s="24" t="s">
        <v>35359</v>
      </c>
      <c r="B11162" s="24" t="s">
        <v>35360</v>
      </c>
      <c r="C11162" s="24" t="s">
        <v>35361</v>
      </c>
      <c r="D11162" s="25" t="s">
        <v>35362</v>
      </c>
      <c r="E11162" s="28">
        <v>0.10000</v>
      </c>
      <c r="F11162" s="29">
        <f ca="1">F11166</f>
        <v>0</v>
      </c>
      <c r="G11162" s="27">
        <f ca="1">ROUND(E11162*F11162,2)</f>
        <v>0</v>
      </c>
    </row>
    <row r="11163" spans="1:7" ht="24.36" thickBot="1" customHeight="1">
      <c r="A11163" s="24" t="s">
        <v>35363</v>
      </c>
      <c r="B11163" s="24" t="s">
        <v>35364</v>
      </c>
      <c r="C11163" s="24" t="s">
        <v>35365</v>
      </c>
      <c r="D11163" s="25" t="s">
        <v>35366</v>
      </c>
      <c r="E11163" s="28">
        <v>1.00000</v>
      </c>
      <c r="F11163" s="29">
        <f ca="1">ROUND(21.000,3)</f>
        <v>0</v>
      </c>
      <c r="G11163" s="27">
        <f ca="1">ROUND(E11163*F11163,2)</f>
        <v>0</v>
      </c>
    </row>
    <row r="11164" spans="1:7" ht="24.36" thickBot="1" customHeight="1">
      <c r="A11164" s="24" t="s">
        <v>35367</v>
      </c>
      <c r="B11164" s="24" t="s">
        <v>35368</v>
      </c>
      <c r="C11164" s="24" t="s">
        <v>35369</v>
      </c>
      <c r="D11164" s="25" t="s">
        <v>35370</v>
      </c>
      <c r="E11164" s="28">
        <v>1.00000</v>
      </c>
      <c r="F11164" s="29">
        <f ca="1">ROUND(19.000,3)</f>
        <v>0</v>
      </c>
      <c r="G11164" s="27">
        <f ca="1">ROUND(E11164*F11164,2)</f>
        <v>0</v>
      </c>
    </row>
    <row r="11165" spans="1:7" ht="24.36" thickBot="1" customHeight="1">
      <c r="A11165" s="24" t="s">
        <v>35371</v>
      </c>
      <c r="B11165" s="24" t="s">
        <v>35372</v>
      </c>
      <c r="C11165" s="24" t="s">
        <v>35373</v>
      </c>
      <c r="D11165" s="25" t="s">
        <v>35374</v>
      </c>
      <c r="E11165" s="28">
        <v>0.20000</v>
      </c>
      <c r="F11165" s="29">
        <f ca="1">ROUND(19.000,3)</f>
        <v>0</v>
      </c>
      <c r="G11165" s="27">
        <f ca="1">ROUND(E11165*F11165,2)</f>
        <v>0</v>
      </c>
    </row>
    <row r="11166" spans="1:7" ht="15.12" thickBot="1" customHeight="1">
      <c r="A11166" s="26"/>
      <c r="B11166" s="26"/>
      <c r="C11166" s="26"/>
      <c r="D11166" s="24" t="s">
        <v>35375</v>
      </c>
      <c r="E11166" s="28">
        <v>0.10000</v>
      </c>
      <c r="F11166" s="29">
        <f ca="1">ROUND((G11163+G11164+G11165),3)</f>
        <v>0</v>
      </c>
      <c r="G11166" s="27">
        <f ca="1">ROUND(E11166*F11166,2)</f>
        <v>0</v>
      </c>
    </row>
    <row r="11167" spans="1:7" ht="15.12" thickBot="1" customHeight="1">
      <c r="A11167" s="24" t="s">
        <v>35376</v>
      </c>
      <c r="B11167" s="24"/>
      <c r="C11167" s="24" t="s">
        <v>35377</v>
      </c>
      <c r="D11167" s="25" t="s">
        <v>35378</v>
      </c>
      <c r="E11167" s="28">
        <v>3.00000</v>
      </c>
      <c r="F11167" s="29">
        <f ca="1">ROUND(4.380,3)</f>
        <v>0</v>
      </c>
      <c r="G11167" s="27">
        <f ca="1">ROUND((E11167*F11167)/100,2)</f>
        <v>0</v>
      </c>
    </row>
    <row r="11168" spans="1:7" ht="15.48" thickBot="1" customHeight="1">
      <c r="A11168" s="30"/>
      <c r="B11168" s="30"/>
      <c r="C11168" s="30"/>
      <c r="D11168" s="31" t="s">
        <v>35379</v>
      </c>
      <c r="E11168" s="30"/>
      <c r="F11168" s="33">
        <f ca="1">ROUND((G11160+G11161+G11162+G11167)*(1+G2/100),2)</f>
        <v>0</v>
      </c>
      <c r="G11168" s="30"/>
    </row>
    <row r="11169" spans="1:7" ht="21.36" thickBot="1" customHeight="1">
      <c r="A11169" s="34" t="s">
        <v>35380</v>
      </c>
      <c r="B11169" s="35" t="s">
        <v>35381</v>
      </c>
      <c r="C11169" s="35" t="s">
        <v>35382</v>
      </c>
      <c r="D11169" s="36" t="s">
        <v>35383</v>
      </c>
      <c r="E11169" s="37"/>
      <c r="F11169" s="38">
        <f ca="1">F11178</f>
        <v>0</v>
      </c>
      <c r="G11169" s="37"/>
    </row>
    <row r="11170" spans="1:7" ht="30.60" thickBot="1" customHeight="1">
      <c r="A11170" s="26"/>
      <c r="B11170" s="26"/>
      <c r="C11170" s="26"/>
      <c r="D11170" s="25" t="s">
        <v>35384</v>
      </c>
      <c r="E11170" s="25"/>
      <c r="F11170" s="25"/>
      <c r="G11170" s="25"/>
    </row>
    <row r="11171" spans="1:7" ht="30.60" thickBot="1" customHeight="1">
      <c r="A11171" s="24" t="s">
        <v>35385</v>
      </c>
      <c r="B11171" s="24" t="s">
        <v>35386</v>
      </c>
      <c r="C11171" s="24" t="s">
        <v>35387</v>
      </c>
      <c r="D11171" s="25" t="s">
        <v>35388</v>
      </c>
      <c r="E11171" s="28">
        <v>0.05000</v>
      </c>
      <c r="F11171" s="29">
        <f ca="1">ROUND(2.370,3)</f>
        <v>0</v>
      </c>
      <c r="G11171" s="27">
        <f ca="1">ROUND(E11171*F11171,2)</f>
        <v>0</v>
      </c>
    </row>
    <row r="11172" spans="1:7" ht="21.36" thickBot="1" customHeight="1">
      <c r="A11172" s="24" t="s">
        <v>35389</v>
      </c>
      <c r="B11172" s="24" t="s">
        <v>35390</v>
      </c>
      <c r="C11172" s="24" t="s">
        <v>35391</v>
      </c>
      <c r="D11172" s="25" t="s">
        <v>35392</v>
      </c>
      <c r="E11172" s="28">
        <v>0.08000</v>
      </c>
      <c r="F11172" s="29">
        <f ca="1">F11176</f>
        <v>0</v>
      </c>
      <c r="G11172" s="27">
        <f ca="1">ROUND(E11172*F11172,2)</f>
        <v>0</v>
      </c>
    </row>
    <row r="11173" spans="1:7" ht="24.36" thickBot="1" customHeight="1">
      <c r="A11173" s="24" t="s">
        <v>35393</v>
      </c>
      <c r="B11173" s="24" t="s">
        <v>35394</v>
      </c>
      <c r="C11173" s="24" t="s">
        <v>35395</v>
      </c>
      <c r="D11173" s="25" t="s">
        <v>35396</v>
      </c>
      <c r="E11173" s="28">
        <v>1.00000</v>
      </c>
      <c r="F11173" s="29">
        <f ca="1">ROUND(21.000,3)</f>
        <v>0</v>
      </c>
      <c r="G11173" s="27">
        <f ca="1">ROUND(E11173*F11173,2)</f>
        <v>0</v>
      </c>
    </row>
    <row r="11174" spans="1:7" ht="24.36" thickBot="1" customHeight="1">
      <c r="A11174" s="24" t="s">
        <v>35397</v>
      </c>
      <c r="B11174" s="24" t="s">
        <v>35398</v>
      </c>
      <c r="C11174" s="24" t="s">
        <v>35399</v>
      </c>
      <c r="D11174" s="25" t="s">
        <v>35400</v>
      </c>
      <c r="E11174" s="28">
        <v>1.00000</v>
      </c>
      <c r="F11174" s="29">
        <f ca="1">ROUND(19.000,3)</f>
        <v>0</v>
      </c>
      <c r="G11174" s="27">
        <f ca="1">ROUND(E11174*F11174,2)</f>
        <v>0</v>
      </c>
    </row>
    <row r="11175" spans="1:7" ht="24.36" thickBot="1" customHeight="1">
      <c r="A11175" s="24" t="s">
        <v>35401</v>
      </c>
      <c r="B11175" s="24" t="s">
        <v>35402</v>
      </c>
      <c r="C11175" s="24" t="s">
        <v>35403</v>
      </c>
      <c r="D11175" s="25" t="s">
        <v>35404</v>
      </c>
      <c r="E11175" s="28">
        <v>0.20000</v>
      </c>
      <c r="F11175" s="29">
        <f ca="1">ROUND(19.000,3)</f>
        <v>0</v>
      </c>
      <c r="G11175" s="27">
        <f ca="1">ROUND(E11175*F11175,2)</f>
        <v>0</v>
      </c>
    </row>
    <row r="11176" spans="1:7" ht="15.12" thickBot="1" customHeight="1">
      <c r="A11176" s="26"/>
      <c r="B11176" s="26"/>
      <c r="C11176" s="26"/>
      <c r="D11176" s="24" t="s">
        <v>35405</v>
      </c>
      <c r="E11176" s="28">
        <v>0.08000</v>
      </c>
      <c r="F11176" s="29">
        <f ca="1">ROUND((G11173+G11174+G11175),3)</f>
        <v>0</v>
      </c>
      <c r="G11176" s="27">
        <f ca="1">ROUND(E11176*F11176,2)</f>
        <v>0</v>
      </c>
    </row>
    <row r="11177" spans="1:7" ht="15.12" thickBot="1" customHeight="1">
      <c r="A11177" s="24" t="s">
        <v>35406</v>
      </c>
      <c r="B11177" s="24"/>
      <c r="C11177" s="24" t="s">
        <v>35407</v>
      </c>
      <c r="D11177" s="25" t="s">
        <v>35408</v>
      </c>
      <c r="E11177" s="28">
        <v>3.00000</v>
      </c>
      <c r="F11177" s="29">
        <f ca="1">ROUND(3.500,3)</f>
        <v>0</v>
      </c>
      <c r="G11177" s="27">
        <f ca="1">ROUND((E11177*F11177)/100,2)</f>
        <v>0</v>
      </c>
    </row>
    <row r="11178" spans="1:7" ht="15.48" thickBot="1" customHeight="1">
      <c r="A11178" s="30"/>
      <c r="B11178" s="30"/>
      <c r="C11178" s="30"/>
      <c r="D11178" s="31" t="s">
        <v>35409</v>
      </c>
      <c r="E11178" s="30"/>
      <c r="F11178" s="33">
        <f ca="1">ROUND((G11171+G11172+G11177)*(1+G2/100),2)</f>
        <v>0</v>
      </c>
      <c r="G11178" s="30"/>
    </row>
    <row r="11179" spans="1:7" ht="30.60" thickBot="1" customHeight="1">
      <c r="A11179" s="34" t="s">
        <v>35410</v>
      </c>
      <c r="B11179" s="35" t="s">
        <v>35411</v>
      </c>
      <c r="C11179" s="35" t="s">
        <v>35412</v>
      </c>
      <c r="D11179" s="36" t="s">
        <v>35413</v>
      </c>
      <c r="E11179" s="37"/>
      <c r="F11179" s="38">
        <f ca="1">F11188</f>
        <v>0</v>
      </c>
      <c r="G11179" s="37"/>
    </row>
    <row r="11180" spans="1:7" ht="12.12" thickBot="1" customHeight="1">
      <c r="A11180" s="26"/>
      <c r="B11180" s="26"/>
      <c r="C11180" s="26"/>
      <c r="D11180" s="25" t="s">
        <v>35414</v>
      </c>
      <c r="E11180" s="25"/>
      <c r="F11180" s="25"/>
      <c r="G11180" s="25"/>
    </row>
    <row r="11181" spans="1:7" ht="21.36" thickBot="1" customHeight="1">
      <c r="A11181" s="24" t="s">
        <v>35415</v>
      </c>
      <c r="B11181" s="24" t="s">
        <v>35416</v>
      </c>
      <c r="C11181" s="24" t="s">
        <v>35417</v>
      </c>
      <c r="D11181" s="25" t="s">
        <v>35418</v>
      </c>
      <c r="E11181" s="28">
        <v>0.50000</v>
      </c>
      <c r="F11181" s="29">
        <f ca="1">ROUND(2.840,3)</f>
        <v>0</v>
      </c>
      <c r="G11181" s="27">
        <f ca="1">ROUND(E11181*F11181,2)</f>
        <v>0</v>
      </c>
    </row>
    <row r="11182" spans="1:7" ht="21.36" thickBot="1" customHeight="1">
      <c r="A11182" s="24" t="s">
        <v>35419</v>
      </c>
      <c r="B11182" s="24" t="s">
        <v>35420</v>
      </c>
      <c r="C11182" s="24" t="s">
        <v>35421</v>
      </c>
      <c r="D11182" s="25" t="s">
        <v>35422</v>
      </c>
      <c r="E11182" s="28">
        <v>0.10000</v>
      </c>
      <c r="F11182" s="29">
        <f ca="1">F11186</f>
        <v>0</v>
      </c>
      <c r="G11182" s="27">
        <f ca="1">ROUND(E11182*F11182,2)</f>
        <v>0</v>
      </c>
    </row>
    <row r="11183" spans="1:7" ht="24.36" thickBot="1" customHeight="1">
      <c r="A11183" s="24" t="s">
        <v>35423</v>
      </c>
      <c r="B11183" s="24" t="s">
        <v>35424</v>
      </c>
      <c r="C11183" s="24" t="s">
        <v>35425</v>
      </c>
      <c r="D11183" s="25" t="s">
        <v>35426</v>
      </c>
      <c r="E11183" s="28">
        <v>1.00000</v>
      </c>
      <c r="F11183" s="29">
        <f ca="1">ROUND(21.000,3)</f>
        <v>0</v>
      </c>
      <c r="G11183" s="27">
        <f ca="1">ROUND(E11183*F11183,2)</f>
        <v>0</v>
      </c>
    </row>
    <row r="11184" spans="1:7" ht="24.36" thickBot="1" customHeight="1">
      <c r="A11184" s="24" t="s">
        <v>35427</v>
      </c>
      <c r="B11184" s="24" t="s">
        <v>35428</v>
      </c>
      <c r="C11184" s="24" t="s">
        <v>35429</v>
      </c>
      <c r="D11184" s="25" t="s">
        <v>35430</v>
      </c>
      <c r="E11184" s="28">
        <v>1.00000</v>
      </c>
      <c r="F11184" s="29">
        <f ca="1">ROUND(19.000,3)</f>
        <v>0</v>
      </c>
      <c r="G11184" s="27">
        <f ca="1">ROUND(E11184*F11184,2)</f>
        <v>0</v>
      </c>
    </row>
    <row r="11185" spans="1:7" ht="24.36" thickBot="1" customHeight="1">
      <c r="A11185" s="24" t="s">
        <v>35431</v>
      </c>
      <c r="B11185" s="24" t="s">
        <v>35432</v>
      </c>
      <c r="C11185" s="24" t="s">
        <v>35433</v>
      </c>
      <c r="D11185" s="25" t="s">
        <v>35434</v>
      </c>
      <c r="E11185" s="28">
        <v>0.20000</v>
      </c>
      <c r="F11185" s="29">
        <f ca="1">ROUND(19.000,3)</f>
        <v>0</v>
      </c>
      <c r="G11185" s="27">
        <f ca="1">ROUND(E11185*F11185,2)</f>
        <v>0</v>
      </c>
    </row>
    <row r="11186" spans="1:7" ht="15.12" thickBot="1" customHeight="1">
      <c r="A11186" s="26"/>
      <c r="B11186" s="26"/>
      <c r="C11186" s="26"/>
      <c r="D11186" s="24" t="s">
        <v>35435</v>
      </c>
      <c r="E11186" s="28">
        <v>0.10000</v>
      </c>
      <c r="F11186" s="29">
        <f ca="1">ROUND((G11183+G11184+G11185),3)</f>
        <v>0</v>
      </c>
      <c r="G11186" s="27">
        <f ca="1">ROUND(E11186*F11186,2)</f>
        <v>0</v>
      </c>
    </row>
    <row r="11187" spans="1:7" ht="15.12" thickBot="1" customHeight="1">
      <c r="A11187" s="24" t="s">
        <v>35436</v>
      </c>
      <c r="B11187" s="24"/>
      <c r="C11187" s="24" t="s">
        <v>35437</v>
      </c>
      <c r="D11187" s="25" t="s">
        <v>35438</v>
      </c>
      <c r="E11187" s="28">
        <v>3.00000</v>
      </c>
      <c r="F11187" s="29">
        <f ca="1">ROUND(4.380,3)</f>
        <v>0</v>
      </c>
      <c r="G11187" s="27">
        <f ca="1">ROUND((E11187*F11187)/100,2)</f>
        <v>0</v>
      </c>
    </row>
    <row r="11188" spans="1:7" ht="15.48" thickBot="1" customHeight="1">
      <c r="A11188" s="30"/>
      <c r="B11188" s="30"/>
      <c r="C11188" s="30"/>
      <c r="D11188" s="31" t="s">
        <v>35439</v>
      </c>
      <c r="E11188" s="30"/>
      <c r="F11188" s="33">
        <f ca="1">ROUND((G11181+G11182+G11187)*(1+G2/100),2)</f>
        <v>0</v>
      </c>
      <c r="G11188" s="30"/>
    </row>
    <row r="11189" spans="1:7" ht="15.48" thickBot="1" customHeight="1">
      <c r="A11189" s="34" t="s">
        <v>35440</v>
      </c>
      <c r="B11189" s="35" t="s">
        <v>35441</v>
      </c>
      <c r="C11189" s="35" t="s">
        <v>35442</v>
      </c>
      <c r="D11189" s="36" t="s">
        <v>35443</v>
      </c>
      <c r="E11189" s="37"/>
      <c r="F11189" s="38">
        <f ca="1">F11198</f>
        <v>0</v>
      </c>
      <c r="G11189" s="37"/>
    </row>
    <row r="11190" spans="1:7" ht="86.04" thickBot="1" customHeight="1">
      <c r="A11190" s="26"/>
      <c r="B11190" s="26"/>
      <c r="C11190" s="26"/>
      <c r="D11190" s="25" t="s">
        <v>35444</v>
      </c>
      <c r="E11190" s="25"/>
      <c r="F11190" s="25"/>
      <c r="G11190" s="25"/>
    </row>
    <row r="11191" spans="1:7" ht="30.60" thickBot="1" customHeight="1">
      <c r="A11191" s="24" t="s">
        <v>35445</v>
      </c>
      <c r="B11191" s="24" t="s">
        <v>35446</v>
      </c>
      <c r="C11191" s="24" t="s">
        <v>35447</v>
      </c>
      <c r="D11191" s="25" t="s">
        <v>35448</v>
      </c>
      <c r="E11191" s="28">
        <v>0.10000</v>
      </c>
      <c r="F11191" s="29">
        <f ca="1">ROUND(29.170,3)</f>
        <v>0</v>
      </c>
      <c r="G11191" s="27">
        <f ca="1">ROUND(E11191*F11191,2)</f>
        <v>0</v>
      </c>
    </row>
    <row r="11192" spans="1:7" ht="21.36" thickBot="1" customHeight="1">
      <c r="A11192" s="24" t="s">
        <v>35449</v>
      </c>
      <c r="B11192" s="24" t="s">
        <v>35450</v>
      </c>
      <c r="C11192" s="24" t="s">
        <v>35451</v>
      </c>
      <c r="D11192" s="25" t="s">
        <v>35452</v>
      </c>
      <c r="E11192" s="28">
        <v>0.15000</v>
      </c>
      <c r="F11192" s="29">
        <f ca="1">F11196</f>
        <v>0</v>
      </c>
      <c r="G11192" s="27">
        <f ca="1">ROUND(E11192*F11192,2)</f>
        <v>0</v>
      </c>
    </row>
    <row r="11193" spans="1:7" ht="24.36" thickBot="1" customHeight="1">
      <c r="A11193" s="24" t="s">
        <v>35453</v>
      </c>
      <c r="B11193" s="24" t="s">
        <v>35454</v>
      </c>
      <c r="C11193" s="24" t="s">
        <v>35455</v>
      </c>
      <c r="D11193" s="25" t="s">
        <v>35456</v>
      </c>
      <c r="E11193" s="28">
        <v>1.00000</v>
      </c>
      <c r="F11193" s="29">
        <f ca="1">ROUND(21.000,3)</f>
        <v>0</v>
      </c>
      <c r="G11193" s="27">
        <f ca="1">ROUND(E11193*F11193,2)</f>
        <v>0</v>
      </c>
    </row>
    <row r="11194" spans="1:7" ht="24.36" thickBot="1" customHeight="1">
      <c r="A11194" s="24" t="s">
        <v>35457</v>
      </c>
      <c r="B11194" s="24" t="s">
        <v>35458</v>
      </c>
      <c r="C11194" s="24" t="s">
        <v>35459</v>
      </c>
      <c r="D11194" s="25" t="s">
        <v>35460</v>
      </c>
      <c r="E11194" s="28">
        <v>1.00000</v>
      </c>
      <c r="F11194" s="29">
        <f ca="1">ROUND(19.000,3)</f>
        <v>0</v>
      </c>
      <c r="G11194" s="27">
        <f ca="1">ROUND(E11194*F11194,2)</f>
        <v>0</v>
      </c>
    </row>
    <row r="11195" spans="1:7" ht="24.36" thickBot="1" customHeight="1">
      <c r="A11195" s="24" t="s">
        <v>35461</v>
      </c>
      <c r="B11195" s="24" t="s">
        <v>35462</v>
      </c>
      <c r="C11195" s="24" t="s">
        <v>35463</v>
      </c>
      <c r="D11195" s="25" t="s">
        <v>35464</v>
      </c>
      <c r="E11195" s="28">
        <v>0.20000</v>
      </c>
      <c r="F11195" s="29">
        <f ca="1">ROUND(19.000,3)</f>
        <v>0</v>
      </c>
      <c r="G11195" s="27">
        <f ca="1">ROUND(E11195*F11195,2)</f>
        <v>0</v>
      </c>
    </row>
    <row r="11196" spans="1:7" ht="15.12" thickBot="1" customHeight="1">
      <c r="A11196" s="26"/>
      <c r="B11196" s="26"/>
      <c r="C11196" s="26"/>
      <c r="D11196" s="24" t="s">
        <v>35465</v>
      </c>
      <c r="E11196" s="28">
        <v>0.15000</v>
      </c>
      <c r="F11196" s="29">
        <f ca="1">ROUND((G11193+G11194+G11195),3)</f>
        <v>0</v>
      </c>
      <c r="G11196" s="27">
        <f ca="1">ROUND(E11196*F11196,2)</f>
        <v>0</v>
      </c>
    </row>
    <row r="11197" spans="1:7" ht="15.12" thickBot="1" customHeight="1">
      <c r="A11197" s="24" t="s">
        <v>35466</v>
      </c>
      <c r="B11197" s="24"/>
      <c r="C11197" s="24" t="s">
        <v>35467</v>
      </c>
      <c r="D11197" s="25" t="s">
        <v>35468</v>
      </c>
      <c r="E11197" s="28">
        <v>3.00000</v>
      </c>
      <c r="F11197" s="29">
        <f ca="1">ROUND(6.570,3)</f>
        <v>0</v>
      </c>
      <c r="G11197" s="27">
        <f ca="1">ROUND((E11197*F11197)/100,2)</f>
        <v>0</v>
      </c>
    </row>
    <row r="11198" spans="1:7" ht="15.48" thickBot="1" customHeight="1">
      <c r="A11198" s="30"/>
      <c r="B11198" s="30"/>
      <c r="C11198" s="30"/>
      <c r="D11198" s="31" t="s">
        <v>35469</v>
      </c>
      <c r="E11198" s="30"/>
      <c r="F11198" s="33">
        <f ca="1">ROUND((G11191+G11192+G11197)*(1+G2/100),2)</f>
        <v>0</v>
      </c>
      <c r="G11198" s="30"/>
    </row>
    <row r="11199" spans="1:7" ht="21.36" thickBot="1" customHeight="1">
      <c r="A11199" s="34" t="s">
        <v>35470</v>
      </c>
      <c r="B11199" s="35" t="s">
        <v>35471</v>
      </c>
      <c r="C11199" s="35" t="s">
        <v>35472</v>
      </c>
      <c r="D11199" s="36" t="s">
        <v>35473</v>
      </c>
      <c r="E11199" s="37"/>
      <c r="F11199" s="38">
        <f ca="1">F11207</f>
        <v>0</v>
      </c>
      <c r="G11199" s="37"/>
    </row>
    <row r="11200" spans="1:7" ht="21.36" thickBot="1" customHeight="1">
      <c r="A11200" s="26"/>
      <c r="B11200" s="26"/>
      <c r="C11200" s="26"/>
      <c r="D11200" s="25" t="s">
        <v>35474</v>
      </c>
      <c r="E11200" s="25"/>
      <c r="F11200" s="25"/>
      <c r="G11200" s="25"/>
    </row>
    <row r="11201" spans="1:7" ht="21.36" thickBot="1" customHeight="1">
      <c r="A11201" s="24" t="s">
        <v>35475</v>
      </c>
      <c r="B11201" s="24" t="s">
        <v>35476</v>
      </c>
      <c r="C11201" s="24" t="s">
        <v>35477</v>
      </c>
      <c r="D11201" s="25" t="s">
        <v>35478</v>
      </c>
      <c r="E11201" s="28">
        <v>0.08000</v>
      </c>
      <c r="F11201" s="29">
        <f ca="1">F11205</f>
        <v>0</v>
      </c>
      <c r="G11201" s="27">
        <f ca="1">ROUND(E11201*F11201,2)</f>
        <v>0</v>
      </c>
    </row>
    <row r="11202" spans="1:7" ht="24.36" thickBot="1" customHeight="1">
      <c r="A11202" s="24" t="s">
        <v>35479</v>
      </c>
      <c r="B11202" s="24" t="s">
        <v>35480</v>
      </c>
      <c r="C11202" s="24" t="s">
        <v>35481</v>
      </c>
      <c r="D11202" s="25" t="s">
        <v>35482</v>
      </c>
      <c r="E11202" s="28">
        <v>1.00000</v>
      </c>
      <c r="F11202" s="29">
        <f ca="1">ROUND(21.000,3)</f>
        <v>0</v>
      </c>
      <c r="G11202" s="27">
        <f ca="1">ROUND(E11202*F11202,2)</f>
        <v>0</v>
      </c>
    </row>
    <row r="11203" spans="1:7" ht="24.36" thickBot="1" customHeight="1">
      <c r="A11203" s="24" t="s">
        <v>35483</v>
      </c>
      <c r="B11203" s="24" t="s">
        <v>35484</v>
      </c>
      <c r="C11203" s="24" t="s">
        <v>35485</v>
      </c>
      <c r="D11203" s="25" t="s">
        <v>35486</v>
      </c>
      <c r="E11203" s="28">
        <v>1.00000</v>
      </c>
      <c r="F11203" s="29">
        <f ca="1">ROUND(19.000,3)</f>
        <v>0</v>
      </c>
      <c r="G11203" s="27">
        <f ca="1">ROUND(E11203*F11203,2)</f>
        <v>0</v>
      </c>
    </row>
    <row r="11204" spans="1:7" ht="24.36" thickBot="1" customHeight="1">
      <c r="A11204" s="24" t="s">
        <v>35487</v>
      </c>
      <c r="B11204" s="24" t="s">
        <v>35488</v>
      </c>
      <c r="C11204" s="24" t="s">
        <v>35489</v>
      </c>
      <c r="D11204" s="25" t="s">
        <v>35490</v>
      </c>
      <c r="E11204" s="28">
        <v>0.20000</v>
      </c>
      <c r="F11204" s="29">
        <f ca="1">ROUND(19.000,3)</f>
        <v>0</v>
      </c>
      <c r="G11204" s="27">
        <f ca="1">ROUND(E11204*F11204,2)</f>
        <v>0</v>
      </c>
    </row>
    <row r="11205" spans="1:7" ht="15.12" thickBot="1" customHeight="1">
      <c r="A11205" s="26"/>
      <c r="B11205" s="26"/>
      <c r="C11205" s="26"/>
      <c r="D11205" s="24" t="s">
        <v>35491</v>
      </c>
      <c r="E11205" s="28">
        <v>0.08000</v>
      </c>
      <c r="F11205" s="29">
        <f ca="1">ROUND((G11202+G11203+G11204),3)</f>
        <v>0</v>
      </c>
      <c r="G11205" s="27">
        <f ca="1">ROUND(E11205*F11205,2)</f>
        <v>0</v>
      </c>
    </row>
    <row r="11206" spans="1:7" ht="15.12" thickBot="1" customHeight="1">
      <c r="A11206" s="24" t="s">
        <v>35492</v>
      </c>
      <c r="B11206" s="24"/>
      <c r="C11206" s="24" t="s">
        <v>35493</v>
      </c>
      <c r="D11206" s="25" t="s">
        <v>35494</v>
      </c>
      <c r="E11206" s="28">
        <v>3.00000</v>
      </c>
      <c r="F11206" s="29">
        <f ca="1">ROUND(3.500,3)</f>
        <v>0</v>
      </c>
      <c r="G11206" s="27">
        <f ca="1">ROUND((E11206*F11206)/100,2)</f>
        <v>0</v>
      </c>
    </row>
    <row r="11207" spans="1:7" ht="15.48" thickBot="1" customHeight="1">
      <c r="A11207" s="30"/>
      <c r="B11207" s="30"/>
      <c r="C11207" s="30"/>
      <c r="D11207" s="31" t="s">
        <v>35495</v>
      </c>
      <c r="E11207" s="30"/>
      <c r="F11207" s="33">
        <f ca="1">ROUND((G11201+G11206)*(1+G2/100),2)</f>
        <v>0</v>
      </c>
      <c r="G11207" s="30"/>
    </row>
    <row r="11208" spans="1:7" ht="21.36" thickBot="1" customHeight="1">
      <c r="A11208" s="34" t="s">
        <v>35496</v>
      </c>
      <c r="B11208" s="35" t="s">
        <v>35497</v>
      </c>
      <c r="C11208" s="35" t="s">
        <v>35498</v>
      </c>
      <c r="D11208" s="36" t="s">
        <v>35499</v>
      </c>
      <c r="E11208" s="37"/>
      <c r="F11208" s="38">
        <f ca="1">F11222</f>
        <v>0</v>
      </c>
      <c r="G11208" s="37"/>
    </row>
    <row r="11209" spans="1:7" ht="39.84" thickBot="1" customHeight="1">
      <c r="A11209" s="26"/>
      <c r="B11209" s="26"/>
      <c r="C11209" s="26"/>
      <c r="D11209" s="25" t="s">
        <v>35500</v>
      </c>
      <c r="E11209" s="25"/>
      <c r="F11209" s="25"/>
      <c r="G11209" s="25"/>
    </row>
    <row r="11210" spans="1:7" ht="30.60" thickBot="1" customHeight="1">
      <c r="A11210" s="24" t="s">
        <v>35501</v>
      </c>
      <c r="B11210" s="24" t="s">
        <v>35502</v>
      </c>
      <c r="C11210" s="24" t="s">
        <v>35503</v>
      </c>
      <c r="D11210" s="25" t="s">
        <v>35504</v>
      </c>
      <c r="E11210" s="28">
        <v>0.02140</v>
      </c>
      <c r="F11210" s="29">
        <f ca="1">ROUND(41.900,3)</f>
        <v>0</v>
      </c>
      <c r="G11210" s="27">
        <f ca="1">ROUND(E11210*F11210,2)</f>
        <v>0</v>
      </c>
    </row>
    <row r="11211" spans="1:7" ht="24.36" thickBot="1" customHeight="1">
      <c r="A11211" s="24" t="s">
        <v>35505</v>
      </c>
      <c r="B11211" s="24" t="s">
        <v>35506</v>
      </c>
      <c r="C11211" s="24" t="s">
        <v>35507</v>
      </c>
      <c r="D11211" s="25" t="s">
        <v>35508</v>
      </c>
      <c r="E11211" s="28">
        <v>0.01000</v>
      </c>
      <c r="F11211" s="29">
        <f ca="1">ROUND(85.930,3)</f>
        <v>0</v>
      </c>
      <c r="G11211" s="27">
        <f ca="1">ROUND(E11211*F11211,2)</f>
        <v>0</v>
      </c>
    </row>
    <row r="11212" spans="1:7" ht="30.60" thickBot="1" customHeight="1">
      <c r="A11212" s="24" t="s">
        <v>35509</v>
      </c>
      <c r="B11212" s="24" t="s">
        <v>35510</v>
      </c>
      <c r="C11212" s="24" t="s">
        <v>35511</v>
      </c>
      <c r="D11212" s="25" t="s">
        <v>35512</v>
      </c>
      <c r="E11212" s="28">
        <v>0.01100</v>
      </c>
      <c r="F11212" s="29">
        <f ca="1">ROUND(2.520,3)</f>
        <v>0</v>
      </c>
      <c r="G11212" s="27">
        <f ca="1">ROUND(E11212*F11212,2)</f>
        <v>0</v>
      </c>
    </row>
    <row r="11213" spans="1:7" ht="24.36" thickBot="1" customHeight="1">
      <c r="A11213" s="24" t="s">
        <v>35513</v>
      </c>
      <c r="B11213" s="24" t="s">
        <v>35514</v>
      </c>
      <c r="C11213" s="24" t="s">
        <v>35515</v>
      </c>
      <c r="D11213" s="25" t="s">
        <v>35516</v>
      </c>
      <c r="E11213" s="28">
        <v>0.01100</v>
      </c>
      <c r="F11213" s="29">
        <f ca="1">ROUND(4.730,3)</f>
        <v>0</v>
      </c>
      <c r="G11213" s="27">
        <f ca="1">ROUND(E11213*F11213,2)</f>
        <v>0</v>
      </c>
    </row>
    <row r="11214" spans="1:7" ht="24.36" thickBot="1" customHeight="1">
      <c r="A11214" s="24" t="s">
        <v>35517</v>
      </c>
      <c r="B11214" s="24" t="s">
        <v>35518</v>
      </c>
      <c r="C11214" s="24" t="s">
        <v>35519</v>
      </c>
      <c r="D11214" s="25" t="s">
        <v>35520</v>
      </c>
      <c r="E11214" s="28">
        <v>0.01500</v>
      </c>
      <c r="F11214" s="29">
        <f ca="1">ROUND(0.650,3)</f>
        <v>0</v>
      </c>
      <c r="G11214" s="27">
        <f ca="1">ROUND(E11214*F11214,2)</f>
        <v>0</v>
      </c>
    </row>
    <row r="11215" spans="1:7" ht="24.36" thickBot="1" customHeight="1">
      <c r="A11215" s="24" t="s">
        <v>35521</v>
      </c>
      <c r="B11215" s="24" t="s">
        <v>35522</v>
      </c>
      <c r="C11215" s="24" t="s">
        <v>35523</v>
      </c>
      <c r="D11215" s="25" t="s">
        <v>35524</v>
      </c>
      <c r="E11215" s="28">
        <v>0.01100</v>
      </c>
      <c r="F11215" s="29">
        <f ca="1">ROUND(4.060,3)</f>
        <v>0</v>
      </c>
      <c r="G11215" s="27">
        <f ca="1">ROUND(E11215*F11215,2)</f>
        <v>0</v>
      </c>
    </row>
    <row r="11216" spans="1:7" ht="21.36" thickBot="1" customHeight="1">
      <c r="A11216" s="24" t="s">
        <v>35525</v>
      </c>
      <c r="B11216" s="24" t="s">
        <v>35526</v>
      </c>
      <c r="C11216" s="24" t="s">
        <v>35527</v>
      </c>
      <c r="D11216" s="25" t="s">
        <v>35528</v>
      </c>
      <c r="E11216" s="28">
        <v>0.22000</v>
      </c>
      <c r="F11216" s="29">
        <f ca="1">F11220</f>
        <v>0</v>
      </c>
      <c r="G11216" s="27">
        <f ca="1">ROUND(E11216*F11216,2)</f>
        <v>0</v>
      </c>
    </row>
    <row r="11217" spans="1:7" ht="24.36" thickBot="1" customHeight="1">
      <c r="A11217" s="24" t="s">
        <v>35529</v>
      </c>
      <c r="B11217" s="24" t="s">
        <v>35530</v>
      </c>
      <c r="C11217" s="24" t="s">
        <v>35531</v>
      </c>
      <c r="D11217" s="25" t="s">
        <v>35532</v>
      </c>
      <c r="E11217" s="28">
        <v>1.00000</v>
      </c>
      <c r="F11217" s="29">
        <f ca="1">ROUND(21.000,3)</f>
        <v>0</v>
      </c>
      <c r="G11217" s="27">
        <f ca="1">ROUND(E11217*F11217,2)</f>
        <v>0</v>
      </c>
    </row>
    <row r="11218" spans="1:7" ht="24.36" thickBot="1" customHeight="1">
      <c r="A11218" s="24" t="s">
        <v>35533</v>
      </c>
      <c r="B11218" s="24" t="s">
        <v>35534</v>
      </c>
      <c r="C11218" s="24" t="s">
        <v>35535</v>
      </c>
      <c r="D11218" s="25" t="s">
        <v>35536</v>
      </c>
      <c r="E11218" s="28">
        <v>1.00000</v>
      </c>
      <c r="F11218" s="29">
        <f ca="1">ROUND(19.000,3)</f>
        <v>0</v>
      </c>
      <c r="G11218" s="27">
        <f ca="1">ROUND(E11218*F11218,2)</f>
        <v>0</v>
      </c>
    </row>
    <row r="11219" spans="1:7" ht="24.36" thickBot="1" customHeight="1">
      <c r="A11219" s="24" t="s">
        <v>35537</v>
      </c>
      <c r="B11219" s="24" t="s">
        <v>35538</v>
      </c>
      <c r="C11219" s="24" t="s">
        <v>35539</v>
      </c>
      <c r="D11219" s="25" t="s">
        <v>35540</v>
      </c>
      <c r="E11219" s="28">
        <v>0.20000</v>
      </c>
      <c r="F11219" s="29">
        <f ca="1">ROUND(19.000,3)</f>
        <v>0</v>
      </c>
      <c r="G11219" s="27">
        <f ca="1">ROUND(E11219*F11219,2)</f>
        <v>0</v>
      </c>
    </row>
    <row r="11220" spans="1:7" ht="15.12" thickBot="1" customHeight="1">
      <c r="A11220" s="26"/>
      <c r="B11220" s="26"/>
      <c r="C11220" s="26"/>
      <c r="D11220" s="24" t="s">
        <v>35541</v>
      </c>
      <c r="E11220" s="28">
        <v>0.22000</v>
      </c>
      <c r="F11220" s="29">
        <f ca="1">ROUND((G11217+G11218+G11219),3)</f>
        <v>0</v>
      </c>
      <c r="G11220" s="27">
        <f ca="1">ROUND(E11220*F11220,2)</f>
        <v>0</v>
      </c>
    </row>
    <row r="11221" spans="1:7" ht="15.12" thickBot="1" customHeight="1">
      <c r="A11221" s="24" t="s">
        <v>35542</v>
      </c>
      <c r="B11221" s="24"/>
      <c r="C11221" s="24" t="s">
        <v>35543</v>
      </c>
      <c r="D11221" s="25" t="s">
        <v>35544</v>
      </c>
      <c r="E11221" s="28">
        <v>3.00000</v>
      </c>
      <c r="F11221" s="29">
        <f ca="1">ROUND(9.640,3)</f>
        <v>0</v>
      </c>
      <c r="G11221" s="27">
        <f ca="1">ROUND((E11221*F11221)/100,2)</f>
        <v>0</v>
      </c>
    </row>
    <row r="11222" spans="1:7" ht="15.48" thickBot="1" customHeight="1">
      <c r="A11222" s="30"/>
      <c r="B11222" s="30"/>
      <c r="C11222" s="30"/>
      <c r="D11222" s="31" t="s">
        <v>35545</v>
      </c>
      <c r="E11222" s="30"/>
      <c r="F11222" s="33">
        <f ca="1">ROUND((G11210+G11211+G11212+G11213+G11214+G11215+G11216+G11221)*(1+G2/100),2)</f>
        <v>0</v>
      </c>
      <c r="G11222" s="30"/>
    </row>
    <row r="11223" spans="1:7" ht="30.60" thickBot="1" customHeight="1">
      <c r="A11223" s="34" t="s">
        <v>35546</v>
      </c>
      <c r="B11223" s="35" t="s">
        <v>35547</v>
      </c>
      <c r="C11223" s="35" t="s">
        <v>35548</v>
      </c>
      <c r="D11223" s="36" t="s">
        <v>35549</v>
      </c>
      <c r="E11223" s="37"/>
      <c r="F11223" s="38">
        <f ca="1">F11237</f>
        <v>0</v>
      </c>
      <c r="G11223" s="37"/>
    </row>
    <row r="11224" spans="1:7" ht="39.84" thickBot="1" customHeight="1">
      <c r="A11224" s="26"/>
      <c r="B11224" s="26"/>
      <c r="C11224" s="26"/>
      <c r="D11224" s="25" t="s">
        <v>35550</v>
      </c>
      <c r="E11224" s="25"/>
      <c r="F11224" s="25"/>
      <c r="G11224" s="25"/>
    </row>
    <row r="11225" spans="1:7" ht="30.60" thickBot="1" customHeight="1">
      <c r="A11225" s="24" t="s">
        <v>35551</v>
      </c>
      <c r="B11225" s="24" t="s">
        <v>35552</v>
      </c>
      <c r="C11225" s="24" t="s">
        <v>35553</v>
      </c>
      <c r="D11225" s="25" t="s">
        <v>35554</v>
      </c>
      <c r="E11225" s="28">
        <v>0.02140</v>
      </c>
      <c r="F11225" s="29">
        <f ca="1">ROUND(41.900,3)</f>
        <v>0</v>
      </c>
      <c r="G11225" s="27">
        <f ca="1">ROUND(E11225*F11225,2)</f>
        <v>0</v>
      </c>
    </row>
    <row r="11226" spans="1:7" ht="24.36" thickBot="1" customHeight="1">
      <c r="A11226" s="24" t="s">
        <v>35555</v>
      </c>
      <c r="B11226" s="24" t="s">
        <v>35556</v>
      </c>
      <c r="C11226" s="24" t="s">
        <v>35557</v>
      </c>
      <c r="D11226" s="25" t="s">
        <v>35558</v>
      </c>
      <c r="E11226" s="28">
        <v>0.01000</v>
      </c>
      <c r="F11226" s="29">
        <f ca="1">ROUND(85.930,3)</f>
        <v>0</v>
      </c>
      <c r="G11226" s="27">
        <f ca="1">ROUND(E11226*F11226,2)</f>
        <v>0</v>
      </c>
    </row>
    <row r="11227" spans="1:7" ht="30.60" thickBot="1" customHeight="1">
      <c r="A11227" s="24" t="s">
        <v>35559</v>
      </c>
      <c r="B11227" s="24" t="s">
        <v>35560</v>
      </c>
      <c r="C11227" s="24" t="s">
        <v>35561</v>
      </c>
      <c r="D11227" s="25" t="s">
        <v>35562</v>
      </c>
      <c r="E11227" s="28">
        <v>0.01100</v>
      </c>
      <c r="F11227" s="29">
        <f ca="1">ROUND(2.520,3)</f>
        <v>0</v>
      </c>
      <c r="G11227" s="27">
        <f ca="1">ROUND(E11227*F11227,2)</f>
        <v>0</v>
      </c>
    </row>
    <row r="11228" spans="1:7" ht="24.36" thickBot="1" customHeight="1">
      <c r="A11228" s="24" t="s">
        <v>35563</v>
      </c>
      <c r="B11228" s="24" t="s">
        <v>35564</v>
      </c>
      <c r="C11228" s="24" t="s">
        <v>35565</v>
      </c>
      <c r="D11228" s="25" t="s">
        <v>35566</v>
      </c>
      <c r="E11228" s="28">
        <v>0.01100</v>
      </c>
      <c r="F11228" s="29">
        <f ca="1">ROUND(4.730,3)</f>
        <v>0</v>
      </c>
      <c r="G11228" s="27">
        <f ca="1">ROUND(E11228*F11228,2)</f>
        <v>0</v>
      </c>
    </row>
    <row r="11229" spans="1:7" ht="24.36" thickBot="1" customHeight="1">
      <c r="A11229" s="24" t="s">
        <v>35567</v>
      </c>
      <c r="B11229" s="24" t="s">
        <v>35568</v>
      </c>
      <c r="C11229" s="24" t="s">
        <v>35569</v>
      </c>
      <c r="D11229" s="25" t="s">
        <v>35570</v>
      </c>
      <c r="E11229" s="28">
        <v>0.01500</v>
      </c>
      <c r="F11229" s="29">
        <f ca="1">ROUND(0.650,3)</f>
        <v>0</v>
      </c>
      <c r="G11229" s="27">
        <f ca="1">ROUND(E11229*F11229,2)</f>
        <v>0</v>
      </c>
    </row>
    <row r="11230" spans="1:7" ht="24.36" thickBot="1" customHeight="1">
      <c r="A11230" s="24" t="s">
        <v>35571</v>
      </c>
      <c r="B11230" s="24" t="s">
        <v>35572</v>
      </c>
      <c r="C11230" s="24" t="s">
        <v>35573</v>
      </c>
      <c r="D11230" s="25" t="s">
        <v>35574</v>
      </c>
      <c r="E11230" s="28">
        <v>0.01100</v>
      </c>
      <c r="F11230" s="29">
        <f ca="1">ROUND(4.060,3)</f>
        <v>0</v>
      </c>
      <c r="G11230" s="27">
        <f ca="1">ROUND(E11230*F11230,2)</f>
        <v>0</v>
      </c>
    </row>
    <row r="11231" spans="1:7" ht="24.36" thickBot="1" customHeight="1">
      <c r="A11231" s="24" t="s">
        <v>35575</v>
      </c>
      <c r="B11231" s="24" t="s">
        <v>35576</v>
      </c>
      <c r="C11231" s="24" t="s">
        <v>35577</v>
      </c>
      <c r="D11231" s="25" t="s">
        <v>35578</v>
      </c>
      <c r="E11231" s="28">
        <v>0.40500</v>
      </c>
      <c r="F11231" s="29">
        <f ca="1">F11235</f>
        <v>0</v>
      </c>
      <c r="G11231" s="27">
        <f ca="1">ROUND(E11231*F11231,2)</f>
        <v>0</v>
      </c>
    </row>
    <row r="11232" spans="1:7" ht="24.36" thickBot="1" customHeight="1">
      <c r="A11232" s="24" t="s">
        <v>35579</v>
      </c>
      <c r="B11232" s="24" t="s">
        <v>35580</v>
      </c>
      <c r="C11232" s="24" t="s">
        <v>35581</v>
      </c>
      <c r="D11232" s="25" t="s">
        <v>35582</v>
      </c>
      <c r="E11232" s="28">
        <v>1.00000</v>
      </c>
      <c r="F11232" s="29">
        <f ca="1">ROUND(21.000,3)</f>
        <v>0</v>
      </c>
      <c r="G11232" s="27">
        <f ca="1">ROUND(E11232*F11232,2)</f>
        <v>0</v>
      </c>
    </row>
    <row r="11233" spans="1:7" ht="24.36" thickBot="1" customHeight="1">
      <c r="A11233" s="24" t="s">
        <v>35583</v>
      </c>
      <c r="B11233" s="24" t="s">
        <v>35584</v>
      </c>
      <c r="C11233" s="24" t="s">
        <v>35585</v>
      </c>
      <c r="D11233" s="25" t="s">
        <v>35586</v>
      </c>
      <c r="E11233" s="28">
        <v>1.00000</v>
      </c>
      <c r="F11233" s="29">
        <f ca="1">ROUND(19.000,3)</f>
        <v>0</v>
      </c>
      <c r="G11233" s="27">
        <f ca="1">ROUND(E11233*F11233,2)</f>
        <v>0</v>
      </c>
    </row>
    <row r="11234" spans="1:7" ht="24.36" thickBot="1" customHeight="1">
      <c r="A11234" s="24" t="s">
        <v>35587</v>
      </c>
      <c r="B11234" s="24" t="s">
        <v>35588</v>
      </c>
      <c r="C11234" s="24" t="s">
        <v>35589</v>
      </c>
      <c r="D11234" s="25" t="s">
        <v>35590</v>
      </c>
      <c r="E11234" s="28">
        <v>0.50000</v>
      </c>
      <c r="F11234" s="29">
        <f ca="1">ROUND(19.000,3)</f>
        <v>0</v>
      </c>
      <c r="G11234" s="27">
        <f ca="1">ROUND(E11234*F11234,2)</f>
        <v>0</v>
      </c>
    </row>
    <row r="11235" spans="1:7" ht="15.12" thickBot="1" customHeight="1">
      <c r="A11235" s="26"/>
      <c r="B11235" s="26"/>
      <c r="C11235" s="26"/>
      <c r="D11235" s="24" t="s">
        <v>35591</v>
      </c>
      <c r="E11235" s="28">
        <v>0.40500</v>
      </c>
      <c r="F11235" s="29">
        <f ca="1">ROUND((G11232+G11233+G11234),3)</f>
        <v>0</v>
      </c>
      <c r="G11235" s="27">
        <f ca="1">ROUND(E11235*F11235,2)</f>
        <v>0</v>
      </c>
    </row>
    <row r="11236" spans="1:7" ht="15.12" thickBot="1" customHeight="1">
      <c r="A11236" s="24" t="s">
        <v>35592</v>
      </c>
      <c r="B11236" s="24"/>
      <c r="C11236" s="24" t="s">
        <v>35593</v>
      </c>
      <c r="D11236" s="25" t="s">
        <v>35594</v>
      </c>
      <c r="E11236" s="28">
        <v>3.00000</v>
      </c>
      <c r="F11236" s="29">
        <f ca="1">ROUND(20.050,3)</f>
        <v>0</v>
      </c>
      <c r="G11236" s="27">
        <f ca="1">ROUND((E11236*F11236)/100,2)</f>
        <v>0</v>
      </c>
    </row>
    <row r="11237" spans="1:7" ht="15.48" thickBot="1" customHeight="1">
      <c r="A11237" s="30"/>
      <c r="B11237" s="30"/>
      <c r="C11237" s="30"/>
      <c r="D11237" s="31" t="s">
        <v>35595</v>
      </c>
      <c r="E11237" s="30"/>
      <c r="F11237" s="33">
        <f ca="1">ROUND((G11225+G11226+G11227+G11228+G11229+G11230+G11231+G11236)*(1+G2/100),2)</f>
        <v>0</v>
      </c>
      <c r="G11237" s="30"/>
    </row>
    <row r="11238" spans="1:7" ht="21.36" thickBot="1" customHeight="1">
      <c r="A11238" s="34" t="s">
        <v>35596</v>
      </c>
      <c r="B11238" s="35" t="s">
        <v>35597</v>
      </c>
      <c r="C11238" s="35" t="s">
        <v>35598</v>
      </c>
      <c r="D11238" s="36" t="s">
        <v>35599</v>
      </c>
      <c r="E11238" s="37"/>
      <c r="F11238" s="38">
        <f ca="1">F11252</f>
        <v>0</v>
      </c>
      <c r="G11238" s="37"/>
    </row>
    <row r="11239" spans="1:7" ht="39.84" thickBot="1" customHeight="1">
      <c r="A11239" s="26"/>
      <c r="B11239" s="26"/>
      <c r="C11239" s="26"/>
      <c r="D11239" s="25" t="s">
        <v>35600</v>
      </c>
      <c r="E11239" s="25"/>
      <c r="F11239" s="25"/>
      <c r="G11239" s="25"/>
    </row>
    <row r="11240" spans="1:7" ht="24.36" thickBot="1" customHeight="1">
      <c r="A11240" s="24" t="s">
        <v>35601</v>
      </c>
      <c r="B11240" s="24" t="s">
        <v>35602</v>
      </c>
      <c r="C11240" s="24" t="s">
        <v>35603</v>
      </c>
      <c r="D11240" s="25" t="s">
        <v>35604</v>
      </c>
      <c r="E11240" s="28">
        <v>0.02140</v>
      </c>
      <c r="F11240" s="29">
        <f ca="1">ROUND(42.700,3)</f>
        <v>0</v>
      </c>
      <c r="G11240" s="27">
        <f ca="1">ROUND(E11240*F11240,2)</f>
        <v>0</v>
      </c>
    </row>
    <row r="11241" spans="1:7" ht="24.36" thickBot="1" customHeight="1">
      <c r="A11241" s="24" t="s">
        <v>35605</v>
      </c>
      <c r="B11241" s="24" t="s">
        <v>35606</v>
      </c>
      <c r="C11241" s="24" t="s">
        <v>35607</v>
      </c>
      <c r="D11241" s="25" t="s">
        <v>35608</v>
      </c>
      <c r="E11241" s="28">
        <v>0.01000</v>
      </c>
      <c r="F11241" s="29">
        <f ca="1">ROUND(85.930,3)</f>
        <v>0</v>
      </c>
      <c r="G11241" s="27">
        <f ca="1">ROUND(E11241*F11241,2)</f>
        <v>0</v>
      </c>
    </row>
    <row r="11242" spans="1:7" ht="30.60" thickBot="1" customHeight="1">
      <c r="A11242" s="24" t="s">
        <v>35609</v>
      </c>
      <c r="B11242" s="24" t="s">
        <v>35610</v>
      </c>
      <c r="C11242" s="24" t="s">
        <v>35611</v>
      </c>
      <c r="D11242" s="25" t="s">
        <v>35612</v>
      </c>
      <c r="E11242" s="28">
        <v>0.01100</v>
      </c>
      <c r="F11242" s="29">
        <f ca="1">ROUND(2.520,3)</f>
        <v>0</v>
      </c>
      <c r="G11242" s="27">
        <f ca="1">ROUND(E11242*F11242,2)</f>
        <v>0</v>
      </c>
    </row>
    <row r="11243" spans="1:7" ht="24.36" thickBot="1" customHeight="1">
      <c r="A11243" s="24" t="s">
        <v>35613</v>
      </c>
      <c r="B11243" s="24" t="s">
        <v>35614</v>
      </c>
      <c r="C11243" s="24" t="s">
        <v>35615</v>
      </c>
      <c r="D11243" s="25" t="s">
        <v>35616</v>
      </c>
      <c r="E11243" s="28">
        <v>0.01100</v>
      </c>
      <c r="F11243" s="29">
        <f ca="1">ROUND(4.730,3)</f>
        <v>0</v>
      </c>
      <c r="G11243" s="27">
        <f ca="1">ROUND(E11243*F11243,2)</f>
        <v>0</v>
      </c>
    </row>
    <row r="11244" spans="1:7" ht="24.36" thickBot="1" customHeight="1">
      <c r="A11244" s="24" t="s">
        <v>35617</v>
      </c>
      <c r="B11244" s="24" t="s">
        <v>35618</v>
      </c>
      <c r="C11244" s="24" t="s">
        <v>35619</v>
      </c>
      <c r="D11244" s="25" t="s">
        <v>35620</v>
      </c>
      <c r="E11244" s="28">
        <v>0.01500</v>
      </c>
      <c r="F11244" s="29">
        <f ca="1">ROUND(0.650,3)</f>
        <v>0</v>
      </c>
      <c r="G11244" s="27">
        <f ca="1">ROUND(E11244*F11244,2)</f>
        <v>0</v>
      </c>
    </row>
    <row r="11245" spans="1:7" ht="24.36" thickBot="1" customHeight="1">
      <c r="A11245" s="24" t="s">
        <v>35621</v>
      </c>
      <c r="B11245" s="24" t="s">
        <v>35622</v>
      </c>
      <c r="C11245" s="24" t="s">
        <v>35623</v>
      </c>
      <c r="D11245" s="25" t="s">
        <v>35624</v>
      </c>
      <c r="E11245" s="28">
        <v>0.01100</v>
      </c>
      <c r="F11245" s="29">
        <f ca="1">ROUND(4.060,3)</f>
        <v>0</v>
      </c>
      <c r="G11245" s="27">
        <f ca="1">ROUND(E11245*F11245,2)</f>
        <v>0</v>
      </c>
    </row>
    <row r="11246" spans="1:7" ht="21.36" thickBot="1" customHeight="1">
      <c r="A11246" s="24" t="s">
        <v>35625</v>
      </c>
      <c r="B11246" s="24" t="s">
        <v>35626</v>
      </c>
      <c r="C11246" s="24" t="s">
        <v>35627</v>
      </c>
      <c r="D11246" s="25" t="s">
        <v>35628</v>
      </c>
      <c r="E11246" s="28">
        <v>0.16000</v>
      </c>
      <c r="F11246" s="29">
        <f ca="1">F11250</f>
        <v>0</v>
      </c>
      <c r="G11246" s="27">
        <f ca="1">ROUND(E11246*F11246,2)</f>
        <v>0</v>
      </c>
    </row>
    <row r="11247" spans="1:7" ht="24.36" thickBot="1" customHeight="1">
      <c r="A11247" s="24" t="s">
        <v>35629</v>
      </c>
      <c r="B11247" s="24" t="s">
        <v>35630</v>
      </c>
      <c r="C11247" s="24" t="s">
        <v>35631</v>
      </c>
      <c r="D11247" s="25" t="s">
        <v>35632</v>
      </c>
      <c r="E11247" s="28">
        <v>1.00000</v>
      </c>
      <c r="F11247" s="29">
        <f ca="1">ROUND(21.000,3)</f>
        <v>0</v>
      </c>
      <c r="G11247" s="27">
        <f ca="1">ROUND(E11247*F11247,2)</f>
        <v>0</v>
      </c>
    </row>
    <row r="11248" spans="1:7" ht="24.36" thickBot="1" customHeight="1">
      <c r="A11248" s="24" t="s">
        <v>35633</v>
      </c>
      <c r="B11248" s="24" t="s">
        <v>35634</v>
      </c>
      <c r="C11248" s="24" t="s">
        <v>35635</v>
      </c>
      <c r="D11248" s="25" t="s">
        <v>35636</v>
      </c>
      <c r="E11248" s="28">
        <v>1.00000</v>
      </c>
      <c r="F11248" s="29">
        <f ca="1">ROUND(19.000,3)</f>
        <v>0</v>
      </c>
      <c r="G11248" s="27">
        <f ca="1">ROUND(E11248*F11248,2)</f>
        <v>0</v>
      </c>
    </row>
    <row r="11249" spans="1:7" ht="24.36" thickBot="1" customHeight="1">
      <c r="A11249" s="24" t="s">
        <v>35637</v>
      </c>
      <c r="B11249" s="24" t="s">
        <v>35638</v>
      </c>
      <c r="C11249" s="24" t="s">
        <v>35639</v>
      </c>
      <c r="D11249" s="25" t="s">
        <v>35640</v>
      </c>
      <c r="E11249" s="28">
        <v>0.20000</v>
      </c>
      <c r="F11249" s="29">
        <f ca="1">ROUND(19.000,3)</f>
        <v>0</v>
      </c>
      <c r="G11249" s="27">
        <f ca="1">ROUND(E11249*F11249,2)</f>
        <v>0</v>
      </c>
    </row>
    <row r="11250" spans="1:7" ht="15.12" thickBot="1" customHeight="1">
      <c r="A11250" s="26"/>
      <c r="B11250" s="26"/>
      <c r="C11250" s="26"/>
      <c r="D11250" s="24" t="s">
        <v>35641</v>
      </c>
      <c r="E11250" s="28">
        <v>0.16000</v>
      </c>
      <c r="F11250" s="29">
        <f ca="1">ROUND((G11247+G11248+G11249),3)</f>
        <v>0</v>
      </c>
      <c r="G11250" s="27">
        <f ca="1">ROUND(E11250*F11250,2)</f>
        <v>0</v>
      </c>
    </row>
    <row r="11251" spans="1:7" ht="15.12" thickBot="1" customHeight="1">
      <c r="A11251" s="24" t="s">
        <v>35642</v>
      </c>
      <c r="B11251" s="24"/>
      <c r="C11251" s="24" t="s">
        <v>35643</v>
      </c>
      <c r="D11251" s="25" t="s">
        <v>35644</v>
      </c>
      <c r="E11251" s="28">
        <v>3.00000</v>
      </c>
      <c r="F11251" s="29">
        <f ca="1">ROUND(7.010,3)</f>
        <v>0</v>
      </c>
      <c r="G11251" s="27">
        <f ca="1">ROUND((E11251*F11251)/100,2)</f>
        <v>0</v>
      </c>
    </row>
    <row r="11252" spans="1:7" ht="15.48" thickBot="1" customHeight="1">
      <c r="A11252" s="30"/>
      <c r="B11252" s="30"/>
      <c r="C11252" s="30"/>
      <c r="D11252" s="31" t="s">
        <v>35645</v>
      </c>
      <c r="E11252" s="30"/>
      <c r="F11252" s="33">
        <f ca="1">ROUND((G11240+G11241+G11242+G11243+G11244+G11245+G11246+G11251)*(1+G2/100),2)</f>
        <v>0</v>
      </c>
      <c r="G11252" s="30"/>
    </row>
    <row r="11253" spans="1:7" ht="30.60" thickBot="1" customHeight="1">
      <c r="A11253" s="34" t="s">
        <v>35646</v>
      </c>
      <c r="B11253" s="35" t="s">
        <v>35647</v>
      </c>
      <c r="C11253" s="35" t="s">
        <v>35648</v>
      </c>
      <c r="D11253" s="36" t="s">
        <v>35649</v>
      </c>
      <c r="E11253" s="37"/>
      <c r="F11253" s="38">
        <f ca="1">F11267</f>
        <v>0</v>
      </c>
      <c r="G11253" s="37"/>
    </row>
    <row r="11254" spans="1:7" ht="49.08" thickBot="1" customHeight="1">
      <c r="A11254" s="26"/>
      <c r="B11254" s="26"/>
      <c r="C11254" s="26"/>
      <c r="D11254" s="25" t="s">
        <v>35650</v>
      </c>
      <c r="E11254" s="25"/>
      <c r="F11254" s="25"/>
      <c r="G11254" s="25"/>
    </row>
    <row r="11255" spans="1:7" ht="39.84" thickBot="1" customHeight="1">
      <c r="A11255" s="24" t="s">
        <v>35651</v>
      </c>
      <c r="B11255" s="24" t="s">
        <v>35652</v>
      </c>
      <c r="C11255" s="24" t="s">
        <v>35653</v>
      </c>
      <c r="D11255" s="25" t="s">
        <v>35654</v>
      </c>
      <c r="E11255" s="28">
        <v>0.00500</v>
      </c>
      <c r="F11255" s="29">
        <f ca="1">ROUND(117.570,3)</f>
        <v>0</v>
      </c>
      <c r="G11255" s="27">
        <f ca="1">ROUND(E11255*F11255,2)</f>
        <v>0</v>
      </c>
    </row>
    <row r="11256" spans="1:7" ht="58.32" thickBot="1" customHeight="1">
      <c r="A11256" s="24" t="s">
        <v>35655</v>
      </c>
      <c r="B11256" s="24" t="s">
        <v>35656</v>
      </c>
      <c r="C11256" s="24" t="s">
        <v>35657</v>
      </c>
      <c r="D11256" s="25" t="s">
        <v>35658</v>
      </c>
      <c r="E11256" s="28">
        <v>0.02200</v>
      </c>
      <c r="F11256" s="29">
        <f ca="1">ROUND(172.500,3)</f>
        <v>0</v>
      </c>
      <c r="G11256" s="27">
        <f ca="1">ROUND(E11256*F11256,2)</f>
        <v>0</v>
      </c>
    </row>
    <row r="11257" spans="1:7" ht="30.60" thickBot="1" customHeight="1">
      <c r="A11257" s="24" t="s">
        <v>35659</v>
      </c>
      <c r="B11257" s="24" t="s">
        <v>35660</v>
      </c>
      <c r="C11257" s="24" t="s">
        <v>35661</v>
      </c>
      <c r="D11257" s="25" t="s">
        <v>35662</v>
      </c>
      <c r="E11257" s="28">
        <v>0.01100</v>
      </c>
      <c r="F11257" s="29">
        <f ca="1">ROUND(2.520,3)</f>
        <v>0</v>
      </c>
      <c r="G11257" s="27">
        <f ca="1">ROUND(E11257*F11257,2)</f>
        <v>0</v>
      </c>
    </row>
    <row r="11258" spans="1:7" ht="24.36" thickBot="1" customHeight="1">
      <c r="A11258" s="24" t="s">
        <v>35663</v>
      </c>
      <c r="B11258" s="24" t="s">
        <v>35664</v>
      </c>
      <c r="C11258" s="24" t="s">
        <v>35665</v>
      </c>
      <c r="D11258" s="25" t="s">
        <v>35666</v>
      </c>
      <c r="E11258" s="28">
        <v>0.01100</v>
      </c>
      <c r="F11258" s="29">
        <f ca="1">ROUND(4.730,3)</f>
        <v>0</v>
      </c>
      <c r="G11258" s="27">
        <f ca="1">ROUND(E11258*F11258,2)</f>
        <v>0</v>
      </c>
    </row>
    <row r="11259" spans="1:7" ht="24.36" thickBot="1" customHeight="1">
      <c r="A11259" s="24" t="s">
        <v>35667</v>
      </c>
      <c r="B11259" s="24" t="s">
        <v>35668</v>
      </c>
      <c r="C11259" s="24" t="s">
        <v>35669</v>
      </c>
      <c r="D11259" s="25" t="s">
        <v>35670</v>
      </c>
      <c r="E11259" s="28">
        <v>0.01500</v>
      </c>
      <c r="F11259" s="29">
        <f ca="1">ROUND(0.650,3)</f>
        <v>0</v>
      </c>
      <c r="G11259" s="27">
        <f ca="1">ROUND(E11259*F11259,2)</f>
        <v>0</v>
      </c>
    </row>
    <row r="11260" spans="1:7" ht="24.36" thickBot="1" customHeight="1">
      <c r="A11260" s="24" t="s">
        <v>35671</v>
      </c>
      <c r="B11260" s="24" t="s">
        <v>35672</v>
      </c>
      <c r="C11260" s="24" t="s">
        <v>35673</v>
      </c>
      <c r="D11260" s="25" t="s">
        <v>35674</v>
      </c>
      <c r="E11260" s="28">
        <v>0.01100</v>
      </c>
      <c r="F11260" s="29">
        <f ca="1">ROUND(4.060,3)</f>
        <v>0</v>
      </c>
      <c r="G11260" s="27">
        <f ca="1">ROUND(E11260*F11260,2)</f>
        <v>0</v>
      </c>
    </row>
    <row r="11261" spans="1:7" ht="21.36" thickBot="1" customHeight="1">
      <c r="A11261" s="24" t="s">
        <v>35675</v>
      </c>
      <c r="B11261" s="24" t="s">
        <v>35676</v>
      </c>
      <c r="C11261" s="24" t="s">
        <v>35677</v>
      </c>
      <c r="D11261" s="25" t="s">
        <v>35678</v>
      </c>
      <c r="E11261" s="28">
        <v>0.27000</v>
      </c>
      <c r="F11261" s="29">
        <f ca="1">F11265</f>
        <v>0</v>
      </c>
      <c r="G11261" s="27">
        <f ca="1">ROUND(E11261*F11261,2)</f>
        <v>0</v>
      </c>
    </row>
    <row r="11262" spans="1:7" ht="24.36" thickBot="1" customHeight="1">
      <c r="A11262" s="24" t="s">
        <v>35679</v>
      </c>
      <c r="B11262" s="24" t="s">
        <v>35680</v>
      </c>
      <c r="C11262" s="24" t="s">
        <v>35681</v>
      </c>
      <c r="D11262" s="25" t="s">
        <v>35682</v>
      </c>
      <c r="E11262" s="28">
        <v>1.00000</v>
      </c>
      <c r="F11262" s="29">
        <f ca="1">ROUND(21.000,3)</f>
        <v>0</v>
      </c>
      <c r="G11262" s="27">
        <f ca="1">ROUND(E11262*F11262,2)</f>
        <v>0</v>
      </c>
    </row>
    <row r="11263" spans="1:7" ht="24.36" thickBot="1" customHeight="1">
      <c r="A11263" s="24" t="s">
        <v>35683</v>
      </c>
      <c r="B11263" s="24" t="s">
        <v>35684</v>
      </c>
      <c r="C11263" s="24" t="s">
        <v>35685</v>
      </c>
      <c r="D11263" s="25" t="s">
        <v>35686</v>
      </c>
      <c r="E11263" s="28">
        <v>1.00000</v>
      </c>
      <c r="F11263" s="29">
        <f ca="1">ROUND(19.000,3)</f>
        <v>0</v>
      </c>
      <c r="G11263" s="27">
        <f ca="1">ROUND(E11263*F11263,2)</f>
        <v>0</v>
      </c>
    </row>
    <row r="11264" spans="1:7" ht="24.36" thickBot="1" customHeight="1">
      <c r="A11264" s="24" t="s">
        <v>35687</v>
      </c>
      <c r="B11264" s="24" t="s">
        <v>35688</v>
      </c>
      <c r="C11264" s="24" t="s">
        <v>35689</v>
      </c>
      <c r="D11264" s="25" t="s">
        <v>35690</v>
      </c>
      <c r="E11264" s="28">
        <v>0.20000</v>
      </c>
      <c r="F11264" s="29">
        <f ca="1">ROUND(19.000,3)</f>
        <v>0</v>
      </c>
      <c r="G11264" s="27">
        <f ca="1">ROUND(E11264*F11264,2)</f>
        <v>0</v>
      </c>
    </row>
    <row r="11265" spans="1:7" ht="15.12" thickBot="1" customHeight="1">
      <c r="A11265" s="26"/>
      <c r="B11265" s="26"/>
      <c r="C11265" s="26"/>
      <c r="D11265" s="24" t="s">
        <v>35691</v>
      </c>
      <c r="E11265" s="28">
        <v>0.27000</v>
      </c>
      <c r="F11265" s="29">
        <f ca="1">ROUND((G11262+G11263+G11264),3)</f>
        <v>0</v>
      </c>
      <c r="G11265" s="27">
        <f ca="1">ROUND(E11265*F11265,2)</f>
        <v>0</v>
      </c>
    </row>
    <row r="11266" spans="1:7" ht="15.12" thickBot="1" customHeight="1">
      <c r="A11266" s="24" t="s">
        <v>35692</v>
      </c>
      <c r="B11266" s="24"/>
      <c r="C11266" s="24" t="s">
        <v>35693</v>
      </c>
      <c r="D11266" s="25" t="s">
        <v>35694</v>
      </c>
      <c r="E11266" s="28">
        <v>3.00000</v>
      </c>
      <c r="F11266" s="29">
        <f ca="1">ROUND(11.830,3)</f>
        <v>0</v>
      </c>
      <c r="G11266" s="27">
        <f ca="1">ROUND((E11266*F11266)/100,2)</f>
        <v>0</v>
      </c>
    </row>
    <row r="11267" spans="1:7" ht="15.48" thickBot="1" customHeight="1">
      <c r="A11267" s="30"/>
      <c r="B11267" s="30"/>
      <c r="C11267" s="30"/>
      <c r="D11267" s="31" t="s">
        <v>35695</v>
      </c>
      <c r="E11267" s="30"/>
      <c r="F11267" s="33">
        <f ca="1">ROUND((G11255+G11256+G11257+G11258+G11259+G11260+G11261+G11266)*(1+G2/100),2)</f>
        <v>0</v>
      </c>
      <c r="G11267" s="30"/>
    </row>
    <row r="11268" spans="1:7" ht="39.84" thickBot="1" customHeight="1">
      <c r="A11268" s="34" t="s">
        <v>35696</v>
      </c>
      <c r="B11268" s="35" t="s">
        <v>35697</v>
      </c>
      <c r="C11268" s="35" t="s">
        <v>35698</v>
      </c>
      <c r="D11268" s="36" t="s">
        <v>35699</v>
      </c>
      <c r="E11268" s="37"/>
      <c r="F11268" s="38">
        <f ca="1">F11282</f>
        <v>0</v>
      </c>
      <c r="G11268" s="37"/>
    </row>
    <row r="11269" spans="1:7" ht="49.08" thickBot="1" customHeight="1">
      <c r="A11269" s="26"/>
      <c r="B11269" s="26"/>
      <c r="C11269" s="26"/>
      <c r="D11269" s="25" t="s">
        <v>35700</v>
      </c>
      <c r="E11269" s="25"/>
      <c r="F11269" s="25"/>
      <c r="G11269" s="25"/>
    </row>
    <row r="11270" spans="1:7" ht="39.84" thickBot="1" customHeight="1">
      <c r="A11270" s="24" t="s">
        <v>35701</v>
      </c>
      <c r="B11270" s="24" t="s">
        <v>35702</v>
      </c>
      <c r="C11270" s="24" t="s">
        <v>35703</v>
      </c>
      <c r="D11270" s="25" t="s">
        <v>35704</v>
      </c>
      <c r="E11270" s="28">
        <v>0.00444</v>
      </c>
      <c r="F11270" s="29">
        <f ca="1">ROUND(117.570,3)</f>
        <v>0</v>
      </c>
      <c r="G11270" s="27">
        <f ca="1">ROUND(E11270*F11270,2)</f>
        <v>0</v>
      </c>
    </row>
    <row r="11271" spans="1:7" ht="58.32" thickBot="1" customHeight="1">
      <c r="A11271" s="24" t="s">
        <v>35705</v>
      </c>
      <c r="B11271" s="24" t="s">
        <v>35706</v>
      </c>
      <c r="C11271" s="24" t="s">
        <v>35707</v>
      </c>
      <c r="D11271" s="25" t="s">
        <v>35708</v>
      </c>
      <c r="E11271" s="28">
        <v>0.02200</v>
      </c>
      <c r="F11271" s="29">
        <f ca="1">ROUND(172.500,3)</f>
        <v>0</v>
      </c>
      <c r="G11271" s="27">
        <f ca="1">ROUND(E11271*F11271,2)</f>
        <v>0</v>
      </c>
    </row>
    <row r="11272" spans="1:7" ht="30.60" thickBot="1" customHeight="1">
      <c r="A11272" s="24" t="s">
        <v>35709</v>
      </c>
      <c r="B11272" s="24" t="s">
        <v>35710</v>
      </c>
      <c r="C11272" s="24" t="s">
        <v>35711</v>
      </c>
      <c r="D11272" s="25" t="s">
        <v>35712</v>
      </c>
      <c r="E11272" s="28">
        <v>0.01100</v>
      </c>
      <c r="F11272" s="29">
        <f ca="1">ROUND(2.520,3)</f>
        <v>0</v>
      </c>
      <c r="G11272" s="27">
        <f ca="1">ROUND(E11272*F11272,2)</f>
        <v>0</v>
      </c>
    </row>
    <row r="11273" spans="1:7" ht="24.36" thickBot="1" customHeight="1">
      <c r="A11273" s="24" t="s">
        <v>35713</v>
      </c>
      <c r="B11273" s="24" t="s">
        <v>35714</v>
      </c>
      <c r="C11273" s="24" t="s">
        <v>35715</v>
      </c>
      <c r="D11273" s="25" t="s">
        <v>35716</v>
      </c>
      <c r="E11273" s="28">
        <v>0.01100</v>
      </c>
      <c r="F11273" s="29">
        <f ca="1">ROUND(4.730,3)</f>
        <v>0</v>
      </c>
      <c r="G11273" s="27">
        <f ca="1">ROUND(E11273*F11273,2)</f>
        <v>0</v>
      </c>
    </row>
    <row r="11274" spans="1:7" ht="24.36" thickBot="1" customHeight="1">
      <c r="A11274" s="24" t="s">
        <v>35717</v>
      </c>
      <c r="B11274" s="24" t="s">
        <v>35718</v>
      </c>
      <c r="C11274" s="24" t="s">
        <v>35719</v>
      </c>
      <c r="D11274" s="25" t="s">
        <v>35720</v>
      </c>
      <c r="E11274" s="28">
        <v>0.01500</v>
      </c>
      <c r="F11274" s="29">
        <f ca="1">ROUND(0.650,3)</f>
        <v>0</v>
      </c>
      <c r="G11274" s="27">
        <f ca="1">ROUND(E11274*F11274,2)</f>
        <v>0</v>
      </c>
    </row>
    <row r="11275" spans="1:7" ht="24.36" thickBot="1" customHeight="1">
      <c r="A11275" s="24" t="s">
        <v>35721</v>
      </c>
      <c r="B11275" s="24" t="s">
        <v>35722</v>
      </c>
      <c r="C11275" s="24" t="s">
        <v>35723</v>
      </c>
      <c r="D11275" s="25" t="s">
        <v>35724</v>
      </c>
      <c r="E11275" s="28">
        <v>0.01100</v>
      </c>
      <c r="F11275" s="29">
        <f ca="1">ROUND(4.060,3)</f>
        <v>0</v>
      </c>
      <c r="G11275" s="27">
        <f ca="1">ROUND(E11275*F11275,2)</f>
        <v>0</v>
      </c>
    </row>
    <row r="11276" spans="1:7" ht="24.36" thickBot="1" customHeight="1">
      <c r="A11276" s="24" t="s">
        <v>35725</v>
      </c>
      <c r="B11276" s="24" t="s">
        <v>35726</v>
      </c>
      <c r="C11276" s="24" t="s">
        <v>35727</v>
      </c>
      <c r="D11276" s="25" t="s">
        <v>35728</v>
      </c>
      <c r="E11276" s="28">
        <v>0.40500</v>
      </c>
      <c r="F11276" s="29">
        <f ca="1">F11280</f>
        <v>0</v>
      </c>
      <c r="G11276" s="27">
        <f ca="1">ROUND(E11276*F11276,2)</f>
        <v>0</v>
      </c>
    </row>
    <row r="11277" spans="1:7" ht="24.36" thickBot="1" customHeight="1">
      <c r="A11277" s="24" t="s">
        <v>35729</v>
      </c>
      <c r="B11277" s="24" t="s">
        <v>35730</v>
      </c>
      <c r="C11277" s="24" t="s">
        <v>35731</v>
      </c>
      <c r="D11277" s="25" t="s">
        <v>35732</v>
      </c>
      <c r="E11277" s="28">
        <v>1.00000</v>
      </c>
      <c r="F11277" s="29">
        <f ca="1">ROUND(21.000,3)</f>
        <v>0</v>
      </c>
      <c r="G11277" s="27">
        <f ca="1">ROUND(E11277*F11277,2)</f>
        <v>0</v>
      </c>
    </row>
    <row r="11278" spans="1:7" ht="24.36" thickBot="1" customHeight="1">
      <c r="A11278" s="24" t="s">
        <v>35733</v>
      </c>
      <c r="B11278" s="24" t="s">
        <v>35734</v>
      </c>
      <c r="C11278" s="24" t="s">
        <v>35735</v>
      </c>
      <c r="D11278" s="25" t="s">
        <v>35736</v>
      </c>
      <c r="E11278" s="28">
        <v>1.00000</v>
      </c>
      <c r="F11278" s="29">
        <f ca="1">ROUND(19.000,3)</f>
        <v>0</v>
      </c>
      <c r="G11278" s="27">
        <f ca="1">ROUND(E11278*F11278,2)</f>
        <v>0</v>
      </c>
    </row>
    <row r="11279" spans="1:7" ht="24.36" thickBot="1" customHeight="1">
      <c r="A11279" s="24" t="s">
        <v>35737</v>
      </c>
      <c r="B11279" s="24" t="s">
        <v>35738</v>
      </c>
      <c r="C11279" s="24" t="s">
        <v>35739</v>
      </c>
      <c r="D11279" s="25" t="s">
        <v>35740</v>
      </c>
      <c r="E11279" s="28">
        <v>0.50000</v>
      </c>
      <c r="F11279" s="29">
        <f ca="1">ROUND(19.000,3)</f>
        <v>0</v>
      </c>
      <c r="G11279" s="27">
        <f ca="1">ROUND(E11279*F11279,2)</f>
        <v>0</v>
      </c>
    </row>
    <row r="11280" spans="1:7" ht="15.12" thickBot="1" customHeight="1">
      <c r="A11280" s="26"/>
      <c r="B11280" s="26"/>
      <c r="C11280" s="26"/>
      <c r="D11280" s="24" t="s">
        <v>35741</v>
      </c>
      <c r="E11280" s="28">
        <v>0.40500</v>
      </c>
      <c r="F11280" s="29">
        <f ca="1">ROUND((G11277+G11278+G11279),3)</f>
        <v>0</v>
      </c>
      <c r="G11280" s="27">
        <f ca="1">ROUND(E11280*F11280,2)</f>
        <v>0</v>
      </c>
    </row>
    <row r="11281" spans="1:7" ht="15.12" thickBot="1" customHeight="1">
      <c r="A11281" s="24" t="s">
        <v>35742</v>
      </c>
      <c r="B11281" s="24"/>
      <c r="C11281" s="24" t="s">
        <v>35743</v>
      </c>
      <c r="D11281" s="25" t="s">
        <v>35744</v>
      </c>
      <c r="E11281" s="28">
        <v>3.00000</v>
      </c>
      <c r="F11281" s="29">
        <f ca="1">ROUND(20.050,3)</f>
        <v>0</v>
      </c>
      <c r="G11281" s="27">
        <f ca="1">ROUND((E11281*F11281)/100,2)</f>
        <v>0</v>
      </c>
    </row>
    <row r="11282" spans="1:7" ht="15.48" thickBot="1" customHeight="1">
      <c r="A11282" s="30"/>
      <c r="B11282" s="30"/>
      <c r="C11282" s="30"/>
      <c r="D11282" s="31" t="s">
        <v>35745</v>
      </c>
      <c r="E11282" s="30"/>
      <c r="F11282" s="33">
        <f ca="1">ROUND((G11270+G11271+G11272+G11273+G11274+G11275+G11276+G11281)*(1+G2/100),2)</f>
        <v>0</v>
      </c>
      <c r="G11282" s="30"/>
    </row>
    <row r="11283" spans="1:7" ht="30.60" thickBot="1" customHeight="1">
      <c r="A11283" s="34" t="s">
        <v>35746</v>
      </c>
      <c r="B11283" s="35" t="s">
        <v>35747</v>
      </c>
      <c r="C11283" s="35" t="s">
        <v>35748</v>
      </c>
      <c r="D11283" s="36" t="s">
        <v>35749</v>
      </c>
      <c r="E11283" s="37"/>
      <c r="F11283" s="38">
        <f ca="1">F11297</f>
        <v>0</v>
      </c>
      <c r="G11283" s="37"/>
    </row>
    <row r="11284" spans="1:7" ht="49.08" thickBot="1" customHeight="1">
      <c r="A11284" s="26"/>
      <c r="B11284" s="26"/>
      <c r="C11284" s="26"/>
      <c r="D11284" s="25" t="s">
        <v>35750</v>
      </c>
      <c r="E11284" s="25"/>
      <c r="F11284" s="25"/>
      <c r="G11284" s="25"/>
    </row>
    <row r="11285" spans="1:7" ht="39.84" thickBot="1" customHeight="1">
      <c r="A11285" s="24" t="s">
        <v>35751</v>
      </c>
      <c r="B11285" s="24" t="s">
        <v>35752</v>
      </c>
      <c r="C11285" s="24" t="s">
        <v>35753</v>
      </c>
      <c r="D11285" s="25" t="s">
        <v>35754</v>
      </c>
      <c r="E11285" s="28">
        <v>0.00800</v>
      </c>
      <c r="F11285" s="29">
        <f ca="1">ROUND(284.340,3)</f>
        <v>0</v>
      </c>
      <c r="G11285" s="27">
        <f ca="1">ROUND(E11285*F11285,2)</f>
        <v>0</v>
      </c>
    </row>
    <row r="11286" spans="1:7" ht="30.60" thickBot="1" customHeight="1">
      <c r="A11286" s="24" t="s">
        <v>35755</v>
      </c>
      <c r="B11286" s="24" t="s">
        <v>35756</v>
      </c>
      <c r="C11286" s="24" t="s">
        <v>35757</v>
      </c>
      <c r="D11286" s="25" t="s">
        <v>35758</v>
      </c>
      <c r="E11286" s="28">
        <v>0.01330</v>
      </c>
      <c r="F11286" s="29">
        <f ca="1">ROUND(347.030,3)</f>
        <v>0</v>
      </c>
      <c r="G11286" s="27">
        <f ca="1">ROUND(E11286*F11286,2)</f>
        <v>0</v>
      </c>
    </row>
    <row r="11287" spans="1:7" ht="30.60" thickBot="1" customHeight="1">
      <c r="A11287" s="24" t="s">
        <v>35759</v>
      </c>
      <c r="B11287" s="24" t="s">
        <v>35760</v>
      </c>
      <c r="C11287" s="24" t="s">
        <v>35761</v>
      </c>
      <c r="D11287" s="25" t="s">
        <v>35762</v>
      </c>
      <c r="E11287" s="28">
        <v>0.01100</v>
      </c>
      <c r="F11287" s="29">
        <f ca="1">ROUND(2.520,3)</f>
        <v>0</v>
      </c>
      <c r="G11287" s="27">
        <f ca="1">ROUND(E11287*F11287,2)</f>
        <v>0</v>
      </c>
    </row>
    <row r="11288" spans="1:7" ht="24.36" thickBot="1" customHeight="1">
      <c r="A11288" s="24" t="s">
        <v>35763</v>
      </c>
      <c r="B11288" s="24" t="s">
        <v>35764</v>
      </c>
      <c r="C11288" s="24" t="s">
        <v>35765</v>
      </c>
      <c r="D11288" s="25" t="s">
        <v>35766</v>
      </c>
      <c r="E11288" s="28">
        <v>0.01100</v>
      </c>
      <c r="F11288" s="29">
        <f ca="1">ROUND(4.730,3)</f>
        <v>0</v>
      </c>
      <c r="G11288" s="27">
        <f ca="1">ROUND(E11288*F11288,2)</f>
        <v>0</v>
      </c>
    </row>
    <row r="11289" spans="1:7" ht="24.36" thickBot="1" customHeight="1">
      <c r="A11289" s="24" t="s">
        <v>35767</v>
      </c>
      <c r="B11289" s="24" t="s">
        <v>35768</v>
      </c>
      <c r="C11289" s="24" t="s">
        <v>35769</v>
      </c>
      <c r="D11289" s="25" t="s">
        <v>35770</v>
      </c>
      <c r="E11289" s="28">
        <v>0.01500</v>
      </c>
      <c r="F11289" s="29">
        <f ca="1">ROUND(0.650,3)</f>
        <v>0</v>
      </c>
      <c r="G11289" s="27">
        <f ca="1">ROUND(E11289*F11289,2)</f>
        <v>0</v>
      </c>
    </row>
    <row r="11290" spans="1:7" ht="24.36" thickBot="1" customHeight="1">
      <c r="A11290" s="24" t="s">
        <v>35771</v>
      </c>
      <c r="B11290" s="24" t="s">
        <v>35772</v>
      </c>
      <c r="C11290" s="24" t="s">
        <v>35773</v>
      </c>
      <c r="D11290" s="25" t="s">
        <v>35774</v>
      </c>
      <c r="E11290" s="28">
        <v>0.01100</v>
      </c>
      <c r="F11290" s="29">
        <f ca="1">ROUND(4.060,3)</f>
        <v>0</v>
      </c>
      <c r="G11290" s="27">
        <f ca="1">ROUND(E11290*F11290,2)</f>
        <v>0</v>
      </c>
    </row>
    <row r="11291" spans="1:7" ht="21.36" thickBot="1" customHeight="1">
      <c r="A11291" s="24" t="s">
        <v>35775</v>
      </c>
      <c r="B11291" s="24" t="s">
        <v>35776</v>
      </c>
      <c r="C11291" s="24" t="s">
        <v>35777</v>
      </c>
      <c r="D11291" s="25" t="s">
        <v>35778</v>
      </c>
      <c r="E11291" s="28">
        <v>0.27000</v>
      </c>
      <c r="F11291" s="29">
        <f ca="1">F11295</f>
        <v>0</v>
      </c>
      <c r="G11291" s="27">
        <f ca="1">ROUND(E11291*F11291,2)</f>
        <v>0</v>
      </c>
    </row>
    <row r="11292" spans="1:7" ht="24.36" thickBot="1" customHeight="1">
      <c r="A11292" s="24" t="s">
        <v>35779</v>
      </c>
      <c r="B11292" s="24" t="s">
        <v>35780</v>
      </c>
      <c r="C11292" s="24" t="s">
        <v>35781</v>
      </c>
      <c r="D11292" s="25" t="s">
        <v>35782</v>
      </c>
      <c r="E11292" s="28">
        <v>1.00000</v>
      </c>
      <c r="F11292" s="29">
        <f ca="1">ROUND(21.000,3)</f>
        <v>0</v>
      </c>
      <c r="G11292" s="27">
        <f ca="1">ROUND(E11292*F11292,2)</f>
        <v>0</v>
      </c>
    </row>
    <row r="11293" spans="1:7" ht="24.36" thickBot="1" customHeight="1">
      <c r="A11293" s="24" t="s">
        <v>35783</v>
      </c>
      <c r="B11293" s="24" t="s">
        <v>35784</v>
      </c>
      <c r="C11293" s="24" t="s">
        <v>35785</v>
      </c>
      <c r="D11293" s="25" t="s">
        <v>35786</v>
      </c>
      <c r="E11293" s="28">
        <v>1.00000</v>
      </c>
      <c r="F11293" s="29">
        <f ca="1">ROUND(19.000,3)</f>
        <v>0</v>
      </c>
      <c r="G11293" s="27">
        <f ca="1">ROUND(E11293*F11293,2)</f>
        <v>0</v>
      </c>
    </row>
    <row r="11294" spans="1:7" ht="24.36" thickBot="1" customHeight="1">
      <c r="A11294" s="24" t="s">
        <v>35787</v>
      </c>
      <c r="B11294" s="24" t="s">
        <v>35788</v>
      </c>
      <c r="C11294" s="24" t="s">
        <v>35789</v>
      </c>
      <c r="D11294" s="25" t="s">
        <v>35790</v>
      </c>
      <c r="E11294" s="28">
        <v>0.20000</v>
      </c>
      <c r="F11294" s="29">
        <f ca="1">ROUND(19.000,3)</f>
        <v>0</v>
      </c>
      <c r="G11294" s="27">
        <f ca="1">ROUND(E11294*F11294,2)</f>
        <v>0</v>
      </c>
    </row>
    <row r="11295" spans="1:7" ht="15.12" thickBot="1" customHeight="1">
      <c r="A11295" s="26"/>
      <c r="B11295" s="26"/>
      <c r="C11295" s="26"/>
      <c r="D11295" s="24" t="s">
        <v>35791</v>
      </c>
      <c r="E11295" s="28">
        <v>0.27000</v>
      </c>
      <c r="F11295" s="29">
        <f ca="1">ROUND((G11292+G11293+G11294),3)</f>
        <v>0</v>
      </c>
      <c r="G11295" s="27">
        <f ca="1">ROUND(E11295*F11295,2)</f>
        <v>0</v>
      </c>
    </row>
    <row r="11296" spans="1:7" ht="15.12" thickBot="1" customHeight="1">
      <c r="A11296" s="24" t="s">
        <v>35792</v>
      </c>
      <c r="B11296" s="24"/>
      <c r="C11296" s="24" t="s">
        <v>35793</v>
      </c>
      <c r="D11296" s="25" t="s">
        <v>35794</v>
      </c>
      <c r="E11296" s="28">
        <v>3.00000</v>
      </c>
      <c r="F11296" s="29">
        <f ca="1">ROUND(11.830,3)</f>
        <v>0</v>
      </c>
      <c r="G11296" s="27">
        <f ca="1">ROUND((E11296*F11296)/100,2)</f>
        <v>0</v>
      </c>
    </row>
    <row r="11297" spans="1:7" ht="15.48" thickBot="1" customHeight="1">
      <c r="A11297" s="30"/>
      <c r="B11297" s="30"/>
      <c r="C11297" s="30"/>
      <c r="D11297" s="31" t="s">
        <v>35795</v>
      </c>
      <c r="E11297" s="30"/>
      <c r="F11297" s="33">
        <f ca="1">ROUND((G11285+G11286+G11287+G11288+G11289+G11290+G11291+G11296)*(1+G2/100),2)</f>
        <v>0</v>
      </c>
      <c r="G11297" s="30"/>
    </row>
    <row r="11298" spans="1:7" ht="39.84" thickBot="1" customHeight="1">
      <c r="A11298" s="34" t="s">
        <v>35796</v>
      </c>
      <c r="B11298" s="35" t="s">
        <v>35797</v>
      </c>
      <c r="C11298" s="35" t="s">
        <v>35798</v>
      </c>
      <c r="D11298" s="36" t="s">
        <v>35799</v>
      </c>
      <c r="E11298" s="37"/>
      <c r="F11298" s="38">
        <f ca="1">F11312</f>
        <v>0</v>
      </c>
      <c r="G11298" s="37"/>
    </row>
    <row r="11299" spans="1:7" ht="49.08" thickBot="1" customHeight="1">
      <c r="A11299" s="26"/>
      <c r="B11299" s="26"/>
      <c r="C11299" s="26"/>
      <c r="D11299" s="25" t="s">
        <v>35800</v>
      </c>
      <c r="E11299" s="25"/>
      <c r="F11299" s="25"/>
      <c r="G11299" s="25"/>
    </row>
    <row r="11300" spans="1:7" ht="39.84" thickBot="1" customHeight="1">
      <c r="A11300" s="24" t="s">
        <v>35801</v>
      </c>
      <c r="B11300" s="24" t="s">
        <v>35802</v>
      </c>
      <c r="C11300" s="24" t="s">
        <v>35803</v>
      </c>
      <c r="D11300" s="25" t="s">
        <v>35804</v>
      </c>
      <c r="E11300" s="28">
        <v>0.00800</v>
      </c>
      <c r="F11300" s="29">
        <f ca="1">ROUND(284.340,3)</f>
        <v>0</v>
      </c>
      <c r="G11300" s="27">
        <f ca="1">ROUND(E11300*F11300,2)</f>
        <v>0</v>
      </c>
    </row>
    <row r="11301" spans="1:7" ht="30.60" thickBot="1" customHeight="1">
      <c r="A11301" s="24" t="s">
        <v>35805</v>
      </c>
      <c r="B11301" s="24" t="s">
        <v>35806</v>
      </c>
      <c r="C11301" s="24" t="s">
        <v>35807</v>
      </c>
      <c r="D11301" s="25" t="s">
        <v>35808</v>
      </c>
      <c r="E11301" s="28">
        <v>0.01330</v>
      </c>
      <c r="F11301" s="29">
        <f ca="1">ROUND(347.030,3)</f>
        <v>0</v>
      </c>
      <c r="G11301" s="27">
        <f ca="1">ROUND(E11301*F11301,2)</f>
        <v>0</v>
      </c>
    </row>
    <row r="11302" spans="1:7" ht="30.60" thickBot="1" customHeight="1">
      <c r="A11302" s="24" t="s">
        <v>35809</v>
      </c>
      <c r="B11302" s="24" t="s">
        <v>35810</v>
      </c>
      <c r="C11302" s="24" t="s">
        <v>35811</v>
      </c>
      <c r="D11302" s="25" t="s">
        <v>35812</v>
      </c>
      <c r="E11302" s="28">
        <v>0.01100</v>
      </c>
      <c r="F11302" s="29">
        <f ca="1">ROUND(2.520,3)</f>
        <v>0</v>
      </c>
      <c r="G11302" s="27">
        <f ca="1">ROUND(E11302*F11302,2)</f>
        <v>0</v>
      </c>
    </row>
    <row r="11303" spans="1:7" ht="24.36" thickBot="1" customHeight="1">
      <c r="A11303" s="24" t="s">
        <v>35813</v>
      </c>
      <c r="B11303" s="24" t="s">
        <v>35814</v>
      </c>
      <c r="C11303" s="24" t="s">
        <v>35815</v>
      </c>
      <c r="D11303" s="25" t="s">
        <v>35816</v>
      </c>
      <c r="E11303" s="28">
        <v>0.01100</v>
      </c>
      <c r="F11303" s="29">
        <f ca="1">ROUND(4.730,3)</f>
        <v>0</v>
      </c>
      <c r="G11303" s="27">
        <f ca="1">ROUND(E11303*F11303,2)</f>
        <v>0</v>
      </c>
    </row>
    <row r="11304" spans="1:7" ht="24.36" thickBot="1" customHeight="1">
      <c r="A11304" s="24" t="s">
        <v>35817</v>
      </c>
      <c r="B11304" s="24" t="s">
        <v>35818</v>
      </c>
      <c r="C11304" s="24" t="s">
        <v>35819</v>
      </c>
      <c r="D11304" s="25" t="s">
        <v>35820</v>
      </c>
      <c r="E11304" s="28">
        <v>0.01500</v>
      </c>
      <c r="F11304" s="29">
        <f ca="1">ROUND(0.650,3)</f>
        <v>0</v>
      </c>
      <c r="G11304" s="27">
        <f ca="1">ROUND(E11304*F11304,2)</f>
        <v>0</v>
      </c>
    </row>
    <row r="11305" spans="1:7" ht="24.36" thickBot="1" customHeight="1">
      <c r="A11305" s="24" t="s">
        <v>35821</v>
      </c>
      <c r="B11305" s="24" t="s">
        <v>35822</v>
      </c>
      <c r="C11305" s="24" t="s">
        <v>35823</v>
      </c>
      <c r="D11305" s="25" t="s">
        <v>35824</v>
      </c>
      <c r="E11305" s="28">
        <v>0.01100</v>
      </c>
      <c r="F11305" s="29">
        <f ca="1">ROUND(4.060,3)</f>
        <v>0</v>
      </c>
      <c r="G11305" s="27">
        <f ca="1">ROUND(E11305*F11305,2)</f>
        <v>0</v>
      </c>
    </row>
    <row r="11306" spans="1:7" ht="24.36" thickBot="1" customHeight="1">
      <c r="A11306" s="24" t="s">
        <v>35825</v>
      </c>
      <c r="B11306" s="24" t="s">
        <v>35826</v>
      </c>
      <c r="C11306" s="24" t="s">
        <v>35827</v>
      </c>
      <c r="D11306" s="25" t="s">
        <v>35828</v>
      </c>
      <c r="E11306" s="28">
        <v>0.40500</v>
      </c>
      <c r="F11306" s="29">
        <f ca="1">F11310</f>
        <v>0</v>
      </c>
      <c r="G11306" s="27">
        <f ca="1">ROUND(E11306*F11306,2)</f>
        <v>0</v>
      </c>
    </row>
    <row r="11307" spans="1:7" ht="24.36" thickBot="1" customHeight="1">
      <c r="A11307" s="24" t="s">
        <v>35829</v>
      </c>
      <c r="B11307" s="24" t="s">
        <v>35830</v>
      </c>
      <c r="C11307" s="24" t="s">
        <v>35831</v>
      </c>
      <c r="D11307" s="25" t="s">
        <v>35832</v>
      </c>
      <c r="E11307" s="28">
        <v>1.00000</v>
      </c>
      <c r="F11307" s="29">
        <f ca="1">ROUND(21.000,3)</f>
        <v>0</v>
      </c>
      <c r="G11307" s="27">
        <f ca="1">ROUND(E11307*F11307,2)</f>
        <v>0</v>
      </c>
    </row>
    <row r="11308" spans="1:7" ht="24.36" thickBot="1" customHeight="1">
      <c r="A11308" s="24" t="s">
        <v>35833</v>
      </c>
      <c r="B11308" s="24" t="s">
        <v>35834</v>
      </c>
      <c r="C11308" s="24" t="s">
        <v>35835</v>
      </c>
      <c r="D11308" s="25" t="s">
        <v>35836</v>
      </c>
      <c r="E11308" s="28">
        <v>1.00000</v>
      </c>
      <c r="F11308" s="29">
        <f ca="1">ROUND(19.000,3)</f>
        <v>0</v>
      </c>
      <c r="G11308" s="27">
        <f ca="1">ROUND(E11308*F11308,2)</f>
        <v>0</v>
      </c>
    </row>
    <row r="11309" spans="1:7" ht="24.36" thickBot="1" customHeight="1">
      <c r="A11309" s="24" t="s">
        <v>35837</v>
      </c>
      <c r="B11309" s="24" t="s">
        <v>35838</v>
      </c>
      <c r="C11309" s="24" t="s">
        <v>35839</v>
      </c>
      <c r="D11309" s="25" t="s">
        <v>35840</v>
      </c>
      <c r="E11309" s="28">
        <v>0.50000</v>
      </c>
      <c r="F11309" s="29">
        <f ca="1">ROUND(19.000,3)</f>
        <v>0</v>
      </c>
      <c r="G11309" s="27">
        <f ca="1">ROUND(E11309*F11309,2)</f>
        <v>0</v>
      </c>
    </row>
    <row r="11310" spans="1:7" ht="15.12" thickBot="1" customHeight="1">
      <c r="A11310" s="26"/>
      <c r="B11310" s="26"/>
      <c r="C11310" s="26"/>
      <c r="D11310" s="24" t="s">
        <v>35841</v>
      </c>
      <c r="E11310" s="28">
        <v>0.40500</v>
      </c>
      <c r="F11310" s="29">
        <f ca="1">ROUND((G11307+G11308+G11309),3)</f>
        <v>0</v>
      </c>
      <c r="G11310" s="27">
        <f ca="1">ROUND(E11310*F11310,2)</f>
        <v>0</v>
      </c>
    </row>
    <row r="11311" spans="1:7" ht="15.12" thickBot="1" customHeight="1">
      <c r="A11311" s="24" t="s">
        <v>35842</v>
      </c>
      <c r="B11311" s="24"/>
      <c r="C11311" s="24" t="s">
        <v>35843</v>
      </c>
      <c r="D11311" s="25" t="s">
        <v>35844</v>
      </c>
      <c r="E11311" s="28">
        <v>3.00000</v>
      </c>
      <c r="F11311" s="29">
        <f ca="1">ROUND(20.050,3)</f>
        <v>0</v>
      </c>
      <c r="G11311" s="27">
        <f ca="1">ROUND((E11311*F11311)/100,2)</f>
        <v>0</v>
      </c>
    </row>
    <row r="11312" spans="1:7" ht="15.48" thickBot="1" customHeight="1">
      <c r="A11312" s="30"/>
      <c r="B11312" s="30"/>
      <c r="C11312" s="30"/>
      <c r="D11312" s="31" t="s">
        <v>35845</v>
      </c>
      <c r="E11312" s="30"/>
      <c r="F11312" s="33">
        <f ca="1">ROUND((G11300+G11301+G11302+G11303+G11304+G11305+G11306+G11311)*(1+G2/100),2)</f>
        <v>0</v>
      </c>
      <c r="G11312" s="30"/>
    </row>
    <row r="11313" spans="1:7" ht="21.36" thickBot="1" customHeight="1">
      <c r="A11313" s="34" t="s">
        <v>35846</v>
      </c>
      <c r="B11313" s="35" t="s">
        <v>35847</v>
      </c>
      <c r="C11313" s="35" t="s">
        <v>35848</v>
      </c>
      <c r="D11313" s="36" t="s">
        <v>35849</v>
      </c>
      <c r="E11313" s="37"/>
      <c r="F11313" s="38">
        <f ca="1">F11327</f>
        <v>0</v>
      </c>
      <c r="G11313" s="37"/>
    </row>
    <row r="11314" spans="1:7" ht="49.08" thickBot="1" customHeight="1">
      <c r="A11314" s="26"/>
      <c r="B11314" s="26"/>
      <c r="C11314" s="26"/>
      <c r="D11314" s="25" t="s">
        <v>35850</v>
      </c>
      <c r="E11314" s="25"/>
      <c r="F11314" s="25"/>
      <c r="G11314" s="25"/>
    </row>
    <row r="11315" spans="1:7" ht="30.60" thickBot="1" customHeight="1">
      <c r="A11315" s="24" t="s">
        <v>35851</v>
      </c>
      <c r="B11315" s="24" t="s">
        <v>35852</v>
      </c>
      <c r="C11315" s="24" t="s">
        <v>35853</v>
      </c>
      <c r="D11315" s="25" t="s">
        <v>35854</v>
      </c>
      <c r="E11315" s="28">
        <v>0.00825</v>
      </c>
      <c r="F11315" s="29">
        <f ca="1">ROUND(227.640,3)</f>
        <v>0</v>
      </c>
      <c r="G11315" s="27">
        <f ca="1">ROUND(E11315*F11315,2)</f>
        <v>0</v>
      </c>
    </row>
    <row r="11316" spans="1:7" ht="39.84" thickBot="1" customHeight="1">
      <c r="A11316" s="24" t="s">
        <v>35855</v>
      </c>
      <c r="B11316" s="24" t="s">
        <v>35856</v>
      </c>
      <c r="C11316" s="24" t="s">
        <v>35857</v>
      </c>
      <c r="D11316" s="25" t="s">
        <v>35858</v>
      </c>
      <c r="E11316" s="28">
        <v>0.09000</v>
      </c>
      <c r="F11316" s="29">
        <f ca="1">ROUND(73.310,3)</f>
        <v>0</v>
      </c>
      <c r="G11316" s="27">
        <f ca="1">ROUND(E11316*F11316,2)</f>
        <v>0</v>
      </c>
    </row>
    <row r="11317" spans="1:7" ht="30.60" thickBot="1" customHeight="1">
      <c r="A11317" s="24" t="s">
        <v>35859</v>
      </c>
      <c r="B11317" s="24" t="s">
        <v>35860</v>
      </c>
      <c r="C11317" s="24" t="s">
        <v>35861</v>
      </c>
      <c r="D11317" s="25" t="s">
        <v>35862</v>
      </c>
      <c r="E11317" s="28">
        <v>0.01100</v>
      </c>
      <c r="F11317" s="29">
        <f ca="1">ROUND(2.520,3)</f>
        <v>0</v>
      </c>
      <c r="G11317" s="27">
        <f ca="1">ROUND(E11317*F11317,2)</f>
        <v>0</v>
      </c>
    </row>
    <row r="11318" spans="1:7" ht="24.36" thickBot="1" customHeight="1">
      <c r="A11318" s="24" t="s">
        <v>35863</v>
      </c>
      <c r="B11318" s="24" t="s">
        <v>35864</v>
      </c>
      <c r="C11318" s="24" t="s">
        <v>35865</v>
      </c>
      <c r="D11318" s="25" t="s">
        <v>35866</v>
      </c>
      <c r="E11318" s="28">
        <v>0.01100</v>
      </c>
      <c r="F11318" s="29">
        <f ca="1">ROUND(4.730,3)</f>
        <v>0</v>
      </c>
      <c r="G11318" s="27">
        <f ca="1">ROUND(E11318*F11318,2)</f>
        <v>0</v>
      </c>
    </row>
    <row r="11319" spans="1:7" ht="24.36" thickBot="1" customHeight="1">
      <c r="A11319" s="24" t="s">
        <v>35867</v>
      </c>
      <c r="B11319" s="24" t="s">
        <v>35868</v>
      </c>
      <c r="C11319" s="24" t="s">
        <v>35869</v>
      </c>
      <c r="D11319" s="25" t="s">
        <v>35870</v>
      </c>
      <c r="E11319" s="28">
        <v>0.01500</v>
      </c>
      <c r="F11319" s="29">
        <f ca="1">ROUND(0.650,3)</f>
        <v>0</v>
      </c>
      <c r="G11319" s="27">
        <f ca="1">ROUND(E11319*F11319,2)</f>
        <v>0</v>
      </c>
    </row>
    <row r="11320" spans="1:7" ht="24.36" thickBot="1" customHeight="1">
      <c r="A11320" s="24" t="s">
        <v>35871</v>
      </c>
      <c r="B11320" s="24" t="s">
        <v>35872</v>
      </c>
      <c r="C11320" s="24" t="s">
        <v>35873</v>
      </c>
      <c r="D11320" s="25" t="s">
        <v>35874</v>
      </c>
      <c r="E11320" s="28">
        <v>0.01100</v>
      </c>
      <c r="F11320" s="29">
        <f ca="1">ROUND(4.060,3)</f>
        <v>0</v>
      </c>
      <c r="G11320" s="27">
        <f ca="1">ROUND(E11320*F11320,2)</f>
        <v>0</v>
      </c>
    </row>
    <row r="11321" spans="1:7" ht="21.36" thickBot="1" customHeight="1">
      <c r="A11321" s="24" t="s">
        <v>35875</v>
      </c>
      <c r="B11321" s="24" t="s">
        <v>35876</v>
      </c>
      <c r="C11321" s="24" t="s">
        <v>35877</v>
      </c>
      <c r="D11321" s="25" t="s">
        <v>35878</v>
      </c>
      <c r="E11321" s="28">
        <v>0.27000</v>
      </c>
      <c r="F11321" s="29">
        <f ca="1">F11325</f>
        <v>0</v>
      </c>
      <c r="G11321" s="27">
        <f ca="1">ROUND(E11321*F11321,2)</f>
        <v>0</v>
      </c>
    </row>
    <row r="11322" spans="1:7" ht="24.36" thickBot="1" customHeight="1">
      <c r="A11322" s="24" t="s">
        <v>35879</v>
      </c>
      <c r="B11322" s="24" t="s">
        <v>35880</v>
      </c>
      <c r="C11322" s="24" t="s">
        <v>35881</v>
      </c>
      <c r="D11322" s="25" t="s">
        <v>35882</v>
      </c>
      <c r="E11322" s="28">
        <v>1.00000</v>
      </c>
      <c r="F11322" s="29">
        <f ca="1">ROUND(21.000,3)</f>
        <v>0</v>
      </c>
      <c r="G11322" s="27">
        <f ca="1">ROUND(E11322*F11322,2)</f>
        <v>0</v>
      </c>
    </row>
    <row r="11323" spans="1:7" ht="24.36" thickBot="1" customHeight="1">
      <c r="A11323" s="24" t="s">
        <v>35883</v>
      </c>
      <c r="B11323" s="24" t="s">
        <v>35884</v>
      </c>
      <c r="C11323" s="24" t="s">
        <v>35885</v>
      </c>
      <c r="D11323" s="25" t="s">
        <v>35886</v>
      </c>
      <c r="E11323" s="28">
        <v>1.00000</v>
      </c>
      <c r="F11323" s="29">
        <f ca="1">ROUND(19.000,3)</f>
        <v>0</v>
      </c>
      <c r="G11323" s="27">
        <f ca="1">ROUND(E11323*F11323,2)</f>
        <v>0</v>
      </c>
    </row>
    <row r="11324" spans="1:7" ht="24.36" thickBot="1" customHeight="1">
      <c r="A11324" s="24" t="s">
        <v>35887</v>
      </c>
      <c r="B11324" s="24" t="s">
        <v>35888</v>
      </c>
      <c r="C11324" s="24" t="s">
        <v>35889</v>
      </c>
      <c r="D11324" s="25" t="s">
        <v>35890</v>
      </c>
      <c r="E11324" s="28">
        <v>0.20000</v>
      </c>
      <c r="F11324" s="29">
        <f ca="1">ROUND(19.000,3)</f>
        <v>0</v>
      </c>
      <c r="G11324" s="27">
        <f ca="1">ROUND(E11324*F11324,2)</f>
        <v>0</v>
      </c>
    </row>
    <row r="11325" spans="1:7" ht="15.12" thickBot="1" customHeight="1">
      <c r="A11325" s="26"/>
      <c r="B11325" s="26"/>
      <c r="C11325" s="26"/>
      <c r="D11325" s="24" t="s">
        <v>35891</v>
      </c>
      <c r="E11325" s="28">
        <v>0.27000</v>
      </c>
      <c r="F11325" s="29">
        <f ca="1">ROUND((G11322+G11323+G11324),3)</f>
        <v>0</v>
      </c>
      <c r="G11325" s="27">
        <f ca="1">ROUND(E11325*F11325,2)</f>
        <v>0</v>
      </c>
    </row>
    <row r="11326" spans="1:7" ht="15.12" thickBot="1" customHeight="1">
      <c r="A11326" s="24" t="s">
        <v>35892</v>
      </c>
      <c r="B11326" s="24"/>
      <c r="C11326" s="24" t="s">
        <v>35893</v>
      </c>
      <c r="D11326" s="25" t="s">
        <v>35894</v>
      </c>
      <c r="E11326" s="28">
        <v>3.00000</v>
      </c>
      <c r="F11326" s="29">
        <f ca="1">ROUND(11.830,3)</f>
        <v>0</v>
      </c>
      <c r="G11326" s="27">
        <f ca="1">ROUND((E11326*F11326)/100,2)</f>
        <v>0</v>
      </c>
    </row>
    <row r="11327" spans="1:7" ht="15.48" thickBot="1" customHeight="1">
      <c r="A11327" s="30"/>
      <c r="B11327" s="30"/>
      <c r="C11327" s="30"/>
      <c r="D11327" s="31" t="s">
        <v>35895</v>
      </c>
      <c r="E11327" s="30"/>
      <c r="F11327" s="33">
        <f ca="1">ROUND((G11315+G11316+G11317+G11318+G11319+G11320+G11321+G11326)*(1+G2/100),2)</f>
        <v>0</v>
      </c>
      <c r="G11327" s="30"/>
    </row>
    <row r="11328" spans="1:7" ht="30.60" thickBot="1" customHeight="1">
      <c r="A11328" s="34" t="s">
        <v>35896</v>
      </c>
      <c r="B11328" s="35" t="s">
        <v>35897</v>
      </c>
      <c r="C11328" s="35" t="s">
        <v>35898</v>
      </c>
      <c r="D11328" s="36" t="s">
        <v>35899</v>
      </c>
      <c r="E11328" s="37"/>
      <c r="F11328" s="38">
        <f ca="1">F11342</f>
        <v>0</v>
      </c>
      <c r="G11328" s="37"/>
    </row>
    <row r="11329" spans="1:7" ht="49.08" thickBot="1" customHeight="1">
      <c r="A11329" s="26"/>
      <c r="B11329" s="26"/>
      <c r="C11329" s="26"/>
      <c r="D11329" s="25" t="s">
        <v>35900</v>
      </c>
      <c r="E11329" s="25"/>
      <c r="F11329" s="25"/>
      <c r="G11329" s="25"/>
    </row>
    <row r="11330" spans="1:7" ht="30.60" thickBot="1" customHeight="1">
      <c r="A11330" s="24" t="s">
        <v>35901</v>
      </c>
      <c r="B11330" s="24" t="s">
        <v>35902</v>
      </c>
      <c r="C11330" s="24" t="s">
        <v>35903</v>
      </c>
      <c r="D11330" s="25" t="s">
        <v>35904</v>
      </c>
      <c r="E11330" s="28">
        <v>0.00825</v>
      </c>
      <c r="F11330" s="29">
        <f ca="1">ROUND(227.640,3)</f>
        <v>0</v>
      </c>
      <c r="G11330" s="27">
        <f ca="1">ROUND(E11330*F11330,2)</f>
        <v>0</v>
      </c>
    </row>
    <row r="11331" spans="1:7" ht="39.84" thickBot="1" customHeight="1">
      <c r="A11331" s="24" t="s">
        <v>35905</v>
      </c>
      <c r="B11331" s="24" t="s">
        <v>35906</v>
      </c>
      <c r="C11331" s="24" t="s">
        <v>35907</v>
      </c>
      <c r="D11331" s="25" t="s">
        <v>35908</v>
      </c>
      <c r="E11331" s="28">
        <v>0.09000</v>
      </c>
      <c r="F11331" s="29">
        <f ca="1">ROUND(73.310,3)</f>
        <v>0</v>
      </c>
      <c r="G11331" s="27">
        <f ca="1">ROUND(E11331*F11331,2)</f>
        <v>0</v>
      </c>
    </row>
    <row r="11332" spans="1:7" ht="30.60" thickBot="1" customHeight="1">
      <c r="A11332" s="24" t="s">
        <v>35909</v>
      </c>
      <c r="B11332" s="24" t="s">
        <v>35910</v>
      </c>
      <c r="C11332" s="24" t="s">
        <v>35911</v>
      </c>
      <c r="D11332" s="25" t="s">
        <v>35912</v>
      </c>
      <c r="E11332" s="28">
        <v>0.01100</v>
      </c>
      <c r="F11332" s="29">
        <f ca="1">ROUND(2.520,3)</f>
        <v>0</v>
      </c>
      <c r="G11332" s="27">
        <f ca="1">ROUND(E11332*F11332,2)</f>
        <v>0</v>
      </c>
    </row>
    <row r="11333" spans="1:7" ht="24.36" thickBot="1" customHeight="1">
      <c r="A11333" s="24" t="s">
        <v>35913</v>
      </c>
      <c r="B11333" s="24" t="s">
        <v>35914</v>
      </c>
      <c r="C11333" s="24" t="s">
        <v>35915</v>
      </c>
      <c r="D11333" s="25" t="s">
        <v>35916</v>
      </c>
      <c r="E11333" s="28">
        <v>0.01100</v>
      </c>
      <c r="F11333" s="29">
        <f ca="1">ROUND(4.730,3)</f>
        <v>0</v>
      </c>
      <c r="G11333" s="27">
        <f ca="1">ROUND(E11333*F11333,2)</f>
        <v>0</v>
      </c>
    </row>
    <row r="11334" spans="1:7" ht="24.36" thickBot="1" customHeight="1">
      <c r="A11334" s="24" t="s">
        <v>35917</v>
      </c>
      <c r="B11334" s="24" t="s">
        <v>35918</v>
      </c>
      <c r="C11334" s="24" t="s">
        <v>35919</v>
      </c>
      <c r="D11334" s="25" t="s">
        <v>35920</v>
      </c>
      <c r="E11334" s="28">
        <v>0.01500</v>
      </c>
      <c r="F11334" s="29">
        <f ca="1">ROUND(0.650,3)</f>
        <v>0</v>
      </c>
      <c r="G11334" s="27">
        <f ca="1">ROUND(E11334*F11334,2)</f>
        <v>0</v>
      </c>
    </row>
    <row r="11335" spans="1:7" ht="24.36" thickBot="1" customHeight="1">
      <c r="A11335" s="24" t="s">
        <v>35921</v>
      </c>
      <c r="B11335" s="24" t="s">
        <v>35922</v>
      </c>
      <c r="C11335" s="24" t="s">
        <v>35923</v>
      </c>
      <c r="D11335" s="25" t="s">
        <v>35924</v>
      </c>
      <c r="E11335" s="28">
        <v>0.01100</v>
      </c>
      <c r="F11335" s="29">
        <f ca="1">ROUND(4.060,3)</f>
        <v>0</v>
      </c>
      <c r="G11335" s="27">
        <f ca="1">ROUND(E11335*F11335,2)</f>
        <v>0</v>
      </c>
    </row>
    <row r="11336" spans="1:7" ht="24.36" thickBot="1" customHeight="1">
      <c r="A11336" s="24" t="s">
        <v>35925</v>
      </c>
      <c r="B11336" s="24" t="s">
        <v>35926</v>
      </c>
      <c r="C11336" s="24" t="s">
        <v>35927</v>
      </c>
      <c r="D11336" s="25" t="s">
        <v>35928</v>
      </c>
      <c r="E11336" s="28">
        <v>0.40500</v>
      </c>
      <c r="F11336" s="29">
        <f ca="1">F11340</f>
        <v>0</v>
      </c>
      <c r="G11336" s="27">
        <f ca="1">ROUND(E11336*F11336,2)</f>
        <v>0</v>
      </c>
    </row>
    <row r="11337" spans="1:7" ht="24.36" thickBot="1" customHeight="1">
      <c r="A11337" s="24" t="s">
        <v>35929</v>
      </c>
      <c r="B11337" s="24" t="s">
        <v>35930</v>
      </c>
      <c r="C11337" s="24" t="s">
        <v>35931</v>
      </c>
      <c r="D11337" s="25" t="s">
        <v>35932</v>
      </c>
      <c r="E11337" s="28">
        <v>1.00000</v>
      </c>
      <c r="F11337" s="29">
        <f ca="1">ROUND(21.000,3)</f>
        <v>0</v>
      </c>
      <c r="G11337" s="27">
        <f ca="1">ROUND(E11337*F11337,2)</f>
        <v>0</v>
      </c>
    </row>
    <row r="11338" spans="1:7" ht="24.36" thickBot="1" customHeight="1">
      <c r="A11338" s="24" t="s">
        <v>35933</v>
      </c>
      <c r="B11338" s="24" t="s">
        <v>35934</v>
      </c>
      <c r="C11338" s="24" t="s">
        <v>35935</v>
      </c>
      <c r="D11338" s="25" t="s">
        <v>35936</v>
      </c>
      <c r="E11338" s="28">
        <v>1.00000</v>
      </c>
      <c r="F11338" s="29">
        <f ca="1">ROUND(19.000,3)</f>
        <v>0</v>
      </c>
      <c r="G11338" s="27">
        <f ca="1">ROUND(E11338*F11338,2)</f>
        <v>0</v>
      </c>
    </row>
    <row r="11339" spans="1:7" ht="24.36" thickBot="1" customHeight="1">
      <c r="A11339" s="24" t="s">
        <v>35937</v>
      </c>
      <c r="B11339" s="24" t="s">
        <v>35938</v>
      </c>
      <c r="C11339" s="24" t="s">
        <v>35939</v>
      </c>
      <c r="D11339" s="25" t="s">
        <v>35940</v>
      </c>
      <c r="E11339" s="28">
        <v>0.50000</v>
      </c>
      <c r="F11339" s="29">
        <f ca="1">ROUND(19.000,3)</f>
        <v>0</v>
      </c>
      <c r="G11339" s="27">
        <f ca="1">ROUND(E11339*F11339,2)</f>
        <v>0</v>
      </c>
    </row>
    <row r="11340" spans="1:7" ht="15.12" thickBot="1" customHeight="1">
      <c r="A11340" s="26"/>
      <c r="B11340" s="26"/>
      <c r="C11340" s="26"/>
      <c r="D11340" s="24" t="s">
        <v>35941</v>
      </c>
      <c r="E11340" s="28">
        <v>0.40500</v>
      </c>
      <c r="F11340" s="29">
        <f ca="1">ROUND((G11337+G11338+G11339),3)</f>
        <v>0</v>
      </c>
      <c r="G11340" s="27">
        <f ca="1">ROUND(E11340*F11340,2)</f>
        <v>0</v>
      </c>
    </row>
    <row r="11341" spans="1:7" ht="15.12" thickBot="1" customHeight="1">
      <c r="A11341" s="24" t="s">
        <v>35942</v>
      </c>
      <c r="B11341" s="24"/>
      <c r="C11341" s="24" t="s">
        <v>35943</v>
      </c>
      <c r="D11341" s="25" t="s">
        <v>35944</v>
      </c>
      <c r="E11341" s="28">
        <v>3.00000</v>
      </c>
      <c r="F11341" s="29">
        <f ca="1">ROUND(20.050,3)</f>
        <v>0</v>
      </c>
      <c r="G11341" s="27">
        <f ca="1">ROUND((E11341*F11341)/100,2)</f>
        <v>0</v>
      </c>
    </row>
    <row r="11342" spans="1:7" ht="15.48" thickBot="1" customHeight="1">
      <c r="A11342" s="30"/>
      <c r="B11342" s="30"/>
      <c r="C11342" s="30"/>
      <c r="D11342" s="31" t="s">
        <v>35945</v>
      </c>
      <c r="E11342" s="30"/>
      <c r="F11342" s="33">
        <f ca="1">ROUND((G11330+G11331+G11332+G11333+G11334+G11335+G11336+G11341)*(1+G2/100),2)</f>
        <v>0</v>
      </c>
      <c r="G11342" s="30"/>
    </row>
    <row r="11343" spans="1:7" ht="21.36" thickBot="1" customHeight="1">
      <c r="A11343" s="34" t="s">
        <v>35946</v>
      </c>
      <c r="B11343" s="35" t="s">
        <v>35947</v>
      </c>
      <c r="C11343" s="35" t="s">
        <v>35948</v>
      </c>
      <c r="D11343" s="36" t="s">
        <v>35949</v>
      </c>
      <c r="E11343" s="37"/>
      <c r="F11343" s="38">
        <f ca="1">F11356</f>
        <v>0</v>
      </c>
      <c r="G11343" s="37"/>
    </row>
    <row r="11344" spans="1:7" ht="58.32" thickBot="1" customHeight="1">
      <c r="A11344" s="26"/>
      <c r="B11344" s="26"/>
      <c r="C11344" s="26"/>
      <c r="D11344" s="25" t="s">
        <v>35950</v>
      </c>
      <c r="E11344" s="25"/>
      <c r="F11344" s="25"/>
      <c r="G11344" s="25"/>
    </row>
    <row r="11345" spans="1:7" ht="39.84" thickBot="1" customHeight="1">
      <c r="A11345" s="24" t="s">
        <v>35951</v>
      </c>
      <c r="B11345" s="24" t="s">
        <v>35952</v>
      </c>
      <c r="C11345" s="24" t="s">
        <v>35953</v>
      </c>
      <c r="D11345" s="25" t="s">
        <v>35954</v>
      </c>
      <c r="E11345" s="28">
        <v>0.02750</v>
      </c>
      <c r="F11345" s="29">
        <f ca="1">ROUND(139.670,3)</f>
        <v>0</v>
      </c>
      <c r="G11345" s="27">
        <f ca="1">ROUND(E11345*F11345,2)</f>
        <v>0</v>
      </c>
    </row>
    <row r="11346" spans="1:7" ht="30.60" thickBot="1" customHeight="1">
      <c r="A11346" s="24" t="s">
        <v>35955</v>
      </c>
      <c r="B11346" s="24" t="s">
        <v>35956</v>
      </c>
      <c r="C11346" s="24" t="s">
        <v>35957</v>
      </c>
      <c r="D11346" s="25" t="s">
        <v>35958</v>
      </c>
      <c r="E11346" s="28">
        <v>0.01100</v>
      </c>
      <c r="F11346" s="29">
        <f ca="1">ROUND(2.520,3)</f>
        <v>0</v>
      </c>
      <c r="G11346" s="27">
        <f ca="1">ROUND(E11346*F11346,2)</f>
        <v>0</v>
      </c>
    </row>
    <row r="11347" spans="1:7" ht="24.36" thickBot="1" customHeight="1">
      <c r="A11347" s="24" t="s">
        <v>35959</v>
      </c>
      <c r="B11347" s="24" t="s">
        <v>35960</v>
      </c>
      <c r="C11347" s="24" t="s">
        <v>35961</v>
      </c>
      <c r="D11347" s="25" t="s">
        <v>35962</v>
      </c>
      <c r="E11347" s="28">
        <v>0.01100</v>
      </c>
      <c r="F11347" s="29">
        <f ca="1">ROUND(4.730,3)</f>
        <v>0</v>
      </c>
      <c r="G11347" s="27">
        <f ca="1">ROUND(E11347*F11347,2)</f>
        <v>0</v>
      </c>
    </row>
    <row r="11348" spans="1:7" ht="24.36" thickBot="1" customHeight="1">
      <c r="A11348" s="24" t="s">
        <v>35963</v>
      </c>
      <c r="B11348" s="24" t="s">
        <v>35964</v>
      </c>
      <c r="C11348" s="24" t="s">
        <v>35965</v>
      </c>
      <c r="D11348" s="25" t="s">
        <v>35966</v>
      </c>
      <c r="E11348" s="28">
        <v>0.01500</v>
      </c>
      <c r="F11348" s="29">
        <f ca="1">ROUND(0.650,3)</f>
        <v>0</v>
      </c>
      <c r="G11348" s="27">
        <f ca="1">ROUND(E11348*F11348,2)</f>
        <v>0</v>
      </c>
    </row>
    <row r="11349" spans="1:7" ht="24.36" thickBot="1" customHeight="1">
      <c r="A11349" s="24" t="s">
        <v>35967</v>
      </c>
      <c r="B11349" s="24" t="s">
        <v>35968</v>
      </c>
      <c r="C11349" s="24" t="s">
        <v>35969</v>
      </c>
      <c r="D11349" s="25" t="s">
        <v>35970</v>
      </c>
      <c r="E11349" s="28">
        <v>0.01100</v>
      </c>
      <c r="F11349" s="29">
        <f ca="1">ROUND(4.060,3)</f>
        <v>0</v>
      </c>
      <c r="G11349" s="27">
        <f ca="1">ROUND(E11349*F11349,2)</f>
        <v>0</v>
      </c>
    </row>
    <row r="11350" spans="1:7" ht="21.36" thickBot="1" customHeight="1">
      <c r="A11350" s="24" t="s">
        <v>35971</v>
      </c>
      <c r="B11350" s="24" t="s">
        <v>35972</v>
      </c>
      <c r="C11350" s="24" t="s">
        <v>35973</v>
      </c>
      <c r="D11350" s="25" t="s">
        <v>35974</v>
      </c>
      <c r="E11350" s="28">
        <v>0.28000</v>
      </c>
      <c r="F11350" s="29">
        <f ca="1">F11354</f>
        <v>0</v>
      </c>
      <c r="G11350" s="27">
        <f ca="1">ROUND(E11350*F11350,2)</f>
        <v>0</v>
      </c>
    </row>
    <row r="11351" spans="1:7" ht="24.36" thickBot="1" customHeight="1">
      <c r="A11351" s="24" t="s">
        <v>35975</v>
      </c>
      <c r="B11351" s="24" t="s">
        <v>35976</v>
      </c>
      <c r="C11351" s="24" t="s">
        <v>35977</v>
      </c>
      <c r="D11351" s="25" t="s">
        <v>35978</v>
      </c>
      <c r="E11351" s="28">
        <v>1.00000</v>
      </c>
      <c r="F11351" s="29">
        <f ca="1">ROUND(21.000,3)</f>
        <v>0</v>
      </c>
      <c r="G11351" s="27">
        <f ca="1">ROUND(E11351*F11351,2)</f>
        <v>0</v>
      </c>
    </row>
    <row r="11352" spans="1:7" ht="24.36" thickBot="1" customHeight="1">
      <c r="A11352" s="24" t="s">
        <v>35979</v>
      </c>
      <c r="B11352" s="24" t="s">
        <v>35980</v>
      </c>
      <c r="C11352" s="24" t="s">
        <v>35981</v>
      </c>
      <c r="D11352" s="25" t="s">
        <v>35982</v>
      </c>
      <c r="E11352" s="28">
        <v>1.00000</v>
      </c>
      <c r="F11352" s="29">
        <f ca="1">ROUND(19.000,3)</f>
        <v>0</v>
      </c>
      <c r="G11352" s="27">
        <f ca="1">ROUND(E11352*F11352,2)</f>
        <v>0</v>
      </c>
    </row>
    <row r="11353" spans="1:7" ht="24.36" thickBot="1" customHeight="1">
      <c r="A11353" s="24" t="s">
        <v>35983</v>
      </c>
      <c r="B11353" s="24" t="s">
        <v>35984</v>
      </c>
      <c r="C11353" s="24" t="s">
        <v>35985</v>
      </c>
      <c r="D11353" s="25" t="s">
        <v>35986</v>
      </c>
      <c r="E11353" s="28">
        <v>0.20000</v>
      </c>
      <c r="F11353" s="29">
        <f ca="1">ROUND(19.000,3)</f>
        <v>0</v>
      </c>
      <c r="G11353" s="27">
        <f ca="1">ROUND(E11353*F11353,2)</f>
        <v>0</v>
      </c>
    </row>
    <row r="11354" spans="1:7" ht="15.12" thickBot="1" customHeight="1">
      <c r="A11354" s="26"/>
      <c r="B11354" s="26"/>
      <c r="C11354" s="26"/>
      <c r="D11354" s="24" t="s">
        <v>35987</v>
      </c>
      <c r="E11354" s="28">
        <v>0.28000</v>
      </c>
      <c r="F11354" s="29">
        <f ca="1">ROUND((G11351+G11352+G11353),3)</f>
        <v>0</v>
      </c>
      <c r="G11354" s="27">
        <f ca="1">ROUND(E11354*F11354,2)</f>
        <v>0</v>
      </c>
    </row>
    <row r="11355" spans="1:7" ht="15.12" thickBot="1" customHeight="1">
      <c r="A11355" s="24" t="s">
        <v>35988</v>
      </c>
      <c r="B11355" s="24"/>
      <c r="C11355" s="24" t="s">
        <v>35989</v>
      </c>
      <c r="D11355" s="25" t="s">
        <v>35990</v>
      </c>
      <c r="E11355" s="28">
        <v>3.00000</v>
      </c>
      <c r="F11355" s="29">
        <f ca="1">ROUND(12.260,3)</f>
        <v>0</v>
      </c>
      <c r="G11355" s="27">
        <f ca="1">ROUND((E11355*F11355)/100,2)</f>
        <v>0</v>
      </c>
    </row>
    <row r="11356" spans="1:7" ht="15.48" thickBot="1" customHeight="1">
      <c r="A11356" s="30"/>
      <c r="B11356" s="30"/>
      <c r="C11356" s="30"/>
      <c r="D11356" s="31" t="s">
        <v>35991</v>
      </c>
      <c r="E11356" s="30"/>
      <c r="F11356" s="33">
        <f ca="1">ROUND((G11345+G11346+G11347+G11348+G11349+G11350+G11355)*(1+G2/100),2)</f>
        <v>0</v>
      </c>
      <c r="G11356" s="30"/>
    </row>
    <row r="11357" spans="1:7" ht="21.36" thickBot="1" customHeight="1">
      <c r="A11357" s="34" t="s">
        <v>35992</v>
      </c>
      <c r="B11357" s="35" t="s">
        <v>35993</v>
      </c>
      <c r="C11357" s="35" t="s">
        <v>35994</v>
      </c>
      <c r="D11357" s="36" t="s">
        <v>35995</v>
      </c>
      <c r="E11357" s="37"/>
      <c r="F11357" s="38">
        <f ca="1">F11367</f>
        <v>0</v>
      </c>
      <c r="G11357" s="37"/>
    </row>
    <row r="11358" spans="1:7" ht="21.36" thickBot="1" customHeight="1">
      <c r="A11358" s="26"/>
      <c r="B11358" s="26"/>
      <c r="C11358" s="26"/>
      <c r="D11358" s="25" t="s">
        <v>35996</v>
      </c>
      <c r="E11358" s="25"/>
      <c r="F11358" s="25"/>
      <c r="G11358" s="25"/>
    </row>
    <row r="11359" spans="1:7" ht="39.84" thickBot="1" customHeight="1">
      <c r="A11359" s="24" t="s">
        <v>35997</v>
      </c>
      <c r="B11359" s="24" t="s">
        <v>35998</v>
      </c>
      <c r="C11359" s="24" t="s">
        <v>35999</v>
      </c>
      <c r="D11359" s="25" t="s">
        <v>36000</v>
      </c>
      <c r="E11359" s="28">
        <v>0.01130</v>
      </c>
      <c r="F11359" s="29">
        <f ca="1">ROUND(110.700,3)</f>
        <v>0</v>
      </c>
      <c r="G11359" s="27">
        <f ca="1">ROUND(E11359*F11359,2)</f>
        <v>0</v>
      </c>
    </row>
    <row r="11360" spans="1:7" ht="30.60" thickBot="1" customHeight="1">
      <c r="A11360" s="24" t="s">
        <v>36001</v>
      </c>
      <c r="B11360" s="24" t="s">
        <v>36002</v>
      </c>
      <c r="C11360" s="24" t="s">
        <v>36003</v>
      </c>
      <c r="D11360" s="25" t="s">
        <v>36004</v>
      </c>
      <c r="E11360" s="28">
        <v>0.01333</v>
      </c>
      <c r="F11360" s="29">
        <f ca="1">ROUND(70.680,3)</f>
        <v>0</v>
      </c>
      <c r="G11360" s="27">
        <f ca="1">ROUND(E11360*F11360,2)</f>
        <v>0</v>
      </c>
    </row>
    <row r="11361" spans="1:7" ht="21.36" thickBot="1" customHeight="1">
      <c r="A11361" s="24" t="s">
        <v>36005</v>
      </c>
      <c r="B11361" s="24" t="s">
        <v>36006</v>
      </c>
      <c r="C11361" s="24" t="s">
        <v>36007</v>
      </c>
      <c r="D11361" s="25" t="s">
        <v>36008</v>
      </c>
      <c r="E11361" s="28">
        <v>0.25000</v>
      </c>
      <c r="F11361" s="29">
        <f ca="1">F11365</f>
        <v>0</v>
      </c>
      <c r="G11361" s="27">
        <f ca="1">ROUND(E11361*F11361,2)</f>
        <v>0</v>
      </c>
    </row>
    <row r="11362" spans="1:7" ht="24.36" thickBot="1" customHeight="1">
      <c r="A11362" s="24" t="s">
        <v>36009</v>
      </c>
      <c r="B11362" s="24" t="s">
        <v>36010</v>
      </c>
      <c r="C11362" s="24" t="s">
        <v>36011</v>
      </c>
      <c r="D11362" s="25" t="s">
        <v>36012</v>
      </c>
      <c r="E11362" s="28">
        <v>1.00000</v>
      </c>
      <c r="F11362" s="29">
        <f ca="1">ROUND(21.000,3)</f>
        <v>0</v>
      </c>
      <c r="G11362" s="27">
        <f ca="1">ROUND(E11362*F11362,2)</f>
        <v>0</v>
      </c>
    </row>
    <row r="11363" spans="1:7" ht="24.36" thickBot="1" customHeight="1">
      <c r="A11363" s="24" t="s">
        <v>36013</v>
      </c>
      <c r="B11363" s="24" t="s">
        <v>36014</v>
      </c>
      <c r="C11363" s="24" t="s">
        <v>36015</v>
      </c>
      <c r="D11363" s="25" t="s">
        <v>36016</v>
      </c>
      <c r="E11363" s="28">
        <v>1.00000</v>
      </c>
      <c r="F11363" s="29">
        <f ca="1">ROUND(19.000,3)</f>
        <v>0</v>
      </c>
      <c r="G11363" s="27">
        <f ca="1">ROUND(E11363*F11363,2)</f>
        <v>0</v>
      </c>
    </row>
    <row r="11364" spans="1:7" ht="24.36" thickBot="1" customHeight="1">
      <c r="A11364" s="24" t="s">
        <v>36017</v>
      </c>
      <c r="B11364" s="24" t="s">
        <v>36018</v>
      </c>
      <c r="C11364" s="24" t="s">
        <v>36019</v>
      </c>
      <c r="D11364" s="25" t="s">
        <v>36020</v>
      </c>
      <c r="E11364" s="28">
        <v>0.20000</v>
      </c>
      <c r="F11364" s="29">
        <f ca="1">ROUND(19.000,3)</f>
        <v>0</v>
      </c>
      <c r="G11364" s="27">
        <f ca="1">ROUND(E11364*F11364,2)</f>
        <v>0</v>
      </c>
    </row>
    <row r="11365" spans="1:7" ht="15.12" thickBot="1" customHeight="1">
      <c r="A11365" s="26"/>
      <c r="B11365" s="26"/>
      <c r="C11365" s="26"/>
      <c r="D11365" s="24" t="s">
        <v>36021</v>
      </c>
      <c r="E11365" s="28">
        <v>0.25000</v>
      </c>
      <c r="F11365" s="29">
        <f ca="1">ROUND((G11362+G11363+G11364),3)</f>
        <v>0</v>
      </c>
      <c r="G11365" s="27">
        <f ca="1">ROUND(E11365*F11365,2)</f>
        <v>0</v>
      </c>
    </row>
    <row r="11366" spans="1:7" ht="15.12" thickBot="1" customHeight="1">
      <c r="A11366" s="24" t="s">
        <v>36022</v>
      </c>
      <c r="B11366" s="24"/>
      <c r="C11366" s="24" t="s">
        <v>36023</v>
      </c>
      <c r="D11366" s="25" t="s">
        <v>36024</v>
      </c>
      <c r="E11366" s="28">
        <v>3.00000</v>
      </c>
      <c r="F11366" s="29">
        <f ca="1">ROUND(10.950,3)</f>
        <v>0</v>
      </c>
      <c r="G11366" s="27">
        <f ca="1">ROUND((E11366*F11366)/100,2)</f>
        <v>0</v>
      </c>
    </row>
    <row r="11367" spans="1:7" ht="15.48" thickBot="1" customHeight="1">
      <c r="A11367" s="30"/>
      <c r="B11367" s="30"/>
      <c r="C11367" s="30"/>
      <c r="D11367" s="31" t="s">
        <v>36025</v>
      </c>
      <c r="E11367" s="30"/>
      <c r="F11367" s="33">
        <f ca="1">ROUND((G11359+G11360+G11361+G11366)*(1+G2/100),2)</f>
        <v>0</v>
      </c>
      <c r="G11367" s="30"/>
    </row>
    <row r="11368" spans="1:7" ht="30.60" thickBot="1" customHeight="1">
      <c r="A11368" s="34" t="s">
        <v>36026</v>
      </c>
      <c r="B11368" s="35" t="s">
        <v>36027</v>
      </c>
      <c r="C11368" s="35" t="s">
        <v>36028</v>
      </c>
      <c r="D11368" s="36" t="s">
        <v>36029</v>
      </c>
      <c r="E11368" s="37"/>
      <c r="F11368" s="38">
        <f ca="1">F11378</f>
        <v>0</v>
      </c>
      <c r="G11368" s="37"/>
    </row>
    <row r="11369" spans="1:7" ht="12.12" thickBot="1" customHeight="1">
      <c r="A11369" s="26"/>
      <c r="B11369" s="26"/>
      <c r="C11369" s="26"/>
      <c r="D11369" s="25" t="s">
        <v>36030</v>
      </c>
      <c r="E11369" s="25"/>
      <c r="F11369" s="25"/>
      <c r="G11369" s="25"/>
    </row>
    <row r="11370" spans="1:7" ht="39.84" thickBot="1" customHeight="1">
      <c r="A11370" s="24" t="s">
        <v>36031</v>
      </c>
      <c r="B11370" s="24" t="s">
        <v>36032</v>
      </c>
      <c r="C11370" s="24" t="s">
        <v>36033</v>
      </c>
      <c r="D11370" s="25" t="s">
        <v>36034</v>
      </c>
      <c r="E11370" s="28">
        <v>0.01130</v>
      </c>
      <c r="F11370" s="29">
        <f ca="1">ROUND(110.700,3)</f>
        <v>0</v>
      </c>
      <c r="G11370" s="27">
        <f ca="1">ROUND(E11370*F11370,2)</f>
        <v>0</v>
      </c>
    </row>
    <row r="11371" spans="1:7" ht="30.60" thickBot="1" customHeight="1">
      <c r="A11371" s="24" t="s">
        <v>36035</v>
      </c>
      <c r="B11371" s="24" t="s">
        <v>36036</v>
      </c>
      <c r="C11371" s="24" t="s">
        <v>36037</v>
      </c>
      <c r="D11371" s="25" t="s">
        <v>36038</v>
      </c>
      <c r="E11371" s="28">
        <v>0.01333</v>
      </c>
      <c r="F11371" s="29">
        <f ca="1">ROUND(70.680,3)</f>
        <v>0</v>
      </c>
      <c r="G11371" s="27">
        <f ca="1">ROUND(E11371*F11371,2)</f>
        <v>0</v>
      </c>
    </row>
    <row r="11372" spans="1:7" ht="24.36" thickBot="1" customHeight="1">
      <c r="A11372" s="24" t="s">
        <v>36039</v>
      </c>
      <c r="B11372" s="24" t="s">
        <v>36040</v>
      </c>
      <c r="C11372" s="24" t="s">
        <v>36041</v>
      </c>
      <c r="D11372" s="25" t="s">
        <v>36042</v>
      </c>
      <c r="E11372" s="28">
        <v>0.37500</v>
      </c>
      <c r="F11372" s="29">
        <f ca="1">F11376</f>
        <v>0</v>
      </c>
      <c r="G11372" s="27">
        <f ca="1">ROUND(E11372*F11372,2)</f>
        <v>0</v>
      </c>
    </row>
    <row r="11373" spans="1:7" ht="24.36" thickBot="1" customHeight="1">
      <c r="A11373" s="24" t="s">
        <v>36043</v>
      </c>
      <c r="B11373" s="24" t="s">
        <v>36044</v>
      </c>
      <c r="C11373" s="24" t="s">
        <v>36045</v>
      </c>
      <c r="D11373" s="25" t="s">
        <v>36046</v>
      </c>
      <c r="E11373" s="28">
        <v>1.00000</v>
      </c>
      <c r="F11373" s="29">
        <f ca="1">ROUND(21.000,3)</f>
        <v>0</v>
      </c>
      <c r="G11373" s="27">
        <f ca="1">ROUND(E11373*F11373,2)</f>
        <v>0</v>
      </c>
    </row>
    <row r="11374" spans="1:7" ht="24.36" thickBot="1" customHeight="1">
      <c r="A11374" s="24" t="s">
        <v>36047</v>
      </c>
      <c r="B11374" s="24" t="s">
        <v>36048</v>
      </c>
      <c r="C11374" s="24" t="s">
        <v>36049</v>
      </c>
      <c r="D11374" s="25" t="s">
        <v>36050</v>
      </c>
      <c r="E11374" s="28">
        <v>1.00000</v>
      </c>
      <c r="F11374" s="29">
        <f ca="1">ROUND(19.000,3)</f>
        <v>0</v>
      </c>
      <c r="G11374" s="27">
        <f ca="1">ROUND(E11374*F11374,2)</f>
        <v>0</v>
      </c>
    </row>
    <row r="11375" spans="1:7" ht="24.36" thickBot="1" customHeight="1">
      <c r="A11375" s="24" t="s">
        <v>36051</v>
      </c>
      <c r="B11375" s="24" t="s">
        <v>36052</v>
      </c>
      <c r="C11375" s="24" t="s">
        <v>36053</v>
      </c>
      <c r="D11375" s="25" t="s">
        <v>36054</v>
      </c>
      <c r="E11375" s="28">
        <v>0.50000</v>
      </c>
      <c r="F11375" s="29">
        <f ca="1">ROUND(19.000,3)</f>
        <v>0</v>
      </c>
      <c r="G11375" s="27">
        <f ca="1">ROUND(E11375*F11375,2)</f>
        <v>0</v>
      </c>
    </row>
    <row r="11376" spans="1:7" ht="15.12" thickBot="1" customHeight="1">
      <c r="A11376" s="26"/>
      <c r="B11376" s="26"/>
      <c r="C11376" s="26"/>
      <c r="D11376" s="24" t="s">
        <v>36055</v>
      </c>
      <c r="E11376" s="28">
        <v>0.37500</v>
      </c>
      <c r="F11376" s="29">
        <f ca="1">ROUND((G11373+G11374+G11375),3)</f>
        <v>0</v>
      </c>
      <c r="G11376" s="27">
        <f ca="1">ROUND(E11376*F11376,2)</f>
        <v>0</v>
      </c>
    </row>
    <row r="11377" spans="1:7" ht="15.12" thickBot="1" customHeight="1">
      <c r="A11377" s="24" t="s">
        <v>36056</v>
      </c>
      <c r="B11377" s="24"/>
      <c r="C11377" s="24" t="s">
        <v>36057</v>
      </c>
      <c r="D11377" s="25" t="s">
        <v>36058</v>
      </c>
      <c r="E11377" s="28">
        <v>3.00000</v>
      </c>
      <c r="F11377" s="29">
        <f ca="1">ROUND(18.560,3)</f>
        <v>0</v>
      </c>
      <c r="G11377" s="27">
        <f ca="1">ROUND((E11377*F11377)/100,2)</f>
        <v>0</v>
      </c>
    </row>
    <row r="11378" spans="1:7" ht="15.48" thickBot="1" customHeight="1">
      <c r="A11378" s="30"/>
      <c r="B11378" s="30"/>
      <c r="C11378" s="30"/>
      <c r="D11378" s="31" t="s">
        <v>36059</v>
      </c>
      <c r="E11378" s="30"/>
      <c r="F11378" s="33">
        <f ca="1">ROUND((G11370+G11371+G11372+G11377)*(1+G2/100),2)</f>
        <v>0</v>
      </c>
      <c r="G11378" s="30"/>
    </row>
    <row r="11379" spans="1:7" ht="30.60" thickBot="1" customHeight="1">
      <c r="A11379" s="34" t="s">
        <v>36060</v>
      </c>
      <c r="B11379" s="35" t="s">
        <v>36061</v>
      </c>
      <c r="C11379" s="35" t="s">
        <v>36062</v>
      </c>
      <c r="D11379" s="36" t="s">
        <v>36063</v>
      </c>
      <c r="E11379" s="37"/>
      <c r="F11379" s="38">
        <f ca="1">F11389</f>
        <v>0</v>
      </c>
      <c r="G11379" s="37"/>
    </row>
    <row r="11380" spans="1:7" ht="12.12" thickBot="1" customHeight="1">
      <c r="A11380" s="26"/>
      <c r="B11380" s="26"/>
      <c r="C11380" s="26"/>
      <c r="D11380" s="25" t="s">
        <v>36064</v>
      </c>
      <c r="E11380" s="25"/>
      <c r="F11380" s="25"/>
      <c r="G11380" s="25"/>
    </row>
    <row r="11381" spans="1:7" ht="39.84" thickBot="1" customHeight="1">
      <c r="A11381" s="24" t="s">
        <v>36065</v>
      </c>
      <c r="B11381" s="24" t="s">
        <v>36066</v>
      </c>
      <c r="C11381" s="24" t="s">
        <v>36067</v>
      </c>
      <c r="D11381" s="25" t="s">
        <v>36068</v>
      </c>
      <c r="E11381" s="28">
        <v>0.01130</v>
      </c>
      <c r="F11381" s="29">
        <f ca="1">ROUND(110.700,3)</f>
        <v>0</v>
      </c>
      <c r="G11381" s="27">
        <f ca="1">ROUND(E11381*F11381,2)</f>
        <v>0</v>
      </c>
    </row>
    <row r="11382" spans="1:7" ht="30.60" thickBot="1" customHeight="1">
      <c r="A11382" s="24" t="s">
        <v>36069</v>
      </c>
      <c r="B11382" s="24" t="s">
        <v>36070</v>
      </c>
      <c r="C11382" s="24" t="s">
        <v>36071</v>
      </c>
      <c r="D11382" s="25" t="s">
        <v>36072</v>
      </c>
      <c r="E11382" s="28">
        <v>0.01667</v>
      </c>
      <c r="F11382" s="29">
        <f ca="1">ROUND(49.500,3)</f>
        <v>0</v>
      </c>
      <c r="G11382" s="27">
        <f ca="1">ROUND(E11382*F11382,2)</f>
        <v>0</v>
      </c>
    </row>
    <row r="11383" spans="1:7" ht="21.36" thickBot="1" customHeight="1">
      <c r="A11383" s="24" t="s">
        <v>36073</v>
      </c>
      <c r="B11383" s="24" t="s">
        <v>36074</v>
      </c>
      <c r="C11383" s="24" t="s">
        <v>36075</v>
      </c>
      <c r="D11383" s="25" t="s">
        <v>36076</v>
      </c>
      <c r="E11383" s="28">
        <v>0.25000</v>
      </c>
      <c r="F11383" s="29">
        <f ca="1">F11387</f>
        <v>0</v>
      </c>
      <c r="G11383" s="27">
        <f ca="1">ROUND(E11383*F11383,2)</f>
        <v>0</v>
      </c>
    </row>
    <row r="11384" spans="1:7" ht="24.36" thickBot="1" customHeight="1">
      <c r="A11384" s="24" t="s">
        <v>36077</v>
      </c>
      <c r="B11384" s="24" t="s">
        <v>36078</v>
      </c>
      <c r="C11384" s="24" t="s">
        <v>36079</v>
      </c>
      <c r="D11384" s="25" t="s">
        <v>36080</v>
      </c>
      <c r="E11384" s="28">
        <v>1.00000</v>
      </c>
      <c r="F11384" s="29">
        <f ca="1">ROUND(21.000,3)</f>
        <v>0</v>
      </c>
      <c r="G11384" s="27">
        <f ca="1">ROUND(E11384*F11384,2)</f>
        <v>0</v>
      </c>
    </row>
    <row r="11385" spans="1:7" ht="24.36" thickBot="1" customHeight="1">
      <c r="A11385" s="24" t="s">
        <v>36081</v>
      </c>
      <c r="B11385" s="24" t="s">
        <v>36082</v>
      </c>
      <c r="C11385" s="24" t="s">
        <v>36083</v>
      </c>
      <c r="D11385" s="25" t="s">
        <v>36084</v>
      </c>
      <c r="E11385" s="28">
        <v>1.00000</v>
      </c>
      <c r="F11385" s="29">
        <f ca="1">ROUND(19.000,3)</f>
        <v>0</v>
      </c>
      <c r="G11385" s="27">
        <f ca="1">ROUND(E11385*F11385,2)</f>
        <v>0</v>
      </c>
    </row>
    <row r="11386" spans="1:7" ht="24.36" thickBot="1" customHeight="1">
      <c r="A11386" s="24" t="s">
        <v>36085</v>
      </c>
      <c r="B11386" s="24" t="s">
        <v>36086</v>
      </c>
      <c r="C11386" s="24" t="s">
        <v>36087</v>
      </c>
      <c r="D11386" s="25" t="s">
        <v>36088</v>
      </c>
      <c r="E11386" s="28">
        <v>0.20000</v>
      </c>
      <c r="F11386" s="29">
        <f ca="1">ROUND(19.000,3)</f>
        <v>0</v>
      </c>
      <c r="G11386" s="27">
        <f ca="1">ROUND(E11386*F11386,2)</f>
        <v>0</v>
      </c>
    </row>
    <row r="11387" spans="1:7" ht="15.12" thickBot="1" customHeight="1">
      <c r="A11387" s="26"/>
      <c r="B11387" s="26"/>
      <c r="C11387" s="26"/>
      <c r="D11387" s="24" t="s">
        <v>36089</v>
      </c>
      <c r="E11387" s="28">
        <v>0.25000</v>
      </c>
      <c r="F11387" s="29">
        <f ca="1">ROUND((G11384+G11385+G11386),3)</f>
        <v>0</v>
      </c>
      <c r="G11387" s="27">
        <f ca="1">ROUND(E11387*F11387,2)</f>
        <v>0</v>
      </c>
    </row>
    <row r="11388" spans="1:7" ht="15.12" thickBot="1" customHeight="1">
      <c r="A11388" s="24" t="s">
        <v>36090</v>
      </c>
      <c r="B11388" s="24"/>
      <c r="C11388" s="24" t="s">
        <v>36091</v>
      </c>
      <c r="D11388" s="25" t="s">
        <v>36092</v>
      </c>
      <c r="E11388" s="28">
        <v>3.00000</v>
      </c>
      <c r="F11388" s="29">
        <f ca="1">ROUND(10.950,3)</f>
        <v>0</v>
      </c>
      <c r="G11388" s="27">
        <f ca="1">ROUND((E11388*F11388)/100,2)</f>
        <v>0</v>
      </c>
    </row>
    <row r="11389" spans="1:7" ht="15.48" thickBot="1" customHeight="1">
      <c r="A11389" s="30"/>
      <c r="B11389" s="30"/>
      <c r="C11389" s="30"/>
      <c r="D11389" s="31" t="s">
        <v>36093</v>
      </c>
      <c r="E11389" s="30"/>
      <c r="F11389" s="33">
        <f ca="1">ROUND((G11381+G11382+G11383+G11388)*(1+G2/100),2)</f>
        <v>0</v>
      </c>
      <c r="G11389" s="30"/>
    </row>
    <row r="11390" spans="1:7" ht="21.36" thickBot="1" customHeight="1">
      <c r="A11390" s="34" t="s">
        <v>36094</v>
      </c>
      <c r="B11390" s="35" t="s">
        <v>36095</v>
      </c>
      <c r="C11390" s="35" t="s">
        <v>36096</v>
      </c>
      <c r="D11390" s="36" t="s">
        <v>36097</v>
      </c>
      <c r="E11390" s="37"/>
      <c r="F11390" s="38">
        <f ca="1">F11400</f>
        <v>0</v>
      </c>
      <c r="G11390" s="37"/>
    </row>
    <row r="11391" spans="1:7" ht="39.84" thickBot="1" customHeight="1">
      <c r="A11391" s="26"/>
      <c r="B11391" s="26"/>
      <c r="C11391" s="26"/>
      <c r="D11391" s="25" t="s">
        <v>36098</v>
      </c>
      <c r="E11391" s="25"/>
      <c r="F11391" s="25"/>
      <c r="G11391" s="25"/>
    </row>
    <row r="11392" spans="1:7" ht="30.60" thickBot="1" customHeight="1">
      <c r="A11392" s="24" t="s">
        <v>36099</v>
      </c>
      <c r="B11392" s="24" t="s">
        <v>36100</v>
      </c>
      <c r="C11392" s="24" t="s">
        <v>36101</v>
      </c>
      <c r="D11392" s="25" t="s">
        <v>36102</v>
      </c>
      <c r="E11392" s="28">
        <v>0.10000</v>
      </c>
      <c r="F11392" s="29">
        <f ca="1">ROUND(29.170,3)</f>
        <v>0</v>
      </c>
      <c r="G11392" s="27">
        <f ca="1">ROUND(E11392*F11392,2)</f>
        <v>0</v>
      </c>
    </row>
    <row r="11393" spans="1:7" ht="24.36" thickBot="1" customHeight="1">
      <c r="A11393" s="24" t="s">
        <v>36103</v>
      </c>
      <c r="B11393" s="24" t="s">
        <v>36104</v>
      </c>
      <c r="C11393" s="24" t="s">
        <v>36105</v>
      </c>
      <c r="D11393" s="25" t="s">
        <v>36106</v>
      </c>
      <c r="E11393" s="28">
        <v>0.02600</v>
      </c>
      <c r="F11393" s="29">
        <f ca="1">ROUND(180.000,3)</f>
        <v>0</v>
      </c>
      <c r="G11393" s="27">
        <f ca="1">ROUND(E11393*F11393,2)</f>
        <v>0</v>
      </c>
    </row>
    <row r="11394" spans="1:7" ht="21.36" thickBot="1" customHeight="1">
      <c r="A11394" s="24" t="s">
        <v>36107</v>
      </c>
      <c r="B11394" s="24" t="s">
        <v>36108</v>
      </c>
      <c r="C11394" s="24" t="s">
        <v>36109</v>
      </c>
      <c r="D11394" s="25" t="s">
        <v>36110</v>
      </c>
      <c r="E11394" s="28">
        <v>0.25000</v>
      </c>
      <c r="F11394" s="29">
        <f ca="1">F11398</f>
        <v>0</v>
      </c>
      <c r="G11394" s="27">
        <f ca="1">ROUND(E11394*F11394,2)</f>
        <v>0</v>
      </c>
    </row>
    <row r="11395" spans="1:7" ht="24.36" thickBot="1" customHeight="1">
      <c r="A11395" s="24" t="s">
        <v>36111</v>
      </c>
      <c r="B11395" s="24" t="s">
        <v>36112</v>
      </c>
      <c r="C11395" s="24" t="s">
        <v>36113</v>
      </c>
      <c r="D11395" s="25" t="s">
        <v>36114</v>
      </c>
      <c r="E11395" s="28">
        <v>1.00000</v>
      </c>
      <c r="F11395" s="29">
        <f ca="1">ROUND(21.000,3)</f>
        <v>0</v>
      </c>
      <c r="G11395" s="27">
        <f ca="1">ROUND(E11395*F11395,2)</f>
        <v>0</v>
      </c>
    </row>
    <row r="11396" spans="1:7" ht="24.36" thickBot="1" customHeight="1">
      <c r="A11396" s="24" t="s">
        <v>36115</v>
      </c>
      <c r="B11396" s="24" t="s">
        <v>36116</v>
      </c>
      <c r="C11396" s="24" t="s">
        <v>36117</v>
      </c>
      <c r="D11396" s="25" t="s">
        <v>36118</v>
      </c>
      <c r="E11396" s="28">
        <v>1.00000</v>
      </c>
      <c r="F11396" s="29">
        <f ca="1">ROUND(19.000,3)</f>
        <v>0</v>
      </c>
      <c r="G11396" s="27">
        <f ca="1">ROUND(E11396*F11396,2)</f>
        <v>0</v>
      </c>
    </row>
    <row r="11397" spans="1:7" ht="24.36" thickBot="1" customHeight="1">
      <c r="A11397" s="24" t="s">
        <v>36119</v>
      </c>
      <c r="B11397" s="24" t="s">
        <v>36120</v>
      </c>
      <c r="C11397" s="24" t="s">
        <v>36121</v>
      </c>
      <c r="D11397" s="25" t="s">
        <v>36122</v>
      </c>
      <c r="E11397" s="28">
        <v>0.20000</v>
      </c>
      <c r="F11397" s="29">
        <f ca="1">ROUND(19.000,3)</f>
        <v>0</v>
      </c>
      <c r="G11397" s="27">
        <f ca="1">ROUND(E11397*F11397,2)</f>
        <v>0</v>
      </c>
    </row>
    <row r="11398" spans="1:7" ht="15.12" thickBot="1" customHeight="1">
      <c r="A11398" s="26"/>
      <c r="B11398" s="26"/>
      <c r="C11398" s="26"/>
      <c r="D11398" s="24" t="s">
        <v>36123</v>
      </c>
      <c r="E11398" s="28">
        <v>0.25000</v>
      </c>
      <c r="F11398" s="29">
        <f ca="1">ROUND((G11395+G11396+G11397),3)</f>
        <v>0</v>
      </c>
      <c r="G11398" s="27">
        <f ca="1">ROUND(E11398*F11398,2)</f>
        <v>0</v>
      </c>
    </row>
    <row r="11399" spans="1:7" ht="15.12" thickBot="1" customHeight="1">
      <c r="A11399" s="24" t="s">
        <v>36124</v>
      </c>
      <c r="B11399" s="24"/>
      <c r="C11399" s="24" t="s">
        <v>36125</v>
      </c>
      <c r="D11399" s="25" t="s">
        <v>36126</v>
      </c>
      <c r="E11399" s="28">
        <v>3.00000</v>
      </c>
      <c r="F11399" s="29">
        <f ca="1">ROUND(10.950,3)</f>
        <v>0</v>
      </c>
      <c r="G11399" s="27">
        <f ca="1">ROUND((E11399*F11399)/100,2)</f>
        <v>0</v>
      </c>
    </row>
    <row r="11400" spans="1:7" ht="15.48" thickBot="1" customHeight="1">
      <c r="A11400" s="30"/>
      <c r="B11400" s="30"/>
      <c r="C11400" s="30"/>
      <c r="D11400" s="31" t="s">
        <v>36127</v>
      </c>
      <c r="E11400" s="30"/>
      <c r="F11400" s="33">
        <f ca="1">ROUND((G11392+G11393+G11394+G11399)*(1+G2/100),2)</f>
        <v>0</v>
      </c>
      <c r="G11400" s="30"/>
    </row>
    <row r="11401" spans="1:7" ht="21.36" thickBot="1" customHeight="1">
      <c r="A11401" s="34" t="s">
        <v>36128</v>
      </c>
      <c r="B11401" s="35" t="s">
        <v>36129</v>
      </c>
      <c r="C11401" s="35" t="s">
        <v>36130</v>
      </c>
      <c r="D11401" s="36" t="s">
        <v>36131</v>
      </c>
      <c r="E11401" s="37"/>
      <c r="F11401" s="38">
        <f ca="1">F11411</f>
        <v>0</v>
      </c>
      <c r="G11401" s="37"/>
    </row>
    <row r="11402" spans="1:7" ht="39.84" thickBot="1" customHeight="1">
      <c r="A11402" s="26"/>
      <c r="B11402" s="26"/>
      <c r="C11402" s="26"/>
      <c r="D11402" s="25" t="s">
        <v>36132</v>
      </c>
      <c r="E11402" s="25"/>
      <c r="F11402" s="25"/>
      <c r="G11402" s="25"/>
    </row>
    <row r="11403" spans="1:7" ht="39.84" thickBot="1" customHeight="1">
      <c r="A11403" s="24" t="s">
        <v>36133</v>
      </c>
      <c r="B11403" s="24" t="s">
        <v>36134</v>
      </c>
      <c r="C11403" s="24" t="s">
        <v>36135</v>
      </c>
      <c r="D11403" s="25" t="s">
        <v>36136</v>
      </c>
      <c r="E11403" s="28">
        <v>0.02625</v>
      </c>
      <c r="F11403" s="29">
        <f ca="1">ROUND(35.180,3)</f>
        <v>0</v>
      </c>
      <c r="G11403" s="27">
        <f ca="1">ROUND(E11403*F11403,2)</f>
        <v>0</v>
      </c>
    </row>
    <row r="11404" spans="1:7" ht="39.84" thickBot="1" customHeight="1">
      <c r="A11404" s="24" t="s">
        <v>36137</v>
      </c>
      <c r="B11404" s="24" t="s">
        <v>36138</v>
      </c>
      <c r="C11404" s="24" t="s">
        <v>36139</v>
      </c>
      <c r="D11404" s="25" t="s">
        <v>36140</v>
      </c>
      <c r="E11404" s="28">
        <v>0.07000</v>
      </c>
      <c r="F11404" s="29">
        <f ca="1">ROUND(36.950,3)</f>
        <v>0</v>
      </c>
      <c r="G11404" s="27">
        <f ca="1">ROUND(E11404*F11404,2)</f>
        <v>0</v>
      </c>
    </row>
    <row r="11405" spans="1:7" ht="21.36" thickBot="1" customHeight="1">
      <c r="A11405" s="24" t="s">
        <v>36141</v>
      </c>
      <c r="B11405" s="24" t="s">
        <v>36142</v>
      </c>
      <c r="C11405" s="24" t="s">
        <v>36143</v>
      </c>
      <c r="D11405" s="25" t="s">
        <v>36144</v>
      </c>
      <c r="E11405" s="28">
        <v>0.23000</v>
      </c>
      <c r="F11405" s="29">
        <f ca="1">F11409</f>
        <v>0</v>
      </c>
      <c r="G11405" s="27">
        <f ca="1">ROUND(E11405*F11405,2)</f>
        <v>0</v>
      </c>
    </row>
    <row r="11406" spans="1:7" ht="24.36" thickBot="1" customHeight="1">
      <c r="A11406" s="24" t="s">
        <v>36145</v>
      </c>
      <c r="B11406" s="24" t="s">
        <v>36146</v>
      </c>
      <c r="C11406" s="24" t="s">
        <v>36147</v>
      </c>
      <c r="D11406" s="25" t="s">
        <v>36148</v>
      </c>
      <c r="E11406" s="28">
        <v>1.00000</v>
      </c>
      <c r="F11406" s="29">
        <f ca="1">ROUND(21.000,3)</f>
        <v>0</v>
      </c>
      <c r="G11406" s="27">
        <f ca="1">ROUND(E11406*F11406,2)</f>
        <v>0</v>
      </c>
    </row>
    <row r="11407" spans="1:7" ht="24.36" thickBot="1" customHeight="1">
      <c r="A11407" s="24" t="s">
        <v>36149</v>
      </c>
      <c r="B11407" s="24" t="s">
        <v>36150</v>
      </c>
      <c r="C11407" s="24" t="s">
        <v>36151</v>
      </c>
      <c r="D11407" s="25" t="s">
        <v>36152</v>
      </c>
      <c r="E11407" s="28">
        <v>1.00000</v>
      </c>
      <c r="F11407" s="29">
        <f ca="1">ROUND(19.000,3)</f>
        <v>0</v>
      </c>
      <c r="G11407" s="27">
        <f ca="1">ROUND(E11407*F11407,2)</f>
        <v>0</v>
      </c>
    </row>
    <row r="11408" spans="1:7" ht="24.36" thickBot="1" customHeight="1">
      <c r="A11408" s="24" t="s">
        <v>36153</v>
      </c>
      <c r="B11408" s="24" t="s">
        <v>36154</v>
      </c>
      <c r="C11408" s="24" t="s">
        <v>36155</v>
      </c>
      <c r="D11408" s="25" t="s">
        <v>36156</v>
      </c>
      <c r="E11408" s="28">
        <v>0.20000</v>
      </c>
      <c r="F11408" s="29">
        <f ca="1">ROUND(19.000,3)</f>
        <v>0</v>
      </c>
      <c r="G11408" s="27">
        <f ca="1">ROUND(E11408*F11408,2)</f>
        <v>0</v>
      </c>
    </row>
    <row r="11409" spans="1:7" ht="15.12" thickBot="1" customHeight="1">
      <c r="A11409" s="26"/>
      <c r="B11409" s="26"/>
      <c r="C11409" s="26"/>
      <c r="D11409" s="24" t="s">
        <v>36157</v>
      </c>
      <c r="E11409" s="28">
        <v>0.23000</v>
      </c>
      <c r="F11409" s="29">
        <f ca="1">ROUND((G11406+G11407+G11408),3)</f>
        <v>0</v>
      </c>
      <c r="G11409" s="27">
        <f ca="1">ROUND(E11409*F11409,2)</f>
        <v>0</v>
      </c>
    </row>
    <row r="11410" spans="1:7" ht="15.12" thickBot="1" customHeight="1">
      <c r="A11410" s="24" t="s">
        <v>36158</v>
      </c>
      <c r="B11410" s="24"/>
      <c r="C11410" s="24" t="s">
        <v>36159</v>
      </c>
      <c r="D11410" s="25" t="s">
        <v>36160</v>
      </c>
      <c r="E11410" s="28">
        <v>3.00000</v>
      </c>
      <c r="F11410" s="29">
        <f ca="1">ROUND(10.070,3)</f>
        <v>0</v>
      </c>
      <c r="G11410" s="27">
        <f ca="1">ROUND((E11410*F11410)/100,2)</f>
        <v>0</v>
      </c>
    </row>
    <row r="11411" spans="1:7" ht="15.48" thickBot="1" customHeight="1">
      <c r="A11411" s="30"/>
      <c r="B11411" s="30"/>
      <c r="C11411" s="30"/>
      <c r="D11411" s="31" t="s">
        <v>36161</v>
      </c>
      <c r="E11411" s="30"/>
      <c r="F11411" s="33">
        <f ca="1">ROUND((G11403+G11404+G11405+G11410)*(1+G2/100),2)</f>
        <v>0</v>
      </c>
      <c r="G11411" s="30"/>
    </row>
    <row r="11412" spans="1:7" ht="30.60" thickBot="1" customHeight="1">
      <c r="A11412" s="34" t="s">
        <v>36162</v>
      </c>
      <c r="B11412" s="35" t="s">
        <v>36163</v>
      </c>
      <c r="C11412" s="35" t="s">
        <v>36164</v>
      </c>
      <c r="D11412" s="36" t="s">
        <v>36165</v>
      </c>
      <c r="E11412" s="37"/>
      <c r="F11412" s="38">
        <f ca="1">F11422</f>
        <v>0</v>
      </c>
      <c r="G11412" s="37"/>
    </row>
    <row r="11413" spans="1:7" ht="39.84" thickBot="1" customHeight="1">
      <c r="A11413" s="26"/>
      <c r="B11413" s="26"/>
      <c r="C11413" s="26"/>
      <c r="D11413" s="25" t="s">
        <v>36166</v>
      </c>
      <c r="E11413" s="25"/>
      <c r="F11413" s="25"/>
      <c r="G11413" s="25"/>
    </row>
    <row r="11414" spans="1:7" ht="39.84" thickBot="1" customHeight="1">
      <c r="A11414" s="24" t="s">
        <v>36167</v>
      </c>
      <c r="B11414" s="24" t="s">
        <v>36168</v>
      </c>
      <c r="C11414" s="24" t="s">
        <v>36169</v>
      </c>
      <c r="D11414" s="25" t="s">
        <v>36170</v>
      </c>
      <c r="E11414" s="28">
        <v>0.02625</v>
      </c>
      <c r="F11414" s="29">
        <f ca="1">ROUND(35.180,3)</f>
        <v>0</v>
      </c>
      <c r="G11414" s="27">
        <f ca="1">ROUND(E11414*F11414,2)</f>
        <v>0</v>
      </c>
    </row>
    <row r="11415" spans="1:7" ht="39.84" thickBot="1" customHeight="1">
      <c r="A11415" s="24" t="s">
        <v>36171</v>
      </c>
      <c r="B11415" s="24" t="s">
        <v>36172</v>
      </c>
      <c r="C11415" s="24" t="s">
        <v>36173</v>
      </c>
      <c r="D11415" s="25" t="s">
        <v>36174</v>
      </c>
      <c r="E11415" s="28">
        <v>0.07000</v>
      </c>
      <c r="F11415" s="29">
        <f ca="1">ROUND(36.950,3)</f>
        <v>0</v>
      </c>
      <c r="G11415" s="27">
        <f ca="1">ROUND(E11415*F11415,2)</f>
        <v>0</v>
      </c>
    </row>
    <row r="11416" spans="1:7" ht="24.36" thickBot="1" customHeight="1">
      <c r="A11416" s="24" t="s">
        <v>36175</v>
      </c>
      <c r="B11416" s="24" t="s">
        <v>36176</v>
      </c>
      <c r="C11416" s="24" t="s">
        <v>36177</v>
      </c>
      <c r="D11416" s="25" t="s">
        <v>36178</v>
      </c>
      <c r="E11416" s="28">
        <v>0.37500</v>
      </c>
      <c r="F11416" s="29">
        <f ca="1">F11420</f>
        <v>0</v>
      </c>
      <c r="G11416" s="27">
        <f ca="1">ROUND(E11416*F11416,2)</f>
        <v>0</v>
      </c>
    </row>
    <row r="11417" spans="1:7" ht="24.36" thickBot="1" customHeight="1">
      <c r="A11417" s="24" t="s">
        <v>36179</v>
      </c>
      <c r="B11417" s="24" t="s">
        <v>36180</v>
      </c>
      <c r="C11417" s="24" t="s">
        <v>36181</v>
      </c>
      <c r="D11417" s="25" t="s">
        <v>36182</v>
      </c>
      <c r="E11417" s="28">
        <v>1.00000</v>
      </c>
      <c r="F11417" s="29">
        <f ca="1">ROUND(21.000,3)</f>
        <v>0</v>
      </c>
      <c r="G11417" s="27">
        <f ca="1">ROUND(E11417*F11417,2)</f>
        <v>0</v>
      </c>
    </row>
    <row r="11418" spans="1:7" ht="24.36" thickBot="1" customHeight="1">
      <c r="A11418" s="24" t="s">
        <v>36183</v>
      </c>
      <c r="B11418" s="24" t="s">
        <v>36184</v>
      </c>
      <c r="C11418" s="24" t="s">
        <v>36185</v>
      </c>
      <c r="D11418" s="25" t="s">
        <v>36186</v>
      </c>
      <c r="E11418" s="28">
        <v>1.00000</v>
      </c>
      <c r="F11418" s="29">
        <f ca="1">ROUND(19.000,3)</f>
        <v>0</v>
      </c>
      <c r="G11418" s="27">
        <f ca="1">ROUND(E11418*F11418,2)</f>
        <v>0</v>
      </c>
    </row>
    <row r="11419" spans="1:7" ht="24.36" thickBot="1" customHeight="1">
      <c r="A11419" s="24" t="s">
        <v>36187</v>
      </c>
      <c r="B11419" s="24" t="s">
        <v>36188</v>
      </c>
      <c r="C11419" s="24" t="s">
        <v>36189</v>
      </c>
      <c r="D11419" s="25" t="s">
        <v>36190</v>
      </c>
      <c r="E11419" s="28">
        <v>0.50000</v>
      </c>
      <c r="F11419" s="29">
        <f ca="1">ROUND(19.000,3)</f>
        <v>0</v>
      </c>
      <c r="G11419" s="27">
        <f ca="1">ROUND(E11419*F11419,2)</f>
        <v>0</v>
      </c>
    </row>
    <row r="11420" spans="1:7" ht="15.12" thickBot="1" customHeight="1">
      <c r="A11420" s="26"/>
      <c r="B11420" s="26"/>
      <c r="C11420" s="26"/>
      <c r="D11420" s="24" t="s">
        <v>36191</v>
      </c>
      <c r="E11420" s="28">
        <v>0.37500</v>
      </c>
      <c r="F11420" s="29">
        <f ca="1">ROUND((G11417+G11418+G11419),3)</f>
        <v>0</v>
      </c>
      <c r="G11420" s="27">
        <f ca="1">ROUND(E11420*F11420,2)</f>
        <v>0</v>
      </c>
    </row>
    <row r="11421" spans="1:7" ht="15.12" thickBot="1" customHeight="1">
      <c r="A11421" s="24" t="s">
        <v>36192</v>
      </c>
      <c r="B11421" s="24"/>
      <c r="C11421" s="24" t="s">
        <v>36193</v>
      </c>
      <c r="D11421" s="25" t="s">
        <v>36194</v>
      </c>
      <c r="E11421" s="28">
        <v>3.00000</v>
      </c>
      <c r="F11421" s="29">
        <f ca="1">ROUND(18.560,3)</f>
        <v>0</v>
      </c>
      <c r="G11421" s="27">
        <f ca="1">ROUND((E11421*F11421)/100,2)</f>
        <v>0</v>
      </c>
    </row>
    <row r="11422" spans="1:7" ht="15.48" thickBot="1" customHeight="1">
      <c r="A11422" s="30"/>
      <c r="B11422" s="30"/>
      <c r="C11422" s="30"/>
      <c r="D11422" s="31" t="s">
        <v>36195</v>
      </c>
      <c r="E11422" s="30"/>
      <c r="F11422" s="33">
        <f ca="1">ROUND((G11414+G11415+G11416+G11421)*(1+G2/100),2)</f>
        <v>0</v>
      </c>
      <c r="G11422" s="30"/>
    </row>
    <row r="11423" spans="1:7" ht="21.36" thickBot="1" customHeight="1">
      <c r="A11423" s="34" t="s">
        <v>36196</v>
      </c>
      <c r="B11423" s="35" t="s">
        <v>36197</v>
      </c>
      <c r="C11423" s="35" t="s">
        <v>36198</v>
      </c>
      <c r="D11423" s="36" t="s">
        <v>36199</v>
      </c>
      <c r="E11423" s="37"/>
      <c r="F11423" s="38">
        <f ca="1">F11433</f>
        <v>0</v>
      </c>
      <c r="G11423" s="37"/>
    </row>
    <row r="11424" spans="1:7" ht="30.60" thickBot="1" customHeight="1">
      <c r="A11424" s="26"/>
      <c r="B11424" s="26"/>
      <c r="C11424" s="26"/>
      <c r="D11424" s="25" t="s">
        <v>36200</v>
      </c>
      <c r="E11424" s="25"/>
      <c r="F11424" s="25"/>
      <c r="G11424" s="25"/>
    </row>
    <row r="11425" spans="1:7" ht="39.84" thickBot="1" customHeight="1">
      <c r="A11425" s="24" t="s">
        <v>36201</v>
      </c>
      <c r="B11425" s="24" t="s">
        <v>36202</v>
      </c>
      <c r="C11425" s="24" t="s">
        <v>36203</v>
      </c>
      <c r="D11425" s="25" t="s">
        <v>36204</v>
      </c>
      <c r="E11425" s="28">
        <v>0.01100</v>
      </c>
      <c r="F11425" s="29">
        <f ca="1">ROUND(138.040,3)</f>
        <v>0</v>
      </c>
      <c r="G11425" s="27">
        <f ca="1">ROUND(E11425*F11425,2)</f>
        <v>0</v>
      </c>
    </row>
    <row r="11426" spans="1:7" ht="39.84" thickBot="1" customHeight="1">
      <c r="A11426" s="24" t="s">
        <v>36205</v>
      </c>
      <c r="B11426" s="24" t="s">
        <v>36206</v>
      </c>
      <c r="C11426" s="24" t="s">
        <v>36207</v>
      </c>
      <c r="D11426" s="25" t="s">
        <v>36208</v>
      </c>
      <c r="E11426" s="28">
        <v>0.02220</v>
      </c>
      <c r="F11426" s="29">
        <f ca="1">ROUND(86.210,3)</f>
        <v>0</v>
      </c>
      <c r="G11426" s="27">
        <f ca="1">ROUND(E11426*F11426,2)</f>
        <v>0</v>
      </c>
    </row>
    <row r="11427" spans="1:7" ht="21.36" thickBot="1" customHeight="1">
      <c r="A11427" s="24" t="s">
        <v>36209</v>
      </c>
      <c r="B11427" s="24" t="s">
        <v>36210</v>
      </c>
      <c r="C11427" s="24" t="s">
        <v>36211</v>
      </c>
      <c r="D11427" s="25" t="s">
        <v>36212</v>
      </c>
      <c r="E11427" s="28">
        <v>0.25000</v>
      </c>
      <c r="F11427" s="29">
        <f ca="1">F11431</f>
        <v>0</v>
      </c>
      <c r="G11427" s="27">
        <f ca="1">ROUND(E11427*F11427,2)</f>
        <v>0</v>
      </c>
    </row>
    <row r="11428" spans="1:7" ht="24.36" thickBot="1" customHeight="1">
      <c r="A11428" s="24" t="s">
        <v>36213</v>
      </c>
      <c r="B11428" s="24" t="s">
        <v>36214</v>
      </c>
      <c r="C11428" s="24" t="s">
        <v>36215</v>
      </c>
      <c r="D11428" s="25" t="s">
        <v>36216</v>
      </c>
      <c r="E11428" s="28">
        <v>1.00000</v>
      </c>
      <c r="F11428" s="29">
        <f ca="1">ROUND(21.000,3)</f>
        <v>0</v>
      </c>
      <c r="G11428" s="27">
        <f ca="1">ROUND(E11428*F11428,2)</f>
        <v>0</v>
      </c>
    </row>
    <row r="11429" spans="1:7" ht="24.36" thickBot="1" customHeight="1">
      <c r="A11429" s="24" t="s">
        <v>36217</v>
      </c>
      <c r="B11429" s="24" t="s">
        <v>36218</v>
      </c>
      <c r="C11429" s="24" t="s">
        <v>36219</v>
      </c>
      <c r="D11429" s="25" t="s">
        <v>36220</v>
      </c>
      <c r="E11429" s="28">
        <v>1.00000</v>
      </c>
      <c r="F11429" s="29">
        <f ca="1">ROUND(19.000,3)</f>
        <v>0</v>
      </c>
      <c r="G11429" s="27">
        <f ca="1">ROUND(E11429*F11429,2)</f>
        <v>0</v>
      </c>
    </row>
    <row r="11430" spans="1:7" ht="24.36" thickBot="1" customHeight="1">
      <c r="A11430" s="24" t="s">
        <v>36221</v>
      </c>
      <c r="B11430" s="24" t="s">
        <v>36222</v>
      </c>
      <c r="C11430" s="24" t="s">
        <v>36223</v>
      </c>
      <c r="D11430" s="25" t="s">
        <v>36224</v>
      </c>
      <c r="E11430" s="28">
        <v>0.20000</v>
      </c>
      <c r="F11430" s="29">
        <f ca="1">ROUND(19.000,3)</f>
        <v>0</v>
      </c>
      <c r="G11430" s="27">
        <f ca="1">ROUND(E11430*F11430,2)</f>
        <v>0</v>
      </c>
    </row>
    <row r="11431" spans="1:7" ht="15.12" thickBot="1" customHeight="1">
      <c r="A11431" s="26"/>
      <c r="B11431" s="26"/>
      <c r="C11431" s="26"/>
      <c r="D11431" s="24" t="s">
        <v>36225</v>
      </c>
      <c r="E11431" s="28">
        <v>0.25000</v>
      </c>
      <c r="F11431" s="29">
        <f ca="1">ROUND((G11428+G11429+G11430),3)</f>
        <v>0</v>
      </c>
      <c r="G11431" s="27">
        <f ca="1">ROUND(E11431*F11431,2)</f>
        <v>0</v>
      </c>
    </row>
    <row r="11432" spans="1:7" ht="15.12" thickBot="1" customHeight="1">
      <c r="A11432" s="24" t="s">
        <v>36226</v>
      </c>
      <c r="B11432" s="24"/>
      <c r="C11432" s="24" t="s">
        <v>36227</v>
      </c>
      <c r="D11432" s="25" t="s">
        <v>36228</v>
      </c>
      <c r="E11432" s="28">
        <v>3.00000</v>
      </c>
      <c r="F11432" s="29">
        <f ca="1">ROUND(10.950,3)</f>
        <v>0</v>
      </c>
      <c r="G11432" s="27">
        <f ca="1">ROUND((E11432*F11432)/100,2)</f>
        <v>0</v>
      </c>
    </row>
    <row r="11433" spans="1:7" ht="15.48" thickBot="1" customHeight="1">
      <c r="A11433" s="30"/>
      <c r="B11433" s="30"/>
      <c r="C11433" s="30"/>
      <c r="D11433" s="31" t="s">
        <v>36229</v>
      </c>
      <c r="E11433" s="30"/>
      <c r="F11433" s="33">
        <f ca="1">ROUND((G11425+G11426+G11427+G11432)*(1+G2/100),2)</f>
        <v>0</v>
      </c>
      <c r="G11433" s="30"/>
    </row>
    <row r="11434" spans="1:7" ht="30.60" thickBot="1" customHeight="1">
      <c r="A11434" s="34" t="s">
        <v>36230</v>
      </c>
      <c r="B11434" s="35" t="s">
        <v>36231</v>
      </c>
      <c r="C11434" s="35" t="s">
        <v>36232</v>
      </c>
      <c r="D11434" s="36" t="s">
        <v>36233</v>
      </c>
      <c r="E11434" s="37"/>
      <c r="F11434" s="38">
        <f ca="1">F11444</f>
        <v>0</v>
      </c>
      <c r="G11434" s="37"/>
    </row>
    <row r="11435" spans="1:7" ht="30.60" thickBot="1" customHeight="1">
      <c r="A11435" s="26"/>
      <c r="B11435" s="26"/>
      <c r="C11435" s="26"/>
      <c r="D11435" s="25" t="s">
        <v>36234</v>
      </c>
      <c r="E11435" s="25"/>
      <c r="F11435" s="25"/>
      <c r="G11435" s="25"/>
    </row>
    <row r="11436" spans="1:7" ht="39.84" thickBot="1" customHeight="1">
      <c r="A11436" s="24" t="s">
        <v>36235</v>
      </c>
      <c r="B11436" s="24" t="s">
        <v>36236</v>
      </c>
      <c r="C11436" s="24" t="s">
        <v>36237</v>
      </c>
      <c r="D11436" s="25" t="s">
        <v>36238</v>
      </c>
      <c r="E11436" s="28">
        <v>0.01100</v>
      </c>
      <c r="F11436" s="29">
        <f ca="1">ROUND(138.040,3)</f>
        <v>0</v>
      </c>
      <c r="G11436" s="27">
        <f ca="1">ROUND(E11436*F11436,2)</f>
        <v>0</v>
      </c>
    </row>
    <row r="11437" spans="1:7" ht="39.84" thickBot="1" customHeight="1">
      <c r="A11437" s="24" t="s">
        <v>36239</v>
      </c>
      <c r="B11437" s="24" t="s">
        <v>36240</v>
      </c>
      <c r="C11437" s="24" t="s">
        <v>36241</v>
      </c>
      <c r="D11437" s="25" t="s">
        <v>36242</v>
      </c>
      <c r="E11437" s="28">
        <v>0.02220</v>
      </c>
      <c r="F11437" s="29">
        <f ca="1">ROUND(86.210,3)</f>
        <v>0</v>
      </c>
      <c r="G11437" s="27">
        <f ca="1">ROUND(E11437*F11437,2)</f>
        <v>0</v>
      </c>
    </row>
    <row r="11438" spans="1:7" ht="24.36" thickBot="1" customHeight="1">
      <c r="A11438" s="24" t="s">
        <v>36243</v>
      </c>
      <c r="B11438" s="24" t="s">
        <v>36244</v>
      </c>
      <c r="C11438" s="24" t="s">
        <v>36245</v>
      </c>
      <c r="D11438" s="25" t="s">
        <v>36246</v>
      </c>
      <c r="E11438" s="28">
        <v>0.37500</v>
      </c>
      <c r="F11438" s="29">
        <f ca="1">F11442</f>
        <v>0</v>
      </c>
      <c r="G11438" s="27">
        <f ca="1">ROUND(E11438*F11438,2)</f>
        <v>0</v>
      </c>
    </row>
    <row r="11439" spans="1:7" ht="24.36" thickBot="1" customHeight="1">
      <c r="A11439" s="24" t="s">
        <v>36247</v>
      </c>
      <c r="B11439" s="24" t="s">
        <v>36248</v>
      </c>
      <c r="C11439" s="24" t="s">
        <v>36249</v>
      </c>
      <c r="D11439" s="25" t="s">
        <v>36250</v>
      </c>
      <c r="E11439" s="28">
        <v>1.00000</v>
      </c>
      <c r="F11439" s="29">
        <f ca="1">ROUND(21.000,3)</f>
        <v>0</v>
      </c>
      <c r="G11439" s="27">
        <f ca="1">ROUND(E11439*F11439,2)</f>
        <v>0</v>
      </c>
    </row>
    <row r="11440" spans="1:7" ht="24.36" thickBot="1" customHeight="1">
      <c r="A11440" s="24" t="s">
        <v>36251</v>
      </c>
      <c r="B11440" s="24" t="s">
        <v>36252</v>
      </c>
      <c r="C11440" s="24" t="s">
        <v>36253</v>
      </c>
      <c r="D11440" s="25" t="s">
        <v>36254</v>
      </c>
      <c r="E11440" s="28">
        <v>1.00000</v>
      </c>
      <c r="F11440" s="29">
        <f ca="1">ROUND(19.000,3)</f>
        <v>0</v>
      </c>
      <c r="G11440" s="27">
        <f ca="1">ROUND(E11440*F11440,2)</f>
        <v>0</v>
      </c>
    </row>
    <row r="11441" spans="1:7" ht="24.36" thickBot="1" customHeight="1">
      <c r="A11441" s="24" t="s">
        <v>36255</v>
      </c>
      <c r="B11441" s="24" t="s">
        <v>36256</v>
      </c>
      <c r="C11441" s="24" t="s">
        <v>36257</v>
      </c>
      <c r="D11441" s="25" t="s">
        <v>36258</v>
      </c>
      <c r="E11441" s="28">
        <v>0.50000</v>
      </c>
      <c r="F11441" s="29">
        <f ca="1">ROUND(19.000,3)</f>
        <v>0</v>
      </c>
      <c r="G11441" s="27">
        <f ca="1">ROUND(E11441*F11441,2)</f>
        <v>0</v>
      </c>
    </row>
    <row r="11442" spans="1:7" ht="15.12" thickBot="1" customHeight="1">
      <c r="A11442" s="26"/>
      <c r="B11442" s="26"/>
      <c r="C11442" s="26"/>
      <c r="D11442" s="24" t="s">
        <v>36259</v>
      </c>
      <c r="E11442" s="28">
        <v>0.37500</v>
      </c>
      <c r="F11442" s="29">
        <f ca="1">ROUND((G11439+G11440+G11441),3)</f>
        <v>0</v>
      </c>
      <c r="G11442" s="27">
        <f ca="1">ROUND(E11442*F11442,2)</f>
        <v>0</v>
      </c>
    </row>
    <row r="11443" spans="1:7" ht="15.12" thickBot="1" customHeight="1">
      <c r="A11443" s="24" t="s">
        <v>36260</v>
      </c>
      <c r="B11443" s="24"/>
      <c r="C11443" s="24" t="s">
        <v>36261</v>
      </c>
      <c r="D11443" s="25" t="s">
        <v>36262</v>
      </c>
      <c r="E11443" s="28">
        <v>3.00000</v>
      </c>
      <c r="F11443" s="29">
        <f ca="1">ROUND(18.560,3)</f>
        <v>0</v>
      </c>
      <c r="G11443" s="27">
        <f ca="1">ROUND((E11443*F11443)/100,2)</f>
        <v>0</v>
      </c>
    </row>
    <row r="11444" spans="1:7" ht="15.48" thickBot="1" customHeight="1">
      <c r="A11444" s="30"/>
      <c r="B11444" s="30"/>
      <c r="C11444" s="30"/>
      <c r="D11444" s="31" t="s">
        <v>36263</v>
      </c>
      <c r="E11444" s="30"/>
      <c r="F11444" s="33">
        <f ca="1">ROUND((G11436+G11437+G11438+G11443)*(1+G2/100),2)</f>
        <v>0</v>
      </c>
      <c r="G11444" s="30"/>
    </row>
    <row r="11445" spans="1:7" ht="21.36" thickBot="1" customHeight="1">
      <c r="A11445" s="34" t="s">
        <v>36264</v>
      </c>
      <c r="B11445" s="35" t="s">
        <v>36265</v>
      </c>
      <c r="C11445" s="35" t="s">
        <v>36266</v>
      </c>
      <c r="D11445" s="36" t="s">
        <v>36267</v>
      </c>
      <c r="E11445" s="37"/>
      <c r="F11445" s="38">
        <f ca="1">F11454</f>
        <v>0</v>
      </c>
      <c r="G11445" s="37"/>
    </row>
    <row r="11446" spans="1:7" ht="21.36" thickBot="1" customHeight="1">
      <c r="A11446" s="26"/>
      <c r="B11446" s="26"/>
      <c r="C11446" s="26"/>
      <c r="D11446" s="25" t="s">
        <v>36268</v>
      </c>
      <c r="E11446" s="25"/>
      <c r="F11446" s="25"/>
      <c r="G11446" s="25"/>
    </row>
    <row r="11447" spans="1:7" ht="39.84" thickBot="1" customHeight="1">
      <c r="A11447" s="24" t="s">
        <v>36269</v>
      </c>
      <c r="B11447" s="24" t="s">
        <v>36270</v>
      </c>
      <c r="C11447" s="24" t="s">
        <v>36271</v>
      </c>
      <c r="D11447" s="25" t="s">
        <v>36272</v>
      </c>
      <c r="E11447" s="28">
        <v>0.02000</v>
      </c>
      <c r="F11447" s="29">
        <f ca="1">ROUND(86.000,3)</f>
        <v>0</v>
      </c>
      <c r="G11447" s="27">
        <f ca="1">ROUND(E11447*F11447,2)</f>
        <v>0</v>
      </c>
    </row>
    <row r="11448" spans="1:7" ht="21.36" thickBot="1" customHeight="1">
      <c r="A11448" s="24" t="s">
        <v>36273</v>
      </c>
      <c r="B11448" s="24" t="s">
        <v>36274</v>
      </c>
      <c r="C11448" s="24" t="s">
        <v>36275</v>
      </c>
      <c r="D11448" s="25" t="s">
        <v>36276</v>
      </c>
      <c r="E11448" s="28">
        <v>0.25000</v>
      </c>
      <c r="F11448" s="29">
        <f ca="1">F11452</f>
        <v>0</v>
      </c>
      <c r="G11448" s="27">
        <f ca="1">ROUND(E11448*F11448,2)</f>
        <v>0</v>
      </c>
    </row>
    <row r="11449" spans="1:7" ht="24.36" thickBot="1" customHeight="1">
      <c r="A11449" s="24" t="s">
        <v>36277</v>
      </c>
      <c r="B11449" s="24" t="s">
        <v>36278</v>
      </c>
      <c r="C11449" s="24" t="s">
        <v>36279</v>
      </c>
      <c r="D11449" s="25" t="s">
        <v>36280</v>
      </c>
      <c r="E11449" s="28">
        <v>1.00000</v>
      </c>
      <c r="F11449" s="29">
        <f ca="1">ROUND(21.000,3)</f>
        <v>0</v>
      </c>
      <c r="G11449" s="27">
        <f ca="1">ROUND(E11449*F11449,2)</f>
        <v>0</v>
      </c>
    </row>
    <row r="11450" spans="1:7" ht="24.36" thickBot="1" customHeight="1">
      <c r="A11450" s="24" t="s">
        <v>36281</v>
      </c>
      <c r="B11450" s="24" t="s">
        <v>36282</v>
      </c>
      <c r="C11450" s="24" t="s">
        <v>36283</v>
      </c>
      <c r="D11450" s="25" t="s">
        <v>36284</v>
      </c>
      <c r="E11450" s="28">
        <v>1.00000</v>
      </c>
      <c r="F11450" s="29">
        <f ca="1">ROUND(19.000,3)</f>
        <v>0</v>
      </c>
      <c r="G11450" s="27">
        <f ca="1">ROUND(E11450*F11450,2)</f>
        <v>0</v>
      </c>
    </row>
    <row r="11451" spans="1:7" ht="24.36" thickBot="1" customHeight="1">
      <c r="A11451" s="24" t="s">
        <v>36285</v>
      </c>
      <c r="B11451" s="24" t="s">
        <v>36286</v>
      </c>
      <c r="C11451" s="24" t="s">
        <v>36287</v>
      </c>
      <c r="D11451" s="25" t="s">
        <v>36288</v>
      </c>
      <c r="E11451" s="28">
        <v>0.20000</v>
      </c>
      <c r="F11451" s="29">
        <f ca="1">ROUND(19.000,3)</f>
        <v>0</v>
      </c>
      <c r="G11451" s="27">
        <f ca="1">ROUND(E11451*F11451,2)</f>
        <v>0</v>
      </c>
    </row>
    <row r="11452" spans="1:7" ht="15.12" thickBot="1" customHeight="1">
      <c r="A11452" s="26"/>
      <c r="B11452" s="26"/>
      <c r="C11452" s="26"/>
      <c r="D11452" s="24" t="s">
        <v>36289</v>
      </c>
      <c r="E11452" s="28">
        <v>0.25000</v>
      </c>
      <c r="F11452" s="29">
        <f ca="1">ROUND((G11449+G11450+G11451),3)</f>
        <v>0</v>
      </c>
      <c r="G11452" s="27">
        <f ca="1">ROUND(E11452*F11452,2)</f>
        <v>0</v>
      </c>
    </row>
    <row r="11453" spans="1:7" ht="15.12" thickBot="1" customHeight="1">
      <c r="A11453" s="24" t="s">
        <v>36290</v>
      </c>
      <c r="B11453" s="24"/>
      <c r="C11453" s="24" t="s">
        <v>36291</v>
      </c>
      <c r="D11453" s="25" t="s">
        <v>36292</v>
      </c>
      <c r="E11453" s="28">
        <v>3.00000</v>
      </c>
      <c r="F11453" s="29">
        <f ca="1">ROUND(10.950,3)</f>
        <v>0</v>
      </c>
      <c r="G11453" s="27">
        <f ca="1">ROUND((E11453*F11453)/100,2)</f>
        <v>0</v>
      </c>
    </row>
    <row r="11454" spans="1:7" ht="15.48" thickBot="1" customHeight="1">
      <c r="A11454" s="30"/>
      <c r="B11454" s="30"/>
      <c r="C11454" s="30"/>
      <c r="D11454" s="31" t="s">
        <v>36293</v>
      </c>
      <c r="E11454" s="30"/>
      <c r="F11454" s="33">
        <f ca="1">ROUND((G11447+G11448+G11453)*(1+G2/100),2)</f>
        <v>0</v>
      </c>
      <c r="G11454" s="30"/>
    </row>
    <row r="11455" spans="1:7" ht="21.36" thickBot="1" customHeight="1">
      <c r="A11455" s="34" t="s">
        <v>36294</v>
      </c>
      <c r="B11455" s="35" t="s">
        <v>36295</v>
      </c>
      <c r="C11455" s="35" t="s">
        <v>36296</v>
      </c>
      <c r="D11455" s="36" t="s">
        <v>36297</v>
      </c>
      <c r="E11455" s="37"/>
      <c r="F11455" s="38">
        <f ca="1">F11465</f>
        <v>0</v>
      </c>
      <c r="G11455" s="37"/>
    </row>
    <row r="11456" spans="1:7" ht="21.36" thickBot="1" customHeight="1">
      <c r="A11456" s="26"/>
      <c r="B11456" s="26"/>
      <c r="C11456" s="26"/>
      <c r="D11456" s="25" t="s">
        <v>36298</v>
      </c>
      <c r="E11456" s="25"/>
      <c r="F11456" s="25"/>
      <c r="G11456" s="25"/>
    </row>
    <row r="11457" spans="1:7" ht="30.60" thickBot="1" customHeight="1">
      <c r="A11457" s="24" t="s">
        <v>36299</v>
      </c>
      <c r="B11457" s="24" t="s">
        <v>36300</v>
      </c>
      <c r="C11457" s="24" t="s">
        <v>36301</v>
      </c>
      <c r="D11457" s="25" t="s">
        <v>36302</v>
      </c>
      <c r="E11457" s="28">
        <v>0.05000</v>
      </c>
      <c r="F11457" s="29">
        <f ca="1">ROUND(20.750,3)</f>
        <v>0</v>
      </c>
      <c r="G11457" s="27">
        <f ca="1">ROUND(E11457*F11457,2)</f>
        <v>0</v>
      </c>
    </row>
    <row r="11458" spans="1:7" ht="39.84" thickBot="1" customHeight="1">
      <c r="A11458" s="24" t="s">
        <v>36303</v>
      </c>
      <c r="B11458" s="24" t="s">
        <v>36304</v>
      </c>
      <c r="C11458" s="24" t="s">
        <v>36305</v>
      </c>
      <c r="D11458" s="25" t="s">
        <v>36306</v>
      </c>
      <c r="E11458" s="28">
        <v>0.10000</v>
      </c>
      <c r="F11458" s="29">
        <f ca="1">ROUND(16.500,3)</f>
        <v>0</v>
      </c>
      <c r="G11458" s="27">
        <f ca="1">ROUND(E11458*F11458,2)</f>
        <v>0</v>
      </c>
    </row>
    <row r="11459" spans="1:7" ht="21.36" thickBot="1" customHeight="1">
      <c r="A11459" s="24" t="s">
        <v>36307</v>
      </c>
      <c r="B11459" s="24" t="s">
        <v>36308</v>
      </c>
      <c r="C11459" s="24" t="s">
        <v>36309</v>
      </c>
      <c r="D11459" s="25" t="s">
        <v>36310</v>
      </c>
      <c r="E11459" s="28">
        <v>0.25000</v>
      </c>
      <c r="F11459" s="29">
        <f ca="1">F11463</f>
        <v>0</v>
      </c>
      <c r="G11459" s="27">
        <f ca="1">ROUND(E11459*F11459,2)</f>
        <v>0</v>
      </c>
    </row>
    <row r="11460" spans="1:7" ht="24.36" thickBot="1" customHeight="1">
      <c r="A11460" s="24" t="s">
        <v>36311</v>
      </c>
      <c r="B11460" s="24" t="s">
        <v>36312</v>
      </c>
      <c r="C11460" s="24" t="s">
        <v>36313</v>
      </c>
      <c r="D11460" s="25" t="s">
        <v>36314</v>
      </c>
      <c r="E11460" s="28">
        <v>1.00000</v>
      </c>
      <c r="F11460" s="29">
        <f ca="1">ROUND(21.000,3)</f>
        <v>0</v>
      </c>
      <c r="G11460" s="27">
        <f ca="1">ROUND(E11460*F11460,2)</f>
        <v>0</v>
      </c>
    </row>
    <row r="11461" spans="1:7" ht="24.36" thickBot="1" customHeight="1">
      <c r="A11461" s="24" t="s">
        <v>36315</v>
      </c>
      <c r="B11461" s="24" t="s">
        <v>36316</v>
      </c>
      <c r="C11461" s="24" t="s">
        <v>36317</v>
      </c>
      <c r="D11461" s="25" t="s">
        <v>36318</v>
      </c>
      <c r="E11461" s="28">
        <v>1.00000</v>
      </c>
      <c r="F11461" s="29">
        <f ca="1">ROUND(19.000,3)</f>
        <v>0</v>
      </c>
      <c r="G11461" s="27">
        <f ca="1">ROUND(E11461*F11461,2)</f>
        <v>0</v>
      </c>
    </row>
    <row r="11462" spans="1:7" ht="24.36" thickBot="1" customHeight="1">
      <c r="A11462" s="24" t="s">
        <v>36319</v>
      </c>
      <c r="B11462" s="24" t="s">
        <v>36320</v>
      </c>
      <c r="C11462" s="24" t="s">
        <v>36321</v>
      </c>
      <c r="D11462" s="25" t="s">
        <v>36322</v>
      </c>
      <c r="E11462" s="28">
        <v>0.20000</v>
      </c>
      <c r="F11462" s="29">
        <f ca="1">ROUND(19.000,3)</f>
        <v>0</v>
      </c>
      <c r="G11462" s="27">
        <f ca="1">ROUND(E11462*F11462,2)</f>
        <v>0</v>
      </c>
    </row>
    <row r="11463" spans="1:7" ht="15.12" thickBot="1" customHeight="1">
      <c r="A11463" s="26"/>
      <c r="B11463" s="26"/>
      <c r="C11463" s="26"/>
      <c r="D11463" s="24" t="s">
        <v>36323</v>
      </c>
      <c r="E11463" s="28">
        <v>0.25000</v>
      </c>
      <c r="F11463" s="29">
        <f ca="1">ROUND((G11460+G11461+G11462),3)</f>
        <v>0</v>
      </c>
      <c r="G11463" s="27">
        <f ca="1">ROUND(E11463*F11463,2)</f>
        <v>0</v>
      </c>
    </row>
    <row r="11464" spans="1:7" ht="15.12" thickBot="1" customHeight="1">
      <c r="A11464" s="24" t="s">
        <v>36324</v>
      </c>
      <c r="B11464" s="24"/>
      <c r="C11464" s="24" t="s">
        <v>36325</v>
      </c>
      <c r="D11464" s="25" t="s">
        <v>36326</v>
      </c>
      <c r="E11464" s="28">
        <v>3.00000</v>
      </c>
      <c r="F11464" s="29">
        <f ca="1">ROUND(10.950,3)</f>
        <v>0</v>
      </c>
      <c r="G11464" s="27">
        <f ca="1">ROUND((E11464*F11464)/100,2)</f>
        <v>0</v>
      </c>
    </row>
    <row r="11465" spans="1:7" ht="15.48" thickBot="1" customHeight="1">
      <c r="A11465" s="30"/>
      <c r="B11465" s="30"/>
      <c r="C11465" s="30"/>
      <c r="D11465" s="31" t="s">
        <v>36327</v>
      </c>
      <c r="E11465" s="30"/>
      <c r="F11465" s="33">
        <f ca="1">ROUND((G11457+G11458+G11459+G11464)*(1+G2/100),2)</f>
        <v>0</v>
      </c>
      <c r="G11465" s="30"/>
    </row>
    <row r="11466" spans="1:7" ht="21.36" thickBot="1" customHeight="1">
      <c r="A11466" s="34" t="s">
        <v>36328</v>
      </c>
      <c r="B11466" s="35" t="s">
        <v>36329</v>
      </c>
      <c r="C11466" s="35" t="s">
        <v>36330</v>
      </c>
      <c r="D11466" s="36" t="s">
        <v>36331</v>
      </c>
      <c r="E11466" s="37"/>
      <c r="F11466" s="38">
        <f ca="1">F11476</f>
        <v>0</v>
      </c>
      <c r="G11466" s="37"/>
    </row>
    <row r="11467" spans="1:7" ht="21.36" thickBot="1" customHeight="1">
      <c r="A11467" s="26"/>
      <c r="B11467" s="26"/>
      <c r="C11467" s="26"/>
      <c r="D11467" s="25" t="s">
        <v>36332</v>
      </c>
      <c r="E11467" s="25"/>
      <c r="F11467" s="25"/>
      <c r="G11467" s="25"/>
    </row>
    <row r="11468" spans="1:7" ht="39.84" thickBot="1" customHeight="1">
      <c r="A11468" s="24" t="s">
        <v>36333</v>
      </c>
      <c r="B11468" s="24" t="s">
        <v>36334</v>
      </c>
      <c r="C11468" s="24" t="s">
        <v>36335</v>
      </c>
      <c r="D11468" s="25" t="s">
        <v>36336</v>
      </c>
      <c r="E11468" s="28">
        <v>0.05000</v>
      </c>
      <c r="F11468" s="29">
        <f ca="1">ROUND(41.280,3)</f>
        <v>0</v>
      </c>
      <c r="G11468" s="27">
        <f ca="1">ROUND(E11468*F11468,2)</f>
        <v>0</v>
      </c>
    </row>
    <row r="11469" spans="1:7" ht="49.08" thickBot="1" customHeight="1">
      <c r="A11469" s="24" t="s">
        <v>36337</v>
      </c>
      <c r="B11469" s="24" t="s">
        <v>36338</v>
      </c>
      <c r="C11469" s="24" t="s">
        <v>36339</v>
      </c>
      <c r="D11469" s="25" t="s">
        <v>36340</v>
      </c>
      <c r="E11469" s="28">
        <v>0.02400</v>
      </c>
      <c r="F11469" s="29">
        <f ca="1">ROUND(139.420,3)</f>
        <v>0</v>
      </c>
      <c r="G11469" s="27">
        <f ca="1">ROUND(E11469*F11469,2)</f>
        <v>0</v>
      </c>
    </row>
    <row r="11470" spans="1:7" ht="21.36" thickBot="1" customHeight="1">
      <c r="A11470" s="24" t="s">
        <v>36341</v>
      </c>
      <c r="B11470" s="24" t="s">
        <v>36342</v>
      </c>
      <c r="C11470" s="24" t="s">
        <v>36343</v>
      </c>
      <c r="D11470" s="25" t="s">
        <v>36344</v>
      </c>
      <c r="E11470" s="28">
        <v>0.25000</v>
      </c>
      <c r="F11470" s="29">
        <f ca="1">F11474</f>
        <v>0</v>
      </c>
      <c r="G11470" s="27">
        <f ca="1">ROUND(E11470*F11470,2)</f>
        <v>0</v>
      </c>
    </row>
    <row r="11471" spans="1:7" ht="24.36" thickBot="1" customHeight="1">
      <c r="A11471" s="24" t="s">
        <v>36345</v>
      </c>
      <c r="B11471" s="24" t="s">
        <v>36346</v>
      </c>
      <c r="C11471" s="24" t="s">
        <v>36347</v>
      </c>
      <c r="D11471" s="25" t="s">
        <v>36348</v>
      </c>
      <c r="E11471" s="28">
        <v>1.00000</v>
      </c>
      <c r="F11471" s="29">
        <f ca="1">ROUND(21.000,3)</f>
        <v>0</v>
      </c>
      <c r="G11471" s="27">
        <f ca="1">ROUND(E11471*F11471,2)</f>
        <v>0</v>
      </c>
    </row>
    <row r="11472" spans="1:7" ht="24.36" thickBot="1" customHeight="1">
      <c r="A11472" s="24" t="s">
        <v>36349</v>
      </c>
      <c r="B11472" s="24" t="s">
        <v>36350</v>
      </c>
      <c r="C11472" s="24" t="s">
        <v>36351</v>
      </c>
      <c r="D11472" s="25" t="s">
        <v>36352</v>
      </c>
      <c r="E11472" s="28">
        <v>1.00000</v>
      </c>
      <c r="F11472" s="29">
        <f ca="1">ROUND(19.000,3)</f>
        <v>0</v>
      </c>
      <c r="G11472" s="27">
        <f ca="1">ROUND(E11472*F11472,2)</f>
        <v>0</v>
      </c>
    </row>
    <row r="11473" spans="1:7" ht="24.36" thickBot="1" customHeight="1">
      <c r="A11473" s="24" t="s">
        <v>36353</v>
      </c>
      <c r="B11473" s="24" t="s">
        <v>36354</v>
      </c>
      <c r="C11473" s="24" t="s">
        <v>36355</v>
      </c>
      <c r="D11473" s="25" t="s">
        <v>36356</v>
      </c>
      <c r="E11473" s="28">
        <v>0.20000</v>
      </c>
      <c r="F11473" s="29">
        <f ca="1">ROUND(19.000,3)</f>
        <v>0</v>
      </c>
      <c r="G11473" s="27">
        <f ca="1">ROUND(E11473*F11473,2)</f>
        <v>0</v>
      </c>
    </row>
    <row r="11474" spans="1:7" ht="15.12" thickBot="1" customHeight="1">
      <c r="A11474" s="26"/>
      <c r="B11474" s="26"/>
      <c r="C11474" s="26"/>
      <c r="D11474" s="24" t="s">
        <v>36357</v>
      </c>
      <c r="E11474" s="28">
        <v>0.25000</v>
      </c>
      <c r="F11474" s="29">
        <f ca="1">ROUND((G11471+G11472+G11473),3)</f>
        <v>0</v>
      </c>
      <c r="G11474" s="27">
        <f ca="1">ROUND(E11474*F11474,2)</f>
        <v>0</v>
      </c>
    </row>
    <row r="11475" spans="1:7" ht="15.12" thickBot="1" customHeight="1">
      <c r="A11475" s="24" t="s">
        <v>36358</v>
      </c>
      <c r="B11475" s="24"/>
      <c r="C11475" s="24" t="s">
        <v>36359</v>
      </c>
      <c r="D11475" s="25" t="s">
        <v>36360</v>
      </c>
      <c r="E11475" s="28">
        <v>3.00000</v>
      </c>
      <c r="F11475" s="29">
        <f ca="1">ROUND(10.950,3)</f>
        <v>0</v>
      </c>
      <c r="G11475" s="27">
        <f ca="1">ROUND((E11475*F11475)/100,2)</f>
        <v>0</v>
      </c>
    </row>
    <row r="11476" spans="1:7" ht="15.48" thickBot="1" customHeight="1">
      <c r="A11476" s="30"/>
      <c r="B11476" s="30"/>
      <c r="C11476" s="30"/>
      <c r="D11476" s="31" t="s">
        <v>36361</v>
      </c>
      <c r="E11476" s="30"/>
      <c r="F11476" s="33">
        <f ca="1">ROUND((G11468+G11469+G11470+G11475)*(1+G2/100),2)</f>
        <v>0</v>
      </c>
      <c r="G11476" s="30"/>
    </row>
    <row r="11477" spans="1:7" ht="30.60" thickBot="1" customHeight="1">
      <c r="A11477" s="34" t="s">
        <v>36362</v>
      </c>
      <c r="B11477" s="35" t="s">
        <v>36363</v>
      </c>
      <c r="C11477" s="35" t="s">
        <v>36364</v>
      </c>
      <c r="D11477" s="36" t="s">
        <v>36365</v>
      </c>
      <c r="E11477" s="37"/>
      <c r="F11477" s="38">
        <f ca="1">F11487</f>
        <v>0</v>
      </c>
      <c r="G11477" s="37"/>
    </row>
    <row r="11478" spans="1:7" ht="12.12" thickBot="1" customHeight="1">
      <c r="A11478" s="26"/>
      <c r="B11478" s="26"/>
      <c r="C11478" s="26"/>
      <c r="D11478" s="25" t="s">
        <v>36366</v>
      </c>
      <c r="E11478" s="25"/>
      <c r="F11478" s="25"/>
      <c r="G11478" s="25"/>
    </row>
    <row r="11479" spans="1:7" ht="39.84" thickBot="1" customHeight="1">
      <c r="A11479" s="24" t="s">
        <v>36367</v>
      </c>
      <c r="B11479" s="24" t="s">
        <v>36368</v>
      </c>
      <c r="C11479" s="24" t="s">
        <v>36369</v>
      </c>
      <c r="D11479" s="25" t="s">
        <v>36370</v>
      </c>
      <c r="E11479" s="28">
        <v>0.05000</v>
      </c>
      <c r="F11479" s="29">
        <f ca="1">ROUND(41.280,3)</f>
        <v>0</v>
      </c>
      <c r="G11479" s="27">
        <f ca="1">ROUND(E11479*F11479,2)</f>
        <v>0</v>
      </c>
    </row>
    <row r="11480" spans="1:7" ht="49.08" thickBot="1" customHeight="1">
      <c r="A11480" s="24" t="s">
        <v>36371</v>
      </c>
      <c r="B11480" s="24" t="s">
        <v>36372</v>
      </c>
      <c r="C11480" s="24" t="s">
        <v>36373</v>
      </c>
      <c r="D11480" s="25" t="s">
        <v>36374</v>
      </c>
      <c r="E11480" s="28">
        <v>0.02400</v>
      </c>
      <c r="F11480" s="29">
        <f ca="1">ROUND(139.420,3)</f>
        <v>0</v>
      </c>
      <c r="G11480" s="27">
        <f ca="1">ROUND(E11480*F11480,2)</f>
        <v>0</v>
      </c>
    </row>
    <row r="11481" spans="1:7" ht="24.36" thickBot="1" customHeight="1">
      <c r="A11481" s="24" t="s">
        <v>36375</v>
      </c>
      <c r="B11481" s="24" t="s">
        <v>36376</v>
      </c>
      <c r="C11481" s="24" t="s">
        <v>36377</v>
      </c>
      <c r="D11481" s="25" t="s">
        <v>36378</v>
      </c>
      <c r="E11481" s="28">
        <v>0.37500</v>
      </c>
      <c r="F11481" s="29">
        <f ca="1">F11485</f>
        <v>0</v>
      </c>
      <c r="G11481" s="27">
        <f ca="1">ROUND(E11481*F11481,2)</f>
        <v>0</v>
      </c>
    </row>
    <row r="11482" spans="1:7" ht="24.36" thickBot="1" customHeight="1">
      <c r="A11482" s="24" t="s">
        <v>36379</v>
      </c>
      <c r="B11482" s="24" t="s">
        <v>36380</v>
      </c>
      <c r="C11482" s="24" t="s">
        <v>36381</v>
      </c>
      <c r="D11482" s="25" t="s">
        <v>36382</v>
      </c>
      <c r="E11482" s="28">
        <v>1.00000</v>
      </c>
      <c r="F11482" s="29">
        <f ca="1">ROUND(21.000,3)</f>
        <v>0</v>
      </c>
      <c r="G11482" s="27">
        <f ca="1">ROUND(E11482*F11482,2)</f>
        <v>0</v>
      </c>
    </row>
    <row r="11483" spans="1:7" ht="24.36" thickBot="1" customHeight="1">
      <c r="A11483" s="24" t="s">
        <v>36383</v>
      </c>
      <c r="B11483" s="24" t="s">
        <v>36384</v>
      </c>
      <c r="C11483" s="24" t="s">
        <v>36385</v>
      </c>
      <c r="D11483" s="25" t="s">
        <v>36386</v>
      </c>
      <c r="E11483" s="28">
        <v>1.00000</v>
      </c>
      <c r="F11483" s="29">
        <f ca="1">ROUND(19.000,3)</f>
        <v>0</v>
      </c>
      <c r="G11483" s="27">
        <f ca="1">ROUND(E11483*F11483,2)</f>
        <v>0</v>
      </c>
    </row>
    <row r="11484" spans="1:7" ht="24.36" thickBot="1" customHeight="1">
      <c r="A11484" s="24" t="s">
        <v>36387</v>
      </c>
      <c r="B11484" s="24" t="s">
        <v>36388</v>
      </c>
      <c r="C11484" s="24" t="s">
        <v>36389</v>
      </c>
      <c r="D11484" s="25" t="s">
        <v>36390</v>
      </c>
      <c r="E11484" s="28">
        <v>0.50000</v>
      </c>
      <c r="F11484" s="29">
        <f ca="1">ROUND(19.000,3)</f>
        <v>0</v>
      </c>
      <c r="G11484" s="27">
        <f ca="1">ROUND(E11484*F11484,2)</f>
        <v>0</v>
      </c>
    </row>
    <row r="11485" spans="1:7" ht="15.12" thickBot="1" customHeight="1">
      <c r="A11485" s="26"/>
      <c r="B11485" s="26"/>
      <c r="C11485" s="26"/>
      <c r="D11485" s="24" t="s">
        <v>36391</v>
      </c>
      <c r="E11485" s="28">
        <v>0.37500</v>
      </c>
      <c r="F11485" s="29">
        <f ca="1">ROUND((G11482+G11483+G11484),3)</f>
        <v>0</v>
      </c>
      <c r="G11485" s="27">
        <f ca="1">ROUND(E11485*F11485,2)</f>
        <v>0</v>
      </c>
    </row>
    <row r="11486" spans="1:7" ht="15.12" thickBot="1" customHeight="1">
      <c r="A11486" s="24" t="s">
        <v>36392</v>
      </c>
      <c r="B11486" s="24"/>
      <c r="C11486" s="24" t="s">
        <v>36393</v>
      </c>
      <c r="D11486" s="25" t="s">
        <v>36394</v>
      </c>
      <c r="E11486" s="28">
        <v>3.00000</v>
      </c>
      <c r="F11486" s="29">
        <f ca="1">ROUND(18.560,3)</f>
        <v>0</v>
      </c>
      <c r="G11486" s="27">
        <f ca="1">ROUND((E11486*F11486)/100,2)</f>
        <v>0</v>
      </c>
    </row>
    <row r="11487" spans="1:7" ht="15.48" thickBot="1" customHeight="1">
      <c r="A11487" s="30"/>
      <c r="B11487" s="30"/>
      <c r="C11487" s="30"/>
      <c r="D11487" s="31" t="s">
        <v>36395</v>
      </c>
      <c r="E11487" s="30"/>
      <c r="F11487" s="33">
        <f ca="1">ROUND((G11479+G11480+G11481+G11486)*(1+G2/100),2)</f>
        <v>0</v>
      </c>
      <c r="G11487" s="30"/>
    </row>
    <row r="11488" spans="1:7" ht="21.36" thickBot="1" customHeight="1">
      <c r="A11488" s="34" t="s">
        <v>36396</v>
      </c>
      <c r="B11488" s="35" t="s">
        <v>36397</v>
      </c>
      <c r="C11488" s="35" t="s">
        <v>36398</v>
      </c>
      <c r="D11488" s="36" t="s">
        <v>36399</v>
      </c>
      <c r="E11488" s="37"/>
      <c r="F11488" s="38">
        <f ca="1">F11498</f>
        <v>0</v>
      </c>
      <c r="G11488" s="37"/>
    </row>
    <row r="11489" spans="1:7" ht="21.36" thickBot="1" customHeight="1">
      <c r="A11489" s="26"/>
      <c r="B11489" s="26"/>
      <c r="C11489" s="26"/>
      <c r="D11489" s="25" t="s">
        <v>36400</v>
      </c>
      <c r="E11489" s="25"/>
      <c r="F11489" s="25"/>
      <c r="G11489" s="25"/>
    </row>
    <row r="11490" spans="1:7" ht="39.84" thickBot="1" customHeight="1">
      <c r="A11490" s="24" t="s">
        <v>36401</v>
      </c>
      <c r="B11490" s="24" t="s">
        <v>36402</v>
      </c>
      <c r="C11490" s="24" t="s">
        <v>36403</v>
      </c>
      <c r="D11490" s="25" t="s">
        <v>36404</v>
      </c>
      <c r="E11490" s="28">
        <v>0.01220</v>
      </c>
      <c r="F11490" s="29">
        <f ca="1">ROUND(70.410,3)</f>
        <v>0</v>
      </c>
      <c r="G11490" s="27">
        <f ca="1">ROUND(E11490*F11490,2)</f>
        <v>0</v>
      </c>
    </row>
    <row r="11491" spans="1:7" ht="39.84" thickBot="1" customHeight="1">
      <c r="A11491" s="24" t="s">
        <v>36405</v>
      </c>
      <c r="B11491" s="24" t="s">
        <v>36406</v>
      </c>
      <c r="C11491" s="24" t="s">
        <v>36407</v>
      </c>
      <c r="D11491" s="25" t="s">
        <v>36408</v>
      </c>
      <c r="E11491" s="28">
        <v>0.01667</v>
      </c>
      <c r="F11491" s="29">
        <f ca="1">ROUND(45.710,3)</f>
        <v>0</v>
      </c>
      <c r="G11491" s="27">
        <f ca="1">ROUND(E11491*F11491,2)</f>
        <v>0</v>
      </c>
    </row>
    <row r="11492" spans="1:7" ht="21.36" thickBot="1" customHeight="1">
      <c r="A11492" s="24" t="s">
        <v>36409</v>
      </c>
      <c r="B11492" s="24" t="s">
        <v>36410</v>
      </c>
      <c r="C11492" s="24" t="s">
        <v>36411</v>
      </c>
      <c r="D11492" s="25" t="s">
        <v>36412</v>
      </c>
      <c r="E11492" s="28">
        <v>0.25500</v>
      </c>
      <c r="F11492" s="29">
        <f ca="1">F11496</f>
        <v>0</v>
      </c>
      <c r="G11492" s="27">
        <f ca="1">ROUND(E11492*F11492,2)</f>
        <v>0</v>
      </c>
    </row>
    <row r="11493" spans="1:7" ht="24.36" thickBot="1" customHeight="1">
      <c r="A11493" s="24" t="s">
        <v>36413</v>
      </c>
      <c r="B11493" s="24" t="s">
        <v>36414</v>
      </c>
      <c r="C11493" s="24" t="s">
        <v>36415</v>
      </c>
      <c r="D11493" s="25" t="s">
        <v>36416</v>
      </c>
      <c r="E11493" s="28">
        <v>1.00000</v>
      </c>
      <c r="F11493" s="29">
        <f ca="1">ROUND(21.000,3)</f>
        <v>0</v>
      </c>
      <c r="G11493" s="27">
        <f ca="1">ROUND(E11493*F11493,2)</f>
        <v>0</v>
      </c>
    </row>
    <row r="11494" spans="1:7" ht="24.36" thickBot="1" customHeight="1">
      <c r="A11494" s="24" t="s">
        <v>36417</v>
      </c>
      <c r="B11494" s="24" t="s">
        <v>36418</v>
      </c>
      <c r="C11494" s="24" t="s">
        <v>36419</v>
      </c>
      <c r="D11494" s="25" t="s">
        <v>36420</v>
      </c>
      <c r="E11494" s="28">
        <v>1.00000</v>
      </c>
      <c r="F11494" s="29">
        <f ca="1">ROUND(19.000,3)</f>
        <v>0</v>
      </c>
      <c r="G11494" s="27">
        <f ca="1">ROUND(E11494*F11494,2)</f>
        <v>0</v>
      </c>
    </row>
    <row r="11495" spans="1:7" ht="24.36" thickBot="1" customHeight="1">
      <c r="A11495" s="24" t="s">
        <v>36421</v>
      </c>
      <c r="B11495" s="24" t="s">
        <v>36422</v>
      </c>
      <c r="C11495" s="24" t="s">
        <v>36423</v>
      </c>
      <c r="D11495" s="25" t="s">
        <v>36424</v>
      </c>
      <c r="E11495" s="28">
        <v>0.20000</v>
      </c>
      <c r="F11495" s="29">
        <f ca="1">ROUND(19.000,3)</f>
        <v>0</v>
      </c>
      <c r="G11495" s="27">
        <f ca="1">ROUND(E11495*F11495,2)</f>
        <v>0</v>
      </c>
    </row>
    <row r="11496" spans="1:7" ht="15.12" thickBot="1" customHeight="1">
      <c r="A11496" s="26"/>
      <c r="B11496" s="26"/>
      <c r="C11496" s="26"/>
      <c r="D11496" s="24" t="s">
        <v>36425</v>
      </c>
      <c r="E11496" s="28">
        <v>0.25500</v>
      </c>
      <c r="F11496" s="29">
        <f ca="1">ROUND((G11493+G11494+G11495),3)</f>
        <v>0</v>
      </c>
      <c r="G11496" s="27">
        <f ca="1">ROUND(E11496*F11496,2)</f>
        <v>0</v>
      </c>
    </row>
    <row r="11497" spans="1:7" ht="15.12" thickBot="1" customHeight="1">
      <c r="A11497" s="24" t="s">
        <v>36426</v>
      </c>
      <c r="B11497" s="24"/>
      <c r="C11497" s="24" t="s">
        <v>36427</v>
      </c>
      <c r="D11497" s="25" t="s">
        <v>36428</v>
      </c>
      <c r="E11497" s="28">
        <v>3.00000</v>
      </c>
      <c r="F11497" s="29">
        <f ca="1">ROUND(11.170,3)</f>
        <v>0</v>
      </c>
      <c r="G11497" s="27">
        <f ca="1">ROUND((E11497*F11497)/100,2)</f>
        <v>0</v>
      </c>
    </row>
    <row r="11498" spans="1:7" ht="15.48" thickBot="1" customHeight="1">
      <c r="A11498" s="30"/>
      <c r="B11498" s="30"/>
      <c r="C11498" s="30"/>
      <c r="D11498" s="31" t="s">
        <v>36429</v>
      </c>
      <c r="E11498" s="30"/>
      <c r="F11498" s="33">
        <f ca="1">ROUND((G11490+G11491+G11492+G11497)*(1+G2/100),2)</f>
        <v>0</v>
      </c>
      <c r="G11498" s="30"/>
    </row>
    <row r="11499" spans="1:7" ht="21.36" thickBot="1" customHeight="1">
      <c r="A11499" s="34" t="s">
        <v>36430</v>
      </c>
      <c r="B11499" s="35" t="s">
        <v>36431</v>
      </c>
      <c r="C11499" s="35" t="s">
        <v>36432</v>
      </c>
      <c r="D11499" s="36" t="s">
        <v>36433</v>
      </c>
      <c r="E11499" s="37"/>
      <c r="F11499" s="38">
        <f ca="1">F11509</f>
        <v>0</v>
      </c>
      <c r="G11499" s="37"/>
    </row>
    <row r="11500" spans="1:7" ht="21.36" thickBot="1" customHeight="1">
      <c r="A11500" s="26"/>
      <c r="B11500" s="26"/>
      <c r="C11500" s="26"/>
      <c r="D11500" s="25" t="s">
        <v>36434</v>
      </c>
      <c r="E11500" s="25"/>
      <c r="F11500" s="25"/>
      <c r="G11500" s="25"/>
    </row>
    <row r="11501" spans="1:7" ht="30.60" thickBot="1" customHeight="1">
      <c r="A11501" s="24" t="s">
        <v>36435</v>
      </c>
      <c r="B11501" s="24" t="s">
        <v>36436</v>
      </c>
      <c r="C11501" s="24" t="s">
        <v>36437</v>
      </c>
      <c r="D11501" s="25" t="s">
        <v>36438</v>
      </c>
      <c r="E11501" s="28">
        <v>0.03000</v>
      </c>
      <c r="F11501" s="29">
        <f ca="1">ROUND(128.450,3)</f>
        <v>0</v>
      </c>
      <c r="G11501" s="27">
        <f ca="1">ROUND(E11501*F11501,2)</f>
        <v>0</v>
      </c>
    </row>
    <row r="11502" spans="1:7" ht="24.36" thickBot="1" customHeight="1">
      <c r="A11502" s="24" t="s">
        <v>36439</v>
      </c>
      <c r="B11502" s="24" t="s">
        <v>36440</v>
      </c>
      <c r="C11502" s="24" t="s">
        <v>36441</v>
      </c>
      <c r="D11502" s="25" t="s">
        <v>36442</v>
      </c>
      <c r="E11502" s="28">
        <v>0.02000</v>
      </c>
      <c r="F11502" s="29">
        <f ca="1">ROUND(4.630,3)</f>
        <v>0</v>
      </c>
      <c r="G11502" s="27">
        <f ca="1">ROUND(E11502*F11502,2)</f>
        <v>0</v>
      </c>
    </row>
    <row r="11503" spans="1:7" ht="21.36" thickBot="1" customHeight="1">
      <c r="A11503" s="24" t="s">
        <v>36443</v>
      </c>
      <c r="B11503" s="24" t="s">
        <v>36444</v>
      </c>
      <c r="C11503" s="24" t="s">
        <v>36445</v>
      </c>
      <c r="D11503" s="25" t="s">
        <v>36446</v>
      </c>
      <c r="E11503" s="28">
        <v>0.28000</v>
      </c>
      <c r="F11503" s="29">
        <f ca="1">F11507</f>
        <v>0</v>
      </c>
      <c r="G11503" s="27">
        <f ca="1">ROUND(E11503*F11503,2)</f>
        <v>0</v>
      </c>
    </row>
    <row r="11504" spans="1:7" ht="24.36" thickBot="1" customHeight="1">
      <c r="A11504" s="24" t="s">
        <v>36447</v>
      </c>
      <c r="B11504" s="24" t="s">
        <v>36448</v>
      </c>
      <c r="C11504" s="24" t="s">
        <v>36449</v>
      </c>
      <c r="D11504" s="25" t="s">
        <v>36450</v>
      </c>
      <c r="E11504" s="28">
        <v>1.00000</v>
      </c>
      <c r="F11504" s="29">
        <f ca="1">ROUND(21.000,3)</f>
        <v>0</v>
      </c>
      <c r="G11504" s="27">
        <f ca="1">ROUND(E11504*F11504,2)</f>
        <v>0</v>
      </c>
    </row>
    <row r="11505" spans="1:7" ht="24.36" thickBot="1" customHeight="1">
      <c r="A11505" s="24" t="s">
        <v>36451</v>
      </c>
      <c r="B11505" s="24" t="s">
        <v>36452</v>
      </c>
      <c r="C11505" s="24" t="s">
        <v>36453</v>
      </c>
      <c r="D11505" s="25" t="s">
        <v>36454</v>
      </c>
      <c r="E11505" s="28">
        <v>1.00000</v>
      </c>
      <c r="F11505" s="29">
        <f ca="1">ROUND(19.000,3)</f>
        <v>0</v>
      </c>
      <c r="G11505" s="27">
        <f ca="1">ROUND(E11505*F11505,2)</f>
        <v>0</v>
      </c>
    </row>
    <row r="11506" spans="1:7" ht="24.36" thickBot="1" customHeight="1">
      <c r="A11506" s="24" t="s">
        <v>36455</v>
      </c>
      <c r="B11506" s="24" t="s">
        <v>36456</v>
      </c>
      <c r="C11506" s="24" t="s">
        <v>36457</v>
      </c>
      <c r="D11506" s="25" t="s">
        <v>36458</v>
      </c>
      <c r="E11506" s="28">
        <v>0.20000</v>
      </c>
      <c r="F11506" s="29">
        <f ca="1">ROUND(19.000,3)</f>
        <v>0</v>
      </c>
      <c r="G11506" s="27">
        <f ca="1">ROUND(E11506*F11506,2)</f>
        <v>0</v>
      </c>
    </row>
    <row r="11507" spans="1:7" ht="15.12" thickBot="1" customHeight="1">
      <c r="A11507" s="26"/>
      <c r="B11507" s="26"/>
      <c r="C11507" s="26"/>
      <c r="D11507" s="24" t="s">
        <v>36459</v>
      </c>
      <c r="E11507" s="28">
        <v>0.28000</v>
      </c>
      <c r="F11507" s="29">
        <f ca="1">ROUND((G11504+G11505+G11506),3)</f>
        <v>0</v>
      </c>
      <c r="G11507" s="27">
        <f ca="1">ROUND(E11507*F11507,2)</f>
        <v>0</v>
      </c>
    </row>
    <row r="11508" spans="1:7" ht="15.12" thickBot="1" customHeight="1">
      <c r="A11508" s="24" t="s">
        <v>36460</v>
      </c>
      <c r="B11508" s="24"/>
      <c r="C11508" s="24" t="s">
        <v>36461</v>
      </c>
      <c r="D11508" s="25" t="s">
        <v>36462</v>
      </c>
      <c r="E11508" s="28">
        <v>3.00000</v>
      </c>
      <c r="F11508" s="29">
        <f ca="1">ROUND(12.260,3)</f>
        <v>0</v>
      </c>
      <c r="G11508" s="27">
        <f ca="1">ROUND((E11508*F11508)/100,2)</f>
        <v>0</v>
      </c>
    </row>
    <row r="11509" spans="1:7" ht="15.48" thickBot="1" customHeight="1">
      <c r="A11509" s="30"/>
      <c r="B11509" s="30"/>
      <c r="C11509" s="30"/>
      <c r="D11509" s="31" t="s">
        <v>36463</v>
      </c>
      <c r="E11509" s="30"/>
      <c r="F11509" s="33">
        <f ca="1">ROUND((G11501+G11502+G11503+G11508)*(1+G2/100),2)</f>
        <v>0</v>
      </c>
      <c r="G11509" s="30"/>
    </row>
    <row r="11510" spans="1:7" ht="21.36" thickBot="1" customHeight="1">
      <c r="A11510" s="34" t="s">
        <v>36464</v>
      </c>
      <c r="B11510" s="35" t="s">
        <v>36465</v>
      </c>
      <c r="C11510" s="35" t="s">
        <v>36466</v>
      </c>
      <c r="D11510" s="36" t="s">
        <v>36467</v>
      </c>
      <c r="E11510" s="37"/>
      <c r="F11510" s="38">
        <f ca="1">F11519</f>
        <v>0</v>
      </c>
      <c r="G11510" s="37"/>
    </row>
    <row r="11511" spans="1:7" ht="30.60" thickBot="1" customHeight="1">
      <c r="A11511" s="26"/>
      <c r="B11511" s="26"/>
      <c r="C11511" s="26"/>
      <c r="D11511" s="25" t="s">
        <v>36468</v>
      </c>
      <c r="E11511" s="25"/>
      <c r="F11511" s="25"/>
      <c r="G11511" s="25"/>
    </row>
    <row r="11512" spans="1:7" ht="39.84" thickBot="1" customHeight="1">
      <c r="A11512" s="24" t="s">
        <v>36469</v>
      </c>
      <c r="B11512" s="24" t="s">
        <v>36470</v>
      </c>
      <c r="C11512" s="24" t="s">
        <v>36471</v>
      </c>
      <c r="D11512" s="25" t="s">
        <v>36472</v>
      </c>
      <c r="E11512" s="28">
        <v>0.02666</v>
      </c>
      <c r="F11512" s="29">
        <f ca="1">ROUND(115.330,3)</f>
        <v>0</v>
      </c>
      <c r="G11512" s="27">
        <f ca="1">ROUND(E11512*F11512,2)</f>
        <v>0</v>
      </c>
    </row>
    <row r="11513" spans="1:7" ht="21.36" thickBot="1" customHeight="1">
      <c r="A11513" s="24" t="s">
        <v>36473</v>
      </c>
      <c r="B11513" s="24" t="s">
        <v>36474</v>
      </c>
      <c r="C11513" s="24" t="s">
        <v>36475</v>
      </c>
      <c r="D11513" s="25" t="s">
        <v>36476</v>
      </c>
      <c r="E11513" s="28">
        <v>0.28000</v>
      </c>
      <c r="F11513" s="29">
        <f ca="1">F11517</f>
        <v>0</v>
      </c>
      <c r="G11513" s="27">
        <f ca="1">ROUND(E11513*F11513,2)</f>
        <v>0</v>
      </c>
    </row>
    <row r="11514" spans="1:7" ht="24.36" thickBot="1" customHeight="1">
      <c r="A11514" s="24" t="s">
        <v>36477</v>
      </c>
      <c r="B11514" s="24" t="s">
        <v>36478</v>
      </c>
      <c r="C11514" s="24" t="s">
        <v>36479</v>
      </c>
      <c r="D11514" s="25" t="s">
        <v>36480</v>
      </c>
      <c r="E11514" s="28">
        <v>1.00000</v>
      </c>
      <c r="F11514" s="29">
        <f ca="1">ROUND(21.000,3)</f>
        <v>0</v>
      </c>
      <c r="G11514" s="27">
        <f ca="1">ROUND(E11514*F11514,2)</f>
        <v>0</v>
      </c>
    </row>
    <row r="11515" spans="1:7" ht="24.36" thickBot="1" customHeight="1">
      <c r="A11515" s="24" t="s">
        <v>36481</v>
      </c>
      <c r="B11515" s="24" t="s">
        <v>36482</v>
      </c>
      <c r="C11515" s="24" t="s">
        <v>36483</v>
      </c>
      <c r="D11515" s="25" t="s">
        <v>36484</v>
      </c>
      <c r="E11515" s="28">
        <v>1.00000</v>
      </c>
      <c r="F11515" s="29">
        <f ca="1">ROUND(19.000,3)</f>
        <v>0</v>
      </c>
      <c r="G11515" s="27">
        <f ca="1">ROUND(E11515*F11515,2)</f>
        <v>0</v>
      </c>
    </row>
    <row r="11516" spans="1:7" ht="24.36" thickBot="1" customHeight="1">
      <c r="A11516" s="24" t="s">
        <v>36485</v>
      </c>
      <c r="B11516" s="24" t="s">
        <v>36486</v>
      </c>
      <c r="C11516" s="24" t="s">
        <v>36487</v>
      </c>
      <c r="D11516" s="25" t="s">
        <v>36488</v>
      </c>
      <c r="E11516" s="28">
        <v>0.20000</v>
      </c>
      <c r="F11516" s="29">
        <f ca="1">ROUND(19.000,3)</f>
        <v>0</v>
      </c>
      <c r="G11516" s="27">
        <f ca="1">ROUND(E11516*F11516,2)</f>
        <v>0</v>
      </c>
    </row>
    <row r="11517" spans="1:7" ht="15.12" thickBot="1" customHeight="1">
      <c r="A11517" s="26"/>
      <c r="B11517" s="26"/>
      <c r="C11517" s="26"/>
      <c r="D11517" s="24" t="s">
        <v>36489</v>
      </c>
      <c r="E11517" s="28">
        <v>0.28000</v>
      </c>
      <c r="F11517" s="29">
        <f ca="1">ROUND((G11514+G11515+G11516),3)</f>
        <v>0</v>
      </c>
      <c r="G11517" s="27">
        <f ca="1">ROUND(E11517*F11517,2)</f>
        <v>0</v>
      </c>
    </row>
    <row r="11518" spans="1:7" ht="15.12" thickBot="1" customHeight="1">
      <c r="A11518" s="24" t="s">
        <v>36490</v>
      </c>
      <c r="B11518" s="24"/>
      <c r="C11518" s="24" t="s">
        <v>36491</v>
      </c>
      <c r="D11518" s="25" t="s">
        <v>36492</v>
      </c>
      <c r="E11518" s="28">
        <v>3.00000</v>
      </c>
      <c r="F11518" s="29">
        <f ca="1">ROUND(12.260,3)</f>
        <v>0</v>
      </c>
      <c r="G11518" s="27">
        <f ca="1">ROUND((E11518*F11518)/100,2)</f>
        <v>0</v>
      </c>
    </row>
    <row r="11519" spans="1:7" ht="15.48" thickBot="1" customHeight="1">
      <c r="A11519" s="30"/>
      <c r="B11519" s="30"/>
      <c r="C11519" s="30"/>
      <c r="D11519" s="31" t="s">
        <v>36493</v>
      </c>
      <c r="E11519" s="30"/>
      <c r="F11519" s="33">
        <f ca="1">ROUND((G11512+G11513+G11518)*(1+G2/100),2)</f>
        <v>0</v>
      </c>
      <c r="G11519" s="30"/>
    </row>
    <row r="11520" spans="1:7" ht="21.36" thickBot="1" customHeight="1">
      <c r="A11520" s="34" t="s">
        <v>36494</v>
      </c>
      <c r="B11520" s="35" t="s">
        <v>36495</v>
      </c>
      <c r="C11520" s="35" t="s">
        <v>36496</v>
      </c>
      <c r="D11520" s="36" t="s">
        <v>36497</v>
      </c>
      <c r="E11520" s="37"/>
      <c r="F11520" s="38">
        <f ca="1">F11529</f>
        <v>0</v>
      </c>
      <c r="G11520" s="37"/>
    </row>
    <row r="11521" spans="1:7" ht="30.60" thickBot="1" customHeight="1">
      <c r="A11521" s="26"/>
      <c r="B11521" s="26"/>
      <c r="C11521" s="26"/>
      <c r="D11521" s="25" t="s">
        <v>36498</v>
      </c>
      <c r="E11521" s="25"/>
      <c r="F11521" s="25"/>
      <c r="G11521" s="25"/>
    </row>
    <row r="11522" spans="1:7" ht="39.84" thickBot="1" customHeight="1">
      <c r="A11522" s="24" t="s">
        <v>36499</v>
      </c>
      <c r="B11522" s="24" t="s">
        <v>36500</v>
      </c>
      <c r="C11522" s="24" t="s">
        <v>36501</v>
      </c>
      <c r="D11522" s="25" t="s">
        <v>36502</v>
      </c>
      <c r="E11522" s="28">
        <v>0.02666</v>
      </c>
      <c r="F11522" s="29">
        <f ca="1">ROUND(115.330,3)</f>
        <v>0</v>
      </c>
      <c r="G11522" s="27">
        <f ca="1">ROUND(E11522*F11522,2)</f>
        <v>0</v>
      </c>
    </row>
    <row r="11523" spans="1:7" ht="24.36" thickBot="1" customHeight="1">
      <c r="A11523" s="24" t="s">
        <v>36503</v>
      </c>
      <c r="B11523" s="24" t="s">
        <v>36504</v>
      </c>
      <c r="C11523" s="24" t="s">
        <v>36505</v>
      </c>
      <c r="D11523" s="25" t="s">
        <v>36506</v>
      </c>
      <c r="E11523" s="28">
        <v>0.42000</v>
      </c>
      <c r="F11523" s="29">
        <f ca="1">F11527</f>
        <v>0</v>
      </c>
      <c r="G11523" s="27">
        <f ca="1">ROUND(E11523*F11523,2)</f>
        <v>0</v>
      </c>
    </row>
    <row r="11524" spans="1:7" ht="24.36" thickBot="1" customHeight="1">
      <c r="A11524" s="24" t="s">
        <v>36507</v>
      </c>
      <c r="B11524" s="24" t="s">
        <v>36508</v>
      </c>
      <c r="C11524" s="24" t="s">
        <v>36509</v>
      </c>
      <c r="D11524" s="25" t="s">
        <v>36510</v>
      </c>
      <c r="E11524" s="28">
        <v>1.00000</v>
      </c>
      <c r="F11524" s="29">
        <f ca="1">ROUND(21.000,3)</f>
        <v>0</v>
      </c>
      <c r="G11524" s="27">
        <f ca="1">ROUND(E11524*F11524,2)</f>
        <v>0</v>
      </c>
    </row>
    <row r="11525" spans="1:7" ht="24.36" thickBot="1" customHeight="1">
      <c r="A11525" s="24" t="s">
        <v>36511</v>
      </c>
      <c r="B11525" s="24" t="s">
        <v>36512</v>
      </c>
      <c r="C11525" s="24" t="s">
        <v>36513</v>
      </c>
      <c r="D11525" s="25" t="s">
        <v>36514</v>
      </c>
      <c r="E11525" s="28">
        <v>1.00000</v>
      </c>
      <c r="F11525" s="29">
        <f ca="1">ROUND(19.000,3)</f>
        <v>0</v>
      </c>
      <c r="G11525" s="27">
        <f ca="1">ROUND(E11525*F11525,2)</f>
        <v>0</v>
      </c>
    </row>
    <row r="11526" spans="1:7" ht="24.36" thickBot="1" customHeight="1">
      <c r="A11526" s="24" t="s">
        <v>36515</v>
      </c>
      <c r="B11526" s="24" t="s">
        <v>36516</v>
      </c>
      <c r="C11526" s="24" t="s">
        <v>36517</v>
      </c>
      <c r="D11526" s="25" t="s">
        <v>36518</v>
      </c>
      <c r="E11526" s="28">
        <v>0.50000</v>
      </c>
      <c r="F11526" s="29">
        <f ca="1">ROUND(19.000,3)</f>
        <v>0</v>
      </c>
      <c r="G11526" s="27">
        <f ca="1">ROUND(E11526*F11526,2)</f>
        <v>0</v>
      </c>
    </row>
    <row r="11527" spans="1:7" ht="15.12" thickBot="1" customHeight="1">
      <c r="A11527" s="26"/>
      <c r="B11527" s="26"/>
      <c r="C11527" s="26"/>
      <c r="D11527" s="24" t="s">
        <v>36519</v>
      </c>
      <c r="E11527" s="28">
        <v>0.42000</v>
      </c>
      <c r="F11527" s="29">
        <f ca="1">ROUND((G11524+G11525+G11526),3)</f>
        <v>0</v>
      </c>
      <c r="G11527" s="27">
        <f ca="1">ROUND(E11527*F11527,2)</f>
        <v>0</v>
      </c>
    </row>
    <row r="11528" spans="1:7" ht="15.12" thickBot="1" customHeight="1">
      <c r="A11528" s="24" t="s">
        <v>36520</v>
      </c>
      <c r="B11528" s="24"/>
      <c r="C11528" s="24" t="s">
        <v>36521</v>
      </c>
      <c r="D11528" s="25" t="s">
        <v>36522</v>
      </c>
      <c r="E11528" s="28">
        <v>3.00000</v>
      </c>
      <c r="F11528" s="29">
        <f ca="1">ROUND(20.790,3)</f>
        <v>0</v>
      </c>
      <c r="G11528" s="27">
        <f ca="1">ROUND((E11528*F11528)/100,2)</f>
        <v>0</v>
      </c>
    </row>
    <row r="11529" spans="1:7" ht="15.48" thickBot="1" customHeight="1">
      <c r="A11529" s="30"/>
      <c r="B11529" s="30"/>
      <c r="C11529" s="30"/>
      <c r="D11529" s="31" t="s">
        <v>36523</v>
      </c>
      <c r="E11529" s="30"/>
      <c r="F11529" s="33">
        <f ca="1">ROUND((G11522+G11523+G11528)*(1+G2/100),2)</f>
        <v>0</v>
      </c>
      <c r="G11529" s="30"/>
    </row>
    <row r="11530" spans="1:7" ht="21.36" thickBot="1" customHeight="1">
      <c r="A11530" s="34" t="s">
        <v>36524</v>
      </c>
      <c r="B11530" s="35" t="s">
        <v>36525</v>
      </c>
      <c r="C11530" s="35" t="s">
        <v>36526</v>
      </c>
      <c r="D11530" s="36" t="s">
        <v>36527</v>
      </c>
      <c r="E11530" s="37"/>
      <c r="F11530" s="38">
        <f ca="1">F11539</f>
        <v>0</v>
      </c>
      <c r="G11530" s="37"/>
    </row>
    <row r="11531" spans="1:7" ht="30.60" thickBot="1" customHeight="1">
      <c r="A11531" s="26"/>
      <c r="B11531" s="26"/>
      <c r="C11531" s="26"/>
      <c r="D11531" s="25" t="s">
        <v>36528</v>
      </c>
      <c r="E11531" s="25"/>
      <c r="F11531" s="25"/>
      <c r="G11531" s="25"/>
    </row>
    <row r="11532" spans="1:7" ht="58.32" thickBot="1" customHeight="1">
      <c r="A11532" s="24" t="s">
        <v>36529</v>
      </c>
      <c r="B11532" s="24" t="s">
        <v>36530</v>
      </c>
      <c r="C11532" s="24" t="s">
        <v>36531</v>
      </c>
      <c r="D11532" s="25" t="s">
        <v>36532</v>
      </c>
      <c r="E11532" s="28">
        <v>0.02700</v>
      </c>
      <c r="F11532" s="29">
        <f ca="1">ROUND(173.430,3)</f>
        <v>0</v>
      </c>
      <c r="G11532" s="27">
        <f ca="1">ROUND(E11532*F11532,2)</f>
        <v>0</v>
      </c>
    </row>
    <row r="11533" spans="1:7" ht="21.36" thickBot="1" customHeight="1">
      <c r="A11533" s="24" t="s">
        <v>36533</v>
      </c>
      <c r="B11533" s="24" t="s">
        <v>36534</v>
      </c>
      <c r="C11533" s="24" t="s">
        <v>36535</v>
      </c>
      <c r="D11533" s="25" t="s">
        <v>36536</v>
      </c>
      <c r="E11533" s="28">
        <v>0.28000</v>
      </c>
      <c r="F11533" s="29">
        <f ca="1">F11537</f>
        <v>0</v>
      </c>
      <c r="G11533" s="27">
        <f ca="1">ROUND(E11533*F11533,2)</f>
        <v>0</v>
      </c>
    </row>
    <row r="11534" spans="1:7" ht="24.36" thickBot="1" customHeight="1">
      <c r="A11534" s="24" t="s">
        <v>36537</v>
      </c>
      <c r="B11534" s="24" t="s">
        <v>36538</v>
      </c>
      <c r="C11534" s="24" t="s">
        <v>36539</v>
      </c>
      <c r="D11534" s="25" t="s">
        <v>36540</v>
      </c>
      <c r="E11534" s="28">
        <v>1.00000</v>
      </c>
      <c r="F11534" s="29">
        <f ca="1">ROUND(21.000,3)</f>
        <v>0</v>
      </c>
      <c r="G11534" s="27">
        <f ca="1">ROUND(E11534*F11534,2)</f>
        <v>0</v>
      </c>
    </row>
    <row r="11535" spans="1:7" ht="24.36" thickBot="1" customHeight="1">
      <c r="A11535" s="24" t="s">
        <v>36541</v>
      </c>
      <c r="B11535" s="24" t="s">
        <v>36542</v>
      </c>
      <c r="C11535" s="24" t="s">
        <v>36543</v>
      </c>
      <c r="D11535" s="25" t="s">
        <v>36544</v>
      </c>
      <c r="E11535" s="28">
        <v>1.00000</v>
      </c>
      <c r="F11535" s="29">
        <f ca="1">ROUND(19.000,3)</f>
        <v>0</v>
      </c>
      <c r="G11535" s="27">
        <f ca="1">ROUND(E11535*F11535,2)</f>
        <v>0</v>
      </c>
    </row>
    <row r="11536" spans="1:7" ht="24.36" thickBot="1" customHeight="1">
      <c r="A11536" s="24" t="s">
        <v>36545</v>
      </c>
      <c r="B11536" s="24" t="s">
        <v>36546</v>
      </c>
      <c r="C11536" s="24" t="s">
        <v>36547</v>
      </c>
      <c r="D11536" s="25" t="s">
        <v>36548</v>
      </c>
      <c r="E11536" s="28">
        <v>0.20000</v>
      </c>
      <c r="F11536" s="29">
        <f ca="1">ROUND(19.000,3)</f>
        <v>0</v>
      </c>
      <c r="G11536" s="27">
        <f ca="1">ROUND(E11536*F11536,2)</f>
        <v>0</v>
      </c>
    </row>
    <row r="11537" spans="1:7" ht="15.12" thickBot="1" customHeight="1">
      <c r="A11537" s="26"/>
      <c r="B11537" s="26"/>
      <c r="C11537" s="26"/>
      <c r="D11537" s="24" t="s">
        <v>36549</v>
      </c>
      <c r="E11537" s="28">
        <v>0.28000</v>
      </c>
      <c r="F11537" s="29">
        <f ca="1">ROUND((G11534+G11535+G11536),3)</f>
        <v>0</v>
      </c>
      <c r="G11537" s="27">
        <f ca="1">ROUND(E11537*F11537,2)</f>
        <v>0</v>
      </c>
    </row>
    <row r="11538" spans="1:7" ht="15.12" thickBot="1" customHeight="1">
      <c r="A11538" s="24" t="s">
        <v>36550</v>
      </c>
      <c r="B11538" s="24"/>
      <c r="C11538" s="24" t="s">
        <v>36551</v>
      </c>
      <c r="D11538" s="25" t="s">
        <v>36552</v>
      </c>
      <c r="E11538" s="28">
        <v>3.00000</v>
      </c>
      <c r="F11538" s="29">
        <f ca="1">ROUND(12.260,3)</f>
        <v>0</v>
      </c>
      <c r="G11538" s="27">
        <f ca="1">ROUND((E11538*F11538)/100,2)</f>
        <v>0</v>
      </c>
    </row>
    <row r="11539" spans="1:7" ht="15.48" thickBot="1" customHeight="1">
      <c r="A11539" s="30"/>
      <c r="B11539" s="30"/>
      <c r="C11539" s="30"/>
      <c r="D11539" s="31" t="s">
        <v>36553</v>
      </c>
      <c r="E11539" s="30"/>
      <c r="F11539" s="33">
        <f ca="1">ROUND((G11532+G11533+G11538)*(1+G2/100),2)</f>
        <v>0</v>
      </c>
      <c r="G11539" s="30"/>
    </row>
    <row r="11540" spans="1:7" ht="21.36" thickBot="1" customHeight="1">
      <c r="A11540" s="34" t="s">
        <v>36554</v>
      </c>
      <c r="B11540" s="35" t="s">
        <v>36555</v>
      </c>
      <c r="C11540" s="35" t="s">
        <v>36556</v>
      </c>
      <c r="D11540" s="36" t="s">
        <v>36557</v>
      </c>
      <c r="E11540" s="37"/>
      <c r="F11540" s="38">
        <f ca="1">F11553</f>
        <v>0</v>
      </c>
      <c r="G11540" s="37"/>
    </row>
    <row r="11541" spans="1:7" ht="30.60" thickBot="1" customHeight="1">
      <c r="A11541" s="26"/>
      <c r="B11541" s="26"/>
      <c r="C11541" s="26"/>
      <c r="D11541" s="25" t="s">
        <v>36558</v>
      </c>
      <c r="E11541" s="25"/>
      <c r="F11541" s="25"/>
      <c r="G11541" s="25"/>
    </row>
    <row r="11542" spans="1:7" ht="24.36" thickBot="1" customHeight="1">
      <c r="A11542" s="24" t="s">
        <v>36559</v>
      </c>
      <c r="B11542" s="24" t="s">
        <v>36560</v>
      </c>
      <c r="C11542" s="24" t="s">
        <v>36561</v>
      </c>
      <c r="D11542" s="25" t="s">
        <v>36562</v>
      </c>
      <c r="E11542" s="28">
        <v>0.03200</v>
      </c>
      <c r="F11542" s="29">
        <f ca="1">ROUND(173.880,3)</f>
        <v>0</v>
      </c>
      <c r="G11542" s="27">
        <f ca="1">ROUND(E11542*F11542,2)</f>
        <v>0</v>
      </c>
    </row>
    <row r="11543" spans="1:7" ht="24.36" thickBot="1" customHeight="1">
      <c r="A11543" s="24" t="s">
        <v>36563</v>
      </c>
      <c r="B11543" s="24" t="s">
        <v>36564</v>
      </c>
      <c r="C11543" s="24" t="s">
        <v>36565</v>
      </c>
      <c r="D11543" s="25" t="s">
        <v>36566</v>
      </c>
      <c r="E11543" s="28">
        <v>0.01100</v>
      </c>
      <c r="F11543" s="29">
        <f ca="1">ROUND(4.730,3)</f>
        <v>0</v>
      </c>
      <c r="G11543" s="27">
        <f ca="1">ROUND(E11543*F11543,2)</f>
        <v>0</v>
      </c>
    </row>
    <row r="11544" spans="1:7" ht="30.60" thickBot="1" customHeight="1">
      <c r="A11544" s="24" t="s">
        <v>36567</v>
      </c>
      <c r="B11544" s="24" t="s">
        <v>36568</v>
      </c>
      <c r="C11544" s="24" t="s">
        <v>36569</v>
      </c>
      <c r="D11544" s="25" t="s">
        <v>36570</v>
      </c>
      <c r="E11544" s="28">
        <v>0.01100</v>
      </c>
      <c r="F11544" s="29">
        <f ca="1">ROUND(2.520,3)</f>
        <v>0</v>
      </c>
      <c r="G11544" s="27">
        <f ca="1">ROUND(E11544*F11544,2)</f>
        <v>0</v>
      </c>
    </row>
    <row r="11545" spans="1:7" ht="24.36" thickBot="1" customHeight="1">
      <c r="A11545" s="24" t="s">
        <v>36571</v>
      </c>
      <c r="B11545" s="24" t="s">
        <v>36572</v>
      </c>
      <c r="C11545" s="24" t="s">
        <v>36573</v>
      </c>
      <c r="D11545" s="25" t="s">
        <v>36574</v>
      </c>
      <c r="E11545" s="28">
        <v>0.01100</v>
      </c>
      <c r="F11545" s="29">
        <f ca="1">ROUND(4.060,3)</f>
        <v>0</v>
      </c>
      <c r="G11545" s="27">
        <f ca="1">ROUND(E11545*F11545,2)</f>
        <v>0</v>
      </c>
    </row>
    <row r="11546" spans="1:7" ht="24.36" thickBot="1" customHeight="1">
      <c r="A11546" s="24" t="s">
        <v>36575</v>
      </c>
      <c r="B11546" s="24" t="s">
        <v>36576</v>
      </c>
      <c r="C11546" s="24" t="s">
        <v>36577</v>
      </c>
      <c r="D11546" s="25" t="s">
        <v>36578</v>
      </c>
      <c r="E11546" s="28">
        <v>0.01500</v>
      </c>
      <c r="F11546" s="29">
        <f ca="1">ROUND(0.650,3)</f>
        <v>0</v>
      </c>
      <c r="G11546" s="27">
        <f ca="1">ROUND(E11546*F11546,2)</f>
        <v>0</v>
      </c>
    </row>
    <row r="11547" spans="1:7" ht="21.36" thickBot="1" customHeight="1">
      <c r="A11547" s="24" t="s">
        <v>36579</v>
      </c>
      <c r="B11547" s="24" t="s">
        <v>36580</v>
      </c>
      <c r="C11547" s="24" t="s">
        <v>36581</v>
      </c>
      <c r="D11547" s="25" t="s">
        <v>36582</v>
      </c>
      <c r="E11547" s="28">
        <v>0.28000</v>
      </c>
      <c r="F11547" s="29">
        <f ca="1">F11551</f>
        <v>0</v>
      </c>
      <c r="G11547" s="27">
        <f ca="1">ROUND(E11547*F11547,2)</f>
        <v>0</v>
      </c>
    </row>
    <row r="11548" spans="1:7" ht="24.36" thickBot="1" customHeight="1">
      <c r="A11548" s="24" t="s">
        <v>36583</v>
      </c>
      <c r="B11548" s="24" t="s">
        <v>36584</v>
      </c>
      <c r="C11548" s="24" t="s">
        <v>36585</v>
      </c>
      <c r="D11548" s="25" t="s">
        <v>36586</v>
      </c>
      <c r="E11548" s="28">
        <v>1.00000</v>
      </c>
      <c r="F11548" s="29">
        <f ca="1">ROUND(21.000,3)</f>
        <v>0</v>
      </c>
      <c r="G11548" s="27">
        <f ca="1">ROUND(E11548*F11548,2)</f>
        <v>0</v>
      </c>
    </row>
    <row r="11549" spans="1:7" ht="24.36" thickBot="1" customHeight="1">
      <c r="A11549" s="24" t="s">
        <v>36587</v>
      </c>
      <c r="B11549" s="24" t="s">
        <v>36588</v>
      </c>
      <c r="C11549" s="24" t="s">
        <v>36589</v>
      </c>
      <c r="D11549" s="25" t="s">
        <v>36590</v>
      </c>
      <c r="E11549" s="28">
        <v>1.00000</v>
      </c>
      <c r="F11549" s="29">
        <f ca="1">ROUND(19.000,3)</f>
        <v>0</v>
      </c>
      <c r="G11549" s="27">
        <f ca="1">ROUND(E11549*F11549,2)</f>
        <v>0</v>
      </c>
    </row>
    <row r="11550" spans="1:7" ht="24.36" thickBot="1" customHeight="1">
      <c r="A11550" s="24" t="s">
        <v>36591</v>
      </c>
      <c r="B11550" s="24" t="s">
        <v>36592</v>
      </c>
      <c r="C11550" s="24" t="s">
        <v>36593</v>
      </c>
      <c r="D11550" s="25" t="s">
        <v>36594</v>
      </c>
      <c r="E11550" s="28">
        <v>0.20000</v>
      </c>
      <c r="F11550" s="29">
        <f ca="1">ROUND(19.000,3)</f>
        <v>0</v>
      </c>
      <c r="G11550" s="27">
        <f ca="1">ROUND(E11550*F11550,2)</f>
        <v>0</v>
      </c>
    </row>
    <row r="11551" spans="1:7" ht="15.12" thickBot="1" customHeight="1">
      <c r="A11551" s="26"/>
      <c r="B11551" s="26"/>
      <c r="C11551" s="26"/>
      <c r="D11551" s="24" t="s">
        <v>36595</v>
      </c>
      <c r="E11551" s="28">
        <v>0.28000</v>
      </c>
      <c r="F11551" s="29">
        <f ca="1">ROUND((G11548+G11549+G11550),3)</f>
        <v>0</v>
      </c>
      <c r="G11551" s="27">
        <f ca="1">ROUND(E11551*F11551,2)</f>
        <v>0</v>
      </c>
    </row>
    <row r="11552" spans="1:7" ht="15.12" thickBot="1" customHeight="1">
      <c r="A11552" s="24" t="s">
        <v>36596</v>
      </c>
      <c r="B11552" s="24"/>
      <c r="C11552" s="24" t="s">
        <v>36597</v>
      </c>
      <c r="D11552" s="25" t="s">
        <v>36598</v>
      </c>
      <c r="E11552" s="28">
        <v>3.00000</v>
      </c>
      <c r="F11552" s="29">
        <f ca="1">ROUND(12.260,3)</f>
        <v>0</v>
      </c>
      <c r="G11552" s="27">
        <f ca="1">ROUND((E11552*F11552)/100,2)</f>
        <v>0</v>
      </c>
    </row>
    <row r="11553" spans="1:7" ht="15.48" thickBot="1" customHeight="1">
      <c r="A11553" s="30"/>
      <c r="B11553" s="30"/>
      <c r="C11553" s="30"/>
      <c r="D11553" s="31" t="s">
        <v>36599</v>
      </c>
      <c r="E11553" s="30"/>
      <c r="F11553" s="33">
        <f ca="1">ROUND((G11542+G11543+G11544+G11545+G11546+G11547+G11552)*(1+G2/100),2)</f>
        <v>0</v>
      </c>
      <c r="G11553" s="30"/>
    </row>
    <row r="11554" spans="1:7" ht="30.60" thickBot="1" customHeight="1">
      <c r="A11554" s="34" t="s">
        <v>36600</v>
      </c>
      <c r="B11554" s="35" t="s">
        <v>36601</v>
      </c>
      <c r="C11554" s="35" t="s">
        <v>36602</v>
      </c>
      <c r="D11554" s="36" t="s">
        <v>36603</v>
      </c>
      <c r="E11554" s="37"/>
      <c r="F11554" s="38">
        <f ca="1">F11567</f>
        <v>0</v>
      </c>
      <c r="G11554" s="37"/>
    </row>
    <row r="11555" spans="1:7" ht="39.84" thickBot="1" customHeight="1">
      <c r="A11555" s="26"/>
      <c r="B11555" s="26"/>
      <c r="C11555" s="26"/>
      <c r="D11555" s="25" t="s">
        <v>36604</v>
      </c>
      <c r="E11555" s="25"/>
      <c r="F11555" s="25"/>
      <c r="G11555" s="25"/>
    </row>
    <row r="11556" spans="1:7" ht="24.36" thickBot="1" customHeight="1">
      <c r="A11556" s="24" t="s">
        <v>36605</v>
      </c>
      <c r="B11556" s="24" t="s">
        <v>36606</v>
      </c>
      <c r="C11556" s="24" t="s">
        <v>36607</v>
      </c>
      <c r="D11556" s="25" t="s">
        <v>36608</v>
      </c>
      <c r="E11556" s="28">
        <v>0.03200</v>
      </c>
      <c r="F11556" s="29">
        <f ca="1">ROUND(173.880,3)</f>
        <v>0</v>
      </c>
      <c r="G11556" s="27">
        <f ca="1">ROUND(E11556*F11556,2)</f>
        <v>0</v>
      </c>
    </row>
    <row r="11557" spans="1:7" ht="24.36" thickBot="1" customHeight="1">
      <c r="A11557" s="24" t="s">
        <v>36609</v>
      </c>
      <c r="B11557" s="24" t="s">
        <v>36610</v>
      </c>
      <c r="C11557" s="24" t="s">
        <v>36611</v>
      </c>
      <c r="D11557" s="25" t="s">
        <v>36612</v>
      </c>
      <c r="E11557" s="28">
        <v>0.01100</v>
      </c>
      <c r="F11557" s="29">
        <f ca="1">ROUND(4.730,3)</f>
        <v>0</v>
      </c>
      <c r="G11557" s="27">
        <f ca="1">ROUND(E11557*F11557,2)</f>
        <v>0</v>
      </c>
    </row>
    <row r="11558" spans="1:7" ht="30.60" thickBot="1" customHeight="1">
      <c r="A11558" s="24" t="s">
        <v>36613</v>
      </c>
      <c r="B11558" s="24" t="s">
        <v>36614</v>
      </c>
      <c r="C11558" s="24" t="s">
        <v>36615</v>
      </c>
      <c r="D11558" s="25" t="s">
        <v>36616</v>
      </c>
      <c r="E11558" s="28">
        <v>0.01100</v>
      </c>
      <c r="F11558" s="29">
        <f ca="1">ROUND(2.520,3)</f>
        <v>0</v>
      </c>
      <c r="G11558" s="27">
        <f ca="1">ROUND(E11558*F11558,2)</f>
        <v>0</v>
      </c>
    </row>
    <row r="11559" spans="1:7" ht="24.36" thickBot="1" customHeight="1">
      <c r="A11559" s="24" t="s">
        <v>36617</v>
      </c>
      <c r="B11559" s="24" t="s">
        <v>36618</v>
      </c>
      <c r="C11559" s="24" t="s">
        <v>36619</v>
      </c>
      <c r="D11559" s="25" t="s">
        <v>36620</v>
      </c>
      <c r="E11559" s="28">
        <v>0.01100</v>
      </c>
      <c r="F11559" s="29">
        <f ca="1">ROUND(4.060,3)</f>
        <v>0</v>
      </c>
      <c r="G11559" s="27">
        <f ca="1">ROUND(E11559*F11559,2)</f>
        <v>0</v>
      </c>
    </row>
    <row r="11560" spans="1:7" ht="24.36" thickBot="1" customHeight="1">
      <c r="A11560" s="24" t="s">
        <v>36621</v>
      </c>
      <c r="B11560" s="24" t="s">
        <v>36622</v>
      </c>
      <c r="C11560" s="24" t="s">
        <v>36623</v>
      </c>
      <c r="D11560" s="25" t="s">
        <v>36624</v>
      </c>
      <c r="E11560" s="28">
        <v>0.01500</v>
      </c>
      <c r="F11560" s="29">
        <f ca="1">ROUND(0.650,3)</f>
        <v>0</v>
      </c>
      <c r="G11560" s="27">
        <f ca="1">ROUND(E11560*F11560,2)</f>
        <v>0</v>
      </c>
    </row>
    <row r="11561" spans="1:7" ht="24.36" thickBot="1" customHeight="1">
      <c r="A11561" s="24" t="s">
        <v>36625</v>
      </c>
      <c r="B11561" s="24" t="s">
        <v>36626</v>
      </c>
      <c r="C11561" s="24" t="s">
        <v>36627</v>
      </c>
      <c r="D11561" s="25" t="s">
        <v>36628</v>
      </c>
      <c r="E11561" s="28">
        <v>0.42000</v>
      </c>
      <c r="F11561" s="29">
        <f ca="1">F11565</f>
        <v>0</v>
      </c>
      <c r="G11561" s="27">
        <f ca="1">ROUND(E11561*F11561,2)</f>
        <v>0</v>
      </c>
    </row>
    <row r="11562" spans="1:7" ht="24.36" thickBot="1" customHeight="1">
      <c r="A11562" s="24" t="s">
        <v>36629</v>
      </c>
      <c r="B11562" s="24" t="s">
        <v>36630</v>
      </c>
      <c r="C11562" s="24" t="s">
        <v>36631</v>
      </c>
      <c r="D11562" s="25" t="s">
        <v>36632</v>
      </c>
      <c r="E11562" s="28">
        <v>1.00000</v>
      </c>
      <c r="F11562" s="29">
        <f ca="1">ROUND(21.000,3)</f>
        <v>0</v>
      </c>
      <c r="G11562" s="27">
        <f ca="1">ROUND(E11562*F11562,2)</f>
        <v>0</v>
      </c>
    </row>
    <row r="11563" spans="1:7" ht="24.36" thickBot="1" customHeight="1">
      <c r="A11563" s="24" t="s">
        <v>36633</v>
      </c>
      <c r="B11563" s="24" t="s">
        <v>36634</v>
      </c>
      <c r="C11563" s="24" t="s">
        <v>36635</v>
      </c>
      <c r="D11563" s="25" t="s">
        <v>36636</v>
      </c>
      <c r="E11563" s="28">
        <v>1.00000</v>
      </c>
      <c r="F11563" s="29">
        <f ca="1">ROUND(19.000,3)</f>
        <v>0</v>
      </c>
      <c r="G11563" s="27">
        <f ca="1">ROUND(E11563*F11563,2)</f>
        <v>0</v>
      </c>
    </row>
    <row r="11564" spans="1:7" ht="24.36" thickBot="1" customHeight="1">
      <c r="A11564" s="24" t="s">
        <v>36637</v>
      </c>
      <c r="B11564" s="24" t="s">
        <v>36638</v>
      </c>
      <c r="C11564" s="24" t="s">
        <v>36639</v>
      </c>
      <c r="D11564" s="25" t="s">
        <v>36640</v>
      </c>
      <c r="E11564" s="28">
        <v>0.50000</v>
      </c>
      <c r="F11564" s="29">
        <f ca="1">ROUND(19.000,3)</f>
        <v>0</v>
      </c>
      <c r="G11564" s="27">
        <f ca="1">ROUND(E11564*F11564,2)</f>
        <v>0</v>
      </c>
    </row>
    <row r="11565" spans="1:7" ht="15.12" thickBot="1" customHeight="1">
      <c r="A11565" s="26"/>
      <c r="B11565" s="26"/>
      <c r="C11565" s="26"/>
      <c r="D11565" s="24" t="s">
        <v>36641</v>
      </c>
      <c r="E11565" s="28">
        <v>0.42000</v>
      </c>
      <c r="F11565" s="29">
        <f ca="1">ROUND((G11562+G11563+G11564),3)</f>
        <v>0</v>
      </c>
      <c r="G11565" s="27">
        <f ca="1">ROUND(E11565*F11565,2)</f>
        <v>0</v>
      </c>
    </row>
    <row r="11566" spans="1:7" ht="15.12" thickBot="1" customHeight="1">
      <c r="A11566" s="24" t="s">
        <v>36642</v>
      </c>
      <c r="B11566" s="24"/>
      <c r="C11566" s="24" t="s">
        <v>36643</v>
      </c>
      <c r="D11566" s="25" t="s">
        <v>36644</v>
      </c>
      <c r="E11566" s="28">
        <v>3.00000</v>
      </c>
      <c r="F11566" s="29">
        <f ca="1">ROUND(20.790,3)</f>
        <v>0</v>
      </c>
      <c r="G11566" s="27">
        <f ca="1">ROUND((E11566*F11566)/100,2)</f>
        <v>0</v>
      </c>
    </row>
    <row r="11567" spans="1:7" ht="15.48" thickBot="1" customHeight="1">
      <c r="A11567" s="30"/>
      <c r="B11567" s="30"/>
      <c r="C11567" s="30"/>
      <c r="D11567" s="31" t="s">
        <v>36645</v>
      </c>
      <c r="E11567" s="30"/>
      <c r="F11567" s="33">
        <f ca="1">ROUND((G11556+G11557+G11558+G11559+G11560+G11561+G11566)*(1+G2/100),2)</f>
        <v>0</v>
      </c>
      <c r="G11567" s="30"/>
    </row>
    <row r="11568" spans="1:7" ht="15.48" thickBot="1" customHeight="1">
      <c r="A11568" s="34" t="s">
        <v>36646</v>
      </c>
      <c r="B11568" s="35" t="s">
        <v>36647</v>
      </c>
      <c r="C11568" s="35" t="s">
        <v>36648</v>
      </c>
      <c r="D11568" s="36" t="s">
        <v>36649</v>
      </c>
      <c r="E11568" s="37"/>
      <c r="F11568" s="38">
        <f ca="1">F11578</f>
        <v>0</v>
      </c>
      <c r="G11568" s="37"/>
    </row>
    <row r="11569" spans="1:7" ht="39.84" thickBot="1" customHeight="1">
      <c r="A11569" s="26"/>
      <c r="B11569" s="26"/>
      <c r="C11569" s="26"/>
      <c r="D11569" s="25" t="s">
        <v>36650</v>
      </c>
      <c r="E11569" s="25"/>
      <c r="F11569" s="25"/>
      <c r="G11569" s="25"/>
    </row>
    <row r="11570" spans="1:7" ht="15.12" thickBot="1" customHeight="1">
      <c r="A11570" s="24" t="s">
        <v>36651</v>
      </c>
      <c r="B11570" s="24" t="s">
        <v>36652</v>
      </c>
      <c r="C11570" s="24" t="s">
        <v>36653</v>
      </c>
      <c r="D11570" s="25" t="s">
        <v>36654</v>
      </c>
      <c r="E11570" s="28">
        <v>0.17500</v>
      </c>
      <c r="F11570" s="29">
        <f ca="1">ROUND(6.660,3)</f>
        <v>0</v>
      </c>
      <c r="G11570" s="27">
        <f ca="1">ROUND(E11570*F11570,2)</f>
        <v>0</v>
      </c>
    </row>
    <row r="11571" spans="1:7" ht="15.12" thickBot="1" customHeight="1">
      <c r="A11571" s="24" t="s">
        <v>36655</v>
      </c>
      <c r="B11571" s="24" t="s">
        <v>36656</v>
      </c>
      <c r="C11571" s="24" t="s">
        <v>36657</v>
      </c>
      <c r="D11571" s="25" t="s">
        <v>36658</v>
      </c>
      <c r="E11571" s="28">
        <v>0.58000</v>
      </c>
      <c r="F11571" s="29">
        <f ca="1">ROUND(16.500,3)</f>
        <v>0</v>
      </c>
      <c r="G11571" s="27">
        <f ca="1">ROUND(E11571*F11571,2)</f>
        <v>0</v>
      </c>
    </row>
    <row r="11572" spans="1:7" ht="21.36" thickBot="1" customHeight="1">
      <c r="A11572" s="24" t="s">
        <v>36659</v>
      </c>
      <c r="B11572" s="24" t="s">
        <v>36660</v>
      </c>
      <c r="C11572" s="24" t="s">
        <v>36661</v>
      </c>
      <c r="D11572" s="25" t="s">
        <v>36662</v>
      </c>
      <c r="E11572" s="28">
        <v>0.18000</v>
      </c>
      <c r="F11572" s="29">
        <f ca="1">F11576</f>
        <v>0</v>
      </c>
      <c r="G11572" s="27">
        <f ca="1">ROUND(E11572*F11572,2)</f>
        <v>0</v>
      </c>
    </row>
    <row r="11573" spans="1:7" ht="24.36" thickBot="1" customHeight="1">
      <c r="A11573" s="24" t="s">
        <v>36663</v>
      </c>
      <c r="B11573" s="24" t="s">
        <v>36664</v>
      </c>
      <c r="C11573" s="24" t="s">
        <v>36665</v>
      </c>
      <c r="D11573" s="25" t="s">
        <v>36666</v>
      </c>
      <c r="E11573" s="28">
        <v>1.00000</v>
      </c>
      <c r="F11573" s="29">
        <f ca="1">ROUND(21.000,3)</f>
        <v>0</v>
      </c>
      <c r="G11573" s="27">
        <f ca="1">ROUND(E11573*F11573,2)</f>
        <v>0</v>
      </c>
    </row>
    <row r="11574" spans="1:7" ht="24.36" thickBot="1" customHeight="1">
      <c r="A11574" s="24" t="s">
        <v>36667</v>
      </c>
      <c r="B11574" s="24" t="s">
        <v>36668</v>
      </c>
      <c r="C11574" s="24" t="s">
        <v>36669</v>
      </c>
      <c r="D11574" s="25" t="s">
        <v>36670</v>
      </c>
      <c r="E11574" s="28">
        <v>1.00000</v>
      </c>
      <c r="F11574" s="29">
        <f ca="1">ROUND(19.000,3)</f>
        <v>0</v>
      </c>
      <c r="G11574" s="27">
        <f ca="1">ROUND(E11574*F11574,2)</f>
        <v>0</v>
      </c>
    </row>
    <row r="11575" spans="1:7" ht="24.36" thickBot="1" customHeight="1">
      <c r="A11575" s="24" t="s">
        <v>36671</v>
      </c>
      <c r="B11575" s="24" t="s">
        <v>36672</v>
      </c>
      <c r="C11575" s="24" t="s">
        <v>36673</v>
      </c>
      <c r="D11575" s="25" t="s">
        <v>36674</v>
      </c>
      <c r="E11575" s="28">
        <v>0.20000</v>
      </c>
      <c r="F11575" s="29">
        <f ca="1">ROUND(19.000,3)</f>
        <v>0</v>
      </c>
      <c r="G11575" s="27">
        <f ca="1">ROUND(E11575*F11575,2)</f>
        <v>0</v>
      </c>
    </row>
    <row r="11576" spans="1:7" ht="15.12" thickBot="1" customHeight="1">
      <c r="A11576" s="26"/>
      <c r="B11576" s="26"/>
      <c r="C11576" s="26"/>
      <c r="D11576" s="24" t="s">
        <v>36675</v>
      </c>
      <c r="E11576" s="28">
        <v>0.18000</v>
      </c>
      <c r="F11576" s="29">
        <f ca="1">ROUND((G11573+G11574+G11575),3)</f>
        <v>0</v>
      </c>
      <c r="G11576" s="27">
        <f ca="1">ROUND(E11576*F11576,2)</f>
        <v>0</v>
      </c>
    </row>
    <row r="11577" spans="1:7" ht="15.12" thickBot="1" customHeight="1">
      <c r="A11577" s="24" t="s">
        <v>36676</v>
      </c>
      <c r="B11577" s="24"/>
      <c r="C11577" s="24" t="s">
        <v>36677</v>
      </c>
      <c r="D11577" s="25" t="s">
        <v>36678</v>
      </c>
      <c r="E11577" s="28">
        <v>3.00000</v>
      </c>
      <c r="F11577" s="29">
        <f ca="1">ROUND(7.880,3)</f>
        <v>0</v>
      </c>
      <c r="G11577" s="27">
        <f ca="1">ROUND((E11577*F11577)/100,2)</f>
        <v>0</v>
      </c>
    </row>
    <row r="11578" spans="1:7" ht="15.48" thickBot="1" customHeight="1">
      <c r="A11578" s="30"/>
      <c r="B11578" s="30"/>
      <c r="C11578" s="30"/>
      <c r="D11578" s="31" t="s">
        <v>36679</v>
      </c>
      <c r="E11578" s="30"/>
      <c r="F11578" s="33">
        <f ca="1">ROUND((G11570+G11571+G11572+G11577)*(1+G2/100),2)</f>
        <v>0</v>
      </c>
      <c r="G11578" s="30"/>
    </row>
    <row r="11579" spans="1:7" ht="21.36" thickBot="1" customHeight="1">
      <c r="A11579" s="34" t="s">
        <v>36680</v>
      </c>
      <c r="B11579" s="35" t="s">
        <v>36681</v>
      </c>
      <c r="C11579" s="35" t="s">
        <v>36682</v>
      </c>
      <c r="D11579" s="36" t="s">
        <v>36683</v>
      </c>
      <c r="E11579" s="37"/>
      <c r="F11579" s="38">
        <f ca="1">F11589</f>
        <v>0</v>
      </c>
      <c r="G11579" s="37"/>
    </row>
    <row r="11580" spans="1:7" ht="39.84" thickBot="1" customHeight="1">
      <c r="A11580" s="26"/>
      <c r="B11580" s="26"/>
      <c r="C11580" s="26"/>
      <c r="D11580" s="25" t="s">
        <v>36684</v>
      </c>
      <c r="E11580" s="25"/>
      <c r="F11580" s="25"/>
      <c r="G11580" s="25"/>
    </row>
    <row r="11581" spans="1:7" ht="15.12" thickBot="1" customHeight="1">
      <c r="A11581" s="24" t="s">
        <v>36685</v>
      </c>
      <c r="B11581" s="24" t="s">
        <v>36686</v>
      </c>
      <c r="C11581" s="24" t="s">
        <v>36687</v>
      </c>
      <c r="D11581" s="25" t="s">
        <v>36688</v>
      </c>
      <c r="E11581" s="28">
        <v>0.58000</v>
      </c>
      <c r="F11581" s="29">
        <f ca="1">ROUND(16.500,3)</f>
        <v>0</v>
      </c>
      <c r="G11581" s="27">
        <f ca="1">ROUND(E11581*F11581,2)</f>
        <v>0</v>
      </c>
    </row>
    <row r="11582" spans="1:7" ht="15.12" thickBot="1" customHeight="1">
      <c r="A11582" s="24" t="s">
        <v>36689</v>
      </c>
      <c r="B11582" s="24" t="s">
        <v>36690</v>
      </c>
      <c r="C11582" s="24" t="s">
        <v>36691</v>
      </c>
      <c r="D11582" s="25" t="s">
        <v>36692</v>
      </c>
      <c r="E11582" s="28">
        <v>0.17500</v>
      </c>
      <c r="F11582" s="29">
        <f ca="1">ROUND(6.660,3)</f>
        <v>0</v>
      </c>
      <c r="G11582" s="27">
        <f ca="1">ROUND(E11582*F11582,2)</f>
        <v>0</v>
      </c>
    </row>
    <row r="11583" spans="1:7" ht="24.36" thickBot="1" customHeight="1">
      <c r="A11583" s="24" t="s">
        <v>36693</v>
      </c>
      <c r="B11583" s="24" t="s">
        <v>36694</v>
      </c>
      <c r="C11583" s="24" t="s">
        <v>36695</v>
      </c>
      <c r="D11583" s="25" t="s">
        <v>36696</v>
      </c>
      <c r="E11583" s="28">
        <v>0.40000</v>
      </c>
      <c r="F11583" s="29">
        <f ca="1">F11587</f>
        <v>0</v>
      </c>
      <c r="G11583" s="27">
        <f ca="1">ROUND(E11583*F11583,2)</f>
        <v>0</v>
      </c>
    </row>
    <row r="11584" spans="1:7" ht="24.36" thickBot="1" customHeight="1">
      <c r="A11584" s="24" t="s">
        <v>36697</v>
      </c>
      <c r="B11584" s="24" t="s">
        <v>36698</v>
      </c>
      <c r="C11584" s="24" t="s">
        <v>36699</v>
      </c>
      <c r="D11584" s="25" t="s">
        <v>36700</v>
      </c>
      <c r="E11584" s="28">
        <v>1.00000</v>
      </c>
      <c r="F11584" s="29">
        <f ca="1">ROUND(21.000,3)</f>
        <v>0</v>
      </c>
      <c r="G11584" s="27">
        <f ca="1">ROUND(E11584*F11584,2)</f>
        <v>0</v>
      </c>
    </row>
    <row r="11585" spans="1:7" ht="24.36" thickBot="1" customHeight="1">
      <c r="A11585" s="24" t="s">
        <v>36701</v>
      </c>
      <c r="B11585" s="24" t="s">
        <v>36702</v>
      </c>
      <c r="C11585" s="24" t="s">
        <v>36703</v>
      </c>
      <c r="D11585" s="25" t="s">
        <v>36704</v>
      </c>
      <c r="E11585" s="28">
        <v>1.00000</v>
      </c>
      <c r="F11585" s="29">
        <f ca="1">ROUND(19.000,3)</f>
        <v>0</v>
      </c>
      <c r="G11585" s="27">
        <f ca="1">ROUND(E11585*F11585,2)</f>
        <v>0</v>
      </c>
    </row>
    <row r="11586" spans="1:7" ht="24.36" thickBot="1" customHeight="1">
      <c r="A11586" s="24" t="s">
        <v>36705</v>
      </c>
      <c r="B11586" s="24" t="s">
        <v>36706</v>
      </c>
      <c r="C11586" s="24" t="s">
        <v>36707</v>
      </c>
      <c r="D11586" s="25" t="s">
        <v>36708</v>
      </c>
      <c r="E11586" s="28">
        <v>0.50000</v>
      </c>
      <c r="F11586" s="29">
        <f ca="1">ROUND(19.000,3)</f>
        <v>0</v>
      </c>
      <c r="G11586" s="27">
        <f ca="1">ROUND(E11586*F11586,2)</f>
        <v>0</v>
      </c>
    </row>
    <row r="11587" spans="1:7" ht="15.12" thickBot="1" customHeight="1">
      <c r="A11587" s="26"/>
      <c r="B11587" s="26"/>
      <c r="C11587" s="26"/>
      <c r="D11587" s="24" t="s">
        <v>36709</v>
      </c>
      <c r="E11587" s="28">
        <v>0.40000</v>
      </c>
      <c r="F11587" s="29">
        <f ca="1">ROUND((G11584+G11585+G11586),3)</f>
        <v>0</v>
      </c>
      <c r="G11587" s="27">
        <f ca="1">ROUND(E11587*F11587,2)</f>
        <v>0</v>
      </c>
    </row>
    <row r="11588" spans="1:7" ht="15.12" thickBot="1" customHeight="1">
      <c r="A11588" s="24" t="s">
        <v>36710</v>
      </c>
      <c r="B11588" s="24"/>
      <c r="C11588" s="24" t="s">
        <v>36711</v>
      </c>
      <c r="D11588" s="25" t="s">
        <v>36712</v>
      </c>
      <c r="E11588" s="28">
        <v>3.00000</v>
      </c>
      <c r="F11588" s="29">
        <f ca="1">ROUND(19.800,3)</f>
        <v>0</v>
      </c>
      <c r="G11588" s="27">
        <f ca="1">ROUND((E11588*F11588)/100,2)</f>
        <v>0</v>
      </c>
    </row>
    <row r="11589" spans="1:7" ht="15.48" thickBot="1" customHeight="1">
      <c r="A11589" s="30"/>
      <c r="B11589" s="30"/>
      <c r="C11589" s="30"/>
      <c r="D11589" s="31" t="s">
        <v>36713</v>
      </c>
      <c r="E11589" s="30"/>
      <c r="F11589" s="33">
        <f ca="1">ROUND((G11581+G11582+G11583+G11588)*(1+G2/100),2)</f>
        <v>0</v>
      </c>
      <c r="G11589" s="30"/>
    </row>
    <row r="11590" spans="1:7" ht="21.36" thickBot="1" customHeight="1">
      <c r="A11590" s="34" t="s">
        <v>36714</v>
      </c>
      <c r="B11590" s="35" t="s">
        <v>36715</v>
      </c>
      <c r="C11590" s="35" t="s">
        <v>36716</v>
      </c>
      <c r="D11590" s="36" t="s">
        <v>36717</v>
      </c>
      <c r="E11590" s="37"/>
      <c r="F11590" s="38">
        <f ca="1">F11600</f>
        <v>0</v>
      </c>
      <c r="G11590" s="37"/>
    </row>
    <row r="11591" spans="1:7" ht="21.36" thickBot="1" customHeight="1">
      <c r="A11591" s="26"/>
      <c r="B11591" s="26"/>
      <c r="C11591" s="26"/>
      <c r="D11591" s="25" t="s">
        <v>36718</v>
      </c>
      <c r="E11591" s="25"/>
      <c r="F11591" s="25"/>
      <c r="G11591" s="25"/>
    </row>
    <row r="11592" spans="1:7" ht="30.60" thickBot="1" customHeight="1">
      <c r="A11592" s="24" t="s">
        <v>36719</v>
      </c>
      <c r="B11592" s="24" t="s">
        <v>36720</v>
      </c>
      <c r="C11592" s="24" t="s">
        <v>36721</v>
      </c>
      <c r="D11592" s="25" t="s">
        <v>36722</v>
      </c>
      <c r="E11592" s="28">
        <v>0.05000</v>
      </c>
      <c r="F11592" s="29">
        <f ca="1">ROUND(32.220,3)</f>
        <v>0</v>
      </c>
      <c r="G11592" s="27">
        <f ca="1">ROUND(E11592*F11592,2)</f>
        <v>0</v>
      </c>
    </row>
    <row r="11593" spans="1:7" ht="39.84" thickBot="1" customHeight="1">
      <c r="A11593" s="24" t="s">
        <v>36723</v>
      </c>
      <c r="B11593" s="24" t="s">
        <v>36724</v>
      </c>
      <c r="C11593" s="24" t="s">
        <v>36725</v>
      </c>
      <c r="D11593" s="25" t="s">
        <v>36726</v>
      </c>
      <c r="E11593" s="28">
        <v>0.13600</v>
      </c>
      <c r="F11593" s="29">
        <f ca="1">ROUND(33.050,3)</f>
        <v>0</v>
      </c>
      <c r="G11593" s="27">
        <f ca="1">ROUND(E11593*F11593,2)</f>
        <v>0</v>
      </c>
    </row>
    <row r="11594" spans="1:7" ht="21.36" thickBot="1" customHeight="1">
      <c r="A11594" s="24" t="s">
        <v>36727</v>
      </c>
      <c r="B11594" s="24" t="s">
        <v>36728</v>
      </c>
      <c r="C11594" s="24" t="s">
        <v>36729</v>
      </c>
      <c r="D11594" s="25" t="s">
        <v>36730</v>
      </c>
      <c r="E11594" s="28">
        <v>0.30000</v>
      </c>
      <c r="F11594" s="29">
        <f ca="1">F11598</f>
        <v>0</v>
      </c>
      <c r="G11594" s="27">
        <f ca="1">ROUND(E11594*F11594,2)</f>
        <v>0</v>
      </c>
    </row>
    <row r="11595" spans="1:7" ht="24.36" thickBot="1" customHeight="1">
      <c r="A11595" s="24" t="s">
        <v>36731</v>
      </c>
      <c r="B11595" s="24" t="s">
        <v>36732</v>
      </c>
      <c r="C11595" s="24" t="s">
        <v>36733</v>
      </c>
      <c r="D11595" s="25" t="s">
        <v>36734</v>
      </c>
      <c r="E11595" s="28">
        <v>1.00000</v>
      </c>
      <c r="F11595" s="29">
        <f ca="1">ROUND(21.000,3)</f>
        <v>0</v>
      </c>
      <c r="G11595" s="27">
        <f ca="1">ROUND(E11595*F11595,2)</f>
        <v>0</v>
      </c>
    </row>
    <row r="11596" spans="1:7" ht="24.36" thickBot="1" customHeight="1">
      <c r="A11596" s="24" t="s">
        <v>36735</v>
      </c>
      <c r="B11596" s="24" t="s">
        <v>36736</v>
      </c>
      <c r="C11596" s="24" t="s">
        <v>36737</v>
      </c>
      <c r="D11596" s="25" t="s">
        <v>36738</v>
      </c>
      <c r="E11596" s="28">
        <v>1.00000</v>
      </c>
      <c r="F11596" s="29">
        <f ca="1">ROUND(19.000,3)</f>
        <v>0</v>
      </c>
      <c r="G11596" s="27">
        <f ca="1">ROUND(E11596*F11596,2)</f>
        <v>0</v>
      </c>
    </row>
    <row r="11597" spans="1:7" ht="24.36" thickBot="1" customHeight="1">
      <c r="A11597" s="24" t="s">
        <v>36739</v>
      </c>
      <c r="B11597" s="24" t="s">
        <v>36740</v>
      </c>
      <c r="C11597" s="24" t="s">
        <v>36741</v>
      </c>
      <c r="D11597" s="25" t="s">
        <v>36742</v>
      </c>
      <c r="E11597" s="28">
        <v>0.20000</v>
      </c>
      <c r="F11597" s="29">
        <f ca="1">ROUND(19.000,3)</f>
        <v>0</v>
      </c>
      <c r="G11597" s="27">
        <f ca="1">ROUND(E11597*F11597,2)</f>
        <v>0</v>
      </c>
    </row>
    <row r="11598" spans="1:7" ht="15.12" thickBot="1" customHeight="1">
      <c r="A11598" s="26"/>
      <c r="B11598" s="26"/>
      <c r="C11598" s="26"/>
      <c r="D11598" s="24" t="s">
        <v>36743</v>
      </c>
      <c r="E11598" s="28">
        <v>0.30000</v>
      </c>
      <c r="F11598" s="29">
        <f ca="1">ROUND((G11595+G11596+G11597),3)</f>
        <v>0</v>
      </c>
      <c r="G11598" s="27">
        <f ca="1">ROUND(E11598*F11598,2)</f>
        <v>0</v>
      </c>
    </row>
    <row r="11599" spans="1:7" ht="15.12" thickBot="1" customHeight="1">
      <c r="A11599" s="24" t="s">
        <v>36744</v>
      </c>
      <c r="B11599" s="24"/>
      <c r="C11599" s="24" t="s">
        <v>36745</v>
      </c>
      <c r="D11599" s="25" t="s">
        <v>36746</v>
      </c>
      <c r="E11599" s="28">
        <v>3.00000</v>
      </c>
      <c r="F11599" s="29">
        <f ca="1">ROUND(13.140,3)</f>
        <v>0</v>
      </c>
      <c r="G11599" s="27">
        <f ca="1">ROUND((E11599*F11599)/100,2)</f>
        <v>0</v>
      </c>
    </row>
    <row r="11600" spans="1:7" ht="15.48" thickBot="1" customHeight="1">
      <c r="A11600" s="30"/>
      <c r="B11600" s="30"/>
      <c r="C11600" s="30"/>
      <c r="D11600" s="31" t="s">
        <v>36747</v>
      </c>
      <c r="E11600" s="30"/>
      <c r="F11600" s="33">
        <f ca="1">ROUND((G11592+G11593+G11594+G11599)*(1+G2/100),2)</f>
        <v>0</v>
      </c>
      <c r="G11600" s="30"/>
    </row>
    <row r="11601" spans="1:7" ht="30.60" thickBot="1" customHeight="1">
      <c r="A11601" s="34" t="s">
        <v>36748</v>
      </c>
      <c r="B11601" s="35" t="s">
        <v>36749</v>
      </c>
      <c r="C11601" s="35" t="s">
        <v>36750</v>
      </c>
      <c r="D11601" s="36" t="s">
        <v>36751</v>
      </c>
      <c r="E11601" s="37"/>
      <c r="F11601" s="38">
        <f ca="1">F11611</f>
        <v>0</v>
      </c>
      <c r="G11601" s="37"/>
    </row>
    <row r="11602" spans="1:7" ht="39.84" thickBot="1" customHeight="1">
      <c r="A11602" s="26"/>
      <c r="B11602" s="26"/>
      <c r="C11602" s="26"/>
      <c r="D11602" s="25" t="s">
        <v>36752</v>
      </c>
      <c r="E11602" s="25"/>
      <c r="F11602" s="25"/>
      <c r="G11602" s="25"/>
    </row>
    <row r="11603" spans="1:7" ht="39.84" thickBot="1" customHeight="1">
      <c r="A11603" s="24" t="s">
        <v>36753</v>
      </c>
      <c r="B11603" s="24" t="s">
        <v>36754</v>
      </c>
      <c r="C11603" s="24" t="s">
        <v>36755</v>
      </c>
      <c r="D11603" s="25" t="s">
        <v>36756</v>
      </c>
      <c r="E11603" s="28">
        <v>0.07500</v>
      </c>
      <c r="F11603" s="29">
        <f ca="1">ROUND(29.780,3)</f>
        <v>0</v>
      </c>
      <c r="G11603" s="27">
        <f ca="1">ROUND(E11603*F11603,2)</f>
        <v>0</v>
      </c>
    </row>
    <row r="11604" spans="1:7" ht="30.60" thickBot="1" customHeight="1">
      <c r="A11604" s="24" t="s">
        <v>36757</v>
      </c>
      <c r="B11604" s="24" t="s">
        <v>36758</v>
      </c>
      <c r="C11604" s="24" t="s">
        <v>36759</v>
      </c>
      <c r="D11604" s="25" t="s">
        <v>36760</v>
      </c>
      <c r="E11604" s="28">
        <v>0.10000</v>
      </c>
      <c r="F11604" s="29">
        <f ca="1">ROUND(5.820,3)</f>
        <v>0</v>
      </c>
      <c r="G11604" s="27">
        <f ca="1">ROUND(E11604*F11604,2)</f>
        <v>0</v>
      </c>
    </row>
    <row r="11605" spans="1:7" ht="21.36" thickBot="1" customHeight="1">
      <c r="A11605" s="24" t="s">
        <v>36761</v>
      </c>
      <c r="B11605" s="24" t="s">
        <v>36762</v>
      </c>
      <c r="C11605" s="24" t="s">
        <v>36763</v>
      </c>
      <c r="D11605" s="25" t="s">
        <v>36764</v>
      </c>
      <c r="E11605" s="28">
        <v>0.23000</v>
      </c>
      <c r="F11605" s="29">
        <f ca="1">F11609</f>
        <v>0</v>
      </c>
      <c r="G11605" s="27">
        <f ca="1">ROUND(E11605*F11605,2)</f>
        <v>0</v>
      </c>
    </row>
    <row r="11606" spans="1:7" ht="24.36" thickBot="1" customHeight="1">
      <c r="A11606" s="24" t="s">
        <v>36765</v>
      </c>
      <c r="B11606" s="24" t="s">
        <v>36766</v>
      </c>
      <c r="C11606" s="24" t="s">
        <v>36767</v>
      </c>
      <c r="D11606" s="25" t="s">
        <v>36768</v>
      </c>
      <c r="E11606" s="28">
        <v>1.00000</v>
      </c>
      <c r="F11606" s="29">
        <f ca="1">ROUND(21.000,3)</f>
        <v>0</v>
      </c>
      <c r="G11606" s="27">
        <f ca="1">ROUND(E11606*F11606,2)</f>
        <v>0</v>
      </c>
    </row>
    <row r="11607" spans="1:7" ht="24.36" thickBot="1" customHeight="1">
      <c r="A11607" s="24" t="s">
        <v>36769</v>
      </c>
      <c r="B11607" s="24" t="s">
        <v>36770</v>
      </c>
      <c r="C11607" s="24" t="s">
        <v>36771</v>
      </c>
      <c r="D11607" s="25" t="s">
        <v>36772</v>
      </c>
      <c r="E11607" s="28">
        <v>1.00000</v>
      </c>
      <c r="F11607" s="29">
        <f ca="1">ROUND(19.000,3)</f>
        <v>0</v>
      </c>
      <c r="G11607" s="27">
        <f ca="1">ROUND(E11607*F11607,2)</f>
        <v>0</v>
      </c>
    </row>
    <row r="11608" spans="1:7" ht="24.36" thickBot="1" customHeight="1">
      <c r="A11608" s="24" t="s">
        <v>36773</v>
      </c>
      <c r="B11608" s="24" t="s">
        <v>36774</v>
      </c>
      <c r="C11608" s="24" t="s">
        <v>36775</v>
      </c>
      <c r="D11608" s="25" t="s">
        <v>36776</v>
      </c>
      <c r="E11608" s="28">
        <v>0.20000</v>
      </c>
      <c r="F11608" s="29">
        <f ca="1">ROUND(19.000,3)</f>
        <v>0</v>
      </c>
      <c r="G11608" s="27">
        <f ca="1">ROUND(E11608*F11608,2)</f>
        <v>0</v>
      </c>
    </row>
    <row r="11609" spans="1:7" ht="15.12" thickBot="1" customHeight="1">
      <c r="A11609" s="26"/>
      <c r="B11609" s="26"/>
      <c r="C11609" s="26"/>
      <c r="D11609" s="24" t="s">
        <v>36777</v>
      </c>
      <c r="E11609" s="28">
        <v>0.23000</v>
      </c>
      <c r="F11609" s="29">
        <f ca="1">ROUND((G11606+G11607+G11608),3)</f>
        <v>0</v>
      </c>
      <c r="G11609" s="27">
        <f ca="1">ROUND(E11609*F11609,2)</f>
        <v>0</v>
      </c>
    </row>
    <row r="11610" spans="1:7" ht="15.12" thickBot="1" customHeight="1">
      <c r="A11610" s="24" t="s">
        <v>36778</v>
      </c>
      <c r="B11610" s="24"/>
      <c r="C11610" s="24" t="s">
        <v>36779</v>
      </c>
      <c r="D11610" s="25" t="s">
        <v>36780</v>
      </c>
      <c r="E11610" s="28">
        <v>3.00000</v>
      </c>
      <c r="F11610" s="29">
        <f ca="1">ROUND(10.070,3)</f>
        <v>0</v>
      </c>
      <c r="G11610" s="27">
        <f ca="1">ROUND((E11610*F11610)/100,2)</f>
        <v>0</v>
      </c>
    </row>
    <row r="11611" spans="1:7" ht="15.48" thickBot="1" customHeight="1">
      <c r="A11611" s="30"/>
      <c r="B11611" s="30"/>
      <c r="C11611" s="30"/>
      <c r="D11611" s="31" t="s">
        <v>36781</v>
      </c>
      <c r="E11611" s="30"/>
      <c r="F11611" s="33">
        <f ca="1">ROUND((G11603+G11604+G11605+G11610)*(1+G2/100),2)</f>
        <v>0</v>
      </c>
      <c r="G11611" s="30"/>
    </row>
    <row r="11612" spans="1:7" ht="30.60" thickBot="1" customHeight="1">
      <c r="A11612" s="34" t="s">
        <v>36782</v>
      </c>
      <c r="B11612" s="35" t="s">
        <v>36783</v>
      </c>
      <c r="C11612" s="35" t="s">
        <v>36784</v>
      </c>
      <c r="D11612" s="36" t="s">
        <v>36785</v>
      </c>
      <c r="E11612" s="37"/>
      <c r="F11612" s="38">
        <f ca="1">F11622</f>
        <v>0</v>
      </c>
      <c r="G11612" s="37"/>
    </row>
    <row r="11613" spans="1:7" ht="49.08" thickBot="1" customHeight="1">
      <c r="A11613" s="26"/>
      <c r="B11613" s="26"/>
      <c r="C11613" s="26"/>
      <c r="D11613" s="25" t="s">
        <v>36786</v>
      </c>
      <c r="E11613" s="25"/>
      <c r="F11613" s="25"/>
      <c r="G11613" s="25"/>
    </row>
    <row r="11614" spans="1:7" ht="21.36" thickBot="1" customHeight="1">
      <c r="A11614" s="24" t="s">
        <v>36787</v>
      </c>
      <c r="B11614" s="24" t="s">
        <v>36788</v>
      </c>
      <c r="C11614" s="24" t="s">
        <v>36789</v>
      </c>
      <c r="D11614" s="25" t="s">
        <v>36790</v>
      </c>
      <c r="E11614" s="28">
        <v>0.07500</v>
      </c>
      <c r="F11614" s="29">
        <f ca="1">ROUND(53.500,3)</f>
        <v>0</v>
      </c>
      <c r="G11614" s="27">
        <f ca="1">ROUND(E11614*F11614,2)</f>
        <v>0</v>
      </c>
    </row>
    <row r="11615" spans="1:7" ht="15.12" thickBot="1" customHeight="1">
      <c r="A11615" s="24" t="s">
        <v>36791</v>
      </c>
      <c r="B11615" s="24" t="s">
        <v>36792</v>
      </c>
      <c r="C11615" s="24" t="s">
        <v>36793</v>
      </c>
      <c r="D11615" s="25" t="s">
        <v>36794</v>
      </c>
      <c r="E11615" s="28">
        <v>0.10000</v>
      </c>
      <c r="F11615" s="29">
        <f ca="1">ROUND(9.270,3)</f>
        <v>0</v>
      </c>
      <c r="G11615" s="27">
        <f ca="1">ROUND(E11615*F11615,2)</f>
        <v>0</v>
      </c>
    </row>
    <row r="11616" spans="1:7" ht="21.36" thickBot="1" customHeight="1">
      <c r="A11616" s="24" t="s">
        <v>36795</v>
      </c>
      <c r="B11616" s="24" t="s">
        <v>36796</v>
      </c>
      <c r="C11616" s="24" t="s">
        <v>36797</v>
      </c>
      <c r="D11616" s="25" t="s">
        <v>36798</v>
      </c>
      <c r="E11616" s="28">
        <v>0.23000</v>
      </c>
      <c r="F11616" s="29">
        <f ca="1">F11620</f>
        <v>0</v>
      </c>
      <c r="G11616" s="27">
        <f ca="1">ROUND(E11616*F11616,2)</f>
        <v>0</v>
      </c>
    </row>
    <row r="11617" spans="1:7" ht="24.36" thickBot="1" customHeight="1">
      <c r="A11617" s="24" t="s">
        <v>36799</v>
      </c>
      <c r="B11617" s="24" t="s">
        <v>36800</v>
      </c>
      <c r="C11617" s="24" t="s">
        <v>36801</v>
      </c>
      <c r="D11617" s="25" t="s">
        <v>36802</v>
      </c>
      <c r="E11617" s="28">
        <v>1.00000</v>
      </c>
      <c r="F11617" s="29">
        <f ca="1">ROUND(21.000,3)</f>
        <v>0</v>
      </c>
      <c r="G11617" s="27">
        <f ca="1">ROUND(E11617*F11617,2)</f>
        <v>0</v>
      </c>
    </row>
    <row r="11618" spans="1:7" ht="24.36" thickBot="1" customHeight="1">
      <c r="A11618" s="24" t="s">
        <v>36803</v>
      </c>
      <c r="B11618" s="24" t="s">
        <v>36804</v>
      </c>
      <c r="C11618" s="24" t="s">
        <v>36805</v>
      </c>
      <c r="D11618" s="25" t="s">
        <v>36806</v>
      </c>
      <c r="E11618" s="28">
        <v>1.00000</v>
      </c>
      <c r="F11618" s="29">
        <f ca="1">ROUND(19.000,3)</f>
        <v>0</v>
      </c>
      <c r="G11618" s="27">
        <f ca="1">ROUND(E11618*F11618,2)</f>
        <v>0</v>
      </c>
    </row>
    <row r="11619" spans="1:7" ht="24.36" thickBot="1" customHeight="1">
      <c r="A11619" s="24" t="s">
        <v>36807</v>
      </c>
      <c r="B11619" s="24" t="s">
        <v>36808</v>
      </c>
      <c r="C11619" s="24" t="s">
        <v>36809</v>
      </c>
      <c r="D11619" s="25" t="s">
        <v>36810</v>
      </c>
      <c r="E11619" s="28">
        <v>0.20000</v>
      </c>
      <c r="F11619" s="29">
        <f ca="1">ROUND(19.000,3)</f>
        <v>0</v>
      </c>
      <c r="G11619" s="27">
        <f ca="1">ROUND(E11619*F11619,2)</f>
        <v>0</v>
      </c>
    </row>
    <row r="11620" spans="1:7" ht="15.12" thickBot="1" customHeight="1">
      <c r="A11620" s="26"/>
      <c r="B11620" s="26"/>
      <c r="C11620" s="26"/>
      <c r="D11620" s="24" t="s">
        <v>36811</v>
      </c>
      <c r="E11620" s="28">
        <v>0.23000</v>
      </c>
      <c r="F11620" s="29">
        <f ca="1">ROUND((G11617+G11618+G11619),3)</f>
        <v>0</v>
      </c>
      <c r="G11620" s="27">
        <f ca="1">ROUND(E11620*F11620,2)</f>
        <v>0</v>
      </c>
    </row>
    <row r="11621" spans="1:7" ht="15.12" thickBot="1" customHeight="1">
      <c r="A11621" s="24" t="s">
        <v>36812</v>
      </c>
      <c r="B11621" s="24"/>
      <c r="C11621" s="24" t="s">
        <v>36813</v>
      </c>
      <c r="D11621" s="25" t="s">
        <v>36814</v>
      </c>
      <c r="E11621" s="28">
        <v>3.00000</v>
      </c>
      <c r="F11621" s="29">
        <f ca="1">ROUND(10.070,3)</f>
        <v>0</v>
      </c>
      <c r="G11621" s="27">
        <f ca="1">ROUND((E11621*F11621)/100,2)</f>
        <v>0</v>
      </c>
    </row>
    <row r="11622" spans="1:7" ht="15.48" thickBot="1" customHeight="1">
      <c r="A11622" s="30"/>
      <c r="B11622" s="30"/>
      <c r="C11622" s="30"/>
      <c r="D11622" s="31" t="s">
        <v>36815</v>
      </c>
      <c r="E11622" s="30"/>
      <c r="F11622" s="33">
        <f ca="1">ROUND((G11614+G11615+G11616+G11621)*(1+G2/100),2)</f>
        <v>0</v>
      </c>
      <c r="G11622" s="30"/>
    </row>
    <row r="11623" spans="1:7" ht="21.36" thickBot="1" customHeight="1">
      <c r="A11623" s="34" t="s">
        <v>36816</v>
      </c>
      <c r="B11623" s="35" t="s">
        <v>36817</v>
      </c>
      <c r="C11623" s="35" t="s">
        <v>36818</v>
      </c>
      <c r="D11623" s="36" t="s">
        <v>36819</v>
      </c>
      <c r="E11623" s="37"/>
      <c r="F11623" s="38">
        <f ca="1">F11633</f>
        <v>0</v>
      </c>
      <c r="G11623" s="37"/>
    </row>
    <row r="11624" spans="1:7" ht="67.56" thickBot="1" customHeight="1">
      <c r="A11624" s="26"/>
      <c r="B11624" s="26"/>
      <c r="C11624" s="26"/>
      <c r="D11624" s="25" t="s">
        <v>36820</v>
      </c>
      <c r="E11624" s="25"/>
      <c r="F11624" s="25"/>
      <c r="G11624" s="25"/>
    </row>
    <row r="11625" spans="1:7" ht="15.12" thickBot="1" customHeight="1">
      <c r="A11625" s="24" t="s">
        <v>36821</v>
      </c>
      <c r="B11625" s="24" t="s">
        <v>36822</v>
      </c>
      <c r="C11625" s="24" t="s">
        <v>36823</v>
      </c>
      <c r="D11625" s="25" t="s">
        <v>36824</v>
      </c>
      <c r="E11625" s="28">
        <v>0.03000</v>
      </c>
      <c r="F11625" s="29">
        <f ca="1">ROUND(84.110,3)</f>
        <v>0</v>
      </c>
      <c r="G11625" s="27">
        <f ca="1">ROUND(E11625*F11625,2)</f>
        <v>0</v>
      </c>
    </row>
    <row r="11626" spans="1:7" ht="15.12" thickBot="1" customHeight="1">
      <c r="A11626" s="24" t="s">
        <v>36825</v>
      </c>
      <c r="B11626" s="24" t="s">
        <v>36826</v>
      </c>
      <c r="C11626" s="24" t="s">
        <v>36827</v>
      </c>
      <c r="D11626" s="25" t="s">
        <v>36828</v>
      </c>
      <c r="E11626" s="28">
        <v>0.10000</v>
      </c>
      <c r="F11626" s="29">
        <f ca="1">ROUND(9.270,3)</f>
        <v>0</v>
      </c>
      <c r="G11626" s="27">
        <f ca="1">ROUND(E11626*F11626,2)</f>
        <v>0</v>
      </c>
    </row>
    <row r="11627" spans="1:7" ht="21.36" thickBot="1" customHeight="1">
      <c r="A11627" s="24" t="s">
        <v>36829</v>
      </c>
      <c r="B11627" s="24" t="s">
        <v>36830</v>
      </c>
      <c r="C11627" s="24" t="s">
        <v>36831</v>
      </c>
      <c r="D11627" s="25" t="s">
        <v>36832</v>
      </c>
      <c r="E11627" s="28">
        <v>0.18000</v>
      </c>
      <c r="F11627" s="29">
        <f ca="1">F11631</f>
        <v>0</v>
      </c>
      <c r="G11627" s="27">
        <f ca="1">ROUND(E11627*F11627,2)</f>
        <v>0</v>
      </c>
    </row>
    <row r="11628" spans="1:7" ht="24.36" thickBot="1" customHeight="1">
      <c r="A11628" s="24" t="s">
        <v>36833</v>
      </c>
      <c r="B11628" s="24" t="s">
        <v>36834</v>
      </c>
      <c r="C11628" s="24" t="s">
        <v>36835</v>
      </c>
      <c r="D11628" s="25" t="s">
        <v>36836</v>
      </c>
      <c r="E11628" s="28">
        <v>1.00000</v>
      </c>
      <c r="F11628" s="29">
        <f ca="1">ROUND(21.000,3)</f>
        <v>0</v>
      </c>
      <c r="G11628" s="27">
        <f ca="1">ROUND(E11628*F11628,2)</f>
        <v>0</v>
      </c>
    </row>
    <row r="11629" spans="1:7" ht="24.36" thickBot="1" customHeight="1">
      <c r="A11629" s="24" t="s">
        <v>36837</v>
      </c>
      <c r="B11629" s="24" t="s">
        <v>36838</v>
      </c>
      <c r="C11629" s="24" t="s">
        <v>36839</v>
      </c>
      <c r="D11629" s="25" t="s">
        <v>36840</v>
      </c>
      <c r="E11629" s="28">
        <v>1.00000</v>
      </c>
      <c r="F11629" s="29">
        <f ca="1">ROUND(19.000,3)</f>
        <v>0</v>
      </c>
      <c r="G11629" s="27">
        <f ca="1">ROUND(E11629*F11629,2)</f>
        <v>0</v>
      </c>
    </row>
    <row r="11630" spans="1:7" ht="24.36" thickBot="1" customHeight="1">
      <c r="A11630" s="24" t="s">
        <v>36841</v>
      </c>
      <c r="B11630" s="24" t="s">
        <v>36842</v>
      </c>
      <c r="C11630" s="24" t="s">
        <v>36843</v>
      </c>
      <c r="D11630" s="25" t="s">
        <v>36844</v>
      </c>
      <c r="E11630" s="28">
        <v>0.20000</v>
      </c>
      <c r="F11630" s="29">
        <f ca="1">ROUND(19.000,3)</f>
        <v>0</v>
      </c>
      <c r="G11630" s="27">
        <f ca="1">ROUND(E11630*F11630,2)</f>
        <v>0</v>
      </c>
    </row>
    <row r="11631" spans="1:7" ht="15.12" thickBot="1" customHeight="1">
      <c r="A11631" s="26"/>
      <c r="B11631" s="26"/>
      <c r="C11631" s="26"/>
      <c r="D11631" s="24" t="s">
        <v>36845</v>
      </c>
      <c r="E11631" s="28">
        <v>0.18000</v>
      </c>
      <c r="F11631" s="29">
        <f ca="1">ROUND((G11628+G11629+G11630),3)</f>
        <v>0</v>
      </c>
      <c r="G11631" s="27">
        <f ca="1">ROUND(E11631*F11631,2)</f>
        <v>0</v>
      </c>
    </row>
    <row r="11632" spans="1:7" ht="15.12" thickBot="1" customHeight="1">
      <c r="A11632" s="24" t="s">
        <v>36846</v>
      </c>
      <c r="B11632" s="24"/>
      <c r="C11632" s="24" t="s">
        <v>36847</v>
      </c>
      <c r="D11632" s="25" t="s">
        <v>36848</v>
      </c>
      <c r="E11632" s="28">
        <v>3.00000</v>
      </c>
      <c r="F11632" s="29">
        <f ca="1">ROUND(7.880,3)</f>
        <v>0</v>
      </c>
      <c r="G11632" s="27">
        <f ca="1">ROUND((E11632*F11632)/100,2)</f>
        <v>0</v>
      </c>
    </row>
    <row r="11633" spans="1:7" ht="15.48" thickBot="1" customHeight="1">
      <c r="A11633" s="30"/>
      <c r="B11633" s="30"/>
      <c r="C11633" s="30"/>
      <c r="D11633" s="31" t="s">
        <v>36849</v>
      </c>
      <c r="E11633" s="30"/>
      <c r="F11633" s="33">
        <f ca="1">ROUND((G11625+G11626+G11627+G11632)*(1+G2/100),2)</f>
        <v>0</v>
      </c>
      <c r="G11633" s="30"/>
    </row>
    <row r="11634" spans="1:7" ht="21.36" thickBot="1" customHeight="1">
      <c r="A11634" s="34" t="s">
        <v>36850</v>
      </c>
      <c r="B11634" s="35" t="s">
        <v>36851</v>
      </c>
      <c r="C11634" s="35" t="s">
        <v>36852</v>
      </c>
      <c r="D11634" s="36" t="s">
        <v>36853</v>
      </c>
      <c r="E11634" s="37"/>
      <c r="F11634" s="38">
        <f ca="1">F11648</f>
        <v>0</v>
      </c>
      <c r="G11634" s="37"/>
    </row>
    <row r="11635" spans="1:7" ht="49.08" thickBot="1" customHeight="1">
      <c r="A11635" s="26"/>
      <c r="B11635" s="26"/>
      <c r="C11635" s="26"/>
      <c r="D11635" s="25" t="s">
        <v>36854</v>
      </c>
      <c r="E11635" s="25"/>
      <c r="F11635" s="25"/>
      <c r="G11635" s="25"/>
    </row>
    <row r="11636" spans="1:7" ht="24.36" thickBot="1" customHeight="1">
      <c r="A11636" s="24" t="s">
        <v>36855</v>
      </c>
      <c r="B11636" s="24" t="s">
        <v>36856</v>
      </c>
      <c r="C11636" s="24" t="s">
        <v>36857</v>
      </c>
      <c r="D11636" s="25" t="s">
        <v>36858</v>
      </c>
      <c r="E11636" s="28">
        <v>0.08570</v>
      </c>
      <c r="F11636" s="29">
        <f ca="1">ROUND(42.700,3)</f>
        <v>0</v>
      </c>
      <c r="G11636" s="27">
        <f ca="1">ROUND(E11636*F11636,2)</f>
        <v>0</v>
      </c>
    </row>
    <row r="11637" spans="1:7" ht="24.36" thickBot="1" customHeight="1">
      <c r="A11637" s="24" t="s">
        <v>36859</v>
      </c>
      <c r="B11637" s="24" t="s">
        <v>36860</v>
      </c>
      <c r="C11637" s="24" t="s">
        <v>36861</v>
      </c>
      <c r="D11637" s="25" t="s">
        <v>36862</v>
      </c>
      <c r="E11637" s="28">
        <v>0.03330</v>
      </c>
      <c r="F11637" s="29">
        <f ca="1">ROUND(85.930,3)</f>
        <v>0</v>
      </c>
      <c r="G11637" s="27">
        <f ca="1">ROUND(E11637*F11637,2)</f>
        <v>0</v>
      </c>
    </row>
    <row r="11638" spans="1:7" ht="30.60" thickBot="1" customHeight="1">
      <c r="A11638" s="24" t="s">
        <v>36863</v>
      </c>
      <c r="B11638" s="24" t="s">
        <v>36864</v>
      </c>
      <c r="C11638" s="24" t="s">
        <v>36865</v>
      </c>
      <c r="D11638" s="25" t="s">
        <v>36866</v>
      </c>
      <c r="E11638" s="28">
        <v>0.01100</v>
      </c>
      <c r="F11638" s="29">
        <f ca="1">ROUND(2.520,3)</f>
        <v>0</v>
      </c>
      <c r="G11638" s="27">
        <f ca="1">ROUND(E11638*F11638,2)</f>
        <v>0</v>
      </c>
    </row>
    <row r="11639" spans="1:7" ht="24.36" thickBot="1" customHeight="1">
      <c r="A11639" s="24" t="s">
        <v>36867</v>
      </c>
      <c r="B11639" s="24" t="s">
        <v>36868</v>
      </c>
      <c r="C11639" s="24" t="s">
        <v>36869</v>
      </c>
      <c r="D11639" s="25" t="s">
        <v>36870</v>
      </c>
      <c r="E11639" s="28">
        <v>0.01100</v>
      </c>
      <c r="F11639" s="29">
        <f ca="1">ROUND(4.730,3)</f>
        <v>0</v>
      </c>
      <c r="G11639" s="27">
        <f ca="1">ROUND(E11639*F11639,2)</f>
        <v>0</v>
      </c>
    </row>
    <row r="11640" spans="1:7" ht="24.36" thickBot="1" customHeight="1">
      <c r="A11640" s="24" t="s">
        <v>36871</v>
      </c>
      <c r="B11640" s="24" t="s">
        <v>36872</v>
      </c>
      <c r="C11640" s="24" t="s">
        <v>36873</v>
      </c>
      <c r="D11640" s="25" t="s">
        <v>36874</v>
      </c>
      <c r="E11640" s="28">
        <v>0.01500</v>
      </c>
      <c r="F11640" s="29">
        <f ca="1">ROUND(0.650,3)</f>
        <v>0</v>
      </c>
      <c r="G11640" s="27">
        <f ca="1">ROUND(E11640*F11640,2)</f>
        <v>0</v>
      </c>
    </row>
    <row r="11641" spans="1:7" ht="24.36" thickBot="1" customHeight="1">
      <c r="A11641" s="24" t="s">
        <v>36875</v>
      </c>
      <c r="B11641" s="24" t="s">
        <v>36876</v>
      </c>
      <c r="C11641" s="24" t="s">
        <v>36877</v>
      </c>
      <c r="D11641" s="25" t="s">
        <v>36878</v>
      </c>
      <c r="E11641" s="28">
        <v>0.01100</v>
      </c>
      <c r="F11641" s="29">
        <f ca="1">ROUND(4.060,3)</f>
        <v>0</v>
      </c>
      <c r="G11641" s="27">
        <f ca="1">ROUND(E11641*F11641,2)</f>
        <v>0</v>
      </c>
    </row>
    <row r="11642" spans="1:7" ht="21.36" thickBot="1" customHeight="1">
      <c r="A11642" s="24" t="s">
        <v>36879</v>
      </c>
      <c r="B11642" s="24" t="s">
        <v>36880</v>
      </c>
      <c r="C11642" s="24" t="s">
        <v>36881</v>
      </c>
      <c r="D11642" s="25" t="s">
        <v>36882</v>
      </c>
      <c r="E11642" s="28">
        <v>0.69500</v>
      </c>
      <c r="F11642" s="29">
        <f ca="1">F11646</f>
        <v>0</v>
      </c>
      <c r="G11642" s="27">
        <f ca="1">ROUND(E11642*F11642,2)</f>
        <v>0</v>
      </c>
    </row>
    <row r="11643" spans="1:7" ht="24.36" thickBot="1" customHeight="1">
      <c r="A11643" s="24" t="s">
        <v>36883</v>
      </c>
      <c r="B11643" s="24" t="s">
        <v>36884</v>
      </c>
      <c r="C11643" s="24" t="s">
        <v>36885</v>
      </c>
      <c r="D11643" s="25" t="s">
        <v>36886</v>
      </c>
      <c r="E11643" s="28">
        <v>1.00000</v>
      </c>
      <c r="F11643" s="29">
        <f ca="1">ROUND(21.000,3)</f>
        <v>0</v>
      </c>
      <c r="G11643" s="27">
        <f ca="1">ROUND(E11643*F11643,2)</f>
        <v>0</v>
      </c>
    </row>
    <row r="11644" spans="1:7" ht="24.36" thickBot="1" customHeight="1">
      <c r="A11644" s="24" t="s">
        <v>36887</v>
      </c>
      <c r="B11644" s="24" t="s">
        <v>36888</v>
      </c>
      <c r="C11644" s="24" t="s">
        <v>36889</v>
      </c>
      <c r="D11644" s="25" t="s">
        <v>36890</v>
      </c>
      <c r="E11644" s="28">
        <v>1.00000</v>
      </c>
      <c r="F11644" s="29">
        <f ca="1">ROUND(19.000,3)</f>
        <v>0</v>
      </c>
      <c r="G11644" s="27">
        <f ca="1">ROUND(E11644*F11644,2)</f>
        <v>0</v>
      </c>
    </row>
    <row r="11645" spans="1:7" ht="24.36" thickBot="1" customHeight="1">
      <c r="A11645" s="24" t="s">
        <v>36891</v>
      </c>
      <c r="B11645" s="24" t="s">
        <v>36892</v>
      </c>
      <c r="C11645" s="24" t="s">
        <v>36893</v>
      </c>
      <c r="D11645" s="25" t="s">
        <v>36894</v>
      </c>
      <c r="E11645" s="28">
        <v>0.20000</v>
      </c>
      <c r="F11645" s="29">
        <f ca="1">ROUND(19.000,3)</f>
        <v>0</v>
      </c>
      <c r="G11645" s="27">
        <f ca="1">ROUND(E11645*F11645,2)</f>
        <v>0</v>
      </c>
    </row>
    <row r="11646" spans="1:7" ht="15.12" thickBot="1" customHeight="1">
      <c r="A11646" s="26"/>
      <c r="B11646" s="26"/>
      <c r="C11646" s="26"/>
      <c r="D11646" s="24" t="s">
        <v>36895</v>
      </c>
      <c r="E11646" s="28">
        <v>0.69500</v>
      </c>
      <c r="F11646" s="29">
        <f ca="1">ROUND((G11643+G11644+G11645),3)</f>
        <v>0</v>
      </c>
      <c r="G11646" s="27">
        <f ca="1">ROUND(E11646*F11646,2)</f>
        <v>0</v>
      </c>
    </row>
    <row r="11647" spans="1:7" ht="15.12" thickBot="1" customHeight="1">
      <c r="A11647" s="24" t="s">
        <v>36896</v>
      </c>
      <c r="B11647" s="24"/>
      <c r="C11647" s="24" t="s">
        <v>36897</v>
      </c>
      <c r="D11647" s="25" t="s">
        <v>36898</v>
      </c>
      <c r="E11647" s="28">
        <v>3.00000</v>
      </c>
      <c r="F11647" s="29">
        <f ca="1">ROUND(30.440,3)</f>
        <v>0</v>
      </c>
      <c r="G11647" s="27">
        <f ca="1">ROUND((E11647*F11647)/100,2)</f>
        <v>0</v>
      </c>
    </row>
    <row r="11648" spans="1:7" ht="15.48" thickBot="1" customHeight="1">
      <c r="A11648" s="30"/>
      <c r="B11648" s="30"/>
      <c r="C11648" s="30"/>
      <c r="D11648" s="31" t="s">
        <v>36899</v>
      </c>
      <c r="E11648" s="30"/>
      <c r="F11648" s="33">
        <f ca="1">ROUND((G11636+G11637+G11638+G11639+G11640+G11641+G11642+G11647)*(1+G2/100),2)</f>
        <v>0</v>
      </c>
      <c r="G11648" s="30"/>
    </row>
    <row r="11649" spans="1:7" ht="21.36" thickBot="1" customHeight="1">
      <c r="A11649" s="34" t="s">
        <v>36900</v>
      </c>
      <c r="B11649" s="35" t="s">
        <v>36901</v>
      </c>
      <c r="C11649" s="35" t="s">
        <v>36902</v>
      </c>
      <c r="D11649" s="36" t="s">
        <v>36903</v>
      </c>
      <c r="E11649" s="37"/>
      <c r="F11649" s="38">
        <f ca="1">F11658</f>
        <v>0</v>
      </c>
      <c r="G11649" s="37"/>
    </row>
    <row r="11650" spans="1:7" ht="30.60" thickBot="1" customHeight="1">
      <c r="A11650" s="26"/>
      <c r="B11650" s="26"/>
      <c r="C11650" s="26"/>
      <c r="D11650" s="25" t="s">
        <v>36904</v>
      </c>
      <c r="E11650" s="25"/>
      <c r="F11650" s="25"/>
      <c r="G11650" s="25"/>
    </row>
    <row r="11651" spans="1:7" ht="39.84" thickBot="1" customHeight="1">
      <c r="A11651" s="24" t="s">
        <v>36905</v>
      </c>
      <c r="B11651" s="24" t="s">
        <v>36906</v>
      </c>
      <c r="C11651" s="24" t="s">
        <v>36907</v>
      </c>
      <c r="D11651" s="25" t="s">
        <v>36908</v>
      </c>
      <c r="E11651" s="28">
        <v>0.02000</v>
      </c>
      <c r="F11651" s="29">
        <f ca="1">ROUND(23.660,3)</f>
        <v>0</v>
      </c>
      <c r="G11651" s="27">
        <f ca="1">ROUND(E11651*F11651,2)</f>
        <v>0</v>
      </c>
    </row>
    <row r="11652" spans="1:7" ht="21.36" thickBot="1" customHeight="1">
      <c r="A11652" s="24" t="s">
        <v>36909</v>
      </c>
      <c r="B11652" s="24" t="s">
        <v>36910</v>
      </c>
      <c r="C11652" s="24" t="s">
        <v>36911</v>
      </c>
      <c r="D11652" s="25" t="s">
        <v>36912</v>
      </c>
      <c r="E11652" s="28">
        <v>0.15000</v>
      </c>
      <c r="F11652" s="29">
        <f ca="1">F11656</f>
        <v>0</v>
      </c>
      <c r="G11652" s="27">
        <f ca="1">ROUND(E11652*F11652,2)</f>
        <v>0</v>
      </c>
    </row>
    <row r="11653" spans="1:7" ht="24.36" thickBot="1" customHeight="1">
      <c r="A11653" s="24" t="s">
        <v>36913</v>
      </c>
      <c r="B11653" s="24" t="s">
        <v>36914</v>
      </c>
      <c r="C11653" s="24" t="s">
        <v>36915</v>
      </c>
      <c r="D11653" s="25" t="s">
        <v>36916</v>
      </c>
      <c r="E11653" s="28">
        <v>1.00000</v>
      </c>
      <c r="F11653" s="29">
        <f ca="1">ROUND(21.000,3)</f>
        <v>0</v>
      </c>
      <c r="G11653" s="27">
        <f ca="1">ROUND(E11653*F11653,2)</f>
        <v>0</v>
      </c>
    </row>
    <row r="11654" spans="1:7" ht="24.36" thickBot="1" customHeight="1">
      <c r="A11654" s="24" t="s">
        <v>36917</v>
      </c>
      <c r="B11654" s="24" t="s">
        <v>36918</v>
      </c>
      <c r="C11654" s="24" t="s">
        <v>36919</v>
      </c>
      <c r="D11654" s="25" t="s">
        <v>36920</v>
      </c>
      <c r="E11654" s="28">
        <v>1.00000</v>
      </c>
      <c r="F11654" s="29">
        <f ca="1">ROUND(19.000,3)</f>
        <v>0</v>
      </c>
      <c r="G11654" s="27">
        <f ca="1">ROUND(E11654*F11654,2)</f>
        <v>0</v>
      </c>
    </row>
    <row r="11655" spans="1:7" ht="24.36" thickBot="1" customHeight="1">
      <c r="A11655" s="24" t="s">
        <v>36921</v>
      </c>
      <c r="B11655" s="24" t="s">
        <v>36922</v>
      </c>
      <c r="C11655" s="24" t="s">
        <v>36923</v>
      </c>
      <c r="D11655" s="25" t="s">
        <v>36924</v>
      </c>
      <c r="E11655" s="28">
        <v>0.20000</v>
      </c>
      <c r="F11655" s="29">
        <f ca="1">ROUND(19.000,3)</f>
        <v>0</v>
      </c>
      <c r="G11655" s="27">
        <f ca="1">ROUND(E11655*F11655,2)</f>
        <v>0</v>
      </c>
    </row>
    <row r="11656" spans="1:7" ht="15.12" thickBot="1" customHeight="1">
      <c r="A11656" s="26"/>
      <c r="B11656" s="26"/>
      <c r="C11656" s="26"/>
      <c r="D11656" s="24" t="s">
        <v>36925</v>
      </c>
      <c r="E11656" s="28">
        <v>0.15000</v>
      </c>
      <c r="F11656" s="29">
        <f ca="1">ROUND((G11653+G11654+G11655),3)</f>
        <v>0</v>
      </c>
      <c r="G11656" s="27">
        <f ca="1">ROUND(E11656*F11656,2)</f>
        <v>0</v>
      </c>
    </row>
    <row r="11657" spans="1:7" ht="15.12" thickBot="1" customHeight="1">
      <c r="A11657" s="24" t="s">
        <v>36926</v>
      </c>
      <c r="B11657" s="24"/>
      <c r="C11657" s="24" t="s">
        <v>36927</v>
      </c>
      <c r="D11657" s="25" t="s">
        <v>36928</v>
      </c>
      <c r="E11657" s="28">
        <v>3.00000</v>
      </c>
      <c r="F11657" s="29">
        <f ca="1">ROUND(6.570,3)</f>
        <v>0</v>
      </c>
      <c r="G11657" s="27">
        <f ca="1">ROUND((E11657*F11657)/100,2)</f>
        <v>0</v>
      </c>
    </row>
    <row r="11658" spans="1:7" ht="15.48" thickBot="1" customHeight="1">
      <c r="A11658" s="30"/>
      <c r="B11658" s="30"/>
      <c r="C11658" s="30"/>
      <c r="D11658" s="31" t="s">
        <v>36929</v>
      </c>
      <c r="E11658" s="30"/>
      <c r="F11658" s="33">
        <f ca="1">ROUND((G11651+G11652+G11657)*(1+G2/100),2)</f>
        <v>0</v>
      </c>
      <c r="G11658" s="30"/>
    </row>
    <row r="11659" spans="1:7" ht="21.36" thickBot="1" customHeight="1">
      <c r="A11659" s="34" t="s">
        <v>36930</v>
      </c>
      <c r="B11659" s="35" t="s">
        <v>36931</v>
      </c>
      <c r="C11659" s="35" t="s">
        <v>36932</v>
      </c>
      <c r="D11659" s="36" t="s">
        <v>36933</v>
      </c>
      <c r="E11659" s="37"/>
      <c r="F11659" s="38">
        <f ca="1">F11668</f>
        <v>0</v>
      </c>
      <c r="G11659" s="37"/>
    </row>
    <row r="11660" spans="1:7" ht="30.60" thickBot="1" customHeight="1">
      <c r="A11660" s="26"/>
      <c r="B11660" s="26"/>
      <c r="C11660" s="26"/>
      <c r="D11660" s="25" t="s">
        <v>36934</v>
      </c>
      <c r="E11660" s="25"/>
      <c r="F11660" s="25"/>
      <c r="G11660" s="25"/>
    </row>
    <row r="11661" spans="1:7" ht="39.84" thickBot="1" customHeight="1">
      <c r="A11661" s="24" t="s">
        <v>36935</v>
      </c>
      <c r="B11661" s="24" t="s">
        <v>36936</v>
      </c>
      <c r="C11661" s="24" t="s">
        <v>36937</v>
      </c>
      <c r="D11661" s="25" t="s">
        <v>36938</v>
      </c>
      <c r="E11661" s="28">
        <v>0.02500</v>
      </c>
      <c r="F11661" s="29">
        <f ca="1">ROUND(64.060,3)</f>
        <v>0</v>
      </c>
      <c r="G11661" s="27">
        <f ca="1">ROUND(E11661*F11661,2)</f>
        <v>0</v>
      </c>
    </row>
    <row r="11662" spans="1:7" ht="21.36" thickBot="1" customHeight="1">
      <c r="A11662" s="24" t="s">
        <v>36939</v>
      </c>
      <c r="B11662" s="24" t="s">
        <v>36940</v>
      </c>
      <c r="C11662" s="24" t="s">
        <v>36941</v>
      </c>
      <c r="D11662" s="25" t="s">
        <v>36942</v>
      </c>
      <c r="E11662" s="28">
        <v>0.15000</v>
      </c>
      <c r="F11662" s="29">
        <f ca="1">F11666</f>
        <v>0</v>
      </c>
      <c r="G11662" s="27">
        <f ca="1">ROUND(E11662*F11662,2)</f>
        <v>0</v>
      </c>
    </row>
    <row r="11663" spans="1:7" ht="24.36" thickBot="1" customHeight="1">
      <c r="A11663" s="24" t="s">
        <v>36943</v>
      </c>
      <c r="B11663" s="24" t="s">
        <v>36944</v>
      </c>
      <c r="C11663" s="24" t="s">
        <v>36945</v>
      </c>
      <c r="D11663" s="25" t="s">
        <v>36946</v>
      </c>
      <c r="E11663" s="28">
        <v>1.00000</v>
      </c>
      <c r="F11663" s="29">
        <f ca="1">ROUND(21.000,3)</f>
        <v>0</v>
      </c>
      <c r="G11663" s="27">
        <f ca="1">ROUND(E11663*F11663,2)</f>
        <v>0</v>
      </c>
    </row>
    <row r="11664" spans="1:7" ht="24.36" thickBot="1" customHeight="1">
      <c r="A11664" s="24" t="s">
        <v>36947</v>
      </c>
      <c r="B11664" s="24" t="s">
        <v>36948</v>
      </c>
      <c r="C11664" s="24" t="s">
        <v>36949</v>
      </c>
      <c r="D11664" s="25" t="s">
        <v>36950</v>
      </c>
      <c r="E11664" s="28">
        <v>1.00000</v>
      </c>
      <c r="F11664" s="29">
        <f ca="1">ROUND(19.000,3)</f>
        <v>0</v>
      </c>
      <c r="G11664" s="27">
        <f ca="1">ROUND(E11664*F11664,2)</f>
        <v>0</v>
      </c>
    </row>
    <row r="11665" spans="1:7" ht="24.36" thickBot="1" customHeight="1">
      <c r="A11665" s="24" t="s">
        <v>36951</v>
      </c>
      <c r="B11665" s="24" t="s">
        <v>36952</v>
      </c>
      <c r="C11665" s="24" t="s">
        <v>36953</v>
      </c>
      <c r="D11665" s="25" t="s">
        <v>36954</v>
      </c>
      <c r="E11665" s="28">
        <v>0.20000</v>
      </c>
      <c r="F11665" s="29">
        <f ca="1">ROUND(19.000,3)</f>
        <v>0</v>
      </c>
      <c r="G11665" s="27">
        <f ca="1">ROUND(E11665*F11665,2)</f>
        <v>0</v>
      </c>
    </row>
    <row r="11666" spans="1:7" ht="15.12" thickBot="1" customHeight="1">
      <c r="A11666" s="26"/>
      <c r="B11666" s="26"/>
      <c r="C11666" s="26"/>
      <c r="D11666" s="24" t="s">
        <v>36955</v>
      </c>
      <c r="E11666" s="28">
        <v>0.15000</v>
      </c>
      <c r="F11666" s="29">
        <f ca="1">ROUND((G11663+G11664+G11665),3)</f>
        <v>0</v>
      </c>
      <c r="G11666" s="27">
        <f ca="1">ROUND(E11666*F11666,2)</f>
        <v>0</v>
      </c>
    </row>
    <row r="11667" spans="1:7" ht="15.12" thickBot="1" customHeight="1">
      <c r="A11667" s="24" t="s">
        <v>36956</v>
      </c>
      <c r="B11667" s="24"/>
      <c r="C11667" s="24" t="s">
        <v>36957</v>
      </c>
      <c r="D11667" s="25" t="s">
        <v>36958</v>
      </c>
      <c r="E11667" s="28">
        <v>3.00000</v>
      </c>
      <c r="F11667" s="29">
        <f ca="1">ROUND(6.570,3)</f>
        <v>0</v>
      </c>
      <c r="G11667" s="27">
        <f ca="1">ROUND((E11667*F11667)/100,2)</f>
        <v>0</v>
      </c>
    </row>
    <row r="11668" spans="1:7" ht="15.48" thickBot="1" customHeight="1">
      <c r="A11668" s="30"/>
      <c r="B11668" s="30"/>
      <c r="C11668" s="30"/>
      <c r="D11668" s="31" t="s">
        <v>36959</v>
      </c>
      <c r="E11668" s="30"/>
      <c r="F11668" s="33">
        <f ca="1">ROUND((G11661+G11662+G11667)*(1+G2/100),2)</f>
        <v>0</v>
      </c>
      <c r="G11668" s="30"/>
    </row>
    <row r="11669" spans="1:7" ht="21.36" thickBot="1" customHeight="1">
      <c r="A11669" s="34" t="s">
        <v>36960</v>
      </c>
      <c r="B11669" s="35" t="s">
        <v>36961</v>
      </c>
      <c r="C11669" s="35" t="s">
        <v>36962</v>
      </c>
      <c r="D11669" s="36" t="s">
        <v>36963</v>
      </c>
      <c r="E11669" s="37"/>
      <c r="F11669" s="38">
        <f ca="1">F11678</f>
        <v>0</v>
      </c>
      <c r="G11669" s="37"/>
    </row>
    <row r="11670" spans="1:7" ht="39.84" thickBot="1" customHeight="1">
      <c r="A11670" s="26"/>
      <c r="B11670" s="26"/>
      <c r="C11670" s="26"/>
      <c r="D11670" s="25" t="s">
        <v>36964</v>
      </c>
      <c r="E11670" s="25"/>
      <c r="F11670" s="25"/>
      <c r="G11670" s="25"/>
    </row>
    <row r="11671" spans="1:7" ht="24.36" thickBot="1" customHeight="1">
      <c r="A11671" s="24" t="s">
        <v>36965</v>
      </c>
      <c r="B11671" s="24" t="s">
        <v>36966</v>
      </c>
      <c r="C11671" s="24" t="s">
        <v>36967</v>
      </c>
      <c r="D11671" s="25" t="s">
        <v>36968</v>
      </c>
      <c r="E11671" s="28">
        <v>0.10000</v>
      </c>
      <c r="F11671" s="29">
        <f ca="1">ROUND(38.750,3)</f>
        <v>0</v>
      </c>
      <c r="G11671" s="27">
        <f ca="1">ROUND(E11671*F11671,2)</f>
        <v>0</v>
      </c>
    </row>
    <row r="11672" spans="1:7" ht="21.36" thickBot="1" customHeight="1">
      <c r="A11672" s="24" t="s">
        <v>36969</v>
      </c>
      <c r="B11672" s="24" t="s">
        <v>36970</v>
      </c>
      <c r="C11672" s="24" t="s">
        <v>36971</v>
      </c>
      <c r="D11672" s="25" t="s">
        <v>36972</v>
      </c>
      <c r="E11672" s="28">
        <v>0.20000</v>
      </c>
      <c r="F11672" s="29">
        <f ca="1">F11676</f>
        <v>0</v>
      </c>
      <c r="G11672" s="27">
        <f ca="1">ROUND(E11672*F11672,2)</f>
        <v>0</v>
      </c>
    </row>
    <row r="11673" spans="1:7" ht="24.36" thickBot="1" customHeight="1">
      <c r="A11673" s="24" t="s">
        <v>36973</v>
      </c>
      <c r="B11673" s="24" t="s">
        <v>36974</v>
      </c>
      <c r="C11673" s="24" t="s">
        <v>36975</v>
      </c>
      <c r="D11673" s="25" t="s">
        <v>36976</v>
      </c>
      <c r="E11673" s="28">
        <v>1.00000</v>
      </c>
      <c r="F11673" s="29">
        <f ca="1">ROUND(21.000,3)</f>
        <v>0</v>
      </c>
      <c r="G11673" s="27">
        <f ca="1">ROUND(E11673*F11673,2)</f>
        <v>0</v>
      </c>
    </row>
    <row r="11674" spans="1:7" ht="24.36" thickBot="1" customHeight="1">
      <c r="A11674" s="24" t="s">
        <v>36977</v>
      </c>
      <c r="B11674" s="24" t="s">
        <v>36978</v>
      </c>
      <c r="C11674" s="24" t="s">
        <v>36979</v>
      </c>
      <c r="D11674" s="25" t="s">
        <v>36980</v>
      </c>
      <c r="E11674" s="28">
        <v>1.00000</v>
      </c>
      <c r="F11674" s="29">
        <f ca="1">ROUND(19.000,3)</f>
        <v>0</v>
      </c>
      <c r="G11674" s="27">
        <f ca="1">ROUND(E11674*F11674,2)</f>
        <v>0</v>
      </c>
    </row>
    <row r="11675" spans="1:7" ht="24.36" thickBot="1" customHeight="1">
      <c r="A11675" s="24" t="s">
        <v>36981</v>
      </c>
      <c r="B11675" s="24" t="s">
        <v>36982</v>
      </c>
      <c r="C11675" s="24" t="s">
        <v>36983</v>
      </c>
      <c r="D11675" s="25" t="s">
        <v>36984</v>
      </c>
      <c r="E11675" s="28">
        <v>0.20000</v>
      </c>
      <c r="F11675" s="29">
        <f ca="1">ROUND(19.000,3)</f>
        <v>0</v>
      </c>
      <c r="G11675" s="27">
        <f ca="1">ROUND(E11675*F11675,2)</f>
        <v>0</v>
      </c>
    </row>
    <row r="11676" spans="1:7" ht="15.12" thickBot="1" customHeight="1">
      <c r="A11676" s="26"/>
      <c r="B11676" s="26"/>
      <c r="C11676" s="26"/>
      <c r="D11676" s="24" t="s">
        <v>36985</v>
      </c>
      <c r="E11676" s="28">
        <v>0.20000</v>
      </c>
      <c r="F11676" s="29">
        <f ca="1">ROUND((G11673+G11674+G11675),3)</f>
        <v>0</v>
      </c>
      <c r="G11676" s="27">
        <f ca="1">ROUND(E11676*F11676,2)</f>
        <v>0</v>
      </c>
    </row>
    <row r="11677" spans="1:7" ht="15.12" thickBot="1" customHeight="1">
      <c r="A11677" s="24" t="s">
        <v>36986</v>
      </c>
      <c r="B11677" s="24"/>
      <c r="C11677" s="24" t="s">
        <v>36987</v>
      </c>
      <c r="D11677" s="25" t="s">
        <v>36988</v>
      </c>
      <c r="E11677" s="28">
        <v>3.00000</v>
      </c>
      <c r="F11677" s="29">
        <f ca="1">ROUND(8.760,3)</f>
        <v>0</v>
      </c>
      <c r="G11677" s="27">
        <f ca="1">ROUND((E11677*F11677)/100,2)</f>
        <v>0</v>
      </c>
    </row>
    <row r="11678" spans="1:7" ht="15.48" thickBot="1" customHeight="1">
      <c r="A11678" s="30"/>
      <c r="B11678" s="30"/>
      <c r="C11678" s="30"/>
      <c r="D11678" s="31" t="s">
        <v>36989</v>
      </c>
      <c r="E11678" s="30"/>
      <c r="F11678" s="33">
        <f ca="1">ROUND((G11671+G11672+G11677)*(1+G2/100),2)</f>
        <v>0</v>
      </c>
      <c r="G11678" s="30"/>
    </row>
    <row r="11679" spans="1:7" ht="21.36" thickBot="1" customHeight="1">
      <c r="A11679" s="34" t="s">
        <v>36990</v>
      </c>
      <c r="B11679" s="35" t="s">
        <v>36991</v>
      </c>
      <c r="C11679" s="35" t="s">
        <v>36992</v>
      </c>
      <c r="D11679" s="36" t="s">
        <v>36993</v>
      </c>
      <c r="E11679" s="37"/>
      <c r="F11679" s="38">
        <f ca="1">F11688</f>
        <v>0</v>
      </c>
      <c r="G11679" s="37"/>
    </row>
    <row r="11680" spans="1:7" ht="12.12" thickBot="1" customHeight="1">
      <c r="A11680" s="26"/>
      <c r="B11680" s="26"/>
      <c r="C11680" s="26"/>
      <c r="D11680" s="25" t="s">
        <v>36994</v>
      </c>
      <c r="E11680" s="25"/>
      <c r="F11680" s="25"/>
      <c r="G11680" s="25"/>
    </row>
    <row r="11681" spans="1:7" ht="15.12" thickBot="1" customHeight="1">
      <c r="A11681" s="24" t="s">
        <v>36995</v>
      </c>
      <c r="B11681" s="24" t="s">
        <v>36996</v>
      </c>
      <c r="C11681" s="24" t="s">
        <v>36997</v>
      </c>
      <c r="D11681" s="25" t="s">
        <v>36998</v>
      </c>
      <c r="E11681" s="28">
        <v>0.20000</v>
      </c>
      <c r="F11681" s="29">
        <f ca="1">ROUND(105.000,3)</f>
        <v>0</v>
      </c>
      <c r="G11681" s="27">
        <f ca="1">ROUND(E11681*F11681,2)</f>
        <v>0</v>
      </c>
    </row>
    <row r="11682" spans="1:7" ht="21.36" thickBot="1" customHeight="1">
      <c r="A11682" s="24" t="s">
        <v>36999</v>
      </c>
      <c r="B11682" s="24" t="s">
        <v>37000</v>
      </c>
      <c r="C11682" s="24" t="s">
        <v>37001</v>
      </c>
      <c r="D11682" s="25" t="s">
        <v>37002</v>
      </c>
      <c r="E11682" s="28">
        <v>0.20000</v>
      </c>
      <c r="F11682" s="29">
        <f ca="1">F11686</f>
        <v>0</v>
      </c>
      <c r="G11682" s="27">
        <f ca="1">ROUND(E11682*F11682,2)</f>
        <v>0</v>
      </c>
    </row>
    <row r="11683" spans="1:7" ht="24.36" thickBot="1" customHeight="1">
      <c r="A11683" s="24" t="s">
        <v>37003</v>
      </c>
      <c r="B11683" s="24" t="s">
        <v>37004</v>
      </c>
      <c r="C11683" s="24" t="s">
        <v>37005</v>
      </c>
      <c r="D11683" s="25" t="s">
        <v>37006</v>
      </c>
      <c r="E11683" s="28">
        <v>1.00000</v>
      </c>
      <c r="F11683" s="29">
        <f ca="1">ROUND(21.000,3)</f>
        <v>0</v>
      </c>
      <c r="G11683" s="27">
        <f ca="1">ROUND(E11683*F11683,2)</f>
        <v>0</v>
      </c>
    </row>
    <row r="11684" spans="1:7" ht="24.36" thickBot="1" customHeight="1">
      <c r="A11684" s="24" t="s">
        <v>37007</v>
      </c>
      <c r="B11684" s="24" t="s">
        <v>37008</v>
      </c>
      <c r="C11684" s="24" t="s">
        <v>37009</v>
      </c>
      <c r="D11684" s="25" t="s">
        <v>37010</v>
      </c>
      <c r="E11684" s="28">
        <v>1.00000</v>
      </c>
      <c r="F11684" s="29">
        <f ca="1">ROUND(19.000,3)</f>
        <v>0</v>
      </c>
      <c r="G11684" s="27">
        <f ca="1">ROUND(E11684*F11684,2)</f>
        <v>0</v>
      </c>
    </row>
    <row r="11685" spans="1:7" ht="24.36" thickBot="1" customHeight="1">
      <c r="A11685" s="24" t="s">
        <v>37011</v>
      </c>
      <c r="B11685" s="24" t="s">
        <v>37012</v>
      </c>
      <c r="C11685" s="24" t="s">
        <v>37013</v>
      </c>
      <c r="D11685" s="25" t="s">
        <v>37014</v>
      </c>
      <c r="E11685" s="28">
        <v>0.20000</v>
      </c>
      <c r="F11685" s="29">
        <f ca="1">ROUND(19.000,3)</f>
        <v>0</v>
      </c>
      <c r="G11685" s="27">
        <f ca="1">ROUND(E11685*F11685,2)</f>
        <v>0</v>
      </c>
    </row>
    <row r="11686" spans="1:7" ht="15.12" thickBot="1" customHeight="1">
      <c r="A11686" s="26"/>
      <c r="B11686" s="26"/>
      <c r="C11686" s="26"/>
      <c r="D11686" s="24" t="s">
        <v>37015</v>
      </c>
      <c r="E11686" s="28">
        <v>0.20000</v>
      </c>
      <c r="F11686" s="29">
        <f ca="1">ROUND((G11683+G11684+G11685),3)</f>
        <v>0</v>
      </c>
      <c r="G11686" s="27">
        <f ca="1">ROUND(E11686*F11686,2)</f>
        <v>0</v>
      </c>
    </row>
    <row r="11687" spans="1:7" ht="15.12" thickBot="1" customHeight="1">
      <c r="A11687" s="24" t="s">
        <v>37016</v>
      </c>
      <c r="B11687" s="24"/>
      <c r="C11687" s="24" t="s">
        <v>37017</v>
      </c>
      <c r="D11687" s="25" t="s">
        <v>37018</v>
      </c>
      <c r="E11687" s="28">
        <v>3.00000</v>
      </c>
      <c r="F11687" s="29">
        <f ca="1">ROUND(8.760,3)</f>
        <v>0</v>
      </c>
      <c r="G11687" s="27">
        <f ca="1">ROUND((E11687*F11687)/100,2)</f>
        <v>0</v>
      </c>
    </row>
    <row r="11688" spans="1:7" ht="15.48" thickBot="1" customHeight="1">
      <c r="A11688" s="30"/>
      <c r="B11688" s="30"/>
      <c r="C11688" s="30"/>
      <c r="D11688" s="31" t="s">
        <v>37019</v>
      </c>
      <c r="E11688" s="30"/>
      <c r="F11688" s="33">
        <f ca="1">ROUND((G11681+G11682+G11687)*(1+G2/100),2)</f>
        <v>0</v>
      </c>
      <c r="G11688" s="30"/>
    </row>
    <row r="11689" spans="1:7" ht="21.36" thickBot="1" customHeight="1">
      <c r="A11689" s="34" t="s">
        <v>37020</v>
      </c>
      <c r="B11689" s="35" t="s">
        <v>37021</v>
      </c>
      <c r="C11689" s="35" t="s">
        <v>37022</v>
      </c>
      <c r="D11689" s="36" t="s">
        <v>37023</v>
      </c>
      <c r="E11689" s="37"/>
      <c r="F11689" s="38">
        <f ca="1">F11698</f>
        <v>0</v>
      </c>
      <c r="G11689" s="37"/>
    </row>
    <row r="11690" spans="1:7" ht="58.32" thickBot="1" customHeight="1">
      <c r="A11690" s="26"/>
      <c r="B11690" s="26"/>
      <c r="C11690" s="26"/>
      <c r="D11690" s="25" t="s">
        <v>37024</v>
      </c>
      <c r="E11690" s="25"/>
      <c r="F11690" s="25"/>
      <c r="G11690" s="25"/>
    </row>
    <row r="11691" spans="1:7" ht="39.84" thickBot="1" customHeight="1">
      <c r="A11691" s="24" t="s">
        <v>37025</v>
      </c>
      <c r="B11691" s="24" t="s">
        <v>37026</v>
      </c>
      <c r="C11691" s="24" t="s">
        <v>37027</v>
      </c>
      <c r="D11691" s="25" t="s">
        <v>37028</v>
      </c>
      <c r="E11691" s="28">
        <v>0.05000</v>
      </c>
      <c r="F11691" s="29">
        <f ca="1">ROUND(63.340,3)</f>
        <v>0</v>
      </c>
      <c r="G11691" s="27">
        <f ca="1">ROUND(E11691*F11691,2)</f>
        <v>0</v>
      </c>
    </row>
    <row r="11692" spans="1:7" ht="21.36" thickBot="1" customHeight="1">
      <c r="A11692" s="24" t="s">
        <v>37029</v>
      </c>
      <c r="B11692" s="24" t="s">
        <v>37030</v>
      </c>
      <c r="C11692" s="24" t="s">
        <v>37031</v>
      </c>
      <c r="D11692" s="25" t="s">
        <v>37032</v>
      </c>
      <c r="E11692" s="28">
        <v>0.20000</v>
      </c>
      <c r="F11692" s="29">
        <f ca="1">F11696</f>
        <v>0</v>
      </c>
      <c r="G11692" s="27">
        <f ca="1">ROUND(E11692*F11692,2)</f>
        <v>0</v>
      </c>
    </row>
    <row r="11693" spans="1:7" ht="24.36" thickBot="1" customHeight="1">
      <c r="A11693" s="24" t="s">
        <v>37033</v>
      </c>
      <c r="B11693" s="24" t="s">
        <v>37034</v>
      </c>
      <c r="C11693" s="24" t="s">
        <v>37035</v>
      </c>
      <c r="D11693" s="25" t="s">
        <v>37036</v>
      </c>
      <c r="E11693" s="28">
        <v>1.00000</v>
      </c>
      <c r="F11693" s="29">
        <f ca="1">ROUND(21.000,3)</f>
        <v>0</v>
      </c>
      <c r="G11693" s="27">
        <f ca="1">ROUND(E11693*F11693,2)</f>
        <v>0</v>
      </c>
    </row>
    <row r="11694" spans="1:7" ht="24.36" thickBot="1" customHeight="1">
      <c r="A11694" s="24" t="s">
        <v>37037</v>
      </c>
      <c r="B11694" s="24" t="s">
        <v>37038</v>
      </c>
      <c r="C11694" s="24" t="s">
        <v>37039</v>
      </c>
      <c r="D11694" s="25" t="s">
        <v>37040</v>
      </c>
      <c r="E11694" s="28">
        <v>1.00000</v>
      </c>
      <c r="F11694" s="29">
        <f ca="1">ROUND(19.000,3)</f>
        <v>0</v>
      </c>
      <c r="G11694" s="27">
        <f ca="1">ROUND(E11694*F11694,2)</f>
        <v>0</v>
      </c>
    </row>
    <row r="11695" spans="1:7" ht="24.36" thickBot="1" customHeight="1">
      <c r="A11695" s="24" t="s">
        <v>37041</v>
      </c>
      <c r="B11695" s="24" t="s">
        <v>37042</v>
      </c>
      <c r="C11695" s="24" t="s">
        <v>37043</v>
      </c>
      <c r="D11695" s="25" t="s">
        <v>37044</v>
      </c>
      <c r="E11695" s="28">
        <v>0.20000</v>
      </c>
      <c r="F11695" s="29">
        <f ca="1">ROUND(19.000,3)</f>
        <v>0</v>
      </c>
      <c r="G11695" s="27">
        <f ca="1">ROUND(E11695*F11695,2)</f>
        <v>0</v>
      </c>
    </row>
    <row r="11696" spans="1:7" ht="15.12" thickBot="1" customHeight="1">
      <c r="A11696" s="26"/>
      <c r="B11696" s="26"/>
      <c r="C11696" s="26"/>
      <c r="D11696" s="24" t="s">
        <v>37045</v>
      </c>
      <c r="E11696" s="28">
        <v>0.20000</v>
      </c>
      <c r="F11696" s="29">
        <f ca="1">ROUND((G11693+G11694+G11695),3)</f>
        <v>0</v>
      </c>
      <c r="G11696" s="27">
        <f ca="1">ROUND(E11696*F11696,2)</f>
        <v>0</v>
      </c>
    </row>
    <row r="11697" spans="1:7" ht="15.12" thickBot="1" customHeight="1">
      <c r="A11697" s="24" t="s">
        <v>37046</v>
      </c>
      <c r="B11697" s="24"/>
      <c r="C11697" s="24" t="s">
        <v>37047</v>
      </c>
      <c r="D11697" s="25" t="s">
        <v>37048</v>
      </c>
      <c r="E11697" s="28">
        <v>3.00000</v>
      </c>
      <c r="F11697" s="29">
        <f ca="1">ROUND(8.760,3)</f>
        <v>0</v>
      </c>
      <c r="G11697" s="27">
        <f ca="1">ROUND((E11697*F11697)/100,2)</f>
        <v>0</v>
      </c>
    </row>
    <row r="11698" spans="1:7" ht="15.48" thickBot="1" customHeight="1">
      <c r="A11698" s="30"/>
      <c r="B11698" s="30"/>
      <c r="C11698" s="30"/>
      <c r="D11698" s="31" t="s">
        <v>37049</v>
      </c>
      <c r="E11698" s="30"/>
      <c r="F11698" s="33">
        <f ca="1">ROUND((G11691+G11692+G11697)*(1+G2/100),2)</f>
        <v>0</v>
      </c>
      <c r="G11698" s="30"/>
    </row>
    <row r="11699" spans="1:7" ht="30.60" thickBot="1" customHeight="1">
      <c r="A11699" s="34" t="s">
        <v>37050</v>
      </c>
      <c r="B11699" s="35" t="s">
        <v>37051</v>
      </c>
      <c r="C11699" s="35" t="s">
        <v>37052</v>
      </c>
      <c r="D11699" s="36" t="s">
        <v>37053</v>
      </c>
      <c r="E11699" s="37"/>
      <c r="F11699" s="38">
        <f ca="1">F11708</f>
        <v>0</v>
      </c>
      <c r="G11699" s="37"/>
    </row>
    <row r="11700" spans="1:7" ht="58.32" thickBot="1" customHeight="1">
      <c r="A11700" s="26"/>
      <c r="B11700" s="26"/>
      <c r="C11700" s="26"/>
      <c r="D11700" s="25" t="s">
        <v>37054</v>
      </c>
      <c r="E11700" s="25"/>
      <c r="F11700" s="25"/>
      <c r="G11700" s="25"/>
    </row>
    <row r="11701" spans="1:7" ht="39.84" thickBot="1" customHeight="1">
      <c r="A11701" s="24" t="s">
        <v>37055</v>
      </c>
      <c r="B11701" s="24" t="s">
        <v>37056</v>
      </c>
      <c r="C11701" s="24" t="s">
        <v>37057</v>
      </c>
      <c r="D11701" s="25" t="s">
        <v>37058</v>
      </c>
      <c r="E11701" s="28">
        <v>0.05000</v>
      </c>
      <c r="F11701" s="29">
        <f ca="1">ROUND(63.340,3)</f>
        <v>0</v>
      </c>
      <c r="G11701" s="27">
        <f ca="1">ROUND(E11701*F11701,2)</f>
        <v>0</v>
      </c>
    </row>
    <row r="11702" spans="1:7" ht="24.36" thickBot="1" customHeight="1">
      <c r="A11702" s="24" t="s">
        <v>37059</v>
      </c>
      <c r="B11702" s="24" t="s">
        <v>37060</v>
      </c>
      <c r="C11702" s="24" t="s">
        <v>37061</v>
      </c>
      <c r="D11702" s="25" t="s">
        <v>37062</v>
      </c>
      <c r="E11702" s="28">
        <v>0.30000</v>
      </c>
      <c r="F11702" s="29">
        <f ca="1">F11706</f>
        <v>0</v>
      </c>
      <c r="G11702" s="27">
        <f ca="1">ROUND(E11702*F11702,2)</f>
        <v>0</v>
      </c>
    </row>
    <row r="11703" spans="1:7" ht="24.36" thickBot="1" customHeight="1">
      <c r="A11703" s="24" t="s">
        <v>37063</v>
      </c>
      <c r="B11703" s="24" t="s">
        <v>37064</v>
      </c>
      <c r="C11703" s="24" t="s">
        <v>37065</v>
      </c>
      <c r="D11703" s="25" t="s">
        <v>37066</v>
      </c>
      <c r="E11703" s="28">
        <v>1.00000</v>
      </c>
      <c r="F11703" s="29">
        <f ca="1">ROUND(21.000,3)</f>
        <v>0</v>
      </c>
      <c r="G11703" s="27">
        <f ca="1">ROUND(E11703*F11703,2)</f>
        <v>0</v>
      </c>
    </row>
    <row r="11704" spans="1:7" ht="24.36" thickBot="1" customHeight="1">
      <c r="A11704" s="24" t="s">
        <v>37067</v>
      </c>
      <c r="B11704" s="24" t="s">
        <v>37068</v>
      </c>
      <c r="C11704" s="24" t="s">
        <v>37069</v>
      </c>
      <c r="D11704" s="25" t="s">
        <v>37070</v>
      </c>
      <c r="E11704" s="28">
        <v>1.00000</v>
      </c>
      <c r="F11704" s="29">
        <f ca="1">ROUND(19.000,3)</f>
        <v>0</v>
      </c>
      <c r="G11704" s="27">
        <f ca="1">ROUND(E11704*F11704,2)</f>
        <v>0</v>
      </c>
    </row>
    <row r="11705" spans="1:7" ht="24.36" thickBot="1" customHeight="1">
      <c r="A11705" s="24" t="s">
        <v>37071</v>
      </c>
      <c r="B11705" s="24" t="s">
        <v>37072</v>
      </c>
      <c r="C11705" s="24" t="s">
        <v>37073</v>
      </c>
      <c r="D11705" s="25" t="s">
        <v>37074</v>
      </c>
      <c r="E11705" s="28">
        <v>0.50000</v>
      </c>
      <c r="F11705" s="29">
        <f ca="1">ROUND(19.000,3)</f>
        <v>0</v>
      </c>
      <c r="G11705" s="27">
        <f ca="1">ROUND(E11705*F11705,2)</f>
        <v>0</v>
      </c>
    </row>
    <row r="11706" spans="1:7" ht="15.12" thickBot="1" customHeight="1">
      <c r="A11706" s="26"/>
      <c r="B11706" s="26"/>
      <c r="C11706" s="26"/>
      <c r="D11706" s="24" t="s">
        <v>37075</v>
      </c>
      <c r="E11706" s="28">
        <v>0.30000</v>
      </c>
      <c r="F11706" s="29">
        <f ca="1">ROUND((G11703+G11704+G11705),3)</f>
        <v>0</v>
      </c>
      <c r="G11706" s="27">
        <f ca="1">ROUND(E11706*F11706,2)</f>
        <v>0</v>
      </c>
    </row>
    <row r="11707" spans="1:7" ht="15.12" thickBot="1" customHeight="1">
      <c r="A11707" s="24" t="s">
        <v>37076</v>
      </c>
      <c r="B11707" s="24"/>
      <c r="C11707" s="24" t="s">
        <v>37077</v>
      </c>
      <c r="D11707" s="25" t="s">
        <v>37078</v>
      </c>
      <c r="E11707" s="28">
        <v>3.00000</v>
      </c>
      <c r="F11707" s="29">
        <f ca="1">ROUND(14.850,3)</f>
        <v>0</v>
      </c>
      <c r="G11707" s="27">
        <f ca="1">ROUND((E11707*F11707)/100,2)</f>
        <v>0</v>
      </c>
    </row>
    <row r="11708" spans="1:7" ht="15.48" thickBot="1" customHeight="1">
      <c r="A11708" s="30"/>
      <c r="B11708" s="30"/>
      <c r="C11708" s="30"/>
      <c r="D11708" s="31" t="s">
        <v>37079</v>
      </c>
      <c r="E11708" s="30"/>
      <c r="F11708" s="33">
        <f ca="1">ROUND((G11701+G11702+G11707)*(1+G2/100),2)</f>
        <v>0</v>
      </c>
      <c r="G11708" s="30"/>
    </row>
    <row r="11709" spans="1:7" ht="15.48" thickBot="1" customHeight="1">
      <c r="A11709" s="34" t="s">
        <v>37080</v>
      </c>
      <c r="B11709" s="35" t="s">
        <v>37081</v>
      </c>
      <c r="C11709" s="35" t="s">
        <v>37082</v>
      </c>
      <c r="D11709" s="36" t="s">
        <v>37083</v>
      </c>
      <c r="E11709" s="37"/>
      <c r="F11709" s="38">
        <f ca="1">F11718</f>
        <v>0</v>
      </c>
      <c r="G11709" s="37"/>
    </row>
    <row r="11710" spans="1:7" ht="21.36" thickBot="1" customHeight="1">
      <c r="A11710" s="26"/>
      <c r="B11710" s="26"/>
      <c r="C11710" s="26"/>
      <c r="D11710" s="25" t="s">
        <v>37084</v>
      </c>
      <c r="E11710" s="25"/>
      <c r="F11710" s="25"/>
      <c r="G11710" s="25"/>
    </row>
    <row r="11711" spans="1:7" ht="39.84" thickBot="1" customHeight="1">
      <c r="A11711" s="24" t="s">
        <v>37085</v>
      </c>
      <c r="B11711" s="24" t="s">
        <v>37086</v>
      </c>
      <c r="C11711" s="24" t="s">
        <v>37087</v>
      </c>
      <c r="D11711" s="25" t="s">
        <v>37088</v>
      </c>
      <c r="E11711" s="28">
        <v>0.10000</v>
      </c>
      <c r="F11711" s="29">
        <f ca="1">ROUND(34.710,3)</f>
        <v>0</v>
      </c>
      <c r="G11711" s="27">
        <f ca="1">ROUND(E11711*F11711,2)</f>
        <v>0</v>
      </c>
    </row>
    <row r="11712" spans="1:7" ht="21.36" thickBot="1" customHeight="1">
      <c r="A11712" s="24" t="s">
        <v>37089</v>
      </c>
      <c r="B11712" s="24" t="s">
        <v>37090</v>
      </c>
      <c r="C11712" s="24" t="s">
        <v>37091</v>
      </c>
      <c r="D11712" s="25" t="s">
        <v>37092</v>
      </c>
      <c r="E11712" s="28">
        <v>0.20000</v>
      </c>
      <c r="F11712" s="29">
        <f ca="1">F11716</f>
        <v>0</v>
      </c>
      <c r="G11712" s="27">
        <f ca="1">ROUND(E11712*F11712,2)</f>
        <v>0</v>
      </c>
    </row>
    <row r="11713" spans="1:7" ht="24.36" thickBot="1" customHeight="1">
      <c r="A11713" s="24" t="s">
        <v>37093</v>
      </c>
      <c r="B11713" s="24" t="s">
        <v>37094</v>
      </c>
      <c r="C11713" s="24" t="s">
        <v>37095</v>
      </c>
      <c r="D11713" s="25" t="s">
        <v>37096</v>
      </c>
      <c r="E11713" s="28">
        <v>1.00000</v>
      </c>
      <c r="F11713" s="29">
        <f ca="1">ROUND(21.000,3)</f>
        <v>0</v>
      </c>
      <c r="G11713" s="27">
        <f ca="1">ROUND(E11713*F11713,2)</f>
        <v>0</v>
      </c>
    </row>
    <row r="11714" spans="1:7" ht="24.36" thickBot="1" customHeight="1">
      <c r="A11714" s="24" t="s">
        <v>37097</v>
      </c>
      <c r="B11714" s="24" t="s">
        <v>37098</v>
      </c>
      <c r="C11714" s="24" t="s">
        <v>37099</v>
      </c>
      <c r="D11714" s="25" t="s">
        <v>37100</v>
      </c>
      <c r="E11714" s="28">
        <v>1.00000</v>
      </c>
      <c r="F11714" s="29">
        <f ca="1">ROUND(19.000,3)</f>
        <v>0</v>
      </c>
      <c r="G11714" s="27">
        <f ca="1">ROUND(E11714*F11714,2)</f>
        <v>0</v>
      </c>
    </row>
    <row r="11715" spans="1:7" ht="24.36" thickBot="1" customHeight="1">
      <c r="A11715" s="24" t="s">
        <v>37101</v>
      </c>
      <c r="B11715" s="24" t="s">
        <v>37102</v>
      </c>
      <c r="C11715" s="24" t="s">
        <v>37103</v>
      </c>
      <c r="D11715" s="25" t="s">
        <v>37104</v>
      </c>
      <c r="E11715" s="28">
        <v>0.20000</v>
      </c>
      <c r="F11715" s="29">
        <f ca="1">ROUND(19.000,3)</f>
        <v>0</v>
      </c>
      <c r="G11715" s="27">
        <f ca="1">ROUND(E11715*F11715,2)</f>
        <v>0</v>
      </c>
    </row>
    <row r="11716" spans="1:7" ht="15.12" thickBot="1" customHeight="1">
      <c r="A11716" s="26"/>
      <c r="B11716" s="26"/>
      <c r="C11716" s="26"/>
      <c r="D11716" s="24" t="s">
        <v>37105</v>
      </c>
      <c r="E11716" s="28">
        <v>0.20000</v>
      </c>
      <c r="F11716" s="29">
        <f ca="1">ROUND((G11713+G11714+G11715),3)</f>
        <v>0</v>
      </c>
      <c r="G11716" s="27">
        <f ca="1">ROUND(E11716*F11716,2)</f>
        <v>0</v>
      </c>
    </row>
    <row r="11717" spans="1:7" ht="15.12" thickBot="1" customHeight="1">
      <c r="A11717" s="24" t="s">
        <v>37106</v>
      </c>
      <c r="B11717" s="24"/>
      <c r="C11717" s="24" t="s">
        <v>37107</v>
      </c>
      <c r="D11717" s="25" t="s">
        <v>37108</v>
      </c>
      <c r="E11717" s="28">
        <v>3.00000</v>
      </c>
      <c r="F11717" s="29">
        <f ca="1">ROUND(8.760,3)</f>
        <v>0</v>
      </c>
      <c r="G11717" s="27">
        <f ca="1">ROUND((E11717*F11717)/100,2)</f>
        <v>0</v>
      </c>
    </row>
    <row r="11718" spans="1:7" ht="15.48" thickBot="1" customHeight="1">
      <c r="A11718" s="30"/>
      <c r="B11718" s="30"/>
      <c r="C11718" s="30"/>
      <c r="D11718" s="31" t="s">
        <v>37109</v>
      </c>
      <c r="E11718" s="30"/>
      <c r="F11718" s="33">
        <f ca="1">ROUND((G11711+G11712+G11717)*(1+G2/100),2)</f>
        <v>0</v>
      </c>
      <c r="G11718" s="30"/>
    </row>
    <row r="11719" spans="1:7" ht="21.36" thickBot="1" customHeight="1">
      <c r="A11719" s="34" t="s">
        <v>37110</v>
      </c>
      <c r="B11719" s="35" t="s">
        <v>37111</v>
      </c>
      <c r="C11719" s="35" t="s">
        <v>37112</v>
      </c>
      <c r="D11719" s="36" t="s">
        <v>37113</v>
      </c>
      <c r="E11719" s="37"/>
      <c r="F11719" s="38">
        <f ca="1">F11728</f>
        <v>0</v>
      </c>
      <c r="G11719" s="37"/>
    </row>
    <row r="11720" spans="1:7" ht="30.60" thickBot="1" customHeight="1">
      <c r="A11720" s="26"/>
      <c r="B11720" s="26"/>
      <c r="C11720" s="26"/>
      <c r="D11720" s="25" t="s">
        <v>37114</v>
      </c>
      <c r="E11720" s="25"/>
      <c r="F11720" s="25"/>
      <c r="G11720" s="25"/>
    </row>
    <row r="11721" spans="1:7" ht="24.36" thickBot="1" customHeight="1">
      <c r="A11721" s="24" t="s">
        <v>37115</v>
      </c>
      <c r="B11721" s="24" t="s">
        <v>37116</v>
      </c>
      <c r="C11721" s="24" t="s">
        <v>37117</v>
      </c>
      <c r="D11721" s="25" t="s">
        <v>37118</v>
      </c>
      <c r="E11721" s="28">
        <v>0.13000</v>
      </c>
      <c r="F11721" s="29">
        <f ca="1">ROUND(104.130,3)</f>
        <v>0</v>
      </c>
      <c r="G11721" s="27">
        <f ca="1">ROUND(E11721*F11721,2)</f>
        <v>0</v>
      </c>
    </row>
    <row r="11722" spans="1:7" ht="21.36" thickBot="1" customHeight="1">
      <c r="A11722" s="24" t="s">
        <v>37119</v>
      </c>
      <c r="B11722" s="24" t="s">
        <v>37120</v>
      </c>
      <c r="C11722" s="24" t="s">
        <v>37121</v>
      </c>
      <c r="D11722" s="25" t="s">
        <v>37122</v>
      </c>
      <c r="E11722" s="28">
        <v>0.22000</v>
      </c>
      <c r="F11722" s="29">
        <f ca="1">F11726</f>
        <v>0</v>
      </c>
      <c r="G11722" s="27">
        <f ca="1">ROUND(E11722*F11722,2)</f>
        <v>0</v>
      </c>
    </row>
    <row r="11723" spans="1:7" ht="24.36" thickBot="1" customHeight="1">
      <c r="A11723" s="24" t="s">
        <v>37123</v>
      </c>
      <c r="B11723" s="24" t="s">
        <v>37124</v>
      </c>
      <c r="C11723" s="24" t="s">
        <v>37125</v>
      </c>
      <c r="D11723" s="25" t="s">
        <v>37126</v>
      </c>
      <c r="E11723" s="28">
        <v>1.00000</v>
      </c>
      <c r="F11723" s="29">
        <f ca="1">ROUND(21.000,3)</f>
        <v>0</v>
      </c>
      <c r="G11723" s="27">
        <f ca="1">ROUND(E11723*F11723,2)</f>
        <v>0</v>
      </c>
    </row>
    <row r="11724" spans="1:7" ht="24.36" thickBot="1" customHeight="1">
      <c r="A11724" s="24" t="s">
        <v>37127</v>
      </c>
      <c r="B11724" s="24" t="s">
        <v>37128</v>
      </c>
      <c r="C11724" s="24" t="s">
        <v>37129</v>
      </c>
      <c r="D11724" s="25" t="s">
        <v>37130</v>
      </c>
      <c r="E11724" s="28">
        <v>1.00000</v>
      </c>
      <c r="F11724" s="29">
        <f ca="1">ROUND(19.000,3)</f>
        <v>0</v>
      </c>
      <c r="G11724" s="27">
        <f ca="1">ROUND(E11724*F11724,2)</f>
        <v>0</v>
      </c>
    </row>
    <row r="11725" spans="1:7" ht="24.36" thickBot="1" customHeight="1">
      <c r="A11725" s="24" t="s">
        <v>37131</v>
      </c>
      <c r="B11725" s="24" t="s">
        <v>37132</v>
      </c>
      <c r="C11725" s="24" t="s">
        <v>37133</v>
      </c>
      <c r="D11725" s="25" t="s">
        <v>37134</v>
      </c>
      <c r="E11725" s="28">
        <v>0.20000</v>
      </c>
      <c r="F11725" s="29">
        <f ca="1">ROUND(19.000,3)</f>
        <v>0</v>
      </c>
      <c r="G11725" s="27">
        <f ca="1">ROUND(E11725*F11725,2)</f>
        <v>0</v>
      </c>
    </row>
    <row r="11726" spans="1:7" ht="15.12" thickBot="1" customHeight="1">
      <c r="A11726" s="26"/>
      <c r="B11726" s="26"/>
      <c r="C11726" s="26"/>
      <c r="D11726" s="24" t="s">
        <v>37135</v>
      </c>
      <c r="E11726" s="28">
        <v>0.22000</v>
      </c>
      <c r="F11726" s="29">
        <f ca="1">ROUND((G11723+G11724+G11725),3)</f>
        <v>0</v>
      </c>
      <c r="G11726" s="27">
        <f ca="1">ROUND(E11726*F11726,2)</f>
        <v>0</v>
      </c>
    </row>
    <row r="11727" spans="1:7" ht="15.12" thickBot="1" customHeight="1">
      <c r="A11727" s="24" t="s">
        <v>37136</v>
      </c>
      <c r="B11727" s="24"/>
      <c r="C11727" s="24" t="s">
        <v>37137</v>
      </c>
      <c r="D11727" s="25" t="s">
        <v>37138</v>
      </c>
      <c r="E11727" s="28">
        <v>3.00000</v>
      </c>
      <c r="F11727" s="29">
        <f ca="1">ROUND(9.640,3)</f>
        <v>0</v>
      </c>
      <c r="G11727" s="27">
        <f ca="1">ROUND((E11727*F11727)/100,2)</f>
        <v>0</v>
      </c>
    </row>
    <row r="11728" spans="1:7" ht="15.48" thickBot="1" customHeight="1">
      <c r="A11728" s="30"/>
      <c r="B11728" s="30"/>
      <c r="C11728" s="30"/>
      <c r="D11728" s="31" t="s">
        <v>37139</v>
      </c>
      <c r="E11728" s="30"/>
      <c r="F11728" s="33">
        <f ca="1">ROUND((G11721+G11722+G11727)*(1+G2/100),2)</f>
        <v>0</v>
      </c>
      <c r="G11728" s="30"/>
    </row>
    <row r="11729" spans="1:7" ht="21.36" thickBot="1" customHeight="1">
      <c r="A11729" s="34" t="s">
        <v>37140</v>
      </c>
      <c r="B11729" s="35" t="s">
        <v>37141</v>
      </c>
      <c r="C11729" s="35" t="s">
        <v>37142</v>
      </c>
      <c r="D11729" s="36" t="s">
        <v>37143</v>
      </c>
      <c r="E11729" s="37"/>
      <c r="F11729" s="38">
        <f ca="1">F11738</f>
        <v>0</v>
      </c>
      <c r="G11729" s="37"/>
    </row>
    <row r="11730" spans="1:7" ht="12.12" thickBot="1" customHeight="1">
      <c r="A11730" s="26"/>
      <c r="B11730" s="26"/>
      <c r="C11730" s="26"/>
      <c r="D11730" s="25" t="s">
        <v>37144</v>
      </c>
      <c r="E11730" s="25"/>
      <c r="F11730" s="25"/>
      <c r="G11730" s="25"/>
    </row>
    <row r="11731" spans="1:7" ht="15.12" thickBot="1" customHeight="1">
      <c r="A11731" s="24" t="s">
        <v>37145</v>
      </c>
      <c r="B11731" s="24" t="s">
        <v>37146</v>
      </c>
      <c r="C11731" s="24" t="s">
        <v>37147</v>
      </c>
      <c r="D11731" s="25" t="s">
        <v>37148</v>
      </c>
      <c r="E11731" s="28">
        <v>0.13000</v>
      </c>
      <c r="F11731" s="29">
        <f ca="1">ROUND(40.000,3)</f>
        <v>0</v>
      </c>
      <c r="G11731" s="27">
        <f ca="1">ROUND(E11731*F11731,2)</f>
        <v>0</v>
      </c>
    </row>
    <row r="11732" spans="1:7" ht="21.36" thickBot="1" customHeight="1">
      <c r="A11732" s="24" t="s">
        <v>37149</v>
      </c>
      <c r="B11732" s="24" t="s">
        <v>37150</v>
      </c>
      <c r="C11732" s="24" t="s">
        <v>37151</v>
      </c>
      <c r="D11732" s="25" t="s">
        <v>37152</v>
      </c>
      <c r="E11732" s="28">
        <v>0.22000</v>
      </c>
      <c r="F11732" s="29">
        <f ca="1">F11736</f>
        <v>0</v>
      </c>
      <c r="G11732" s="27">
        <f ca="1">ROUND(E11732*F11732,2)</f>
        <v>0</v>
      </c>
    </row>
    <row r="11733" spans="1:7" ht="24.36" thickBot="1" customHeight="1">
      <c r="A11733" s="24" t="s">
        <v>37153</v>
      </c>
      <c r="B11733" s="24" t="s">
        <v>37154</v>
      </c>
      <c r="C11733" s="24" t="s">
        <v>37155</v>
      </c>
      <c r="D11733" s="25" t="s">
        <v>37156</v>
      </c>
      <c r="E11733" s="28">
        <v>1.00000</v>
      </c>
      <c r="F11733" s="29">
        <f ca="1">ROUND(21.000,3)</f>
        <v>0</v>
      </c>
      <c r="G11733" s="27">
        <f ca="1">ROUND(E11733*F11733,2)</f>
        <v>0</v>
      </c>
    </row>
    <row r="11734" spans="1:7" ht="24.36" thickBot="1" customHeight="1">
      <c r="A11734" s="24" t="s">
        <v>37157</v>
      </c>
      <c r="B11734" s="24" t="s">
        <v>37158</v>
      </c>
      <c r="C11734" s="24" t="s">
        <v>37159</v>
      </c>
      <c r="D11734" s="25" t="s">
        <v>37160</v>
      </c>
      <c r="E11734" s="28">
        <v>1.00000</v>
      </c>
      <c r="F11734" s="29">
        <f ca="1">ROUND(19.000,3)</f>
        <v>0</v>
      </c>
      <c r="G11734" s="27">
        <f ca="1">ROUND(E11734*F11734,2)</f>
        <v>0</v>
      </c>
    </row>
    <row r="11735" spans="1:7" ht="24.36" thickBot="1" customHeight="1">
      <c r="A11735" s="24" t="s">
        <v>37161</v>
      </c>
      <c r="B11735" s="24" t="s">
        <v>37162</v>
      </c>
      <c r="C11735" s="24" t="s">
        <v>37163</v>
      </c>
      <c r="D11735" s="25" t="s">
        <v>37164</v>
      </c>
      <c r="E11735" s="28">
        <v>0.20000</v>
      </c>
      <c r="F11735" s="29">
        <f ca="1">ROUND(19.000,3)</f>
        <v>0</v>
      </c>
      <c r="G11735" s="27">
        <f ca="1">ROUND(E11735*F11735,2)</f>
        <v>0</v>
      </c>
    </row>
    <row r="11736" spans="1:7" ht="15.12" thickBot="1" customHeight="1">
      <c r="A11736" s="26"/>
      <c r="B11736" s="26"/>
      <c r="C11736" s="26"/>
      <c r="D11736" s="24" t="s">
        <v>37165</v>
      </c>
      <c r="E11736" s="28">
        <v>0.22000</v>
      </c>
      <c r="F11736" s="29">
        <f ca="1">ROUND((G11733+G11734+G11735),3)</f>
        <v>0</v>
      </c>
      <c r="G11736" s="27">
        <f ca="1">ROUND(E11736*F11736,2)</f>
        <v>0</v>
      </c>
    </row>
    <row r="11737" spans="1:7" ht="15.12" thickBot="1" customHeight="1">
      <c r="A11737" s="24" t="s">
        <v>37166</v>
      </c>
      <c r="B11737" s="24"/>
      <c r="C11737" s="24" t="s">
        <v>37167</v>
      </c>
      <c r="D11737" s="25" t="s">
        <v>37168</v>
      </c>
      <c r="E11737" s="28">
        <v>3.00000</v>
      </c>
      <c r="F11737" s="29">
        <f ca="1">ROUND(9.640,3)</f>
        <v>0</v>
      </c>
      <c r="G11737" s="27">
        <f ca="1">ROUND((E11737*F11737)/100,2)</f>
        <v>0</v>
      </c>
    </row>
    <row r="11738" spans="1:7" ht="15.48" thickBot="1" customHeight="1">
      <c r="A11738" s="30"/>
      <c r="B11738" s="30"/>
      <c r="C11738" s="30"/>
      <c r="D11738" s="31" t="s">
        <v>37169</v>
      </c>
      <c r="E11738" s="30"/>
      <c r="F11738" s="33">
        <f ca="1">ROUND((G11731+G11732+G11737)*(1+G2/100),2)</f>
        <v>0</v>
      </c>
      <c r="G11738" s="30"/>
    </row>
    <row r="11739" spans="1:7" ht="21.36" thickBot="1" customHeight="1">
      <c r="A11739" s="34" t="s">
        <v>37170</v>
      </c>
      <c r="B11739" s="35" t="s">
        <v>37171</v>
      </c>
      <c r="C11739" s="35" t="s">
        <v>37172</v>
      </c>
      <c r="D11739" s="36" t="s">
        <v>37173</v>
      </c>
      <c r="E11739" s="37"/>
      <c r="F11739" s="38">
        <f ca="1">F11748</f>
        <v>0</v>
      </c>
      <c r="G11739" s="37"/>
    </row>
    <row r="11740" spans="1:7" ht="123.00" thickBot="1" customHeight="1">
      <c r="A11740" s="26"/>
      <c r="B11740" s="26"/>
      <c r="C11740" s="26"/>
      <c r="D11740" s="25" t="s">
        <v>37174</v>
      </c>
      <c r="E11740" s="25"/>
      <c r="F11740" s="25"/>
      <c r="G11740" s="25"/>
    </row>
    <row r="11741" spans="1:7" ht="39.84" thickBot="1" customHeight="1">
      <c r="A11741" s="24" t="s">
        <v>37175</v>
      </c>
      <c r="B11741" s="24" t="s">
        <v>37176</v>
      </c>
      <c r="C11741" s="24" t="s">
        <v>37177</v>
      </c>
      <c r="D11741" s="25" t="s">
        <v>37178</v>
      </c>
      <c r="E11741" s="28">
        <v>0.05000</v>
      </c>
      <c r="F11741" s="29">
        <f ca="1">ROUND(36.060,3)</f>
        <v>0</v>
      </c>
      <c r="G11741" s="27">
        <f ca="1">ROUND(E11741*F11741,2)</f>
        <v>0</v>
      </c>
    </row>
    <row r="11742" spans="1:7" ht="21.36" thickBot="1" customHeight="1">
      <c r="A11742" s="24" t="s">
        <v>37179</v>
      </c>
      <c r="B11742" s="24" t="s">
        <v>37180</v>
      </c>
      <c r="C11742" s="24" t="s">
        <v>37181</v>
      </c>
      <c r="D11742" s="25" t="s">
        <v>37182</v>
      </c>
      <c r="E11742" s="28">
        <v>0.20000</v>
      </c>
      <c r="F11742" s="29">
        <f ca="1">F11746</f>
        <v>0</v>
      </c>
      <c r="G11742" s="27">
        <f ca="1">ROUND(E11742*F11742,2)</f>
        <v>0</v>
      </c>
    </row>
    <row r="11743" spans="1:7" ht="24.36" thickBot="1" customHeight="1">
      <c r="A11743" s="24" t="s">
        <v>37183</v>
      </c>
      <c r="B11743" s="24" t="s">
        <v>37184</v>
      </c>
      <c r="C11743" s="24" t="s">
        <v>37185</v>
      </c>
      <c r="D11743" s="25" t="s">
        <v>37186</v>
      </c>
      <c r="E11743" s="28">
        <v>1.00000</v>
      </c>
      <c r="F11743" s="29">
        <f ca="1">ROUND(21.000,3)</f>
        <v>0</v>
      </c>
      <c r="G11743" s="27">
        <f ca="1">ROUND(E11743*F11743,2)</f>
        <v>0</v>
      </c>
    </row>
    <row r="11744" spans="1:7" ht="24.36" thickBot="1" customHeight="1">
      <c r="A11744" s="24" t="s">
        <v>37187</v>
      </c>
      <c r="B11744" s="24" t="s">
        <v>37188</v>
      </c>
      <c r="C11744" s="24" t="s">
        <v>37189</v>
      </c>
      <c r="D11744" s="25" t="s">
        <v>37190</v>
      </c>
      <c r="E11744" s="28">
        <v>1.00000</v>
      </c>
      <c r="F11744" s="29">
        <f ca="1">ROUND(19.000,3)</f>
        <v>0</v>
      </c>
      <c r="G11744" s="27">
        <f ca="1">ROUND(E11744*F11744,2)</f>
        <v>0</v>
      </c>
    </row>
    <row r="11745" spans="1:7" ht="24.36" thickBot="1" customHeight="1">
      <c r="A11745" s="24" t="s">
        <v>37191</v>
      </c>
      <c r="B11745" s="24" t="s">
        <v>37192</v>
      </c>
      <c r="C11745" s="24" t="s">
        <v>37193</v>
      </c>
      <c r="D11745" s="25" t="s">
        <v>37194</v>
      </c>
      <c r="E11745" s="28">
        <v>0.20000</v>
      </c>
      <c r="F11745" s="29">
        <f ca="1">ROUND(19.000,3)</f>
        <v>0</v>
      </c>
      <c r="G11745" s="27">
        <f ca="1">ROUND(E11745*F11745,2)</f>
        <v>0</v>
      </c>
    </row>
    <row r="11746" spans="1:7" ht="15.12" thickBot="1" customHeight="1">
      <c r="A11746" s="26"/>
      <c r="B11746" s="26"/>
      <c r="C11746" s="26"/>
      <c r="D11746" s="24" t="s">
        <v>37195</v>
      </c>
      <c r="E11746" s="28">
        <v>0.20000</v>
      </c>
      <c r="F11746" s="29">
        <f ca="1">ROUND((G11743+G11744+G11745),3)</f>
        <v>0</v>
      </c>
      <c r="G11746" s="27">
        <f ca="1">ROUND(E11746*F11746,2)</f>
        <v>0</v>
      </c>
    </row>
    <row r="11747" spans="1:7" ht="15.12" thickBot="1" customHeight="1">
      <c r="A11747" s="24" t="s">
        <v>37196</v>
      </c>
      <c r="B11747" s="24"/>
      <c r="C11747" s="24" t="s">
        <v>37197</v>
      </c>
      <c r="D11747" s="25" t="s">
        <v>37198</v>
      </c>
      <c r="E11747" s="28">
        <v>3.00000</v>
      </c>
      <c r="F11747" s="29">
        <f ca="1">ROUND(8.760,3)</f>
        <v>0</v>
      </c>
      <c r="G11747" s="27">
        <f ca="1">ROUND((E11747*F11747)/100,2)</f>
        <v>0</v>
      </c>
    </row>
    <row r="11748" spans="1:7" ht="15.48" thickBot="1" customHeight="1">
      <c r="A11748" s="30"/>
      <c r="B11748" s="30"/>
      <c r="C11748" s="30"/>
      <c r="D11748" s="31" t="s">
        <v>37199</v>
      </c>
      <c r="E11748" s="30"/>
      <c r="F11748" s="33">
        <f ca="1">ROUND((G11741+G11742+G11747)*(1+G2/100),2)</f>
        <v>0</v>
      </c>
      <c r="G11748" s="30"/>
    </row>
    <row r="11749" spans="1:7" ht="21.36" thickBot="1" customHeight="1">
      <c r="A11749" s="34" t="s">
        <v>37200</v>
      </c>
      <c r="B11749" s="35" t="s">
        <v>37201</v>
      </c>
      <c r="C11749" s="35" t="s">
        <v>37202</v>
      </c>
      <c r="D11749" s="36" t="s">
        <v>37203</v>
      </c>
      <c r="E11749" s="37"/>
      <c r="F11749" s="38">
        <f ca="1">F11758</f>
        <v>0</v>
      </c>
      <c r="G11749" s="37"/>
    </row>
    <row r="11750" spans="1:7" ht="132.24" thickBot="1" customHeight="1">
      <c r="A11750" s="26"/>
      <c r="B11750" s="26"/>
      <c r="C11750" s="26"/>
      <c r="D11750" s="25" t="s">
        <v>37204</v>
      </c>
      <c r="E11750" s="25"/>
      <c r="F11750" s="25"/>
      <c r="G11750" s="25"/>
    </row>
    <row r="11751" spans="1:7" ht="39.84" thickBot="1" customHeight="1">
      <c r="A11751" s="24" t="s">
        <v>37205</v>
      </c>
      <c r="B11751" s="24" t="s">
        <v>37206</v>
      </c>
      <c r="C11751" s="24" t="s">
        <v>37207</v>
      </c>
      <c r="D11751" s="25" t="s">
        <v>37208</v>
      </c>
      <c r="E11751" s="28">
        <v>0.05000</v>
      </c>
      <c r="F11751" s="29">
        <f ca="1">ROUND(36.060,3)</f>
        <v>0</v>
      </c>
      <c r="G11751" s="27">
        <f ca="1">ROUND(E11751*F11751,2)</f>
        <v>0</v>
      </c>
    </row>
    <row r="11752" spans="1:7" ht="24.36" thickBot="1" customHeight="1">
      <c r="A11752" s="24" t="s">
        <v>37209</v>
      </c>
      <c r="B11752" s="24" t="s">
        <v>37210</v>
      </c>
      <c r="C11752" s="24" t="s">
        <v>37211</v>
      </c>
      <c r="D11752" s="25" t="s">
        <v>37212</v>
      </c>
      <c r="E11752" s="28">
        <v>0.30000</v>
      </c>
      <c r="F11752" s="29">
        <f ca="1">F11756</f>
        <v>0</v>
      </c>
      <c r="G11752" s="27">
        <f ca="1">ROUND(E11752*F11752,2)</f>
        <v>0</v>
      </c>
    </row>
    <row r="11753" spans="1:7" ht="24.36" thickBot="1" customHeight="1">
      <c r="A11753" s="24" t="s">
        <v>37213</v>
      </c>
      <c r="B11753" s="24" t="s">
        <v>37214</v>
      </c>
      <c r="C11753" s="24" t="s">
        <v>37215</v>
      </c>
      <c r="D11753" s="25" t="s">
        <v>37216</v>
      </c>
      <c r="E11753" s="28">
        <v>1.00000</v>
      </c>
      <c r="F11753" s="29">
        <f ca="1">ROUND(21.000,3)</f>
        <v>0</v>
      </c>
      <c r="G11753" s="27">
        <f ca="1">ROUND(E11753*F11753,2)</f>
        <v>0</v>
      </c>
    </row>
    <row r="11754" spans="1:7" ht="24.36" thickBot="1" customHeight="1">
      <c r="A11754" s="24" t="s">
        <v>37217</v>
      </c>
      <c r="B11754" s="24" t="s">
        <v>37218</v>
      </c>
      <c r="C11754" s="24" t="s">
        <v>37219</v>
      </c>
      <c r="D11754" s="25" t="s">
        <v>37220</v>
      </c>
      <c r="E11754" s="28">
        <v>1.00000</v>
      </c>
      <c r="F11754" s="29">
        <f ca="1">ROUND(19.000,3)</f>
        <v>0</v>
      </c>
      <c r="G11754" s="27">
        <f ca="1">ROUND(E11754*F11754,2)</f>
        <v>0</v>
      </c>
    </row>
    <row r="11755" spans="1:7" ht="24.36" thickBot="1" customHeight="1">
      <c r="A11755" s="24" t="s">
        <v>37221</v>
      </c>
      <c r="B11755" s="24" t="s">
        <v>37222</v>
      </c>
      <c r="C11755" s="24" t="s">
        <v>37223</v>
      </c>
      <c r="D11755" s="25" t="s">
        <v>37224</v>
      </c>
      <c r="E11755" s="28">
        <v>0.50000</v>
      </c>
      <c r="F11755" s="29">
        <f ca="1">ROUND(19.000,3)</f>
        <v>0</v>
      </c>
      <c r="G11755" s="27">
        <f ca="1">ROUND(E11755*F11755,2)</f>
        <v>0</v>
      </c>
    </row>
    <row r="11756" spans="1:7" ht="15.12" thickBot="1" customHeight="1">
      <c r="A11756" s="26"/>
      <c r="B11756" s="26"/>
      <c r="C11756" s="26"/>
      <c r="D11756" s="24" t="s">
        <v>37225</v>
      </c>
      <c r="E11756" s="28">
        <v>0.30000</v>
      </c>
      <c r="F11756" s="29">
        <f ca="1">ROUND((G11753+G11754+G11755),3)</f>
        <v>0</v>
      </c>
      <c r="G11756" s="27">
        <f ca="1">ROUND(E11756*F11756,2)</f>
        <v>0</v>
      </c>
    </row>
    <row r="11757" spans="1:7" ht="15.12" thickBot="1" customHeight="1">
      <c r="A11757" s="24" t="s">
        <v>37226</v>
      </c>
      <c r="B11757" s="24"/>
      <c r="C11757" s="24" t="s">
        <v>37227</v>
      </c>
      <c r="D11757" s="25" t="s">
        <v>37228</v>
      </c>
      <c r="E11757" s="28">
        <v>3.00000</v>
      </c>
      <c r="F11757" s="29">
        <f ca="1">ROUND(14.850,3)</f>
        <v>0</v>
      </c>
      <c r="G11757" s="27">
        <f ca="1">ROUND((E11757*F11757)/100,2)</f>
        <v>0</v>
      </c>
    </row>
    <row r="11758" spans="1:7" ht="15.48" thickBot="1" customHeight="1">
      <c r="A11758" s="30"/>
      <c r="B11758" s="30"/>
      <c r="C11758" s="30"/>
      <c r="D11758" s="31" t="s">
        <v>37229</v>
      </c>
      <c r="E11758" s="30"/>
      <c r="F11758" s="33">
        <f ca="1">ROUND((G11751+G11752+G11757)*(1+G2/100),2)</f>
        <v>0</v>
      </c>
      <c r="G11758" s="30"/>
    </row>
    <row r="11759" spans="1:7" ht="21.36" thickBot="1" customHeight="1">
      <c r="A11759" s="34" t="s">
        <v>37230</v>
      </c>
      <c r="B11759" s="35" t="s">
        <v>37231</v>
      </c>
      <c r="C11759" s="35" t="s">
        <v>37232</v>
      </c>
      <c r="D11759" s="36" t="s">
        <v>37233</v>
      </c>
      <c r="E11759" s="37"/>
      <c r="F11759" s="38">
        <f ca="1">F11768</f>
        <v>0</v>
      </c>
      <c r="G11759" s="37"/>
    </row>
    <row r="11760" spans="1:7" ht="67.56" thickBot="1" customHeight="1">
      <c r="A11760" s="26"/>
      <c r="B11760" s="26"/>
      <c r="C11760" s="26"/>
      <c r="D11760" s="25" t="s">
        <v>37234</v>
      </c>
      <c r="E11760" s="25"/>
      <c r="F11760" s="25"/>
      <c r="G11760" s="25"/>
    </row>
    <row r="11761" spans="1:7" ht="21.36" thickBot="1" customHeight="1">
      <c r="A11761" s="24" t="s">
        <v>37235</v>
      </c>
      <c r="B11761" s="24" t="s">
        <v>37236</v>
      </c>
      <c r="C11761" s="24" t="s">
        <v>37237</v>
      </c>
      <c r="D11761" s="25" t="s">
        <v>37238</v>
      </c>
      <c r="E11761" s="28">
        <v>0.05000</v>
      </c>
      <c r="F11761" s="29">
        <f ca="1">ROUND(29.300,3)</f>
        <v>0</v>
      </c>
      <c r="G11761" s="27">
        <f ca="1">ROUND(E11761*F11761,2)</f>
        <v>0</v>
      </c>
    </row>
    <row r="11762" spans="1:7" ht="21.36" thickBot="1" customHeight="1">
      <c r="A11762" s="24" t="s">
        <v>37239</v>
      </c>
      <c r="B11762" s="24" t="s">
        <v>37240</v>
      </c>
      <c r="C11762" s="24" t="s">
        <v>37241</v>
      </c>
      <c r="D11762" s="25" t="s">
        <v>37242</v>
      </c>
      <c r="E11762" s="28">
        <v>0.20000</v>
      </c>
      <c r="F11762" s="29">
        <f ca="1">F11766</f>
        <v>0</v>
      </c>
      <c r="G11762" s="27">
        <f ca="1">ROUND(E11762*F11762,2)</f>
        <v>0</v>
      </c>
    </row>
    <row r="11763" spans="1:7" ht="24.36" thickBot="1" customHeight="1">
      <c r="A11763" s="24" t="s">
        <v>37243</v>
      </c>
      <c r="B11763" s="24" t="s">
        <v>37244</v>
      </c>
      <c r="C11763" s="24" t="s">
        <v>37245</v>
      </c>
      <c r="D11763" s="25" t="s">
        <v>37246</v>
      </c>
      <c r="E11763" s="28">
        <v>1.00000</v>
      </c>
      <c r="F11763" s="29">
        <f ca="1">ROUND(21.000,3)</f>
        <v>0</v>
      </c>
      <c r="G11763" s="27">
        <f ca="1">ROUND(E11763*F11763,2)</f>
        <v>0</v>
      </c>
    </row>
    <row r="11764" spans="1:7" ht="24.36" thickBot="1" customHeight="1">
      <c r="A11764" s="24" t="s">
        <v>37247</v>
      </c>
      <c r="B11764" s="24" t="s">
        <v>37248</v>
      </c>
      <c r="C11764" s="24" t="s">
        <v>37249</v>
      </c>
      <c r="D11764" s="25" t="s">
        <v>37250</v>
      </c>
      <c r="E11764" s="28">
        <v>1.00000</v>
      </c>
      <c r="F11764" s="29">
        <f ca="1">ROUND(19.000,3)</f>
        <v>0</v>
      </c>
      <c r="G11764" s="27">
        <f ca="1">ROUND(E11764*F11764,2)</f>
        <v>0</v>
      </c>
    </row>
    <row r="11765" spans="1:7" ht="24.36" thickBot="1" customHeight="1">
      <c r="A11765" s="24" t="s">
        <v>37251</v>
      </c>
      <c r="B11765" s="24" t="s">
        <v>37252</v>
      </c>
      <c r="C11765" s="24" t="s">
        <v>37253</v>
      </c>
      <c r="D11765" s="25" t="s">
        <v>37254</v>
      </c>
      <c r="E11765" s="28">
        <v>0.20000</v>
      </c>
      <c r="F11765" s="29">
        <f ca="1">ROUND(19.000,3)</f>
        <v>0</v>
      </c>
      <c r="G11765" s="27">
        <f ca="1">ROUND(E11765*F11765,2)</f>
        <v>0</v>
      </c>
    </row>
    <row r="11766" spans="1:7" ht="15.12" thickBot="1" customHeight="1">
      <c r="A11766" s="26"/>
      <c r="B11766" s="26"/>
      <c r="C11766" s="26"/>
      <c r="D11766" s="24" t="s">
        <v>37255</v>
      </c>
      <c r="E11766" s="28">
        <v>0.20000</v>
      </c>
      <c r="F11766" s="29">
        <f ca="1">ROUND((G11763+G11764+G11765),3)</f>
        <v>0</v>
      </c>
      <c r="G11766" s="27">
        <f ca="1">ROUND(E11766*F11766,2)</f>
        <v>0</v>
      </c>
    </row>
    <row r="11767" spans="1:7" ht="15.12" thickBot="1" customHeight="1">
      <c r="A11767" s="24" t="s">
        <v>37256</v>
      </c>
      <c r="B11767" s="24"/>
      <c r="C11767" s="24" t="s">
        <v>37257</v>
      </c>
      <c r="D11767" s="25" t="s">
        <v>37258</v>
      </c>
      <c r="E11767" s="28">
        <v>3.00000</v>
      </c>
      <c r="F11767" s="29">
        <f ca="1">ROUND(8.760,3)</f>
        <v>0</v>
      </c>
      <c r="G11767" s="27">
        <f ca="1">ROUND((E11767*F11767)/100,2)</f>
        <v>0</v>
      </c>
    </row>
    <row r="11768" spans="1:7" ht="15.48" thickBot="1" customHeight="1">
      <c r="A11768" s="30"/>
      <c r="B11768" s="30"/>
      <c r="C11768" s="30"/>
      <c r="D11768" s="31" t="s">
        <v>37259</v>
      </c>
      <c r="E11768" s="30"/>
      <c r="F11768" s="33">
        <f ca="1">ROUND((G11761+G11762+G11767)*(1+G2/100),2)</f>
        <v>0</v>
      </c>
      <c r="G11768" s="30"/>
    </row>
    <row r="11769" spans="1:7" ht="21.36" thickBot="1" customHeight="1">
      <c r="A11769" s="34" t="s">
        <v>37260</v>
      </c>
      <c r="B11769" s="35" t="s">
        <v>37261</v>
      </c>
      <c r="C11769" s="35" t="s">
        <v>37262</v>
      </c>
      <c r="D11769" s="36" t="s">
        <v>37263</v>
      </c>
      <c r="E11769" s="37"/>
      <c r="F11769" s="38">
        <f ca="1">F11778</f>
        <v>0</v>
      </c>
      <c r="G11769" s="37"/>
    </row>
    <row r="11770" spans="1:7" ht="30.60" thickBot="1" customHeight="1">
      <c r="A11770" s="26"/>
      <c r="B11770" s="26"/>
      <c r="C11770" s="26"/>
      <c r="D11770" s="25" t="s">
        <v>37264</v>
      </c>
      <c r="E11770" s="25"/>
      <c r="F11770" s="25"/>
      <c r="G11770" s="25"/>
    </row>
    <row r="11771" spans="1:7" ht="24.36" thickBot="1" customHeight="1">
      <c r="A11771" s="24" t="s">
        <v>37265</v>
      </c>
      <c r="B11771" s="24" t="s">
        <v>37266</v>
      </c>
      <c r="C11771" s="24" t="s">
        <v>37267</v>
      </c>
      <c r="D11771" s="25" t="s">
        <v>37268</v>
      </c>
      <c r="E11771" s="28">
        <v>0.03750</v>
      </c>
      <c r="F11771" s="29">
        <f ca="1">ROUND(35.300,3)</f>
        <v>0</v>
      </c>
      <c r="G11771" s="27">
        <f ca="1">ROUND(E11771*F11771,2)</f>
        <v>0</v>
      </c>
    </row>
    <row r="11772" spans="1:7" ht="21.36" thickBot="1" customHeight="1">
      <c r="A11772" s="24" t="s">
        <v>37269</v>
      </c>
      <c r="B11772" s="24" t="s">
        <v>37270</v>
      </c>
      <c r="C11772" s="24" t="s">
        <v>37271</v>
      </c>
      <c r="D11772" s="25" t="s">
        <v>37272</v>
      </c>
      <c r="E11772" s="28">
        <v>0.20000</v>
      </c>
      <c r="F11772" s="29">
        <f ca="1">F11776</f>
        <v>0</v>
      </c>
      <c r="G11772" s="27">
        <f ca="1">ROUND(E11772*F11772,2)</f>
        <v>0</v>
      </c>
    </row>
    <row r="11773" spans="1:7" ht="24.36" thickBot="1" customHeight="1">
      <c r="A11773" s="24" t="s">
        <v>37273</v>
      </c>
      <c r="B11773" s="24" t="s">
        <v>37274</v>
      </c>
      <c r="C11773" s="24" t="s">
        <v>37275</v>
      </c>
      <c r="D11773" s="25" t="s">
        <v>37276</v>
      </c>
      <c r="E11773" s="28">
        <v>1.00000</v>
      </c>
      <c r="F11773" s="29">
        <f ca="1">ROUND(21.000,3)</f>
        <v>0</v>
      </c>
      <c r="G11773" s="27">
        <f ca="1">ROUND(E11773*F11773,2)</f>
        <v>0</v>
      </c>
    </row>
    <row r="11774" spans="1:7" ht="24.36" thickBot="1" customHeight="1">
      <c r="A11774" s="24" t="s">
        <v>37277</v>
      </c>
      <c r="B11774" s="24" t="s">
        <v>37278</v>
      </c>
      <c r="C11774" s="24" t="s">
        <v>37279</v>
      </c>
      <c r="D11774" s="25" t="s">
        <v>37280</v>
      </c>
      <c r="E11774" s="28">
        <v>1.00000</v>
      </c>
      <c r="F11774" s="29">
        <f ca="1">ROUND(19.000,3)</f>
        <v>0</v>
      </c>
      <c r="G11774" s="27">
        <f ca="1">ROUND(E11774*F11774,2)</f>
        <v>0</v>
      </c>
    </row>
    <row r="11775" spans="1:7" ht="24.36" thickBot="1" customHeight="1">
      <c r="A11775" s="24" t="s">
        <v>37281</v>
      </c>
      <c r="B11775" s="24" t="s">
        <v>37282</v>
      </c>
      <c r="C11775" s="24" t="s">
        <v>37283</v>
      </c>
      <c r="D11775" s="25" t="s">
        <v>37284</v>
      </c>
      <c r="E11775" s="28">
        <v>0.20000</v>
      </c>
      <c r="F11775" s="29">
        <f ca="1">ROUND(19.000,3)</f>
        <v>0</v>
      </c>
      <c r="G11775" s="27">
        <f ca="1">ROUND(E11775*F11775,2)</f>
        <v>0</v>
      </c>
    </row>
    <row r="11776" spans="1:7" ht="15.12" thickBot="1" customHeight="1">
      <c r="A11776" s="26"/>
      <c r="B11776" s="26"/>
      <c r="C11776" s="26"/>
      <c r="D11776" s="24" t="s">
        <v>37285</v>
      </c>
      <c r="E11776" s="28">
        <v>0.20000</v>
      </c>
      <c r="F11776" s="29">
        <f ca="1">ROUND((G11773+G11774+G11775),3)</f>
        <v>0</v>
      </c>
      <c r="G11776" s="27">
        <f ca="1">ROUND(E11776*F11776,2)</f>
        <v>0</v>
      </c>
    </row>
    <row r="11777" spans="1:7" ht="15.12" thickBot="1" customHeight="1">
      <c r="A11777" s="24" t="s">
        <v>37286</v>
      </c>
      <c r="B11777" s="24"/>
      <c r="C11777" s="24" t="s">
        <v>37287</v>
      </c>
      <c r="D11777" s="25" t="s">
        <v>37288</v>
      </c>
      <c r="E11777" s="28">
        <v>3.00000</v>
      </c>
      <c r="F11777" s="29">
        <f ca="1">ROUND(8.760,3)</f>
        <v>0</v>
      </c>
      <c r="G11777" s="27">
        <f ca="1">ROUND((E11777*F11777)/100,2)</f>
        <v>0</v>
      </c>
    </row>
    <row r="11778" spans="1:7" ht="15.48" thickBot="1" customHeight="1">
      <c r="A11778" s="30"/>
      <c r="B11778" s="30"/>
      <c r="C11778" s="30"/>
      <c r="D11778" s="31" t="s">
        <v>37289</v>
      </c>
      <c r="E11778" s="30"/>
      <c r="F11778" s="33">
        <f ca="1">ROUND((G11771+G11772+G11777)*(1+G2/100),2)</f>
        <v>0</v>
      </c>
      <c r="G11778" s="30"/>
    </row>
    <row r="11779" spans="1:7" ht="21.36" thickBot="1" customHeight="1">
      <c r="A11779" s="34" t="s">
        <v>37290</v>
      </c>
      <c r="B11779" s="35" t="s">
        <v>37291</v>
      </c>
      <c r="C11779" s="35" t="s">
        <v>37292</v>
      </c>
      <c r="D11779" s="36" t="s">
        <v>37293</v>
      </c>
      <c r="E11779" s="37"/>
      <c r="F11779" s="38">
        <f ca="1">F11790</f>
        <v>0</v>
      </c>
      <c r="G11779" s="37"/>
    </row>
    <row r="11780" spans="1:7" ht="39.84" thickBot="1" customHeight="1">
      <c r="A11780" s="26"/>
      <c r="B11780" s="26"/>
      <c r="C11780" s="26"/>
      <c r="D11780" s="25" t="s">
        <v>37294</v>
      </c>
      <c r="E11780" s="25"/>
      <c r="F11780" s="25"/>
      <c r="G11780" s="25"/>
    </row>
    <row r="11781" spans="1:7" ht="24.36" thickBot="1" customHeight="1">
      <c r="A11781" s="24" t="s">
        <v>37295</v>
      </c>
      <c r="B11781" s="24" t="s">
        <v>37296</v>
      </c>
      <c r="C11781" s="24" t="s">
        <v>37297</v>
      </c>
      <c r="D11781" s="25" t="s">
        <v>37298</v>
      </c>
      <c r="E11781" s="28">
        <v>0.03000</v>
      </c>
      <c r="F11781" s="29">
        <f ca="1">ROUND(35.300,3)</f>
        <v>0</v>
      </c>
      <c r="G11781" s="27">
        <f ca="1">ROUND(E11781*F11781,2)</f>
        <v>0</v>
      </c>
    </row>
    <row r="11782" spans="1:7" ht="39.84" thickBot="1" customHeight="1">
      <c r="A11782" s="24" t="s">
        <v>37299</v>
      </c>
      <c r="B11782" s="24" t="s">
        <v>37300</v>
      </c>
      <c r="C11782" s="24" t="s">
        <v>37301</v>
      </c>
      <c r="D11782" s="25" t="s">
        <v>37302</v>
      </c>
      <c r="E11782" s="28">
        <v>0.05800</v>
      </c>
      <c r="F11782" s="29">
        <f ca="1">ROUND(53.440,3)</f>
        <v>0</v>
      </c>
      <c r="G11782" s="27">
        <f ca="1">ROUND(E11782*F11782,2)</f>
        <v>0</v>
      </c>
    </row>
    <row r="11783" spans="1:7" ht="24.36" thickBot="1" customHeight="1">
      <c r="A11783" s="24" t="s">
        <v>37303</v>
      </c>
      <c r="B11783" s="24" t="s">
        <v>37304</v>
      </c>
      <c r="C11783" s="24" t="s">
        <v>37305</v>
      </c>
      <c r="D11783" s="25" t="s">
        <v>37306</v>
      </c>
      <c r="E11783" s="28">
        <v>0.01350</v>
      </c>
      <c r="F11783" s="29">
        <f ca="1">ROUND(4.630,3)</f>
        <v>0</v>
      </c>
      <c r="G11783" s="27">
        <f ca="1">ROUND(E11783*F11783,2)</f>
        <v>0</v>
      </c>
    </row>
    <row r="11784" spans="1:7" ht="21.36" thickBot="1" customHeight="1">
      <c r="A11784" s="24" t="s">
        <v>37307</v>
      </c>
      <c r="B11784" s="24" t="s">
        <v>37308</v>
      </c>
      <c r="C11784" s="24" t="s">
        <v>37309</v>
      </c>
      <c r="D11784" s="25" t="s">
        <v>37310</v>
      </c>
      <c r="E11784" s="28">
        <v>0.47500</v>
      </c>
      <c r="F11784" s="29">
        <f ca="1">F11788</f>
        <v>0</v>
      </c>
      <c r="G11784" s="27">
        <f ca="1">ROUND(E11784*F11784,2)</f>
        <v>0</v>
      </c>
    </row>
    <row r="11785" spans="1:7" ht="24.36" thickBot="1" customHeight="1">
      <c r="A11785" s="24" t="s">
        <v>37311</v>
      </c>
      <c r="B11785" s="24" t="s">
        <v>37312</v>
      </c>
      <c r="C11785" s="24" t="s">
        <v>37313</v>
      </c>
      <c r="D11785" s="25" t="s">
        <v>37314</v>
      </c>
      <c r="E11785" s="28">
        <v>1.00000</v>
      </c>
      <c r="F11785" s="29">
        <f ca="1">ROUND(21.000,3)</f>
        <v>0</v>
      </c>
      <c r="G11785" s="27">
        <f ca="1">ROUND(E11785*F11785,2)</f>
        <v>0</v>
      </c>
    </row>
    <row r="11786" spans="1:7" ht="24.36" thickBot="1" customHeight="1">
      <c r="A11786" s="24" t="s">
        <v>37315</v>
      </c>
      <c r="B11786" s="24" t="s">
        <v>37316</v>
      </c>
      <c r="C11786" s="24" t="s">
        <v>37317</v>
      </c>
      <c r="D11786" s="25" t="s">
        <v>37318</v>
      </c>
      <c r="E11786" s="28">
        <v>1.00000</v>
      </c>
      <c r="F11786" s="29">
        <f ca="1">ROUND(19.000,3)</f>
        <v>0</v>
      </c>
      <c r="G11786" s="27">
        <f ca="1">ROUND(E11786*F11786,2)</f>
        <v>0</v>
      </c>
    </row>
    <row r="11787" spans="1:7" ht="24.36" thickBot="1" customHeight="1">
      <c r="A11787" s="24" t="s">
        <v>37319</v>
      </c>
      <c r="B11787" s="24" t="s">
        <v>37320</v>
      </c>
      <c r="C11787" s="24" t="s">
        <v>37321</v>
      </c>
      <c r="D11787" s="25" t="s">
        <v>37322</v>
      </c>
      <c r="E11787" s="28">
        <v>0.20000</v>
      </c>
      <c r="F11787" s="29">
        <f ca="1">ROUND(19.000,3)</f>
        <v>0</v>
      </c>
      <c r="G11787" s="27">
        <f ca="1">ROUND(E11787*F11787,2)</f>
        <v>0</v>
      </c>
    </row>
    <row r="11788" spans="1:7" ht="15.12" thickBot="1" customHeight="1">
      <c r="A11788" s="26"/>
      <c r="B11788" s="26"/>
      <c r="C11788" s="26"/>
      <c r="D11788" s="24" t="s">
        <v>37323</v>
      </c>
      <c r="E11788" s="28">
        <v>0.47500</v>
      </c>
      <c r="F11788" s="29">
        <f ca="1">ROUND((G11785+G11786+G11787),3)</f>
        <v>0</v>
      </c>
      <c r="G11788" s="27">
        <f ca="1">ROUND(E11788*F11788,2)</f>
        <v>0</v>
      </c>
    </row>
    <row r="11789" spans="1:7" ht="15.12" thickBot="1" customHeight="1">
      <c r="A11789" s="24" t="s">
        <v>37324</v>
      </c>
      <c r="B11789" s="24"/>
      <c r="C11789" s="24" t="s">
        <v>37325</v>
      </c>
      <c r="D11789" s="25" t="s">
        <v>37326</v>
      </c>
      <c r="E11789" s="28">
        <v>3.00000</v>
      </c>
      <c r="F11789" s="29">
        <f ca="1">ROUND(20.810,3)</f>
        <v>0</v>
      </c>
      <c r="G11789" s="27">
        <f ca="1">ROUND((E11789*F11789)/100,2)</f>
        <v>0</v>
      </c>
    </row>
    <row r="11790" spans="1:7" ht="15.48" thickBot="1" customHeight="1">
      <c r="A11790" s="30"/>
      <c r="B11790" s="30"/>
      <c r="C11790" s="30"/>
      <c r="D11790" s="31" t="s">
        <v>37327</v>
      </c>
      <c r="E11790" s="30"/>
      <c r="F11790" s="33">
        <f ca="1">ROUND((G11781+G11782+G11783+G11784+G11789)*(1+G2/100),2)</f>
        <v>0</v>
      </c>
      <c r="G11790" s="30"/>
    </row>
    <row r="11791" spans="1:7" ht="30.60" thickBot="1" customHeight="1">
      <c r="A11791" s="34" t="s">
        <v>37328</v>
      </c>
      <c r="B11791" s="35" t="s">
        <v>37329</v>
      </c>
      <c r="C11791" s="35" t="s">
        <v>37330</v>
      </c>
      <c r="D11791" s="36" t="s">
        <v>37331</v>
      </c>
      <c r="E11791" s="37"/>
      <c r="F11791" s="38">
        <f ca="1">F11802</f>
        <v>0</v>
      </c>
      <c r="G11791" s="37"/>
    </row>
    <row r="11792" spans="1:7" ht="39.84" thickBot="1" customHeight="1">
      <c r="A11792" s="26"/>
      <c r="B11792" s="26"/>
      <c r="C11792" s="26"/>
      <c r="D11792" s="25" t="s">
        <v>37332</v>
      </c>
      <c r="E11792" s="25"/>
      <c r="F11792" s="25"/>
      <c r="G11792" s="25"/>
    </row>
    <row r="11793" spans="1:7" ht="24.36" thickBot="1" customHeight="1">
      <c r="A11793" s="24" t="s">
        <v>37333</v>
      </c>
      <c r="B11793" s="24" t="s">
        <v>37334</v>
      </c>
      <c r="C11793" s="24" t="s">
        <v>37335</v>
      </c>
      <c r="D11793" s="25" t="s">
        <v>37336</v>
      </c>
      <c r="E11793" s="28">
        <v>0.03000</v>
      </c>
      <c r="F11793" s="29">
        <f ca="1">ROUND(35.300,3)</f>
        <v>0</v>
      </c>
      <c r="G11793" s="27">
        <f ca="1">ROUND(E11793*F11793,2)</f>
        <v>0</v>
      </c>
    </row>
    <row r="11794" spans="1:7" ht="39.84" thickBot="1" customHeight="1">
      <c r="A11794" s="24" t="s">
        <v>37337</v>
      </c>
      <c r="B11794" s="24" t="s">
        <v>37338</v>
      </c>
      <c r="C11794" s="24" t="s">
        <v>37339</v>
      </c>
      <c r="D11794" s="25" t="s">
        <v>37340</v>
      </c>
      <c r="E11794" s="28">
        <v>0.05800</v>
      </c>
      <c r="F11794" s="29">
        <f ca="1">ROUND(53.440,3)</f>
        <v>0</v>
      </c>
      <c r="G11794" s="27">
        <f ca="1">ROUND(E11794*F11794,2)</f>
        <v>0</v>
      </c>
    </row>
    <row r="11795" spans="1:7" ht="24.36" thickBot="1" customHeight="1">
      <c r="A11795" s="24" t="s">
        <v>37341</v>
      </c>
      <c r="B11795" s="24" t="s">
        <v>37342</v>
      </c>
      <c r="C11795" s="24" t="s">
        <v>37343</v>
      </c>
      <c r="D11795" s="25" t="s">
        <v>37344</v>
      </c>
      <c r="E11795" s="28">
        <v>0.01350</v>
      </c>
      <c r="F11795" s="29">
        <f ca="1">ROUND(4.630,3)</f>
        <v>0</v>
      </c>
      <c r="G11795" s="27">
        <f ca="1">ROUND(E11795*F11795,2)</f>
        <v>0</v>
      </c>
    </row>
    <row r="11796" spans="1:7" ht="24.36" thickBot="1" customHeight="1">
      <c r="A11796" s="24" t="s">
        <v>37345</v>
      </c>
      <c r="B11796" s="24" t="s">
        <v>37346</v>
      </c>
      <c r="C11796" s="24" t="s">
        <v>37347</v>
      </c>
      <c r="D11796" s="25" t="s">
        <v>37348</v>
      </c>
      <c r="E11796" s="28">
        <v>0.71200</v>
      </c>
      <c r="F11796" s="29">
        <f ca="1">F11800</f>
        <v>0</v>
      </c>
      <c r="G11796" s="27">
        <f ca="1">ROUND(E11796*F11796,2)</f>
        <v>0</v>
      </c>
    </row>
    <row r="11797" spans="1:7" ht="24.36" thickBot="1" customHeight="1">
      <c r="A11797" s="24" t="s">
        <v>37349</v>
      </c>
      <c r="B11797" s="24" t="s">
        <v>37350</v>
      </c>
      <c r="C11797" s="24" t="s">
        <v>37351</v>
      </c>
      <c r="D11797" s="25" t="s">
        <v>37352</v>
      </c>
      <c r="E11797" s="28">
        <v>1.00000</v>
      </c>
      <c r="F11797" s="29">
        <f ca="1">ROUND(21.000,3)</f>
        <v>0</v>
      </c>
      <c r="G11797" s="27">
        <f ca="1">ROUND(E11797*F11797,2)</f>
        <v>0</v>
      </c>
    </row>
    <row r="11798" spans="1:7" ht="24.36" thickBot="1" customHeight="1">
      <c r="A11798" s="24" t="s">
        <v>37353</v>
      </c>
      <c r="B11798" s="24" t="s">
        <v>37354</v>
      </c>
      <c r="C11798" s="24" t="s">
        <v>37355</v>
      </c>
      <c r="D11798" s="25" t="s">
        <v>37356</v>
      </c>
      <c r="E11798" s="28">
        <v>1.00000</v>
      </c>
      <c r="F11798" s="29">
        <f ca="1">ROUND(19.000,3)</f>
        <v>0</v>
      </c>
      <c r="G11798" s="27">
        <f ca="1">ROUND(E11798*F11798,2)</f>
        <v>0</v>
      </c>
    </row>
    <row r="11799" spans="1:7" ht="24.36" thickBot="1" customHeight="1">
      <c r="A11799" s="24" t="s">
        <v>37357</v>
      </c>
      <c r="B11799" s="24" t="s">
        <v>37358</v>
      </c>
      <c r="C11799" s="24" t="s">
        <v>37359</v>
      </c>
      <c r="D11799" s="25" t="s">
        <v>37360</v>
      </c>
      <c r="E11799" s="28">
        <v>0.50000</v>
      </c>
      <c r="F11799" s="29">
        <f ca="1">ROUND(19.000,3)</f>
        <v>0</v>
      </c>
      <c r="G11799" s="27">
        <f ca="1">ROUND(E11799*F11799,2)</f>
        <v>0</v>
      </c>
    </row>
    <row r="11800" spans="1:7" ht="15.12" thickBot="1" customHeight="1">
      <c r="A11800" s="26"/>
      <c r="B11800" s="26"/>
      <c r="C11800" s="26"/>
      <c r="D11800" s="24" t="s">
        <v>37361</v>
      </c>
      <c r="E11800" s="28">
        <v>0.71200</v>
      </c>
      <c r="F11800" s="29">
        <f ca="1">ROUND((G11797+G11798+G11799),3)</f>
        <v>0</v>
      </c>
      <c r="G11800" s="27">
        <f ca="1">ROUND(E11800*F11800,2)</f>
        <v>0</v>
      </c>
    </row>
    <row r="11801" spans="1:7" ht="15.12" thickBot="1" customHeight="1">
      <c r="A11801" s="24" t="s">
        <v>37362</v>
      </c>
      <c r="B11801" s="24"/>
      <c r="C11801" s="24" t="s">
        <v>37363</v>
      </c>
      <c r="D11801" s="25" t="s">
        <v>37364</v>
      </c>
      <c r="E11801" s="28">
        <v>3.00000</v>
      </c>
      <c r="F11801" s="29">
        <f ca="1">ROUND(35.240,3)</f>
        <v>0</v>
      </c>
      <c r="G11801" s="27">
        <f ca="1">ROUND((E11801*F11801)/100,2)</f>
        <v>0</v>
      </c>
    </row>
    <row r="11802" spans="1:7" ht="15.48" thickBot="1" customHeight="1">
      <c r="A11802" s="30"/>
      <c r="B11802" s="30"/>
      <c r="C11802" s="30"/>
      <c r="D11802" s="31" t="s">
        <v>37365</v>
      </c>
      <c r="E11802" s="30"/>
      <c r="F11802" s="33">
        <f ca="1">ROUND((G11793+G11794+G11795+G11796+G11801)*(1+G2/100),2)</f>
        <v>0</v>
      </c>
      <c r="G11802" s="30"/>
    </row>
    <row r="11803" spans="1:7" ht="21.36" thickBot="1" customHeight="1">
      <c r="A11803" s="34" t="s">
        <v>37366</v>
      </c>
      <c r="B11803" s="35" t="s">
        <v>37367</v>
      </c>
      <c r="C11803" s="35" t="s">
        <v>37368</v>
      </c>
      <c r="D11803" s="36" t="s">
        <v>37369</v>
      </c>
      <c r="E11803" s="37"/>
      <c r="F11803" s="38">
        <f ca="1">F11813</f>
        <v>0</v>
      </c>
      <c r="G11803" s="37"/>
    </row>
    <row r="11804" spans="1:7" ht="39.84" thickBot="1" customHeight="1">
      <c r="A11804" s="26"/>
      <c r="B11804" s="26"/>
      <c r="C11804" s="26"/>
      <c r="D11804" s="25" t="s">
        <v>37370</v>
      </c>
      <c r="E11804" s="25"/>
      <c r="F11804" s="25"/>
      <c r="G11804" s="25"/>
    </row>
    <row r="11805" spans="1:7" ht="49.08" thickBot="1" customHeight="1">
      <c r="A11805" s="24" t="s">
        <v>37371</v>
      </c>
      <c r="B11805" s="24" t="s">
        <v>37372</v>
      </c>
      <c r="C11805" s="24" t="s">
        <v>37373</v>
      </c>
      <c r="D11805" s="25" t="s">
        <v>37374</v>
      </c>
      <c r="E11805" s="28">
        <v>0.08889</v>
      </c>
      <c r="F11805" s="29">
        <f ca="1">ROUND(57.850,3)</f>
        <v>0</v>
      </c>
      <c r="G11805" s="27">
        <f ca="1">ROUND(E11805*F11805,2)</f>
        <v>0</v>
      </c>
    </row>
    <row r="11806" spans="1:7" ht="24.36" thickBot="1" customHeight="1">
      <c r="A11806" s="24" t="s">
        <v>37375</v>
      </c>
      <c r="B11806" s="24" t="s">
        <v>37376</v>
      </c>
      <c r="C11806" s="24" t="s">
        <v>37377</v>
      </c>
      <c r="D11806" s="25" t="s">
        <v>37378</v>
      </c>
      <c r="E11806" s="28">
        <v>0.01350</v>
      </c>
      <c r="F11806" s="29">
        <f ca="1">ROUND(4.630,3)</f>
        <v>0</v>
      </c>
      <c r="G11806" s="27">
        <f ca="1">ROUND(E11806*F11806,2)</f>
        <v>0</v>
      </c>
    </row>
    <row r="11807" spans="1:7" ht="21.36" thickBot="1" customHeight="1">
      <c r="A11807" s="24" t="s">
        <v>37379</v>
      </c>
      <c r="B11807" s="24" t="s">
        <v>37380</v>
      </c>
      <c r="C11807" s="24" t="s">
        <v>37381</v>
      </c>
      <c r="D11807" s="25" t="s">
        <v>37382</v>
      </c>
      <c r="E11807" s="28">
        <v>0.40000</v>
      </c>
      <c r="F11807" s="29">
        <f ca="1">F11811</f>
        <v>0</v>
      </c>
      <c r="G11807" s="27">
        <f ca="1">ROUND(E11807*F11807,2)</f>
        <v>0</v>
      </c>
    </row>
    <row r="11808" spans="1:7" ht="24.36" thickBot="1" customHeight="1">
      <c r="A11808" s="24" t="s">
        <v>37383</v>
      </c>
      <c r="B11808" s="24" t="s">
        <v>37384</v>
      </c>
      <c r="C11808" s="24" t="s">
        <v>37385</v>
      </c>
      <c r="D11808" s="25" t="s">
        <v>37386</v>
      </c>
      <c r="E11808" s="28">
        <v>1.00000</v>
      </c>
      <c r="F11808" s="29">
        <f ca="1">ROUND(21.000,3)</f>
        <v>0</v>
      </c>
      <c r="G11808" s="27">
        <f ca="1">ROUND(E11808*F11808,2)</f>
        <v>0</v>
      </c>
    </row>
    <row r="11809" spans="1:7" ht="24.36" thickBot="1" customHeight="1">
      <c r="A11809" s="24" t="s">
        <v>37387</v>
      </c>
      <c r="B11809" s="24" t="s">
        <v>37388</v>
      </c>
      <c r="C11809" s="24" t="s">
        <v>37389</v>
      </c>
      <c r="D11809" s="25" t="s">
        <v>37390</v>
      </c>
      <c r="E11809" s="28">
        <v>1.00000</v>
      </c>
      <c r="F11809" s="29">
        <f ca="1">ROUND(19.000,3)</f>
        <v>0</v>
      </c>
      <c r="G11809" s="27">
        <f ca="1">ROUND(E11809*F11809,2)</f>
        <v>0</v>
      </c>
    </row>
    <row r="11810" spans="1:7" ht="24.36" thickBot="1" customHeight="1">
      <c r="A11810" s="24" t="s">
        <v>37391</v>
      </c>
      <c r="B11810" s="24" t="s">
        <v>37392</v>
      </c>
      <c r="C11810" s="24" t="s">
        <v>37393</v>
      </c>
      <c r="D11810" s="25" t="s">
        <v>37394</v>
      </c>
      <c r="E11810" s="28">
        <v>0.20000</v>
      </c>
      <c r="F11810" s="29">
        <f ca="1">ROUND(19.000,3)</f>
        <v>0</v>
      </c>
      <c r="G11810" s="27">
        <f ca="1">ROUND(E11810*F11810,2)</f>
        <v>0</v>
      </c>
    </row>
    <row r="11811" spans="1:7" ht="15.12" thickBot="1" customHeight="1">
      <c r="A11811" s="26"/>
      <c r="B11811" s="26"/>
      <c r="C11811" s="26"/>
      <c r="D11811" s="24" t="s">
        <v>37395</v>
      </c>
      <c r="E11811" s="28">
        <v>0.40000</v>
      </c>
      <c r="F11811" s="29">
        <f ca="1">ROUND((G11808+G11809+G11810),3)</f>
        <v>0</v>
      </c>
      <c r="G11811" s="27">
        <f ca="1">ROUND(E11811*F11811,2)</f>
        <v>0</v>
      </c>
    </row>
    <row r="11812" spans="1:7" ht="15.12" thickBot="1" customHeight="1">
      <c r="A11812" s="24" t="s">
        <v>37396</v>
      </c>
      <c r="B11812" s="24"/>
      <c r="C11812" s="24" t="s">
        <v>37397</v>
      </c>
      <c r="D11812" s="25" t="s">
        <v>37398</v>
      </c>
      <c r="E11812" s="28">
        <v>3.00000</v>
      </c>
      <c r="F11812" s="29">
        <f ca="1">ROUND(17.520,3)</f>
        <v>0</v>
      </c>
      <c r="G11812" s="27">
        <f ca="1">ROUND((E11812*F11812)/100,2)</f>
        <v>0</v>
      </c>
    </row>
    <row r="11813" spans="1:7" ht="15.48" thickBot="1" customHeight="1">
      <c r="A11813" s="30"/>
      <c r="B11813" s="30"/>
      <c r="C11813" s="30"/>
      <c r="D11813" s="31" t="s">
        <v>37399</v>
      </c>
      <c r="E11813" s="30"/>
      <c r="F11813" s="33">
        <f ca="1">ROUND((G11805+G11806+G11807+G11812)*(1+G2/100),2)</f>
        <v>0</v>
      </c>
      <c r="G11813" s="30"/>
    </row>
    <row r="11814" spans="1:7" ht="21.36" thickBot="1" customHeight="1">
      <c r="A11814" s="34" t="s">
        <v>37400</v>
      </c>
      <c r="B11814" s="35" t="s">
        <v>37401</v>
      </c>
      <c r="C11814" s="35" t="s">
        <v>37402</v>
      </c>
      <c r="D11814" s="36" t="s">
        <v>37403</v>
      </c>
      <c r="E11814" s="37"/>
      <c r="F11814" s="38">
        <f ca="1">F11824</f>
        <v>0</v>
      </c>
      <c r="G11814" s="37"/>
    </row>
    <row r="11815" spans="1:7" ht="49.08" thickBot="1" customHeight="1">
      <c r="A11815" s="26"/>
      <c r="B11815" s="26"/>
      <c r="C11815" s="26"/>
      <c r="D11815" s="25" t="s">
        <v>37404</v>
      </c>
      <c r="E11815" s="25"/>
      <c r="F11815" s="25"/>
      <c r="G11815" s="25"/>
    </row>
    <row r="11816" spans="1:7" ht="39.84" thickBot="1" customHeight="1">
      <c r="A11816" s="24" t="s">
        <v>37405</v>
      </c>
      <c r="B11816" s="24" t="s">
        <v>37406</v>
      </c>
      <c r="C11816" s="24" t="s">
        <v>37407</v>
      </c>
      <c r="D11816" s="25" t="s">
        <v>37408</v>
      </c>
      <c r="E11816" s="28">
        <v>0.02778</v>
      </c>
      <c r="F11816" s="29">
        <f ca="1">ROUND(41.280,3)</f>
        <v>0</v>
      </c>
      <c r="G11816" s="27">
        <f ca="1">ROUND(E11816*F11816,2)</f>
        <v>0</v>
      </c>
    </row>
    <row r="11817" spans="1:7" ht="39.84" thickBot="1" customHeight="1">
      <c r="A11817" s="24" t="s">
        <v>37409</v>
      </c>
      <c r="B11817" s="24" t="s">
        <v>37410</v>
      </c>
      <c r="C11817" s="24" t="s">
        <v>37411</v>
      </c>
      <c r="D11817" s="25" t="s">
        <v>37412</v>
      </c>
      <c r="E11817" s="28">
        <v>0.05556</v>
      </c>
      <c r="F11817" s="29">
        <f ca="1">ROUND(57.840,3)</f>
        <v>0</v>
      </c>
      <c r="G11817" s="27">
        <f ca="1">ROUND(E11817*F11817,2)</f>
        <v>0</v>
      </c>
    </row>
    <row r="11818" spans="1:7" ht="21.36" thickBot="1" customHeight="1">
      <c r="A11818" s="24" t="s">
        <v>37413</v>
      </c>
      <c r="B11818" s="24" t="s">
        <v>37414</v>
      </c>
      <c r="C11818" s="24" t="s">
        <v>37415</v>
      </c>
      <c r="D11818" s="25" t="s">
        <v>37416</v>
      </c>
      <c r="E11818" s="28">
        <v>0.40000</v>
      </c>
      <c r="F11818" s="29">
        <f ca="1">F11822</f>
        <v>0</v>
      </c>
      <c r="G11818" s="27">
        <f ca="1">ROUND(E11818*F11818,2)</f>
        <v>0</v>
      </c>
    </row>
    <row r="11819" spans="1:7" ht="24.36" thickBot="1" customHeight="1">
      <c r="A11819" s="24" t="s">
        <v>37417</v>
      </c>
      <c r="B11819" s="24" t="s">
        <v>37418</v>
      </c>
      <c r="C11819" s="24" t="s">
        <v>37419</v>
      </c>
      <c r="D11819" s="25" t="s">
        <v>37420</v>
      </c>
      <c r="E11819" s="28">
        <v>1.00000</v>
      </c>
      <c r="F11819" s="29">
        <f ca="1">ROUND(21.000,3)</f>
        <v>0</v>
      </c>
      <c r="G11819" s="27">
        <f ca="1">ROUND(E11819*F11819,2)</f>
        <v>0</v>
      </c>
    </row>
    <row r="11820" spans="1:7" ht="24.36" thickBot="1" customHeight="1">
      <c r="A11820" s="24" t="s">
        <v>37421</v>
      </c>
      <c r="B11820" s="24" t="s">
        <v>37422</v>
      </c>
      <c r="C11820" s="24" t="s">
        <v>37423</v>
      </c>
      <c r="D11820" s="25" t="s">
        <v>37424</v>
      </c>
      <c r="E11820" s="28">
        <v>1.00000</v>
      </c>
      <c r="F11820" s="29">
        <f ca="1">ROUND(19.000,3)</f>
        <v>0</v>
      </c>
      <c r="G11820" s="27">
        <f ca="1">ROUND(E11820*F11820,2)</f>
        <v>0</v>
      </c>
    </row>
    <row r="11821" spans="1:7" ht="24.36" thickBot="1" customHeight="1">
      <c r="A11821" s="24" t="s">
        <v>37425</v>
      </c>
      <c r="B11821" s="24" t="s">
        <v>37426</v>
      </c>
      <c r="C11821" s="24" t="s">
        <v>37427</v>
      </c>
      <c r="D11821" s="25" t="s">
        <v>37428</v>
      </c>
      <c r="E11821" s="28">
        <v>0.20000</v>
      </c>
      <c r="F11821" s="29">
        <f ca="1">ROUND(19.000,3)</f>
        <v>0</v>
      </c>
      <c r="G11821" s="27">
        <f ca="1">ROUND(E11821*F11821,2)</f>
        <v>0</v>
      </c>
    </row>
    <row r="11822" spans="1:7" ht="15.12" thickBot="1" customHeight="1">
      <c r="A11822" s="26"/>
      <c r="B11822" s="26"/>
      <c r="C11822" s="26"/>
      <c r="D11822" s="24" t="s">
        <v>37429</v>
      </c>
      <c r="E11822" s="28">
        <v>0.40000</v>
      </c>
      <c r="F11822" s="29">
        <f ca="1">ROUND((G11819+G11820+G11821),3)</f>
        <v>0</v>
      </c>
      <c r="G11822" s="27">
        <f ca="1">ROUND(E11822*F11822,2)</f>
        <v>0</v>
      </c>
    </row>
    <row r="11823" spans="1:7" ht="15.12" thickBot="1" customHeight="1">
      <c r="A11823" s="24" t="s">
        <v>37430</v>
      </c>
      <c r="B11823" s="24"/>
      <c r="C11823" s="24" t="s">
        <v>37431</v>
      </c>
      <c r="D11823" s="25" t="s">
        <v>37432</v>
      </c>
      <c r="E11823" s="28">
        <v>3.00000</v>
      </c>
      <c r="F11823" s="29">
        <f ca="1">ROUND(17.520,3)</f>
        <v>0</v>
      </c>
      <c r="G11823" s="27">
        <f ca="1">ROUND((E11823*F11823)/100,2)</f>
        <v>0</v>
      </c>
    </row>
    <row r="11824" spans="1:7" ht="15.48" thickBot="1" customHeight="1">
      <c r="A11824" s="30"/>
      <c r="B11824" s="30"/>
      <c r="C11824" s="30"/>
      <c r="D11824" s="31" t="s">
        <v>37433</v>
      </c>
      <c r="E11824" s="30"/>
      <c r="F11824" s="33">
        <f ca="1">ROUND((G11816+G11817+G11818+G11823)*(1+G2/100),2)</f>
        <v>0</v>
      </c>
      <c r="G11824" s="30"/>
    </row>
    <row r="11825" spans="1:7" ht="21.36" thickBot="1" customHeight="1">
      <c r="A11825" s="34" t="s">
        <v>37434</v>
      </c>
      <c r="B11825" s="35" t="s">
        <v>37435</v>
      </c>
      <c r="C11825" s="35" t="s">
        <v>37436</v>
      </c>
      <c r="D11825" s="36" t="s">
        <v>37437</v>
      </c>
      <c r="E11825" s="37"/>
      <c r="F11825" s="38">
        <f ca="1">F11835</f>
        <v>0</v>
      </c>
      <c r="G11825" s="37"/>
    </row>
    <row r="11826" spans="1:7" ht="49.08" thickBot="1" customHeight="1">
      <c r="A11826" s="26"/>
      <c r="B11826" s="26"/>
      <c r="C11826" s="26"/>
      <c r="D11826" s="25" t="s">
        <v>37438</v>
      </c>
      <c r="E11826" s="25"/>
      <c r="F11826" s="25"/>
      <c r="G11826" s="25"/>
    </row>
    <row r="11827" spans="1:7" ht="39.84" thickBot="1" customHeight="1">
      <c r="A11827" s="24" t="s">
        <v>37439</v>
      </c>
      <c r="B11827" s="24" t="s">
        <v>37440</v>
      </c>
      <c r="C11827" s="24" t="s">
        <v>37441</v>
      </c>
      <c r="D11827" s="25" t="s">
        <v>37442</v>
      </c>
      <c r="E11827" s="28">
        <v>0.08880</v>
      </c>
      <c r="F11827" s="29">
        <f ca="1">ROUND(57.460,3)</f>
        <v>0</v>
      </c>
      <c r="G11827" s="27">
        <f ca="1">ROUND(E11827*F11827,2)</f>
        <v>0</v>
      </c>
    </row>
    <row r="11828" spans="1:7" ht="24.36" thickBot="1" customHeight="1">
      <c r="A11828" s="24" t="s">
        <v>37443</v>
      </c>
      <c r="B11828" s="24" t="s">
        <v>37444</v>
      </c>
      <c r="C11828" s="24" t="s">
        <v>37445</v>
      </c>
      <c r="D11828" s="25" t="s">
        <v>37446</v>
      </c>
      <c r="E11828" s="28">
        <v>0.01350</v>
      </c>
      <c r="F11828" s="29">
        <f ca="1">ROUND(4.630,3)</f>
        <v>0</v>
      </c>
      <c r="G11828" s="27">
        <f ca="1">ROUND(E11828*F11828,2)</f>
        <v>0</v>
      </c>
    </row>
    <row r="11829" spans="1:7" ht="21.36" thickBot="1" customHeight="1">
      <c r="A11829" s="24" t="s">
        <v>37447</v>
      </c>
      <c r="B11829" s="24" t="s">
        <v>37448</v>
      </c>
      <c r="C11829" s="24" t="s">
        <v>37449</v>
      </c>
      <c r="D11829" s="25" t="s">
        <v>37450</v>
      </c>
      <c r="E11829" s="28">
        <v>0.40000</v>
      </c>
      <c r="F11829" s="29">
        <f ca="1">F11833</f>
        <v>0</v>
      </c>
      <c r="G11829" s="27">
        <f ca="1">ROUND(E11829*F11829,2)</f>
        <v>0</v>
      </c>
    </row>
    <row r="11830" spans="1:7" ht="24.36" thickBot="1" customHeight="1">
      <c r="A11830" s="24" t="s">
        <v>37451</v>
      </c>
      <c r="B11830" s="24" t="s">
        <v>37452</v>
      </c>
      <c r="C11830" s="24" t="s">
        <v>37453</v>
      </c>
      <c r="D11830" s="25" t="s">
        <v>37454</v>
      </c>
      <c r="E11830" s="28">
        <v>1.00000</v>
      </c>
      <c r="F11830" s="29">
        <f ca="1">ROUND(21.000,3)</f>
        <v>0</v>
      </c>
      <c r="G11830" s="27">
        <f ca="1">ROUND(E11830*F11830,2)</f>
        <v>0</v>
      </c>
    </row>
    <row r="11831" spans="1:7" ht="24.36" thickBot="1" customHeight="1">
      <c r="A11831" s="24" t="s">
        <v>37455</v>
      </c>
      <c r="B11831" s="24" t="s">
        <v>37456</v>
      </c>
      <c r="C11831" s="24" t="s">
        <v>37457</v>
      </c>
      <c r="D11831" s="25" t="s">
        <v>37458</v>
      </c>
      <c r="E11831" s="28">
        <v>1.00000</v>
      </c>
      <c r="F11831" s="29">
        <f ca="1">ROUND(19.000,3)</f>
        <v>0</v>
      </c>
      <c r="G11831" s="27">
        <f ca="1">ROUND(E11831*F11831,2)</f>
        <v>0</v>
      </c>
    </row>
    <row r="11832" spans="1:7" ht="24.36" thickBot="1" customHeight="1">
      <c r="A11832" s="24" t="s">
        <v>37459</v>
      </c>
      <c r="B11832" s="24" t="s">
        <v>37460</v>
      </c>
      <c r="C11832" s="24" t="s">
        <v>37461</v>
      </c>
      <c r="D11832" s="25" t="s">
        <v>37462</v>
      </c>
      <c r="E11832" s="28">
        <v>0.20000</v>
      </c>
      <c r="F11832" s="29">
        <f ca="1">ROUND(19.000,3)</f>
        <v>0</v>
      </c>
      <c r="G11832" s="27">
        <f ca="1">ROUND(E11832*F11832,2)</f>
        <v>0</v>
      </c>
    </row>
    <row r="11833" spans="1:7" ht="15.12" thickBot="1" customHeight="1">
      <c r="A11833" s="26"/>
      <c r="B11833" s="26"/>
      <c r="C11833" s="26"/>
      <c r="D11833" s="24" t="s">
        <v>37463</v>
      </c>
      <c r="E11833" s="28">
        <v>0.40000</v>
      </c>
      <c r="F11833" s="29">
        <f ca="1">ROUND((G11830+G11831+G11832),3)</f>
        <v>0</v>
      </c>
      <c r="G11833" s="27">
        <f ca="1">ROUND(E11833*F11833,2)</f>
        <v>0</v>
      </c>
    </row>
    <row r="11834" spans="1:7" ht="15.12" thickBot="1" customHeight="1">
      <c r="A11834" s="24" t="s">
        <v>37464</v>
      </c>
      <c r="B11834" s="24"/>
      <c r="C11834" s="24" t="s">
        <v>37465</v>
      </c>
      <c r="D11834" s="25" t="s">
        <v>37466</v>
      </c>
      <c r="E11834" s="28">
        <v>3.00000</v>
      </c>
      <c r="F11834" s="29">
        <f ca="1">ROUND(17.520,3)</f>
        <v>0</v>
      </c>
      <c r="G11834" s="27">
        <f ca="1">ROUND((E11834*F11834)/100,2)</f>
        <v>0</v>
      </c>
    </row>
    <row r="11835" spans="1:7" ht="15.48" thickBot="1" customHeight="1">
      <c r="A11835" s="30"/>
      <c r="B11835" s="30"/>
      <c r="C11835" s="30"/>
      <c r="D11835" s="31" t="s">
        <v>37467</v>
      </c>
      <c r="E11835" s="30"/>
      <c r="F11835" s="33">
        <f ca="1">ROUND((G11827+G11828+G11829+G11834)*(1+G2/100),2)</f>
        <v>0</v>
      </c>
      <c r="G11835" s="30"/>
    </row>
    <row r="11836" spans="1:7" ht="21.36" thickBot="1" customHeight="1">
      <c r="A11836" s="34" t="s">
        <v>37468</v>
      </c>
      <c r="B11836" s="35" t="s">
        <v>37469</v>
      </c>
      <c r="C11836" s="35" t="s">
        <v>37470</v>
      </c>
      <c r="D11836" s="36" t="s">
        <v>37471</v>
      </c>
      <c r="E11836" s="37"/>
      <c r="F11836" s="38">
        <f ca="1">F11847</f>
        <v>0</v>
      </c>
      <c r="G11836" s="37"/>
    </row>
    <row r="11837" spans="1:7" ht="39.84" thickBot="1" customHeight="1">
      <c r="A11837" s="26"/>
      <c r="B11837" s="26"/>
      <c r="C11837" s="26"/>
      <c r="D11837" s="25" t="s">
        <v>37472</v>
      </c>
      <c r="E11837" s="25"/>
      <c r="F11837" s="25"/>
      <c r="G11837" s="25"/>
    </row>
    <row r="11838" spans="1:7" ht="24.36" thickBot="1" customHeight="1">
      <c r="A11838" s="24" t="s">
        <v>37473</v>
      </c>
      <c r="B11838" s="24" t="s">
        <v>37474</v>
      </c>
      <c r="C11838" s="24" t="s">
        <v>37475</v>
      </c>
      <c r="D11838" s="25" t="s">
        <v>37476</v>
      </c>
      <c r="E11838" s="28">
        <v>0.01250</v>
      </c>
      <c r="F11838" s="29">
        <f ca="1">ROUND(35.300,3)</f>
        <v>0</v>
      </c>
      <c r="G11838" s="27">
        <f ca="1">ROUND(E11838*F11838,2)</f>
        <v>0</v>
      </c>
    </row>
    <row r="11839" spans="1:7" ht="39.84" thickBot="1" customHeight="1">
      <c r="A11839" s="24" t="s">
        <v>37477</v>
      </c>
      <c r="B11839" s="24" t="s">
        <v>37478</v>
      </c>
      <c r="C11839" s="24" t="s">
        <v>37479</v>
      </c>
      <c r="D11839" s="25" t="s">
        <v>37480</v>
      </c>
      <c r="E11839" s="28">
        <v>0.01563</v>
      </c>
      <c r="F11839" s="29">
        <f ca="1">ROUND(53.440,3)</f>
        <v>0</v>
      </c>
      <c r="G11839" s="27">
        <f ca="1">ROUND(E11839*F11839,2)</f>
        <v>0</v>
      </c>
    </row>
    <row r="11840" spans="1:7" ht="24.36" thickBot="1" customHeight="1">
      <c r="A11840" s="24" t="s">
        <v>37481</v>
      </c>
      <c r="B11840" s="24" t="s">
        <v>37482</v>
      </c>
      <c r="C11840" s="24" t="s">
        <v>37483</v>
      </c>
      <c r="D11840" s="25" t="s">
        <v>37484</v>
      </c>
      <c r="E11840" s="28">
        <v>0.01350</v>
      </c>
      <c r="F11840" s="29">
        <f ca="1">ROUND(4.630,3)</f>
        <v>0</v>
      </c>
      <c r="G11840" s="27">
        <f ca="1">ROUND(E11840*F11840,2)</f>
        <v>0</v>
      </c>
    </row>
    <row r="11841" spans="1:7" ht="21.36" thickBot="1" customHeight="1">
      <c r="A11841" s="24" t="s">
        <v>37485</v>
      </c>
      <c r="B11841" s="24" t="s">
        <v>37486</v>
      </c>
      <c r="C11841" s="24" t="s">
        <v>37487</v>
      </c>
      <c r="D11841" s="25" t="s">
        <v>37488</v>
      </c>
      <c r="E11841" s="28">
        <v>0.18000</v>
      </c>
      <c r="F11841" s="29">
        <f ca="1">F11845</f>
        <v>0</v>
      </c>
      <c r="G11841" s="27">
        <f ca="1">ROUND(E11841*F11841,2)</f>
        <v>0</v>
      </c>
    </row>
    <row r="11842" spans="1:7" ht="24.36" thickBot="1" customHeight="1">
      <c r="A11842" s="24" t="s">
        <v>37489</v>
      </c>
      <c r="B11842" s="24" t="s">
        <v>37490</v>
      </c>
      <c r="C11842" s="24" t="s">
        <v>37491</v>
      </c>
      <c r="D11842" s="25" t="s">
        <v>37492</v>
      </c>
      <c r="E11842" s="28">
        <v>1.00000</v>
      </c>
      <c r="F11842" s="29">
        <f ca="1">ROUND(21.000,3)</f>
        <v>0</v>
      </c>
      <c r="G11842" s="27">
        <f ca="1">ROUND(E11842*F11842,2)</f>
        <v>0</v>
      </c>
    </row>
    <row r="11843" spans="1:7" ht="24.36" thickBot="1" customHeight="1">
      <c r="A11843" s="24" t="s">
        <v>37493</v>
      </c>
      <c r="B11843" s="24" t="s">
        <v>37494</v>
      </c>
      <c r="C11843" s="24" t="s">
        <v>37495</v>
      </c>
      <c r="D11843" s="25" t="s">
        <v>37496</v>
      </c>
      <c r="E11843" s="28">
        <v>1.00000</v>
      </c>
      <c r="F11843" s="29">
        <f ca="1">ROUND(19.000,3)</f>
        <v>0</v>
      </c>
      <c r="G11843" s="27">
        <f ca="1">ROUND(E11843*F11843,2)</f>
        <v>0</v>
      </c>
    </row>
    <row r="11844" spans="1:7" ht="24.36" thickBot="1" customHeight="1">
      <c r="A11844" s="24" t="s">
        <v>37497</v>
      </c>
      <c r="B11844" s="24" t="s">
        <v>37498</v>
      </c>
      <c r="C11844" s="24" t="s">
        <v>37499</v>
      </c>
      <c r="D11844" s="25" t="s">
        <v>37500</v>
      </c>
      <c r="E11844" s="28">
        <v>0.20000</v>
      </c>
      <c r="F11844" s="29">
        <f ca="1">ROUND(19.000,3)</f>
        <v>0</v>
      </c>
      <c r="G11844" s="27">
        <f ca="1">ROUND(E11844*F11844,2)</f>
        <v>0</v>
      </c>
    </row>
    <row r="11845" spans="1:7" ht="15.12" thickBot="1" customHeight="1">
      <c r="A11845" s="26"/>
      <c r="B11845" s="26"/>
      <c r="C11845" s="26"/>
      <c r="D11845" s="24" t="s">
        <v>37501</v>
      </c>
      <c r="E11845" s="28">
        <v>0.18000</v>
      </c>
      <c r="F11845" s="29">
        <f ca="1">ROUND((G11842+G11843+G11844),3)</f>
        <v>0</v>
      </c>
      <c r="G11845" s="27">
        <f ca="1">ROUND(E11845*F11845,2)</f>
        <v>0</v>
      </c>
    </row>
    <row r="11846" spans="1:7" ht="15.12" thickBot="1" customHeight="1">
      <c r="A11846" s="24" t="s">
        <v>37502</v>
      </c>
      <c r="B11846" s="24"/>
      <c r="C11846" s="24" t="s">
        <v>37503</v>
      </c>
      <c r="D11846" s="25" t="s">
        <v>37504</v>
      </c>
      <c r="E11846" s="28">
        <v>3.00000</v>
      </c>
      <c r="F11846" s="29">
        <f ca="1">ROUND(7.880,3)</f>
        <v>0</v>
      </c>
      <c r="G11846" s="27">
        <f ca="1">ROUND((E11846*F11846)/100,2)</f>
        <v>0</v>
      </c>
    </row>
    <row r="11847" spans="1:7" ht="15.48" thickBot="1" customHeight="1">
      <c r="A11847" s="30"/>
      <c r="B11847" s="30"/>
      <c r="C11847" s="30"/>
      <c r="D11847" s="31" t="s">
        <v>37505</v>
      </c>
      <c r="E11847" s="30"/>
      <c r="F11847" s="33">
        <f ca="1">ROUND((G11838+G11839+G11840+G11841+G11846)*(1+G2/100),2)</f>
        <v>0</v>
      </c>
      <c r="G11847" s="30"/>
    </row>
    <row r="11848" spans="1:7" ht="30.60" thickBot="1" customHeight="1">
      <c r="A11848" s="34" t="s">
        <v>37506</v>
      </c>
      <c r="B11848" s="35" t="s">
        <v>37507</v>
      </c>
      <c r="C11848" s="35" t="s">
        <v>37508</v>
      </c>
      <c r="D11848" s="36" t="s">
        <v>37509</v>
      </c>
      <c r="E11848" s="37"/>
      <c r="F11848" s="38">
        <f ca="1">F11858</f>
        <v>0</v>
      </c>
      <c r="G11848" s="37"/>
    </row>
    <row r="11849" spans="1:7" ht="76.80" thickBot="1" customHeight="1">
      <c r="A11849" s="26"/>
      <c r="B11849" s="26"/>
      <c r="C11849" s="26"/>
      <c r="D11849" s="25" t="s">
        <v>37510</v>
      </c>
      <c r="E11849" s="25"/>
      <c r="F11849" s="25"/>
      <c r="G11849" s="25"/>
    </row>
    <row r="11850" spans="1:7" ht="39.84" thickBot="1" customHeight="1">
      <c r="A11850" s="24" t="s">
        <v>37511</v>
      </c>
      <c r="B11850" s="24" t="s">
        <v>37512</v>
      </c>
      <c r="C11850" s="24" t="s">
        <v>37513</v>
      </c>
      <c r="D11850" s="25" t="s">
        <v>37514</v>
      </c>
      <c r="E11850" s="28">
        <v>0.04000</v>
      </c>
      <c r="F11850" s="29">
        <f ca="1">ROUND(43.020,3)</f>
        <v>0</v>
      </c>
      <c r="G11850" s="27">
        <f ca="1">ROUND(E11850*F11850,2)</f>
        <v>0</v>
      </c>
    </row>
    <row r="11851" spans="1:7" ht="39.84" thickBot="1" customHeight="1">
      <c r="A11851" s="24" t="s">
        <v>37515</v>
      </c>
      <c r="B11851" s="24" t="s">
        <v>37516</v>
      </c>
      <c r="C11851" s="24" t="s">
        <v>37517</v>
      </c>
      <c r="D11851" s="25" t="s">
        <v>37518</v>
      </c>
      <c r="E11851" s="28">
        <v>0.08000</v>
      </c>
      <c r="F11851" s="29">
        <f ca="1">ROUND(71.910,3)</f>
        <v>0</v>
      </c>
      <c r="G11851" s="27">
        <f ca="1">ROUND(E11851*F11851,2)</f>
        <v>0</v>
      </c>
    </row>
    <row r="11852" spans="1:7" ht="21.36" thickBot="1" customHeight="1">
      <c r="A11852" s="24" t="s">
        <v>37519</v>
      </c>
      <c r="B11852" s="24" t="s">
        <v>37520</v>
      </c>
      <c r="C11852" s="24" t="s">
        <v>37521</v>
      </c>
      <c r="D11852" s="25" t="s">
        <v>37522</v>
      </c>
      <c r="E11852" s="28">
        <v>0.27000</v>
      </c>
      <c r="F11852" s="29">
        <f ca="1">F11856</f>
        <v>0</v>
      </c>
      <c r="G11852" s="27">
        <f ca="1">ROUND(E11852*F11852,2)</f>
        <v>0</v>
      </c>
    </row>
    <row r="11853" spans="1:7" ht="24.36" thickBot="1" customHeight="1">
      <c r="A11853" s="24" t="s">
        <v>37523</v>
      </c>
      <c r="B11853" s="24" t="s">
        <v>37524</v>
      </c>
      <c r="C11853" s="24" t="s">
        <v>37525</v>
      </c>
      <c r="D11853" s="25" t="s">
        <v>37526</v>
      </c>
      <c r="E11853" s="28">
        <v>1.00000</v>
      </c>
      <c r="F11853" s="29">
        <f ca="1">ROUND(21.000,3)</f>
        <v>0</v>
      </c>
      <c r="G11853" s="27">
        <f ca="1">ROUND(E11853*F11853,2)</f>
        <v>0</v>
      </c>
    </row>
    <row r="11854" spans="1:7" ht="24.36" thickBot="1" customHeight="1">
      <c r="A11854" s="24" t="s">
        <v>37527</v>
      </c>
      <c r="B11854" s="24" t="s">
        <v>37528</v>
      </c>
      <c r="C11854" s="24" t="s">
        <v>37529</v>
      </c>
      <c r="D11854" s="25" t="s">
        <v>37530</v>
      </c>
      <c r="E11854" s="28">
        <v>1.00000</v>
      </c>
      <c r="F11854" s="29">
        <f ca="1">ROUND(19.000,3)</f>
        <v>0</v>
      </c>
      <c r="G11854" s="27">
        <f ca="1">ROUND(E11854*F11854,2)</f>
        <v>0</v>
      </c>
    </row>
    <row r="11855" spans="1:7" ht="24.36" thickBot="1" customHeight="1">
      <c r="A11855" s="24" t="s">
        <v>37531</v>
      </c>
      <c r="B11855" s="24" t="s">
        <v>37532</v>
      </c>
      <c r="C11855" s="24" t="s">
        <v>37533</v>
      </c>
      <c r="D11855" s="25" t="s">
        <v>37534</v>
      </c>
      <c r="E11855" s="28">
        <v>0.20000</v>
      </c>
      <c r="F11855" s="29">
        <f ca="1">ROUND(19.000,3)</f>
        <v>0</v>
      </c>
      <c r="G11855" s="27">
        <f ca="1">ROUND(E11855*F11855,2)</f>
        <v>0</v>
      </c>
    </row>
    <row r="11856" spans="1:7" ht="15.12" thickBot="1" customHeight="1">
      <c r="A11856" s="26"/>
      <c r="B11856" s="26"/>
      <c r="C11856" s="26"/>
      <c r="D11856" s="24" t="s">
        <v>37535</v>
      </c>
      <c r="E11856" s="28">
        <v>0.27000</v>
      </c>
      <c r="F11856" s="29">
        <f ca="1">ROUND((G11853+G11854+G11855),3)</f>
        <v>0</v>
      </c>
      <c r="G11856" s="27">
        <f ca="1">ROUND(E11856*F11856,2)</f>
        <v>0</v>
      </c>
    </row>
    <row r="11857" spans="1:7" ht="15.12" thickBot="1" customHeight="1">
      <c r="A11857" s="24" t="s">
        <v>37536</v>
      </c>
      <c r="B11857" s="24"/>
      <c r="C11857" s="24" t="s">
        <v>37537</v>
      </c>
      <c r="D11857" s="25" t="s">
        <v>37538</v>
      </c>
      <c r="E11857" s="28">
        <v>3.00000</v>
      </c>
      <c r="F11857" s="29">
        <f ca="1">ROUND(11.830,3)</f>
        <v>0</v>
      </c>
      <c r="G11857" s="27">
        <f ca="1">ROUND((E11857*F11857)/100,2)</f>
        <v>0</v>
      </c>
    </row>
    <row r="11858" spans="1:7" ht="15.48" thickBot="1" customHeight="1">
      <c r="A11858" s="30"/>
      <c r="B11858" s="30"/>
      <c r="C11858" s="30"/>
      <c r="D11858" s="31" t="s">
        <v>37539</v>
      </c>
      <c r="E11858" s="30"/>
      <c r="F11858" s="33">
        <f ca="1">ROUND((G11850+G11851+G11852+G11857)*(1+G2/100),2)</f>
        <v>0</v>
      </c>
      <c r="G11858" s="30"/>
    </row>
    <row r="11859" spans="1:7" ht="39.84" thickBot="1" customHeight="1">
      <c r="A11859" s="34" t="s">
        <v>37540</v>
      </c>
      <c r="B11859" s="35" t="s">
        <v>37541</v>
      </c>
      <c r="C11859" s="35" t="s">
        <v>37542</v>
      </c>
      <c r="D11859" s="36" t="s">
        <v>37543</v>
      </c>
      <c r="E11859" s="37"/>
      <c r="F11859" s="38">
        <f ca="1">F11870</f>
        <v>0</v>
      </c>
      <c r="G11859" s="37"/>
    </row>
    <row r="11860" spans="1:7" ht="49.08" thickBot="1" customHeight="1">
      <c r="A11860" s="26"/>
      <c r="B11860" s="26"/>
      <c r="C11860" s="26"/>
      <c r="D11860" s="25" t="s">
        <v>37544</v>
      </c>
      <c r="E11860" s="25"/>
      <c r="F11860" s="25"/>
      <c r="G11860" s="25"/>
    </row>
    <row r="11861" spans="1:7" ht="39.84" thickBot="1" customHeight="1">
      <c r="A11861" s="24" t="s">
        <v>37545</v>
      </c>
      <c r="B11861" s="24" t="s">
        <v>37546</v>
      </c>
      <c r="C11861" s="24" t="s">
        <v>37547</v>
      </c>
      <c r="D11861" s="25" t="s">
        <v>37548</v>
      </c>
      <c r="E11861" s="28">
        <v>0.04400</v>
      </c>
      <c r="F11861" s="29">
        <f ca="1">ROUND(36.060,3)</f>
        <v>0</v>
      </c>
      <c r="G11861" s="27">
        <f ca="1">ROUND(E11861*F11861,2)</f>
        <v>0</v>
      </c>
    </row>
    <row r="11862" spans="1:7" ht="39.84" thickBot="1" customHeight="1">
      <c r="A11862" s="24" t="s">
        <v>37549</v>
      </c>
      <c r="B11862" s="24" t="s">
        <v>37550</v>
      </c>
      <c r="C11862" s="24" t="s">
        <v>37551</v>
      </c>
      <c r="D11862" s="25" t="s">
        <v>37552</v>
      </c>
      <c r="E11862" s="28">
        <v>0.08000</v>
      </c>
      <c r="F11862" s="29">
        <f ca="1">ROUND(66.550,3)</f>
        <v>0</v>
      </c>
      <c r="G11862" s="27">
        <f ca="1">ROUND(E11862*F11862,2)</f>
        <v>0</v>
      </c>
    </row>
    <row r="11863" spans="1:7" ht="21.36" thickBot="1" customHeight="1">
      <c r="A11863" s="24" t="s">
        <v>37553</v>
      </c>
      <c r="B11863" s="24" t="s">
        <v>37554</v>
      </c>
      <c r="C11863" s="24" t="s">
        <v>37555</v>
      </c>
      <c r="D11863" s="25" t="s">
        <v>37556</v>
      </c>
      <c r="E11863" s="28">
        <v>0.20000</v>
      </c>
      <c r="F11863" s="29">
        <f ca="1">ROUND(11.020,3)</f>
        <v>0</v>
      </c>
      <c r="G11863" s="27">
        <f ca="1">ROUND(E11863*F11863,2)</f>
        <v>0</v>
      </c>
    </row>
    <row r="11864" spans="1:7" ht="21.36" thickBot="1" customHeight="1">
      <c r="A11864" s="24" t="s">
        <v>37557</v>
      </c>
      <c r="B11864" s="24" t="s">
        <v>37558</v>
      </c>
      <c r="C11864" s="24" t="s">
        <v>37559</v>
      </c>
      <c r="D11864" s="25" t="s">
        <v>37560</v>
      </c>
      <c r="E11864" s="28">
        <v>0.26660</v>
      </c>
      <c r="F11864" s="29">
        <f ca="1">F11868</f>
        <v>0</v>
      </c>
      <c r="G11864" s="27">
        <f ca="1">ROUND(E11864*F11864,2)</f>
        <v>0</v>
      </c>
    </row>
    <row r="11865" spans="1:7" ht="24.36" thickBot="1" customHeight="1">
      <c r="A11865" s="24" t="s">
        <v>37561</v>
      </c>
      <c r="B11865" s="24" t="s">
        <v>37562</v>
      </c>
      <c r="C11865" s="24" t="s">
        <v>37563</v>
      </c>
      <c r="D11865" s="25" t="s">
        <v>37564</v>
      </c>
      <c r="E11865" s="28">
        <v>1.00000</v>
      </c>
      <c r="F11865" s="29">
        <f ca="1">ROUND(21.000,3)</f>
        <v>0</v>
      </c>
      <c r="G11865" s="27">
        <f ca="1">ROUND(E11865*F11865,2)</f>
        <v>0</v>
      </c>
    </row>
    <row r="11866" spans="1:7" ht="24.36" thickBot="1" customHeight="1">
      <c r="A11866" s="24" t="s">
        <v>37565</v>
      </c>
      <c r="B11866" s="24" t="s">
        <v>37566</v>
      </c>
      <c r="C11866" s="24" t="s">
        <v>37567</v>
      </c>
      <c r="D11866" s="25" t="s">
        <v>37568</v>
      </c>
      <c r="E11866" s="28">
        <v>1.00000</v>
      </c>
      <c r="F11866" s="29">
        <f ca="1">ROUND(19.000,3)</f>
        <v>0</v>
      </c>
      <c r="G11866" s="27">
        <f ca="1">ROUND(E11866*F11866,2)</f>
        <v>0</v>
      </c>
    </row>
    <row r="11867" spans="1:7" ht="24.36" thickBot="1" customHeight="1">
      <c r="A11867" s="24" t="s">
        <v>37569</v>
      </c>
      <c r="B11867" s="24" t="s">
        <v>37570</v>
      </c>
      <c r="C11867" s="24" t="s">
        <v>37571</v>
      </c>
      <c r="D11867" s="25" t="s">
        <v>37572</v>
      </c>
      <c r="E11867" s="28">
        <v>0.20000</v>
      </c>
      <c r="F11867" s="29">
        <f ca="1">ROUND(19.000,3)</f>
        <v>0</v>
      </c>
      <c r="G11867" s="27">
        <f ca="1">ROUND(E11867*F11867,2)</f>
        <v>0</v>
      </c>
    </row>
    <row r="11868" spans="1:7" ht="15.12" thickBot="1" customHeight="1">
      <c r="A11868" s="26"/>
      <c r="B11868" s="26"/>
      <c r="C11868" s="26"/>
      <c r="D11868" s="24" t="s">
        <v>37573</v>
      </c>
      <c r="E11868" s="28">
        <v>0.26660</v>
      </c>
      <c r="F11868" s="29">
        <f ca="1">ROUND((G11865+G11866+G11867),3)</f>
        <v>0</v>
      </c>
      <c r="G11868" s="27">
        <f ca="1">ROUND(E11868*F11868,2)</f>
        <v>0</v>
      </c>
    </row>
    <row r="11869" spans="1:7" ht="15.12" thickBot="1" customHeight="1">
      <c r="A11869" s="24" t="s">
        <v>37574</v>
      </c>
      <c r="B11869" s="24"/>
      <c r="C11869" s="24" t="s">
        <v>37575</v>
      </c>
      <c r="D11869" s="25" t="s">
        <v>37576</v>
      </c>
      <c r="E11869" s="28">
        <v>3.00000</v>
      </c>
      <c r="F11869" s="29">
        <f ca="1">ROUND(11.680,3)</f>
        <v>0</v>
      </c>
      <c r="G11869" s="27">
        <f ca="1">ROUND((E11869*F11869)/100,2)</f>
        <v>0</v>
      </c>
    </row>
    <row r="11870" spans="1:7" ht="15.48" thickBot="1" customHeight="1">
      <c r="A11870" s="30"/>
      <c r="B11870" s="30"/>
      <c r="C11870" s="30"/>
      <c r="D11870" s="31" t="s">
        <v>37577</v>
      </c>
      <c r="E11870" s="30"/>
      <c r="F11870" s="33">
        <f ca="1">ROUND((G11861+G11862+G11863+G11864+G11869)*(1+G2/100),2)</f>
        <v>0</v>
      </c>
      <c r="G11870" s="30"/>
    </row>
    <row r="11871" spans="1:7" ht="30.60" thickBot="1" customHeight="1">
      <c r="A11871" s="34" t="s">
        <v>37578</v>
      </c>
      <c r="B11871" s="35" t="s">
        <v>37579</v>
      </c>
      <c r="C11871" s="35" t="s">
        <v>37580</v>
      </c>
      <c r="D11871" s="36" t="s">
        <v>37581</v>
      </c>
      <c r="E11871" s="37"/>
      <c r="F11871" s="38">
        <f ca="1">F11881</f>
        <v>0</v>
      </c>
      <c r="G11871" s="37"/>
    </row>
    <row r="11872" spans="1:7" ht="86.04" thickBot="1" customHeight="1">
      <c r="A11872" s="26"/>
      <c r="B11872" s="26"/>
      <c r="C11872" s="26"/>
      <c r="D11872" s="25" t="s">
        <v>37582</v>
      </c>
      <c r="E11872" s="25"/>
      <c r="F11872" s="25"/>
      <c r="G11872" s="25"/>
    </row>
    <row r="11873" spans="1:7" ht="39.84" thickBot="1" customHeight="1">
      <c r="A11873" s="24" t="s">
        <v>37583</v>
      </c>
      <c r="B11873" s="24" t="s">
        <v>37584</v>
      </c>
      <c r="C11873" s="24" t="s">
        <v>37585</v>
      </c>
      <c r="D11873" s="25" t="s">
        <v>37586</v>
      </c>
      <c r="E11873" s="28">
        <v>0.04400</v>
      </c>
      <c r="F11873" s="29">
        <f ca="1">ROUND(36.060,3)</f>
        <v>0</v>
      </c>
      <c r="G11873" s="27">
        <f ca="1">ROUND(E11873*F11873,2)</f>
        <v>0</v>
      </c>
    </row>
    <row r="11874" spans="1:7" ht="30.60" thickBot="1" customHeight="1">
      <c r="A11874" s="24" t="s">
        <v>37587</v>
      </c>
      <c r="B11874" s="24" t="s">
        <v>37588</v>
      </c>
      <c r="C11874" s="24" t="s">
        <v>37589</v>
      </c>
      <c r="D11874" s="25" t="s">
        <v>37590</v>
      </c>
      <c r="E11874" s="28">
        <v>0.08000</v>
      </c>
      <c r="F11874" s="29">
        <f ca="1">ROUND(47.090,3)</f>
        <v>0</v>
      </c>
      <c r="G11874" s="27">
        <f ca="1">ROUND(E11874*F11874,2)</f>
        <v>0</v>
      </c>
    </row>
    <row r="11875" spans="1:7" ht="21.36" thickBot="1" customHeight="1">
      <c r="A11875" s="24" t="s">
        <v>37591</v>
      </c>
      <c r="B11875" s="24" t="s">
        <v>37592</v>
      </c>
      <c r="C11875" s="24" t="s">
        <v>37593</v>
      </c>
      <c r="D11875" s="25" t="s">
        <v>37594</v>
      </c>
      <c r="E11875" s="28">
        <v>0.26660</v>
      </c>
      <c r="F11875" s="29">
        <f ca="1">F11879</f>
        <v>0</v>
      </c>
      <c r="G11875" s="27">
        <f ca="1">ROUND(E11875*F11875,2)</f>
        <v>0</v>
      </c>
    </row>
    <row r="11876" spans="1:7" ht="24.36" thickBot="1" customHeight="1">
      <c r="A11876" s="24" t="s">
        <v>37595</v>
      </c>
      <c r="B11876" s="24" t="s">
        <v>37596</v>
      </c>
      <c r="C11876" s="24" t="s">
        <v>37597</v>
      </c>
      <c r="D11876" s="25" t="s">
        <v>37598</v>
      </c>
      <c r="E11876" s="28">
        <v>1.00000</v>
      </c>
      <c r="F11876" s="29">
        <f ca="1">ROUND(21.000,3)</f>
        <v>0</v>
      </c>
      <c r="G11876" s="27">
        <f ca="1">ROUND(E11876*F11876,2)</f>
        <v>0</v>
      </c>
    </row>
    <row r="11877" spans="1:7" ht="24.36" thickBot="1" customHeight="1">
      <c r="A11877" s="24" t="s">
        <v>37599</v>
      </c>
      <c r="B11877" s="24" t="s">
        <v>37600</v>
      </c>
      <c r="C11877" s="24" t="s">
        <v>37601</v>
      </c>
      <c r="D11877" s="25" t="s">
        <v>37602</v>
      </c>
      <c r="E11877" s="28">
        <v>1.00000</v>
      </c>
      <c r="F11877" s="29">
        <f ca="1">ROUND(19.000,3)</f>
        <v>0</v>
      </c>
      <c r="G11877" s="27">
        <f ca="1">ROUND(E11877*F11877,2)</f>
        <v>0</v>
      </c>
    </row>
    <row r="11878" spans="1:7" ht="24.36" thickBot="1" customHeight="1">
      <c r="A11878" s="24" t="s">
        <v>37603</v>
      </c>
      <c r="B11878" s="24" t="s">
        <v>37604</v>
      </c>
      <c r="C11878" s="24" t="s">
        <v>37605</v>
      </c>
      <c r="D11878" s="25" t="s">
        <v>37606</v>
      </c>
      <c r="E11878" s="28">
        <v>0.20000</v>
      </c>
      <c r="F11878" s="29">
        <f ca="1">ROUND(19.000,3)</f>
        <v>0</v>
      </c>
      <c r="G11878" s="27">
        <f ca="1">ROUND(E11878*F11878,2)</f>
        <v>0</v>
      </c>
    </row>
    <row r="11879" spans="1:7" ht="15.12" thickBot="1" customHeight="1">
      <c r="A11879" s="26"/>
      <c r="B11879" s="26"/>
      <c r="C11879" s="26"/>
      <c r="D11879" s="24" t="s">
        <v>37607</v>
      </c>
      <c r="E11879" s="28">
        <v>0.26660</v>
      </c>
      <c r="F11879" s="29">
        <f ca="1">ROUND((G11876+G11877+G11878),3)</f>
        <v>0</v>
      </c>
      <c r="G11879" s="27">
        <f ca="1">ROUND(E11879*F11879,2)</f>
        <v>0</v>
      </c>
    </row>
    <row r="11880" spans="1:7" ht="15.12" thickBot="1" customHeight="1">
      <c r="A11880" s="24" t="s">
        <v>37608</v>
      </c>
      <c r="B11880" s="24"/>
      <c r="C11880" s="24" t="s">
        <v>37609</v>
      </c>
      <c r="D11880" s="25" t="s">
        <v>37610</v>
      </c>
      <c r="E11880" s="28">
        <v>3.00000</v>
      </c>
      <c r="F11880" s="29">
        <f ca="1">ROUND(11.680,3)</f>
        <v>0</v>
      </c>
      <c r="G11880" s="27">
        <f ca="1">ROUND((E11880*F11880)/100,2)</f>
        <v>0</v>
      </c>
    </row>
    <row r="11881" spans="1:7" ht="15.48" thickBot="1" customHeight="1">
      <c r="A11881" s="30"/>
      <c r="B11881" s="30"/>
      <c r="C11881" s="30"/>
      <c r="D11881" s="31" t="s">
        <v>37611</v>
      </c>
      <c r="E11881" s="30"/>
      <c r="F11881" s="33">
        <f ca="1">ROUND((G11873+G11874+G11875+G11880)*(1+G2/100),2)</f>
        <v>0</v>
      </c>
      <c r="G11881" s="30"/>
    </row>
    <row r="11882" spans="1:7" ht="30.60" thickBot="1" customHeight="1">
      <c r="A11882" s="34" t="s">
        <v>37612</v>
      </c>
      <c r="B11882" s="35" t="s">
        <v>37613</v>
      </c>
      <c r="C11882" s="35" t="s">
        <v>37614</v>
      </c>
      <c r="D11882" s="36" t="s">
        <v>37615</v>
      </c>
      <c r="E11882" s="37"/>
      <c r="F11882" s="38">
        <f ca="1">F11893</f>
        <v>0</v>
      </c>
      <c r="G11882" s="37"/>
    </row>
    <row r="11883" spans="1:7" ht="150.72" thickBot="1" customHeight="1">
      <c r="A11883" s="26"/>
      <c r="B11883" s="26"/>
      <c r="C11883" s="26"/>
      <c r="D11883" s="25" t="s">
        <v>37616</v>
      </c>
      <c r="E11883" s="25"/>
      <c r="F11883" s="25"/>
      <c r="G11883" s="25"/>
    </row>
    <row r="11884" spans="1:7" ht="39.84" thickBot="1" customHeight="1">
      <c r="A11884" s="24" t="s">
        <v>37617</v>
      </c>
      <c r="B11884" s="24" t="s">
        <v>37618</v>
      </c>
      <c r="C11884" s="24" t="s">
        <v>37619</v>
      </c>
      <c r="D11884" s="25" t="s">
        <v>37620</v>
      </c>
      <c r="E11884" s="28">
        <v>0.04400</v>
      </c>
      <c r="F11884" s="29">
        <f ca="1">ROUND(36.060,3)</f>
        <v>0</v>
      </c>
      <c r="G11884" s="27">
        <f ca="1">ROUND(E11884*F11884,2)</f>
        <v>0</v>
      </c>
    </row>
    <row r="11885" spans="1:7" ht="30.60" thickBot="1" customHeight="1">
      <c r="A11885" s="24" t="s">
        <v>37621</v>
      </c>
      <c r="B11885" s="24" t="s">
        <v>37622</v>
      </c>
      <c r="C11885" s="24" t="s">
        <v>37623</v>
      </c>
      <c r="D11885" s="25" t="s">
        <v>37624</v>
      </c>
      <c r="E11885" s="28">
        <v>0.08000</v>
      </c>
      <c r="F11885" s="29">
        <f ca="1">ROUND(27.190,3)</f>
        <v>0</v>
      </c>
      <c r="G11885" s="27">
        <f ca="1">ROUND(E11885*F11885,2)</f>
        <v>0</v>
      </c>
    </row>
    <row r="11886" spans="1:7" ht="24.36" thickBot="1" customHeight="1">
      <c r="A11886" s="24" t="s">
        <v>37625</v>
      </c>
      <c r="B11886" s="24" t="s">
        <v>37626</v>
      </c>
      <c r="C11886" s="24" t="s">
        <v>37627</v>
      </c>
      <c r="D11886" s="25" t="s">
        <v>37628</v>
      </c>
      <c r="E11886" s="28">
        <v>0.01350</v>
      </c>
      <c r="F11886" s="29">
        <f ca="1">ROUND(4.630,3)</f>
        <v>0</v>
      </c>
      <c r="G11886" s="27">
        <f ca="1">ROUND(E11886*F11886,2)</f>
        <v>0</v>
      </c>
    </row>
    <row r="11887" spans="1:7" ht="21.36" thickBot="1" customHeight="1">
      <c r="A11887" s="24" t="s">
        <v>37629</v>
      </c>
      <c r="B11887" s="24" t="s">
        <v>37630</v>
      </c>
      <c r="C11887" s="24" t="s">
        <v>37631</v>
      </c>
      <c r="D11887" s="25" t="s">
        <v>37632</v>
      </c>
      <c r="E11887" s="28">
        <v>0.26660</v>
      </c>
      <c r="F11887" s="29">
        <f ca="1">F11891</f>
        <v>0</v>
      </c>
      <c r="G11887" s="27">
        <f ca="1">ROUND(E11887*F11887,2)</f>
        <v>0</v>
      </c>
    </row>
    <row r="11888" spans="1:7" ht="24.36" thickBot="1" customHeight="1">
      <c r="A11888" s="24" t="s">
        <v>37633</v>
      </c>
      <c r="B11888" s="24" t="s">
        <v>37634</v>
      </c>
      <c r="C11888" s="24" t="s">
        <v>37635</v>
      </c>
      <c r="D11888" s="25" t="s">
        <v>37636</v>
      </c>
      <c r="E11888" s="28">
        <v>1.00000</v>
      </c>
      <c r="F11888" s="29">
        <f ca="1">ROUND(21.000,3)</f>
        <v>0</v>
      </c>
      <c r="G11888" s="27">
        <f ca="1">ROUND(E11888*F11888,2)</f>
        <v>0</v>
      </c>
    </row>
    <row r="11889" spans="1:7" ht="24.36" thickBot="1" customHeight="1">
      <c r="A11889" s="24" t="s">
        <v>37637</v>
      </c>
      <c r="B11889" s="24" t="s">
        <v>37638</v>
      </c>
      <c r="C11889" s="24" t="s">
        <v>37639</v>
      </c>
      <c r="D11889" s="25" t="s">
        <v>37640</v>
      </c>
      <c r="E11889" s="28">
        <v>1.00000</v>
      </c>
      <c r="F11889" s="29">
        <f ca="1">ROUND(19.000,3)</f>
        <v>0</v>
      </c>
      <c r="G11889" s="27">
        <f ca="1">ROUND(E11889*F11889,2)</f>
        <v>0</v>
      </c>
    </row>
    <row r="11890" spans="1:7" ht="24.36" thickBot="1" customHeight="1">
      <c r="A11890" s="24" t="s">
        <v>37641</v>
      </c>
      <c r="B11890" s="24" t="s">
        <v>37642</v>
      </c>
      <c r="C11890" s="24" t="s">
        <v>37643</v>
      </c>
      <c r="D11890" s="25" t="s">
        <v>37644</v>
      </c>
      <c r="E11890" s="28">
        <v>0.20000</v>
      </c>
      <c r="F11890" s="29">
        <f ca="1">ROUND(19.000,3)</f>
        <v>0</v>
      </c>
      <c r="G11890" s="27">
        <f ca="1">ROUND(E11890*F11890,2)</f>
        <v>0</v>
      </c>
    </row>
    <row r="11891" spans="1:7" ht="15.12" thickBot="1" customHeight="1">
      <c r="A11891" s="26"/>
      <c r="B11891" s="26"/>
      <c r="C11891" s="26"/>
      <c r="D11891" s="24" t="s">
        <v>37645</v>
      </c>
      <c r="E11891" s="28">
        <v>0.26660</v>
      </c>
      <c r="F11891" s="29">
        <f ca="1">ROUND((G11888+G11889+G11890),3)</f>
        <v>0</v>
      </c>
      <c r="G11891" s="27">
        <f ca="1">ROUND(E11891*F11891,2)</f>
        <v>0</v>
      </c>
    </row>
    <row r="11892" spans="1:7" ht="15.12" thickBot="1" customHeight="1">
      <c r="A11892" s="24" t="s">
        <v>37646</v>
      </c>
      <c r="B11892" s="24"/>
      <c r="C11892" s="24" t="s">
        <v>37647</v>
      </c>
      <c r="D11892" s="25" t="s">
        <v>37648</v>
      </c>
      <c r="E11892" s="28">
        <v>3.00000</v>
      </c>
      <c r="F11892" s="29">
        <f ca="1">ROUND(11.680,3)</f>
        <v>0</v>
      </c>
      <c r="G11892" s="27">
        <f ca="1">ROUND((E11892*F11892)/100,2)</f>
        <v>0</v>
      </c>
    </row>
    <row r="11893" spans="1:7" ht="15.48" thickBot="1" customHeight="1">
      <c r="A11893" s="30"/>
      <c r="B11893" s="30"/>
      <c r="C11893" s="30"/>
      <c r="D11893" s="31" t="s">
        <v>37649</v>
      </c>
      <c r="E11893" s="30"/>
      <c r="F11893" s="33">
        <f ca="1">ROUND((G11884+G11885+G11886+G11887+G11892)*(1+G2/100),2)</f>
        <v>0</v>
      </c>
      <c r="G11893" s="30"/>
    </row>
    <row r="11894" spans="1:7" ht="30.60" thickBot="1" customHeight="1">
      <c r="A11894" s="34" t="s">
        <v>37650</v>
      </c>
      <c r="B11894" s="35" t="s">
        <v>37651</v>
      </c>
      <c r="C11894" s="35" t="s">
        <v>37652</v>
      </c>
      <c r="D11894" s="36" t="s">
        <v>37653</v>
      </c>
      <c r="E11894" s="37"/>
      <c r="F11894" s="38">
        <f ca="1">F11905</f>
        <v>0</v>
      </c>
      <c r="G11894" s="37"/>
    </row>
    <row r="11895" spans="1:7" ht="67.56" thickBot="1" customHeight="1">
      <c r="A11895" s="26"/>
      <c r="B11895" s="26"/>
      <c r="C11895" s="26"/>
      <c r="D11895" s="25" t="s">
        <v>37654</v>
      </c>
      <c r="E11895" s="25"/>
      <c r="F11895" s="25"/>
      <c r="G11895" s="25"/>
    </row>
    <row r="11896" spans="1:7" ht="39.84" thickBot="1" customHeight="1">
      <c r="A11896" s="24" t="s">
        <v>37655</v>
      </c>
      <c r="B11896" s="24" t="s">
        <v>37656</v>
      </c>
      <c r="C11896" s="24" t="s">
        <v>37657</v>
      </c>
      <c r="D11896" s="25" t="s">
        <v>37658</v>
      </c>
      <c r="E11896" s="28">
        <v>0.04400</v>
      </c>
      <c r="F11896" s="29">
        <f ca="1">ROUND(36.060,3)</f>
        <v>0</v>
      </c>
      <c r="G11896" s="27">
        <f ca="1">ROUND(E11896*F11896,2)</f>
        <v>0</v>
      </c>
    </row>
    <row r="11897" spans="1:7" ht="30.60" thickBot="1" customHeight="1">
      <c r="A11897" s="24" t="s">
        <v>37659</v>
      </c>
      <c r="B11897" s="24" t="s">
        <v>37660</v>
      </c>
      <c r="C11897" s="24" t="s">
        <v>37661</v>
      </c>
      <c r="D11897" s="25" t="s">
        <v>37662</v>
      </c>
      <c r="E11897" s="28">
        <v>0.08000</v>
      </c>
      <c r="F11897" s="29">
        <f ca="1">ROUND(50.950,3)</f>
        <v>0</v>
      </c>
      <c r="G11897" s="27">
        <f ca="1">ROUND(E11897*F11897,2)</f>
        <v>0</v>
      </c>
    </row>
    <row r="11898" spans="1:7" ht="24.36" thickBot="1" customHeight="1">
      <c r="A11898" s="24" t="s">
        <v>37663</v>
      </c>
      <c r="B11898" s="24" t="s">
        <v>37664</v>
      </c>
      <c r="C11898" s="24" t="s">
        <v>37665</v>
      </c>
      <c r="D11898" s="25" t="s">
        <v>37666</v>
      </c>
      <c r="E11898" s="28">
        <v>0.01350</v>
      </c>
      <c r="F11898" s="29">
        <f ca="1">ROUND(4.630,3)</f>
        <v>0</v>
      </c>
      <c r="G11898" s="27">
        <f ca="1">ROUND(E11898*F11898,2)</f>
        <v>0</v>
      </c>
    </row>
    <row r="11899" spans="1:7" ht="21.36" thickBot="1" customHeight="1">
      <c r="A11899" s="24" t="s">
        <v>37667</v>
      </c>
      <c r="B11899" s="24" t="s">
        <v>37668</v>
      </c>
      <c r="C11899" s="24" t="s">
        <v>37669</v>
      </c>
      <c r="D11899" s="25" t="s">
        <v>37670</v>
      </c>
      <c r="E11899" s="28">
        <v>0.26660</v>
      </c>
      <c r="F11899" s="29">
        <f ca="1">F11903</f>
        <v>0</v>
      </c>
      <c r="G11899" s="27">
        <f ca="1">ROUND(E11899*F11899,2)</f>
        <v>0</v>
      </c>
    </row>
    <row r="11900" spans="1:7" ht="24.36" thickBot="1" customHeight="1">
      <c r="A11900" s="24" t="s">
        <v>37671</v>
      </c>
      <c r="B11900" s="24" t="s">
        <v>37672</v>
      </c>
      <c r="C11900" s="24" t="s">
        <v>37673</v>
      </c>
      <c r="D11900" s="25" t="s">
        <v>37674</v>
      </c>
      <c r="E11900" s="28">
        <v>1.00000</v>
      </c>
      <c r="F11900" s="29">
        <f ca="1">ROUND(21.000,3)</f>
        <v>0</v>
      </c>
      <c r="G11900" s="27">
        <f ca="1">ROUND(E11900*F11900,2)</f>
        <v>0</v>
      </c>
    </row>
    <row r="11901" spans="1:7" ht="24.36" thickBot="1" customHeight="1">
      <c r="A11901" s="24" t="s">
        <v>37675</v>
      </c>
      <c r="B11901" s="24" t="s">
        <v>37676</v>
      </c>
      <c r="C11901" s="24" t="s">
        <v>37677</v>
      </c>
      <c r="D11901" s="25" t="s">
        <v>37678</v>
      </c>
      <c r="E11901" s="28">
        <v>1.00000</v>
      </c>
      <c r="F11901" s="29">
        <f ca="1">ROUND(19.000,3)</f>
        <v>0</v>
      </c>
      <c r="G11901" s="27">
        <f ca="1">ROUND(E11901*F11901,2)</f>
        <v>0</v>
      </c>
    </row>
    <row r="11902" spans="1:7" ht="24.36" thickBot="1" customHeight="1">
      <c r="A11902" s="24" t="s">
        <v>37679</v>
      </c>
      <c r="B11902" s="24" t="s">
        <v>37680</v>
      </c>
      <c r="C11902" s="24" t="s">
        <v>37681</v>
      </c>
      <c r="D11902" s="25" t="s">
        <v>37682</v>
      </c>
      <c r="E11902" s="28">
        <v>0.20000</v>
      </c>
      <c r="F11902" s="29">
        <f ca="1">ROUND(19.000,3)</f>
        <v>0</v>
      </c>
      <c r="G11902" s="27">
        <f ca="1">ROUND(E11902*F11902,2)</f>
        <v>0</v>
      </c>
    </row>
    <row r="11903" spans="1:7" ht="15.12" thickBot="1" customHeight="1">
      <c r="A11903" s="26"/>
      <c r="B11903" s="26"/>
      <c r="C11903" s="26"/>
      <c r="D11903" s="24" t="s">
        <v>37683</v>
      </c>
      <c r="E11903" s="28">
        <v>0.26660</v>
      </c>
      <c r="F11903" s="29">
        <f ca="1">ROUND((G11900+G11901+G11902),3)</f>
        <v>0</v>
      </c>
      <c r="G11903" s="27">
        <f ca="1">ROUND(E11903*F11903,2)</f>
        <v>0</v>
      </c>
    </row>
    <row r="11904" spans="1:7" ht="15.12" thickBot="1" customHeight="1">
      <c r="A11904" s="24" t="s">
        <v>37684</v>
      </c>
      <c r="B11904" s="24"/>
      <c r="C11904" s="24" t="s">
        <v>37685</v>
      </c>
      <c r="D11904" s="25" t="s">
        <v>37686</v>
      </c>
      <c r="E11904" s="28">
        <v>3.00000</v>
      </c>
      <c r="F11904" s="29">
        <f ca="1">ROUND(11.680,3)</f>
        <v>0</v>
      </c>
      <c r="G11904" s="27">
        <f ca="1">ROUND((E11904*F11904)/100,2)</f>
        <v>0</v>
      </c>
    </row>
    <row r="11905" spans="1:7" ht="15.48" thickBot="1" customHeight="1">
      <c r="A11905" s="30"/>
      <c r="B11905" s="30"/>
      <c r="C11905" s="30"/>
      <c r="D11905" s="31" t="s">
        <v>37687</v>
      </c>
      <c r="E11905" s="30"/>
      <c r="F11905" s="33">
        <f ca="1">ROUND((G11896+G11897+G11898+G11899+G11904)*(1+G2/100),2)</f>
        <v>0</v>
      </c>
      <c r="G11905" s="30"/>
    </row>
    <row r="11906" spans="1:7" ht="30.60" thickBot="1" customHeight="1">
      <c r="A11906" s="34" t="s">
        <v>37688</v>
      </c>
      <c r="B11906" s="35" t="s">
        <v>37689</v>
      </c>
      <c r="C11906" s="35" t="s">
        <v>37690</v>
      </c>
      <c r="D11906" s="36" t="s">
        <v>37691</v>
      </c>
      <c r="E11906" s="37"/>
      <c r="F11906" s="38">
        <f ca="1">F11916</f>
        <v>0</v>
      </c>
      <c r="G11906" s="37"/>
    </row>
    <row r="11907" spans="1:7" ht="49.08" thickBot="1" customHeight="1">
      <c r="A11907" s="26"/>
      <c r="B11907" s="26"/>
      <c r="C11907" s="26"/>
      <c r="D11907" s="25" t="s">
        <v>37692</v>
      </c>
      <c r="E11907" s="25"/>
      <c r="F11907" s="25"/>
      <c r="G11907" s="25"/>
    </row>
    <row r="11908" spans="1:7" ht="21.36" thickBot="1" customHeight="1">
      <c r="A11908" s="24" t="s">
        <v>37693</v>
      </c>
      <c r="B11908" s="24" t="s">
        <v>37694</v>
      </c>
      <c r="C11908" s="24" t="s">
        <v>37695</v>
      </c>
      <c r="D11908" s="25" t="s">
        <v>37696</v>
      </c>
      <c r="E11908" s="28">
        <v>0.20000</v>
      </c>
      <c r="F11908" s="29">
        <f ca="1">ROUND(10.290,3)</f>
        <v>0</v>
      </c>
      <c r="G11908" s="27">
        <f ca="1">ROUND(E11908*F11908,2)</f>
        <v>0</v>
      </c>
    </row>
    <row r="11909" spans="1:7" ht="39.84" thickBot="1" customHeight="1">
      <c r="A11909" s="24" t="s">
        <v>37697</v>
      </c>
      <c r="B11909" s="24" t="s">
        <v>37698</v>
      </c>
      <c r="C11909" s="24" t="s">
        <v>37699</v>
      </c>
      <c r="D11909" s="25" t="s">
        <v>37700</v>
      </c>
      <c r="E11909" s="28">
        <v>0.30000</v>
      </c>
      <c r="F11909" s="29">
        <f ca="1">ROUND(13.090,3)</f>
        <v>0</v>
      </c>
      <c r="G11909" s="27">
        <f ca="1">ROUND(E11909*F11909,2)</f>
        <v>0</v>
      </c>
    </row>
    <row r="11910" spans="1:7" ht="21.36" thickBot="1" customHeight="1">
      <c r="A11910" s="24" t="s">
        <v>37701</v>
      </c>
      <c r="B11910" s="24" t="s">
        <v>37702</v>
      </c>
      <c r="C11910" s="24" t="s">
        <v>37703</v>
      </c>
      <c r="D11910" s="25" t="s">
        <v>37704</v>
      </c>
      <c r="E11910" s="28">
        <v>0.35000</v>
      </c>
      <c r="F11910" s="29">
        <f ca="1">F11914</f>
        <v>0</v>
      </c>
      <c r="G11910" s="27">
        <f ca="1">ROUND(E11910*F11910,2)</f>
        <v>0</v>
      </c>
    </row>
    <row r="11911" spans="1:7" ht="24.36" thickBot="1" customHeight="1">
      <c r="A11911" s="24" t="s">
        <v>37705</v>
      </c>
      <c r="B11911" s="24" t="s">
        <v>37706</v>
      </c>
      <c r="C11911" s="24" t="s">
        <v>37707</v>
      </c>
      <c r="D11911" s="25" t="s">
        <v>37708</v>
      </c>
      <c r="E11911" s="28">
        <v>1.00000</v>
      </c>
      <c r="F11911" s="29">
        <f ca="1">ROUND(21.000,3)</f>
        <v>0</v>
      </c>
      <c r="G11911" s="27">
        <f ca="1">ROUND(E11911*F11911,2)</f>
        <v>0</v>
      </c>
    </row>
    <row r="11912" spans="1:7" ht="24.36" thickBot="1" customHeight="1">
      <c r="A11912" s="24" t="s">
        <v>37709</v>
      </c>
      <c r="B11912" s="24" t="s">
        <v>37710</v>
      </c>
      <c r="C11912" s="24" t="s">
        <v>37711</v>
      </c>
      <c r="D11912" s="25" t="s">
        <v>37712</v>
      </c>
      <c r="E11912" s="28">
        <v>1.00000</v>
      </c>
      <c r="F11912" s="29">
        <f ca="1">ROUND(19.000,3)</f>
        <v>0</v>
      </c>
      <c r="G11912" s="27">
        <f ca="1">ROUND(E11912*F11912,2)</f>
        <v>0</v>
      </c>
    </row>
    <row r="11913" spans="1:7" ht="24.36" thickBot="1" customHeight="1">
      <c r="A11913" s="24" t="s">
        <v>37713</v>
      </c>
      <c r="B11913" s="24" t="s">
        <v>37714</v>
      </c>
      <c r="C11913" s="24" t="s">
        <v>37715</v>
      </c>
      <c r="D11913" s="25" t="s">
        <v>37716</v>
      </c>
      <c r="E11913" s="28">
        <v>0.20000</v>
      </c>
      <c r="F11913" s="29">
        <f ca="1">ROUND(19.000,3)</f>
        <v>0</v>
      </c>
      <c r="G11913" s="27">
        <f ca="1">ROUND(E11913*F11913,2)</f>
        <v>0</v>
      </c>
    </row>
    <row r="11914" spans="1:7" ht="15.12" thickBot="1" customHeight="1">
      <c r="A11914" s="26"/>
      <c r="B11914" s="26"/>
      <c r="C11914" s="26"/>
      <c r="D11914" s="24" t="s">
        <v>37717</v>
      </c>
      <c r="E11914" s="28">
        <v>0.35000</v>
      </c>
      <c r="F11914" s="29">
        <f ca="1">ROUND((G11911+G11912+G11913),3)</f>
        <v>0</v>
      </c>
      <c r="G11914" s="27">
        <f ca="1">ROUND(E11914*F11914,2)</f>
        <v>0</v>
      </c>
    </row>
    <row r="11915" spans="1:7" ht="15.12" thickBot="1" customHeight="1">
      <c r="A11915" s="24" t="s">
        <v>37718</v>
      </c>
      <c r="B11915" s="24"/>
      <c r="C11915" s="24" t="s">
        <v>37719</v>
      </c>
      <c r="D11915" s="25" t="s">
        <v>37720</v>
      </c>
      <c r="E11915" s="28">
        <v>3.00000</v>
      </c>
      <c r="F11915" s="29">
        <f ca="1">ROUND(15.330,3)</f>
        <v>0</v>
      </c>
      <c r="G11915" s="27">
        <f ca="1">ROUND((E11915*F11915)/100,2)</f>
        <v>0</v>
      </c>
    </row>
    <row r="11916" spans="1:7" ht="15.48" thickBot="1" customHeight="1">
      <c r="A11916" s="30"/>
      <c r="B11916" s="30"/>
      <c r="C11916" s="30"/>
      <c r="D11916" s="31" t="s">
        <v>37721</v>
      </c>
      <c r="E11916" s="30"/>
      <c r="F11916" s="33">
        <f ca="1">ROUND((G11908+G11909+G11910+G11915)*(1+G2/100),2)</f>
        <v>0</v>
      </c>
      <c r="G11916" s="30"/>
    </row>
    <row r="11917" spans="1:7" ht="21.36" thickBot="1" customHeight="1">
      <c r="A11917" s="34" t="s">
        <v>37722</v>
      </c>
      <c r="B11917" s="35" t="s">
        <v>37723</v>
      </c>
      <c r="C11917" s="35" t="s">
        <v>37724</v>
      </c>
      <c r="D11917" s="36" t="s">
        <v>37725</v>
      </c>
      <c r="E11917" s="37"/>
      <c r="F11917" s="38">
        <f ca="1">F11927</f>
        <v>0</v>
      </c>
      <c r="G11917" s="37"/>
    </row>
    <row r="11918" spans="1:7" ht="141.48" thickBot="1" customHeight="1">
      <c r="A11918" s="26"/>
      <c r="B11918" s="26"/>
      <c r="C11918" s="26"/>
      <c r="D11918" s="25" t="s">
        <v>37726</v>
      </c>
      <c r="E11918" s="25"/>
      <c r="F11918" s="25"/>
      <c r="G11918" s="25"/>
    </row>
    <row r="11919" spans="1:7" ht="39.84" thickBot="1" customHeight="1">
      <c r="A11919" s="24" t="s">
        <v>37727</v>
      </c>
      <c r="B11919" s="24" t="s">
        <v>37728</v>
      </c>
      <c r="C11919" s="24" t="s">
        <v>37729</v>
      </c>
      <c r="D11919" s="25" t="s">
        <v>37730</v>
      </c>
      <c r="E11919" s="28">
        <v>0.02360</v>
      </c>
      <c r="F11919" s="29">
        <f ca="1">ROUND(42.810,3)</f>
        <v>0</v>
      </c>
      <c r="G11919" s="27">
        <f ca="1">ROUND(E11919*F11919,2)</f>
        <v>0</v>
      </c>
    </row>
    <row r="11920" spans="1:7" ht="30.60" thickBot="1" customHeight="1">
      <c r="A11920" s="24" t="s">
        <v>37731</v>
      </c>
      <c r="B11920" s="24" t="s">
        <v>37732</v>
      </c>
      <c r="C11920" s="24" t="s">
        <v>37733</v>
      </c>
      <c r="D11920" s="25" t="s">
        <v>37734</v>
      </c>
      <c r="E11920" s="28">
        <v>0.08000</v>
      </c>
      <c r="F11920" s="29">
        <f ca="1">ROUND(43.750,3)</f>
        <v>0</v>
      </c>
      <c r="G11920" s="27">
        <f ca="1">ROUND(E11920*F11920,2)</f>
        <v>0</v>
      </c>
    </row>
    <row r="11921" spans="1:7" ht="21.36" thickBot="1" customHeight="1">
      <c r="A11921" s="24" t="s">
        <v>37735</v>
      </c>
      <c r="B11921" s="24" t="s">
        <v>37736</v>
      </c>
      <c r="C11921" s="24" t="s">
        <v>37737</v>
      </c>
      <c r="D11921" s="25" t="s">
        <v>37738</v>
      </c>
      <c r="E11921" s="28">
        <v>0.35000</v>
      </c>
      <c r="F11921" s="29">
        <f ca="1">F11925</f>
        <v>0</v>
      </c>
      <c r="G11921" s="27">
        <f ca="1">ROUND(E11921*F11921,2)</f>
        <v>0</v>
      </c>
    </row>
    <row r="11922" spans="1:7" ht="24.36" thickBot="1" customHeight="1">
      <c r="A11922" s="24" t="s">
        <v>37739</v>
      </c>
      <c r="B11922" s="24" t="s">
        <v>37740</v>
      </c>
      <c r="C11922" s="24" t="s">
        <v>37741</v>
      </c>
      <c r="D11922" s="25" t="s">
        <v>37742</v>
      </c>
      <c r="E11922" s="28">
        <v>1.00000</v>
      </c>
      <c r="F11922" s="29">
        <f ca="1">ROUND(21.000,3)</f>
        <v>0</v>
      </c>
      <c r="G11922" s="27">
        <f ca="1">ROUND(E11922*F11922,2)</f>
        <v>0</v>
      </c>
    </row>
    <row r="11923" spans="1:7" ht="24.36" thickBot="1" customHeight="1">
      <c r="A11923" s="24" t="s">
        <v>37743</v>
      </c>
      <c r="B11923" s="24" t="s">
        <v>37744</v>
      </c>
      <c r="C11923" s="24" t="s">
        <v>37745</v>
      </c>
      <c r="D11923" s="25" t="s">
        <v>37746</v>
      </c>
      <c r="E11923" s="28">
        <v>1.00000</v>
      </c>
      <c r="F11923" s="29">
        <f ca="1">ROUND(19.000,3)</f>
        <v>0</v>
      </c>
      <c r="G11923" s="27">
        <f ca="1">ROUND(E11923*F11923,2)</f>
        <v>0</v>
      </c>
    </row>
    <row r="11924" spans="1:7" ht="24.36" thickBot="1" customHeight="1">
      <c r="A11924" s="24" t="s">
        <v>37747</v>
      </c>
      <c r="B11924" s="24" t="s">
        <v>37748</v>
      </c>
      <c r="C11924" s="24" t="s">
        <v>37749</v>
      </c>
      <c r="D11924" s="25" t="s">
        <v>37750</v>
      </c>
      <c r="E11924" s="28">
        <v>0.20000</v>
      </c>
      <c r="F11924" s="29">
        <f ca="1">ROUND(19.000,3)</f>
        <v>0</v>
      </c>
      <c r="G11924" s="27">
        <f ca="1">ROUND(E11924*F11924,2)</f>
        <v>0</v>
      </c>
    </row>
    <row r="11925" spans="1:7" ht="15.12" thickBot="1" customHeight="1">
      <c r="A11925" s="26"/>
      <c r="B11925" s="26"/>
      <c r="C11925" s="26"/>
      <c r="D11925" s="24" t="s">
        <v>37751</v>
      </c>
      <c r="E11925" s="28">
        <v>0.35000</v>
      </c>
      <c r="F11925" s="29">
        <f ca="1">ROUND((G11922+G11923+G11924),3)</f>
        <v>0</v>
      </c>
      <c r="G11925" s="27">
        <f ca="1">ROUND(E11925*F11925,2)</f>
        <v>0</v>
      </c>
    </row>
    <row r="11926" spans="1:7" ht="15.12" thickBot="1" customHeight="1">
      <c r="A11926" s="24" t="s">
        <v>37752</v>
      </c>
      <c r="B11926" s="24"/>
      <c r="C11926" s="24" t="s">
        <v>37753</v>
      </c>
      <c r="D11926" s="25" t="s">
        <v>37754</v>
      </c>
      <c r="E11926" s="28">
        <v>3.00000</v>
      </c>
      <c r="F11926" s="29">
        <f ca="1">ROUND(15.330,3)</f>
        <v>0</v>
      </c>
      <c r="G11926" s="27">
        <f ca="1">ROUND((E11926*F11926)/100,2)</f>
        <v>0</v>
      </c>
    </row>
    <row r="11927" spans="1:7" ht="15.48" thickBot="1" customHeight="1">
      <c r="A11927" s="30"/>
      <c r="B11927" s="30"/>
      <c r="C11927" s="30"/>
      <c r="D11927" s="31" t="s">
        <v>37755</v>
      </c>
      <c r="E11927" s="30"/>
      <c r="F11927" s="33">
        <f ca="1">ROUND((G11919+G11920+G11921+G11926)*(1+G2/100),2)</f>
        <v>0</v>
      </c>
      <c r="G11927" s="30"/>
    </row>
    <row r="11928" spans="1:7" ht="21.36" thickBot="1" customHeight="1">
      <c r="A11928" s="34" t="s">
        <v>37756</v>
      </c>
      <c r="B11928" s="35" t="s">
        <v>37757</v>
      </c>
      <c r="C11928" s="35" t="s">
        <v>37758</v>
      </c>
      <c r="D11928" s="36" t="s">
        <v>37759</v>
      </c>
      <c r="E11928" s="37"/>
      <c r="F11928" s="38">
        <f ca="1">F11937</f>
        <v>0</v>
      </c>
      <c r="G11928" s="37"/>
    </row>
    <row r="11929" spans="1:7" ht="12.12" thickBot="1" customHeight="1">
      <c r="A11929" s="26"/>
      <c r="B11929" s="26"/>
      <c r="C11929" s="26"/>
      <c r="D11929" s="25" t="s">
        <v>37760</v>
      </c>
      <c r="E11929" s="25"/>
      <c r="F11929" s="25"/>
      <c r="G11929" s="25"/>
    </row>
    <row r="11930" spans="1:7" ht="49.08" thickBot="1" customHeight="1">
      <c r="A11930" s="24" t="s">
        <v>37761</v>
      </c>
      <c r="B11930" s="24" t="s">
        <v>37762</v>
      </c>
      <c r="C11930" s="24" t="s">
        <v>37763</v>
      </c>
      <c r="D11930" s="25" t="s">
        <v>37764</v>
      </c>
      <c r="E11930" s="28">
        <v>0.05000</v>
      </c>
      <c r="F11930" s="29">
        <f ca="1">ROUND(32.220,3)</f>
        <v>0</v>
      </c>
      <c r="G11930" s="27">
        <f ca="1">ROUND(E11930*F11930,2)</f>
        <v>0</v>
      </c>
    </row>
    <row r="11931" spans="1:7" ht="21.36" thickBot="1" customHeight="1">
      <c r="A11931" s="24" t="s">
        <v>37765</v>
      </c>
      <c r="B11931" s="24" t="s">
        <v>37766</v>
      </c>
      <c r="C11931" s="24" t="s">
        <v>37767</v>
      </c>
      <c r="D11931" s="25" t="s">
        <v>37768</v>
      </c>
      <c r="E11931" s="28">
        <v>0.20000</v>
      </c>
      <c r="F11931" s="29">
        <f ca="1">F11935</f>
        <v>0</v>
      </c>
      <c r="G11931" s="27">
        <f ca="1">ROUND(E11931*F11931,2)</f>
        <v>0</v>
      </c>
    </row>
    <row r="11932" spans="1:7" ht="24.36" thickBot="1" customHeight="1">
      <c r="A11932" s="24" t="s">
        <v>37769</v>
      </c>
      <c r="B11932" s="24" t="s">
        <v>37770</v>
      </c>
      <c r="C11932" s="24" t="s">
        <v>37771</v>
      </c>
      <c r="D11932" s="25" t="s">
        <v>37772</v>
      </c>
      <c r="E11932" s="28">
        <v>1.00000</v>
      </c>
      <c r="F11932" s="29">
        <f ca="1">ROUND(21.000,3)</f>
        <v>0</v>
      </c>
      <c r="G11932" s="27">
        <f ca="1">ROUND(E11932*F11932,2)</f>
        <v>0</v>
      </c>
    </row>
    <row r="11933" spans="1:7" ht="24.36" thickBot="1" customHeight="1">
      <c r="A11933" s="24" t="s">
        <v>37773</v>
      </c>
      <c r="B11933" s="24" t="s">
        <v>37774</v>
      </c>
      <c r="C11933" s="24" t="s">
        <v>37775</v>
      </c>
      <c r="D11933" s="25" t="s">
        <v>37776</v>
      </c>
      <c r="E11933" s="28">
        <v>1.00000</v>
      </c>
      <c r="F11933" s="29">
        <f ca="1">ROUND(19.000,3)</f>
        <v>0</v>
      </c>
      <c r="G11933" s="27">
        <f ca="1">ROUND(E11933*F11933,2)</f>
        <v>0</v>
      </c>
    </row>
    <row r="11934" spans="1:7" ht="24.36" thickBot="1" customHeight="1">
      <c r="A11934" s="24" t="s">
        <v>37777</v>
      </c>
      <c r="B11934" s="24" t="s">
        <v>37778</v>
      </c>
      <c r="C11934" s="24" t="s">
        <v>37779</v>
      </c>
      <c r="D11934" s="25" t="s">
        <v>37780</v>
      </c>
      <c r="E11934" s="28">
        <v>0.20000</v>
      </c>
      <c r="F11934" s="29">
        <f ca="1">ROUND(19.000,3)</f>
        <v>0</v>
      </c>
      <c r="G11934" s="27">
        <f ca="1">ROUND(E11934*F11934,2)</f>
        <v>0</v>
      </c>
    </row>
    <row r="11935" spans="1:7" ht="15.12" thickBot="1" customHeight="1">
      <c r="A11935" s="26"/>
      <c r="B11935" s="26"/>
      <c r="C11935" s="26"/>
      <c r="D11935" s="24" t="s">
        <v>37781</v>
      </c>
      <c r="E11935" s="28">
        <v>0.20000</v>
      </c>
      <c r="F11935" s="29">
        <f ca="1">ROUND((G11932+G11933+G11934),3)</f>
        <v>0</v>
      </c>
      <c r="G11935" s="27">
        <f ca="1">ROUND(E11935*F11935,2)</f>
        <v>0</v>
      </c>
    </row>
    <row r="11936" spans="1:7" ht="15.12" thickBot="1" customHeight="1">
      <c r="A11936" s="24" t="s">
        <v>37782</v>
      </c>
      <c r="B11936" s="24"/>
      <c r="C11936" s="24" t="s">
        <v>37783</v>
      </c>
      <c r="D11936" s="25" t="s">
        <v>37784</v>
      </c>
      <c r="E11936" s="28">
        <v>3.00000</v>
      </c>
      <c r="F11936" s="29">
        <f ca="1">ROUND(8.760,3)</f>
        <v>0</v>
      </c>
      <c r="G11936" s="27">
        <f ca="1">ROUND((E11936*F11936)/100,2)</f>
        <v>0</v>
      </c>
    </row>
    <row r="11937" spans="1:7" ht="15.48" thickBot="1" customHeight="1">
      <c r="A11937" s="30"/>
      <c r="B11937" s="30"/>
      <c r="C11937" s="30"/>
      <c r="D11937" s="31" t="s">
        <v>37785</v>
      </c>
      <c r="E11937" s="30"/>
      <c r="F11937" s="33">
        <f ca="1">ROUND((G11930+G11931+G11936)*(1+G2/100),2)</f>
        <v>0</v>
      </c>
      <c r="G11937" s="30"/>
    </row>
    <row r="11938" spans="1:7" ht="30.60" thickBot="1" customHeight="1">
      <c r="A11938" s="34" t="s">
        <v>37786</v>
      </c>
      <c r="B11938" s="35" t="s">
        <v>37787</v>
      </c>
      <c r="C11938" s="35" t="s">
        <v>37788</v>
      </c>
      <c r="D11938" s="36" t="s">
        <v>37789</v>
      </c>
      <c r="E11938" s="37"/>
      <c r="F11938" s="38">
        <f ca="1">F11947</f>
        <v>0</v>
      </c>
      <c r="G11938" s="37"/>
    </row>
    <row r="11939" spans="1:7" ht="21.36" thickBot="1" customHeight="1">
      <c r="A11939" s="26"/>
      <c r="B11939" s="26"/>
      <c r="C11939" s="26"/>
      <c r="D11939" s="25" t="s">
        <v>37790</v>
      </c>
      <c r="E11939" s="25"/>
      <c r="F11939" s="25"/>
      <c r="G11939" s="25"/>
    </row>
    <row r="11940" spans="1:7" ht="49.08" thickBot="1" customHeight="1">
      <c r="A11940" s="24" t="s">
        <v>37791</v>
      </c>
      <c r="B11940" s="24" t="s">
        <v>37792</v>
      </c>
      <c r="C11940" s="24" t="s">
        <v>37793</v>
      </c>
      <c r="D11940" s="25" t="s">
        <v>37794</v>
      </c>
      <c r="E11940" s="28">
        <v>0.02750</v>
      </c>
      <c r="F11940" s="29">
        <f ca="1">ROUND(32.220,3)</f>
        <v>0</v>
      </c>
      <c r="G11940" s="27">
        <f ca="1">ROUND(E11940*F11940,2)</f>
        <v>0</v>
      </c>
    </row>
    <row r="11941" spans="1:7" ht="21.36" thickBot="1" customHeight="1">
      <c r="A11941" s="24" t="s">
        <v>37795</v>
      </c>
      <c r="B11941" s="24" t="s">
        <v>37796</v>
      </c>
      <c r="C11941" s="24" t="s">
        <v>37797</v>
      </c>
      <c r="D11941" s="25" t="s">
        <v>37798</v>
      </c>
      <c r="E11941" s="28">
        <v>0.14000</v>
      </c>
      <c r="F11941" s="29">
        <f ca="1">F11945</f>
        <v>0</v>
      </c>
      <c r="G11941" s="27">
        <f ca="1">ROUND(E11941*F11941,2)</f>
        <v>0</v>
      </c>
    </row>
    <row r="11942" spans="1:7" ht="24.36" thickBot="1" customHeight="1">
      <c r="A11942" s="24" t="s">
        <v>37799</v>
      </c>
      <c r="B11942" s="24" t="s">
        <v>37800</v>
      </c>
      <c r="C11942" s="24" t="s">
        <v>37801</v>
      </c>
      <c r="D11942" s="25" t="s">
        <v>37802</v>
      </c>
      <c r="E11942" s="28">
        <v>1.00000</v>
      </c>
      <c r="F11942" s="29">
        <f ca="1">ROUND(21.000,3)</f>
        <v>0</v>
      </c>
      <c r="G11942" s="27">
        <f ca="1">ROUND(E11942*F11942,2)</f>
        <v>0</v>
      </c>
    </row>
    <row r="11943" spans="1:7" ht="24.36" thickBot="1" customHeight="1">
      <c r="A11943" s="24" t="s">
        <v>37803</v>
      </c>
      <c r="B11943" s="24" t="s">
        <v>37804</v>
      </c>
      <c r="C11943" s="24" t="s">
        <v>37805</v>
      </c>
      <c r="D11943" s="25" t="s">
        <v>37806</v>
      </c>
      <c r="E11943" s="28">
        <v>1.00000</v>
      </c>
      <c r="F11943" s="29">
        <f ca="1">ROUND(19.000,3)</f>
        <v>0</v>
      </c>
      <c r="G11943" s="27">
        <f ca="1">ROUND(E11943*F11943,2)</f>
        <v>0</v>
      </c>
    </row>
    <row r="11944" spans="1:7" ht="24.36" thickBot="1" customHeight="1">
      <c r="A11944" s="24" t="s">
        <v>37807</v>
      </c>
      <c r="B11944" s="24" t="s">
        <v>37808</v>
      </c>
      <c r="C11944" s="24" t="s">
        <v>37809</v>
      </c>
      <c r="D11944" s="25" t="s">
        <v>37810</v>
      </c>
      <c r="E11944" s="28">
        <v>0.20000</v>
      </c>
      <c r="F11944" s="29">
        <f ca="1">ROUND(19.000,3)</f>
        <v>0</v>
      </c>
      <c r="G11944" s="27">
        <f ca="1">ROUND(E11944*F11944,2)</f>
        <v>0</v>
      </c>
    </row>
    <row r="11945" spans="1:7" ht="15.12" thickBot="1" customHeight="1">
      <c r="A11945" s="26"/>
      <c r="B11945" s="26"/>
      <c r="C11945" s="26"/>
      <c r="D11945" s="24" t="s">
        <v>37811</v>
      </c>
      <c r="E11945" s="28">
        <v>0.14000</v>
      </c>
      <c r="F11945" s="29">
        <f ca="1">ROUND((G11942+G11943+G11944),3)</f>
        <v>0</v>
      </c>
      <c r="G11945" s="27">
        <f ca="1">ROUND(E11945*F11945,2)</f>
        <v>0</v>
      </c>
    </row>
    <row r="11946" spans="1:7" ht="15.12" thickBot="1" customHeight="1">
      <c r="A11946" s="24" t="s">
        <v>37812</v>
      </c>
      <c r="B11946" s="24"/>
      <c r="C11946" s="24" t="s">
        <v>37813</v>
      </c>
      <c r="D11946" s="25" t="s">
        <v>37814</v>
      </c>
      <c r="E11946" s="28">
        <v>3.00000</v>
      </c>
      <c r="F11946" s="29">
        <f ca="1">ROUND(6.130,3)</f>
        <v>0</v>
      </c>
      <c r="G11946" s="27">
        <f ca="1">ROUND((E11946*F11946)/100,2)</f>
        <v>0</v>
      </c>
    </row>
    <row r="11947" spans="1:7" ht="15.48" thickBot="1" customHeight="1">
      <c r="A11947" s="30"/>
      <c r="B11947" s="30"/>
      <c r="C11947" s="30"/>
      <c r="D11947" s="31" t="s">
        <v>37815</v>
      </c>
      <c r="E11947" s="30"/>
      <c r="F11947" s="33">
        <f ca="1">ROUND((G11940+G11941+G11946)*(1+G2/100),2)</f>
        <v>0</v>
      </c>
      <c r="G11947" s="30"/>
    </row>
    <row r="11948" spans="1:7" ht="30.60" thickBot="1" customHeight="1">
      <c r="A11948" s="34" t="s">
        <v>37816</v>
      </c>
      <c r="B11948" s="35" t="s">
        <v>37817</v>
      </c>
      <c r="C11948" s="35" t="s">
        <v>37818</v>
      </c>
      <c r="D11948" s="36" t="s">
        <v>37819</v>
      </c>
      <c r="E11948" s="37"/>
      <c r="F11948" s="38">
        <f ca="1">F11958</f>
        <v>0</v>
      </c>
      <c r="G11948" s="37"/>
    </row>
    <row r="11949" spans="1:7" ht="30.60" thickBot="1" customHeight="1">
      <c r="A11949" s="26"/>
      <c r="B11949" s="26"/>
      <c r="C11949" s="26"/>
      <c r="D11949" s="25" t="s">
        <v>37820</v>
      </c>
      <c r="E11949" s="25"/>
      <c r="F11949" s="25"/>
      <c r="G11949" s="25"/>
    </row>
    <row r="11950" spans="1:7" ht="39.84" thickBot="1" customHeight="1">
      <c r="A11950" s="24" t="s">
        <v>37821</v>
      </c>
      <c r="B11950" s="24" t="s">
        <v>37822</v>
      </c>
      <c r="C11950" s="24" t="s">
        <v>37823</v>
      </c>
      <c r="D11950" s="25" t="s">
        <v>37824</v>
      </c>
      <c r="E11950" s="28">
        <v>0.00840</v>
      </c>
      <c r="F11950" s="29">
        <f ca="1">ROUND(36.060,3)</f>
        <v>0</v>
      </c>
      <c r="G11950" s="27">
        <f ca="1">ROUND(E11950*F11950,2)</f>
        <v>0</v>
      </c>
    </row>
    <row r="11951" spans="1:7" ht="39.84" thickBot="1" customHeight="1">
      <c r="A11951" s="24" t="s">
        <v>37825</v>
      </c>
      <c r="B11951" s="24" t="s">
        <v>37826</v>
      </c>
      <c r="C11951" s="24" t="s">
        <v>37827</v>
      </c>
      <c r="D11951" s="25" t="s">
        <v>37828</v>
      </c>
      <c r="E11951" s="28">
        <v>0.00540</v>
      </c>
      <c r="F11951" s="29">
        <f ca="1">ROUND(53.440,3)</f>
        <v>0</v>
      </c>
      <c r="G11951" s="27">
        <f ca="1">ROUND(E11951*F11951,2)</f>
        <v>0</v>
      </c>
    </row>
    <row r="11952" spans="1:7" ht="21.36" thickBot="1" customHeight="1">
      <c r="A11952" s="24" t="s">
        <v>37829</v>
      </c>
      <c r="B11952" s="24" t="s">
        <v>37830</v>
      </c>
      <c r="C11952" s="24" t="s">
        <v>37831</v>
      </c>
      <c r="D11952" s="25" t="s">
        <v>37832</v>
      </c>
      <c r="E11952" s="28">
        <v>0.11000</v>
      </c>
      <c r="F11952" s="29">
        <f ca="1">F11956</f>
        <v>0</v>
      </c>
      <c r="G11952" s="27">
        <f ca="1">ROUND(E11952*F11952,2)</f>
        <v>0</v>
      </c>
    </row>
    <row r="11953" spans="1:7" ht="24.36" thickBot="1" customHeight="1">
      <c r="A11953" s="24" t="s">
        <v>37833</v>
      </c>
      <c r="B11953" s="24" t="s">
        <v>37834</v>
      </c>
      <c r="C11953" s="24" t="s">
        <v>37835</v>
      </c>
      <c r="D11953" s="25" t="s">
        <v>37836</v>
      </c>
      <c r="E11953" s="28">
        <v>1.00000</v>
      </c>
      <c r="F11953" s="29">
        <f ca="1">ROUND(21.000,3)</f>
        <v>0</v>
      </c>
      <c r="G11953" s="27">
        <f ca="1">ROUND(E11953*F11953,2)</f>
        <v>0</v>
      </c>
    </row>
    <row r="11954" spans="1:7" ht="24.36" thickBot="1" customHeight="1">
      <c r="A11954" s="24" t="s">
        <v>37837</v>
      </c>
      <c r="B11954" s="24" t="s">
        <v>37838</v>
      </c>
      <c r="C11954" s="24" t="s">
        <v>37839</v>
      </c>
      <c r="D11954" s="25" t="s">
        <v>37840</v>
      </c>
      <c r="E11954" s="28">
        <v>1.00000</v>
      </c>
      <c r="F11954" s="29">
        <f ca="1">ROUND(19.000,3)</f>
        <v>0</v>
      </c>
      <c r="G11954" s="27">
        <f ca="1">ROUND(E11954*F11954,2)</f>
        <v>0</v>
      </c>
    </row>
    <row r="11955" spans="1:7" ht="24.36" thickBot="1" customHeight="1">
      <c r="A11955" s="24" t="s">
        <v>37841</v>
      </c>
      <c r="B11955" s="24" t="s">
        <v>37842</v>
      </c>
      <c r="C11955" s="24" t="s">
        <v>37843</v>
      </c>
      <c r="D11955" s="25" t="s">
        <v>37844</v>
      </c>
      <c r="E11955" s="28">
        <v>0.20000</v>
      </c>
      <c r="F11955" s="29">
        <f ca="1">ROUND(19.000,3)</f>
        <v>0</v>
      </c>
      <c r="G11955" s="27">
        <f ca="1">ROUND(E11955*F11955,2)</f>
        <v>0</v>
      </c>
    </row>
    <row r="11956" spans="1:7" ht="15.12" thickBot="1" customHeight="1">
      <c r="A11956" s="26"/>
      <c r="B11956" s="26"/>
      <c r="C11956" s="26"/>
      <c r="D11956" s="24" t="s">
        <v>37845</v>
      </c>
      <c r="E11956" s="28">
        <v>0.11000</v>
      </c>
      <c r="F11956" s="29">
        <f ca="1">ROUND((G11953+G11954+G11955),3)</f>
        <v>0</v>
      </c>
      <c r="G11956" s="27">
        <f ca="1">ROUND(E11956*F11956,2)</f>
        <v>0</v>
      </c>
    </row>
    <row r="11957" spans="1:7" ht="15.12" thickBot="1" customHeight="1">
      <c r="A11957" s="24" t="s">
        <v>37846</v>
      </c>
      <c r="B11957" s="24"/>
      <c r="C11957" s="24" t="s">
        <v>37847</v>
      </c>
      <c r="D11957" s="25" t="s">
        <v>37848</v>
      </c>
      <c r="E11957" s="28">
        <v>3.00000</v>
      </c>
      <c r="F11957" s="29">
        <f ca="1">ROUND(4.820,3)</f>
        <v>0</v>
      </c>
      <c r="G11957" s="27">
        <f ca="1">ROUND((E11957*F11957)/100,2)</f>
        <v>0</v>
      </c>
    </row>
    <row r="11958" spans="1:7" ht="15.48" thickBot="1" customHeight="1">
      <c r="A11958" s="30"/>
      <c r="B11958" s="30"/>
      <c r="C11958" s="30"/>
      <c r="D11958" s="31" t="s">
        <v>37849</v>
      </c>
      <c r="E11958" s="30"/>
      <c r="F11958" s="33">
        <f ca="1">ROUND((G11950+G11951+G11952+G11957)*(1+G2/100),2)</f>
        <v>0</v>
      </c>
      <c r="G11958" s="30"/>
    </row>
    <row r="11959" spans="1:7" ht="30.60" thickBot="1" customHeight="1">
      <c r="A11959" s="34" t="s">
        <v>37850</v>
      </c>
      <c r="B11959" s="35" t="s">
        <v>37851</v>
      </c>
      <c r="C11959" s="35" t="s">
        <v>37852</v>
      </c>
      <c r="D11959" s="36" t="s">
        <v>37853</v>
      </c>
      <c r="E11959" s="37"/>
      <c r="F11959" s="38">
        <f ca="1">F11969</f>
        <v>0</v>
      </c>
      <c r="G11959" s="37"/>
    </row>
    <row r="11960" spans="1:7" ht="30.60" thickBot="1" customHeight="1">
      <c r="A11960" s="26"/>
      <c r="B11960" s="26"/>
      <c r="C11960" s="26"/>
      <c r="D11960" s="25" t="s">
        <v>37854</v>
      </c>
      <c r="E11960" s="25"/>
      <c r="F11960" s="25"/>
      <c r="G11960" s="25"/>
    </row>
    <row r="11961" spans="1:7" ht="39.84" thickBot="1" customHeight="1">
      <c r="A11961" s="24" t="s">
        <v>37855</v>
      </c>
      <c r="B11961" s="24" t="s">
        <v>37856</v>
      </c>
      <c r="C11961" s="24" t="s">
        <v>37857</v>
      </c>
      <c r="D11961" s="25" t="s">
        <v>37858</v>
      </c>
      <c r="E11961" s="28">
        <v>0.00840</v>
      </c>
      <c r="F11961" s="29">
        <f ca="1">ROUND(36.060,3)</f>
        <v>0</v>
      </c>
      <c r="G11961" s="27">
        <f ca="1">ROUND(E11961*F11961,2)</f>
        <v>0</v>
      </c>
    </row>
    <row r="11962" spans="1:7" ht="39.84" thickBot="1" customHeight="1">
      <c r="A11962" s="24" t="s">
        <v>37859</v>
      </c>
      <c r="B11962" s="24" t="s">
        <v>37860</v>
      </c>
      <c r="C11962" s="24" t="s">
        <v>37861</v>
      </c>
      <c r="D11962" s="25" t="s">
        <v>37862</v>
      </c>
      <c r="E11962" s="28">
        <v>0.00540</v>
      </c>
      <c r="F11962" s="29">
        <f ca="1">ROUND(53.440,3)</f>
        <v>0</v>
      </c>
      <c r="G11962" s="27">
        <f ca="1">ROUND(E11962*F11962,2)</f>
        <v>0</v>
      </c>
    </row>
    <row r="11963" spans="1:7" ht="24.36" thickBot="1" customHeight="1">
      <c r="A11963" s="24" t="s">
        <v>37863</v>
      </c>
      <c r="B11963" s="24" t="s">
        <v>37864</v>
      </c>
      <c r="C11963" s="24" t="s">
        <v>37865</v>
      </c>
      <c r="D11963" s="25" t="s">
        <v>37866</v>
      </c>
      <c r="E11963" s="28">
        <v>0.23000</v>
      </c>
      <c r="F11963" s="29">
        <f ca="1">F11967</f>
        <v>0</v>
      </c>
      <c r="G11963" s="27">
        <f ca="1">ROUND(E11963*F11963,2)</f>
        <v>0</v>
      </c>
    </row>
    <row r="11964" spans="1:7" ht="24.36" thickBot="1" customHeight="1">
      <c r="A11964" s="24" t="s">
        <v>37867</v>
      </c>
      <c r="B11964" s="24" t="s">
        <v>37868</v>
      </c>
      <c r="C11964" s="24" t="s">
        <v>37869</v>
      </c>
      <c r="D11964" s="25" t="s">
        <v>37870</v>
      </c>
      <c r="E11964" s="28">
        <v>1.00000</v>
      </c>
      <c r="F11964" s="29">
        <f ca="1">ROUND(21.000,3)</f>
        <v>0</v>
      </c>
      <c r="G11964" s="27">
        <f ca="1">ROUND(E11964*F11964,2)</f>
        <v>0</v>
      </c>
    </row>
    <row r="11965" spans="1:7" ht="24.36" thickBot="1" customHeight="1">
      <c r="A11965" s="24" t="s">
        <v>37871</v>
      </c>
      <c r="B11965" s="24" t="s">
        <v>37872</v>
      </c>
      <c r="C11965" s="24" t="s">
        <v>37873</v>
      </c>
      <c r="D11965" s="25" t="s">
        <v>37874</v>
      </c>
      <c r="E11965" s="28">
        <v>1.00000</v>
      </c>
      <c r="F11965" s="29">
        <f ca="1">ROUND(19.000,3)</f>
        <v>0</v>
      </c>
      <c r="G11965" s="27">
        <f ca="1">ROUND(E11965*F11965,2)</f>
        <v>0</v>
      </c>
    </row>
    <row r="11966" spans="1:7" ht="24.36" thickBot="1" customHeight="1">
      <c r="A11966" s="24" t="s">
        <v>37875</v>
      </c>
      <c r="B11966" s="24" t="s">
        <v>37876</v>
      </c>
      <c r="C11966" s="24" t="s">
        <v>37877</v>
      </c>
      <c r="D11966" s="25" t="s">
        <v>37878</v>
      </c>
      <c r="E11966" s="28">
        <v>0.50000</v>
      </c>
      <c r="F11966" s="29">
        <f ca="1">ROUND(19.000,3)</f>
        <v>0</v>
      </c>
      <c r="G11966" s="27">
        <f ca="1">ROUND(E11966*F11966,2)</f>
        <v>0</v>
      </c>
    </row>
    <row r="11967" spans="1:7" ht="15.12" thickBot="1" customHeight="1">
      <c r="A11967" s="26"/>
      <c r="B11967" s="26"/>
      <c r="C11967" s="26"/>
      <c r="D11967" s="24" t="s">
        <v>37879</v>
      </c>
      <c r="E11967" s="28">
        <v>0.23000</v>
      </c>
      <c r="F11967" s="29">
        <f ca="1">ROUND((G11964+G11965+G11966),3)</f>
        <v>0</v>
      </c>
      <c r="G11967" s="27">
        <f ca="1">ROUND(E11967*F11967,2)</f>
        <v>0</v>
      </c>
    </row>
    <row r="11968" spans="1:7" ht="15.12" thickBot="1" customHeight="1">
      <c r="A11968" s="24" t="s">
        <v>37880</v>
      </c>
      <c r="B11968" s="24"/>
      <c r="C11968" s="24" t="s">
        <v>37881</v>
      </c>
      <c r="D11968" s="25" t="s">
        <v>37882</v>
      </c>
      <c r="E11968" s="28">
        <v>3.00000</v>
      </c>
      <c r="F11968" s="29">
        <f ca="1">ROUND(11.390,3)</f>
        <v>0</v>
      </c>
      <c r="G11968" s="27">
        <f ca="1">ROUND((E11968*F11968)/100,2)</f>
        <v>0</v>
      </c>
    </row>
    <row r="11969" spans="1:7" ht="15.48" thickBot="1" customHeight="1">
      <c r="A11969" s="30"/>
      <c r="B11969" s="30"/>
      <c r="C11969" s="30"/>
      <c r="D11969" s="31" t="s">
        <v>37883</v>
      </c>
      <c r="E11969" s="30"/>
      <c r="F11969" s="33">
        <f ca="1">ROUND((G11961+G11962+G11963+G11968)*(1+G2/100),2)</f>
        <v>0</v>
      </c>
      <c r="G11969" s="30"/>
    </row>
    <row r="11970" spans="1:7" ht="21.36" thickBot="1" customHeight="1">
      <c r="A11970" s="34" t="s">
        <v>37884</v>
      </c>
      <c r="B11970" s="35" t="s">
        <v>37885</v>
      </c>
      <c r="C11970" s="35" t="s">
        <v>37886</v>
      </c>
      <c r="D11970" s="36" t="s">
        <v>37887</v>
      </c>
      <c r="E11970" s="37"/>
      <c r="F11970" s="38">
        <f ca="1">F11980</f>
        <v>0</v>
      </c>
      <c r="G11970" s="37"/>
    </row>
    <row r="11971" spans="1:7" ht="12.12" thickBot="1" customHeight="1">
      <c r="A11971" s="26"/>
      <c r="B11971" s="26"/>
      <c r="C11971" s="26"/>
      <c r="D11971" s="25" t="s">
        <v>37888</v>
      </c>
      <c r="E11971" s="25"/>
      <c r="F11971" s="25"/>
      <c r="G11971" s="25"/>
    </row>
    <row r="11972" spans="1:7" ht="39.84" thickBot="1" customHeight="1">
      <c r="A11972" s="24" t="s">
        <v>37889</v>
      </c>
      <c r="B11972" s="24" t="s">
        <v>37890</v>
      </c>
      <c r="C11972" s="24" t="s">
        <v>37891</v>
      </c>
      <c r="D11972" s="25" t="s">
        <v>37892</v>
      </c>
      <c r="E11972" s="28">
        <v>0.03040</v>
      </c>
      <c r="F11972" s="29">
        <f ca="1">ROUND(36.060,3)</f>
        <v>0</v>
      </c>
      <c r="G11972" s="27">
        <f ca="1">ROUND(E11972*F11972,2)</f>
        <v>0</v>
      </c>
    </row>
    <row r="11973" spans="1:7" ht="39.84" thickBot="1" customHeight="1">
      <c r="A11973" s="24" t="s">
        <v>37893</v>
      </c>
      <c r="B11973" s="24" t="s">
        <v>37894</v>
      </c>
      <c r="C11973" s="24" t="s">
        <v>37895</v>
      </c>
      <c r="D11973" s="25" t="s">
        <v>37896</v>
      </c>
      <c r="E11973" s="28">
        <v>0.02375</v>
      </c>
      <c r="F11973" s="29">
        <f ca="1">ROUND(53.440,3)</f>
        <v>0</v>
      </c>
      <c r="G11973" s="27">
        <f ca="1">ROUND(E11973*F11973,2)</f>
        <v>0</v>
      </c>
    </row>
    <row r="11974" spans="1:7" ht="21.36" thickBot="1" customHeight="1">
      <c r="A11974" s="24" t="s">
        <v>37897</v>
      </c>
      <c r="B11974" s="24" t="s">
        <v>37898</v>
      </c>
      <c r="C11974" s="24" t="s">
        <v>37899</v>
      </c>
      <c r="D11974" s="25" t="s">
        <v>37900</v>
      </c>
      <c r="E11974" s="28">
        <v>0.16000</v>
      </c>
      <c r="F11974" s="29">
        <f ca="1">F11978</f>
        <v>0</v>
      </c>
      <c r="G11974" s="27">
        <f ca="1">ROUND(E11974*F11974,2)</f>
        <v>0</v>
      </c>
    </row>
    <row r="11975" spans="1:7" ht="24.36" thickBot="1" customHeight="1">
      <c r="A11975" s="24" t="s">
        <v>37901</v>
      </c>
      <c r="B11975" s="24" t="s">
        <v>37902</v>
      </c>
      <c r="C11975" s="24" t="s">
        <v>37903</v>
      </c>
      <c r="D11975" s="25" t="s">
        <v>37904</v>
      </c>
      <c r="E11975" s="28">
        <v>1.00000</v>
      </c>
      <c r="F11975" s="29">
        <f ca="1">ROUND(21.000,3)</f>
        <v>0</v>
      </c>
      <c r="G11975" s="27">
        <f ca="1">ROUND(E11975*F11975,2)</f>
        <v>0</v>
      </c>
    </row>
    <row r="11976" spans="1:7" ht="24.36" thickBot="1" customHeight="1">
      <c r="A11976" s="24" t="s">
        <v>37905</v>
      </c>
      <c r="B11976" s="24" t="s">
        <v>37906</v>
      </c>
      <c r="C11976" s="24" t="s">
        <v>37907</v>
      </c>
      <c r="D11976" s="25" t="s">
        <v>37908</v>
      </c>
      <c r="E11976" s="28">
        <v>1.00000</v>
      </c>
      <c r="F11976" s="29">
        <f ca="1">ROUND(19.000,3)</f>
        <v>0</v>
      </c>
      <c r="G11976" s="27">
        <f ca="1">ROUND(E11976*F11976,2)</f>
        <v>0</v>
      </c>
    </row>
    <row r="11977" spans="1:7" ht="24.36" thickBot="1" customHeight="1">
      <c r="A11977" s="24" t="s">
        <v>37909</v>
      </c>
      <c r="B11977" s="24" t="s">
        <v>37910</v>
      </c>
      <c r="C11977" s="24" t="s">
        <v>37911</v>
      </c>
      <c r="D11977" s="25" t="s">
        <v>37912</v>
      </c>
      <c r="E11977" s="28">
        <v>0.20000</v>
      </c>
      <c r="F11977" s="29">
        <f ca="1">ROUND(19.000,3)</f>
        <v>0</v>
      </c>
      <c r="G11977" s="27">
        <f ca="1">ROUND(E11977*F11977,2)</f>
        <v>0</v>
      </c>
    </row>
    <row r="11978" spans="1:7" ht="15.12" thickBot="1" customHeight="1">
      <c r="A11978" s="26"/>
      <c r="B11978" s="26"/>
      <c r="C11978" s="26"/>
      <c r="D11978" s="24" t="s">
        <v>37913</v>
      </c>
      <c r="E11978" s="28">
        <v>0.16000</v>
      </c>
      <c r="F11978" s="29">
        <f ca="1">ROUND((G11975+G11976+G11977),3)</f>
        <v>0</v>
      </c>
      <c r="G11978" s="27">
        <f ca="1">ROUND(E11978*F11978,2)</f>
        <v>0</v>
      </c>
    </row>
    <row r="11979" spans="1:7" ht="15.12" thickBot="1" customHeight="1">
      <c r="A11979" s="24" t="s">
        <v>37914</v>
      </c>
      <c r="B11979" s="24"/>
      <c r="C11979" s="24" t="s">
        <v>37915</v>
      </c>
      <c r="D11979" s="25" t="s">
        <v>37916</v>
      </c>
      <c r="E11979" s="28">
        <v>3.00000</v>
      </c>
      <c r="F11979" s="29">
        <f ca="1">ROUND(7.010,3)</f>
        <v>0</v>
      </c>
      <c r="G11979" s="27">
        <f ca="1">ROUND((E11979*F11979)/100,2)</f>
        <v>0</v>
      </c>
    </row>
    <row r="11980" spans="1:7" ht="15.48" thickBot="1" customHeight="1">
      <c r="A11980" s="30"/>
      <c r="B11980" s="30"/>
      <c r="C11980" s="30"/>
      <c r="D11980" s="31" t="s">
        <v>37917</v>
      </c>
      <c r="E11980" s="30"/>
      <c r="F11980" s="33">
        <f ca="1">ROUND((G11972+G11973+G11974+G11979)*(1+G2/100),2)</f>
        <v>0</v>
      </c>
      <c r="G11980" s="30"/>
    </row>
    <row r="11981" spans="1:7" ht="30.60" thickBot="1" customHeight="1">
      <c r="A11981" s="34" t="s">
        <v>37918</v>
      </c>
      <c r="B11981" s="35" t="s">
        <v>37919</v>
      </c>
      <c r="C11981" s="35" t="s">
        <v>37920</v>
      </c>
      <c r="D11981" s="36" t="s">
        <v>37921</v>
      </c>
      <c r="E11981" s="37"/>
      <c r="F11981" s="38">
        <f ca="1">F11991</f>
        <v>0</v>
      </c>
      <c r="G11981" s="37"/>
    </row>
    <row r="11982" spans="1:7" ht="12.12" thickBot="1" customHeight="1">
      <c r="A11982" s="26"/>
      <c r="B11982" s="26"/>
      <c r="C11982" s="26"/>
      <c r="D11982" s="25" t="s">
        <v>37922</v>
      </c>
      <c r="E11982" s="25"/>
      <c r="F11982" s="25"/>
      <c r="G11982" s="25"/>
    </row>
    <row r="11983" spans="1:7" ht="39.84" thickBot="1" customHeight="1">
      <c r="A11983" s="24" t="s">
        <v>37923</v>
      </c>
      <c r="B11983" s="24" t="s">
        <v>37924</v>
      </c>
      <c r="C11983" s="24" t="s">
        <v>37925</v>
      </c>
      <c r="D11983" s="25" t="s">
        <v>37926</v>
      </c>
      <c r="E11983" s="28">
        <v>0.03040</v>
      </c>
      <c r="F11983" s="29">
        <f ca="1">ROUND(36.060,3)</f>
        <v>0</v>
      </c>
      <c r="G11983" s="27">
        <f ca="1">ROUND(E11983*F11983,2)</f>
        <v>0</v>
      </c>
    </row>
    <row r="11984" spans="1:7" ht="39.84" thickBot="1" customHeight="1">
      <c r="A11984" s="24" t="s">
        <v>37927</v>
      </c>
      <c r="B11984" s="24" t="s">
        <v>37928</v>
      </c>
      <c r="C11984" s="24" t="s">
        <v>37929</v>
      </c>
      <c r="D11984" s="25" t="s">
        <v>37930</v>
      </c>
      <c r="E11984" s="28">
        <v>0.02375</v>
      </c>
      <c r="F11984" s="29">
        <f ca="1">ROUND(53.440,3)</f>
        <v>0</v>
      </c>
      <c r="G11984" s="27">
        <f ca="1">ROUND(E11984*F11984,2)</f>
        <v>0</v>
      </c>
    </row>
    <row r="11985" spans="1:7" ht="24.36" thickBot="1" customHeight="1">
      <c r="A11985" s="24" t="s">
        <v>37931</v>
      </c>
      <c r="B11985" s="24" t="s">
        <v>37932</v>
      </c>
      <c r="C11985" s="24" t="s">
        <v>37933</v>
      </c>
      <c r="D11985" s="25" t="s">
        <v>37934</v>
      </c>
      <c r="E11985" s="28">
        <v>0.24000</v>
      </c>
      <c r="F11985" s="29">
        <f ca="1">F11989</f>
        <v>0</v>
      </c>
      <c r="G11985" s="27">
        <f ca="1">ROUND(E11985*F11985,2)</f>
        <v>0</v>
      </c>
    </row>
    <row r="11986" spans="1:7" ht="24.36" thickBot="1" customHeight="1">
      <c r="A11986" s="24" t="s">
        <v>37935</v>
      </c>
      <c r="B11986" s="24" t="s">
        <v>37936</v>
      </c>
      <c r="C11986" s="24" t="s">
        <v>37937</v>
      </c>
      <c r="D11986" s="25" t="s">
        <v>37938</v>
      </c>
      <c r="E11986" s="28">
        <v>1.00000</v>
      </c>
      <c r="F11986" s="29">
        <f ca="1">ROUND(21.000,3)</f>
        <v>0</v>
      </c>
      <c r="G11986" s="27">
        <f ca="1">ROUND(E11986*F11986,2)</f>
        <v>0</v>
      </c>
    </row>
    <row r="11987" spans="1:7" ht="24.36" thickBot="1" customHeight="1">
      <c r="A11987" s="24" t="s">
        <v>37939</v>
      </c>
      <c r="B11987" s="24" t="s">
        <v>37940</v>
      </c>
      <c r="C11987" s="24" t="s">
        <v>37941</v>
      </c>
      <c r="D11987" s="25" t="s">
        <v>37942</v>
      </c>
      <c r="E11987" s="28">
        <v>1.00000</v>
      </c>
      <c r="F11987" s="29">
        <f ca="1">ROUND(19.000,3)</f>
        <v>0</v>
      </c>
      <c r="G11987" s="27">
        <f ca="1">ROUND(E11987*F11987,2)</f>
        <v>0</v>
      </c>
    </row>
    <row r="11988" spans="1:7" ht="24.36" thickBot="1" customHeight="1">
      <c r="A11988" s="24" t="s">
        <v>37943</v>
      </c>
      <c r="B11988" s="24" t="s">
        <v>37944</v>
      </c>
      <c r="C11988" s="24" t="s">
        <v>37945</v>
      </c>
      <c r="D11988" s="25" t="s">
        <v>37946</v>
      </c>
      <c r="E11988" s="28">
        <v>0.50000</v>
      </c>
      <c r="F11988" s="29">
        <f ca="1">ROUND(19.000,3)</f>
        <v>0</v>
      </c>
      <c r="G11988" s="27">
        <f ca="1">ROUND(E11988*F11988,2)</f>
        <v>0</v>
      </c>
    </row>
    <row r="11989" spans="1:7" ht="15.12" thickBot="1" customHeight="1">
      <c r="A11989" s="26"/>
      <c r="B11989" s="26"/>
      <c r="C11989" s="26"/>
      <c r="D11989" s="24" t="s">
        <v>37947</v>
      </c>
      <c r="E11989" s="28">
        <v>0.24000</v>
      </c>
      <c r="F11989" s="29">
        <f ca="1">ROUND((G11986+G11987+G11988),3)</f>
        <v>0</v>
      </c>
      <c r="G11989" s="27">
        <f ca="1">ROUND(E11989*F11989,2)</f>
        <v>0</v>
      </c>
    </row>
    <row r="11990" spans="1:7" ht="15.12" thickBot="1" customHeight="1">
      <c r="A11990" s="24" t="s">
        <v>37948</v>
      </c>
      <c r="B11990" s="24"/>
      <c r="C11990" s="24" t="s">
        <v>37949</v>
      </c>
      <c r="D11990" s="25" t="s">
        <v>37950</v>
      </c>
      <c r="E11990" s="28">
        <v>3.00000</v>
      </c>
      <c r="F11990" s="29">
        <f ca="1">ROUND(11.880,3)</f>
        <v>0</v>
      </c>
      <c r="G11990" s="27">
        <f ca="1">ROUND((E11990*F11990)/100,2)</f>
        <v>0</v>
      </c>
    </row>
    <row r="11991" spans="1:7" ht="15.48" thickBot="1" customHeight="1">
      <c r="A11991" s="30"/>
      <c r="B11991" s="30"/>
      <c r="C11991" s="30"/>
      <c r="D11991" s="31" t="s">
        <v>37951</v>
      </c>
      <c r="E11991" s="30"/>
      <c r="F11991" s="33">
        <f ca="1">ROUND((G11983+G11984+G11985+G11990)*(1+G2/100),2)</f>
        <v>0</v>
      </c>
      <c r="G11991" s="30"/>
    </row>
    <row r="11992" spans="1:7" ht="21.36" thickBot="1" customHeight="1">
      <c r="A11992" s="34" t="s">
        <v>37952</v>
      </c>
      <c r="B11992" s="35" t="s">
        <v>37953</v>
      </c>
      <c r="C11992" s="35" t="s">
        <v>37954</v>
      </c>
      <c r="D11992" s="36" t="s">
        <v>37955</v>
      </c>
      <c r="E11992" s="37"/>
      <c r="F11992" s="38">
        <f ca="1">F12002</f>
        <v>0</v>
      </c>
      <c r="G11992" s="37"/>
    </row>
    <row r="11993" spans="1:7" ht="12.12" thickBot="1" customHeight="1">
      <c r="A11993" s="26"/>
      <c r="B11993" s="26"/>
      <c r="C11993" s="26"/>
      <c r="D11993" s="25" t="s">
        <v>37956</v>
      </c>
      <c r="E11993" s="25"/>
      <c r="F11993" s="25"/>
      <c r="G11993" s="25"/>
    </row>
    <row r="11994" spans="1:7" ht="39.84" thickBot="1" customHeight="1">
      <c r="A11994" s="24" t="s">
        <v>37957</v>
      </c>
      <c r="B11994" s="24" t="s">
        <v>37958</v>
      </c>
      <c r="C11994" s="24" t="s">
        <v>37959</v>
      </c>
      <c r="D11994" s="25" t="s">
        <v>37960</v>
      </c>
      <c r="E11994" s="28">
        <v>0.04080</v>
      </c>
      <c r="F11994" s="29">
        <f ca="1">ROUND(36.060,3)</f>
        <v>0</v>
      </c>
      <c r="G11994" s="27">
        <f ca="1">ROUND(E11994*F11994,2)</f>
        <v>0</v>
      </c>
    </row>
    <row r="11995" spans="1:7" ht="39.84" thickBot="1" customHeight="1">
      <c r="A11995" s="24" t="s">
        <v>37961</v>
      </c>
      <c r="B11995" s="24" t="s">
        <v>37962</v>
      </c>
      <c r="C11995" s="24" t="s">
        <v>37963</v>
      </c>
      <c r="D11995" s="25" t="s">
        <v>37964</v>
      </c>
      <c r="E11995" s="28">
        <v>0.03188</v>
      </c>
      <c r="F11995" s="29">
        <f ca="1">ROUND(53.440,3)</f>
        <v>0</v>
      </c>
      <c r="G11995" s="27">
        <f ca="1">ROUND(E11995*F11995,2)</f>
        <v>0</v>
      </c>
    </row>
    <row r="11996" spans="1:7" ht="21.36" thickBot="1" customHeight="1">
      <c r="A11996" s="24" t="s">
        <v>37965</v>
      </c>
      <c r="B11996" s="24" t="s">
        <v>37966</v>
      </c>
      <c r="C11996" s="24" t="s">
        <v>37967</v>
      </c>
      <c r="D11996" s="25" t="s">
        <v>37968</v>
      </c>
      <c r="E11996" s="28">
        <v>0.26660</v>
      </c>
      <c r="F11996" s="29">
        <f ca="1">F12000</f>
        <v>0</v>
      </c>
      <c r="G11996" s="27">
        <f ca="1">ROUND(E11996*F11996,2)</f>
        <v>0</v>
      </c>
    </row>
    <row r="11997" spans="1:7" ht="24.36" thickBot="1" customHeight="1">
      <c r="A11997" s="24" t="s">
        <v>37969</v>
      </c>
      <c r="B11997" s="24" t="s">
        <v>37970</v>
      </c>
      <c r="C11997" s="24" t="s">
        <v>37971</v>
      </c>
      <c r="D11997" s="25" t="s">
        <v>37972</v>
      </c>
      <c r="E11997" s="28">
        <v>1.00000</v>
      </c>
      <c r="F11997" s="29">
        <f ca="1">ROUND(21.000,3)</f>
        <v>0</v>
      </c>
      <c r="G11997" s="27">
        <f ca="1">ROUND(E11997*F11997,2)</f>
        <v>0</v>
      </c>
    </row>
    <row r="11998" spans="1:7" ht="24.36" thickBot="1" customHeight="1">
      <c r="A11998" s="24" t="s">
        <v>37973</v>
      </c>
      <c r="B11998" s="24" t="s">
        <v>37974</v>
      </c>
      <c r="C11998" s="24" t="s">
        <v>37975</v>
      </c>
      <c r="D11998" s="25" t="s">
        <v>37976</v>
      </c>
      <c r="E11998" s="28">
        <v>1.00000</v>
      </c>
      <c r="F11998" s="29">
        <f ca="1">ROUND(19.000,3)</f>
        <v>0</v>
      </c>
      <c r="G11998" s="27">
        <f ca="1">ROUND(E11998*F11998,2)</f>
        <v>0</v>
      </c>
    </row>
    <row r="11999" spans="1:7" ht="24.36" thickBot="1" customHeight="1">
      <c r="A11999" s="24" t="s">
        <v>37977</v>
      </c>
      <c r="B11999" s="24" t="s">
        <v>37978</v>
      </c>
      <c r="C11999" s="24" t="s">
        <v>37979</v>
      </c>
      <c r="D11999" s="25" t="s">
        <v>37980</v>
      </c>
      <c r="E11999" s="28">
        <v>0.20000</v>
      </c>
      <c r="F11999" s="29">
        <f ca="1">ROUND(19.000,3)</f>
        <v>0</v>
      </c>
      <c r="G11999" s="27">
        <f ca="1">ROUND(E11999*F11999,2)</f>
        <v>0</v>
      </c>
    </row>
    <row r="12000" spans="1:7" ht="15.12" thickBot="1" customHeight="1">
      <c r="A12000" s="26"/>
      <c r="B12000" s="26"/>
      <c r="C12000" s="26"/>
      <c r="D12000" s="24" t="s">
        <v>37981</v>
      </c>
      <c r="E12000" s="28">
        <v>0.26660</v>
      </c>
      <c r="F12000" s="29">
        <f ca="1">ROUND((G11997+G11998+G11999),3)</f>
        <v>0</v>
      </c>
      <c r="G12000" s="27">
        <f ca="1">ROUND(E12000*F12000,2)</f>
        <v>0</v>
      </c>
    </row>
    <row r="12001" spans="1:7" ht="15.12" thickBot="1" customHeight="1">
      <c r="A12001" s="24" t="s">
        <v>37982</v>
      </c>
      <c r="B12001" s="24"/>
      <c r="C12001" s="24" t="s">
        <v>37983</v>
      </c>
      <c r="D12001" s="25" t="s">
        <v>37984</v>
      </c>
      <c r="E12001" s="28">
        <v>3.00000</v>
      </c>
      <c r="F12001" s="29">
        <f ca="1">ROUND(11.680,3)</f>
        <v>0</v>
      </c>
      <c r="G12001" s="27">
        <f ca="1">ROUND((E12001*F12001)/100,2)</f>
        <v>0</v>
      </c>
    </row>
    <row r="12002" spans="1:7" ht="15.48" thickBot="1" customHeight="1">
      <c r="A12002" s="30"/>
      <c r="B12002" s="30"/>
      <c r="C12002" s="30"/>
      <c r="D12002" s="31" t="s">
        <v>37985</v>
      </c>
      <c r="E12002" s="30"/>
      <c r="F12002" s="33">
        <f ca="1">ROUND((G11994+G11995+G11996+G12001)*(1+G2/100),2)</f>
        <v>0</v>
      </c>
      <c r="G12002" s="30"/>
    </row>
    <row r="12003" spans="1:7" ht="30.60" thickBot="1" customHeight="1">
      <c r="A12003" s="34" t="s">
        <v>37986</v>
      </c>
      <c r="B12003" s="35" t="s">
        <v>37987</v>
      </c>
      <c r="C12003" s="35" t="s">
        <v>37988</v>
      </c>
      <c r="D12003" s="36" t="s">
        <v>37989</v>
      </c>
      <c r="E12003" s="37"/>
      <c r="F12003" s="38">
        <f ca="1">F12013</f>
        <v>0</v>
      </c>
      <c r="G12003" s="37"/>
    </row>
    <row r="12004" spans="1:7" ht="12.12" thickBot="1" customHeight="1">
      <c r="A12004" s="26"/>
      <c r="B12004" s="26"/>
      <c r="C12004" s="26"/>
      <c r="D12004" s="25" t="s">
        <v>37990</v>
      </c>
      <c r="E12004" s="25"/>
      <c r="F12004" s="25"/>
      <c r="G12004" s="25"/>
    </row>
    <row r="12005" spans="1:7" ht="39.84" thickBot="1" customHeight="1">
      <c r="A12005" s="24" t="s">
        <v>37991</v>
      </c>
      <c r="B12005" s="24" t="s">
        <v>37992</v>
      </c>
      <c r="C12005" s="24" t="s">
        <v>37993</v>
      </c>
      <c r="D12005" s="25" t="s">
        <v>37994</v>
      </c>
      <c r="E12005" s="28">
        <v>0.04080</v>
      </c>
      <c r="F12005" s="29">
        <f ca="1">ROUND(36.060,3)</f>
        <v>0</v>
      </c>
      <c r="G12005" s="27">
        <f ca="1">ROUND(E12005*F12005,2)</f>
        <v>0</v>
      </c>
    </row>
    <row r="12006" spans="1:7" ht="39.84" thickBot="1" customHeight="1">
      <c r="A12006" s="24" t="s">
        <v>37995</v>
      </c>
      <c r="B12006" s="24" t="s">
        <v>37996</v>
      </c>
      <c r="C12006" s="24" t="s">
        <v>37997</v>
      </c>
      <c r="D12006" s="25" t="s">
        <v>37998</v>
      </c>
      <c r="E12006" s="28">
        <v>0.03188</v>
      </c>
      <c r="F12006" s="29">
        <f ca="1">ROUND(53.440,3)</f>
        <v>0</v>
      </c>
      <c r="G12006" s="27">
        <f ca="1">ROUND(E12006*F12006,2)</f>
        <v>0</v>
      </c>
    </row>
    <row r="12007" spans="1:7" ht="24.36" thickBot="1" customHeight="1">
      <c r="A12007" s="24" t="s">
        <v>37999</v>
      </c>
      <c r="B12007" s="24" t="s">
        <v>38000</v>
      </c>
      <c r="C12007" s="24" t="s">
        <v>38001</v>
      </c>
      <c r="D12007" s="25" t="s">
        <v>38002</v>
      </c>
      <c r="E12007" s="28">
        <v>0.39900</v>
      </c>
      <c r="F12007" s="29">
        <f ca="1">F12011</f>
        <v>0</v>
      </c>
      <c r="G12007" s="27">
        <f ca="1">ROUND(E12007*F12007,2)</f>
        <v>0</v>
      </c>
    </row>
    <row r="12008" spans="1:7" ht="24.36" thickBot="1" customHeight="1">
      <c r="A12008" s="24" t="s">
        <v>38003</v>
      </c>
      <c r="B12008" s="24" t="s">
        <v>38004</v>
      </c>
      <c r="C12008" s="24" t="s">
        <v>38005</v>
      </c>
      <c r="D12008" s="25" t="s">
        <v>38006</v>
      </c>
      <c r="E12008" s="28">
        <v>1.00000</v>
      </c>
      <c r="F12008" s="29">
        <f ca="1">ROUND(21.000,3)</f>
        <v>0</v>
      </c>
      <c r="G12008" s="27">
        <f ca="1">ROUND(E12008*F12008,2)</f>
        <v>0</v>
      </c>
    </row>
    <row r="12009" spans="1:7" ht="24.36" thickBot="1" customHeight="1">
      <c r="A12009" s="24" t="s">
        <v>38007</v>
      </c>
      <c r="B12009" s="24" t="s">
        <v>38008</v>
      </c>
      <c r="C12009" s="24" t="s">
        <v>38009</v>
      </c>
      <c r="D12009" s="25" t="s">
        <v>38010</v>
      </c>
      <c r="E12009" s="28">
        <v>1.00000</v>
      </c>
      <c r="F12009" s="29">
        <f ca="1">ROUND(19.000,3)</f>
        <v>0</v>
      </c>
      <c r="G12009" s="27">
        <f ca="1">ROUND(E12009*F12009,2)</f>
        <v>0</v>
      </c>
    </row>
    <row r="12010" spans="1:7" ht="24.36" thickBot="1" customHeight="1">
      <c r="A12010" s="24" t="s">
        <v>38011</v>
      </c>
      <c r="B12010" s="24" t="s">
        <v>38012</v>
      </c>
      <c r="C12010" s="24" t="s">
        <v>38013</v>
      </c>
      <c r="D12010" s="25" t="s">
        <v>38014</v>
      </c>
      <c r="E12010" s="28">
        <v>0.50000</v>
      </c>
      <c r="F12010" s="29">
        <f ca="1">ROUND(19.000,3)</f>
        <v>0</v>
      </c>
      <c r="G12010" s="27">
        <f ca="1">ROUND(E12010*F12010,2)</f>
        <v>0</v>
      </c>
    </row>
    <row r="12011" spans="1:7" ht="15.12" thickBot="1" customHeight="1">
      <c r="A12011" s="26"/>
      <c r="B12011" s="26"/>
      <c r="C12011" s="26"/>
      <c r="D12011" s="24" t="s">
        <v>38015</v>
      </c>
      <c r="E12011" s="28">
        <v>0.39900</v>
      </c>
      <c r="F12011" s="29">
        <f ca="1">ROUND((G12008+G12009+G12010),3)</f>
        <v>0</v>
      </c>
      <c r="G12011" s="27">
        <f ca="1">ROUND(E12011*F12011,2)</f>
        <v>0</v>
      </c>
    </row>
    <row r="12012" spans="1:7" ht="15.12" thickBot="1" customHeight="1">
      <c r="A12012" s="24" t="s">
        <v>38016</v>
      </c>
      <c r="B12012" s="24"/>
      <c r="C12012" s="24" t="s">
        <v>38017</v>
      </c>
      <c r="D12012" s="25" t="s">
        <v>38018</v>
      </c>
      <c r="E12012" s="28">
        <v>3.00000</v>
      </c>
      <c r="F12012" s="29">
        <f ca="1">ROUND(19.750,3)</f>
        <v>0</v>
      </c>
      <c r="G12012" s="27">
        <f ca="1">ROUND((E12012*F12012)/100,2)</f>
        <v>0</v>
      </c>
    </row>
    <row r="12013" spans="1:7" ht="15.48" thickBot="1" customHeight="1">
      <c r="A12013" s="30"/>
      <c r="B12013" s="30"/>
      <c r="C12013" s="30"/>
      <c r="D12013" s="31" t="s">
        <v>38019</v>
      </c>
      <c r="E12013" s="30"/>
      <c r="F12013" s="33">
        <f ca="1">ROUND((G12005+G12006+G12007+G12012)*(1+G2/100),2)</f>
        <v>0</v>
      </c>
      <c r="G12013" s="30"/>
    </row>
    <row r="12014" spans="1:7" ht="30.60" thickBot="1" customHeight="1">
      <c r="A12014" s="34" t="s">
        <v>38020</v>
      </c>
      <c r="B12014" s="35" t="s">
        <v>38021</v>
      </c>
      <c r="C12014" s="35" t="s">
        <v>38022</v>
      </c>
      <c r="D12014" s="36" t="s">
        <v>38023</v>
      </c>
      <c r="E12014" s="37"/>
      <c r="F12014" s="38">
        <f ca="1">F12024</f>
        <v>0</v>
      </c>
      <c r="G12014" s="37"/>
    </row>
    <row r="12015" spans="1:7" ht="49.08" thickBot="1" customHeight="1">
      <c r="A12015" s="26"/>
      <c r="B12015" s="26"/>
      <c r="C12015" s="26"/>
      <c r="D12015" s="25" t="s">
        <v>38024</v>
      </c>
      <c r="E12015" s="25"/>
      <c r="F12015" s="25"/>
      <c r="G12015" s="25"/>
    </row>
    <row r="12016" spans="1:7" ht="39.84" thickBot="1" customHeight="1">
      <c r="A12016" s="24" t="s">
        <v>38025</v>
      </c>
      <c r="B12016" s="24" t="s">
        <v>38026</v>
      </c>
      <c r="C12016" s="24" t="s">
        <v>38027</v>
      </c>
      <c r="D12016" s="25" t="s">
        <v>38028</v>
      </c>
      <c r="E12016" s="28">
        <v>0.03750</v>
      </c>
      <c r="F12016" s="29">
        <f ca="1">ROUND(46.140,3)</f>
        <v>0</v>
      </c>
      <c r="G12016" s="27">
        <f ca="1">ROUND(E12016*F12016,2)</f>
        <v>0</v>
      </c>
    </row>
    <row r="12017" spans="1:7" ht="39.84" thickBot="1" customHeight="1">
      <c r="A12017" s="24" t="s">
        <v>38029</v>
      </c>
      <c r="B12017" s="24" t="s">
        <v>38030</v>
      </c>
      <c r="C12017" s="24" t="s">
        <v>38031</v>
      </c>
      <c r="D12017" s="25" t="s">
        <v>38032</v>
      </c>
      <c r="E12017" s="28">
        <v>0.13000</v>
      </c>
      <c r="F12017" s="29">
        <f ca="1">ROUND(285.000,3)</f>
        <v>0</v>
      </c>
      <c r="G12017" s="27">
        <f ca="1">ROUND(E12017*F12017,2)</f>
        <v>0</v>
      </c>
    </row>
    <row r="12018" spans="1:7" ht="21.36" thickBot="1" customHeight="1">
      <c r="A12018" s="24" t="s">
        <v>38033</v>
      </c>
      <c r="B12018" s="24" t="s">
        <v>38034</v>
      </c>
      <c r="C12018" s="24" t="s">
        <v>38035</v>
      </c>
      <c r="D12018" s="25" t="s">
        <v>38036</v>
      </c>
      <c r="E12018" s="28">
        <v>0.33000</v>
      </c>
      <c r="F12018" s="29">
        <f ca="1">F12022</f>
        <v>0</v>
      </c>
      <c r="G12018" s="27">
        <f ca="1">ROUND(E12018*F12018,2)</f>
        <v>0</v>
      </c>
    </row>
    <row r="12019" spans="1:7" ht="24.36" thickBot="1" customHeight="1">
      <c r="A12019" s="24" t="s">
        <v>38037</v>
      </c>
      <c r="B12019" s="24" t="s">
        <v>38038</v>
      </c>
      <c r="C12019" s="24" t="s">
        <v>38039</v>
      </c>
      <c r="D12019" s="25" t="s">
        <v>38040</v>
      </c>
      <c r="E12019" s="28">
        <v>1.00000</v>
      </c>
      <c r="F12019" s="29">
        <f ca="1">ROUND(21.000,3)</f>
        <v>0</v>
      </c>
      <c r="G12019" s="27">
        <f ca="1">ROUND(E12019*F12019,2)</f>
        <v>0</v>
      </c>
    </row>
    <row r="12020" spans="1:7" ht="24.36" thickBot="1" customHeight="1">
      <c r="A12020" s="24" t="s">
        <v>38041</v>
      </c>
      <c r="B12020" s="24" t="s">
        <v>38042</v>
      </c>
      <c r="C12020" s="24" t="s">
        <v>38043</v>
      </c>
      <c r="D12020" s="25" t="s">
        <v>38044</v>
      </c>
      <c r="E12020" s="28">
        <v>1.00000</v>
      </c>
      <c r="F12020" s="29">
        <f ca="1">ROUND(19.000,3)</f>
        <v>0</v>
      </c>
      <c r="G12020" s="27">
        <f ca="1">ROUND(E12020*F12020,2)</f>
        <v>0</v>
      </c>
    </row>
    <row r="12021" spans="1:7" ht="24.36" thickBot="1" customHeight="1">
      <c r="A12021" s="24" t="s">
        <v>38045</v>
      </c>
      <c r="B12021" s="24" t="s">
        <v>38046</v>
      </c>
      <c r="C12021" s="24" t="s">
        <v>38047</v>
      </c>
      <c r="D12021" s="25" t="s">
        <v>38048</v>
      </c>
      <c r="E12021" s="28">
        <v>0.20000</v>
      </c>
      <c r="F12021" s="29">
        <f ca="1">ROUND(19.000,3)</f>
        <v>0</v>
      </c>
      <c r="G12021" s="27">
        <f ca="1">ROUND(E12021*F12021,2)</f>
        <v>0</v>
      </c>
    </row>
    <row r="12022" spans="1:7" ht="15.12" thickBot="1" customHeight="1">
      <c r="A12022" s="26"/>
      <c r="B12022" s="26"/>
      <c r="C12022" s="26"/>
      <c r="D12022" s="24" t="s">
        <v>38049</v>
      </c>
      <c r="E12022" s="28">
        <v>0.33000</v>
      </c>
      <c r="F12022" s="29">
        <f ca="1">ROUND((G12019+G12020+G12021),3)</f>
        <v>0</v>
      </c>
      <c r="G12022" s="27">
        <f ca="1">ROUND(E12022*F12022,2)</f>
        <v>0</v>
      </c>
    </row>
    <row r="12023" spans="1:7" ht="15.12" thickBot="1" customHeight="1">
      <c r="A12023" s="24" t="s">
        <v>38050</v>
      </c>
      <c r="B12023" s="24"/>
      <c r="C12023" s="24" t="s">
        <v>38051</v>
      </c>
      <c r="D12023" s="25" t="s">
        <v>38052</v>
      </c>
      <c r="E12023" s="28">
        <v>3.00000</v>
      </c>
      <c r="F12023" s="29">
        <f ca="1">ROUND(14.450,3)</f>
        <v>0</v>
      </c>
      <c r="G12023" s="27">
        <f ca="1">ROUND((E12023*F12023)/100,2)</f>
        <v>0</v>
      </c>
    </row>
    <row r="12024" spans="1:7" ht="15.48" thickBot="1" customHeight="1">
      <c r="A12024" s="30"/>
      <c r="B12024" s="30"/>
      <c r="C12024" s="30"/>
      <c r="D12024" s="31" t="s">
        <v>38053</v>
      </c>
      <c r="E12024" s="30"/>
      <c r="F12024" s="33">
        <f ca="1">ROUND((G12016+G12017+G12018+G12023)*(1+G2/100),2)</f>
        <v>0</v>
      </c>
      <c r="G12024" s="30"/>
    </row>
    <row r="12025" spans="1:7" ht="30.60" thickBot="1" customHeight="1">
      <c r="A12025" s="34" t="s">
        <v>38054</v>
      </c>
      <c r="B12025" s="35" t="s">
        <v>38055</v>
      </c>
      <c r="C12025" s="35" t="s">
        <v>38056</v>
      </c>
      <c r="D12025" s="36" t="s">
        <v>38057</v>
      </c>
      <c r="E12025" s="37"/>
      <c r="F12025" s="38">
        <f ca="1">F12035</f>
        <v>0</v>
      </c>
      <c r="G12025" s="37"/>
    </row>
    <row r="12026" spans="1:7" ht="58.32" thickBot="1" customHeight="1">
      <c r="A12026" s="26"/>
      <c r="B12026" s="26"/>
      <c r="C12026" s="26"/>
      <c r="D12026" s="25" t="s">
        <v>38058</v>
      </c>
      <c r="E12026" s="25"/>
      <c r="F12026" s="25"/>
      <c r="G12026" s="25"/>
    </row>
    <row r="12027" spans="1:7" ht="39.84" thickBot="1" customHeight="1">
      <c r="A12027" s="24" t="s">
        <v>38059</v>
      </c>
      <c r="B12027" s="24" t="s">
        <v>38060</v>
      </c>
      <c r="C12027" s="24" t="s">
        <v>38061</v>
      </c>
      <c r="D12027" s="25" t="s">
        <v>38062</v>
      </c>
      <c r="E12027" s="28">
        <v>0.02750</v>
      </c>
      <c r="F12027" s="29">
        <f ca="1">ROUND(46.140,3)</f>
        <v>0</v>
      </c>
      <c r="G12027" s="27">
        <f ca="1">ROUND(E12027*F12027,2)</f>
        <v>0</v>
      </c>
    </row>
    <row r="12028" spans="1:7" ht="39.84" thickBot="1" customHeight="1">
      <c r="A12028" s="24" t="s">
        <v>38063</v>
      </c>
      <c r="B12028" s="24" t="s">
        <v>38064</v>
      </c>
      <c r="C12028" s="24" t="s">
        <v>38065</v>
      </c>
      <c r="D12028" s="25" t="s">
        <v>38066</v>
      </c>
      <c r="E12028" s="28">
        <v>0.13000</v>
      </c>
      <c r="F12028" s="29">
        <f ca="1">ROUND(285.000,3)</f>
        <v>0</v>
      </c>
      <c r="G12028" s="27">
        <f ca="1">ROUND(E12028*F12028,2)</f>
        <v>0</v>
      </c>
    </row>
    <row r="12029" spans="1:7" ht="24.36" thickBot="1" customHeight="1">
      <c r="A12029" s="24" t="s">
        <v>38067</v>
      </c>
      <c r="B12029" s="24" t="s">
        <v>38068</v>
      </c>
      <c r="C12029" s="24" t="s">
        <v>38069</v>
      </c>
      <c r="D12029" s="25" t="s">
        <v>38070</v>
      </c>
      <c r="E12029" s="28">
        <v>0.49500</v>
      </c>
      <c r="F12029" s="29">
        <f ca="1">F12033</f>
        <v>0</v>
      </c>
      <c r="G12029" s="27">
        <f ca="1">ROUND(E12029*F12029,2)</f>
        <v>0</v>
      </c>
    </row>
    <row r="12030" spans="1:7" ht="24.36" thickBot="1" customHeight="1">
      <c r="A12030" s="24" t="s">
        <v>38071</v>
      </c>
      <c r="B12030" s="24" t="s">
        <v>38072</v>
      </c>
      <c r="C12030" s="24" t="s">
        <v>38073</v>
      </c>
      <c r="D12030" s="25" t="s">
        <v>38074</v>
      </c>
      <c r="E12030" s="28">
        <v>1.00000</v>
      </c>
      <c r="F12030" s="29">
        <f ca="1">ROUND(21.000,3)</f>
        <v>0</v>
      </c>
      <c r="G12030" s="27">
        <f ca="1">ROUND(E12030*F12030,2)</f>
        <v>0</v>
      </c>
    </row>
    <row r="12031" spans="1:7" ht="24.36" thickBot="1" customHeight="1">
      <c r="A12031" s="24" t="s">
        <v>38075</v>
      </c>
      <c r="B12031" s="24" t="s">
        <v>38076</v>
      </c>
      <c r="C12031" s="24" t="s">
        <v>38077</v>
      </c>
      <c r="D12031" s="25" t="s">
        <v>38078</v>
      </c>
      <c r="E12031" s="28">
        <v>1.00000</v>
      </c>
      <c r="F12031" s="29">
        <f ca="1">ROUND(19.000,3)</f>
        <v>0</v>
      </c>
      <c r="G12031" s="27">
        <f ca="1">ROUND(E12031*F12031,2)</f>
        <v>0</v>
      </c>
    </row>
    <row r="12032" spans="1:7" ht="24.36" thickBot="1" customHeight="1">
      <c r="A12032" s="24" t="s">
        <v>38079</v>
      </c>
      <c r="B12032" s="24" t="s">
        <v>38080</v>
      </c>
      <c r="C12032" s="24" t="s">
        <v>38081</v>
      </c>
      <c r="D12032" s="25" t="s">
        <v>38082</v>
      </c>
      <c r="E12032" s="28">
        <v>0.50000</v>
      </c>
      <c r="F12032" s="29">
        <f ca="1">ROUND(19.000,3)</f>
        <v>0</v>
      </c>
      <c r="G12032" s="27">
        <f ca="1">ROUND(E12032*F12032,2)</f>
        <v>0</v>
      </c>
    </row>
    <row r="12033" spans="1:7" ht="15.12" thickBot="1" customHeight="1">
      <c r="A12033" s="26"/>
      <c r="B12033" s="26"/>
      <c r="C12033" s="26"/>
      <c r="D12033" s="24" t="s">
        <v>38083</v>
      </c>
      <c r="E12033" s="28">
        <v>0.49500</v>
      </c>
      <c r="F12033" s="29">
        <f ca="1">ROUND((G12030+G12031+G12032),3)</f>
        <v>0</v>
      </c>
      <c r="G12033" s="27">
        <f ca="1">ROUND(E12033*F12033,2)</f>
        <v>0</v>
      </c>
    </row>
    <row r="12034" spans="1:7" ht="15.12" thickBot="1" customHeight="1">
      <c r="A12034" s="24" t="s">
        <v>38084</v>
      </c>
      <c r="B12034" s="24"/>
      <c r="C12034" s="24" t="s">
        <v>38085</v>
      </c>
      <c r="D12034" s="25" t="s">
        <v>38086</v>
      </c>
      <c r="E12034" s="28">
        <v>3.00000</v>
      </c>
      <c r="F12034" s="29">
        <f ca="1">ROUND(24.500,3)</f>
        <v>0</v>
      </c>
      <c r="G12034" s="27">
        <f ca="1">ROUND((E12034*F12034)/100,2)</f>
        <v>0</v>
      </c>
    </row>
    <row r="12035" spans="1:7" ht="15.48" thickBot="1" customHeight="1">
      <c r="A12035" s="30"/>
      <c r="B12035" s="30"/>
      <c r="C12035" s="30"/>
      <c r="D12035" s="31" t="s">
        <v>38087</v>
      </c>
      <c r="E12035" s="30"/>
      <c r="F12035" s="33">
        <f ca="1">ROUND((G12027+G12028+G12029+G12034)*(1+G2/100),2)</f>
        <v>0</v>
      </c>
      <c r="G12035" s="30"/>
    </row>
    <row r="12036" spans="1:7" ht="30.60" thickBot="1" customHeight="1">
      <c r="A12036" s="34" t="s">
        <v>38088</v>
      </c>
      <c r="B12036" s="35" t="s">
        <v>38089</v>
      </c>
      <c r="C12036" s="35" t="s">
        <v>38090</v>
      </c>
      <c r="D12036" s="36" t="s">
        <v>38091</v>
      </c>
      <c r="E12036" s="37"/>
      <c r="F12036" s="38">
        <f ca="1">F12046</f>
        <v>0</v>
      </c>
      <c r="G12036" s="37"/>
    </row>
    <row r="12037" spans="1:7" ht="58.32" thickBot="1" customHeight="1">
      <c r="A12037" s="26"/>
      <c r="B12037" s="26"/>
      <c r="C12037" s="26"/>
      <c r="D12037" s="25" t="s">
        <v>38092</v>
      </c>
      <c r="E12037" s="25"/>
      <c r="F12037" s="25"/>
      <c r="G12037" s="25"/>
    </row>
    <row r="12038" spans="1:7" ht="39.84" thickBot="1" customHeight="1">
      <c r="A12038" s="24" t="s">
        <v>38093</v>
      </c>
      <c r="B12038" s="24" t="s">
        <v>38094</v>
      </c>
      <c r="C12038" s="24" t="s">
        <v>38095</v>
      </c>
      <c r="D12038" s="25" t="s">
        <v>38096</v>
      </c>
      <c r="E12038" s="28">
        <v>0.03750</v>
      </c>
      <c r="F12038" s="29">
        <f ca="1">ROUND(46.140,3)</f>
        <v>0</v>
      </c>
      <c r="G12038" s="27">
        <f ca="1">ROUND(E12038*F12038,2)</f>
        <v>0</v>
      </c>
    </row>
    <row r="12039" spans="1:7" ht="39.84" thickBot="1" customHeight="1">
      <c r="A12039" s="24" t="s">
        <v>38097</v>
      </c>
      <c r="B12039" s="24" t="s">
        <v>38098</v>
      </c>
      <c r="C12039" s="24" t="s">
        <v>38099</v>
      </c>
      <c r="D12039" s="25" t="s">
        <v>38100</v>
      </c>
      <c r="E12039" s="28">
        <v>0.08800</v>
      </c>
      <c r="F12039" s="29">
        <f ca="1">ROUND(285.000,3)</f>
        <v>0</v>
      </c>
      <c r="G12039" s="27">
        <f ca="1">ROUND(E12039*F12039,2)</f>
        <v>0</v>
      </c>
    </row>
    <row r="12040" spans="1:7" ht="21.36" thickBot="1" customHeight="1">
      <c r="A12040" s="24" t="s">
        <v>38101</v>
      </c>
      <c r="B12040" s="24" t="s">
        <v>38102</v>
      </c>
      <c r="C12040" s="24" t="s">
        <v>38103</v>
      </c>
      <c r="D12040" s="25" t="s">
        <v>38104</v>
      </c>
      <c r="E12040" s="28">
        <v>0.27000</v>
      </c>
      <c r="F12040" s="29">
        <f ca="1">F12044</f>
        <v>0</v>
      </c>
      <c r="G12040" s="27">
        <f ca="1">ROUND(E12040*F12040,2)</f>
        <v>0</v>
      </c>
    </row>
    <row r="12041" spans="1:7" ht="24.36" thickBot="1" customHeight="1">
      <c r="A12041" s="24" t="s">
        <v>38105</v>
      </c>
      <c r="B12041" s="24" t="s">
        <v>38106</v>
      </c>
      <c r="C12041" s="24" t="s">
        <v>38107</v>
      </c>
      <c r="D12041" s="25" t="s">
        <v>38108</v>
      </c>
      <c r="E12041" s="28">
        <v>1.00000</v>
      </c>
      <c r="F12041" s="29">
        <f ca="1">ROUND(21.000,3)</f>
        <v>0</v>
      </c>
      <c r="G12041" s="27">
        <f ca="1">ROUND(E12041*F12041,2)</f>
        <v>0</v>
      </c>
    </row>
    <row r="12042" spans="1:7" ht="24.36" thickBot="1" customHeight="1">
      <c r="A12042" s="24" t="s">
        <v>38109</v>
      </c>
      <c r="B12042" s="24" t="s">
        <v>38110</v>
      </c>
      <c r="C12042" s="24" t="s">
        <v>38111</v>
      </c>
      <c r="D12042" s="25" t="s">
        <v>38112</v>
      </c>
      <c r="E12042" s="28">
        <v>1.00000</v>
      </c>
      <c r="F12042" s="29">
        <f ca="1">ROUND(19.000,3)</f>
        <v>0</v>
      </c>
      <c r="G12042" s="27">
        <f ca="1">ROUND(E12042*F12042,2)</f>
        <v>0</v>
      </c>
    </row>
    <row r="12043" spans="1:7" ht="24.36" thickBot="1" customHeight="1">
      <c r="A12043" s="24" t="s">
        <v>38113</v>
      </c>
      <c r="B12043" s="24" t="s">
        <v>38114</v>
      </c>
      <c r="C12043" s="24" t="s">
        <v>38115</v>
      </c>
      <c r="D12043" s="25" t="s">
        <v>38116</v>
      </c>
      <c r="E12043" s="28">
        <v>0.20000</v>
      </c>
      <c r="F12043" s="29">
        <f ca="1">ROUND(19.000,3)</f>
        <v>0</v>
      </c>
      <c r="G12043" s="27">
        <f ca="1">ROUND(E12043*F12043,2)</f>
        <v>0</v>
      </c>
    </row>
    <row r="12044" spans="1:7" ht="15.12" thickBot="1" customHeight="1">
      <c r="A12044" s="26"/>
      <c r="B12044" s="26"/>
      <c r="C12044" s="26"/>
      <c r="D12044" s="24" t="s">
        <v>38117</v>
      </c>
      <c r="E12044" s="28">
        <v>0.27000</v>
      </c>
      <c r="F12044" s="29">
        <f ca="1">ROUND((G12041+G12042+G12043),3)</f>
        <v>0</v>
      </c>
      <c r="G12044" s="27">
        <f ca="1">ROUND(E12044*F12044,2)</f>
        <v>0</v>
      </c>
    </row>
    <row r="12045" spans="1:7" ht="15.12" thickBot="1" customHeight="1">
      <c r="A12045" s="24" t="s">
        <v>38118</v>
      </c>
      <c r="B12045" s="24"/>
      <c r="C12045" s="24" t="s">
        <v>38119</v>
      </c>
      <c r="D12045" s="25" t="s">
        <v>38120</v>
      </c>
      <c r="E12045" s="28">
        <v>3.00000</v>
      </c>
      <c r="F12045" s="29">
        <f ca="1">ROUND(11.830,3)</f>
        <v>0</v>
      </c>
      <c r="G12045" s="27">
        <f ca="1">ROUND((E12045*F12045)/100,2)</f>
        <v>0</v>
      </c>
    </row>
    <row r="12046" spans="1:7" ht="15.48" thickBot="1" customHeight="1">
      <c r="A12046" s="30"/>
      <c r="B12046" s="30"/>
      <c r="C12046" s="30"/>
      <c r="D12046" s="31" t="s">
        <v>38121</v>
      </c>
      <c r="E12046" s="30"/>
      <c r="F12046" s="33">
        <f ca="1">ROUND((G12038+G12039+G12040+G12045)*(1+G2/100),2)</f>
        <v>0</v>
      </c>
      <c r="G12046" s="30"/>
    </row>
    <row r="12047" spans="1:7" ht="30.60" thickBot="1" customHeight="1">
      <c r="A12047" s="34" t="s">
        <v>38122</v>
      </c>
      <c r="B12047" s="35" t="s">
        <v>38123</v>
      </c>
      <c r="C12047" s="35" t="s">
        <v>38124</v>
      </c>
      <c r="D12047" s="36" t="s">
        <v>38125</v>
      </c>
      <c r="E12047" s="37"/>
      <c r="F12047" s="38">
        <f ca="1">F12057</f>
        <v>0</v>
      </c>
      <c r="G12047" s="37"/>
    </row>
    <row r="12048" spans="1:7" ht="58.32" thickBot="1" customHeight="1">
      <c r="A12048" s="26"/>
      <c r="B12048" s="26"/>
      <c r="C12048" s="26"/>
      <c r="D12048" s="25" t="s">
        <v>38126</v>
      </c>
      <c r="E12048" s="25"/>
      <c r="F12048" s="25"/>
      <c r="G12048" s="25"/>
    </row>
    <row r="12049" spans="1:7" ht="39.84" thickBot="1" customHeight="1">
      <c r="A12049" s="24" t="s">
        <v>38127</v>
      </c>
      <c r="B12049" s="24" t="s">
        <v>38128</v>
      </c>
      <c r="C12049" s="24" t="s">
        <v>38129</v>
      </c>
      <c r="D12049" s="25" t="s">
        <v>38130</v>
      </c>
      <c r="E12049" s="28">
        <v>0.03750</v>
      </c>
      <c r="F12049" s="29">
        <f ca="1">ROUND(46.140,3)</f>
        <v>0</v>
      </c>
      <c r="G12049" s="27">
        <f ca="1">ROUND(E12049*F12049,2)</f>
        <v>0</v>
      </c>
    </row>
    <row r="12050" spans="1:7" ht="39.84" thickBot="1" customHeight="1">
      <c r="A12050" s="24" t="s">
        <v>38131</v>
      </c>
      <c r="B12050" s="24" t="s">
        <v>38132</v>
      </c>
      <c r="C12050" s="24" t="s">
        <v>38133</v>
      </c>
      <c r="D12050" s="25" t="s">
        <v>38134</v>
      </c>
      <c r="E12050" s="28">
        <v>0.08800</v>
      </c>
      <c r="F12050" s="29">
        <f ca="1">ROUND(285.000,3)</f>
        <v>0</v>
      </c>
      <c r="G12050" s="27">
        <f ca="1">ROUND(E12050*F12050,2)</f>
        <v>0</v>
      </c>
    </row>
    <row r="12051" spans="1:7" ht="24.36" thickBot="1" customHeight="1">
      <c r="A12051" s="24" t="s">
        <v>38135</v>
      </c>
      <c r="B12051" s="24" t="s">
        <v>38136</v>
      </c>
      <c r="C12051" s="24" t="s">
        <v>38137</v>
      </c>
      <c r="D12051" s="25" t="s">
        <v>38138</v>
      </c>
      <c r="E12051" s="28">
        <v>0.40500</v>
      </c>
      <c r="F12051" s="29">
        <f ca="1">F12055</f>
        <v>0</v>
      </c>
      <c r="G12051" s="27">
        <f ca="1">ROUND(E12051*F12051,2)</f>
        <v>0</v>
      </c>
    </row>
    <row r="12052" spans="1:7" ht="24.36" thickBot="1" customHeight="1">
      <c r="A12052" s="24" t="s">
        <v>38139</v>
      </c>
      <c r="B12052" s="24" t="s">
        <v>38140</v>
      </c>
      <c r="C12052" s="24" t="s">
        <v>38141</v>
      </c>
      <c r="D12052" s="25" t="s">
        <v>38142</v>
      </c>
      <c r="E12052" s="28">
        <v>1.00000</v>
      </c>
      <c r="F12052" s="29">
        <f ca="1">ROUND(21.000,3)</f>
        <v>0</v>
      </c>
      <c r="G12052" s="27">
        <f ca="1">ROUND(E12052*F12052,2)</f>
        <v>0</v>
      </c>
    </row>
    <row r="12053" spans="1:7" ht="24.36" thickBot="1" customHeight="1">
      <c r="A12053" s="24" t="s">
        <v>38143</v>
      </c>
      <c r="B12053" s="24" t="s">
        <v>38144</v>
      </c>
      <c r="C12053" s="24" t="s">
        <v>38145</v>
      </c>
      <c r="D12053" s="25" t="s">
        <v>38146</v>
      </c>
      <c r="E12053" s="28">
        <v>1.00000</v>
      </c>
      <c r="F12053" s="29">
        <f ca="1">ROUND(19.000,3)</f>
        <v>0</v>
      </c>
      <c r="G12053" s="27">
        <f ca="1">ROUND(E12053*F12053,2)</f>
        <v>0</v>
      </c>
    </row>
    <row r="12054" spans="1:7" ht="24.36" thickBot="1" customHeight="1">
      <c r="A12054" s="24" t="s">
        <v>38147</v>
      </c>
      <c r="B12054" s="24" t="s">
        <v>38148</v>
      </c>
      <c r="C12054" s="24" t="s">
        <v>38149</v>
      </c>
      <c r="D12054" s="25" t="s">
        <v>38150</v>
      </c>
      <c r="E12054" s="28">
        <v>0.50000</v>
      </c>
      <c r="F12054" s="29">
        <f ca="1">ROUND(19.000,3)</f>
        <v>0</v>
      </c>
      <c r="G12054" s="27">
        <f ca="1">ROUND(E12054*F12054,2)</f>
        <v>0</v>
      </c>
    </row>
    <row r="12055" spans="1:7" ht="15.12" thickBot="1" customHeight="1">
      <c r="A12055" s="26"/>
      <c r="B12055" s="26"/>
      <c r="C12055" s="26"/>
      <c r="D12055" s="24" t="s">
        <v>38151</v>
      </c>
      <c r="E12055" s="28">
        <v>0.40500</v>
      </c>
      <c r="F12055" s="29">
        <f ca="1">ROUND((G12052+G12053+G12054),3)</f>
        <v>0</v>
      </c>
      <c r="G12055" s="27">
        <f ca="1">ROUND(E12055*F12055,2)</f>
        <v>0</v>
      </c>
    </row>
    <row r="12056" spans="1:7" ht="15.12" thickBot="1" customHeight="1">
      <c r="A12056" s="24" t="s">
        <v>38152</v>
      </c>
      <c r="B12056" s="24"/>
      <c r="C12056" s="24" t="s">
        <v>38153</v>
      </c>
      <c r="D12056" s="25" t="s">
        <v>38154</v>
      </c>
      <c r="E12056" s="28">
        <v>3.00000</v>
      </c>
      <c r="F12056" s="29">
        <f ca="1">ROUND(20.050,3)</f>
        <v>0</v>
      </c>
      <c r="G12056" s="27">
        <f ca="1">ROUND((E12056*F12056)/100,2)</f>
        <v>0</v>
      </c>
    </row>
    <row r="12057" spans="1:7" ht="15.48" thickBot="1" customHeight="1">
      <c r="A12057" s="30"/>
      <c r="B12057" s="30"/>
      <c r="C12057" s="30"/>
      <c r="D12057" s="31" t="s">
        <v>38155</v>
      </c>
      <c r="E12057" s="30"/>
      <c r="F12057" s="33">
        <f ca="1">ROUND((G12049+G12050+G12051+G12056)*(1+G2/100),2)</f>
        <v>0</v>
      </c>
      <c r="G12057" s="30"/>
    </row>
    <row r="12058" spans="1:7" ht="21.36" thickBot="1" customHeight="1">
      <c r="A12058" s="34" t="s">
        <v>38156</v>
      </c>
      <c r="B12058" s="35" t="s">
        <v>38157</v>
      </c>
      <c r="C12058" s="35" t="s">
        <v>38158</v>
      </c>
      <c r="D12058" s="36" t="s">
        <v>38159</v>
      </c>
      <c r="E12058" s="37"/>
      <c r="F12058" s="38">
        <f ca="1">F12062</f>
        <v>0</v>
      </c>
      <c r="G12058" s="37"/>
    </row>
    <row r="12059" spans="1:7" ht="39.84" thickBot="1" customHeight="1">
      <c r="A12059" s="26"/>
      <c r="B12059" s="26"/>
      <c r="C12059" s="26"/>
      <c r="D12059" s="25" t="s">
        <v>38160</v>
      </c>
      <c r="E12059" s="25"/>
      <c r="F12059" s="25"/>
      <c r="G12059" s="25"/>
    </row>
    <row r="12060" spans="1:7" ht="15.12" thickBot="1" customHeight="1">
      <c r="A12060" s="24" t="s">
        <v>38161</v>
      </c>
      <c r="B12060" s="24" t="s">
        <v>38162</v>
      </c>
      <c r="C12060" s="24" t="s">
        <v>38163</v>
      </c>
      <c r="D12060" s="25" t="s">
        <v>38164</v>
      </c>
      <c r="E12060" s="28">
        <v>0.66000</v>
      </c>
      <c r="F12060" s="29">
        <f ca="1">ROUND(14.000,3)</f>
        <v>0</v>
      </c>
      <c r="G12060" s="27">
        <f ca="1">ROUND(E12060*F12060,2)</f>
        <v>0</v>
      </c>
    </row>
    <row r="12061" spans="1:7" ht="24.36" thickBot="1" customHeight="1">
      <c r="A12061" s="24" t="s">
        <v>38165</v>
      </c>
      <c r="B12061" s="24" t="s">
        <v>38166</v>
      </c>
      <c r="C12061" s="24" t="s">
        <v>38167</v>
      </c>
      <c r="D12061" s="25" t="s">
        <v>38168</v>
      </c>
      <c r="E12061" s="28">
        <v>0.22500</v>
      </c>
      <c r="F12061" s="29">
        <f ca="1">ROUND(49.500,3)</f>
        <v>0</v>
      </c>
      <c r="G12061" s="27">
        <f ca="1">ROUND(E12061*F12061,2)</f>
        <v>0</v>
      </c>
    </row>
    <row r="12062" spans="1:7" ht="15.48" thickBot="1" customHeight="1">
      <c r="A12062" s="30"/>
      <c r="B12062" s="30"/>
      <c r="C12062" s="30"/>
      <c r="D12062" s="31" t="s">
        <v>38169</v>
      </c>
      <c r="E12062" s="30"/>
      <c r="F12062" s="33">
        <f ca="1">ROUND((G12060+G12061)*(1+G2/100),2)</f>
        <v>0</v>
      </c>
      <c r="G12062" s="30"/>
    </row>
    <row r="12063" spans="1:7" ht="21.36" thickBot="1" customHeight="1">
      <c r="A12063" s="34" t="s">
        <v>38170</v>
      </c>
      <c r="B12063" s="35" t="s">
        <v>38171</v>
      </c>
      <c r="C12063" s="35" t="s">
        <v>38172</v>
      </c>
      <c r="D12063" s="36" t="s">
        <v>38173</v>
      </c>
      <c r="E12063" s="37"/>
      <c r="F12063" s="38">
        <f ca="1">F12067</f>
        <v>0</v>
      </c>
      <c r="G12063" s="37"/>
    </row>
    <row r="12064" spans="1:7" ht="39.84" thickBot="1" customHeight="1">
      <c r="A12064" s="26"/>
      <c r="B12064" s="26"/>
      <c r="C12064" s="26"/>
      <c r="D12064" s="25" t="s">
        <v>38174</v>
      </c>
      <c r="E12064" s="25"/>
      <c r="F12064" s="25"/>
      <c r="G12064" s="25"/>
    </row>
    <row r="12065" spans="1:7" ht="15.12" thickBot="1" customHeight="1">
      <c r="A12065" s="24" t="s">
        <v>38175</v>
      </c>
      <c r="B12065" s="24" t="s">
        <v>38176</v>
      </c>
      <c r="C12065" s="24" t="s">
        <v>38177</v>
      </c>
      <c r="D12065" s="25" t="s">
        <v>38178</v>
      </c>
      <c r="E12065" s="28">
        <v>1.40000</v>
      </c>
      <c r="F12065" s="29">
        <f ca="1">ROUND(14.000,3)</f>
        <v>0</v>
      </c>
      <c r="G12065" s="27">
        <f ca="1">ROUND(E12065*F12065,2)</f>
        <v>0</v>
      </c>
    </row>
    <row r="12066" spans="1:7" ht="24.36" thickBot="1" customHeight="1">
      <c r="A12066" s="24" t="s">
        <v>38179</v>
      </c>
      <c r="B12066" s="24" t="s">
        <v>38180</v>
      </c>
      <c r="C12066" s="24" t="s">
        <v>38181</v>
      </c>
      <c r="D12066" s="25" t="s">
        <v>38182</v>
      </c>
      <c r="E12066" s="28">
        <v>0.45000</v>
      </c>
      <c r="F12066" s="29">
        <f ca="1">ROUND(49.500,3)</f>
        <v>0</v>
      </c>
      <c r="G12066" s="27">
        <f ca="1">ROUND(E12066*F12066,2)</f>
        <v>0</v>
      </c>
    </row>
    <row r="12067" spans="1:7" ht="15.48" thickBot="1" customHeight="1">
      <c r="A12067" s="30"/>
      <c r="B12067" s="30"/>
      <c r="C12067" s="30"/>
      <c r="D12067" s="31" t="s">
        <v>38183</v>
      </c>
      <c r="E12067" s="30"/>
      <c r="F12067" s="33">
        <f ca="1">ROUND((G12065+G12066)*(1+G2/100),2)</f>
        <v>0</v>
      </c>
      <c r="G12067" s="30"/>
    </row>
    <row r="12068" spans="1:7" ht="67.56" thickBot="1" customHeight="1">
      <c r="A12068" s="34" t="s">
        <v>38184</v>
      </c>
      <c r="B12068" s="35" t="s">
        <v>38185</v>
      </c>
      <c r="C12068" s="35" t="s">
        <v>38186</v>
      </c>
      <c r="D12068" s="36" t="s">
        <v>38187</v>
      </c>
      <c r="E12068" s="37"/>
      <c r="F12068" s="38">
        <f ca="1">F12078</f>
        <v>0</v>
      </c>
      <c r="G12068" s="37"/>
    </row>
    <row r="12069" spans="1:7" ht="30.60" thickBot="1" customHeight="1">
      <c r="A12069" s="26"/>
      <c r="B12069" s="26"/>
      <c r="C12069" s="26"/>
      <c r="D12069" s="25" t="s">
        <v>38188</v>
      </c>
      <c r="E12069" s="25"/>
      <c r="F12069" s="25"/>
      <c r="G12069" s="25"/>
    </row>
    <row r="12070" spans="1:7" ht="39.84" thickBot="1" customHeight="1">
      <c r="A12070" s="24" t="s">
        <v>38189</v>
      </c>
      <c r="B12070" s="24" t="s">
        <v>38190</v>
      </c>
      <c r="C12070" s="24" t="s">
        <v>38191</v>
      </c>
      <c r="D12070" s="25" t="s">
        <v>38192</v>
      </c>
      <c r="E12070" s="28">
        <v>0.00444</v>
      </c>
      <c r="F12070" s="29">
        <f ca="1">ROUND(117.570,3)</f>
        <v>0</v>
      </c>
      <c r="G12070" s="27">
        <f ca="1">ROUND(E12070*F12070,2)</f>
        <v>0</v>
      </c>
    </row>
    <row r="12071" spans="1:7" ht="58.32" thickBot="1" customHeight="1">
      <c r="A12071" s="24" t="s">
        <v>38193</v>
      </c>
      <c r="B12071" s="24" t="s">
        <v>38194</v>
      </c>
      <c r="C12071" s="24" t="s">
        <v>38195</v>
      </c>
      <c r="D12071" s="25" t="s">
        <v>38196</v>
      </c>
      <c r="E12071" s="28">
        <v>0.02200</v>
      </c>
      <c r="F12071" s="29">
        <f ca="1">ROUND(172.500,3)</f>
        <v>0</v>
      </c>
      <c r="G12071" s="27">
        <f ca="1">ROUND(E12071*F12071,2)</f>
        <v>0</v>
      </c>
    </row>
    <row r="12072" spans="1:7" ht="21.36" thickBot="1" customHeight="1">
      <c r="A12072" s="24" t="s">
        <v>38197</v>
      </c>
      <c r="B12072" s="24" t="s">
        <v>38198</v>
      </c>
      <c r="C12072" s="24" t="s">
        <v>38199</v>
      </c>
      <c r="D12072" s="25" t="s">
        <v>38200</v>
      </c>
      <c r="E12072" s="28">
        <v>0.48600</v>
      </c>
      <c r="F12072" s="29">
        <f ca="1">F12076</f>
        <v>0</v>
      </c>
      <c r="G12072" s="27">
        <f ca="1">ROUND(E12072*F12072,2)</f>
        <v>0</v>
      </c>
    </row>
    <row r="12073" spans="1:7" ht="24.36" thickBot="1" customHeight="1">
      <c r="A12073" s="24" t="s">
        <v>38201</v>
      </c>
      <c r="B12073" s="24" t="s">
        <v>38202</v>
      </c>
      <c r="C12073" s="24" t="s">
        <v>38203</v>
      </c>
      <c r="D12073" s="25" t="s">
        <v>38204</v>
      </c>
      <c r="E12073" s="28">
        <v>1.00000</v>
      </c>
      <c r="F12073" s="29">
        <f ca="1">ROUND(21.000,3)</f>
        <v>0</v>
      </c>
      <c r="G12073" s="27">
        <f ca="1">ROUND(E12073*F12073,2)</f>
        <v>0</v>
      </c>
    </row>
    <row r="12074" spans="1:7" ht="24.36" thickBot="1" customHeight="1">
      <c r="A12074" s="24" t="s">
        <v>38205</v>
      </c>
      <c r="B12074" s="24" t="s">
        <v>38206</v>
      </c>
      <c r="C12074" s="24" t="s">
        <v>38207</v>
      </c>
      <c r="D12074" s="25" t="s">
        <v>38208</v>
      </c>
      <c r="E12074" s="28">
        <v>1.00000</v>
      </c>
      <c r="F12074" s="29">
        <f ca="1">ROUND(19.000,3)</f>
        <v>0</v>
      </c>
      <c r="G12074" s="27">
        <f ca="1">ROUND(E12074*F12074,2)</f>
        <v>0</v>
      </c>
    </row>
    <row r="12075" spans="1:7" ht="24.36" thickBot="1" customHeight="1">
      <c r="A12075" s="24" t="s">
        <v>38209</v>
      </c>
      <c r="B12075" s="24" t="s">
        <v>38210</v>
      </c>
      <c r="C12075" s="24" t="s">
        <v>38211</v>
      </c>
      <c r="D12075" s="25" t="s">
        <v>38212</v>
      </c>
      <c r="E12075" s="28">
        <v>0.20000</v>
      </c>
      <c r="F12075" s="29">
        <f ca="1">ROUND(19.000,3)</f>
        <v>0</v>
      </c>
      <c r="G12075" s="27">
        <f ca="1">ROUND(E12075*F12075,2)</f>
        <v>0</v>
      </c>
    </row>
    <row r="12076" spans="1:7" ht="15.12" thickBot="1" customHeight="1">
      <c r="A12076" s="26"/>
      <c r="B12076" s="26"/>
      <c r="C12076" s="26"/>
      <c r="D12076" s="24" t="s">
        <v>38213</v>
      </c>
      <c r="E12076" s="28">
        <v>0.48600</v>
      </c>
      <c r="F12076" s="29">
        <f ca="1">ROUND((G12073+G12074+G12075),3)</f>
        <v>0</v>
      </c>
      <c r="G12076" s="27">
        <f ca="1">ROUND(E12076*F12076,2)</f>
        <v>0</v>
      </c>
    </row>
    <row r="12077" spans="1:7" ht="15.12" thickBot="1" customHeight="1">
      <c r="A12077" s="24" t="s">
        <v>38214</v>
      </c>
      <c r="B12077" s="24"/>
      <c r="C12077" s="24" t="s">
        <v>38215</v>
      </c>
      <c r="D12077" s="25" t="s">
        <v>38216</v>
      </c>
      <c r="E12077" s="28">
        <v>7.00000</v>
      </c>
      <c r="F12077" s="29">
        <f ca="1">ROUND(21.290,3)</f>
        <v>0</v>
      </c>
      <c r="G12077" s="27">
        <f ca="1">ROUND((E12077*F12077)/100,2)</f>
        <v>0</v>
      </c>
    </row>
    <row r="12078" spans="1:7" ht="25.08" thickBot="1" customHeight="1">
      <c r="A12078" s="30"/>
      <c r="B12078" s="30"/>
      <c r="C12078" s="30"/>
      <c r="D12078" s="31" t="s">
        <v>38217</v>
      </c>
      <c r="E12078" s="30"/>
      <c r="F12078" s="33">
        <f ca="1">ROUND((G12070+G12071+G12072+G12077)*(1+G2/100),2)</f>
        <v>0</v>
      </c>
      <c r="G12078" s="30"/>
    </row>
    <row r="12079" spans="1:7" ht="58.32" thickBot="1" customHeight="1">
      <c r="A12079" s="34" t="s">
        <v>38218</v>
      </c>
      <c r="B12079" s="35" t="s">
        <v>38219</v>
      </c>
      <c r="C12079" s="35" t="s">
        <v>38220</v>
      </c>
      <c r="D12079" s="36" t="s">
        <v>38221</v>
      </c>
      <c r="E12079" s="37"/>
      <c r="F12079" s="38">
        <f ca="1">F12089</f>
        <v>0</v>
      </c>
      <c r="G12079" s="37"/>
    </row>
    <row r="12080" spans="1:7" ht="30.60" thickBot="1" customHeight="1">
      <c r="A12080" s="26"/>
      <c r="B12080" s="26"/>
      <c r="C12080" s="26"/>
      <c r="D12080" s="25" t="s">
        <v>38222</v>
      </c>
      <c r="E12080" s="25"/>
      <c r="F12080" s="25"/>
      <c r="G12080" s="25"/>
    </row>
    <row r="12081" spans="1:7" ht="39.84" thickBot="1" customHeight="1">
      <c r="A12081" s="24" t="s">
        <v>38223</v>
      </c>
      <c r="B12081" s="24" t="s">
        <v>38224</v>
      </c>
      <c r="C12081" s="24" t="s">
        <v>38225</v>
      </c>
      <c r="D12081" s="25" t="s">
        <v>38226</v>
      </c>
      <c r="E12081" s="28">
        <v>0.00444</v>
      </c>
      <c r="F12081" s="29">
        <f ca="1">ROUND(117.570,3)</f>
        <v>0</v>
      </c>
      <c r="G12081" s="27">
        <f ca="1">ROUND(E12081*F12081,2)</f>
        <v>0</v>
      </c>
    </row>
    <row r="12082" spans="1:7" ht="58.32" thickBot="1" customHeight="1">
      <c r="A12082" s="24" t="s">
        <v>38227</v>
      </c>
      <c r="B12082" s="24" t="s">
        <v>38228</v>
      </c>
      <c r="C12082" s="24" t="s">
        <v>38229</v>
      </c>
      <c r="D12082" s="25" t="s">
        <v>38230</v>
      </c>
      <c r="E12082" s="28">
        <v>0.02200</v>
      </c>
      <c r="F12082" s="29">
        <f ca="1">ROUND(172.500,3)</f>
        <v>0</v>
      </c>
      <c r="G12082" s="27">
        <f ca="1">ROUND(E12082*F12082,2)</f>
        <v>0</v>
      </c>
    </row>
    <row r="12083" spans="1:7" ht="21.36" thickBot="1" customHeight="1">
      <c r="A12083" s="24" t="s">
        <v>38231</v>
      </c>
      <c r="B12083" s="24" t="s">
        <v>38232</v>
      </c>
      <c r="C12083" s="24" t="s">
        <v>38233</v>
      </c>
      <c r="D12083" s="25" t="s">
        <v>38234</v>
      </c>
      <c r="E12083" s="28">
        <v>0.26667</v>
      </c>
      <c r="F12083" s="29">
        <f ca="1">F12087</f>
        <v>0</v>
      </c>
      <c r="G12083" s="27">
        <f ca="1">ROUND(E12083*F12083,2)</f>
        <v>0</v>
      </c>
    </row>
    <row r="12084" spans="1:7" ht="24.36" thickBot="1" customHeight="1">
      <c r="A12084" s="24" t="s">
        <v>38235</v>
      </c>
      <c r="B12084" s="24" t="s">
        <v>38236</v>
      </c>
      <c r="C12084" s="24" t="s">
        <v>38237</v>
      </c>
      <c r="D12084" s="25" t="s">
        <v>38238</v>
      </c>
      <c r="E12084" s="28">
        <v>1.00000</v>
      </c>
      <c r="F12084" s="29">
        <f ca="1">ROUND(21.000,3)</f>
        <v>0</v>
      </c>
      <c r="G12084" s="27">
        <f ca="1">ROUND(E12084*F12084,2)</f>
        <v>0</v>
      </c>
    </row>
    <row r="12085" spans="1:7" ht="24.36" thickBot="1" customHeight="1">
      <c r="A12085" s="24" t="s">
        <v>38239</v>
      </c>
      <c r="B12085" s="24" t="s">
        <v>38240</v>
      </c>
      <c r="C12085" s="24" t="s">
        <v>38241</v>
      </c>
      <c r="D12085" s="25" t="s">
        <v>38242</v>
      </c>
      <c r="E12085" s="28">
        <v>1.00000</v>
      </c>
      <c r="F12085" s="29">
        <f ca="1">ROUND(19.000,3)</f>
        <v>0</v>
      </c>
      <c r="G12085" s="27">
        <f ca="1">ROUND(E12085*F12085,2)</f>
        <v>0</v>
      </c>
    </row>
    <row r="12086" spans="1:7" ht="24.36" thickBot="1" customHeight="1">
      <c r="A12086" s="24" t="s">
        <v>38243</v>
      </c>
      <c r="B12086" s="24" t="s">
        <v>38244</v>
      </c>
      <c r="C12086" s="24" t="s">
        <v>38245</v>
      </c>
      <c r="D12086" s="25" t="s">
        <v>38246</v>
      </c>
      <c r="E12086" s="28">
        <v>0.20000</v>
      </c>
      <c r="F12086" s="29">
        <f ca="1">ROUND(19.000,3)</f>
        <v>0</v>
      </c>
      <c r="G12086" s="27">
        <f ca="1">ROUND(E12086*F12086,2)</f>
        <v>0</v>
      </c>
    </row>
    <row r="12087" spans="1:7" ht="15.12" thickBot="1" customHeight="1">
      <c r="A12087" s="26"/>
      <c r="B12087" s="26"/>
      <c r="C12087" s="26"/>
      <c r="D12087" s="24" t="s">
        <v>38247</v>
      </c>
      <c r="E12087" s="28">
        <v>0.26667</v>
      </c>
      <c r="F12087" s="29">
        <f ca="1">ROUND((G12084+G12085+G12086),3)</f>
        <v>0</v>
      </c>
      <c r="G12087" s="27">
        <f ca="1">ROUND(E12087*F12087,2)</f>
        <v>0</v>
      </c>
    </row>
    <row r="12088" spans="1:7" ht="15.12" thickBot="1" customHeight="1">
      <c r="A12088" s="24" t="s">
        <v>38248</v>
      </c>
      <c r="B12088" s="24"/>
      <c r="C12088" s="24" t="s">
        <v>38249</v>
      </c>
      <c r="D12088" s="25" t="s">
        <v>38250</v>
      </c>
      <c r="E12088" s="28">
        <v>3.00000</v>
      </c>
      <c r="F12088" s="29">
        <f ca="1">ROUND(11.680,3)</f>
        <v>0</v>
      </c>
      <c r="G12088" s="27">
        <f ca="1">ROUND((E12088*F12088)/100,2)</f>
        <v>0</v>
      </c>
    </row>
    <row r="12089" spans="1:7" ht="15.48" thickBot="1" customHeight="1">
      <c r="A12089" s="30"/>
      <c r="B12089" s="30"/>
      <c r="C12089" s="30"/>
      <c r="D12089" s="31" t="s">
        <v>38251</v>
      </c>
      <c r="E12089" s="30"/>
      <c r="F12089" s="33">
        <f ca="1">ROUND((G12081+G12082+G12083+G12088)*(1+G2/100),2)</f>
        <v>0</v>
      </c>
      <c r="G12089" s="30"/>
    </row>
    <row r="12090" spans="1:7" ht="58.32" thickBot="1" customHeight="1">
      <c r="A12090" s="34" t="s">
        <v>38252</v>
      </c>
      <c r="B12090" s="35" t="s">
        <v>38253</v>
      </c>
      <c r="C12090" s="35" t="s">
        <v>38254</v>
      </c>
      <c r="D12090" s="36" t="s">
        <v>38255</v>
      </c>
      <c r="E12090" s="37"/>
      <c r="F12090" s="38">
        <f ca="1">F12100</f>
        <v>0</v>
      </c>
      <c r="G12090" s="37"/>
    </row>
    <row r="12091" spans="1:7" ht="30.60" thickBot="1" customHeight="1">
      <c r="A12091" s="26"/>
      <c r="B12091" s="26"/>
      <c r="C12091" s="26"/>
      <c r="D12091" s="25" t="s">
        <v>38256</v>
      </c>
      <c r="E12091" s="25"/>
      <c r="F12091" s="25"/>
      <c r="G12091" s="25"/>
    </row>
    <row r="12092" spans="1:7" ht="39.84" thickBot="1" customHeight="1">
      <c r="A12092" s="24" t="s">
        <v>38257</v>
      </c>
      <c r="B12092" s="24" t="s">
        <v>38258</v>
      </c>
      <c r="C12092" s="24" t="s">
        <v>38259</v>
      </c>
      <c r="D12092" s="25" t="s">
        <v>38260</v>
      </c>
      <c r="E12092" s="28">
        <v>0.00825</v>
      </c>
      <c r="F12092" s="29">
        <f ca="1">ROUND(284.340,3)</f>
        <v>0</v>
      </c>
      <c r="G12092" s="27">
        <f ca="1">ROUND(E12092*F12092,2)</f>
        <v>0</v>
      </c>
    </row>
    <row r="12093" spans="1:7" ht="30.60" thickBot="1" customHeight="1">
      <c r="A12093" s="24" t="s">
        <v>38261</v>
      </c>
      <c r="B12093" s="24" t="s">
        <v>38262</v>
      </c>
      <c r="C12093" s="24" t="s">
        <v>38263</v>
      </c>
      <c r="D12093" s="25" t="s">
        <v>38264</v>
      </c>
      <c r="E12093" s="28">
        <v>0.01100</v>
      </c>
      <c r="F12093" s="29">
        <f ca="1">ROUND(347.030,3)</f>
        <v>0</v>
      </c>
      <c r="G12093" s="27">
        <f ca="1">ROUND(E12093*F12093,2)</f>
        <v>0</v>
      </c>
    </row>
    <row r="12094" spans="1:7" ht="21.36" thickBot="1" customHeight="1">
      <c r="A12094" s="24" t="s">
        <v>38265</v>
      </c>
      <c r="B12094" s="24" t="s">
        <v>38266</v>
      </c>
      <c r="C12094" s="24" t="s">
        <v>38267</v>
      </c>
      <c r="D12094" s="25" t="s">
        <v>38268</v>
      </c>
      <c r="E12094" s="28">
        <v>0.26667</v>
      </c>
      <c r="F12094" s="29">
        <f ca="1">F12098</f>
        <v>0</v>
      </c>
      <c r="G12094" s="27">
        <f ca="1">ROUND(E12094*F12094,2)</f>
        <v>0</v>
      </c>
    </row>
    <row r="12095" spans="1:7" ht="24.36" thickBot="1" customHeight="1">
      <c r="A12095" s="24" t="s">
        <v>38269</v>
      </c>
      <c r="B12095" s="24" t="s">
        <v>38270</v>
      </c>
      <c r="C12095" s="24" t="s">
        <v>38271</v>
      </c>
      <c r="D12095" s="25" t="s">
        <v>38272</v>
      </c>
      <c r="E12095" s="28">
        <v>1.00000</v>
      </c>
      <c r="F12095" s="29">
        <f ca="1">ROUND(21.000,3)</f>
        <v>0</v>
      </c>
      <c r="G12095" s="27">
        <f ca="1">ROUND(E12095*F12095,2)</f>
        <v>0</v>
      </c>
    </row>
    <row r="12096" spans="1:7" ht="24.36" thickBot="1" customHeight="1">
      <c r="A12096" s="24" t="s">
        <v>38273</v>
      </c>
      <c r="B12096" s="24" t="s">
        <v>38274</v>
      </c>
      <c r="C12096" s="24" t="s">
        <v>38275</v>
      </c>
      <c r="D12096" s="25" t="s">
        <v>38276</v>
      </c>
      <c r="E12096" s="28">
        <v>1.00000</v>
      </c>
      <c r="F12096" s="29">
        <f ca="1">ROUND(19.000,3)</f>
        <v>0</v>
      </c>
      <c r="G12096" s="27">
        <f ca="1">ROUND(E12096*F12096,2)</f>
        <v>0</v>
      </c>
    </row>
    <row r="12097" spans="1:7" ht="24.36" thickBot="1" customHeight="1">
      <c r="A12097" s="24" t="s">
        <v>38277</v>
      </c>
      <c r="B12097" s="24" t="s">
        <v>38278</v>
      </c>
      <c r="C12097" s="24" t="s">
        <v>38279</v>
      </c>
      <c r="D12097" s="25" t="s">
        <v>38280</v>
      </c>
      <c r="E12097" s="28">
        <v>0.20000</v>
      </c>
      <c r="F12097" s="29">
        <f ca="1">ROUND(19.000,3)</f>
        <v>0</v>
      </c>
      <c r="G12097" s="27">
        <f ca="1">ROUND(E12097*F12097,2)</f>
        <v>0</v>
      </c>
    </row>
    <row r="12098" spans="1:7" ht="15.12" thickBot="1" customHeight="1">
      <c r="A12098" s="26"/>
      <c r="B12098" s="26"/>
      <c r="C12098" s="26"/>
      <c r="D12098" s="24" t="s">
        <v>38281</v>
      </c>
      <c r="E12098" s="28">
        <v>0.26667</v>
      </c>
      <c r="F12098" s="29">
        <f ca="1">ROUND((G12095+G12096+G12097),3)</f>
        <v>0</v>
      </c>
      <c r="G12098" s="27">
        <f ca="1">ROUND(E12098*F12098,2)</f>
        <v>0</v>
      </c>
    </row>
    <row r="12099" spans="1:7" ht="15.12" thickBot="1" customHeight="1">
      <c r="A12099" s="24" t="s">
        <v>38282</v>
      </c>
      <c r="B12099" s="24"/>
      <c r="C12099" s="24" t="s">
        <v>38283</v>
      </c>
      <c r="D12099" s="25" t="s">
        <v>38284</v>
      </c>
      <c r="E12099" s="28">
        <v>7.00000</v>
      </c>
      <c r="F12099" s="29">
        <f ca="1">ROUND(11.680,3)</f>
        <v>0</v>
      </c>
      <c r="G12099" s="27">
        <f ca="1">ROUND((E12099*F12099)/100,2)</f>
        <v>0</v>
      </c>
    </row>
    <row r="12100" spans="1:7" ht="15.48" thickBot="1" customHeight="1">
      <c r="A12100" s="30"/>
      <c r="B12100" s="30"/>
      <c r="C12100" s="30"/>
      <c r="D12100" s="31" t="s">
        <v>38285</v>
      </c>
      <c r="E12100" s="30"/>
      <c r="F12100" s="33">
        <f ca="1">ROUND((G12092+G12093+G12094+G12099)*(1+G2/100),2)</f>
        <v>0</v>
      </c>
      <c r="G12100" s="30"/>
    </row>
    <row r="12101" spans="1:7" ht="67.56" thickBot="1" customHeight="1">
      <c r="A12101" s="34" t="s">
        <v>38286</v>
      </c>
      <c r="B12101" s="35" t="s">
        <v>38287</v>
      </c>
      <c r="C12101" s="35" t="s">
        <v>38288</v>
      </c>
      <c r="D12101" s="36" t="s">
        <v>38289</v>
      </c>
      <c r="E12101" s="37"/>
      <c r="F12101" s="38">
        <f ca="1">F12111</f>
        <v>0</v>
      </c>
      <c r="G12101" s="37"/>
    </row>
    <row r="12102" spans="1:7" ht="30.60" thickBot="1" customHeight="1">
      <c r="A12102" s="26"/>
      <c r="B12102" s="26"/>
      <c r="C12102" s="26"/>
      <c r="D12102" s="25" t="s">
        <v>38290</v>
      </c>
      <c r="E12102" s="25"/>
      <c r="F12102" s="25"/>
      <c r="G12102" s="25"/>
    </row>
    <row r="12103" spans="1:7" ht="39.84" thickBot="1" customHeight="1">
      <c r="A12103" s="24" t="s">
        <v>38291</v>
      </c>
      <c r="B12103" s="24" t="s">
        <v>38292</v>
      </c>
      <c r="C12103" s="24" t="s">
        <v>38293</v>
      </c>
      <c r="D12103" s="25" t="s">
        <v>38294</v>
      </c>
      <c r="E12103" s="28">
        <v>0.00825</v>
      </c>
      <c r="F12103" s="29">
        <f ca="1">ROUND(284.340,3)</f>
        <v>0</v>
      </c>
      <c r="G12103" s="27">
        <f ca="1">ROUND(E12103*F12103,2)</f>
        <v>0</v>
      </c>
    </row>
    <row r="12104" spans="1:7" ht="30.60" thickBot="1" customHeight="1">
      <c r="A12104" s="24" t="s">
        <v>38295</v>
      </c>
      <c r="B12104" s="24" t="s">
        <v>38296</v>
      </c>
      <c r="C12104" s="24" t="s">
        <v>38297</v>
      </c>
      <c r="D12104" s="25" t="s">
        <v>38298</v>
      </c>
      <c r="E12104" s="28">
        <v>0.01100</v>
      </c>
      <c r="F12104" s="29">
        <f ca="1">ROUND(347.030,3)</f>
        <v>0</v>
      </c>
      <c r="G12104" s="27">
        <f ca="1">ROUND(E12104*F12104,2)</f>
        <v>0</v>
      </c>
    </row>
    <row r="12105" spans="1:7" ht="21.36" thickBot="1" customHeight="1">
      <c r="A12105" s="24" t="s">
        <v>38299</v>
      </c>
      <c r="B12105" s="24" t="s">
        <v>38300</v>
      </c>
      <c r="C12105" s="24" t="s">
        <v>38301</v>
      </c>
      <c r="D12105" s="25" t="s">
        <v>38302</v>
      </c>
      <c r="E12105" s="28">
        <v>0.34700</v>
      </c>
      <c r="F12105" s="29">
        <f ca="1">F12109</f>
        <v>0</v>
      </c>
      <c r="G12105" s="27">
        <f ca="1">ROUND(E12105*F12105,2)</f>
        <v>0</v>
      </c>
    </row>
    <row r="12106" spans="1:7" ht="24.36" thickBot="1" customHeight="1">
      <c r="A12106" s="24" t="s">
        <v>38303</v>
      </c>
      <c r="B12106" s="24" t="s">
        <v>38304</v>
      </c>
      <c r="C12106" s="24" t="s">
        <v>38305</v>
      </c>
      <c r="D12106" s="25" t="s">
        <v>38306</v>
      </c>
      <c r="E12106" s="28">
        <v>1.00000</v>
      </c>
      <c r="F12106" s="29">
        <f ca="1">ROUND(21.000,3)</f>
        <v>0</v>
      </c>
      <c r="G12106" s="27">
        <f ca="1">ROUND(E12106*F12106,2)</f>
        <v>0</v>
      </c>
    </row>
    <row r="12107" spans="1:7" ht="24.36" thickBot="1" customHeight="1">
      <c r="A12107" s="24" t="s">
        <v>38307</v>
      </c>
      <c r="B12107" s="24" t="s">
        <v>38308</v>
      </c>
      <c r="C12107" s="24" t="s">
        <v>38309</v>
      </c>
      <c r="D12107" s="25" t="s">
        <v>38310</v>
      </c>
      <c r="E12107" s="28">
        <v>1.00000</v>
      </c>
      <c r="F12107" s="29">
        <f ca="1">ROUND(19.000,3)</f>
        <v>0</v>
      </c>
      <c r="G12107" s="27">
        <f ca="1">ROUND(E12107*F12107,2)</f>
        <v>0</v>
      </c>
    </row>
    <row r="12108" spans="1:7" ht="24.36" thickBot="1" customHeight="1">
      <c r="A12108" s="24" t="s">
        <v>38311</v>
      </c>
      <c r="B12108" s="24" t="s">
        <v>38312</v>
      </c>
      <c r="C12108" s="24" t="s">
        <v>38313</v>
      </c>
      <c r="D12108" s="25" t="s">
        <v>38314</v>
      </c>
      <c r="E12108" s="28">
        <v>0.20000</v>
      </c>
      <c r="F12108" s="29">
        <f ca="1">ROUND(19.000,3)</f>
        <v>0</v>
      </c>
      <c r="G12108" s="27">
        <f ca="1">ROUND(E12108*F12108,2)</f>
        <v>0</v>
      </c>
    </row>
    <row r="12109" spans="1:7" ht="15.12" thickBot="1" customHeight="1">
      <c r="A12109" s="26"/>
      <c r="B12109" s="26"/>
      <c r="C12109" s="26"/>
      <c r="D12109" s="24" t="s">
        <v>38315</v>
      </c>
      <c r="E12109" s="28">
        <v>0.34700</v>
      </c>
      <c r="F12109" s="29">
        <f ca="1">ROUND((G12106+G12107+G12108),3)</f>
        <v>0</v>
      </c>
      <c r="G12109" s="27">
        <f ca="1">ROUND(E12109*F12109,2)</f>
        <v>0</v>
      </c>
    </row>
    <row r="12110" spans="1:7" ht="15.12" thickBot="1" customHeight="1">
      <c r="A12110" s="24" t="s">
        <v>38316</v>
      </c>
      <c r="B12110" s="24"/>
      <c r="C12110" s="24" t="s">
        <v>38317</v>
      </c>
      <c r="D12110" s="25" t="s">
        <v>38318</v>
      </c>
      <c r="E12110" s="28">
        <v>7.00000</v>
      </c>
      <c r="F12110" s="29">
        <f ca="1">ROUND(15.200,3)</f>
        <v>0</v>
      </c>
      <c r="G12110" s="27">
        <f ca="1">ROUND((E12110*F12110)/100,2)</f>
        <v>0</v>
      </c>
    </row>
    <row r="12111" spans="1:7" ht="25.08" thickBot="1" customHeight="1">
      <c r="A12111" s="30"/>
      <c r="B12111" s="30"/>
      <c r="C12111" s="30"/>
      <c r="D12111" s="31" t="s">
        <v>38319</v>
      </c>
      <c r="E12111" s="30"/>
      <c r="F12111" s="33">
        <f ca="1">ROUND((G12103+G12104+G12105+G12110)*(1+G2/100),2)</f>
        <v>0</v>
      </c>
      <c r="G12111" s="30"/>
    </row>
    <row r="12112" spans="1:7" ht="49.08" thickBot="1" customHeight="1">
      <c r="A12112" s="34" t="s">
        <v>38320</v>
      </c>
      <c r="B12112" s="35" t="s">
        <v>38321</v>
      </c>
      <c r="C12112" s="35" t="s">
        <v>38322</v>
      </c>
      <c r="D12112" s="36" t="s">
        <v>38323</v>
      </c>
      <c r="E12112" s="37"/>
      <c r="F12112" s="38">
        <f ca="1">F12122</f>
        <v>0</v>
      </c>
      <c r="G12112" s="37"/>
    </row>
    <row r="12113" spans="1:7" ht="21.36" thickBot="1" customHeight="1">
      <c r="A12113" s="26"/>
      <c r="B12113" s="26"/>
      <c r="C12113" s="26"/>
      <c r="D12113" s="25" t="s">
        <v>38324</v>
      </c>
      <c r="E12113" s="25"/>
      <c r="F12113" s="25"/>
      <c r="G12113" s="25"/>
    </row>
    <row r="12114" spans="1:7" ht="30.60" thickBot="1" customHeight="1">
      <c r="A12114" s="24" t="s">
        <v>38325</v>
      </c>
      <c r="B12114" s="24" t="s">
        <v>38326</v>
      </c>
      <c r="C12114" s="24" t="s">
        <v>38327</v>
      </c>
      <c r="D12114" s="25" t="s">
        <v>38328</v>
      </c>
      <c r="E12114" s="28">
        <v>0.00825</v>
      </c>
      <c r="F12114" s="29">
        <f ca="1">ROUND(227.640,3)</f>
        <v>0</v>
      </c>
      <c r="G12114" s="27">
        <f ca="1">ROUND(E12114*F12114,2)</f>
        <v>0</v>
      </c>
    </row>
    <row r="12115" spans="1:7" ht="39.84" thickBot="1" customHeight="1">
      <c r="A12115" s="24" t="s">
        <v>38329</v>
      </c>
      <c r="B12115" s="24" t="s">
        <v>38330</v>
      </c>
      <c r="C12115" s="24" t="s">
        <v>38331</v>
      </c>
      <c r="D12115" s="25" t="s">
        <v>38332</v>
      </c>
      <c r="E12115" s="28">
        <v>0.07700</v>
      </c>
      <c r="F12115" s="29">
        <f ca="1">ROUND(73.310,3)</f>
        <v>0</v>
      </c>
      <c r="G12115" s="27">
        <f ca="1">ROUND(E12115*F12115,2)</f>
        <v>0</v>
      </c>
    </row>
    <row r="12116" spans="1:7" ht="21.36" thickBot="1" customHeight="1">
      <c r="A12116" s="24" t="s">
        <v>38333</v>
      </c>
      <c r="B12116" s="24" t="s">
        <v>38334</v>
      </c>
      <c r="C12116" s="24" t="s">
        <v>38335</v>
      </c>
      <c r="D12116" s="25" t="s">
        <v>38336</v>
      </c>
      <c r="E12116" s="28">
        <v>0.26667</v>
      </c>
      <c r="F12116" s="29">
        <f ca="1">F12120</f>
        <v>0</v>
      </c>
      <c r="G12116" s="27">
        <f ca="1">ROUND(E12116*F12116,2)</f>
        <v>0</v>
      </c>
    </row>
    <row r="12117" spans="1:7" ht="24.36" thickBot="1" customHeight="1">
      <c r="A12117" s="24" t="s">
        <v>38337</v>
      </c>
      <c r="B12117" s="24" t="s">
        <v>38338</v>
      </c>
      <c r="C12117" s="24" t="s">
        <v>38339</v>
      </c>
      <c r="D12117" s="25" t="s">
        <v>38340</v>
      </c>
      <c r="E12117" s="28">
        <v>1.00000</v>
      </c>
      <c r="F12117" s="29">
        <f ca="1">ROUND(21.000,3)</f>
        <v>0</v>
      </c>
      <c r="G12117" s="27">
        <f ca="1">ROUND(E12117*F12117,2)</f>
        <v>0</v>
      </c>
    </row>
    <row r="12118" spans="1:7" ht="24.36" thickBot="1" customHeight="1">
      <c r="A12118" s="24" t="s">
        <v>38341</v>
      </c>
      <c r="B12118" s="24" t="s">
        <v>38342</v>
      </c>
      <c r="C12118" s="24" t="s">
        <v>38343</v>
      </c>
      <c r="D12118" s="25" t="s">
        <v>38344</v>
      </c>
      <c r="E12118" s="28">
        <v>1.00000</v>
      </c>
      <c r="F12118" s="29">
        <f ca="1">ROUND(19.000,3)</f>
        <v>0</v>
      </c>
      <c r="G12118" s="27">
        <f ca="1">ROUND(E12118*F12118,2)</f>
        <v>0</v>
      </c>
    </row>
    <row r="12119" spans="1:7" ht="24.36" thickBot="1" customHeight="1">
      <c r="A12119" s="24" t="s">
        <v>38345</v>
      </c>
      <c r="B12119" s="24" t="s">
        <v>38346</v>
      </c>
      <c r="C12119" s="24" t="s">
        <v>38347</v>
      </c>
      <c r="D12119" s="25" t="s">
        <v>38348</v>
      </c>
      <c r="E12119" s="28">
        <v>0.20000</v>
      </c>
      <c r="F12119" s="29">
        <f ca="1">ROUND(19.000,3)</f>
        <v>0</v>
      </c>
      <c r="G12119" s="27">
        <f ca="1">ROUND(E12119*F12119,2)</f>
        <v>0</v>
      </c>
    </row>
    <row r="12120" spans="1:7" ht="15.12" thickBot="1" customHeight="1">
      <c r="A12120" s="26"/>
      <c r="B12120" s="26"/>
      <c r="C12120" s="26"/>
      <c r="D12120" s="24" t="s">
        <v>38349</v>
      </c>
      <c r="E12120" s="28">
        <v>0.26667</v>
      </c>
      <c r="F12120" s="29">
        <f ca="1">ROUND((G12117+G12118+G12119),3)</f>
        <v>0</v>
      </c>
      <c r="G12120" s="27">
        <f ca="1">ROUND(E12120*F12120,2)</f>
        <v>0</v>
      </c>
    </row>
    <row r="12121" spans="1:7" ht="15.12" thickBot="1" customHeight="1">
      <c r="A12121" s="24" t="s">
        <v>38350</v>
      </c>
      <c r="B12121" s="24"/>
      <c r="C12121" s="24" t="s">
        <v>38351</v>
      </c>
      <c r="D12121" s="25" t="s">
        <v>38352</v>
      </c>
      <c r="E12121" s="28">
        <v>3.00000</v>
      </c>
      <c r="F12121" s="29">
        <f ca="1">ROUND(11.680,3)</f>
        <v>0</v>
      </c>
      <c r="G12121" s="27">
        <f ca="1">ROUND((E12121*F12121)/100,2)</f>
        <v>0</v>
      </c>
    </row>
    <row r="12122" spans="1:7" ht="15.48" thickBot="1" customHeight="1">
      <c r="A12122" s="30"/>
      <c r="B12122" s="30"/>
      <c r="C12122" s="30"/>
      <c r="D12122" s="31" t="s">
        <v>38353</v>
      </c>
      <c r="E12122" s="30"/>
      <c r="F12122" s="33">
        <f ca="1">ROUND((G12114+G12115+G12116+G12121)*(1+G2/100),2)</f>
        <v>0</v>
      </c>
      <c r="G12122" s="30"/>
    </row>
    <row r="12123" spans="1:7" ht="58.32" thickBot="1" customHeight="1">
      <c r="A12123" s="34" t="s">
        <v>38354</v>
      </c>
      <c r="B12123" s="35" t="s">
        <v>38355</v>
      </c>
      <c r="C12123" s="35" t="s">
        <v>38356</v>
      </c>
      <c r="D12123" s="36" t="s">
        <v>38357</v>
      </c>
      <c r="E12123" s="37"/>
      <c r="F12123" s="38">
        <f ca="1">F12133</f>
        <v>0</v>
      </c>
      <c r="G12123" s="37"/>
    </row>
    <row r="12124" spans="1:7" ht="30.60" thickBot="1" customHeight="1">
      <c r="A12124" s="26"/>
      <c r="B12124" s="26"/>
      <c r="C12124" s="26"/>
      <c r="D12124" s="25" t="s">
        <v>38358</v>
      </c>
      <c r="E12124" s="25"/>
      <c r="F12124" s="25"/>
      <c r="G12124" s="25"/>
    </row>
    <row r="12125" spans="1:7" ht="30.60" thickBot="1" customHeight="1">
      <c r="A12125" s="24" t="s">
        <v>38359</v>
      </c>
      <c r="B12125" s="24" t="s">
        <v>38360</v>
      </c>
      <c r="C12125" s="24" t="s">
        <v>38361</v>
      </c>
      <c r="D12125" s="25" t="s">
        <v>38362</v>
      </c>
      <c r="E12125" s="28">
        <v>0.00825</v>
      </c>
      <c r="F12125" s="29">
        <f ca="1">ROUND(227.640,3)</f>
        <v>0</v>
      </c>
      <c r="G12125" s="27">
        <f ca="1">ROUND(E12125*F12125,2)</f>
        <v>0</v>
      </c>
    </row>
    <row r="12126" spans="1:7" ht="39.84" thickBot="1" customHeight="1">
      <c r="A12126" s="24" t="s">
        <v>38363</v>
      </c>
      <c r="B12126" s="24" t="s">
        <v>38364</v>
      </c>
      <c r="C12126" s="24" t="s">
        <v>38365</v>
      </c>
      <c r="D12126" s="25" t="s">
        <v>38366</v>
      </c>
      <c r="E12126" s="28">
        <v>0.07700</v>
      </c>
      <c r="F12126" s="29">
        <f ca="1">ROUND(73.310,3)</f>
        <v>0</v>
      </c>
      <c r="G12126" s="27">
        <f ca="1">ROUND(E12126*F12126,2)</f>
        <v>0</v>
      </c>
    </row>
    <row r="12127" spans="1:7" ht="21.36" thickBot="1" customHeight="1">
      <c r="A12127" s="24" t="s">
        <v>38367</v>
      </c>
      <c r="B12127" s="24" t="s">
        <v>38368</v>
      </c>
      <c r="C12127" s="24" t="s">
        <v>38369</v>
      </c>
      <c r="D12127" s="25" t="s">
        <v>38370</v>
      </c>
      <c r="E12127" s="28">
        <v>0.36000</v>
      </c>
      <c r="F12127" s="29">
        <f ca="1">F12131</f>
        <v>0</v>
      </c>
      <c r="G12127" s="27">
        <f ca="1">ROUND(E12127*F12127,2)</f>
        <v>0</v>
      </c>
    </row>
    <row r="12128" spans="1:7" ht="24.36" thickBot="1" customHeight="1">
      <c r="A12128" s="24" t="s">
        <v>38371</v>
      </c>
      <c r="B12128" s="24" t="s">
        <v>38372</v>
      </c>
      <c r="C12128" s="24" t="s">
        <v>38373</v>
      </c>
      <c r="D12128" s="25" t="s">
        <v>38374</v>
      </c>
      <c r="E12128" s="28">
        <v>1.00000</v>
      </c>
      <c r="F12128" s="29">
        <f ca="1">ROUND(21.000,3)</f>
        <v>0</v>
      </c>
      <c r="G12128" s="27">
        <f ca="1">ROUND(E12128*F12128,2)</f>
        <v>0</v>
      </c>
    </row>
    <row r="12129" spans="1:7" ht="24.36" thickBot="1" customHeight="1">
      <c r="A12129" s="24" t="s">
        <v>38375</v>
      </c>
      <c r="B12129" s="24" t="s">
        <v>38376</v>
      </c>
      <c r="C12129" s="24" t="s">
        <v>38377</v>
      </c>
      <c r="D12129" s="25" t="s">
        <v>38378</v>
      </c>
      <c r="E12129" s="28">
        <v>1.00000</v>
      </c>
      <c r="F12129" s="29">
        <f ca="1">ROUND(19.000,3)</f>
        <v>0</v>
      </c>
      <c r="G12129" s="27">
        <f ca="1">ROUND(E12129*F12129,2)</f>
        <v>0</v>
      </c>
    </row>
    <row r="12130" spans="1:7" ht="24.36" thickBot="1" customHeight="1">
      <c r="A12130" s="24" t="s">
        <v>38379</v>
      </c>
      <c r="B12130" s="24" t="s">
        <v>38380</v>
      </c>
      <c r="C12130" s="24" t="s">
        <v>38381</v>
      </c>
      <c r="D12130" s="25" t="s">
        <v>38382</v>
      </c>
      <c r="E12130" s="28">
        <v>0.20000</v>
      </c>
      <c r="F12130" s="29">
        <f ca="1">ROUND(19.000,3)</f>
        <v>0</v>
      </c>
      <c r="G12130" s="27">
        <f ca="1">ROUND(E12130*F12130,2)</f>
        <v>0</v>
      </c>
    </row>
    <row r="12131" spans="1:7" ht="15.12" thickBot="1" customHeight="1">
      <c r="A12131" s="26"/>
      <c r="B12131" s="26"/>
      <c r="C12131" s="26"/>
      <c r="D12131" s="24" t="s">
        <v>38383</v>
      </c>
      <c r="E12131" s="28">
        <v>0.36000</v>
      </c>
      <c r="F12131" s="29">
        <f ca="1">ROUND((G12128+G12129+G12130),3)</f>
        <v>0</v>
      </c>
      <c r="G12131" s="27">
        <f ca="1">ROUND(E12131*F12131,2)</f>
        <v>0</v>
      </c>
    </row>
    <row r="12132" spans="1:7" ht="15.12" thickBot="1" customHeight="1">
      <c r="A12132" s="24" t="s">
        <v>38384</v>
      </c>
      <c r="B12132" s="24"/>
      <c r="C12132" s="24" t="s">
        <v>38385</v>
      </c>
      <c r="D12132" s="25" t="s">
        <v>38386</v>
      </c>
      <c r="E12132" s="28">
        <v>7.00000</v>
      </c>
      <c r="F12132" s="29">
        <f ca="1">ROUND(15.770,3)</f>
        <v>0</v>
      </c>
      <c r="G12132" s="27">
        <f ca="1">ROUND((E12132*F12132)/100,2)</f>
        <v>0</v>
      </c>
    </row>
    <row r="12133" spans="1:7" ht="15.48" thickBot="1" customHeight="1">
      <c r="A12133" s="30"/>
      <c r="B12133" s="30"/>
      <c r="C12133" s="30"/>
      <c r="D12133" s="31" t="s">
        <v>38387</v>
      </c>
      <c r="E12133" s="30"/>
      <c r="F12133" s="33">
        <f ca="1">ROUND((G12125+G12126+G12127+G12132)*(1+G2/100),2)</f>
        <v>0</v>
      </c>
      <c r="G12133" s="30"/>
    </row>
    <row r="12134" spans="1:7" ht="58.32" thickBot="1" customHeight="1">
      <c r="A12134" s="34" t="s">
        <v>38388</v>
      </c>
      <c r="B12134" s="35" t="s">
        <v>38389</v>
      </c>
      <c r="C12134" s="35" t="s">
        <v>38390</v>
      </c>
      <c r="D12134" s="36" t="s">
        <v>38391</v>
      </c>
      <c r="E12134" s="37"/>
      <c r="F12134" s="38">
        <f ca="1">F12144</f>
        <v>0</v>
      </c>
      <c r="G12134" s="37"/>
    </row>
    <row r="12135" spans="1:7" ht="30.60" thickBot="1" customHeight="1">
      <c r="A12135" s="26"/>
      <c r="B12135" s="26"/>
      <c r="C12135" s="26"/>
      <c r="D12135" s="25" t="s">
        <v>38392</v>
      </c>
      <c r="E12135" s="25"/>
      <c r="F12135" s="25"/>
      <c r="G12135" s="25"/>
    </row>
    <row r="12136" spans="1:7" ht="30.60" thickBot="1" customHeight="1">
      <c r="A12136" s="24" t="s">
        <v>38393</v>
      </c>
      <c r="B12136" s="24" t="s">
        <v>38394</v>
      </c>
      <c r="C12136" s="24" t="s">
        <v>38395</v>
      </c>
      <c r="D12136" s="25" t="s">
        <v>38396</v>
      </c>
      <c r="E12136" s="28">
        <v>0.00825</v>
      </c>
      <c r="F12136" s="29">
        <f ca="1">ROUND(227.640,3)</f>
        <v>0</v>
      </c>
      <c r="G12136" s="27">
        <f ca="1">ROUND(E12136*F12136,2)</f>
        <v>0</v>
      </c>
    </row>
    <row r="12137" spans="1:7" ht="39.84" thickBot="1" customHeight="1">
      <c r="A12137" s="24" t="s">
        <v>38397</v>
      </c>
      <c r="B12137" s="24" t="s">
        <v>38398</v>
      </c>
      <c r="C12137" s="24" t="s">
        <v>38399</v>
      </c>
      <c r="D12137" s="25" t="s">
        <v>38400</v>
      </c>
      <c r="E12137" s="28">
        <v>0.07700</v>
      </c>
      <c r="F12137" s="29">
        <f ca="1">ROUND(73.310,3)</f>
        <v>0</v>
      </c>
      <c r="G12137" s="27">
        <f ca="1">ROUND(E12137*F12137,2)</f>
        <v>0</v>
      </c>
    </row>
    <row r="12138" spans="1:7" ht="21.36" thickBot="1" customHeight="1">
      <c r="A12138" s="24" t="s">
        <v>38401</v>
      </c>
      <c r="B12138" s="24" t="s">
        <v>38402</v>
      </c>
      <c r="C12138" s="24" t="s">
        <v>38403</v>
      </c>
      <c r="D12138" s="25" t="s">
        <v>38404</v>
      </c>
      <c r="E12138" s="28">
        <v>0.48600</v>
      </c>
      <c r="F12138" s="29">
        <f ca="1">F12142</f>
        <v>0</v>
      </c>
      <c r="G12138" s="27">
        <f ca="1">ROUND(E12138*F12138,2)</f>
        <v>0</v>
      </c>
    </row>
    <row r="12139" spans="1:7" ht="24.36" thickBot="1" customHeight="1">
      <c r="A12139" s="24" t="s">
        <v>38405</v>
      </c>
      <c r="B12139" s="24" t="s">
        <v>38406</v>
      </c>
      <c r="C12139" s="24" t="s">
        <v>38407</v>
      </c>
      <c r="D12139" s="25" t="s">
        <v>38408</v>
      </c>
      <c r="E12139" s="28">
        <v>1.00000</v>
      </c>
      <c r="F12139" s="29">
        <f ca="1">ROUND(21.000,3)</f>
        <v>0</v>
      </c>
      <c r="G12139" s="27">
        <f ca="1">ROUND(E12139*F12139,2)</f>
        <v>0</v>
      </c>
    </row>
    <row r="12140" spans="1:7" ht="24.36" thickBot="1" customHeight="1">
      <c r="A12140" s="24" t="s">
        <v>38409</v>
      </c>
      <c r="B12140" s="24" t="s">
        <v>38410</v>
      </c>
      <c r="C12140" s="24" t="s">
        <v>38411</v>
      </c>
      <c r="D12140" s="25" t="s">
        <v>38412</v>
      </c>
      <c r="E12140" s="28">
        <v>1.00000</v>
      </c>
      <c r="F12140" s="29">
        <f ca="1">ROUND(19.000,3)</f>
        <v>0</v>
      </c>
      <c r="G12140" s="27">
        <f ca="1">ROUND(E12140*F12140,2)</f>
        <v>0</v>
      </c>
    </row>
    <row r="12141" spans="1:7" ht="24.36" thickBot="1" customHeight="1">
      <c r="A12141" s="24" t="s">
        <v>38413</v>
      </c>
      <c r="B12141" s="24" t="s">
        <v>38414</v>
      </c>
      <c r="C12141" s="24" t="s">
        <v>38415</v>
      </c>
      <c r="D12141" s="25" t="s">
        <v>38416</v>
      </c>
      <c r="E12141" s="28">
        <v>0.20000</v>
      </c>
      <c r="F12141" s="29">
        <f ca="1">ROUND(19.000,3)</f>
        <v>0</v>
      </c>
      <c r="G12141" s="27">
        <f ca="1">ROUND(E12141*F12141,2)</f>
        <v>0</v>
      </c>
    </row>
    <row r="12142" spans="1:7" ht="15.12" thickBot="1" customHeight="1">
      <c r="A12142" s="26"/>
      <c r="B12142" s="26"/>
      <c r="C12142" s="26"/>
      <c r="D12142" s="24" t="s">
        <v>38417</v>
      </c>
      <c r="E12142" s="28">
        <v>0.48600</v>
      </c>
      <c r="F12142" s="29">
        <f ca="1">ROUND((G12139+G12140+G12141),3)</f>
        <v>0</v>
      </c>
      <c r="G12142" s="27">
        <f ca="1">ROUND(E12142*F12142,2)</f>
        <v>0</v>
      </c>
    </row>
    <row r="12143" spans="1:7" ht="15.12" thickBot="1" customHeight="1">
      <c r="A12143" s="24" t="s">
        <v>38418</v>
      </c>
      <c r="B12143" s="24"/>
      <c r="C12143" s="24" t="s">
        <v>38419</v>
      </c>
      <c r="D12143" s="25" t="s">
        <v>38420</v>
      </c>
      <c r="E12143" s="28">
        <v>7.00000</v>
      </c>
      <c r="F12143" s="29">
        <f ca="1">ROUND(21.290,3)</f>
        <v>0</v>
      </c>
      <c r="G12143" s="27">
        <f ca="1">ROUND((E12143*F12143)/100,2)</f>
        <v>0</v>
      </c>
    </row>
    <row r="12144" spans="1:7" ht="15.48" thickBot="1" customHeight="1">
      <c r="A12144" s="30"/>
      <c r="B12144" s="30"/>
      <c r="C12144" s="30"/>
      <c r="D12144" s="31" t="s">
        <v>38421</v>
      </c>
      <c r="E12144" s="30"/>
      <c r="F12144" s="33">
        <f ca="1">ROUND((G12136+G12137+G12138+G12143)*(1+G2/100),2)</f>
        <v>0</v>
      </c>
      <c r="G12144" s="30"/>
    </row>
    <row r="12145" spans="1:7" ht="21.36" thickBot="1" customHeight="1">
      <c r="A12145" s="34" t="s">
        <v>38422</v>
      </c>
      <c r="B12145" s="35" t="s">
        <v>38423</v>
      </c>
      <c r="C12145" s="35" t="s">
        <v>38424</v>
      </c>
      <c r="D12145" s="36" t="s">
        <v>38425</v>
      </c>
      <c r="E12145" s="37"/>
      <c r="F12145" s="38">
        <f ca="1">F12154</f>
        <v>0</v>
      </c>
      <c r="G12145" s="37"/>
    </row>
    <row r="12146" spans="1:7" ht="39.84" thickBot="1" customHeight="1">
      <c r="A12146" s="26"/>
      <c r="B12146" s="26"/>
      <c r="C12146" s="26"/>
      <c r="D12146" s="25" t="s">
        <v>38426</v>
      </c>
      <c r="E12146" s="25"/>
      <c r="F12146" s="25"/>
      <c r="G12146" s="25"/>
    </row>
    <row r="12147" spans="1:7" ht="30.60" thickBot="1" customHeight="1">
      <c r="A12147" s="24" t="s">
        <v>38427</v>
      </c>
      <c r="B12147" s="24" t="s">
        <v>38428</v>
      </c>
      <c r="C12147" s="24" t="s">
        <v>38429</v>
      </c>
      <c r="D12147" s="25" t="s">
        <v>38430</v>
      </c>
      <c r="E12147" s="28">
        <v>0.06660</v>
      </c>
      <c r="F12147" s="29">
        <f ca="1">ROUND(110.660,3)</f>
        <v>0</v>
      </c>
      <c r="G12147" s="27">
        <f ca="1">ROUND(E12147*F12147,2)</f>
        <v>0</v>
      </c>
    </row>
    <row r="12148" spans="1:7" ht="24.36" thickBot="1" customHeight="1">
      <c r="A12148" s="24" t="s">
        <v>38431</v>
      </c>
      <c r="B12148" s="24" t="s">
        <v>38432</v>
      </c>
      <c r="C12148" s="24" t="s">
        <v>38433</v>
      </c>
      <c r="D12148" s="25" t="s">
        <v>38434</v>
      </c>
      <c r="E12148" s="28">
        <v>0.11000</v>
      </c>
      <c r="F12148" s="29">
        <f ca="1">ROUND(4.630,3)</f>
        <v>0</v>
      </c>
      <c r="G12148" s="27">
        <f ca="1">ROUND(E12148*F12148,2)</f>
        <v>0</v>
      </c>
    </row>
    <row r="12149" spans="1:7" ht="21.36" thickBot="1" customHeight="1">
      <c r="A12149" s="24" t="s">
        <v>38435</v>
      </c>
      <c r="B12149" s="24" t="s">
        <v>38436</v>
      </c>
      <c r="C12149" s="24" t="s">
        <v>38437</v>
      </c>
      <c r="D12149" s="25" t="s">
        <v>38438</v>
      </c>
      <c r="E12149" s="28">
        <v>0.35000</v>
      </c>
      <c r="F12149" s="29">
        <f ca="1">F12153</f>
        <v>0</v>
      </c>
      <c r="G12149" s="27">
        <f ca="1">ROUND(E12149*F12149,2)</f>
        <v>0</v>
      </c>
    </row>
    <row r="12150" spans="1:7" ht="24.36" thickBot="1" customHeight="1">
      <c r="A12150" s="24" t="s">
        <v>38439</v>
      </c>
      <c r="B12150" s="24" t="s">
        <v>38440</v>
      </c>
      <c r="C12150" s="24" t="s">
        <v>38441</v>
      </c>
      <c r="D12150" s="25" t="s">
        <v>38442</v>
      </c>
      <c r="E12150" s="28">
        <v>1.00000</v>
      </c>
      <c r="F12150" s="29">
        <f ca="1">ROUND(21.000,3)</f>
        <v>0</v>
      </c>
      <c r="G12150" s="27">
        <f ca="1">ROUND(E12150*F12150,2)</f>
        <v>0</v>
      </c>
    </row>
    <row r="12151" spans="1:7" ht="24.36" thickBot="1" customHeight="1">
      <c r="A12151" s="24" t="s">
        <v>38443</v>
      </c>
      <c r="B12151" s="24" t="s">
        <v>38444</v>
      </c>
      <c r="C12151" s="24" t="s">
        <v>38445</v>
      </c>
      <c r="D12151" s="25" t="s">
        <v>38446</v>
      </c>
      <c r="E12151" s="28">
        <v>1.00000</v>
      </c>
      <c r="F12151" s="29">
        <f ca="1">ROUND(19.000,3)</f>
        <v>0</v>
      </c>
      <c r="G12151" s="27">
        <f ca="1">ROUND(E12151*F12151,2)</f>
        <v>0</v>
      </c>
    </row>
    <row r="12152" spans="1:7" ht="24.36" thickBot="1" customHeight="1">
      <c r="A12152" s="24" t="s">
        <v>38447</v>
      </c>
      <c r="B12152" s="24" t="s">
        <v>38448</v>
      </c>
      <c r="C12152" s="24" t="s">
        <v>38449</v>
      </c>
      <c r="D12152" s="25" t="s">
        <v>38450</v>
      </c>
      <c r="E12152" s="28">
        <v>0.20000</v>
      </c>
      <c r="F12152" s="29">
        <f ca="1">ROUND(19.000,3)</f>
        <v>0</v>
      </c>
      <c r="G12152" s="27">
        <f ca="1">ROUND(E12152*F12152,2)</f>
        <v>0</v>
      </c>
    </row>
    <row r="12153" spans="1:7" ht="15.12" thickBot="1" customHeight="1">
      <c r="A12153" s="26"/>
      <c r="B12153" s="26"/>
      <c r="C12153" s="26"/>
      <c r="D12153" s="24" t="s">
        <v>38451</v>
      </c>
      <c r="E12153" s="28">
        <v>0.35000</v>
      </c>
      <c r="F12153" s="29">
        <f ca="1">ROUND((G12150+G12151+G12152),3)</f>
        <v>0</v>
      </c>
      <c r="G12153" s="27">
        <f ca="1">ROUND(E12153*F12153,2)</f>
        <v>0</v>
      </c>
    </row>
    <row r="12154" spans="1:7" ht="15.48" thickBot="1" customHeight="1">
      <c r="A12154" s="30"/>
      <c r="B12154" s="30"/>
      <c r="C12154" s="30"/>
      <c r="D12154" s="31" t="s">
        <v>38452</v>
      </c>
      <c r="E12154" s="30"/>
      <c r="F12154" s="33">
        <f ca="1">ROUND((G12147+G12148+G12149)*(1+G2/100),2)</f>
        <v>0</v>
      </c>
      <c r="G12154" s="30"/>
    </row>
    <row r="12155" spans="1:7" ht="67.56" thickBot="1" customHeight="1">
      <c r="A12155" s="34" t="s">
        <v>38453</v>
      </c>
      <c r="B12155" s="35" t="s">
        <v>38454</v>
      </c>
      <c r="C12155" s="35" t="s">
        <v>38455</v>
      </c>
      <c r="D12155" s="36" t="s">
        <v>38456</v>
      </c>
      <c r="E12155" s="37"/>
      <c r="F12155" s="38">
        <f ca="1">F12165</f>
        <v>0</v>
      </c>
      <c r="G12155" s="37"/>
    </row>
    <row r="12156" spans="1:7" ht="30.60" thickBot="1" customHeight="1">
      <c r="A12156" s="26"/>
      <c r="B12156" s="26"/>
      <c r="C12156" s="26"/>
      <c r="D12156" s="25" t="s">
        <v>38457</v>
      </c>
      <c r="E12156" s="25"/>
      <c r="F12156" s="25"/>
      <c r="G12156" s="25"/>
    </row>
    <row r="12157" spans="1:7" ht="39.84" thickBot="1" customHeight="1">
      <c r="A12157" s="24" t="s">
        <v>38458</v>
      </c>
      <c r="B12157" s="24" t="s">
        <v>38459</v>
      </c>
      <c r="C12157" s="24" t="s">
        <v>38460</v>
      </c>
      <c r="D12157" s="25" t="s">
        <v>38461</v>
      </c>
      <c r="E12157" s="28">
        <v>0.00220</v>
      </c>
      <c r="F12157" s="29">
        <f ca="1">ROUND(41.280,3)</f>
        <v>0</v>
      </c>
      <c r="G12157" s="27">
        <f ca="1">ROUND(E12157*F12157,2)</f>
        <v>0</v>
      </c>
    </row>
    <row r="12158" spans="1:7" ht="39.84" thickBot="1" customHeight="1">
      <c r="A12158" s="24" t="s">
        <v>38462</v>
      </c>
      <c r="B12158" s="24" t="s">
        <v>38463</v>
      </c>
      <c r="C12158" s="24" t="s">
        <v>38464</v>
      </c>
      <c r="D12158" s="25" t="s">
        <v>38465</v>
      </c>
      <c r="E12158" s="28">
        <v>0.00400</v>
      </c>
      <c r="F12158" s="29">
        <f ca="1">ROUND(57.840,3)</f>
        <v>0</v>
      </c>
      <c r="G12158" s="27">
        <f ca="1">ROUND(E12158*F12158,2)</f>
        <v>0</v>
      </c>
    </row>
    <row r="12159" spans="1:7" ht="21.36" thickBot="1" customHeight="1">
      <c r="A12159" s="24" t="s">
        <v>38466</v>
      </c>
      <c r="B12159" s="24" t="s">
        <v>38467</v>
      </c>
      <c r="C12159" s="24" t="s">
        <v>38468</v>
      </c>
      <c r="D12159" s="25" t="s">
        <v>38469</v>
      </c>
      <c r="E12159" s="28">
        <v>0.16000</v>
      </c>
      <c r="F12159" s="29">
        <f ca="1">F12163</f>
        <v>0</v>
      </c>
      <c r="G12159" s="27">
        <f ca="1">ROUND(E12159*F12159,2)</f>
        <v>0</v>
      </c>
    </row>
    <row r="12160" spans="1:7" ht="24.36" thickBot="1" customHeight="1">
      <c r="A12160" s="24" t="s">
        <v>38470</v>
      </c>
      <c r="B12160" s="24" t="s">
        <v>38471</v>
      </c>
      <c r="C12160" s="24" t="s">
        <v>38472</v>
      </c>
      <c r="D12160" s="25" t="s">
        <v>38473</v>
      </c>
      <c r="E12160" s="28">
        <v>1.00000</v>
      </c>
      <c r="F12160" s="29">
        <f ca="1">ROUND(21.000,3)</f>
        <v>0</v>
      </c>
      <c r="G12160" s="27">
        <f ca="1">ROUND(E12160*F12160,2)</f>
        <v>0</v>
      </c>
    </row>
    <row r="12161" spans="1:7" ht="24.36" thickBot="1" customHeight="1">
      <c r="A12161" s="24" t="s">
        <v>38474</v>
      </c>
      <c r="B12161" s="24" t="s">
        <v>38475</v>
      </c>
      <c r="C12161" s="24" t="s">
        <v>38476</v>
      </c>
      <c r="D12161" s="25" t="s">
        <v>38477</v>
      </c>
      <c r="E12161" s="28">
        <v>1.00000</v>
      </c>
      <c r="F12161" s="29">
        <f ca="1">ROUND(19.000,3)</f>
        <v>0</v>
      </c>
      <c r="G12161" s="27">
        <f ca="1">ROUND(E12161*F12161,2)</f>
        <v>0</v>
      </c>
    </row>
    <row r="12162" spans="1:7" ht="24.36" thickBot="1" customHeight="1">
      <c r="A12162" s="24" t="s">
        <v>38478</v>
      </c>
      <c r="B12162" s="24" t="s">
        <v>38479</v>
      </c>
      <c r="C12162" s="24" t="s">
        <v>38480</v>
      </c>
      <c r="D12162" s="25" t="s">
        <v>38481</v>
      </c>
      <c r="E12162" s="28">
        <v>0.20000</v>
      </c>
      <c r="F12162" s="29">
        <f ca="1">ROUND(19.000,3)</f>
        <v>0</v>
      </c>
      <c r="G12162" s="27">
        <f ca="1">ROUND(E12162*F12162,2)</f>
        <v>0</v>
      </c>
    </row>
    <row r="12163" spans="1:7" ht="15.12" thickBot="1" customHeight="1">
      <c r="A12163" s="26"/>
      <c r="B12163" s="26"/>
      <c r="C12163" s="26"/>
      <c r="D12163" s="24" t="s">
        <v>38482</v>
      </c>
      <c r="E12163" s="28">
        <v>0.16000</v>
      </c>
      <c r="F12163" s="29">
        <f ca="1">ROUND((G12160+G12161+G12162),3)</f>
        <v>0</v>
      </c>
      <c r="G12163" s="27">
        <f ca="1">ROUND(E12163*F12163,2)</f>
        <v>0</v>
      </c>
    </row>
    <row r="12164" spans="1:7" ht="15.12" thickBot="1" customHeight="1">
      <c r="A12164" s="24" t="s">
        <v>38483</v>
      </c>
      <c r="B12164" s="24"/>
      <c r="C12164" s="24" t="s">
        <v>38484</v>
      </c>
      <c r="D12164" s="25" t="s">
        <v>38485</v>
      </c>
      <c r="E12164" s="28">
        <v>5.00000</v>
      </c>
      <c r="F12164" s="29">
        <f ca="1">ROUND(7.010,3)</f>
        <v>0</v>
      </c>
      <c r="G12164" s="27">
        <f ca="1">ROUND((E12164*F12164)/100,2)</f>
        <v>0</v>
      </c>
    </row>
    <row r="12165" spans="1:7" ht="15.48" thickBot="1" customHeight="1">
      <c r="A12165" s="30"/>
      <c r="B12165" s="30"/>
      <c r="C12165" s="30"/>
      <c r="D12165" s="31" t="s">
        <v>38486</v>
      </c>
      <c r="E12165" s="30"/>
      <c r="F12165" s="33">
        <f ca="1">ROUND((G12157+G12158+G12159+G12164)*(1+G2/100),2)</f>
        <v>0</v>
      </c>
      <c r="G12165" s="30"/>
    </row>
    <row r="12166" spans="1:7" ht="67.56" thickBot="1" customHeight="1">
      <c r="A12166" s="34" t="s">
        <v>38487</v>
      </c>
      <c r="B12166" s="35" t="s">
        <v>38488</v>
      </c>
      <c r="C12166" s="35" t="s">
        <v>38489</v>
      </c>
      <c r="D12166" s="36" t="s">
        <v>38490</v>
      </c>
      <c r="E12166" s="37"/>
      <c r="F12166" s="38">
        <f ca="1">F12176</f>
        <v>0</v>
      </c>
      <c r="G12166" s="37"/>
    </row>
    <row r="12167" spans="1:7" ht="30.60" thickBot="1" customHeight="1">
      <c r="A12167" s="26"/>
      <c r="B12167" s="26"/>
      <c r="C12167" s="26"/>
      <c r="D12167" s="25" t="s">
        <v>38491</v>
      </c>
      <c r="E12167" s="25"/>
      <c r="F12167" s="25"/>
      <c r="G12167" s="25"/>
    </row>
    <row r="12168" spans="1:7" ht="39.84" thickBot="1" customHeight="1">
      <c r="A12168" s="24" t="s">
        <v>38492</v>
      </c>
      <c r="B12168" s="24" t="s">
        <v>38493</v>
      </c>
      <c r="C12168" s="24" t="s">
        <v>38494</v>
      </c>
      <c r="D12168" s="25" t="s">
        <v>38495</v>
      </c>
      <c r="E12168" s="28">
        <v>0.00220</v>
      </c>
      <c r="F12168" s="29">
        <f ca="1">ROUND(41.280,3)</f>
        <v>0</v>
      </c>
      <c r="G12168" s="27">
        <f ca="1">ROUND(E12168*F12168,2)</f>
        <v>0</v>
      </c>
    </row>
    <row r="12169" spans="1:7" ht="39.84" thickBot="1" customHeight="1">
      <c r="A12169" s="24" t="s">
        <v>38496</v>
      </c>
      <c r="B12169" s="24" t="s">
        <v>38497</v>
      </c>
      <c r="C12169" s="24" t="s">
        <v>38498</v>
      </c>
      <c r="D12169" s="25" t="s">
        <v>38499</v>
      </c>
      <c r="E12169" s="28">
        <v>0.00400</v>
      </c>
      <c r="F12169" s="29">
        <f ca="1">ROUND(57.840,3)</f>
        <v>0</v>
      </c>
      <c r="G12169" s="27">
        <f ca="1">ROUND(E12169*F12169,2)</f>
        <v>0</v>
      </c>
    </row>
    <row r="12170" spans="1:7" ht="21.36" thickBot="1" customHeight="1">
      <c r="A12170" s="24" t="s">
        <v>38500</v>
      </c>
      <c r="B12170" s="24" t="s">
        <v>38501</v>
      </c>
      <c r="C12170" s="24" t="s">
        <v>38502</v>
      </c>
      <c r="D12170" s="25" t="s">
        <v>38503</v>
      </c>
      <c r="E12170" s="28">
        <v>0.22400</v>
      </c>
      <c r="F12170" s="29">
        <f ca="1">F12174</f>
        <v>0</v>
      </c>
      <c r="G12170" s="27">
        <f ca="1">ROUND(E12170*F12170,2)</f>
        <v>0</v>
      </c>
    </row>
    <row r="12171" spans="1:7" ht="24.36" thickBot="1" customHeight="1">
      <c r="A12171" s="24" t="s">
        <v>38504</v>
      </c>
      <c r="B12171" s="24" t="s">
        <v>38505</v>
      </c>
      <c r="C12171" s="24" t="s">
        <v>38506</v>
      </c>
      <c r="D12171" s="25" t="s">
        <v>38507</v>
      </c>
      <c r="E12171" s="28">
        <v>1.00000</v>
      </c>
      <c r="F12171" s="29">
        <f ca="1">ROUND(21.000,3)</f>
        <v>0</v>
      </c>
      <c r="G12171" s="27">
        <f ca="1">ROUND(E12171*F12171,2)</f>
        <v>0</v>
      </c>
    </row>
    <row r="12172" spans="1:7" ht="24.36" thickBot="1" customHeight="1">
      <c r="A12172" s="24" t="s">
        <v>38508</v>
      </c>
      <c r="B12172" s="24" t="s">
        <v>38509</v>
      </c>
      <c r="C12172" s="24" t="s">
        <v>38510</v>
      </c>
      <c r="D12172" s="25" t="s">
        <v>38511</v>
      </c>
      <c r="E12172" s="28">
        <v>1.00000</v>
      </c>
      <c r="F12172" s="29">
        <f ca="1">ROUND(19.000,3)</f>
        <v>0</v>
      </c>
      <c r="G12172" s="27">
        <f ca="1">ROUND(E12172*F12172,2)</f>
        <v>0</v>
      </c>
    </row>
    <row r="12173" spans="1:7" ht="24.36" thickBot="1" customHeight="1">
      <c r="A12173" s="24" t="s">
        <v>38512</v>
      </c>
      <c r="B12173" s="24" t="s">
        <v>38513</v>
      </c>
      <c r="C12173" s="24" t="s">
        <v>38514</v>
      </c>
      <c r="D12173" s="25" t="s">
        <v>38515</v>
      </c>
      <c r="E12173" s="28">
        <v>0.20000</v>
      </c>
      <c r="F12173" s="29">
        <f ca="1">ROUND(19.000,3)</f>
        <v>0</v>
      </c>
      <c r="G12173" s="27">
        <f ca="1">ROUND(E12173*F12173,2)</f>
        <v>0</v>
      </c>
    </row>
    <row r="12174" spans="1:7" ht="15.12" thickBot="1" customHeight="1">
      <c r="A12174" s="26"/>
      <c r="B12174" s="26"/>
      <c r="C12174" s="26"/>
      <c r="D12174" s="24" t="s">
        <v>38516</v>
      </c>
      <c r="E12174" s="28">
        <v>0.22400</v>
      </c>
      <c r="F12174" s="29">
        <f ca="1">ROUND((G12171+G12172+G12173),3)</f>
        <v>0</v>
      </c>
      <c r="G12174" s="27">
        <f ca="1">ROUND(E12174*F12174,2)</f>
        <v>0</v>
      </c>
    </row>
    <row r="12175" spans="1:7" ht="15.12" thickBot="1" customHeight="1">
      <c r="A12175" s="24" t="s">
        <v>38517</v>
      </c>
      <c r="B12175" s="24"/>
      <c r="C12175" s="24" t="s">
        <v>38518</v>
      </c>
      <c r="D12175" s="25" t="s">
        <v>38519</v>
      </c>
      <c r="E12175" s="28">
        <v>5.00000</v>
      </c>
      <c r="F12175" s="29">
        <f ca="1">ROUND(9.810,3)</f>
        <v>0</v>
      </c>
      <c r="G12175" s="27">
        <f ca="1">ROUND((E12175*F12175)/100,2)</f>
        <v>0</v>
      </c>
    </row>
    <row r="12176" spans="1:7" ht="15.48" thickBot="1" customHeight="1">
      <c r="A12176" s="30"/>
      <c r="B12176" s="30"/>
      <c r="C12176" s="30"/>
      <c r="D12176" s="31" t="s">
        <v>38520</v>
      </c>
      <c r="E12176" s="30"/>
      <c r="F12176" s="33">
        <f ca="1">ROUND((G12168+G12169+G12170+G12175)*(1+G2/100),2)</f>
        <v>0</v>
      </c>
      <c r="G12176" s="30"/>
    </row>
    <row r="12177" spans="1:7" ht="58.32" thickBot="1" customHeight="1">
      <c r="A12177" s="34" t="s">
        <v>38521</v>
      </c>
      <c r="B12177" s="35" t="s">
        <v>38522</v>
      </c>
      <c r="C12177" s="35" t="s">
        <v>38523</v>
      </c>
      <c r="D12177" s="36" t="s">
        <v>38524</v>
      </c>
      <c r="E12177" s="37"/>
      <c r="F12177" s="38">
        <f ca="1">F12186</f>
        <v>0</v>
      </c>
      <c r="G12177" s="37"/>
    </row>
    <row r="12178" spans="1:7" ht="30.60" thickBot="1" customHeight="1">
      <c r="A12178" s="26"/>
      <c r="B12178" s="26"/>
      <c r="C12178" s="26"/>
      <c r="D12178" s="25" t="s">
        <v>38525</v>
      </c>
      <c r="E12178" s="25"/>
      <c r="F12178" s="25"/>
      <c r="G12178" s="25"/>
    </row>
    <row r="12179" spans="1:7" ht="39.84" thickBot="1" customHeight="1">
      <c r="A12179" s="24" t="s">
        <v>38526</v>
      </c>
      <c r="B12179" s="24" t="s">
        <v>38527</v>
      </c>
      <c r="C12179" s="24" t="s">
        <v>38528</v>
      </c>
      <c r="D12179" s="25" t="s">
        <v>38529</v>
      </c>
      <c r="E12179" s="28">
        <v>0.02750</v>
      </c>
      <c r="F12179" s="29">
        <f ca="1">ROUND(139.670,3)</f>
        <v>0</v>
      </c>
      <c r="G12179" s="27">
        <f ca="1">ROUND(E12179*F12179,2)</f>
        <v>0</v>
      </c>
    </row>
    <row r="12180" spans="1:7" ht="21.36" thickBot="1" customHeight="1">
      <c r="A12180" s="24" t="s">
        <v>38530</v>
      </c>
      <c r="B12180" s="24" t="s">
        <v>38531</v>
      </c>
      <c r="C12180" s="24" t="s">
        <v>38532</v>
      </c>
      <c r="D12180" s="25" t="s">
        <v>38533</v>
      </c>
      <c r="E12180" s="28">
        <v>0.51000</v>
      </c>
      <c r="F12180" s="29">
        <f ca="1">F12184</f>
        <v>0</v>
      </c>
      <c r="G12180" s="27">
        <f ca="1">ROUND(E12180*F12180,2)</f>
        <v>0</v>
      </c>
    </row>
    <row r="12181" spans="1:7" ht="24.36" thickBot="1" customHeight="1">
      <c r="A12181" s="24" t="s">
        <v>38534</v>
      </c>
      <c r="B12181" s="24" t="s">
        <v>38535</v>
      </c>
      <c r="C12181" s="24" t="s">
        <v>38536</v>
      </c>
      <c r="D12181" s="25" t="s">
        <v>38537</v>
      </c>
      <c r="E12181" s="28">
        <v>1.00000</v>
      </c>
      <c r="F12181" s="29">
        <f ca="1">ROUND(21.000,3)</f>
        <v>0</v>
      </c>
      <c r="G12181" s="27">
        <f ca="1">ROUND(E12181*F12181,2)</f>
        <v>0</v>
      </c>
    </row>
    <row r="12182" spans="1:7" ht="24.36" thickBot="1" customHeight="1">
      <c r="A12182" s="24" t="s">
        <v>38538</v>
      </c>
      <c r="B12182" s="24" t="s">
        <v>38539</v>
      </c>
      <c r="C12182" s="24" t="s">
        <v>38540</v>
      </c>
      <c r="D12182" s="25" t="s">
        <v>38541</v>
      </c>
      <c r="E12182" s="28">
        <v>1.00000</v>
      </c>
      <c r="F12182" s="29">
        <f ca="1">ROUND(19.000,3)</f>
        <v>0</v>
      </c>
      <c r="G12182" s="27">
        <f ca="1">ROUND(E12182*F12182,2)</f>
        <v>0</v>
      </c>
    </row>
    <row r="12183" spans="1:7" ht="24.36" thickBot="1" customHeight="1">
      <c r="A12183" s="24" t="s">
        <v>38542</v>
      </c>
      <c r="B12183" s="24" t="s">
        <v>38543</v>
      </c>
      <c r="C12183" s="24" t="s">
        <v>38544</v>
      </c>
      <c r="D12183" s="25" t="s">
        <v>38545</v>
      </c>
      <c r="E12183" s="28">
        <v>0.20000</v>
      </c>
      <c r="F12183" s="29">
        <f ca="1">ROUND(19.000,3)</f>
        <v>0</v>
      </c>
      <c r="G12183" s="27">
        <f ca="1">ROUND(E12183*F12183,2)</f>
        <v>0</v>
      </c>
    </row>
    <row r="12184" spans="1:7" ht="15.12" thickBot="1" customHeight="1">
      <c r="A12184" s="26"/>
      <c r="B12184" s="26"/>
      <c r="C12184" s="26"/>
      <c r="D12184" s="24" t="s">
        <v>38546</v>
      </c>
      <c r="E12184" s="28">
        <v>0.51000</v>
      </c>
      <c r="F12184" s="29">
        <f ca="1">ROUND((G12181+G12182+G12183),3)</f>
        <v>0</v>
      </c>
      <c r="G12184" s="27">
        <f ca="1">ROUND(E12184*F12184,2)</f>
        <v>0</v>
      </c>
    </row>
    <row r="12185" spans="1:7" ht="15.12" thickBot="1" customHeight="1">
      <c r="A12185" s="24" t="s">
        <v>38547</v>
      </c>
      <c r="B12185" s="24"/>
      <c r="C12185" s="24" t="s">
        <v>38548</v>
      </c>
      <c r="D12185" s="25" t="s">
        <v>38549</v>
      </c>
      <c r="E12185" s="28">
        <v>5.00000</v>
      </c>
      <c r="F12185" s="29">
        <f ca="1">ROUND(22.340,3)</f>
        <v>0</v>
      </c>
      <c r="G12185" s="27">
        <f ca="1">ROUND((E12185*F12185)/100,2)</f>
        <v>0</v>
      </c>
    </row>
    <row r="12186" spans="1:7" ht="25.08" thickBot="1" customHeight="1">
      <c r="A12186" s="30"/>
      <c r="B12186" s="30"/>
      <c r="C12186" s="30"/>
      <c r="D12186" s="31" t="s">
        <v>38550</v>
      </c>
      <c r="E12186" s="30"/>
      <c r="F12186" s="33">
        <f ca="1">ROUND((G12179+G12180+G12185)*(1+G2/100),2)</f>
        <v>0</v>
      </c>
      <c r="G12186" s="30"/>
    </row>
    <row r="12187" spans="1:7" ht="58.32" thickBot="1" customHeight="1">
      <c r="A12187" s="34" t="s">
        <v>38551</v>
      </c>
      <c r="B12187" s="35" t="s">
        <v>38552</v>
      </c>
      <c r="C12187" s="35" t="s">
        <v>38553</v>
      </c>
      <c r="D12187" s="36" t="s">
        <v>38554</v>
      </c>
      <c r="E12187" s="37"/>
      <c r="F12187" s="38">
        <f ca="1">F12196</f>
        <v>0</v>
      </c>
      <c r="G12187" s="37"/>
    </row>
    <row r="12188" spans="1:7" ht="21.36" thickBot="1" customHeight="1">
      <c r="A12188" s="26"/>
      <c r="B12188" s="26"/>
      <c r="C12188" s="26"/>
      <c r="D12188" s="25" t="s">
        <v>38555</v>
      </c>
      <c r="E12188" s="25"/>
      <c r="F12188" s="25"/>
      <c r="G12188" s="25"/>
    </row>
    <row r="12189" spans="1:7" ht="39.84" thickBot="1" customHeight="1">
      <c r="A12189" s="24" t="s">
        <v>38556</v>
      </c>
      <c r="B12189" s="24" t="s">
        <v>38557</v>
      </c>
      <c r="C12189" s="24" t="s">
        <v>38558</v>
      </c>
      <c r="D12189" s="25" t="s">
        <v>38559</v>
      </c>
      <c r="E12189" s="28">
        <v>0.02750</v>
      </c>
      <c r="F12189" s="29">
        <f ca="1">ROUND(139.670,3)</f>
        <v>0</v>
      </c>
      <c r="G12189" s="27">
        <f ca="1">ROUND(E12189*F12189,2)</f>
        <v>0</v>
      </c>
    </row>
    <row r="12190" spans="1:7" ht="21.36" thickBot="1" customHeight="1">
      <c r="A12190" s="24" t="s">
        <v>38560</v>
      </c>
      <c r="B12190" s="24" t="s">
        <v>38561</v>
      </c>
      <c r="C12190" s="24" t="s">
        <v>38562</v>
      </c>
      <c r="D12190" s="25" t="s">
        <v>38563</v>
      </c>
      <c r="E12190" s="28">
        <v>0.42000</v>
      </c>
      <c r="F12190" s="29">
        <f ca="1">F12194</f>
        <v>0</v>
      </c>
      <c r="G12190" s="27">
        <f ca="1">ROUND(E12190*F12190,2)</f>
        <v>0</v>
      </c>
    </row>
    <row r="12191" spans="1:7" ht="24.36" thickBot="1" customHeight="1">
      <c r="A12191" s="24" t="s">
        <v>38564</v>
      </c>
      <c r="B12191" s="24" t="s">
        <v>38565</v>
      </c>
      <c r="C12191" s="24" t="s">
        <v>38566</v>
      </c>
      <c r="D12191" s="25" t="s">
        <v>38567</v>
      </c>
      <c r="E12191" s="28">
        <v>1.00000</v>
      </c>
      <c r="F12191" s="29">
        <f ca="1">ROUND(21.000,3)</f>
        <v>0</v>
      </c>
      <c r="G12191" s="27">
        <f ca="1">ROUND(E12191*F12191,2)</f>
        <v>0</v>
      </c>
    </row>
    <row r="12192" spans="1:7" ht="24.36" thickBot="1" customHeight="1">
      <c r="A12192" s="24" t="s">
        <v>38568</v>
      </c>
      <c r="B12192" s="24" t="s">
        <v>38569</v>
      </c>
      <c r="C12192" s="24" t="s">
        <v>38570</v>
      </c>
      <c r="D12192" s="25" t="s">
        <v>38571</v>
      </c>
      <c r="E12192" s="28">
        <v>1.00000</v>
      </c>
      <c r="F12192" s="29">
        <f ca="1">ROUND(19.000,3)</f>
        <v>0</v>
      </c>
      <c r="G12192" s="27">
        <f ca="1">ROUND(E12192*F12192,2)</f>
        <v>0</v>
      </c>
    </row>
    <row r="12193" spans="1:7" ht="24.36" thickBot="1" customHeight="1">
      <c r="A12193" s="24" t="s">
        <v>38572</v>
      </c>
      <c r="B12193" s="24" t="s">
        <v>38573</v>
      </c>
      <c r="C12193" s="24" t="s">
        <v>38574</v>
      </c>
      <c r="D12193" s="25" t="s">
        <v>38575</v>
      </c>
      <c r="E12193" s="28">
        <v>0.20000</v>
      </c>
      <c r="F12193" s="29">
        <f ca="1">ROUND(19.000,3)</f>
        <v>0</v>
      </c>
      <c r="G12193" s="27">
        <f ca="1">ROUND(E12193*F12193,2)</f>
        <v>0</v>
      </c>
    </row>
    <row r="12194" spans="1:7" ht="15.12" thickBot="1" customHeight="1">
      <c r="A12194" s="26"/>
      <c r="B12194" s="26"/>
      <c r="C12194" s="26"/>
      <c r="D12194" s="24" t="s">
        <v>38576</v>
      </c>
      <c r="E12194" s="28">
        <v>0.42000</v>
      </c>
      <c r="F12194" s="29">
        <f ca="1">ROUND((G12191+G12192+G12193),3)</f>
        <v>0</v>
      </c>
      <c r="G12194" s="27">
        <f ca="1">ROUND(E12194*F12194,2)</f>
        <v>0</v>
      </c>
    </row>
    <row r="12195" spans="1:7" ht="15.12" thickBot="1" customHeight="1">
      <c r="A12195" s="24" t="s">
        <v>38577</v>
      </c>
      <c r="B12195" s="24"/>
      <c r="C12195" s="24" t="s">
        <v>38578</v>
      </c>
      <c r="D12195" s="25" t="s">
        <v>38579</v>
      </c>
      <c r="E12195" s="28">
        <v>3.00000</v>
      </c>
      <c r="F12195" s="29">
        <f ca="1">ROUND(18.400,3)</f>
        <v>0</v>
      </c>
      <c r="G12195" s="27">
        <f ca="1">ROUND((E12195*F12195)/100,2)</f>
        <v>0</v>
      </c>
    </row>
    <row r="12196" spans="1:7" ht="25.08" thickBot="1" customHeight="1">
      <c r="A12196" s="30"/>
      <c r="B12196" s="30"/>
      <c r="C12196" s="30"/>
      <c r="D12196" s="31" t="s">
        <v>38580</v>
      </c>
      <c r="E12196" s="30"/>
      <c r="F12196" s="33">
        <f ca="1">ROUND((G12189+G12190+G12195)*(1+G2/100),2)</f>
        <v>0</v>
      </c>
      <c r="G12196" s="30"/>
    </row>
    <row r="12197" spans="1:7" ht="49.08" thickBot="1" customHeight="1">
      <c r="A12197" s="34" t="s">
        <v>38581</v>
      </c>
      <c r="B12197" s="35" t="s">
        <v>38582</v>
      </c>
      <c r="C12197" s="35" t="s">
        <v>38583</v>
      </c>
      <c r="D12197" s="36" t="s">
        <v>38584</v>
      </c>
      <c r="E12197" s="37"/>
      <c r="F12197" s="38">
        <f ca="1">F12207</f>
        <v>0</v>
      </c>
      <c r="G12197" s="37"/>
    </row>
    <row r="12198" spans="1:7" ht="21.36" thickBot="1" customHeight="1">
      <c r="A12198" s="26"/>
      <c r="B12198" s="26"/>
      <c r="C12198" s="26"/>
      <c r="D12198" s="25" t="s">
        <v>38585</v>
      </c>
      <c r="E12198" s="25"/>
      <c r="F12198" s="25"/>
      <c r="G12198" s="25"/>
    </row>
    <row r="12199" spans="1:7" ht="39.84" thickBot="1" customHeight="1">
      <c r="A12199" s="24" t="s">
        <v>38586</v>
      </c>
      <c r="B12199" s="24" t="s">
        <v>38587</v>
      </c>
      <c r="C12199" s="24" t="s">
        <v>38588</v>
      </c>
      <c r="D12199" s="25" t="s">
        <v>38589</v>
      </c>
      <c r="E12199" s="28">
        <v>0.02900</v>
      </c>
      <c r="F12199" s="29">
        <f ca="1">ROUND(110.700,3)</f>
        <v>0</v>
      </c>
      <c r="G12199" s="27">
        <f ca="1">ROUND(E12199*F12199,2)</f>
        <v>0</v>
      </c>
    </row>
    <row r="12200" spans="1:7" ht="30.60" thickBot="1" customHeight="1">
      <c r="A12200" s="24" t="s">
        <v>38590</v>
      </c>
      <c r="B12200" s="24" t="s">
        <v>38591</v>
      </c>
      <c r="C12200" s="24" t="s">
        <v>38592</v>
      </c>
      <c r="D12200" s="25" t="s">
        <v>38593</v>
      </c>
      <c r="E12200" s="28">
        <v>0.01600</v>
      </c>
      <c r="F12200" s="29">
        <f ca="1">ROUND(70.680,3)</f>
        <v>0</v>
      </c>
      <c r="G12200" s="27">
        <f ca="1">ROUND(E12200*F12200,2)</f>
        <v>0</v>
      </c>
    </row>
    <row r="12201" spans="1:7" ht="21.36" thickBot="1" customHeight="1">
      <c r="A12201" s="24" t="s">
        <v>38594</v>
      </c>
      <c r="B12201" s="24" t="s">
        <v>38595</v>
      </c>
      <c r="C12201" s="24" t="s">
        <v>38596</v>
      </c>
      <c r="D12201" s="25" t="s">
        <v>38597</v>
      </c>
      <c r="E12201" s="28">
        <v>0.32000</v>
      </c>
      <c r="F12201" s="29">
        <f ca="1">F12205</f>
        <v>0</v>
      </c>
      <c r="G12201" s="27">
        <f ca="1">ROUND(E12201*F12201,2)</f>
        <v>0</v>
      </c>
    </row>
    <row r="12202" spans="1:7" ht="24.36" thickBot="1" customHeight="1">
      <c r="A12202" s="24" t="s">
        <v>38598</v>
      </c>
      <c r="B12202" s="24" t="s">
        <v>38599</v>
      </c>
      <c r="C12202" s="24" t="s">
        <v>38600</v>
      </c>
      <c r="D12202" s="25" t="s">
        <v>38601</v>
      </c>
      <c r="E12202" s="28">
        <v>1.00000</v>
      </c>
      <c r="F12202" s="29">
        <f ca="1">ROUND(21.000,3)</f>
        <v>0</v>
      </c>
      <c r="G12202" s="27">
        <f ca="1">ROUND(E12202*F12202,2)</f>
        <v>0</v>
      </c>
    </row>
    <row r="12203" spans="1:7" ht="24.36" thickBot="1" customHeight="1">
      <c r="A12203" s="24" t="s">
        <v>38602</v>
      </c>
      <c r="B12203" s="24" t="s">
        <v>38603</v>
      </c>
      <c r="C12203" s="24" t="s">
        <v>38604</v>
      </c>
      <c r="D12203" s="25" t="s">
        <v>38605</v>
      </c>
      <c r="E12203" s="28">
        <v>1.00000</v>
      </c>
      <c r="F12203" s="29">
        <f ca="1">ROUND(19.000,3)</f>
        <v>0</v>
      </c>
      <c r="G12203" s="27">
        <f ca="1">ROUND(E12203*F12203,2)</f>
        <v>0</v>
      </c>
    </row>
    <row r="12204" spans="1:7" ht="24.36" thickBot="1" customHeight="1">
      <c r="A12204" s="24" t="s">
        <v>38606</v>
      </c>
      <c r="B12204" s="24" t="s">
        <v>38607</v>
      </c>
      <c r="C12204" s="24" t="s">
        <v>38608</v>
      </c>
      <c r="D12204" s="25" t="s">
        <v>38609</v>
      </c>
      <c r="E12204" s="28">
        <v>0.20000</v>
      </c>
      <c r="F12204" s="29">
        <f ca="1">ROUND(19.000,3)</f>
        <v>0</v>
      </c>
      <c r="G12204" s="27">
        <f ca="1">ROUND(E12204*F12204,2)</f>
        <v>0</v>
      </c>
    </row>
    <row r="12205" spans="1:7" ht="15.12" thickBot="1" customHeight="1">
      <c r="A12205" s="26"/>
      <c r="B12205" s="26"/>
      <c r="C12205" s="26"/>
      <c r="D12205" s="24" t="s">
        <v>38610</v>
      </c>
      <c r="E12205" s="28">
        <v>0.32000</v>
      </c>
      <c r="F12205" s="29">
        <f ca="1">ROUND((G12202+G12203+G12204),3)</f>
        <v>0</v>
      </c>
      <c r="G12205" s="27">
        <f ca="1">ROUND(E12205*F12205,2)</f>
        <v>0</v>
      </c>
    </row>
    <row r="12206" spans="1:7" ht="15.12" thickBot="1" customHeight="1">
      <c r="A12206" s="24" t="s">
        <v>38611</v>
      </c>
      <c r="B12206" s="24"/>
      <c r="C12206" s="24" t="s">
        <v>38612</v>
      </c>
      <c r="D12206" s="25" t="s">
        <v>38613</v>
      </c>
      <c r="E12206" s="28">
        <v>5.00000</v>
      </c>
      <c r="F12206" s="29">
        <f ca="1">ROUND(14.020,3)</f>
        <v>0</v>
      </c>
      <c r="G12206" s="27">
        <f ca="1">ROUND((E12206*F12206)/100,2)</f>
        <v>0</v>
      </c>
    </row>
    <row r="12207" spans="1:7" ht="15.48" thickBot="1" customHeight="1">
      <c r="A12207" s="30"/>
      <c r="B12207" s="30"/>
      <c r="C12207" s="30"/>
      <c r="D12207" s="31" t="s">
        <v>38614</v>
      </c>
      <c r="E12207" s="30"/>
      <c r="F12207" s="33">
        <f ca="1">ROUND((G12199+G12200+G12201+G12206)*(1+G2/100),2)</f>
        <v>0</v>
      </c>
      <c r="G12207" s="30"/>
    </row>
    <row r="12208" spans="1:7" ht="30.60" thickBot="1" customHeight="1">
      <c r="A12208" s="34" t="s">
        <v>38615</v>
      </c>
      <c r="B12208" s="35" t="s">
        <v>38616</v>
      </c>
      <c r="C12208" s="35" t="s">
        <v>38617</v>
      </c>
      <c r="D12208" s="36" t="s">
        <v>38618</v>
      </c>
      <c r="E12208" s="37"/>
      <c r="F12208" s="38">
        <f ca="1">F12218</f>
        <v>0</v>
      </c>
      <c r="G12208" s="37"/>
    </row>
    <row r="12209" spans="1:7" ht="12.12" thickBot="1" customHeight="1">
      <c r="A12209" s="26"/>
      <c r="B12209" s="26"/>
      <c r="C12209" s="26"/>
      <c r="D12209" s="25" t="s">
        <v>38619</v>
      </c>
      <c r="E12209" s="25"/>
      <c r="F12209" s="25"/>
      <c r="G12209" s="25"/>
    </row>
    <row r="12210" spans="1:7" ht="39.84" thickBot="1" customHeight="1">
      <c r="A12210" s="24" t="s">
        <v>38620</v>
      </c>
      <c r="B12210" s="24" t="s">
        <v>38621</v>
      </c>
      <c r="C12210" s="24" t="s">
        <v>38622</v>
      </c>
      <c r="D12210" s="25" t="s">
        <v>38623</v>
      </c>
      <c r="E12210" s="28">
        <v>0.01130</v>
      </c>
      <c r="F12210" s="29">
        <f ca="1">ROUND(110.700,3)</f>
        <v>0</v>
      </c>
      <c r="G12210" s="27">
        <f ca="1">ROUND(E12210*F12210,2)</f>
        <v>0</v>
      </c>
    </row>
    <row r="12211" spans="1:7" ht="30.60" thickBot="1" customHeight="1">
      <c r="A12211" s="24" t="s">
        <v>38624</v>
      </c>
      <c r="B12211" s="24" t="s">
        <v>38625</v>
      </c>
      <c r="C12211" s="24" t="s">
        <v>38626</v>
      </c>
      <c r="D12211" s="25" t="s">
        <v>38627</v>
      </c>
      <c r="E12211" s="28">
        <v>0.01333</v>
      </c>
      <c r="F12211" s="29">
        <f ca="1">ROUND(70.680,3)</f>
        <v>0</v>
      </c>
      <c r="G12211" s="27">
        <f ca="1">ROUND(E12211*F12211,2)</f>
        <v>0</v>
      </c>
    </row>
    <row r="12212" spans="1:7" ht="21.36" thickBot="1" customHeight="1">
      <c r="A12212" s="24" t="s">
        <v>38628</v>
      </c>
      <c r="B12212" s="24" t="s">
        <v>38629</v>
      </c>
      <c r="C12212" s="24" t="s">
        <v>38630</v>
      </c>
      <c r="D12212" s="25" t="s">
        <v>38631</v>
      </c>
      <c r="E12212" s="28">
        <v>0.25000</v>
      </c>
      <c r="F12212" s="29">
        <f ca="1">F12216</f>
        <v>0</v>
      </c>
      <c r="G12212" s="27">
        <f ca="1">ROUND(E12212*F12212,2)</f>
        <v>0</v>
      </c>
    </row>
    <row r="12213" spans="1:7" ht="24.36" thickBot="1" customHeight="1">
      <c r="A12213" s="24" t="s">
        <v>38632</v>
      </c>
      <c r="B12213" s="24" t="s">
        <v>38633</v>
      </c>
      <c r="C12213" s="24" t="s">
        <v>38634</v>
      </c>
      <c r="D12213" s="25" t="s">
        <v>38635</v>
      </c>
      <c r="E12213" s="28">
        <v>1.00000</v>
      </c>
      <c r="F12213" s="29">
        <f ca="1">ROUND(21.000,3)</f>
        <v>0</v>
      </c>
      <c r="G12213" s="27">
        <f ca="1">ROUND(E12213*F12213,2)</f>
        <v>0</v>
      </c>
    </row>
    <row r="12214" spans="1:7" ht="24.36" thickBot="1" customHeight="1">
      <c r="A12214" s="24" t="s">
        <v>38636</v>
      </c>
      <c r="B12214" s="24" t="s">
        <v>38637</v>
      </c>
      <c r="C12214" s="24" t="s">
        <v>38638</v>
      </c>
      <c r="D12214" s="25" t="s">
        <v>38639</v>
      </c>
      <c r="E12214" s="28">
        <v>1.00000</v>
      </c>
      <c r="F12214" s="29">
        <f ca="1">ROUND(19.000,3)</f>
        <v>0</v>
      </c>
      <c r="G12214" s="27">
        <f ca="1">ROUND(E12214*F12214,2)</f>
        <v>0</v>
      </c>
    </row>
    <row r="12215" spans="1:7" ht="24.36" thickBot="1" customHeight="1">
      <c r="A12215" s="24" t="s">
        <v>38640</v>
      </c>
      <c r="B12215" s="24" t="s">
        <v>38641</v>
      </c>
      <c r="C12215" s="24" t="s">
        <v>38642</v>
      </c>
      <c r="D12215" s="25" t="s">
        <v>38643</v>
      </c>
      <c r="E12215" s="28">
        <v>0.20000</v>
      </c>
      <c r="F12215" s="29">
        <f ca="1">ROUND(19.000,3)</f>
        <v>0</v>
      </c>
      <c r="G12215" s="27">
        <f ca="1">ROUND(E12215*F12215,2)</f>
        <v>0</v>
      </c>
    </row>
    <row r="12216" spans="1:7" ht="15.12" thickBot="1" customHeight="1">
      <c r="A12216" s="26"/>
      <c r="B12216" s="26"/>
      <c r="C12216" s="26"/>
      <c r="D12216" s="24" t="s">
        <v>38644</v>
      </c>
      <c r="E12216" s="28">
        <v>0.25000</v>
      </c>
      <c r="F12216" s="29">
        <f ca="1">ROUND((G12213+G12214+G12215),3)</f>
        <v>0</v>
      </c>
      <c r="G12216" s="27">
        <f ca="1">ROUND(E12216*F12216,2)</f>
        <v>0</v>
      </c>
    </row>
    <row r="12217" spans="1:7" ht="15.12" thickBot="1" customHeight="1">
      <c r="A12217" s="24" t="s">
        <v>38645</v>
      </c>
      <c r="B12217" s="24"/>
      <c r="C12217" s="24" t="s">
        <v>38646</v>
      </c>
      <c r="D12217" s="25" t="s">
        <v>38647</v>
      </c>
      <c r="E12217" s="28">
        <v>3.00000</v>
      </c>
      <c r="F12217" s="29">
        <f ca="1">ROUND(10.950,3)</f>
        <v>0</v>
      </c>
      <c r="G12217" s="27">
        <f ca="1">ROUND((E12217*F12217)/100,2)</f>
        <v>0</v>
      </c>
    </row>
    <row r="12218" spans="1:7" ht="15.48" thickBot="1" customHeight="1">
      <c r="A12218" s="30"/>
      <c r="B12218" s="30"/>
      <c r="C12218" s="30"/>
      <c r="D12218" s="31" t="s">
        <v>38648</v>
      </c>
      <c r="E12218" s="30"/>
      <c r="F12218" s="33">
        <f ca="1">ROUND((G12210+G12211+G12212+G12217)*(1+G2/100),2)</f>
        <v>0</v>
      </c>
      <c r="G12218" s="30"/>
    </row>
    <row r="12219" spans="1:7" ht="15.48" thickBot="1" customHeight="1">
      <c r="A12219" s="34" t="s">
        <v>38649</v>
      </c>
      <c r="B12219" s="35" t="s">
        <v>38650</v>
      </c>
      <c r="C12219" s="35" t="s">
        <v>38651</v>
      </c>
      <c r="D12219" s="36" t="s">
        <v>38652</v>
      </c>
      <c r="E12219" s="37"/>
      <c r="F12219" s="38">
        <f ca="1">F12228</f>
        <v>0</v>
      </c>
      <c r="G12219" s="37"/>
    </row>
    <row r="12220" spans="1:7" ht="39.84" thickBot="1" customHeight="1">
      <c r="A12220" s="26"/>
      <c r="B12220" s="26"/>
      <c r="C12220" s="26"/>
      <c r="D12220" s="25" t="s">
        <v>38653</v>
      </c>
      <c r="E12220" s="25"/>
      <c r="F12220" s="25"/>
      <c r="G12220" s="25"/>
    </row>
    <row r="12221" spans="1:7" ht="15.12" thickBot="1" customHeight="1">
      <c r="A12221" s="24" t="s">
        <v>38654</v>
      </c>
      <c r="B12221" s="24" t="s">
        <v>38655</v>
      </c>
      <c r="C12221" s="24" t="s">
        <v>38656</v>
      </c>
      <c r="D12221" s="25" t="s">
        <v>38657</v>
      </c>
      <c r="E12221" s="28">
        <v>0.25000</v>
      </c>
      <c r="F12221" s="29">
        <f ca="1">ROUND(11.500,3)</f>
        <v>0</v>
      </c>
      <c r="G12221" s="27">
        <f ca="1">ROUND(E12221*F12221,2)</f>
        <v>0</v>
      </c>
    </row>
    <row r="12222" spans="1:7" ht="15.12" thickBot="1" customHeight="1">
      <c r="A12222" s="24" t="s">
        <v>38658</v>
      </c>
      <c r="B12222" s="24" t="s">
        <v>38659</v>
      </c>
      <c r="C12222" s="24" t="s">
        <v>38660</v>
      </c>
      <c r="D12222" s="25" t="s">
        <v>38661</v>
      </c>
      <c r="E12222" s="28">
        <v>0.07500</v>
      </c>
      <c r="F12222" s="29">
        <f ca="1">ROUND(12.000,3)</f>
        <v>0</v>
      </c>
      <c r="G12222" s="27">
        <f ca="1">ROUND(E12222*F12222,2)</f>
        <v>0</v>
      </c>
    </row>
    <row r="12223" spans="1:7" ht="21.36" thickBot="1" customHeight="1">
      <c r="A12223" s="24" t="s">
        <v>38662</v>
      </c>
      <c r="B12223" s="24" t="s">
        <v>38663</v>
      </c>
      <c r="C12223" s="24" t="s">
        <v>38664</v>
      </c>
      <c r="D12223" s="25" t="s">
        <v>38665</v>
      </c>
      <c r="E12223" s="28">
        <v>0.26500</v>
      </c>
      <c r="F12223" s="29">
        <f ca="1">F12227</f>
        <v>0</v>
      </c>
      <c r="G12223" s="27">
        <f ca="1">ROUND(E12223*F12223,2)</f>
        <v>0</v>
      </c>
    </row>
    <row r="12224" spans="1:7" ht="24.36" thickBot="1" customHeight="1">
      <c r="A12224" s="24" t="s">
        <v>38666</v>
      </c>
      <c r="B12224" s="24" t="s">
        <v>38667</v>
      </c>
      <c r="C12224" s="24" t="s">
        <v>38668</v>
      </c>
      <c r="D12224" s="25" t="s">
        <v>38669</v>
      </c>
      <c r="E12224" s="28">
        <v>1.00000</v>
      </c>
      <c r="F12224" s="29">
        <f ca="1">ROUND(21.000,3)</f>
        <v>0</v>
      </c>
      <c r="G12224" s="27">
        <f ca="1">ROUND(E12224*F12224,2)</f>
        <v>0</v>
      </c>
    </row>
    <row r="12225" spans="1:7" ht="24.36" thickBot="1" customHeight="1">
      <c r="A12225" s="24" t="s">
        <v>38670</v>
      </c>
      <c r="B12225" s="24" t="s">
        <v>38671</v>
      </c>
      <c r="C12225" s="24" t="s">
        <v>38672</v>
      </c>
      <c r="D12225" s="25" t="s">
        <v>38673</v>
      </c>
      <c r="E12225" s="28">
        <v>1.00000</v>
      </c>
      <c r="F12225" s="29">
        <f ca="1">ROUND(19.000,3)</f>
        <v>0</v>
      </c>
      <c r="G12225" s="27">
        <f ca="1">ROUND(E12225*F12225,2)</f>
        <v>0</v>
      </c>
    </row>
    <row r="12226" spans="1:7" ht="24.36" thickBot="1" customHeight="1">
      <c r="A12226" s="24" t="s">
        <v>38674</v>
      </c>
      <c r="B12226" s="24" t="s">
        <v>38675</v>
      </c>
      <c r="C12226" s="24" t="s">
        <v>38676</v>
      </c>
      <c r="D12226" s="25" t="s">
        <v>38677</v>
      </c>
      <c r="E12226" s="28">
        <v>0.20000</v>
      </c>
      <c r="F12226" s="29">
        <f ca="1">ROUND(19.000,3)</f>
        <v>0</v>
      </c>
      <c r="G12226" s="27">
        <f ca="1">ROUND(E12226*F12226,2)</f>
        <v>0</v>
      </c>
    </row>
    <row r="12227" spans="1:7" ht="15.12" thickBot="1" customHeight="1">
      <c r="A12227" s="26"/>
      <c r="B12227" s="26"/>
      <c r="C12227" s="26"/>
      <c r="D12227" s="24" t="s">
        <v>38678</v>
      </c>
      <c r="E12227" s="28">
        <v>0.26500</v>
      </c>
      <c r="F12227" s="29">
        <f ca="1">ROUND((G12224+G12225+G12226),3)</f>
        <v>0</v>
      </c>
      <c r="G12227" s="27">
        <f ca="1">ROUND(E12227*F12227,2)</f>
        <v>0</v>
      </c>
    </row>
    <row r="12228" spans="1:7" ht="15.48" thickBot="1" customHeight="1">
      <c r="A12228" s="30"/>
      <c r="B12228" s="30"/>
      <c r="C12228" s="30"/>
      <c r="D12228" s="31" t="s">
        <v>38679</v>
      </c>
      <c r="E12228" s="30"/>
      <c r="F12228" s="33">
        <f ca="1">ROUND((G12221+G12222+G12223)*(1+G2/100),2)</f>
        <v>0</v>
      </c>
      <c r="G12228" s="30"/>
    </row>
    <row r="12229" spans="1:7" ht="58.32" thickBot="1" customHeight="1">
      <c r="A12229" s="34" t="s">
        <v>38680</v>
      </c>
      <c r="B12229" s="35" t="s">
        <v>38681</v>
      </c>
      <c r="C12229" s="35" t="s">
        <v>38682</v>
      </c>
      <c r="D12229" s="36" t="s">
        <v>38683</v>
      </c>
      <c r="E12229" s="37"/>
      <c r="F12229" s="38">
        <f ca="1">F12239</f>
        <v>0</v>
      </c>
      <c r="G12229" s="37"/>
    </row>
    <row r="12230" spans="1:7" ht="12.12" thickBot="1" customHeight="1">
      <c r="A12230" s="26"/>
      <c r="B12230" s="26"/>
      <c r="C12230" s="26"/>
      <c r="D12230" s="25" t="s">
        <v>38684</v>
      </c>
      <c r="E12230" s="25"/>
      <c r="F12230" s="25"/>
      <c r="G12230" s="25"/>
    </row>
    <row r="12231" spans="1:7" ht="39.84" thickBot="1" customHeight="1">
      <c r="A12231" s="24" t="s">
        <v>38685</v>
      </c>
      <c r="B12231" s="24" t="s">
        <v>38686</v>
      </c>
      <c r="C12231" s="24" t="s">
        <v>38687</v>
      </c>
      <c r="D12231" s="25" t="s">
        <v>38688</v>
      </c>
      <c r="E12231" s="28">
        <v>0.02625</v>
      </c>
      <c r="F12231" s="29">
        <f ca="1">ROUND(35.180,3)</f>
        <v>0</v>
      </c>
      <c r="G12231" s="27">
        <f ca="1">ROUND(E12231*F12231,2)</f>
        <v>0</v>
      </c>
    </row>
    <row r="12232" spans="1:7" ht="39.84" thickBot="1" customHeight="1">
      <c r="A12232" s="24" t="s">
        <v>38689</v>
      </c>
      <c r="B12232" s="24" t="s">
        <v>38690</v>
      </c>
      <c r="C12232" s="24" t="s">
        <v>38691</v>
      </c>
      <c r="D12232" s="25" t="s">
        <v>38692</v>
      </c>
      <c r="E12232" s="28">
        <v>0.05500</v>
      </c>
      <c r="F12232" s="29">
        <f ca="1">ROUND(36.950,3)</f>
        <v>0</v>
      </c>
      <c r="G12232" s="27">
        <f ca="1">ROUND(E12232*F12232,2)</f>
        <v>0</v>
      </c>
    </row>
    <row r="12233" spans="1:7" ht="21.36" thickBot="1" customHeight="1">
      <c r="A12233" s="24" t="s">
        <v>38693</v>
      </c>
      <c r="B12233" s="24" t="s">
        <v>38694</v>
      </c>
      <c r="C12233" s="24" t="s">
        <v>38695</v>
      </c>
      <c r="D12233" s="25" t="s">
        <v>38696</v>
      </c>
      <c r="E12233" s="28">
        <v>0.36000</v>
      </c>
      <c r="F12233" s="29">
        <f ca="1">F12237</f>
        <v>0</v>
      </c>
      <c r="G12233" s="27">
        <f ca="1">ROUND(E12233*F12233,2)</f>
        <v>0</v>
      </c>
    </row>
    <row r="12234" spans="1:7" ht="24.36" thickBot="1" customHeight="1">
      <c r="A12234" s="24" t="s">
        <v>38697</v>
      </c>
      <c r="B12234" s="24" t="s">
        <v>38698</v>
      </c>
      <c r="C12234" s="24" t="s">
        <v>38699</v>
      </c>
      <c r="D12234" s="25" t="s">
        <v>38700</v>
      </c>
      <c r="E12234" s="28">
        <v>1.00000</v>
      </c>
      <c r="F12234" s="29">
        <f ca="1">ROUND(21.000,3)</f>
        <v>0</v>
      </c>
      <c r="G12234" s="27">
        <f ca="1">ROUND(E12234*F12234,2)</f>
        <v>0</v>
      </c>
    </row>
    <row r="12235" spans="1:7" ht="24.36" thickBot="1" customHeight="1">
      <c r="A12235" s="24" t="s">
        <v>38701</v>
      </c>
      <c r="B12235" s="24" t="s">
        <v>38702</v>
      </c>
      <c r="C12235" s="24" t="s">
        <v>38703</v>
      </c>
      <c r="D12235" s="25" t="s">
        <v>38704</v>
      </c>
      <c r="E12235" s="28">
        <v>1.00000</v>
      </c>
      <c r="F12235" s="29">
        <f ca="1">ROUND(19.000,3)</f>
        <v>0</v>
      </c>
      <c r="G12235" s="27">
        <f ca="1">ROUND(E12235*F12235,2)</f>
        <v>0</v>
      </c>
    </row>
    <row r="12236" spans="1:7" ht="24.36" thickBot="1" customHeight="1">
      <c r="A12236" s="24" t="s">
        <v>38705</v>
      </c>
      <c r="B12236" s="24" t="s">
        <v>38706</v>
      </c>
      <c r="C12236" s="24" t="s">
        <v>38707</v>
      </c>
      <c r="D12236" s="25" t="s">
        <v>38708</v>
      </c>
      <c r="E12236" s="28">
        <v>0.20000</v>
      </c>
      <c r="F12236" s="29">
        <f ca="1">ROUND(19.000,3)</f>
        <v>0</v>
      </c>
      <c r="G12236" s="27">
        <f ca="1">ROUND(E12236*F12236,2)</f>
        <v>0</v>
      </c>
    </row>
    <row r="12237" spans="1:7" ht="15.12" thickBot="1" customHeight="1">
      <c r="A12237" s="26"/>
      <c r="B12237" s="26"/>
      <c r="C12237" s="26"/>
      <c r="D12237" s="24" t="s">
        <v>38709</v>
      </c>
      <c r="E12237" s="28">
        <v>0.36000</v>
      </c>
      <c r="F12237" s="29">
        <f ca="1">ROUND((G12234+G12235+G12236),3)</f>
        <v>0</v>
      </c>
      <c r="G12237" s="27">
        <f ca="1">ROUND(E12237*F12237,2)</f>
        <v>0</v>
      </c>
    </row>
    <row r="12238" spans="1:7" ht="15.12" thickBot="1" customHeight="1">
      <c r="A12238" s="24" t="s">
        <v>38710</v>
      </c>
      <c r="B12238" s="24"/>
      <c r="C12238" s="24" t="s">
        <v>38711</v>
      </c>
      <c r="D12238" s="25" t="s">
        <v>38712</v>
      </c>
      <c r="E12238" s="28">
        <v>7.00000</v>
      </c>
      <c r="F12238" s="29">
        <f ca="1">ROUND(15.770,3)</f>
        <v>0</v>
      </c>
      <c r="G12238" s="27">
        <f ca="1">ROUND((E12238*F12238)/100,2)</f>
        <v>0</v>
      </c>
    </row>
    <row r="12239" spans="1:7" ht="15.48" thickBot="1" customHeight="1">
      <c r="A12239" s="30"/>
      <c r="B12239" s="30"/>
      <c r="C12239" s="30"/>
      <c r="D12239" s="31" t="s">
        <v>38713</v>
      </c>
      <c r="E12239" s="30"/>
      <c r="F12239" s="33">
        <f ca="1">ROUND((G12231+G12232+G12233+G12238)*(1+G2/100),2)</f>
        <v>0</v>
      </c>
      <c r="G12239" s="30"/>
    </row>
    <row r="12240" spans="1:7" ht="49.08" thickBot="1" customHeight="1">
      <c r="A12240" s="34" t="s">
        <v>38714</v>
      </c>
      <c r="B12240" s="35" t="s">
        <v>38715</v>
      </c>
      <c r="C12240" s="35" t="s">
        <v>38716</v>
      </c>
      <c r="D12240" s="36" t="s">
        <v>38717</v>
      </c>
      <c r="E12240" s="37"/>
      <c r="F12240" s="38">
        <f ca="1">F12250</f>
        <v>0</v>
      </c>
      <c r="G12240" s="37"/>
    </row>
    <row r="12241" spans="1:7" ht="21.36" thickBot="1" customHeight="1">
      <c r="A12241" s="26"/>
      <c r="B12241" s="26"/>
      <c r="C12241" s="26"/>
      <c r="D12241" s="25" t="s">
        <v>38718</v>
      </c>
      <c r="E12241" s="25"/>
      <c r="F12241" s="25"/>
      <c r="G12241" s="25"/>
    </row>
    <row r="12242" spans="1:7" ht="39.84" thickBot="1" customHeight="1">
      <c r="A12242" s="24" t="s">
        <v>38719</v>
      </c>
      <c r="B12242" s="24" t="s">
        <v>38720</v>
      </c>
      <c r="C12242" s="24" t="s">
        <v>38721</v>
      </c>
      <c r="D12242" s="25" t="s">
        <v>38722</v>
      </c>
      <c r="E12242" s="28">
        <v>0.02625</v>
      </c>
      <c r="F12242" s="29">
        <f ca="1">ROUND(35.180,3)</f>
        <v>0</v>
      </c>
      <c r="G12242" s="27">
        <f ca="1">ROUND(E12242*F12242,2)</f>
        <v>0</v>
      </c>
    </row>
    <row r="12243" spans="1:7" ht="39.84" thickBot="1" customHeight="1">
      <c r="A12243" s="24" t="s">
        <v>38723</v>
      </c>
      <c r="B12243" s="24" t="s">
        <v>38724</v>
      </c>
      <c r="C12243" s="24" t="s">
        <v>38725</v>
      </c>
      <c r="D12243" s="25" t="s">
        <v>38726</v>
      </c>
      <c r="E12243" s="28">
        <v>0.05500</v>
      </c>
      <c r="F12243" s="29">
        <f ca="1">ROUND(36.950,3)</f>
        <v>0</v>
      </c>
      <c r="G12243" s="27">
        <f ca="1">ROUND(E12243*F12243,2)</f>
        <v>0</v>
      </c>
    </row>
    <row r="12244" spans="1:7" ht="21.36" thickBot="1" customHeight="1">
      <c r="A12244" s="24" t="s">
        <v>38727</v>
      </c>
      <c r="B12244" s="24" t="s">
        <v>38728</v>
      </c>
      <c r="C12244" s="24" t="s">
        <v>38729</v>
      </c>
      <c r="D12244" s="25" t="s">
        <v>38730</v>
      </c>
      <c r="E12244" s="28">
        <v>0.32000</v>
      </c>
      <c r="F12244" s="29">
        <f ca="1">F12248</f>
        <v>0</v>
      </c>
      <c r="G12244" s="27">
        <f ca="1">ROUND(E12244*F12244,2)</f>
        <v>0</v>
      </c>
    </row>
    <row r="12245" spans="1:7" ht="24.36" thickBot="1" customHeight="1">
      <c r="A12245" s="24" t="s">
        <v>38731</v>
      </c>
      <c r="B12245" s="24" t="s">
        <v>38732</v>
      </c>
      <c r="C12245" s="24" t="s">
        <v>38733</v>
      </c>
      <c r="D12245" s="25" t="s">
        <v>38734</v>
      </c>
      <c r="E12245" s="28">
        <v>1.00000</v>
      </c>
      <c r="F12245" s="29">
        <f ca="1">ROUND(21.000,3)</f>
        <v>0</v>
      </c>
      <c r="G12245" s="27">
        <f ca="1">ROUND(E12245*F12245,2)</f>
        <v>0</v>
      </c>
    </row>
    <row r="12246" spans="1:7" ht="24.36" thickBot="1" customHeight="1">
      <c r="A12246" s="24" t="s">
        <v>38735</v>
      </c>
      <c r="B12246" s="24" t="s">
        <v>38736</v>
      </c>
      <c r="C12246" s="24" t="s">
        <v>38737</v>
      </c>
      <c r="D12246" s="25" t="s">
        <v>38738</v>
      </c>
      <c r="E12246" s="28">
        <v>1.00000</v>
      </c>
      <c r="F12246" s="29">
        <f ca="1">ROUND(19.000,3)</f>
        <v>0</v>
      </c>
      <c r="G12246" s="27">
        <f ca="1">ROUND(E12246*F12246,2)</f>
        <v>0</v>
      </c>
    </row>
    <row r="12247" spans="1:7" ht="24.36" thickBot="1" customHeight="1">
      <c r="A12247" s="24" t="s">
        <v>38739</v>
      </c>
      <c r="B12247" s="24" t="s">
        <v>38740</v>
      </c>
      <c r="C12247" s="24" t="s">
        <v>38741</v>
      </c>
      <c r="D12247" s="25" t="s">
        <v>38742</v>
      </c>
      <c r="E12247" s="28">
        <v>0.20000</v>
      </c>
      <c r="F12247" s="29">
        <f ca="1">ROUND(19.000,3)</f>
        <v>0</v>
      </c>
      <c r="G12247" s="27">
        <f ca="1">ROUND(E12247*F12247,2)</f>
        <v>0</v>
      </c>
    </row>
    <row r="12248" spans="1:7" ht="15.12" thickBot="1" customHeight="1">
      <c r="A12248" s="26"/>
      <c r="B12248" s="26"/>
      <c r="C12248" s="26"/>
      <c r="D12248" s="24" t="s">
        <v>38743</v>
      </c>
      <c r="E12248" s="28">
        <v>0.32000</v>
      </c>
      <c r="F12248" s="29">
        <f ca="1">ROUND((G12245+G12246+G12247),3)</f>
        <v>0</v>
      </c>
      <c r="G12248" s="27">
        <f ca="1">ROUND(E12248*F12248,2)</f>
        <v>0</v>
      </c>
    </row>
    <row r="12249" spans="1:7" ht="15.12" thickBot="1" customHeight="1">
      <c r="A12249" s="24" t="s">
        <v>38744</v>
      </c>
      <c r="B12249" s="24"/>
      <c r="C12249" s="24" t="s">
        <v>38745</v>
      </c>
      <c r="D12249" s="25" t="s">
        <v>38746</v>
      </c>
      <c r="E12249" s="28">
        <v>7.00000</v>
      </c>
      <c r="F12249" s="29">
        <f ca="1">ROUND(14.020,3)</f>
        <v>0</v>
      </c>
      <c r="G12249" s="27">
        <f ca="1">ROUND((E12249*F12249)/100,2)</f>
        <v>0</v>
      </c>
    </row>
    <row r="12250" spans="1:7" ht="15.48" thickBot="1" customHeight="1">
      <c r="A12250" s="30"/>
      <c r="B12250" s="30"/>
      <c r="C12250" s="30"/>
      <c r="D12250" s="31" t="s">
        <v>38747</v>
      </c>
      <c r="E12250" s="30"/>
      <c r="F12250" s="33">
        <f ca="1">ROUND((G12242+G12243+G12244+G12249)*(1+G2/100),2)</f>
        <v>0</v>
      </c>
      <c r="G12250" s="30"/>
    </row>
    <row r="12251" spans="1:7" ht="58.32" thickBot="1" customHeight="1">
      <c r="A12251" s="34" t="s">
        <v>38748</v>
      </c>
      <c r="B12251" s="35" t="s">
        <v>38749</v>
      </c>
      <c r="C12251" s="35" t="s">
        <v>38750</v>
      </c>
      <c r="D12251" s="36" t="s">
        <v>38751</v>
      </c>
      <c r="E12251" s="37"/>
      <c r="F12251" s="38">
        <f ca="1">F12261</f>
        <v>0</v>
      </c>
      <c r="G12251" s="37"/>
    </row>
    <row r="12252" spans="1:7" ht="30.60" thickBot="1" customHeight="1">
      <c r="A12252" s="26"/>
      <c r="B12252" s="26"/>
      <c r="C12252" s="26"/>
      <c r="D12252" s="25" t="s">
        <v>38752</v>
      </c>
      <c r="E12252" s="25"/>
      <c r="F12252" s="25"/>
      <c r="G12252" s="25"/>
    </row>
    <row r="12253" spans="1:7" ht="39.84" thickBot="1" customHeight="1">
      <c r="A12253" s="24" t="s">
        <v>38753</v>
      </c>
      <c r="B12253" s="24" t="s">
        <v>38754</v>
      </c>
      <c r="C12253" s="24" t="s">
        <v>38755</v>
      </c>
      <c r="D12253" s="25" t="s">
        <v>38756</v>
      </c>
      <c r="E12253" s="28">
        <v>0.02625</v>
      </c>
      <c r="F12253" s="29">
        <f ca="1">ROUND(35.180,3)</f>
        <v>0</v>
      </c>
      <c r="G12253" s="27">
        <f ca="1">ROUND(E12253*F12253,2)</f>
        <v>0</v>
      </c>
    </row>
    <row r="12254" spans="1:7" ht="39.84" thickBot="1" customHeight="1">
      <c r="A12254" s="24" t="s">
        <v>38757</v>
      </c>
      <c r="B12254" s="24" t="s">
        <v>38758</v>
      </c>
      <c r="C12254" s="24" t="s">
        <v>38759</v>
      </c>
      <c r="D12254" s="25" t="s">
        <v>38760</v>
      </c>
      <c r="E12254" s="28">
        <v>0.05500</v>
      </c>
      <c r="F12254" s="29">
        <f ca="1">ROUND(36.950,3)</f>
        <v>0</v>
      </c>
      <c r="G12254" s="27">
        <f ca="1">ROUND(E12254*F12254,2)</f>
        <v>0</v>
      </c>
    </row>
    <row r="12255" spans="1:7" ht="21.36" thickBot="1" customHeight="1">
      <c r="A12255" s="24" t="s">
        <v>38761</v>
      </c>
      <c r="B12255" s="24" t="s">
        <v>38762</v>
      </c>
      <c r="C12255" s="24" t="s">
        <v>38763</v>
      </c>
      <c r="D12255" s="25" t="s">
        <v>38764</v>
      </c>
      <c r="E12255" s="28">
        <v>0.48600</v>
      </c>
      <c r="F12255" s="29">
        <f ca="1">F12259</f>
        <v>0</v>
      </c>
      <c r="G12255" s="27">
        <f ca="1">ROUND(E12255*F12255,2)</f>
        <v>0</v>
      </c>
    </row>
    <row r="12256" spans="1:7" ht="24.36" thickBot="1" customHeight="1">
      <c r="A12256" s="24" t="s">
        <v>38765</v>
      </c>
      <c r="B12256" s="24" t="s">
        <v>38766</v>
      </c>
      <c r="C12256" s="24" t="s">
        <v>38767</v>
      </c>
      <c r="D12256" s="25" t="s">
        <v>38768</v>
      </c>
      <c r="E12256" s="28">
        <v>1.00000</v>
      </c>
      <c r="F12256" s="29">
        <f ca="1">ROUND(21.000,3)</f>
        <v>0</v>
      </c>
      <c r="G12256" s="27">
        <f ca="1">ROUND(E12256*F12256,2)</f>
        <v>0</v>
      </c>
    </row>
    <row r="12257" spans="1:7" ht="24.36" thickBot="1" customHeight="1">
      <c r="A12257" s="24" t="s">
        <v>38769</v>
      </c>
      <c r="B12257" s="24" t="s">
        <v>38770</v>
      </c>
      <c r="C12257" s="24" t="s">
        <v>38771</v>
      </c>
      <c r="D12257" s="25" t="s">
        <v>38772</v>
      </c>
      <c r="E12257" s="28">
        <v>1.00000</v>
      </c>
      <c r="F12257" s="29">
        <f ca="1">ROUND(19.000,3)</f>
        <v>0</v>
      </c>
      <c r="G12257" s="27">
        <f ca="1">ROUND(E12257*F12257,2)</f>
        <v>0</v>
      </c>
    </row>
    <row r="12258" spans="1:7" ht="24.36" thickBot="1" customHeight="1">
      <c r="A12258" s="24" t="s">
        <v>38773</v>
      </c>
      <c r="B12258" s="24" t="s">
        <v>38774</v>
      </c>
      <c r="C12258" s="24" t="s">
        <v>38775</v>
      </c>
      <c r="D12258" s="25" t="s">
        <v>38776</v>
      </c>
      <c r="E12258" s="28">
        <v>0.20000</v>
      </c>
      <c r="F12258" s="29">
        <f ca="1">ROUND(19.000,3)</f>
        <v>0</v>
      </c>
      <c r="G12258" s="27">
        <f ca="1">ROUND(E12258*F12258,2)</f>
        <v>0</v>
      </c>
    </row>
    <row r="12259" spans="1:7" ht="15.12" thickBot="1" customHeight="1">
      <c r="A12259" s="26"/>
      <c r="B12259" s="26"/>
      <c r="C12259" s="26"/>
      <c r="D12259" s="24" t="s">
        <v>38777</v>
      </c>
      <c r="E12259" s="28">
        <v>0.48600</v>
      </c>
      <c r="F12259" s="29">
        <f ca="1">ROUND((G12256+G12257+G12258),3)</f>
        <v>0</v>
      </c>
      <c r="G12259" s="27">
        <f ca="1">ROUND(E12259*F12259,2)</f>
        <v>0</v>
      </c>
    </row>
    <row r="12260" spans="1:7" ht="15.12" thickBot="1" customHeight="1">
      <c r="A12260" s="24" t="s">
        <v>38778</v>
      </c>
      <c r="B12260" s="24"/>
      <c r="C12260" s="24" t="s">
        <v>38779</v>
      </c>
      <c r="D12260" s="25" t="s">
        <v>38780</v>
      </c>
      <c r="E12260" s="28">
        <v>7.00000</v>
      </c>
      <c r="F12260" s="29">
        <f ca="1">ROUND(21.290,3)</f>
        <v>0</v>
      </c>
      <c r="G12260" s="27">
        <f ca="1">ROUND((E12260*F12260)/100,2)</f>
        <v>0</v>
      </c>
    </row>
    <row r="12261" spans="1:7" ht="15.48" thickBot="1" customHeight="1">
      <c r="A12261" s="30"/>
      <c r="B12261" s="30"/>
      <c r="C12261" s="30"/>
      <c r="D12261" s="31" t="s">
        <v>38781</v>
      </c>
      <c r="E12261" s="30"/>
      <c r="F12261" s="33">
        <f ca="1">ROUND((G12253+G12254+G12255+G12260)*(1+G2/100),2)</f>
        <v>0</v>
      </c>
      <c r="G12261" s="30"/>
    </row>
    <row r="12262" spans="1:7" ht="21.36" thickBot="1" customHeight="1">
      <c r="A12262" s="34" t="s">
        <v>38782</v>
      </c>
      <c r="B12262" s="35" t="s">
        <v>38783</v>
      </c>
      <c r="C12262" s="35" t="s">
        <v>38784</v>
      </c>
      <c r="D12262" s="36" t="s">
        <v>38785</v>
      </c>
      <c r="E12262" s="37"/>
      <c r="F12262" s="38">
        <f ca="1">F12272</f>
        <v>0</v>
      </c>
      <c r="G12262" s="37"/>
    </row>
    <row r="12263" spans="1:7" ht="12.12" thickBot="1" customHeight="1">
      <c r="A12263" s="26"/>
      <c r="B12263" s="26"/>
      <c r="C12263" s="26"/>
      <c r="D12263" s="25" t="s">
        <v>38786</v>
      </c>
      <c r="E12263" s="25"/>
      <c r="F12263" s="25"/>
      <c r="G12263" s="25"/>
    </row>
    <row r="12264" spans="1:7" ht="39.84" thickBot="1" customHeight="1">
      <c r="A12264" s="24" t="s">
        <v>38787</v>
      </c>
      <c r="B12264" s="24" t="s">
        <v>38788</v>
      </c>
      <c r="C12264" s="24" t="s">
        <v>38789</v>
      </c>
      <c r="D12264" s="25" t="s">
        <v>38790</v>
      </c>
      <c r="E12264" s="28">
        <v>0.02500</v>
      </c>
      <c r="F12264" s="29">
        <f ca="1">ROUND(27.050,3)</f>
        <v>0</v>
      </c>
      <c r="G12264" s="27">
        <f ca="1">ROUND(E12264*F12264,2)</f>
        <v>0</v>
      </c>
    </row>
    <row r="12265" spans="1:7" ht="30.60" thickBot="1" customHeight="1">
      <c r="A12265" s="24" t="s">
        <v>38791</v>
      </c>
      <c r="B12265" s="24" t="s">
        <v>38792</v>
      </c>
      <c r="C12265" s="24" t="s">
        <v>38793</v>
      </c>
      <c r="D12265" s="25" t="s">
        <v>38794</v>
      </c>
      <c r="E12265" s="28">
        <v>0.25000</v>
      </c>
      <c r="F12265" s="29">
        <f ca="1">ROUND(14.220,3)</f>
        <v>0</v>
      </c>
      <c r="G12265" s="27">
        <f ca="1">ROUND(E12265*F12265,2)</f>
        <v>0</v>
      </c>
    </row>
    <row r="12266" spans="1:7" ht="21.36" thickBot="1" customHeight="1">
      <c r="A12266" s="24" t="s">
        <v>38795</v>
      </c>
      <c r="B12266" s="24" t="s">
        <v>38796</v>
      </c>
      <c r="C12266" s="24" t="s">
        <v>38797</v>
      </c>
      <c r="D12266" s="25" t="s">
        <v>38798</v>
      </c>
      <c r="E12266" s="28">
        <v>0.26667</v>
      </c>
      <c r="F12266" s="29">
        <f ca="1">F12270</f>
        <v>0</v>
      </c>
      <c r="G12266" s="27">
        <f ca="1">ROUND(E12266*F12266,2)</f>
        <v>0</v>
      </c>
    </row>
    <row r="12267" spans="1:7" ht="24.36" thickBot="1" customHeight="1">
      <c r="A12267" s="24" t="s">
        <v>38799</v>
      </c>
      <c r="B12267" s="24" t="s">
        <v>38800</v>
      </c>
      <c r="C12267" s="24" t="s">
        <v>38801</v>
      </c>
      <c r="D12267" s="25" t="s">
        <v>38802</v>
      </c>
      <c r="E12267" s="28">
        <v>1.00000</v>
      </c>
      <c r="F12267" s="29">
        <f ca="1">ROUND(21.000,3)</f>
        <v>0</v>
      </c>
      <c r="G12267" s="27">
        <f ca="1">ROUND(E12267*F12267,2)</f>
        <v>0</v>
      </c>
    </row>
    <row r="12268" spans="1:7" ht="24.36" thickBot="1" customHeight="1">
      <c r="A12268" s="24" t="s">
        <v>38803</v>
      </c>
      <c r="B12268" s="24" t="s">
        <v>38804</v>
      </c>
      <c r="C12268" s="24" t="s">
        <v>38805</v>
      </c>
      <c r="D12268" s="25" t="s">
        <v>38806</v>
      </c>
      <c r="E12268" s="28">
        <v>1.00000</v>
      </c>
      <c r="F12268" s="29">
        <f ca="1">ROUND(19.000,3)</f>
        <v>0</v>
      </c>
      <c r="G12268" s="27">
        <f ca="1">ROUND(E12268*F12268,2)</f>
        <v>0</v>
      </c>
    </row>
    <row r="12269" spans="1:7" ht="24.36" thickBot="1" customHeight="1">
      <c r="A12269" s="24" t="s">
        <v>38807</v>
      </c>
      <c r="B12269" s="24" t="s">
        <v>38808</v>
      </c>
      <c r="C12269" s="24" t="s">
        <v>38809</v>
      </c>
      <c r="D12269" s="25" t="s">
        <v>38810</v>
      </c>
      <c r="E12269" s="28">
        <v>0.20000</v>
      </c>
      <c r="F12269" s="29">
        <f ca="1">ROUND(19.000,3)</f>
        <v>0</v>
      </c>
      <c r="G12269" s="27">
        <f ca="1">ROUND(E12269*F12269,2)</f>
        <v>0</v>
      </c>
    </row>
    <row r="12270" spans="1:7" ht="15.12" thickBot="1" customHeight="1">
      <c r="A12270" s="26"/>
      <c r="B12270" s="26"/>
      <c r="C12270" s="26"/>
      <c r="D12270" s="24" t="s">
        <v>38811</v>
      </c>
      <c r="E12270" s="28">
        <v>0.26667</v>
      </c>
      <c r="F12270" s="29">
        <f ca="1">ROUND((G12267+G12268+G12269),3)</f>
        <v>0</v>
      </c>
      <c r="G12270" s="27">
        <f ca="1">ROUND(E12270*F12270,2)</f>
        <v>0</v>
      </c>
    </row>
    <row r="12271" spans="1:7" ht="15.12" thickBot="1" customHeight="1">
      <c r="A12271" s="24" t="s">
        <v>38812</v>
      </c>
      <c r="B12271" s="24"/>
      <c r="C12271" s="24" t="s">
        <v>38813</v>
      </c>
      <c r="D12271" s="25" t="s">
        <v>38814</v>
      </c>
      <c r="E12271" s="28">
        <v>3.00000</v>
      </c>
      <c r="F12271" s="29">
        <f ca="1">ROUND(11.680,3)</f>
        <v>0</v>
      </c>
      <c r="G12271" s="27">
        <f ca="1">ROUND((E12271*F12271)/100,2)</f>
        <v>0</v>
      </c>
    </row>
    <row r="12272" spans="1:7" ht="15.48" thickBot="1" customHeight="1">
      <c r="A12272" s="30"/>
      <c r="B12272" s="30"/>
      <c r="C12272" s="30"/>
      <c r="D12272" s="31" t="s">
        <v>38815</v>
      </c>
      <c r="E12272" s="30"/>
      <c r="F12272" s="33">
        <f ca="1">ROUND((G12264+G12265+G12266+G12271)*(1+G2/100),2)</f>
        <v>0</v>
      </c>
      <c r="G12272" s="30"/>
    </row>
    <row r="12273" spans="1:7" ht="15.48" thickBot="1" customHeight="1">
      <c r="A12273" s="34" t="s">
        <v>38816</v>
      </c>
      <c r="B12273" s="35" t="s">
        <v>38817</v>
      </c>
      <c r="C12273" s="35" t="s">
        <v>38818</v>
      </c>
      <c r="D12273" s="36" t="s">
        <v>38819</v>
      </c>
      <c r="E12273" s="37"/>
      <c r="F12273" s="38">
        <f ca="1">F12278</f>
        <v>0</v>
      </c>
      <c r="G12273" s="37"/>
    </row>
    <row r="12274" spans="1:7" ht="49.08" thickBot="1" customHeight="1">
      <c r="A12274" s="26"/>
      <c r="B12274" s="26"/>
      <c r="C12274" s="26"/>
      <c r="D12274" s="25" t="s">
        <v>38820</v>
      </c>
      <c r="E12274" s="25"/>
      <c r="F12274" s="25"/>
      <c r="G12274" s="25"/>
    </row>
    <row r="12275" spans="1:7" ht="30.60" thickBot="1" customHeight="1">
      <c r="A12275" s="24" t="s">
        <v>38821</v>
      </c>
      <c r="B12275" s="24" t="s">
        <v>38822</v>
      </c>
      <c r="C12275" s="24" t="s">
        <v>38823</v>
      </c>
      <c r="D12275" s="25" t="s">
        <v>38824</v>
      </c>
      <c r="E12275" s="28">
        <v>0.30000</v>
      </c>
      <c r="F12275" s="29">
        <f ca="1">ROUND(12.000,3)</f>
        <v>0</v>
      </c>
      <c r="G12275" s="27">
        <f ca="1">ROUND(E12275*F12275,2)</f>
        <v>0</v>
      </c>
    </row>
    <row r="12276" spans="1:7" ht="30.60" thickBot="1" customHeight="1">
      <c r="A12276" s="24" t="s">
        <v>38825</v>
      </c>
      <c r="B12276" s="24" t="s">
        <v>38826</v>
      </c>
      <c r="C12276" s="24" t="s">
        <v>38827</v>
      </c>
      <c r="D12276" s="25" t="s">
        <v>38828</v>
      </c>
      <c r="E12276" s="28">
        <v>0.07500</v>
      </c>
      <c r="F12276" s="29">
        <f ca="1">ROUND(10.500,3)</f>
        <v>0</v>
      </c>
      <c r="G12276" s="27">
        <f ca="1">ROUND(E12276*F12276,2)</f>
        <v>0</v>
      </c>
    </row>
    <row r="12277" spans="1:7" ht="24.36" thickBot="1" customHeight="1">
      <c r="A12277" s="24" t="s">
        <v>38829</v>
      </c>
      <c r="B12277" s="24" t="s">
        <v>38830</v>
      </c>
      <c r="C12277" s="24" t="s">
        <v>38831</v>
      </c>
      <c r="D12277" s="25" t="s">
        <v>38832</v>
      </c>
      <c r="E12277" s="28">
        <v>0.28000</v>
      </c>
      <c r="F12277" s="29">
        <f ca="1">ROUND(49.500,3)</f>
        <v>0</v>
      </c>
      <c r="G12277" s="27">
        <f ca="1">ROUND(E12277*F12277,2)</f>
        <v>0</v>
      </c>
    </row>
    <row r="12278" spans="1:7" ht="15.48" thickBot="1" customHeight="1">
      <c r="A12278" s="30"/>
      <c r="B12278" s="30"/>
      <c r="C12278" s="30"/>
      <c r="D12278" s="31" t="s">
        <v>38833</v>
      </c>
      <c r="E12278" s="30"/>
      <c r="F12278" s="33">
        <f ca="1">ROUND((G12275+G12276+G12277)*(1+G2/100),2)</f>
        <v>0</v>
      </c>
      <c r="G12278" s="30"/>
    </row>
    <row r="12279" spans="1:7" ht="58.32" thickBot="1" customHeight="1">
      <c r="A12279" s="34" t="s">
        <v>38834</v>
      </c>
      <c r="B12279" s="35" t="s">
        <v>38835</v>
      </c>
      <c r="C12279" s="35" t="s">
        <v>38836</v>
      </c>
      <c r="D12279" s="36" t="s">
        <v>38837</v>
      </c>
      <c r="E12279" s="37"/>
      <c r="F12279" s="38">
        <f ca="1">F12289</f>
        <v>0</v>
      </c>
      <c r="G12279" s="37"/>
    </row>
    <row r="12280" spans="1:7" ht="21.36" thickBot="1" customHeight="1">
      <c r="A12280" s="26"/>
      <c r="B12280" s="26"/>
      <c r="C12280" s="26"/>
      <c r="D12280" s="25" t="s">
        <v>38838</v>
      </c>
      <c r="E12280" s="25"/>
      <c r="F12280" s="25"/>
      <c r="G12280" s="25"/>
    </row>
    <row r="12281" spans="1:7" ht="30.60" thickBot="1" customHeight="1">
      <c r="A12281" s="24" t="s">
        <v>38839</v>
      </c>
      <c r="B12281" s="24" t="s">
        <v>38840</v>
      </c>
      <c r="C12281" s="24" t="s">
        <v>38841</v>
      </c>
      <c r="D12281" s="25" t="s">
        <v>38842</v>
      </c>
      <c r="E12281" s="28">
        <v>0.05000</v>
      </c>
      <c r="F12281" s="29">
        <f ca="1">ROUND(20.750,3)</f>
        <v>0</v>
      </c>
      <c r="G12281" s="27">
        <f ca="1">ROUND(E12281*F12281,2)</f>
        <v>0</v>
      </c>
    </row>
    <row r="12282" spans="1:7" ht="39.84" thickBot="1" customHeight="1">
      <c r="A12282" s="24" t="s">
        <v>38843</v>
      </c>
      <c r="B12282" s="24" t="s">
        <v>38844</v>
      </c>
      <c r="C12282" s="24" t="s">
        <v>38845</v>
      </c>
      <c r="D12282" s="25" t="s">
        <v>38846</v>
      </c>
      <c r="E12282" s="28">
        <v>0.10000</v>
      </c>
      <c r="F12282" s="29">
        <f ca="1">ROUND(16.500,3)</f>
        <v>0</v>
      </c>
      <c r="G12282" s="27">
        <f ca="1">ROUND(E12282*F12282,2)</f>
        <v>0</v>
      </c>
    </row>
    <row r="12283" spans="1:7" ht="21.36" thickBot="1" customHeight="1">
      <c r="A12283" s="24" t="s">
        <v>38847</v>
      </c>
      <c r="B12283" s="24" t="s">
        <v>38848</v>
      </c>
      <c r="C12283" s="24" t="s">
        <v>38849</v>
      </c>
      <c r="D12283" s="25" t="s">
        <v>38850</v>
      </c>
      <c r="E12283" s="28">
        <v>0.36000</v>
      </c>
      <c r="F12283" s="29">
        <f ca="1">F12287</f>
        <v>0</v>
      </c>
      <c r="G12283" s="27">
        <f ca="1">ROUND(E12283*F12283,2)</f>
        <v>0</v>
      </c>
    </row>
    <row r="12284" spans="1:7" ht="24.36" thickBot="1" customHeight="1">
      <c r="A12284" s="24" t="s">
        <v>38851</v>
      </c>
      <c r="B12284" s="24" t="s">
        <v>38852</v>
      </c>
      <c r="C12284" s="24" t="s">
        <v>38853</v>
      </c>
      <c r="D12284" s="25" t="s">
        <v>38854</v>
      </c>
      <c r="E12284" s="28">
        <v>1.00000</v>
      </c>
      <c r="F12284" s="29">
        <f ca="1">ROUND(21.000,3)</f>
        <v>0</v>
      </c>
      <c r="G12284" s="27">
        <f ca="1">ROUND(E12284*F12284,2)</f>
        <v>0</v>
      </c>
    </row>
    <row r="12285" spans="1:7" ht="24.36" thickBot="1" customHeight="1">
      <c r="A12285" s="24" t="s">
        <v>38855</v>
      </c>
      <c r="B12285" s="24" t="s">
        <v>38856</v>
      </c>
      <c r="C12285" s="24" t="s">
        <v>38857</v>
      </c>
      <c r="D12285" s="25" t="s">
        <v>38858</v>
      </c>
      <c r="E12285" s="28">
        <v>1.00000</v>
      </c>
      <c r="F12285" s="29">
        <f ca="1">ROUND(19.000,3)</f>
        <v>0</v>
      </c>
      <c r="G12285" s="27">
        <f ca="1">ROUND(E12285*F12285,2)</f>
        <v>0</v>
      </c>
    </row>
    <row r="12286" spans="1:7" ht="24.36" thickBot="1" customHeight="1">
      <c r="A12286" s="24" t="s">
        <v>38859</v>
      </c>
      <c r="B12286" s="24" t="s">
        <v>38860</v>
      </c>
      <c r="C12286" s="24" t="s">
        <v>38861</v>
      </c>
      <c r="D12286" s="25" t="s">
        <v>38862</v>
      </c>
      <c r="E12286" s="28">
        <v>0.20000</v>
      </c>
      <c r="F12286" s="29">
        <f ca="1">ROUND(19.000,3)</f>
        <v>0</v>
      </c>
      <c r="G12286" s="27">
        <f ca="1">ROUND(E12286*F12286,2)</f>
        <v>0</v>
      </c>
    </row>
    <row r="12287" spans="1:7" ht="15.12" thickBot="1" customHeight="1">
      <c r="A12287" s="26"/>
      <c r="B12287" s="26"/>
      <c r="C12287" s="26"/>
      <c r="D12287" s="24" t="s">
        <v>38863</v>
      </c>
      <c r="E12287" s="28">
        <v>0.36000</v>
      </c>
      <c r="F12287" s="29">
        <f ca="1">ROUND((G12284+G12285+G12286),3)</f>
        <v>0</v>
      </c>
      <c r="G12287" s="27">
        <f ca="1">ROUND(E12287*F12287,2)</f>
        <v>0</v>
      </c>
    </row>
    <row r="12288" spans="1:7" ht="15.12" thickBot="1" customHeight="1">
      <c r="A12288" s="24" t="s">
        <v>38864</v>
      </c>
      <c r="B12288" s="24"/>
      <c r="C12288" s="24" t="s">
        <v>38865</v>
      </c>
      <c r="D12288" s="25" t="s">
        <v>38866</v>
      </c>
      <c r="E12288" s="28">
        <v>5.00000</v>
      </c>
      <c r="F12288" s="29">
        <f ca="1">ROUND(15.770,3)</f>
        <v>0</v>
      </c>
      <c r="G12288" s="27">
        <f ca="1">ROUND((E12288*F12288)/100,2)</f>
        <v>0</v>
      </c>
    </row>
    <row r="12289" spans="1:7" ht="15.48" thickBot="1" customHeight="1">
      <c r="A12289" s="30"/>
      <c r="B12289" s="30"/>
      <c r="C12289" s="30"/>
      <c r="D12289" s="31" t="s">
        <v>38867</v>
      </c>
      <c r="E12289" s="30"/>
      <c r="F12289" s="33">
        <f ca="1">ROUND((G12281+G12282+G12283+G12288)*(1+G2/100),2)</f>
        <v>0</v>
      </c>
      <c r="G12289" s="30"/>
    </row>
    <row r="12290" spans="1:7" ht="58.32" thickBot="1" customHeight="1">
      <c r="A12290" s="34" t="s">
        <v>38868</v>
      </c>
      <c r="B12290" s="35" t="s">
        <v>38869</v>
      </c>
      <c r="C12290" s="35" t="s">
        <v>38870</v>
      </c>
      <c r="D12290" s="36" t="s">
        <v>38871</v>
      </c>
      <c r="E12290" s="37"/>
      <c r="F12290" s="38">
        <f ca="1">F12300</f>
        <v>0</v>
      </c>
      <c r="G12290" s="37"/>
    </row>
    <row r="12291" spans="1:7" ht="30.60" thickBot="1" customHeight="1">
      <c r="A12291" s="26"/>
      <c r="B12291" s="26"/>
      <c r="C12291" s="26"/>
      <c r="D12291" s="25" t="s">
        <v>38872</v>
      </c>
      <c r="E12291" s="25"/>
      <c r="F12291" s="25"/>
      <c r="G12291" s="25"/>
    </row>
    <row r="12292" spans="1:7" ht="30.60" thickBot="1" customHeight="1">
      <c r="A12292" s="24" t="s">
        <v>38873</v>
      </c>
      <c r="B12292" s="24" t="s">
        <v>38874</v>
      </c>
      <c r="C12292" s="24" t="s">
        <v>38875</v>
      </c>
      <c r="D12292" s="25" t="s">
        <v>38876</v>
      </c>
      <c r="E12292" s="28">
        <v>0.05000</v>
      </c>
      <c r="F12292" s="29">
        <f ca="1">ROUND(20.750,3)</f>
        <v>0</v>
      </c>
      <c r="G12292" s="27">
        <f ca="1">ROUND(E12292*F12292,2)</f>
        <v>0</v>
      </c>
    </row>
    <row r="12293" spans="1:7" ht="39.84" thickBot="1" customHeight="1">
      <c r="A12293" s="24" t="s">
        <v>38877</v>
      </c>
      <c r="B12293" s="24" t="s">
        <v>38878</v>
      </c>
      <c r="C12293" s="24" t="s">
        <v>38879</v>
      </c>
      <c r="D12293" s="25" t="s">
        <v>38880</v>
      </c>
      <c r="E12293" s="28">
        <v>0.10000</v>
      </c>
      <c r="F12293" s="29">
        <f ca="1">ROUND(16.500,3)</f>
        <v>0</v>
      </c>
      <c r="G12293" s="27">
        <f ca="1">ROUND(E12293*F12293,2)</f>
        <v>0</v>
      </c>
    </row>
    <row r="12294" spans="1:7" ht="21.36" thickBot="1" customHeight="1">
      <c r="A12294" s="24" t="s">
        <v>38881</v>
      </c>
      <c r="B12294" s="24" t="s">
        <v>38882</v>
      </c>
      <c r="C12294" s="24" t="s">
        <v>38883</v>
      </c>
      <c r="D12294" s="25" t="s">
        <v>38884</v>
      </c>
      <c r="E12294" s="28">
        <v>0.53333</v>
      </c>
      <c r="F12294" s="29">
        <f ca="1">F12298</f>
        <v>0</v>
      </c>
      <c r="G12294" s="27">
        <f ca="1">ROUND(E12294*F12294,2)</f>
        <v>0</v>
      </c>
    </row>
    <row r="12295" spans="1:7" ht="24.36" thickBot="1" customHeight="1">
      <c r="A12295" s="24" t="s">
        <v>38885</v>
      </c>
      <c r="B12295" s="24" t="s">
        <v>38886</v>
      </c>
      <c r="C12295" s="24" t="s">
        <v>38887</v>
      </c>
      <c r="D12295" s="25" t="s">
        <v>38888</v>
      </c>
      <c r="E12295" s="28">
        <v>1.00000</v>
      </c>
      <c r="F12295" s="29">
        <f ca="1">ROUND(21.000,3)</f>
        <v>0</v>
      </c>
      <c r="G12295" s="27">
        <f ca="1">ROUND(E12295*F12295,2)</f>
        <v>0</v>
      </c>
    </row>
    <row r="12296" spans="1:7" ht="24.36" thickBot="1" customHeight="1">
      <c r="A12296" s="24" t="s">
        <v>38889</v>
      </c>
      <c r="B12296" s="24" t="s">
        <v>38890</v>
      </c>
      <c r="C12296" s="24" t="s">
        <v>38891</v>
      </c>
      <c r="D12296" s="25" t="s">
        <v>38892</v>
      </c>
      <c r="E12296" s="28">
        <v>1.00000</v>
      </c>
      <c r="F12296" s="29">
        <f ca="1">ROUND(19.000,3)</f>
        <v>0</v>
      </c>
      <c r="G12296" s="27">
        <f ca="1">ROUND(E12296*F12296,2)</f>
        <v>0</v>
      </c>
    </row>
    <row r="12297" spans="1:7" ht="24.36" thickBot="1" customHeight="1">
      <c r="A12297" s="24" t="s">
        <v>38893</v>
      </c>
      <c r="B12297" s="24" t="s">
        <v>38894</v>
      </c>
      <c r="C12297" s="24" t="s">
        <v>38895</v>
      </c>
      <c r="D12297" s="25" t="s">
        <v>38896</v>
      </c>
      <c r="E12297" s="28">
        <v>0.20000</v>
      </c>
      <c r="F12297" s="29">
        <f ca="1">ROUND(19.000,3)</f>
        <v>0</v>
      </c>
      <c r="G12297" s="27">
        <f ca="1">ROUND(E12297*F12297,2)</f>
        <v>0</v>
      </c>
    </row>
    <row r="12298" spans="1:7" ht="15.12" thickBot="1" customHeight="1">
      <c r="A12298" s="26"/>
      <c r="B12298" s="26"/>
      <c r="C12298" s="26"/>
      <c r="D12298" s="24" t="s">
        <v>38897</v>
      </c>
      <c r="E12298" s="28">
        <v>0.53333</v>
      </c>
      <c r="F12298" s="29">
        <f ca="1">ROUND((G12295+G12296+G12297),3)</f>
        <v>0</v>
      </c>
      <c r="G12298" s="27">
        <f ca="1">ROUND(E12298*F12298,2)</f>
        <v>0</v>
      </c>
    </row>
    <row r="12299" spans="1:7" ht="15.12" thickBot="1" customHeight="1">
      <c r="A12299" s="24" t="s">
        <v>38898</v>
      </c>
      <c r="B12299" s="24"/>
      <c r="C12299" s="24" t="s">
        <v>38899</v>
      </c>
      <c r="D12299" s="25" t="s">
        <v>38900</v>
      </c>
      <c r="E12299" s="28">
        <v>5.00000</v>
      </c>
      <c r="F12299" s="29">
        <f ca="1">ROUND(23.360,3)</f>
        <v>0</v>
      </c>
      <c r="G12299" s="27">
        <f ca="1">ROUND((E12299*F12299)/100,2)</f>
        <v>0</v>
      </c>
    </row>
    <row r="12300" spans="1:7" ht="15.48" thickBot="1" customHeight="1">
      <c r="A12300" s="30"/>
      <c r="B12300" s="30"/>
      <c r="C12300" s="30"/>
      <c r="D12300" s="31" t="s">
        <v>38901</v>
      </c>
      <c r="E12300" s="30"/>
      <c r="F12300" s="33">
        <f ca="1">ROUND((G12292+G12293+G12294+G12299)*(1+G2/100),2)</f>
        <v>0</v>
      </c>
      <c r="G12300" s="30"/>
    </row>
    <row r="12301" spans="1:7" ht="58.32" thickBot="1" customHeight="1">
      <c r="A12301" s="34" t="s">
        <v>38902</v>
      </c>
      <c r="B12301" s="35" t="s">
        <v>38903</v>
      </c>
      <c r="C12301" s="35" t="s">
        <v>38904</v>
      </c>
      <c r="D12301" s="36" t="s">
        <v>38905</v>
      </c>
      <c r="E12301" s="37"/>
      <c r="F12301" s="38">
        <f ca="1">F12311</f>
        <v>0</v>
      </c>
      <c r="G12301" s="37"/>
    </row>
    <row r="12302" spans="1:7" ht="21.36" thickBot="1" customHeight="1">
      <c r="A12302" s="26"/>
      <c r="B12302" s="26"/>
      <c r="C12302" s="26"/>
      <c r="D12302" s="25" t="s">
        <v>38906</v>
      </c>
      <c r="E12302" s="25"/>
      <c r="F12302" s="25"/>
      <c r="G12302" s="25"/>
    </row>
    <row r="12303" spans="1:7" ht="30.60" thickBot="1" customHeight="1">
      <c r="A12303" s="24" t="s">
        <v>38907</v>
      </c>
      <c r="B12303" s="24" t="s">
        <v>38908</v>
      </c>
      <c r="C12303" s="24" t="s">
        <v>38909</v>
      </c>
      <c r="D12303" s="25" t="s">
        <v>38910</v>
      </c>
      <c r="E12303" s="28">
        <v>0.05000</v>
      </c>
      <c r="F12303" s="29">
        <f ca="1">ROUND(20.750,3)</f>
        <v>0</v>
      </c>
      <c r="G12303" s="27">
        <f ca="1">ROUND(E12303*F12303,2)</f>
        <v>0</v>
      </c>
    </row>
    <row r="12304" spans="1:7" ht="39.84" thickBot="1" customHeight="1">
      <c r="A12304" s="24" t="s">
        <v>38911</v>
      </c>
      <c r="B12304" s="24" t="s">
        <v>38912</v>
      </c>
      <c r="C12304" s="24" t="s">
        <v>38913</v>
      </c>
      <c r="D12304" s="25" t="s">
        <v>38914</v>
      </c>
      <c r="E12304" s="28">
        <v>0.10000</v>
      </c>
      <c r="F12304" s="29">
        <f ca="1">ROUND(16.500,3)</f>
        <v>0</v>
      </c>
      <c r="G12304" s="27">
        <f ca="1">ROUND(E12304*F12304,2)</f>
        <v>0</v>
      </c>
    </row>
    <row r="12305" spans="1:7" ht="21.36" thickBot="1" customHeight="1">
      <c r="A12305" s="24" t="s">
        <v>38915</v>
      </c>
      <c r="B12305" s="24" t="s">
        <v>38916</v>
      </c>
      <c r="C12305" s="24" t="s">
        <v>38917</v>
      </c>
      <c r="D12305" s="25" t="s">
        <v>38918</v>
      </c>
      <c r="E12305" s="28">
        <v>0.45000</v>
      </c>
      <c r="F12305" s="29">
        <f ca="1">F12309</f>
        <v>0</v>
      </c>
      <c r="G12305" s="27">
        <f ca="1">ROUND(E12305*F12305,2)</f>
        <v>0</v>
      </c>
    </row>
    <row r="12306" spans="1:7" ht="24.36" thickBot="1" customHeight="1">
      <c r="A12306" s="24" t="s">
        <v>38919</v>
      </c>
      <c r="B12306" s="24" t="s">
        <v>38920</v>
      </c>
      <c r="C12306" s="24" t="s">
        <v>38921</v>
      </c>
      <c r="D12306" s="25" t="s">
        <v>38922</v>
      </c>
      <c r="E12306" s="28">
        <v>1.00000</v>
      </c>
      <c r="F12306" s="29">
        <f ca="1">ROUND(21.000,3)</f>
        <v>0</v>
      </c>
      <c r="G12306" s="27">
        <f ca="1">ROUND(E12306*F12306,2)</f>
        <v>0</v>
      </c>
    </row>
    <row r="12307" spans="1:7" ht="24.36" thickBot="1" customHeight="1">
      <c r="A12307" s="24" t="s">
        <v>38923</v>
      </c>
      <c r="B12307" s="24" t="s">
        <v>38924</v>
      </c>
      <c r="C12307" s="24" t="s">
        <v>38925</v>
      </c>
      <c r="D12307" s="25" t="s">
        <v>38926</v>
      </c>
      <c r="E12307" s="28">
        <v>1.00000</v>
      </c>
      <c r="F12307" s="29">
        <f ca="1">ROUND(19.000,3)</f>
        <v>0</v>
      </c>
      <c r="G12307" s="27">
        <f ca="1">ROUND(E12307*F12307,2)</f>
        <v>0</v>
      </c>
    </row>
    <row r="12308" spans="1:7" ht="24.36" thickBot="1" customHeight="1">
      <c r="A12308" s="24" t="s">
        <v>38927</v>
      </c>
      <c r="B12308" s="24" t="s">
        <v>38928</v>
      </c>
      <c r="C12308" s="24" t="s">
        <v>38929</v>
      </c>
      <c r="D12308" s="25" t="s">
        <v>38930</v>
      </c>
      <c r="E12308" s="28">
        <v>0.20000</v>
      </c>
      <c r="F12308" s="29">
        <f ca="1">ROUND(19.000,3)</f>
        <v>0</v>
      </c>
      <c r="G12308" s="27">
        <f ca="1">ROUND(E12308*F12308,2)</f>
        <v>0</v>
      </c>
    </row>
    <row r="12309" spans="1:7" ht="15.12" thickBot="1" customHeight="1">
      <c r="A12309" s="26"/>
      <c r="B12309" s="26"/>
      <c r="C12309" s="26"/>
      <c r="D12309" s="24" t="s">
        <v>38931</v>
      </c>
      <c r="E12309" s="28">
        <v>0.45000</v>
      </c>
      <c r="F12309" s="29">
        <f ca="1">ROUND((G12306+G12307+G12308),3)</f>
        <v>0</v>
      </c>
      <c r="G12309" s="27">
        <f ca="1">ROUND(E12309*F12309,2)</f>
        <v>0</v>
      </c>
    </row>
    <row r="12310" spans="1:7" ht="15.12" thickBot="1" customHeight="1">
      <c r="A12310" s="24" t="s">
        <v>38932</v>
      </c>
      <c r="B12310" s="24"/>
      <c r="C12310" s="24" t="s">
        <v>38933</v>
      </c>
      <c r="D12310" s="25" t="s">
        <v>38934</v>
      </c>
      <c r="E12310" s="28">
        <v>5.00000</v>
      </c>
      <c r="F12310" s="29">
        <f ca="1">ROUND(19.710,3)</f>
        <v>0</v>
      </c>
      <c r="G12310" s="27">
        <f ca="1">ROUND((E12310*F12310)/100,2)</f>
        <v>0</v>
      </c>
    </row>
    <row r="12311" spans="1:7" ht="15.48" thickBot="1" customHeight="1">
      <c r="A12311" s="30"/>
      <c r="B12311" s="30"/>
      <c r="C12311" s="30"/>
      <c r="D12311" s="31" t="s">
        <v>38935</v>
      </c>
      <c r="E12311" s="30"/>
      <c r="F12311" s="33">
        <f ca="1">ROUND((G12303+G12304+G12305+G12310)*(1+G2/100),2)</f>
        <v>0</v>
      </c>
      <c r="G12311" s="30"/>
    </row>
    <row r="12312" spans="1:7" ht="30.60" thickBot="1" customHeight="1">
      <c r="A12312" s="34" t="s">
        <v>38936</v>
      </c>
      <c r="B12312" s="35" t="s">
        <v>38937</v>
      </c>
      <c r="C12312" s="35" t="s">
        <v>38938</v>
      </c>
      <c r="D12312" s="36" t="s">
        <v>38939</v>
      </c>
      <c r="E12312" s="37"/>
      <c r="F12312" s="38">
        <f ca="1">F12322</f>
        <v>0</v>
      </c>
      <c r="G12312" s="37"/>
    </row>
    <row r="12313" spans="1:7" ht="21.36" thickBot="1" customHeight="1">
      <c r="A12313" s="26"/>
      <c r="B12313" s="26"/>
      <c r="C12313" s="26"/>
      <c r="D12313" s="25" t="s">
        <v>38940</v>
      </c>
      <c r="E12313" s="25"/>
      <c r="F12313" s="25"/>
      <c r="G12313" s="25"/>
    </row>
    <row r="12314" spans="1:7" ht="39.84" thickBot="1" customHeight="1">
      <c r="A12314" s="24" t="s">
        <v>38941</v>
      </c>
      <c r="B12314" s="24" t="s">
        <v>38942</v>
      </c>
      <c r="C12314" s="24" t="s">
        <v>38943</v>
      </c>
      <c r="D12314" s="25" t="s">
        <v>38944</v>
      </c>
      <c r="E12314" s="28">
        <v>0.01111</v>
      </c>
      <c r="F12314" s="29">
        <f ca="1">ROUND(96.780,3)</f>
        <v>0</v>
      </c>
      <c r="G12314" s="27">
        <f ca="1">ROUND(E12314*F12314,2)</f>
        <v>0</v>
      </c>
    </row>
    <row r="12315" spans="1:7" ht="49.08" thickBot="1" customHeight="1">
      <c r="A12315" s="24" t="s">
        <v>38945</v>
      </c>
      <c r="B12315" s="24" t="s">
        <v>38946</v>
      </c>
      <c r="C12315" s="24" t="s">
        <v>38947</v>
      </c>
      <c r="D12315" s="25" t="s">
        <v>38948</v>
      </c>
      <c r="E12315" s="28">
        <v>0.13333</v>
      </c>
      <c r="F12315" s="29">
        <f ca="1">ROUND(123.760,3)</f>
        <v>0</v>
      </c>
      <c r="G12315" s="27">
        <f ca="1">ROUND(E12315*F12315,2)</f>
        <v>0</v>
      </c>
    </row>
    <row r="12316" spans="1:7" ht="21.36" thickBot="1" customHeight="1">
      <c r="A12316" s="24" t="s">
        <v>38949</v>
      </c>
      <c r="B12316" s="24" t="s">
        <v>38950</v>
      </c>
      <c r="C12316" s="24" t="s">
        <v>38951</v>
      </c>
      <c r="D12316" s="25" t="s">
        <v>38952</v>
      </c>
      <c r="E12316" s="28">
        <v>0.27000</v>
      </c>
      <c r="F12316" s="29">
        <f ca="1">F12320</f>
        <v>0</v>
      </c>
      <c r="G12316" s="27">
        <f ca="1">ROUND(E12316*F12316,2)</f>
        <v>0</v>
      </c>
    </row>
    <row r="12317" spans="1:7" ht="24.36" thickBot="1" customHeight="1">
      <c r="A12317" s="24" t="s">
        <v>38953</v>
      </c>
      <c r="B12317" s="24" t="s">
        <v>38954</v>
      </c>
      <c r="C12317" s="24" t="s">
        <v>38955</v>
      </c>
      <c r="D12317" s="25" t="s">
        <v>38956</v>
      </c>
      <c r="E12317" s="28">
        <v>1.00000</v>
      </c>
      <c r="F12317" s="29">
        <f ca="1">ROUND(21.000,3)</f>
        <v>0</v>
      </c>
      <c r="G12317" s="27">
        <f ca="1">ROUND(E12317*F12317,2)</f>
        <v>0</v>
      </c>
    </row>
    <row r="12318" spans="1:7" ht="24.36" thickBot="1" customHeight="1">
      <c r="A12318" s="24" t="s">
        <v>38957</v>
      </c>
      <c r="B12318" s="24" t="s">
        <v>38958</v>
      </c>
      <c r="C12318" s="24" t="s">
        <v>38959</v>
      </c>
      <c r="D12318" s="25" t="s">
        <v>38960</v>
      </c>
      <c r="E12318" s="28">
        <v>1.00000</v>
      </c>
      <c r="F12318" s="29">
        <f ca="1">ROUND(19.000,3)</f>
        <v>0</v>
      </c>
      <c r="G12318" s="27">
        <f ca="1">ROUND(E12318*F12318,2)</f>
        <v>0</v>
      </c>
    </row>
    <row r="12319" spans="1:7" ht="24.36" thickBot="1" customHeight="1">
      <c r="A12319" s="24" t="s">
        <v>38961</v>
      </c>
      <c r="B12319" s="24" t="s">
        <v>38962</v>
      </c>
      <c r="C12319" s="24" t="s">
        <v>38963</v>
      </c>
      <c r="D12319" s="25" t="s">
        <v>38964</v>
      </c>
      <c r="E12319" s="28">
        <v>0.20000</v>
      </c>
      <c r="F12319" s="29">
        <f ca="1">ROUND(19.000,3)</f>
        <v>0</v>
      </c>
      <c r="G12319" s="27">
        <f ca="1">ROUND(E12319*F12319,2)</f>
        <v>0</v>
      </c>
    </row>
    <row r="12320" spans="1:7" ht="15.12" thickBot="1" customHeight="1">
      <c r="A12320" s="26"/>
      <c r="B12320" s="26"/>
      <c r="C12320" s="26"/>
      <c r="D12320" s="24" t="s">
        <v>38965</v>
      </c>
      <c r="E12320" s="28">
        <v>0.27000</v>
      </c>
      <c r="F12320" s="29">
        <f ca="1">ROUND((G12317+G12318+G12319),3)</f>
        <v>0</v>
      </c>
      <c r="G12320" s="27">
        <f ca="1">ROUND(E12320*F12320,2)</f>
        <v>0</v>
      </c>
    </row>
    <row r="12321" spans="1:7" ht="15.12" thickBot="1" customHeight="1">
      <c r="A12321" s="24" t="s">
        <v>38966</v>
      </c>
      <c r="B12321" s="24"/>
      <c r="C12321" s="24" t="s">
        <v>38967</v>
      </c>
      <c r="D12321" s="25" t="s">
        <v>38968</v>
      </c>
      <c r="E12321" s="28">
        <v>3.00000</v>
      </c>
      <c r="F12321" s="29">
        <f ca="1">ROUND(11.830,3)</f>
        <v>0</v>
      </c>
      <c r="G12321" s="27">
        <f ca="1">ROUND((E12321*F12321)/100,2)</f>
        <v>0</v>
      </c>
    </row>
    <row r="12322" spans="1:7" ht="15.48" thickBot="1" customHeight="1">
      <c r="A12322" s="30"/>
      <c r="B12322" s="30"/>
      <c r="C12322" s="30"/>
      <c r="D12322" s="31" t="s">
        <v>38969</v>
      </c>
      <c r="E12322" s="30"/>
      <c r="F12322" s="33">
        <f ca="1">ROUND((G12314+G12315+G12316+G12321)*(1+G2/100),2)</f>
        <v>0</v>
      </c>
      <c r="G12322" s="30"/>
    </row>
    <row r="12323" spans="1:7" ht="30.60" thickBot="1" customHeight="1">
      <c r="A12323" s="34" t="s">
        <v>38970</v>
      </c>
      <c r="B12323" s="35" t="s">
        <v>38971</v>
      </c>
      <c r="C12323" s="35" t="s">
        <v>38972</v>
      </c>
      <c r="D12323" s="36" t="s">
        <v>38973</v>
      </c>
      <c r="E12323" s="37"/>
      <c r="F12323" s="38">
        <f ca="1">F12333</f>
        <v>0</v>
      </c>
      <c r="G12323" s="37"/>
    </row>
    <row r="12324" spans="1:7" ht="21.36" thickBot="1" customHeight="1">
      <c r="A12324" s="26"/>
      <c r="B12324" s="26"/>
      <c r="C12324" s="26"/>
      <c r="D12324" s="25" t="s">
        <v>38974</v>
      </c>
      <c r="E12324" s="25"/>
      <c r="F12324" s="25"/>
      <c r="G12324" s="25"/>
    </row>
    <row r="12325" spans="1:7" ht="39.84" thickBot="1" customHeight="1">
      <c r="A12325" s="24" t="s">
        <v>38975</v>
      </c>
      <c r="B12325" s="24" t="s">
        <v>38976</v>
      </c>
      <c r="C12325" s="24" t="s">
        <v>38977</v>
      </c>
      <c r="D12325" s="25" t="s">
        <v>38978</v>
      </c>
      <c r="E12325" s="28">
        <v>0.01111</v>
      </c>
      <c r="F12325" s="29">
        <f ca="1">ROUND(96.780,3)</f>
        <v>0</v>
      </c>
      <c r="G12325" s="27">
        <f ca="1">ROUND(E12325*F12325,2)</f>
        <v>0</v>
      </c>
    </row>
    <row r="12326" spans="1:7" ht="49.08" thickBot="1" customHeight="1">
      <c r="A12326" s="24" t="s">
        <v>38979</v>
      </c>
      <c r="B12326" s="24" t="s">
        <v>38980</v>
      </c>
      <c r="C12326" s="24" t="s">
        <v>38981</v>
      </c>
      <c r="D12326" s="25" t="s">
        <v>38982</v>
      </c>
      <c r="E12326" s="28">
        <v>0.13333</v>
      </c>
      <c r="F12326" s="29">
        <f ca="1">ROUND(123.760,3)</f>
        <v>0</v>
      </c>
      <c r="G12326" s="27">
        <f ca="1">ROUND(E12326*F12326,2)</f>
        <v>0</v>
      </c>
    </row>
    <row r="12327" spans="1:7" ht="21.36" thickBot="1" customHeight="1">
      <c r="A12327" s="24" t="s">
        <v>38983</v>
      </c>
      <c r="B12327" s="24" t="s">
        <v>38984</v>
      </c>
      <c r="C12327" s="24" t="s">
        <v>38985</v>
      </c>
      <c r="D12327" s="25" t="s">
        <v>38986</v>
      </c>
      <c r="E12327" s="28">
        <v>0.53333</v>
      </c>
      <c r="F12327" s="29">
        <f ca="1">F12331</f>
        <v>0</v>
      </c>
      <c r="G12327" s="27">
        <f ca="1">ROUND(E12327*F12327,2)</f>
        <v>0</v>
      </c>
    </row>
    <row r="12328" spans="1:7" ht="24.36" thickBot="1" customHeight="1">
      <c r="A12328" s="24" t="s">
        <v>38987</v>
      </c>
      <c r="B12328" s="24" t="s">
        <v>38988</v>
      </c>
      <c r="C12328" s="24" t="s">
        <v>38989</v>
      </c>
      <c r="D12328" s="25" t="s">
        <v>38990</v>
      </c>
      <c r="E12328" s="28">
        <v>1.00000</v>
      </c>
      <c r="F12328" s="29">
        <f ca="1">ROUND(21.000,3)</f>
        <v>0</v>
      </c>
      <c r="G12328" s="27">
        <f ca="1">ROUND(E12328*F12328,2)</f>
        <v>0</v>
      </c>
    </row>
    <row r="12329" spans="1:7" ht="24.36" thickBot="1" customHeight="1">
      <c r="A12329" s="24" t="s">
        <v>38991</v>
      </c>
      <c r="B12329" s="24" t="s">
        <v>38992</v>
      </c>
      <c r="C12329" s="24" t="s">
        <v>38993</v>
      </c>
      <c r="D12329" s="25" t="s">
        <v>38994</v>
      </c>
      <c r="E12329" s="28">
        <v>1.00000</v>
      </c>
      <c r="F12329" s="29">
        <f ca="1">ROUND(19.000,3)</f>
        <v>0</v>
      </c>
      <c r="G12329" s="27">
        <f ca="1">ROUND(E12329*F12329,2)</f>
        <v>0</v>
      </c>
    </row>
    <row r="12330" spans="1:7" ht="24.36" thickBot="1" customHeight="1">
      <c r="A12330" s="24" t="s">
        <v>38995</v>
      </c>
      <c r="B12330" s="24" t="s">
        <v>38996</v>
      </c>
      <c r="C12330" s="24" t="s">
        <v>38997</v>
      </c>
      <c r="D12330" s="25" t="s">
        <v>38998</v>
      </c>
      <c r="E12330" s="28">
        <v>0.20000</v>
      </c>
      <c r="F12330" s="29">
        <f ca="1">ROUND(19.000,3)</f>
        <v>0</v>
      </c>
      <c r="G12330" s="27">
        <f ca="1">ROUND(E12330*F12330,2)</f>
        <v>0</v>
      </c>
    </row>
    <row r="12331" spans="1:7" ht="15.12" thickBot="1" customHeight="1">
      <c r="A12331" s="26"/>
      <c r="B12331" s="26"/>
      <c r="C12331" s="26"/>
      <c r="D12331" s="24" t="s">
        <v>38999</v>
      </c>
      <c r="E12331" s="28">
        <v>0.53333</v>
      </c>
      <c r="F12331" s="29">
        <f ca="1">ROUND((G12328+G12329+G12330),3)</f>
        <v>0</v>
      </c>
      <c r="G12331" s="27">
        <f ca="1">ROUND(E12331*F12331,2)</f>
        <v>0</v>
      </c>
    </row>
    <row r="12332" spans="1:7" ht="15.12" thickBot="1" customHeight="1">
      <c r="A12332" s="24" t="s">
        <v>39000</v>
      </c>
      <c r="B12332" s="24"/>
      <c r="C12332" s="24" t="s">
        <v>39001</v>
      </c>
      <c r="D12332" s="25" t="s">
        <v>39002</v>
      </c>
      <c r="E12332" s="28">
        <v>5.00000</v>
      </c>
      <c r="F12332" s="29">
        <f ca="1">ROUND(23.360,3)</f>
        <v>0</v>
      </c>
      <c r="G12332" s="27">
        <f ca="1">ROUND((E12332*F12332)/100,2)</f>
        <v>0</v>
      </c>
    </row>
    <row r="12333" spans="1:7" ht="15.48" thickBot="1" customHeight="1">
      <c r="A12333" s="30"/>
      <c r="B12333" s="30"/>
      <c r="C12333" s="30"/>
      <c r="D12333" s="31" t="s">
        <v>39003</v>
      </c>
      <c r="E12333" s="30"/>
      <c r="F12333" s="33">
        <f ca="1">ROUND((G12325+G12326+G12327+G12332)*(1+G2/100),2)</f>
        <v>0</v>
      </c>
      <c r="G12333" s="30"/>
    </row>
    <row r="12334" spans="1:7" ht="30.60" thickBot="1" customHeight="1">
      <c r="A12334" s="34" t="s">
        <v>39004</v>
      </c>
      <c r="B12334" s="35" t="s">
        <v>39005</v>
      </c>
      <c r="C12334" s="35" t="s">
        <v>39006</v>
      </c>
      <c r="D12334" s="36" t="s">
        <v>39007</v>
      </c>
      <c r="E12334" s="37"/>
      <c r="F12334" s="38">
        <f ca="1">F12344</f>
        <v>0</v>
      </c>
      <c r="G12334" s="37"/>
    </row>
    <row r="12335" spans="1:7" ht="21.36" thickBot="1" customHeight="1">
      <c r="A12335" s="26"/>
      <c r="B12335" s="26"/>
      <c r="C12335" s="26"/>
      <c r="D12335" s="25" t="s">
        <v>39008</v>
      </c>
      <c r="E12335" s="25"/>
      <c r="F12335" s="25"/>
      <c r="G12335" s="25"/>
    </row>
    <row r="12336" spans="1:7" ht="39.84" thickBot="1" customHeight="1">
      <c r="A12336" s="24" t="s">
        <v>39009</v>
      </c>
      <c r="B12336" s="24" t="s">
        <v>39010</v>
      </c>
      <c r="C12336" s="24" t="s">
        <v>39011</v>
      </c>
      <c r="D12336" s="25" t="s">
        <v>39012</v>
      </c>
      <c r="E12336" s="28">
        <v>0.01111</v>
      </c>
      <c r="F12336" s="29">
        <f ca="1">ROUND(96.780,3)</f>
        <v>0</v>
      </c>
      <c r="G12336" s="27">
        <f ca="1">ROUND(E12336*F12336,2)</f>
        <v>0</v>
      </c>
    </row>
    <row r="12337" spans="1:7" ht="49.08" thickBot="1" customHeight="1">
      <c r="A12337" s="24" t="s">
        <v>39013</v>
      </c>
      <c r="B12337" s="24" t="s">
        <v>39014</v>
      </c>
      <c r="C12337" s="24" t="s">
        <v>39015</v>
      </c>
      <c r="D12337" s="25" t="s">
        <v>39016</v>
      </c>
      <c r="E12337" s="28">
        <v>0.13333</v>
      </c>
      <c r="F12337" s="29">
        <f ca="1">ROUND(123.760,3)</f>
        <v>0</v>
      </c>
      <c r="G12337" s="27">
        <f ca="1">ROUND(E12337*F12337,2)</f>
        <v>0</v>
      </c>
    </row>
    <row r="12338" spans="1:7" ht="21.36" thickBot="1" customHeight="1">
      <c r="A12338" s="24" t="s">
        <v>39017</v>
      </c>
      <c r="B12338" s="24" t="s">
        <v>39018</v>
      </c>
      <c r="C12338" s="24" t="s">
        <v>39019</v>
      </c>
      <c r="D12338" s="25" t="s">
        <v>39020</v>
      </c>
      <c r="E12338" s="28">
        <v>0.36000</v>
      </c>
      <c r="F12338" s="29">
        <f ca="1">F12342</f>
        <v>0</v>
      </c>
      <c r="G12338" s="27">
        <f ca="1">ROUND(E12338*F12338,2)</f>
        <v>0</v>
      </c>
    </row>
    <row r="12339" spans="1:7" ht="24.36" thickBot="1" customHeight="1">
      <c r="A12339" s="24" t="s">
        <v>39021</v>
      </c>
      <c r="B12339" s="24" t="s">
        <v>39022</v>
      </c>
      <c r="C12339" s="24" t="s">
        <v>39023</v>
      </c>
      <c r="D12339" s="25" t="s">
        <v>39024</v>
      </c>
      <c r="E12339" s="28">
        <v>1.00000</v>
      </c>
      <c r="F12339" s="29">
        <f ca="1">ROUND(21.000,3)</f>
        <v>0</v>
      </c>
      <c r="G12339" s="27">
        <f ca="1">ROUND(E12339*F12339,2)</f>
        <v>0</v>
      </c>
    </row>
    <row r="12340" spans="1:7" ht="24.36" thickBot="1" customHeight="1">
      <c r="A12340" s="24" t="s">
        <v>39025</v>
      </c>
      <c r="B12340" s="24" t="s">
        <v>39026</v>
      </c>
      <c r="C12340" s="24" t="s">
        <v>39027</v>
      </c>
      <c r="D12340" s="25" t="s">
        <v>39028</v>
      </c>
      <c r="E12340" s="28">
        <v>1.00000</v>
      </c>
      <c r="F12340" s="29">
        <f ca="1">ROUND(19.000,3)</f>
        <v>0</v>
      </c>
      <c r="G12340" s="27">
        <f ca="1">ROUND(E12340*F12340,2)</f>
        <v>0</v>
      </c>
    </row>
    <row r="12341" spans="1:7" ht="24.36" thickBot="1" customHeight="1">
      <c r="A12341" s="24" t="s">
        <v>39029</v>
      </c>
      <c r="B12341" s="24" t="s">
        <v>39030</v>
      </c>
      <c r="C12341" s="24" t="s">
        <v>39031</v>
      </c>
      <c r="D12341" s="25" t="s">
        <v>39032</v>
      </c>
      <c r="E12341" s="28">
        <v>0.20000</v>
      </c>
      <c r="F12341" s="29">
        <f ca="1">ROUND(19.000,3)</f>
        <v>0</v>
      </c>
      <c r="G12341" s="27">
        <f ca="1">ROUND(E12341*F12341,2)</f>
        <v>0</v>
      </c>
    </row>
    <row r="12342" spans="1:7" ht="15.12" thickBot="1" customHeight="1">
      <c r="A12342" s="26"/>
      <c r="B12342" s="26"/>
      <c r="C12342" s="26"/>
      <c r="D12342" s="24" t="s">
        <v>39033</v>
      </c>
      <c r="E12342" s="28">
        <v>0.36000</v>
      </c>
      <c r="F12342" s="29">
        <f ca="1">ROUND((G12339+G12340+G12341),3)</f>
        <v>0</v>
      </c>
      <c r="G12342" s="27">
        <f ca="1">ROUND(E12342*F12342,2)</f>
        <v>0</v>
      </c>
    </row>
    <row r="12343" spans="1:7" ht="15.12" thickBot="1" customHeight="1">
      <c r="A12343" s="24" t="s">
        <v>39034</v>
      </c>
      <c r="B12343" s="24"/>
      <c r="C12343" s="24" t="s">
        <v>39035</v>
      </c>
      <c r="D12343" s="25" t="s">
        <v>39036</v>
      </c>
      <c r="E12343" s="28">
        <v>5.00000</v>
      </c>
      <c r="F12343" s="29">
        <f ca="1">ROUND(15.770,3)</f>
        <v>0</v>
      </c>
      <c r="G12343" s="27">
        <f ca="1">ROUND((E12343*F12343)/100,2)</f>
        <v>0</v>
      </c>
    </row>
    <row r="12344" spans="1:7" ht="15.48" thickBot="1" customHeight="1">
      <c r="A12344" s="30"/>
      <c r="B12344" s="30"/>
      <c r="C12344" s="30"/>
      <c r="D12344" s="31" t="s">
        <v>39037</v>
      </c>
      <c r="E12344" s="30"/>
      <c r="F12344" s="33">
        <f ca="1">ROUND((G12336+G12337+G12338+G12343)*(1+G2/100),2)</f>
        <v>0</v>
      </c>
      <c r="G12344" s="30"/>
    </row>
    <row r="12345" spans="1:7" ht="30.60" thickBot="1" customHeight="1">
      <c r="A12345" s="34" t="s">
        <v>39038</v>
      </c>
      <c r="B12345" s="35" t="s">
        <v>39039</v>
      </c>
      <c r="C12345" s="35" t="s">
        <v>39040</v>
      </c>
      <c r="D12345" s="36" t="s">
        <v>39041</v>
      </c>
      <c r="E12345" s="37"/>
      <c r="F12345" s="38">
        <f ca="1">F12349</f>
        <v>0</v>
      </c>
      <c r="G12345" s="37"/>
    </row>
    <row r="12346" spans="1:7" ht="12.12" thickBot="1" customHeight="1">
      <c r="A12346" s="26"/>
      <c r="B12346" s="26"/>
      <c r="C12346" s="26"/>
      <c r="D12346" s="25" t="s">
        <v>39042</v>
      </c>
      <c r="E12346" s="25"/>
      <c r="F12346" s="25"/>
      <c r="G12346" s="25"/>
    </row>
    <row r="12347" spans="1:7" ht="15.12" thickBot="1" customHeight="1">
      <c r="A12347" s="24" t="s">
        <v>39043</v>
      </c>
      <c r="B12347" s="24" t="s">
        <v>39044</v>
      </c>
      <c r="C12347" s="24" t="s">
        <v>39045</v>
      </c>
      <c r="D12347" s="25" t="s">
        <v>39046</v>
      </c>
      <c r="E12347" s="28">
        <v>0.45000</v>
      </c>
      <c r="F12347" s="29">
        <f ca="1">ROUND(8.260,3)</f>
        <v>0</v>
      </c>
      <c r="G12347" s="27">
        <f ca="1">ROUND(E12347*F12347,2)</f>
        <v>0</v>
      </c>
    </row>
    <row r="12348" spans="1:7" ht="24.36" thickBot="1" customHeight="1">
      <c r="A12348" s="24" t="s">
        <v>39047</v>
      </c>
      <c r="B12348" s="24" t="s">
        <v>39048</v>
      </c>
      <c r="C12348" s="24" t="s">
        <v>39049</v>
      </c>
      <c r="D12348" s="25" t="s">
        <v>39050</v>
      </c>
      <c r="E12348" s="28">
        <v>0.28000</v>
      </c>
      <c r="F12348" s="29">
        <f ca="1">ROUND(49.500,3)</f>
        <v>0</v>
      </c>
      <c r="G12348" s="27">
        <f ca="1">ROUND(E12348*F12348,2)</f>
        <v>0</v>
      </c>
    </row>
    <row r="12349" spans="1:7" ht="15.48" thickBot="1" customHeight="1">
      <c r="A12349" s="30"/>
      <c r="B12349" s="30"/>
      <c r="C12349" s="30"/>
      <c r="D12349" s="31" t="s">
        <v>39051</v>
      </c>
      <c r="E12349" s="30"/>
      <c r="F12349" s="33">
        <f ca="1">ROUND((G12347+G12348)*(1+G2/100),2)</f>
        <v>0</v>
      </c>
      <c r="G12349" s="30"/>
    </row>
    <row r="12350" spans="1:7" ht="30.60" thickBot="1" customHeight="1">
      <c r="A12350" s="34" t="s">
        <v>39052</v>
      </c>
      <c r="B12350" s="35" t="s">
        <v>39053</v>
      </c>
      <c r="C12350" s="35" t="s">
        <v>39054</v>
      </c>
      <c r="D12350" s="36" t="s">
        <v>39055</v>
      </c>
      <c r="E12350" s="37"/>
      <c r="F12350" s="38">
        <f ca="1">F12359</f>
        <v>0</v>
      </c>
      <c r="G12350" s="37"/>
    </row>
    <row r="12351" spans="1:7" ht="21.36" thickBot="1" customHeight="1">
      <c r="A12351" s="26"/>
      <c r="B12351" s="26"/>
      <c r="C12351" s="26"/>
      <c r="D12351" s="25" t="s">
        <v>39056</v>
      </c>
      <c r="E12351" s="25"/>
      <c r="F12351" s="25"/>
      <c r="G12351" s="25"/>
    </row>
    <row r="12352" spans="1:7" ht="39.84" thickBot="1" customHeight="1">
      <c r="A12352" s="24" t="s">
        <v>39057</v>
      </c>
      <c r="B12352" s="24" t="s">
        <v>39058</v>
      </c>
      <c r="C12352" s="24" t="s">
        <v>39059</v>
      </c>
      <c r="D12352" s="25" t="s">
        <v>39060</v>
      </c>
      <c r="E12352" s="28">
        <v>0.05000</v>
      </c>
      <c r="F12352" s="29">
        <f ca="1">ROUND(34.710,3)</f>
        <v>0</v>
      </c>
      <c r="G12352" s="27">
        <f ca="1">ROUND(E12352*F12352,2)</f>
        <v>0</v>
      </c>
    </row>
    <row r="12353" spans="1:7" ht="21.36" thickBot="1" customHeight="1">
      <c r="A12353" s="24" t="s">
        <v>39061</v>
      </c>
      <c r="B12353" s="24" t="s">
        <v>39062</v>
      </c>
      <c r="C12353" s="24" t="s">
        <v>39063</v>
      </c>
      <c r="D12353" s="25" t="s">
        <v>39064</v>
      </c>
      <c r="E12353" s="28">
        <v>0.26666</v>
      </c>
      <c r="F12353" s="29">
        <f ca="1">F12357</f>
        <v>0</v>
      </c>
      <c r="G12353" s="27">
        <f ca="1">ROUND(E12353*F12353,2)</f>
        <v>0</v>
      </c>
    </row>
    <row r="12354" spans="1:7" ht="24.36" thickBot="1" customHeight="1">
      <c r="A12354" s="24" t="s">
        <v>39065</v>
      </c>
      <c r="B12354" s="24" t="s">
        <v>39066</v>
      </c>
      <c r="C12354" s="24" t="s">
        <v>39067</v>
      </c>
      <c r="D12354" s="25" t="s">
        <v>39068</v>
      </c>
      <c r="E12354" s="28">
        <v>1.00000</v>
      </c>
      <c r="F12354" s="29">
        <f ca="1">ROUND(21.000,3)</f>
        <v>0</v>
      </c>
      <c r="G12354" s="27">
        <f ca="1">ROUND(E12354*F12354,2)</f>
        <v>0</v>
      </c>
    </row>
    <row r="12355" spans="1:7" ht="24.36" thickBot="1" customHeight="1">
      <c r="A12355" s="24" t="s">
        <v>39069</v>
      </c>
      <c r="B12355" s="24" t="s">
        <v>39070</v>
      </c>
      <c r="C12355" s="24" t="s">
        <v>39071</v>
      </c>
      <c r="D12355" s="25" t="s">
        <v>39072</v>
      </c>
      <c r="E12355" s="28">
        <v>1.00000</v>
      </c>
      <c r="F12355" s="29">
        <f ca="1">ROUND(19.000,3)</f>
        <v>0</v>
      </c>
      <c r="G12355" s="27">
        <f ca="1">ROUND(E12355*F12355,2)</f>
        <v>0</v>
      </c>
    </row>
    <row r="12356" spans="1:7" ht="24.36" thickBot="1" customHeight="1">
      <c r="A12356" s="24" t="s">
        <v>39073</v>
      </c>
      <c r="B12356" s="24" t="s">
        <v>39074</v>
      </c>
      <c r="C12356" s="24" t="s">
        <v>39075</v>
      </c>
      <c r="D12356" s="25" t="s">
        <v>39076</v>
      </c>
      <c r="E12356" s="28">
        <v>0.20000</v>
      </c>
      <c r="F12356" s="29">
        <f ca="1">ROUND(19.000,3)</f>
        <v>0</v>
      </c>
      <c r="G12356" s="27">
        <f ca="1">ROUND(E12356*F12356,2)</f>
        <v>0</v>
      </c>
    </row>
    <row r="12357" spans="1:7" ht="15.12" thickBot="1" customHeight="1">
      <c r="A12357" s="26"/>
      <c r="B12357" s="26"/>
      <c r="C12357" s="26"/>
      <c r="D12357" s="24" t="s">
        <v>39077</v>
      </c>
      <c r="E12357" s="28">
        <v>0.26666</v>
      </c>
      <c r="F12357" s="29">
        <f ca="1">ROUND((G12354+G12355+G12356),3)</f>
        <v>0</v>
      </c>
      <c r="G12357" s="27">
        <f ca="1">ROUND(E12357*F12357,2)</f>
        <v>0</v>
      </c>
    </row>
    <row r="12358" spans="1:7" ht="15.12" thickBot="1" customHeight="1">
      <c r="A12358" s="24" t="s">
        <v>39078</v>
      </c>
      <c r="B12358" s="24"/>
      <c r="C12358" s="24" t="s">
        <v>39079</v>
      </c>
      <c r="D12358" s="25" t="s">
        <v>39080</v>
      </c>
      <c r="E12358" s="28">
        <v>3.00000</v>
      </c>
      <c r="F12358" s="29">
        <f ca="1">ROUND(11.680,3)</f>
        <v>0</v>
      </c>
      <c r="G12358" s="27">
        <f ca="1">ROUND((E12358*F12358)/100,2)</f>
        <v>0</v>
      </c>
    </row>
    <row r="12359" spans="1:7" ht="15.48" thickBot="1" customHeight="1">
      <c r="A12359" s="30"/>
      <c r="B12359" s="30"/>
      <c r="C12359" s="30"/>
      <c r="D12359" s="31" t="s">
        <v>39081</v>
      </c>
      <c r="E12359" s="30"/>
      <c r="F12359" s="33">
        <f ca="1">ROUND((G12352+G12353+G12358)*(1+G2/100),2)</f>
        <v>0</v>
      </c>
      <c r="G12359" s="30"/>
    </row>
    <row r="12360" spans="1:7" ht="39.84" thickBot="1" customHeight="1">
      <c r="A12360" s="34" t="s">
        <v>39082</v>
      </c>
      <c r="B12360" s="35" t="s">
        <v>39083</v>
      </c>
      <c r="C12360" s="35" t="s">
        <v>39084</v>
      </c>
      <c r="D12360" s="36" t="s">
        <v>39085</v>
      </c>
      <c r="E12360" s="37"/>
      <c r="F12360" s="38">
        <f ca="1">F12371</f>
        <v>0</v>
      </c>
      <c r="G12360" s="37"/>
    </row>
    <row r="12361" spans="1:7" ht="21.36" thickBot="1" customHeight="1">
      <c r="A12361" s="26"/>
      <c r="B12361" s="26"/>
      <c r="C12361" s="26"/>
      <c r="D12361" s="25" t="s">
        <v>39086</v>
      </c>
      <c r="E12361" s="25"/>
      <c r="F12361" s="25"/>
      <c r="G12361" s="25"/>
    </row>
    <row r="12362" spans="1:7" ht="24.36" thickBot="1" customHeight="1">
      <c r="A12362" s="24" t="s">
        <v>39087</v>
      </c>
      <c r="B12362" s="24" t="s">
        <v>39088</v>
      </c>
      <c r="C12362" s="24" t="s">
        <v>39089</v>
      </c>
      <c r="D12362" s="25" t="s">
        <v>39090</v>
      </c>
      <c r="E12362" s="28">
        <v>0.03000</v>
      </c>
      <c r="F12362" s="29">
        <f ca="1">ROUND(35.300,3)</f>
        <v>0</v>
      </c>
      <c r="G12362" s="27">
        <f ca="1">ROUND(E12362*F12362,2)</f>
        <v>0</v>
      </c>
    </row>
    <row r="12363" spans="1:7" ht="39.84" thickBot="1" customHeight="1">
      <c r="A12363" s="24" t="s">
        <v>39091</v>
      </c>
      <c r="B12363" s="24" t="s">
        <v>39092</v>
      </c>
      <c r="C12363" s="24" t="s">
        <v>39093</v>
      </c>
      <c r="D12363" s="25" t="s">
        <v>39094</v>
      </c>
      <c r="E12363" s="28">
        <v>0.10000</v>
      </c>
      <c r="F12363" s="29">
        <f ca="1">ROUND(53.440,3)</f>
        <v>0</v>
      </c>
      <c r="G12363" s="27">
        <f ca="1">ROUND(E12363*F12363,2)</f>
        <v>0</v>
      </c>
    </row>
    <row r="12364" spans="1:7" ht="24.36" thickBot="1" customHeight="1">
      <c r="A12364" s="24" t="s">
        <v>39095</v>
      </c>
      <c r="B12364" s="24" t="s">
        <v>39096</v>
      </c>
      <c r="C12364" s="24" t="s">
        <v>39097</v>
      </c>
      <c r="D12364" s="25" t="s">
        <v>39098</v>
      </c>
      <c r="E12364" s="28">
        <v>0.01350</v>
      </c>
      <c r="F12364" s="29">
        <f ca="1">ROUND(4.630,3)</f>
        <v>0</v>
      </c>
      <c r="G12364" s="27">
        <f ca="1">ROUND(E12364*F12364,2)</f>
        <v>0</v>
      </c>
    </row>
    <row r="12365" spans="1:7" ht="21.36" thickBot="1" customHeight="1">
      <c r="A12365" s="24" t="s">
        <v>39099</v>
      </c>
      <c r="B12365" s="24" t="s">
        <v>39100</v>
      </c>
      <c r="C12365" s="24" t="s">
        <v>39101</v>
      </c>
      <c r="D12365" s="25" t="s">
        <v>39102</v>
      </c>
      <c r="E12365" s="28">
        <v>0.40000</v>
      </c>
      <c r="F12365" s="29">
        <f ca="1">F12369</f>
        <v>0</v>
      </c>
      <c r="G12365" s="27">
        <f ca="1">ROUND(E12365*F12365,2)</f>
        <v>0</v>
      </c>
    </row>
    <row r="12366" spans="1:7" ht="24.36" thickBot="1" customHeight="1">
      <c r="A12366" s="24" t="s">
        <v>39103</v>
      </c>
      <c r="B12366" s="24" t="s">
        <v>39104</v>
      </c>
      <c r="C12366" s="24" t="s">
        <v>39105</v>
      </c>
      <c r="D12366" s="25" t="s">
        <v>39106</v>
      </c>
      <c r="E12366" s="28">
        <v>1.00000</v>
      </c>
      <c r="F12366" s="29">
        <f ca="1">ROUND(21.000,3)</f>
        <v>0</v>
      </c>
      <c r="G12366" s="27">
        <f ca="1">ROUND(E12366*F12366,2)</f>
        <v>0</v>
      </c>
    </row>
    <row r="12367" spans="1:7" ht="24.36" thickBot="1" customHeight="1">
      <c r="A12367" s="24" t="s">
        <v>39107</v>
      </c>
      <c r="B12367" s="24" t="s">
        <v>39108</v>
      </c>
      <c r="C12367" s="24" t="s">
        <v>39109</v>
      </c>
      <c r="D12367" s="25" t="s">
        <v>39110</v>
      </c>
      <c r="E12367" s="28">
        <v>1.00000</v>
      </c>
      <c r="F12367" s="29">
        <f ca="1">ROUND(19.000,3)</f>
        <v>0</v>
      </c>
      <c r="G12367" s="27">
        <f ca="1">ROUND(E12367*F12367,2)</f>
        <v>0</v>
      </c>
    </row>
    <row r="12368" spans="1:7" ht="24.36" thickBot="1" customHeight="1">
      <c r="A12368" s="24" t="s">
        <v>39111</v>
      </c>
      <c r="B12368" s="24" t="s">
        <v>39112</v>
      </c>
      <c r="C12368" s="24" t="s">
        <v>39113</v>
      </c>
      <c r="D12368" s="25" t="s">
        <v>39114</v>
      </c>
      <c r="E12368" s="28">
        <v>0.20000</v>
      </c>
      <c r="F12368" s="29">
        <f ca="1">ROUND(19.000,3)</f>
        <v>0</v>
      </c>
      <c r="G12368" s="27">
        <f ca="1">ROUND(E12368*F12368,2)</f>
        <v>0</v>
      </c>
    </row>
    <row r="12369" spans="1:7" ht="15.12" thickBot="1" customHeight="1">
      <c r="A12369" s="26"/>
      <c r="B12369" s="26"/>
      <c r="C12369" s="26"/>
      <c r="D12369" s="24" t="s">
        <v>39115</v>
      </c>
      <c r="E12369" s="28">
        <v>0.40000</v>
      </c>
      <c r="F12369" s="29">
        <f ca="1">ROUND((G12366+G12367+G12368),3)</f>
        <v>0</v>
      </c>
      <c r="G12369" s="27">
        <f ca="1">ROUND(E12369*F12369,2)</f>
        <v>0</v>
      </c>
    </row>
    <row r="12370" spans="1:7" ht="15.12" thickBot="1" customHeight="1">
      <c r="A12370" s="24" t="s">
        <v>39116</v>
      </c>
      <c r="B12370" s="24"/>
      <c r="C12370" s="24" t="s">
        <v>39117</v>
      </c>
      <c r="D12370" s="25" t="s">
        <v>39118</v>
      </c>
      <c r="E12370" s="28">
        <v>5.00000</v>
      </c>
      <c r="F12370" s="29">
        <f ca="1">ROUND(17.520,3)</f>
        <v>0</v>
      </c>
      <c r="G12370" s="27">
        <f ca="1">ROUND((E12370*F12370)/100,2)</f>
        <v>0</v>
      </c>
    </row>
    <row r="12371" spans="1:7" ht="15.48" thickBot="1" customHeight="1">
      <c r="A12371" s="30"/>
      <c r="B12371" s="30"/>
      <c r="C12371" s="30"/>
      <c r="D12371" s="31" t="s">
        <v>39119</v>
      </c>
      <c r="E12371" s="30"/>
      <c r="F12371" s="33">
        <f ca="1">ROUND((G12362+G12363+G12364+G12365+G12370)*(1+G2/100),2)</f>
        <v>0</v>
      </c>
      <c r="G12371" s="30"/>
    </row>
    <row r="12372" spans="1:7" ht="49.08" thickBot="1" customHeight="1">
      <c r="A12372" s="34" t="s">
        <v>39120</v>
      </c>
      <c r="B12372" s="35" t="s">
        <v>39121</v>
      </c>
      <c r="C12372" s="35" t="s">
        <v>39122</v>
      </c>
      <c r="D12372" s="36" t="s">
        <v>39123</v>
      </c>
      <c r="E12372" s="37"/>
      <c r="F12372" s="38">
        <f ca="1">F12382</f>
        <v>0</v>
      </c>
      <c r="G12372" s="37"/>
    </row>
    <row r="12373" spans="1:7" ht="21.36" thickBot="1" customHeight="1">
      <c r="A12373" s="26"/>
      <c r="B12373" s="26"/>
      <c r="C12373" s="26"/>
      <c r="D12373" s="25" t="s">
        <v>39124</v>
      </c>
      <c r="E12373" s="25"/>
      <c r="F12373" s="25"/>
      <c r="G12373" s="25"/>
    </row>
    <row r="12374" spans="1:7" ht="39.84" thickBot="1" customHeight="1">
      <c r="A12374" s="24" t="s">
        <v>39125</v>
      </c>
      <c r="B12374" s="24" t="s">
        <v>39126</v>
      </c>
      <c r="C12374" s="24" t="s">
        <v>39127</v>
      </c>
      <c r="D12374" s="25" t="s">
        <v>39128</v>
      </c>
      <c r="E12374" s="28">
        <v>0.05000</v>
      </c>
      <c r="F12374" s="29">
        <f ca="1">ROUND(41.280,3)</f>
        <v>0</v>
      </c>
      <c r="G12374" s="27">
        <f ca="1">ROUND(E12374*F12374,2)</f>
        <v>0</v>
      </c>
    </row>
    <row r="12375" spans="1:7" ht="49.08" thickBot="1" customHeight="1">
      <c r="A12375" s="24" t="s">
        <v>39129</v>
      </c>
      <c r="B12375" s="24" t="s">
        <v>39130</v>
      </c>
      <c r="C12375" s="24" t="s">
        <v>39131</v>
      </c>
      <c r="D12375" s="25" t="s">
        <v>39132</v>
      </c>
      <c r="E12375" s="28">
        <v>0.02400</v>
      </c>
      <c r="F12375" s="29">
        <f ca="1">ROUND(139.420,3)</f>
        <v>0</v>
      </c>
      <c r="G12375" s="27">
        <f ca="1">ROUND(E12375*F12375,2)</f>
        <v>0</v>
      </c>
    </row>
    <row r="12376" spans="1:7" ht="21.36" thickBot="1" customHeight="1">
      <c r="A12376" s="24" t="s">
        <v>39133</v>
      </c>
      <c r="B12376" s="24" t="s">
        <v>39134</v>
      </c>
      <c r="C12376" s="24" t="s">
        <v>39135</v>
      </c>
      <c r="D12376" s="25" t="s">
        <v>39136</v>
      </c>
      <c r="E12376" s="28">
        <v>0.36000</v>
      </c>
      <c r="F12376" s="29">
        <f ca="1">F12380</f>
        <v>0</v>
      </c>
      <c r="G12376" s="27">
        <f ca="1">ROUND(E12376*F12376,2)</f>
        <v>0</v>
      </c>
    </row>
    <row r="12377" spans="1:7" ht="24.36" thickBot="1" customHeight="1">
      <c r="A12377" s="24" t="s">
        <v>39137</v>
      </c>
      <c r="B12377" s="24" t="s">
        <v>39138</v>
      </c>
      <c r="C12377" s="24" t="s">
        <v>39139</v>
      </c>
      <c r="D12377" s="25" t="s">
        <v>39140</v>
      </c>
      <c r="E12377" s="28">
        <v>1.00000</v>
      </c>
      <c r="F12377" s="29">
        <f ca="1">ROUND(21.000,3)</f>
        <v>0</v>
      </c>
      <c r="G12377" s="27">
        <f ca="1">ROUND(E12377*F12377,2)</f>
        <v>0</v>
      </c>
    </row>
    <row r="12378" spans="1:7" ht="24.36" thickBot="1" customHeight="1">
      <c r="A12378" s="24" t="s">
        <v>39141</v>
      </c>
      <c r="B12378" s="24" t="s">
        <v>39142</v>
      </c>
      <c r="C12378" s="24" t="s">
        <v>39143</v>
      </c>
      <c r="D12378" s="25" t="s">
        <v>39144</v>
      </c>
      <c r="E12378" s="28">
        <v>1.00000</v>
      </c>
      <c r="F12378" s="29">
        <f ca="1">ROUND(19.000,3)</f>
        <v>0</v>
      </c>
      <c r="G12378" s="27">
        <f ca="1">ROUND(E12378*F12378,2)</f>
        <v>0</v>
      </c>
    </row>
    <row r="12379" spans="1:7" ht="24.36" thickBot="1" customHeight="1">
      <c r="A12379" s="24" t="s">
        <v>39145</v>
      </c>
      <c r="B12379" s="24" t="s">
        <v>39146</v>
      </c>
      <c r="C12379" s="24" t="s">
        <v>39147</v>
      </c>
      <c r="D12379" s="25" t="s">
        <v>39148</v>
      </c>
      <c r="E12379" s="28">
        <v>0.20000</v>
      </c>
      <c r="F12379" s="29">
        <f ca="1">ROUND(19.000,3)</f>
        <v>0</v>
      </c>
      <c r="G12379" s="27">
        <f ca="1">ROUND(E12379*F12379,2)</f>
        <v>0</v>
      </c>
    </row>
    <row r="12380" spans="1:7" ht="15.12" thickBot="1" customHeight="1">
      <c r="A12380" s="26"/>
      <c r="B12380" s="26"/>
      <c r="C12380" s="26"/>
      <c r="D12380" s="24" t="s">
        <v>39149</v>
      </c>
      <c r="E12380" s="28">
        <v>0.36000</v>
      </c>
      <c r="F12380" s="29">
        <f ca="1">ROUND((G12377+G12378+G12379),3)</f>
        <v>0</v>
      </c>
      <c r="G12380" s="27">
        <f ca="1">ROUND(E12380*F12380,2)</f>
        <v>0</v>
      </c>
    </row>
    <row r="12381" spans="1:7" ht="15.12" thickBot="1" customHeight="1">
      <c r="A12381" s="24" t="s">
        <v>39150</v>
      </c>
      <c r="B12381" s="24"/>
      <c r="C12381" s="24" t="s">
        <v>39151</v>
      </c>
      <c r="D12381" s="25" t="s">
        <v>39152</v>
      </c>
      <c r="E12381" s="28">
        <v>5.00000</v>
      </c>
      <c r="F12381" s="29">
        <f ca="1">ROUND(15.770,3)</f>
        <v>0</v>
      </c>
      <c r="G12381" s="27">
        <f ca="1">ROUND((E12381*F12381)/100,2)</f>
        <v>0</v>
      </c>
    </row>
    <row r="12382" spans="1:7" ht="15.48" thickBot="1" customHeight="1">
      <c r="A12382" s="30"/>
      <c r="B12382" s="30"/>
      <c r="C12382" s="30"/>
      <c r="D12382" s="31" t="s">
        <v>39153</v>
      </c>
      <c r="E12382" s="30"/>
      <c r="F12382" s="33">
        <f ca="1">ROUND((G12374+G12375+G12376+G12381)*(1+G2/100),2)</f>
        <v>0</v>
      </c>
      <c r="G12382" s="30"/>
    </row>
    <row r="12383" spans="1:7" ht="49.08" thickBot="1" customHeight="1">
      <c r="A12383" s="34" t="s">
        <v>39154</v>
      </c>
      <c r="B12383" s="35" t="s">
        <v>39155</v>
      </c>
      <c r="C12383" s="35" t="s">
        <v>39156</v>
      </c>
      <c r="D12383" s="36" t="s">
        <v>39157</v>
      </c>
      <c r="E12383" s="37"/>
      <c r="F12383" s="38">
        <f ca="1">F12393</f>
        <v>0</v>
      </c>
      <c r="G12383" s="37"/>
    </row>
    <row r="12384" spans="1:7" ht="21.36" thickBot="1" customHeight="1">
      <c r="A12384" s="26"/>
      <c r="B12384" s="26"/>
      <c r="C12384" s="26"/>
      <c r="D12384" s="25" t="s">
        <v>39158</v>
      </c>
      <c r="E12384" s="25"/>
      <c r="F12384" s="25"/>
      <c r="G12384" s="25"/>
    </row>
    <row r="12385" spans="1:7" ht="39.84" thickBot="1" customHeight="1">
      <c r="A12385" s="24" t="s">
        <v>39159</v>
      </c>
      <c r="B12385" s="24" t="s">
        <v>39160</v>
      </c>
      <c r="C12385" s="24" t="s">
        <v>39161</v>
      </c>
      <c r="D12385" s="25" t="s">
        <v>39162</v>
      </c>
      <c r="E12385" s="28">
        <v>0.05000</v>
      </c>
      <c r="F12385" s="29">
        <f ca="1">ROUND(41.280,3)</f>
        <v>0</v>
      </c>
      <c r="G12385" s="27">
        <f ca="1">ROUND(E12385*F12385,2)</f>
        <v>0</v>
      </c>
    </row>
    <row r="12386" spans="1:7" ht="49.08" thickBot="1" customHeight="1">
      <c r="A12386" s="24" t="s">
        <v>39163</v>
      </c>
      <c r="B12386" s="24" t="s">
        <v>39164</v>
      </c>
      <c r="C12386" s="24" t="s">
        <v>39165</v>
      </c>
      <c r="D12386" s="25" t="s">
        <v>39166</v>
      </c>
      <c r="E12386" s="28">
        <v>0.02400</v>
      </c>
      <c r="F12386" s="29">
        <f ca="1">ROUND(139.420,3)</f>
        <v>0</v>
      </c>
      <c r="G12386" s="27">
        <f ca="1">ROUND(E12386*F12386,2)</f>
        <v>0</v>
      </c>
    </row>
    <row r="12387" spans="1:7" ht="21.36" thickBot="1" customHeight="1">
      <c r="A12387" s="24" t="s">
        <v>39167</v>
      </c>
      <c r="B12387" s="24" t="s">
        <v>39168</v>
      </c>
      <c r="C12387" s="24" t="s">
        <v>39169</v>
      </c>
      <c r="D12387" s="25" t="s">
        <v>39170</v>
      </c>
      <c r="E12387" s="28">
        <v>0.53333</v>
      </c>
      <c r="F12387" s="29">
        <f ca="1">F12391</f>
        <v>0</v>
      </c>
      <c r="G12387" s="27">
        <f ca="1">ROUND(E12387*F12387,2)</f>
        <v>0</v>
      </c>
    </row>
    <row r="12388" spans="1:7" ht="24.36" thickBot="1" customHeight="1">
      <c r="A12388" s="24" t="s">
        <v>39171</v>
      </c>
      <c r="B12388" s="24" t="s">
        <v>39172</v>
      </c>
      <c r="C12388" s="24" t="s">
        <v>39173</v>
      </c>
      <c r="D12388" s="25" t="s">
        <v>39174</v>
      </c>
      <c r="E12388" s="28">
        <v>1.00000</v>
      </c>
      <c r="F12388" s="29">
        <f ca="1">ROUND(21.000,3)</f>
        <v>0</v>
      </c>
      <c r="G12388" s="27">
        <f ca="1">ROUND(E12388*F12388,2)</f>
        <v>0</v>
      </c>
    </row>
    <row r="12389" spans="1:7" ht="24.36" thickBot="1" customHeight="1">
      <c r="A12389" s="24" t="s">
        <v>39175</v>
      </c>
      <c r="B12389" s="24" t="s">
        <v>39176</v>
      </c>
      <c r="C12389" s="24" t="s">
        <v>39177</v>
      </c>
      <c r="D12389" s="25" t="s">
        <v>39178</v>
      </c>
      <c r="E12389" s="28">
        <v>1.00000</v>
      </c>
      <c r="F12389" s="29">
        <f ca="1">ROUND(19.000,3)</f>
        <v>0</v>
      </c>
      <c r="G12389" s="27">
        <f ca="1">ROUND(E12389*F12389,2)</f>
        <v>0</v>
      </c>
    </row>
    <row r="12390" spans="1:7" ht="24.36" thickBot="1" customHeight="1">
      <c r="A12390" s="24" t="s">
        <v>39179</v>
      </c>
      <c r="B12390" s="24" t="s">
        <v>39180</v>
      </c>
      <c r="C12390" s="24" t="s">
        <v>39181</v>
      </c>
      <c r="D12390" s="25" t="s">
        <v>39182</v>
      </c>
      <c r="E12390" s="28">
        <v>0.20000</v>
      </c>
      <c r="F12390" s="29">
        <f ca="1">ROUND(19.000,3)</f>
        <v>0</v>
      </c>
      <c r="G12390" s="27">
        <f ca="1">ROUND(E12390*F12390,2)</f>
        <v>0</v>
      </c>
    </row>
    <row r="12391" spans="1:7" ht="15.12" thickBot="1" customHeight="1">
      <c r="A12391" s="26"/>
      <c r="B12391" s="26"/>
      <c r="C12391" s="26"/>
      <c r="D12391" s="24" t="s">
        <v>39183</v>
      </c>
      <c r="E12391" s="28">
        <v>0.53333</v>
      </c>
      <c r="F12391" s="29">
        <f ca="1">ROUND((G12388+G12389+G12390),3)</f>
        <v>0</v>
      </c>
      <c r="G12391" s="27">
        <f ca="1">ROUND(E12391*F12391,2)</f>
        <v>0</v>
      </c>
    </row>
    <row r="12392" spans="1:7" ht="15.12" thickBot="1" customHeight="1">
      <c r="A12392" s="24" t="s">
        <v>39184</v>
      </c>
      <c r="B12392" s="24"/>
      <c r="C12392" s="24" t="s">
        <v>39185</v>
      </c>
      <c r="D12392" s="25" t="s">
        <v>39186</v>
      </c>
      <c r="E12392" s="28">
        <v>5.00000</v>
      </c>
      <c r="F12392" s="29">
        <f ca="1">ROUND(23.360,3)</f>
        <v>0</v>
      </c>
      <c r="G12392" s="27">
        <f ca="1">ROUND((E12392*F12392)/100,2)</f>
        <v>0</v>
      </c>
    </row>
    <row r="12393" spans="1:7" ht="15.48" thickBot="1" customHeight="1">
      <c r="A12393" s="30"/>
      <c r="B12393" s="30"/>
      <c r="C12393" s="30"/>
      <c r="D12393" s="31" t="s">
        <v>39187</v>
      </c>
      <c r="E12393" s="30"/>
      <c r="F12393" s="33">
        <f ca="1">ROUND((G12385+G12386+G12387+G12392)*(1+G2/100),2)</f>
        <v>0</v>
      </c>
      <c r="G12393" s="30"/>
    </row>
    <row r="12394" spans="1:7" ht="49.08" thickBot="1" customHeight="1">
      <c r="A12394" s="34" t="s">
        <v>39188</v>
      </c>
      <c r="B12394" s="35" t="s">
        <v>39189</v>
      </c>
      <c r="C12394" s="35" t="s">
        <v>39190</v>
      </c>
      <c r="D12394" s="36" t="s">
        <v>39191</v>
      </c>
      <c r="E12394" s="37"/>
      <c r="F12394" s="38">
        <f ca="1">F12404</f>
        <v>0</v>
      </c>
      <c r="G12394" s="37"/>
    </row>
    <row r="12395" spans="1:7" ht="21.36" thickBot="1" customHeight="1">
      <c r="A12395" s="26"/>
      <c r="B12395" s="26"/>
      <c r="C12395" s="26"/>
      <c r="D12395" s="25" t="s">
        <v>39192</v>
      </c>
      <c r="E12395" s="25"/>
      <c r="F12395" s="25"/>
      <c r="G12395" s="25"/>
    </row>
    <row r="12396" spans="1:7" ht="39.84" thickBot="1" customHeight="1">
      <c r="A12396" s="24" t="s">
        <v>39193</v>
      </c>
      <c r="B12396" s="24" t="s">
        <v>39194</v>
      </c>
      <c r="C12396" s="24" t="s">
        <v>39195</v>
      </c>
      <c r="D12396" s="25" t="s">
        <v>39196</v>
      </c>
      <c r="E12396" s="28">
        <v>0.05000</v>
      </c>
      <c r="F12396" s="29">
        <f ca="1">ROUND(41.280,3)</f>
        <v>0</v>
      </c>
      <c r="G12396" s="27">
        <f ca="1">ROUND(E12396*F12396,2)</f>
        <v>0</v>
      </c>
    </row>
    <row r="12397" spans="1:7" ht="49.08" thickBot="1" customHeight="1">
      <c r="A12397" s="24" t="s">
        <v>39197</v>
      </c>
      <c r="B12397" s="24" t="s">
        <v>39198</v>
      </c>
      <c r="C12397" s="24" t="s">
        <v>39199</v>
      </c>
      <c r="D12397" s="25" t="s">
        <v>39200</v>
      </c>
      <c r="E12397" s="28">
        <v>0.02400</v>
      </c>
      <c r="F12397" s="29">
        <f ca="1">ROUND(139.420,3)</f>
        <v>0</v>
      </c>
      <c r="G12397" s="27">
        <f ca="1">ROUND(E12397*F12397,2)</f>
        <v>0</v>
      </c>
    </row>
    <row r="12398" spans="1:7" ht="21.36" thickBot="1" customHeight="1">
      <c r="A12398" s="24" t="s">
        <v>39201</v>
      </c>
      <c r="B12398" s="24" t="s">
        <v>39202</v>
      </c>
      <c r="C12398" s="24" t="s">
        <v>39203</v>
      </c>
      <c r="D12398" s="25" t="s">
        <v>39204</v>
      </c>
      <c r="E12398" s="28">
        <v>0.45000</v>
      </c>
      <c r="F12398" s="29">
        <f ca="1">F12402</f>
        <v>0</v>
      </c>
      <c r="G12398" s="27">
        <f ca="1">ROUND(E12398*F12398,2)</f>
        <v>0</v>
      </c>
    </row>
    <row r="12399" spans="1:7" ht="24.36" thickBot="1" customHeight="1">
      <c r="A12399" s="24" t="s">
        <v>39205</v>
      </c>
      <c r="B12399" s="24" t="s">
        <v>39206</v>
      </c>
      <c r="C12399" s="24" t="s">
        <v>39207</v>
      </c>
      <c r="D12399" s="25" t="s">
        <v>39208</v>
      </c>
      <c r="E12399" s="28">
        <v>1.00000</v>
      </c>
      <c r="F12399" s="29">
        <f ca="1">ROUND(21.000,3)</f>
        <v>0</v>
      </c>
      <c r="G12399" s="27">
        <f ca="1">ROUND(E12399*F12399,2)</f>
        <v>0</v>
      </c>
    </row>
    <row r="12400" spans="1:7" ht="24.36" thickBot="1" customHeight="1">
      <c r="A12400" s="24" t="s">
        <v>39209</v>
      </c>
      <c r="B12400" s="24" t="s">
        <v>39210</v>
      </c>
      <c r="C12400" s="24" t="s">
        <v>39211</v>
      </c>
      <c r="D12400" s="25" t="s">
        <v>39212</v>
      </c>
      <c r="E12400" s="28">
        <v>1.00000</v>
      </c>
      <c r="F12400" s="29">
        <f ca="1">ROUND(19.000,3)</f>
        <v>0</v>
      </c>
      <c r="G12400" s="27">
        <f ca="1">ROUND(E12400*F12400,2)</f>
        <v>0</v>
      </c>
    </row>
    <row r="12401" spans="1:7" ht="24.36" thickBot="1" customHeight="1">
      <c r="A12401" s="24" t="s">
        <v>39213</v>
      </c>
      <c r="B12401" s="24" t="s">
        <v>39214</v>
      </c>
      <c r="C12401" s="24" t="s">
        <v>39215</v>
      </c>
      <c r="D12401" s="25" t="s">
        <v>39216</v>
      </c>
      <c r="E12401" s="28">
        <v>0.20000</v>
      </c>
      <c r="F12401" s="29">
        <f ca="1">ROUND(19.000,3)</f>
        <v>0</v>
      </c>
      <c r="G12401" s="27">
        <f ca="1">ROUND(E12401*F12401,2)</f>
        <v>0</v>
      </c>
    </row>
    <row r="12402" spans="1:7" ht="15.12" thickBot="1" customHeight="1">
      <c r="A12402" s="26"/>
      <c r="B12402" s="26"/>
      <c r="C12402" s="26"/>
      <c r="D12402" s="24" t="s">
        <v>39217</v>
      </c>
      <c r="E12402" s="28">
        <v>0.45000</v>
      </c>
      <c r="F12402" s="29">
        <f ca="1">ROUND((G12399+G12400+G12401),3)</f>
        <v>0</v>
      </c>
      <c r="G12402" s="27">
        <f ca="1">ROUND(E12402*F12402,2)</f>
        <v>0</v>
      </c>
    </row>
    <row r="12403" spans="1:7" ht="15.12" thickBot="1" customHeight="1">
      <c r="A12403" s="24" t="s">
        <v>39218</v>
      </c>
      <c r="B12403" s="24"/>
      <c r="C12403" s="24" t="s">
        <v>39219</v>
      </c>
      <c r="D12403" s="25" t="s">
        <v>39220</v>
      </c>
      <c r="E12403" s="28">
        <v>5.00000</v>
      </c>
      <c r="F12403" s="29">
        <f ca="1">ROUND(19.710,3)</f>
        <v>0</v>
      </c>
      <c r="G12403" s="27">
        <f ca="1">ROUND((E12403*F12403)/100,2)</f>
        <v>0</v>
      </c>
    </row>
    <row r="12404" spans="1:7" ht="15.48" thickBot="1" customHeight="1">
      <c r="A12404" s="30"/>
      <c r="B12404" s="30"/>
      <c r="C12404" s="30"/>
      <c r="D12404" s="31" t="s">
        <v>39221</v>
      </c>
      <c r="E12404" s="30"/>
      <c r="F12404" s="33">
        <f ca="1">ROUND((G12396+G12397+G12398+G12403)*(1+G2/100),2)</f>
        <v>0</v>
      </c>
      <c r="G12404" s="30"/>
    </row>
    <row r="12405" spans="1:7" ht="58.32" thickBot="1" customHeight="1">
      <c r="A12405" s="34" t="s">
        <v>39222</v>
      </c>
      <c r="B12405" s="35" t="s">
        <v>39223</v>
      </c>
      <c r="C12405" s="35" t="s">
        <v>39224</v>
      </c>
      <c r="D12405" s="36" t="s">
        <v>39225</v>
      </c>
      <c r="E12405" s="37"/>
      <c r="F12405" s="38">
        <f ca="1">F12415</f>
        <v>0</v>
      </c>
      <c r="G12405" s="37"/>
    </row>
    <row r="12406" spans="1:7" ht="21.36" thickBot="1" customHeight="1">
      <c r="A12406" s="26"/>
      <c r="B12406" s="26"/>
      <c r="C12406" s="26"/>
      <c r="D12406" s="25" t="s">
        <v>39226</v>
      </c>
      <c r="E12406" s="25"/>
      <c r="F12406" s="25"/>
      <c r="G12406" s="25"/>
    </row>
    <row r="12407" spans="1:7" ht="39.84" thickBot="1" customHeight="1">
      <c r="A12407" s="24" t="s">
        <v>39227</v>
      </c>
      <c r="B12407" s="24" t="s">
        <v>39228</v>
      </c>
      <c r="C12407" s="24" t="s">
        <v>39229</v>
      </c>
      <c r="D12407" s="25" t="s">
        <v>39230</v>
      </c>
      <c r="E12407" s="28">
        <v>0.01111</v>
      </c>
      <c r="F12407" s="29">
        <f ca="1">ROUND(96.780,3)</f>
        <v>0</v>
      </c>
      <c r="G12407" s="27">
        <f ca="1">ROUND(E12407*F12407,2)</f>
        <v>0</v>
      </c>
    </row>
    <row r="12408" spans="1:7" ht="49.08" thickBot="1" customHeight="1">
      <c r="A12408" s="24" t="s">
        <v>39231</v>
      </c>
      <c r="B12408" s="24" t="s">
        <v>39232</v>
      </c>
      <c r="C12408" s="24" t="s">
        <v>39233</v>
      </c>
      <c r="D12408" s="25" t="s">
        <v>39234</v>
      </c>
      <c r="E12408" s="28">
        <v>0.13333</v>
      </c>
      <c r="F12408" s="29">
        <f ca="1">ROUND(123.760,3)</f>
        <v>0</v>
      </c>
      <c r="G12408" s="27">
        <f ca="1">ROUND(E12408*F12408,2)</f>
        <v>0</v>
      </c>
    </row>
    <row r="12409" spans="1:7" ht="21.36" thickBot="1" customHeight="1">
      <c r="A12409" s="24" t="s">
        <v>39235</v>
      </c>
      <c r="B12409" s="24" t="s">
        <v>39236</v>
      </c>
      <c r="C12409" s="24" t="s">
        <v>39237</v>
      </c>
      <c r="D12409" s="25" t="s">
        <v>39238</v>
      </c>
      <c r="E12409" s="28">
        <v>0.45000</v>
      </c>
      <c r="F12409" s="29">
        <f ca="1">F12413</f>
        <v>0</v>
      </c>
      <c r="G12409" s="27">
        <f ca="1">ROUND(E12409*F12409,2)</f>
        <v>0</v>
      </c>
    </row>
    <row r="12410" spans="1:7" ht="24.36" thickBot="1" customHeight="1">
      <c r="A12410" s="24" t="s">
        <v>39239</v>
      </c>
      <c r="B12410" s="24" t="s">
        <v>39240</v>
      </c>
      <c r="C12410" s="24" t="s">
        <v>39241</v>
      </c>
      <c r="D12410" s="25" t="s">
        <v>39242</v>
      </c>
      <c r="E12410" s="28">
        <v>1.00000</v>
      </c>
      <c r="F12410" s="29">
        <f ca="1">ROUND(21.000,3)</f>
        <v>0</v>
      </c>
      <c r="G12410" s="27">
        <f ca="1">ROUND(E12410*F12410,2)</f>
        <v>0</v>
      </c>
    </row>
    <row r="12411" spans="1:7" ht="24.36" thickBot="1" customHeight="1">
      <c r="A12411" s="24" t="s">
        <v>39243</v>
      </c>
      <c r="B12411" s="24" t="s">
        <v>39244</v>
      </c>
      <c r="C12411" s="24" t="s">
        <v>39245</v>
      </c>
      <c r="D12411" s="25" t="s">
        <v>39246</v>
      </c>
      <c r="E12411" s="28">
        <v>1.00000</v>
      </c>
      <c r="F12411" s="29">
        <f ca="1">ROUND(19.000,3)</f>
        <v>0</v>
      </c>
      <c r="G12411" s="27">
        <f ca="1">ROUND(E12411*F12411,2)</f>
        <v>0</v>
      </c>
    </row>
    <row r="12412" spans="1:7" ht="24.36" thickBot="1" customHeight="1">
      <c r="A12412" s="24" t="s">
        <v>39247</v>
      </c>
      <c r="B12412" s="24" t="s">
        <v>39248</v>
      </c>
      <c r="C12412" s="24" t="s">
        <v>39249</v>
      </c>
      <c r="D12412" s="25" t="s">
        <v>39250</v>
      </c>
      <c r="E12412" s="28">
        <v>0.20000</v>
      </c>
      <c r="F12412" s="29">
        <f ca="1">ROUND(19.000,3)</f>
        <v>0</v>
      </c>
      <c r="G12412" s="27">
        <f ca="1">ROUND(E12412*F12412,2)</f>
        <v>0</v>
      </c>
    </row>
    <row r="12413" spans="1:7" ht="15.12" thickBot="1" customHeight="1">
      <c r="A12413" s="26"/>
      <c r="B12413" s="26"/>
      <c r="C12413" s="26"/>
      <c r="D12413" s="24" t="s">
        <v>39251</v>
      </c>
      <c r="E12413" s="28">
        <v>0.45000</v>
      </c>
      <c r="F12413" s="29">
        <f ca="1">ROUND((G12410+G12411+G12412),3)</f>
        <v>0</v>
      </c>
      <c r="G12413" s="27">
        <f ca="1">ROUND(E12413*F12413,2)</f>
        <v>0</v>
      </c>
    </row>
    <row r="12414" spans="1:7" ht="15.12" thickBot="1" customHeight="1">
      <c r="A12414" s="24" t="s">
        <v>39252</v>
      </c>
      <c r="B12414" s="24"/>
      <c r="C12414" s="24" t="s">
        <v>39253</v>
      </c>
      <c r="D12414" s="25" t="s">
        <v>39254</v>
      </c>
      <c r="E12414" s="28">
        <v>5.00000</v>
      </c>
      <c r="F12414" s="29">
        <f ca="1">ROUND(19.710,3)</f>
        <v>0</v>
      </c>
      <c r="G12414" s="27">
        <f ca="1">ROUND((E12414*F12414)/100,2)</f>
        <v>0</v>
      </c>
    </row>
    <row r="12415" spans="1:7" ht="15.48" thickBot="1" customHeight="1">
      <c r="A12415" s="30"/>
      <c r="B12415" s="30"/>
      <c r="C12415" s="30"/>
      <c r="D12415" s="31" t="s">
        <v>39255</v>
      </c>
      <c r="E12415" s="30"/>
      <c r="F12415" s="33">
        <f ca="1">ROUND((G12407+G12408+G12409+G12414)*(1+G2/100),2)</f>
        <v>0</v>
      </c>
      <c r="G12415" s="30"/>
    </row>
    <row r="12416" spans="1:7" ht="39.84" thickBot="1" customHeight="1">
      <c r="A12416" s="34" t="s">
        <v>39256</v>
      </c>
      <c r="B12416" s="35" t="s">
        <v>39257</v>
      </c>
      <c r="C12416" s="35" t="s">
        <v>39258</v>
      </c>
      <c r="D12416" s="36" t="s">
        <v>39259</v>
      </c>
      <c r="E12416" s="37"/>
      <c r="F12416" s="38">
        <f ca="1">F12426</f>
        <v>0</v>
      </c>
      <c r="G12416" s="37"/>
    </row>
    <row r="12417" spans="1:7" ht="12.12" thickBot="1" customHeight="1">
      <c r="A12417" s="26"/>
      <c r="B12417" s="26"/>
      <c r="C12417" s="26"/>
      <c r="D12417" s="25" t="s">
        <v>39260</v>
      </c>
      <c r="E12417" s="25"/>
      <c r="F12417" s="25"/>
      <c r="G12417" s="25"/>
    </row>
    <row r="12418" spans="1:7" ht="39.84" thickBot="1" customHeight="1">
      <c r="A12418" s="24" t="s">
        <v>39261</v>
      </c>
      <c r="B12418" s="24" t="s">
        <v>39262</v>
      </c>
      <c r="C12418" s="24" t="s">
        <v>39263</v>
      </c>
      <c r="D12418" s="25" t="s">
        <v>39264</v>
      </c>
      <c r="E12418" s="28">
        <v>0.02750</v>
      </c>
      <c r="F12418" s="29">
        <f ca="1">ROUND(46.140,3)</f>
        <v>0</v>
      </c>
      <c r="G12418" s="27">
        <f ca="1">ROUND(E12418*F12418,2)</f>
        <v>0</v>
      </c>
    </row>
    <row r="12419" spans="1:7" ht="39.84" thickBot="1" customHeight="1">
      <c r="A12419" s="24" t="s">
        <v>39265</v>
      </c>
      <c r="B12419" s="24" t="s">
        <v>39266</v>
      </c>
      <c r="C12419" s="24" t="s">
        <v>39267</v>
      </c>
      <c r="D12419" s="25" t="s">
        <v>39268</v>
      </c>
      <c r="E12419" s="28">
        <v>0.13200</v>
      </c>
      <c r="F12419" s="29">
        <f ca="1">ROUND(285.000,3)</f>
        <v>0</v>
      </c>
      <c r="G12419" s="27">
        <f ca="1">ROUND(E12419*F12419,2)</f>
        <v>0</v>
      </c>
    </row>
    <row r="12420" spans="1:7" ht="21.36" thickBot="1" customHeight="1">
      <c r="A12420" s="24" t="s">
        <v>39269</v>
      </c>
      <c r="B12420" s="24" t="s">
        <v>39270</v>
      </c>
      <c r="C12420" s="24" t="s">
        <v>39271</v>
      </c>
      <c r="D12420" s="25" t="s">
        <v>39272</v>
      </c>
      <c r="E12420" s="28">
        <v>0.40000</v>
      </c>
      <c r="F12420" s="29">
        <f ca="1">F12424</f>
        <v>0</v>
      </c>
      <c r="G12420" s="27">
        <f ca="1">ROUND(E12420*F12420,2)</f>
        <v>0</v>
      </c>
    </row>
    <row r="12421" spans="1:7" ht="24.36" thickBot="1" customHeight="1">
      <c r="A12421" s="24" t="s">
        <v>39273</v>
      </c>
      <c r="B12421" s="24" t="s">
        <v>39274</v>
      </c>
      <c r="C12421" s="24" t="s">
        <v>39275</v>
      </c>
      <c r="D12421" s="25" t="s">
        <v>39276</v>
      </c>
      <c r="E12421" s="28">
        <v>1.00000</v>
      </c>
      <c r="F12421" s="29">
        <f ca="1">ROUND(21.000,3)</f>
        <v>0</v>
      </c>
      <c r="G12421" s="27">
        <f ca="1">ROUND(E12421*F12421,2)</f>
        <v>0</v>
      </c>
    </row>
    <row r="12422" spans="1:7" ht="24.36" thickBot="1" customHeight="1">
      <c r="A12422" s="24" t="s">
        <v>39277</v>
      </c>
      <c r="B12422" s="24" t="s">
        <v>39278</v>
      </c>
      <c r="C12422" s="24" t="s">
        <v>39279</v>
      </c>
      <c r="D12422" s="25" t="s">
        <v>39280</v>
      </c>
      <c r="E12422" s="28">
        <v>1.00000</v>
      </c>
      <c r="F12422" s="29">
        <f ca="1">ROUND(19.000,3)</f>
        <v>0</v>
      </c>
      <c r="G12422" s="27">
        <f ca="1">ROUND(E12422*F12422,2)</f>
        <v>0</v>
      </c>
    </row>
    <row r="12423" spans="1:7" ht="24.36" thickBot="1" customHeight="1">
      <c r="A12423" s="24" t="s">
        <v>39281</v>
      </c>
      <c r="B12423" s="24" t="s">
        <v>39282</v>
      </c>
      <c r="C12423" s="24" t="s">
        <v>39283</v>
      </c>
      <c r="D12423" s="25" t="s">
        <v>39284</v>
      </c>
      <c r="E12423" s="28">
        <v>0.20000</v>
      </c>
      <c r="F12423" s="29">
        <f ca="1">ROUND(19.000,3)</f>
        <v>0</v>
      </c>
      <c r="G12423" s="27">
        <f ca="1">ROUND(E12423*F12423,2)</f>
        <v>0</v>
      </c>
    </row>
    <row r="12424" spans="1:7" ht="15.12" thickBot="1" customHeight="1">
      <c r="A12424" s="26"/>
      <c r="B12424" s="26"/>
      <c r="C12424" s="26"/>
      <c r="D12424" s="24" t="s">
        <v>39285</v>
      </c>
      <c r="E12424" s="28">
        <v>0.40000</v>
      </c>
      <c r="F12424" s="29">
        <f ca="1">ROUND((G12421+G12422+G12423),3)</f>
        <v>0</v>
      </c>
      <c r="G12424" s="27">
        <f ca="1">ROUND(E12424*F12424,2)</f>
        <v>0</v>
      </c>
    </row>
    <row r="12425" spans="1:7" ht="15.12" thickBot="1" customHeight="1">
      <c r="A12425" s="24" t="s">
        <v>39286</v>
      </c>
      <c r="B12425" s="24"/>
      <c r="C12425" s="24" t="s">
        <v>39287</v>
      </c>
      <c r="D12425" s="25" t="s">
        <v>39288</v>
      </c>
      <c r="E12425" s="28">
        <v>3.00000</v>
      </c>
      <c r="F12425" s="29">
        <f ca="1">ROUND(17.520,3)</f>
        <v>0</v>
      </c>
      <c r="G12425" s="27">
        <f ca="1">ROUND((E12425*F12425)/100,2)</f>
        <v>0</v>
      </c>
    </row>
    <row r="12426" spans="1:7" ht="15.48" thickBot="1" customHeight="1">
      <c r="A12426" s="30"/>
      <c r="B12426" s="30"/>
      <c r="C12426" s="30"/>
      <c r="D12426" s="31" t="s">
        <v>39289</v>
      </c>
      <c r="E12426" s="30"/>
      <c r="F12426" s="33">
        <f ca="1">ROUND((G12418+G12419+G12420+G12425)*(1+G2/100),2)</f>
        <v>0</v>
      </c>
      <c r="G12426" s="30"/>
    </row>
    <row r="12427" spans="1:7" ht="25.08" thickBot="1" customHeight="1">
      <c r="A12427" s="34" t="s">
        <v>39290</v>
      </c>
      <c r="B12427" s="35" t="s">
        <v>39291</v>
      </c>
      <c r="C12427" s="35" t="s">
        <v>39292</v>
      </c>
      <c r="D12427" s="36" t="s">
        <v>39293</v>
      </c>
      <c r="E12427" s="37"/>
      <c r="F12427" s="38">
        <f ca="1">F12438</f>
        <v>0</v>
      </c>
      <c r="G12427" s="37"/>
    </row>
    <row r="12428" spans="1:7" ht="12.12" thickBot="1" customHeight="1">
      <c r="A12428" s="26"/>
      <c r="B12428" s="26"/>
      <c r="C12428" s="26"/>
      <c r="D12428" s="25" t="s">
        <v>39294</v>
      </c>
      <c r="E12428" s="25"/>
      <c r="F12428" s="25"/>
      <c r="G12428" s="25"/>
    </row>
    <row r="12429" spans="1:7" ht="49.08" thickBot="1" customHeight="1">
      <c r="A12429" s="24" t="s">
        <v>39295</v>
      </c>
      <c r="B12429" s="24" t="s">
        <v>39296</v>
      </c>
      <c r="C12429" s="24" t="s">
        <v>39297</v>
      </c>
      <c r="D12429" s="25" t="s">
        <v>39298</v>
      </c>
      <c r="E12429" s="28">
        <v>0.04000</v>
      </c>
      <c r="F12429" s="29">
        <f ca="1">ROUND(31.680,3)</f>
        <v>0</v>
      </c>
      <c r="G12429" s="27">
        <f ca="1">ROUND(E12429*F12429,2)</f>
        <v>0</v>
      </c>
    </row>
    <row r="12430" spans="1:7" ht="39.84" thickBot="1" customHeight="1">
      <c r="A12430" s="24" t="s">
        <v>39299</v>
      </c>
      <c r="B12430" s="24" t="s">
        <v>39300</v>
      </c>
      <c r="C12430" s="24" t="s">
        <v>39301</v>
      </c>
      <c r="D12430" s="25" t="s">
        <v>39302</v>
      </c>
      <c r="E12430" s="28">
        <v>0.03750</v>
      </c>
      <c r="F12430" s="29">
        <f ca="1">ROUND(78.400,3)</f>
        <v>0</v>
      </c>
      <c r="G12430" s="27">
        <f ca="1">ROUND(E12430*F12430,2)</f>
        <v>0</v>
      </c>
    </row>
    <row r="12431" spans="1:7" ht="24.36" thickBot="1" customHeight="1">
      <c r="A12431" s="24" t="s">
        <v>39303</v>
      </c>
      <c r="B12431" s="24" t="s">
        <v>39304</v>
      </c>
      <c r="C12431" s="24" t="s">
        <v>39305</v>
      </c>
      <c r="D12431" s="25" t="s">
        <v>39306</v>
      </c>
      <c r="E12431" s="28">
        <v>0.01350</v>
      </c>
      <c r="F12431" s="29">
        <f ca="1">ROUND(4.630,3)</f>
        <v>0</v>
      </c>
      <c r="G12431" s="27">
        <f ca="1">ROUND(E12431*F12431,2)</f>
        <v>0</v>
      </c>
    </row>
    <row r="12432" spans="1:7" ht="21.36" thickBot="1" customHeight="1">
      <c r="A12432" s="24" t="s">
        <v>39307</v>
      </c>
      <c r="B12432" s="24" t="s">
        <v>39308</v>
      </c>
      <c r="C12432" s="24" t="s">
        <v>39309</v>
      </c>
      <c r="D12432" s="25" t="s">
        <v>39310</v>
      </c>
      <c r="E12432" s="28">
        <v>0.30000</v>
      </c>
      <c r="F12432" s="29">
        <f ca="1">F12436</f>
        <v>0</v>
      </c>
      <c r="G12432" s="27">
        <f ca="1">ROUND(E12432*F12432,2)</f>
        <v>0</v>
      </c>
    </row>
    <row r="12433" spans="1:7" ht="24.36" thickBot="1" customHeight="1">
      <c r="A12433" s="24" t="s">
        <v>39311</v>
      </c>
      <c r="B12433" s="24" t="s">
        <v>39312</v>
      </c>
      <c r="C12433" s="24" t="s">
        <v>39313</v>
      </c>
      <c r="D12433" s="25" t="s">
        <v>39314</v>
      </c>
      <c r="E12433" s="28">
        <v>1.00000</v>
      </c>
      <c r="F12433" s="29">
        <f ca="1">ROUND(21.000,3)</f>
        <v>0</v>
      </c>
      <c r="G12433" s="27">
        <f ca="1">ROUND(E12433*F12433,2)</f>
        <v>0</v>
      </c>
    </row>
    <row r="12434" spans="1:7" ht="24.36" thickBot="1" customHeight="1">
      <c r="A12434" s="24" t="s">
        <v>39315</v>
      </c>
      <c r="B12434" s="24" t="s">
        <v>39316</v>
      </c>
      <c r="C12434" s="24" t="s">
        <v>39317</v>
      </c>
      <c r="D12434" s="25" t="s">
        <v>39318</v>
      </c>
      <c r="E12434" s="28">
        <v>1.00000</v>
      </c>
      <c r="F12434" s="29">
        <f ca="1">ROUND(19.000,3)</f>
        <v>0</v>
      </c>
      <c r="G12434" s="27">
        <f ca="1">ROUND(E12434*F12434,2)</f>
        <v>0</v>
      </c>
    </row>
    <row r="12435" spans="1:7" ht="24.36" thickBot="1" customHeight="1">
      <c r="A12435" s="24" t="s">
        <v>39319</v>
      </c>
      <c r="B12435" s="24" t="s">
        <v>39320</v>
      </c>
      <c r="C12435" s="24" t="s">
        <v>39321</v>
      </c>
      <c r="D12435" s="25" t="s">
        <v>39322</v>
      </c>
      <c r="E12435" s="28">
        <v>0.20000</v>
      </c>
      <c r="F12435" s="29">
        <f ca="1">ROUND(19.000,3)</f>
        <v>0</v>
      </c>
      <c r="G12435" s="27">
        <f ca="1">ROUND(E12435*F12435,2)</f>
        <v>0</v>
      </c>
    </row>
    <row r="12436" spans="1:7" ht="15.12" thickBot="1" customHeight="1">
      <c r="A12436" s="26"/>
      <c r="B12436" s="26"/>
      <c r="C12436" s="26"/>
      <c r="D12436" s="24" t="s">
        <v>39323</v>
      </c>
      <c r="E12436" s="28">
        <v>0.30000</v>
      </c>
      <c r="F12436" s="29">
        <f ca="1">ROUND((G12433+G12434+G12435),3)</f>
        <v>0</v>
      </c>
      <c r="G12436" s="27">
        <f ca="1">ROUND(E12436*F12436,2)</f>
        <v>0</v>
      </c>
    </row>
    <row r="12437" spans="1:7" ht="15.12" thickBot="1" customHeight="1">
      <c r="A12437" s="24" t="s">
        <v>39324</v>
      </c>
      <c r="B12437" s="24"/>
      <c r="C12437" s="24" t="s">
        <v>39325</v>
      </c>
      <c r="D12437" s="25" t="s">
        <v>39326</v>
      </c>
      <c r="E12437" s="28">
        <v>7.00000</v>
      </c>
      <c r="F12437" s="29">
        <f ca="1">ROUND(13.140,3)</f>
        <v>0</v>
      </c>
      <c r="G12437" s="27">
        <f ca="1">ROUND((E12437*F12437)/100,2)</f>
        <v>0</v>
      </c>
    </row>
    <row r="12438" spans="1:7" ht="15.48" thickBot="1" customHeight="1">
      <c r="A12438" s="30"/>
      <c r="B12438" s="30"/>
      <c r="C12438" s="30"/>
      <c r="D12438" s="31" t="s">
        <v>39327</v>
      </c>
      <c r="E12438" s="30"/>
      <c r="F12438" s="33">
        <f ca="1">ROUND((G12429+G12430+G12431+G12432+G12437)*(1+G2/100),2)</f>
        <v>0</v>
      </c>
      <c r="G12438" s="30"/>
    </row>
    <row r="12439" spans="1:7" ht="25.08" thickBot="1" customHeight="1">
      <c r="A12439" s="34" t="s">
        <v>39328</v>
      </c>
      <c r="B12439" s="35" t="s">
        <v>39329</v>
      </c>
      <c r="C12439" s="35" t="s">
        <v>39330</v>
      </c>
      <c r="D12439" s="36" t="s">
        <v>39331</v>
      </c>
      <c r="E12439" s="37"/>
      <c r="F12439" s="38">
        <f ca="1">F12450</f>
        <v>0</v>
      </c>
      <c r="G12439" s="37"/>
    </row>
    <row r="12440" spans="1:7" ht="12.12" thickBot="1" customHeight="1">
      <c r="A12440" s="26"/>
      <c r="B12440" s="26"/>
      <c r="C12440" s="26"/>
      <c r="D12440" s="25" t="s">
        <v>39332</v>
      </c>
      <c r="E12440" s="25"/>
      <c r="F12440" s="25"/>
      <c r="G12440" s="25"/>
    </row>
    <row r="12441" spans="1:7" ht="49.08" thickBot="1" customHeight="1">
      <c r="A12441" s="24" t="s">
        <v>39333</v>
      </c>
      <c r="B12441" s="24" t="s">
        <v>39334</v>
      </c>
      <c r="C12441" s="24" t="s">
        <v>39335</v>
      </c>
      <c r="D12441" s="25" t="s">
        <v>39336</v>
      </c>
      <c r="E12441" s="28">
        <v>0.01333</v>
      </c>
      <c r="F12441" s="29">
        <f ca="1">ROUND(31.680,3)</f>
        <v>0</v>
      </c>
      <c r="G12441" s="27">
        <f ca="1">ROUND(E12441*F12441,2)</f>
        <v>0</v>
      </c>
    </row>
    <row r="12442" spans="1:7" ht="39.84" thickBot="1" customHeight="1">
      <c r="A12442" s="24" t="s">
        <v>39337</v>
      </c>
      <c r="B12442" s="24" t="s">
        <v>39338</v>
      </c>
      <c r="C12442" s="24" t="s">
        <v>39339</v>
      </c>
      <c r="D12442" s="25" t="s">
        <v>39340</v>
      </c>
      <c r="E12442" s="28">
        <v>0.01250</v>
      </c>
      <c r="F12442" s="29">
        <f ca="1">ROUND(78.400,3)</f>
        <v>0</v>
      </c>
      <c r="G12442" s="27">
        <f ca="1">ROUND(E12442*F12442,2)</f>
        <v>0</v>
      </c>
    </row>
    <row r="12443" spans="1:7" ht="24.36" thickBot="1" customHeight="1">
      <c r="A12443" s="24" t="s">
        <v>39341</v>
      </c>
      <c r="B12443" s="24" t="s">
        <v>39342</v>
      </c>
      <c r="C12443" s="24" t="s">
        <v>39343</v>
      </c>
      <c r="D12443" s="25" t="s">
        <v>39344</v>
      </c>
      <c r="E12443" s="28">
        <v>0.00450</v>
      </c>
      <c r="F12443" s="29">
        <f ca="1">ROUND(4.630,3)</f>
        <v>0</v>
      </c>
      <c r="G12443" s="27">
        <f ca="1">ROUND(E12443*F12443,2)</f>
        <v>0</v>
      </c>
    </row>
    <row r="12444" spans="1:7" ht="21.36" thickBot="1" customHeight="1">
      <c r="A12444" s="24" t="s">
        <v>39345</v>
      </c>
      <c r="B12444" s="24" t="s">
        <v>39346</v>
      </c>
      <c r="C12444" s="24" t="s">
        <v>39347</v>
      </c>
      <c r="D12444" s="25" t="s">
        <v>39348</v>
      </c>
      <c r="E12444" s="28">
        <v>0.20000</v>
      </c>
      <c r="F12444" s="29">
        <f ca="1">F12448</f>
        <v>0</v>
      </c>
      <c r="G12444" s="27">
        <f ca="1">ROUND(E12444*F12444,2)</f>
        <v>0</v>
      </c>
    </row>
    <row r="12445" spans="1:7" ht="24.36" thickBot="1" customHeight="1">
      <c r="A12445" s="24" t="s">
        <v>39349</v>
      </c>
      <c r="B12445" s="24" t="s">
        <v>39350</v>
      </c>
      <c r="C12445" s="24" t="s">
        <v>39351</v>
      </c>
      <c r="D12445" s="25" t="s">
        <v>39352</v>
      </c>
      <c r="E12445" s="28">
        <v>1.00000</v>
      </c>
      <c r="F12445" s="29">
        <f ca="1">ROUND(21.000,3)</f>
        <v>0</v>
      </c>
      <c r="G12445" s="27">
        <f ca="1">ROUND(E12445*F12445,2)</f>
        <v>0</v>
      </c>
    </row>
    <row r="12446" spans="1:7" ht="24.36" thickBot="1" customHeight="1">
      <c r="A12446" s="24" t="s">
        <v>39353</v>
      </c>
      <c r="B12446" s="24" t="s">
        <v>39354</v>
      </c>
      <c r="C12446" s="24" t="s">
        <v>39355</v>
      </c>
      <c r="D12446" s="25" t="s">
        <v>39356</v>
      </c>
      <c r="E12446" s="28">
        <v>1.00000</v>
      </c>
      <c r="F12446" s="29">
        <f ca="1">ROUND(19.000,3)</f>
        <v>0</v>
      </c>
      <c r="G12446" s="27">
        <f ca="1">ROUND(E12446*F12446,2)</f>
        <v>0</v>
      </c>
    </row>
    <row r="12447" spans="1:7" ht="24.36" thickBot="1" customHeight="1">
      <c r="A12447" s="24" t="s">
        <v>39357</v>
      </c>
      <c r="B12447" s="24" t="s">
        <v>39358</v>
      </c>
      <c r="C12447" s="24" t="s">
        <v>39359</v>
      </c>
      <c r="D12447" s="25" t="s">
        <v>39360</v>
      </c>
      <c r="E12447" s="28">
        <v>0.20000</v>
      </c>
      <c r="F12447" s="29">
        <f ca="1">ROUND(19.000,3)</f>
        <v>0</v>
      </c>
      <c r="G12447" s="27">
        <f ca="1">ROUND(E12447*F12447,2)</f>
        <v>0</v>
      </c>
    </row>
    <row r="12448" spans="1:7" ht="15.12" thickBot="1" customHeight="1">
      <c r="A12448" s="26"/>
      <c r="B12448" s="26"/>
      <c r="C12448" s="26"/>
      <c r="D12448" s="24" t="s">
        <v>39361</v>
      </c>
      <c r="E12448" s="28">
        <v>0.20000</v>
      </c>
      <c r="F12448" s="29">
        <f ca="1">ROUND((G12445+G12446+G12447),3)</f>
        <v>0</v>
      </c>
      <c r="G12448" s="27">
        <f ca="1">ROUND(E12448*F12448,2)</f>
        <v>0</v>
      </c>
    </row>
    <row r="12449" spans="1:7" ht="15.12" thickBot="1" customHeight="1">
      <c r="A12449" s="24" t="s">
        <v>39362</v>
      </c>
      <c r="B12449" s="24"/>
      <c r="C12449" s="24" t="s">
        <v>39363</v>
      </c>
      <c r="D12449" s="25" t="s">
        <v>39364</v>
      </c>
      <c r="E12449" s="28">
        <v>7.00000</v>
      </c>
      <c r="F12449" s="29">
        <f ca="1">ROUND(8.760,3)</f>
        <v>0</v>
      </c>
      <c r="G12449" s="27">
        <f ca="1">ROUND((E12449*F12449)/100,2)</f>
        <v>0</v>
      </c>
    </row>
    <row r="12450" spans="1:7" ht="15.48" thickBot="1" customHeight="1">
      <c r="A12450" s="30"/>
      <c r="B12450" s="30"/>
      <c r="C12450" s="30"/>
      <c r="D12450" s="31" t="s">
        <v>39365</v>
      </c>
      <c r="E12450" s="30"/>
      <c r="F12450" s="33">
        <f ca="1">ROUND((G12441+G12442+G12443+G12444+G12449)*(1+G2/100),2)</f>
        <v>0</v>
      </c>
      <c r="G12450" s="30"/>
    </row>
    <row r="12451" spans="1:7" ht="39.84" thickBot="1" customHeight="1">
      <c r="A12451" s="34" t="s">
        <v>39366</v>
      </c>
      <c r="B12451" s="35" t="s">
        <v>39367</v>
      </c>
      <c r="C12451" s="35" t="s">
        <v>39368</v>
      </c>
      <c r="D12451" s="36" t="s">
        <v>39369</v>
      </c>
      <c r="E12451" s="37"/>
      <c r="F12451" s="38">
        <f ca="1">F12461</f>
        <v>0</v>
      </c>
      <c r="G12451" s="37"/>
    </row>
    <row r="12452" spans="1:7" ht="12.12" thickBot="1" customHeight="1">
      <c r="A12452" s="26"/>
      <c r="B12452" s="26"/>
      <c r="C12452" s="26"/>
      <c r="D12452" s="25" t="s">
        <v>39370</v>
      </c>
      <c r="E12452" s="25"/>
      <c r="F12452" s="25"/>
      <c r="G12452" s="25"/>
    </row>
    <row r="12453" spans="1:7" ht="39.84" thickBot="1" customHeight="1">
      <c r="A12453" s="24" t="s">
        <v>39371</v>
      </c>
      <c r="B12453" s="24" t="s">
        <v>39372</v>
      </c>
      <c r="C12453" s="24" t="s">
        <v>39373</v>
      </c>
      <c r="D12453" s="25" t="s">
        <v>39374</v>
      </c>
      <c r="E12453" s="28">
        <v>0.03040</v>
      </c>
      <c r="F12453" s="29">
        <f ca="1">ROUND(36.060,3)</f>
        <v>0</v>
      </c>
      <c r="G12453" s="27">
        <f ca="1">ROUND(E12453*F12453,2)</f>
        <v>0</v>
      </c>
    </row>
    <row r="12454" spans="1:7" ht="39.84" thickBot="1" customHeight="1">
      <c r="A12454" s="24" t="s">
        <v>39375</v>
      </c>
      <c r="B12454" s="24" t="s">
        <v>39376</v>
      </c>
      <c r="C12454" s="24" t="s">
        <v>39377</v>
      </c>
      <c r="D12454" s="25" t="s">
        <v>39378</v>
      </c>
      <c r="E12454" s="28">
        <v>0.02375</v>
      </c>
      <c r="F12454" s="29">
        <f ca="1">ROUND(53.440,3)</f>
        <v>0</v>
      </c>
      <c r="G12454" s="27">
        <f ca="1">ROUND(E12454*F12454,2)</f>
        <v>0</v>
      </c>
    </row>
    <row r="12455" spans="1:7" ht="21.36" thickBot="1" customHeight="1">
      <c r="A12455" s="24" t="s">
        <v>39379</v>
      </c>
      <c r="B12455" s="24" t="s">
        <v>39380</v>
      </c>
      <c r="C12455" s="24" t="s">
        <v>39381</v>
      </c>
      <c r="D12455" s="25" t="s">
        <v>39382</v>
      </c>
      <c r="E12455" s="28">
        <v>0.21000</v>
      </c>
      <c r="F12455" s="29">
        <f ca="1">F12459</f>
        <v>0</v>
      </c>
      <c r="G12455" s="27">
        <f ca="1">ROUND(E12455*F12455,2)</f>
        <v>0</v>
      </c>
    </row>
    <row r="12456" spans="1:7" ht="24.36" thickBot="1" customHeight="1">
      <c r="A12456" s="24" t="s">
        <v>39383</v>
      </c>
      <c r="B12456" s="24" t="s">
        <v>39384</v>
      </c>
      <c r="C12456" s="24" t="s">
        <v>39385</v>
      </c>
      <c r="D12456" s="25" t="s">
        <v>39386</v>
      </c>
      <c r="E12456" s="28">
        <v>1.00000</v>
      </c>
      <c r="F12456" s="29">
        <f ca="1">ROUND(21.000,3)</f>
        <v>0</v>
      </c>
      <c r="G12456" s="27">
        <f ca="1">ROUND(E12456*F12456,2)</f>
        <v>0</v>
      </c>
    </row>
    <row r="12457" spans="1:7" ht="24.36" thickBot="1" customHeight="1">
      <c r="A12457" s="24" t="s">
        <v>39387</v>
      </c>
      <c r="B12457" s="24" t="s">
        <v>39388</v>
      </c>
      <c r="C12457" s="24" t="s">
        <v>39389</v>
      </c>
      <c r="D12457" s="25" t="s">
        <v>39390</v>
      </c>
      <c r="E12457" s="28">
        <v>1.00000</v>
      </c>
      <c r="F12457" s="29">
        <f ca="1">ROUND(19.000,3)</f>
        <v>0</v>
      </c>
      <c r="G12457" s="27">
        <f ca="1">ROUND(E12457*F12457,2)</f>
        <v>0</v>
      </c>
    </row>
    <row r="12458" spans="1:7" ht="24.36" thickBot="1" customHeight="1">
      <c r="A12458" s="24" t="s">
        <v>39391</v>
      </c>
      <c r="B12458" s="24" t="s">
        <v>39392</v>
      </c>
      <c r="C12458" s="24" t="s">
        <v>39393</v>
      </c>
      <c r="D12458" s="25" t="s">
        <v>39394</v>
      </c>
      <c r="E12458" s="28">
        <v>0.20000</v>
      </c>
      <c r="F12458" s="29">
        <f ca="1">ROUND(19.000,3)</f>
        <v>0</v>
      </c>
      <c r="G12458" s="27">
        <f ca="1">ROUND(E12458*F12458,2)</f>
        <v>0</v>
      </c>
    </row>
    <row r="12459" spans="1:7" ht="15.12" thickBot="1" customHeight="1">
      <c r="A12459" s="26"/>
      <c r="B12459" s="26"/>
      <c r="C12459" s="26"/>
      <c r="D12459" s="24" t="s">
        <v>39395</v>
      </c>
      <c r="E12459" s="28">
        <v>0.21000</v>
      </c>
      <c r="F12459" s="29">
        <f ca="1">ROUND((G12456+G12457+G12458),3)</f>
        <v>0</v>
      </c>
      <c r="G12459" s="27">
        <f ca="1">ROUND(E12459*F12459,2)</f>
        <v>0</v>
      </c>
    </row>
    <row r="12460" spans="1:7" ht="15.12" thickBot="1" customHeight="1">
      <c r="A12460" s="24" t="s">
        <v>39396</v>
      </c>
      <c r="B12460" s="24"/>
      <c r="C12460" s="24" t="s">
        <v>39397</v>
      </c>
      <c r="D12460" s="25" t="s">
        <v>39398</v>
      </c>
      <c r="E12460" s="28">
        <v>5.00000</v>
      </c>
      <c r="F12460" s="29">
        <f ca="1">ROUND(9.200,3)</f>
        <v>0</v>
      </c>
      <c r="G12460" s="27">
        <f ca="1">ROUND((E12460*F12460)/100,2)</f>
        <v>0</v>
      </c>
    </row>
    <row r="12461" spans="1:7" ht="15.48" thickBot="1" customHeight="1">
      <c r="A12461" s="30"/>
      <c r="B12461" s="30"/>
      <c r="C12461" s="30"/>
      <c r="D12461" s="31" t="s">
        <v>39399</v>
      </c>
      <c r="E12461" s="30"/>
      <c r="F12461" s="33">
        <f ca="1">ROUND((G12453+G12454+G12455+G12460)*(1+G2/100),2)</f>
        <v>0</v>
      </c>
      <c r="G12461" s="30"/>
    </row>
    <row r="12462" spans="1:7" ht="39.84" thickBot="1" customHeight="1">
      <c r="A12462" s="34" t="s">
        <v>39400</v>
      </c>
      <c r="B12462" s="35" t="s">
        <v>39401</v>
      </c>
      <c r="C12462" s="35" t="s">
        <v>39402</v>
      </c>
      <c r="D12462" s="36" t="s">
        <v>39403</v>
      </c>
      <c r="E12462" s="37"/>
      <c r="F12462" s="38">
        <f ca="1">F12472</f>
        <v>0</v>
      </c>
      <c r="G12462" s="37"/>
    </row>
    <row r="12463" spans="1:7" ht="12.12" thickBot="1" customHeight="1">
      <c r="A12463" s="26"/>
      <c r="B12463" s="26"/>
      <c r="C12463" s="26"/>
      <c r="D12463" s="25" t="s">
        <v>39404</v>
      </c>
      <c r="E12463" s="25"/>
      <c r="F12463" s="25"/>
      <c r="G12463" s="25"/>
    </row>
    <row r="12464" spans="1:7" ht="39.84" thickBot="1" customHeight="1">
      <c r="A12464" s="24" t="s">
        <v>39405</v>
      </c>
      <c r="B12464" s="24" t="s">
        <v>39406</v>
      </c>
      <c r="C12464" s="24" t="s">
        <v>39407</v>
      </c>
      <c r="D12464" s="25" t="s">
        <v>39408</v>
      </c>
      <c r="E12464" s="28">
        <v>0.03440</v>
      </c>
      <c r="F12464" s="29">
        <f ca="1">ROUND(36.060,3)</f>
        <v>0</v>
      </c>
      <c r="G12464" s="27">
        <f ca="1">ROUND(E12464*F12464,2)</f>
        <v>0</v>
      </c>
    </row>
    <row r="12465" spans="1:7" ht="39.84" thickBot="1" customHeight="1">
      <c r="A12465" s="24" t="s">
        <v>39409</v>
      </c>
      <c r="B12465" s="24" t="s">
        <v>39410</v>
      </c>
      <c r="C12465" s="24" t="s">
        <v>39411</v>
      </c>
      <c r="D12465" s="25" t="s">
        <v>39412</v>
      </c>
      <c r="E12465" s="28">
        <v>0.02688</v>
      </c>
      <c r="F12465" s="29">
        <f ca="1">ROUND(53.440,3)</f>
        <v>0</v>
      </c>
      <c r="G12465" s="27">
        <f ca="1">ROUND(E12465*F12465,2)</f>
        <v>0</v>
      </c>
    </row>
    <row r="12466" spans="1:7" ht="21.36" thickBot="1" customHeight="1">
      <c r="A12466" s="24" t="s">
        <v>39413</v>
      </c>
      <c r="B12466" s="24" t="s">
        <v>39414</v>
      </c>
      <c r="C12466" s="24" t="s">
        <v>39415</v>
      </c>
      <c r="D12466" s="25" t="s">
        <v>39416</v>
      </c>
      <c r="E12466" s="28">
        <v>0.20000</v>
      </c>
      <c r="F12466" s="29">
        <f ca="1">F12470</f>
        <v>0</v>
      </c>
      <c r="G12466" s="27">
        <f ca="1">ROUND(E12466*F12466,2)</f>
        <v>0</v>
      </c>
    </row>
    <row r="12467" spans="1:7" ht="24.36" thickBot="1" customHeight="1">
      <c r="A12467" s="24" t="s">
        <v>39417</v>
      </c>
      <c r="B12467" s="24" t="s">
        <v>39418</v>
      </c>
      <c r="C12467" s="24" t="s">
        <v>39419</v>
      </c>
      <c r="D12467" s="25" t="s">
        <v>39420</v>
      </c>
      <c r="E12467" s="28">
        <v>1.00000</v>
      </c>
      <c r="F12467" s="29">
        <f ca="1">ROUND(21.000,3)</f>
        <v>0</v>
      </c>
      <c r="G12467" s="27">
        <f ca="1">ROUND(E12467*F12467,2)</f>
        <v>0</v>
      </c>
    </row>
    <row r="12468" spans="1:7" ht="24.36" thickBot="1" customHeight="1">
      <c r="A12468" s="24" t="s">
        <v>39421</v>
      </c>
      <c r="B12468" s="24" t="s">
        <v>39422</v>
      </c>
      <c r="C12468" s="24" t="s">
        <v>39423</v>
      </c>
      <c r="D12468" s="25" t="s">
        <v>39424</v>
      </c>
      <c r="E12468" s="28">
        <v>1.00000</v>
      </c>
      <c r="F12468" s="29">
        <f ca="1">ROUND(19.000,3)</f>
        <v>0</v>
      </c>
      <c r="G12468" s="27">
        <f ca="1">ROUND(E12468*F12468,2)</f>
        <v>0</v>
      </c>
    </row>
    <row r="12469" spans="1:7" ht="24.36" thickBot="1" customHeight="1">
      <c r="A12469" s="24" t="s">
        <v>39425</v>
      </c>
      <c r="B12469" s="24" t="s">
        <v>39426</v>
      </c>
      <c r="C12469" s="24" t="s">
        <v>39427</v>
      </c>
      <c r="D12469" s="25" t="s">
        <v>39428</v>
      </c>
      <c r="E12469" s="28">
        <v>0.20000</v>
      </c>
      <c r="F12469" s="29">
        <f ca="1">ROUND(19.000,3)</f>
        <v>0</v>
      </c>
      <c r="G12469" s="27">
        <f ca="1">ROUND(E12469*F12469,2)</f>
        <v>0</v>
      </c>
    </row>
    <row r="12470" spans="1:7" ht="15.12" thickBot="1" customHeight="1">
      <c r="A12470" s="26"/>
      <c r="B12470" s="26"/>
      <c r="C12470" s="26"/>
      <c r="D12470" s="24" t="s">
        <v>39429</v>
      </c>
      <c r="E12470" s="28">
        <v>0.20000</v>
      </c>
      <c r="F12470" s="29">
        <f ca="1">ROUND((G12467+G12468+G12469),3)</f>
        <v>0</v>
      </c>
      <c r="G12470" s="27">
        <f ca="1">ROUND(E12470*F12470,2)</f>
        <v>0</v>
      </c>
    </row>
    <row r="12471" spans="1:7" ht="15.12" thickBot="1" customHeight="1">
      <c r="A12471" s="24" t="s">
        <v>39430</v>
      </c>
      <c r="B12471" s="24"/>
      <c r="C12471" s="24" t="s">
        <v>39431</v>
      </c>
      <c r="D12471" s="25" t="s">
        <v>39432</v>
      </c>
      <c r="E12471" s="28">
        <v>5.00000</v>
      </c>
      <c r="F12471" s="29">
        <f ca="1">ROUND(8.760,3)</f>
        <v>0</v>
      </c>
      <c r="G12471" s="27">
        <f ca="1">ROUND((E12471*F12471)/100,2)</f>
        <v>0</v>
      </c>
    </row>
    <row r="12472" spans="1:7" ht="15.48" thickBot="1" customHeight="1">
      <c r="A12472" s="30"/>
      <c r="B12472" s="30"/>
      <c r="C12472" s="30"/>
      <c r="D12472" s="31" t="s">
        <v>39433</v>
      </c>
      <c r="E12472" s="30"/>
      <c r="F12472" s="33">
        <f ca="1">ROUND((G12464+G12465+G12466+G12471)*(1+G2/100),2)</f>
        <v>0</v>
      </c>
      <c r="G12472" s="30"/>
    </row>
    <row r="12473" spans="1:7" ht="39.84" thickBot="1" customHeight="1">
      <c r="A12473" s="34" t="s">
        <v>39434</v>
      </c>
      <c r="B12473" s="35" t="s">
        <v>39435</v>
      </c>
      <c r="C12473" s="35" t="s">
        <v>39436</v>
      </c>
      <c r="D12473" s="36" t="s">
        <v>39437</v>
      </c>
      <c r="E12473" s="37"/>
      <c r="F12473" s="38">
        <f ca="1">F12483</f>
        <v>0</v>
      </c>
      <c r="G12473" s="37"/>
    </row>
    <row r="12474" spans="1:7" ht="12.12" thickBot="1" customHeight="1">
      <c r="A12474" s="26"/>
      <c r="B12474" s="26"/>
      <c r="C12474" s="26"/>
      <c r="D12474" s="25" t="s">
        <v>39438</v>
      </c>
      <c r="E12474" s="25"/>
      <c r="F12474" s="25"/>
      <c r="G12474" s="25"/>
    </row>
    <row r="12475" spans="1:7" ht="39.84" thickBot="1" customHeight="1">
      <c r="A12475" s="24" t="s">
        <v>39439</v>
      </c>
      <c r="B12475" s="24" t="s">
        <v>39440</v>
      </c>
      <c r="C12475" s="24" t="s">
        <v>39441</v>
      </c>
      <c r="D12475" s="25" t="s">
        <v>39442</v>
      </c>
      <c r="E12475" s="28">
        <v>0.03440</v>
      </c>
      <c r="F12475" s="29">
        <f ca="1">ROUND(36.060,3)</f>
        <v>0</v>
      </c>
      <c r="G12475" s="27">
        <f ca="1">ROUND(E12475*F12475,2)</f>
        <v>0</v>
      </c>
    </row>
    <row r="12476" spans="1:7" ht="39.84" thickBot="1" customHeight="1">
      <c r="A12476" s="24" t="s">
        <v>39443</v>
      </c>
      <c r="B12476" s="24" t="s">
        <v>39444</v>
      </c>
      <c r="C12476" s="24" t="s">
        <v>39445</v>
      </c>
      <c r="D12476" s="25" t="s">
        <v>39446</v>
      </c>
      <c r="E12476" s="28">
        <v>0.02688</v>
      </c>
      <c r="F12476" s="29">
        <f ca="1">ROUND(53.440,3)</f>
        <v>0</v>
      </c>
      <c r="G12476" s="27">
        <f ca="1">ROUND(E12476*F12476,2)</f>
        <v>0</v>
      </c>
    </row>
    <row r="12477" spans="1:7" ht="21.36" thickBot="1" customHeight="1">
      <c r="A12477" s="24" t="s">
        <v>39447</v>
      </c>
      <c r="B12477" s="24" t="s">
        <v>39448</v>
      </c>
      <c r="C12477" s="24" t="s">
        <v>39449</v>
      </c>
      <c r="D12477" s="25" t="s">
        <v>39450</v>
      </c>
      <c r="E12477" s="28">
        <v>0.26667</v>
      </c>
      <c r="F12477" s="29">
        <f ca="1">F12481</f>
        <v>0</v>
      </c>
      <c r="G12477" s="27">
        <f ca="1">ROUND(E12477*F12477,2)</f>
        <v>0</v>
      </c>
    </row>
    <row r="12478" spans="1:7" ht="24.36" thickBot="1" customHeight="1">
      <c r="A12478" s="24" t="s">
        <v>39451</v>
      </c>
      <c r="B12478" s="24" t="s">
        <v>39452</v>
      </c>
      <c r="C12478" s="24" t="s">
        <v>39453</v>
      </c>
      <c r="D12478" s="25" t="s">
        <v>39454</v>
      </c>
      <c r="E12478" s="28">
        <v>1.00000</v>
      </c>
      <c r="F12478" s="29">
        <f ca="1">ROUND(21.000,3)</f>
        <v>0</v>
      </c>
      <c r="G12478" s="27">
        <f ca="1">ROUND(E12478*F12478,2)</f>
        <v>0</v>
      </c>
    </row>
    <row r="12479" spans="1:7" ht="24.36" thickBot="1" customHeight="1">
      <c r="A12479" s="24" t="s">
        <v>39455</v>
      </c>
      <c r="B12479" s="24" t="s">
        <v>39456</v>
      </c>
      <c r="C12479" s="24" t="s">
        <v>39457</v>
      </c>
      <c r="D12479" s="25" t="s">
        <v>39458</v>
      </c>
      <c r="E12479" s="28">
        <v>1.00000</v>
      </c>
      <c r="F12479" s="29">
        <f ca="1">ROUND(19.000,3)</f>
        <v>0</v>
      </c>
      <c r="G12479" s="27">
        <f ca="1">ROUND(E12479*F12479,2)</f>
        <v>0</v>
      </c>
    </row>
    <row r="12480" spans="1:7" ht="24.36" thickBot="1" customHeight="1">
      <c r="A12480" s="24" t="s">
        <v>39459</v>
      </c>
      <c r="B12480" s="24" t="s">
        <v>39460</v>
      </c>
      <c r="C12480" s="24" t="s">
        <v>39461</v>
      </c>
      <c r="D12480" s="25" t="s">
        <v>39462</v>
      </c>
      <c r="E12480" s="28">
        <v>0.20000</v>
      </c>
      <c r="F12480" s="29">
        <f ca="1">ROUND(19.000,3)</f>
        <v>0</v>
      </c>
      <c r="G12480" s="27">
        <f ca="1">ROUND(E12480*F12480,2)</f>
        <v>0</v>
      </c>
    </row>
    <row r="12481" spans="1:7" ht="15.12" thickBot="1" customHeight="1">
      <c r="A12481" s="26"/>
      <c r="B12481" s="26"/>
      <c r="C12481" s="26"/>
      <c r="D12481" s="24" t="s">
        <v>39463</v>
      </c>
      <c r="E12481" s="28">
        <v>0.26667</v>
      </c>
      <c r="F12481" s="29">
        <f ca="1">ROUND((G12478+G12479+G12480),3)</f>
        <v>0</v>
      </c>
      <c r="G12481" s="27">
        <f ca="1">ROUND(E12481*F12481,2)</f>
        <v>0</v>
      </c>
    </row>
    <row r="12482" spans="1:7" ht="15.12" thickBot="1" customHeight="1">
      <c r="A12482" s="24" t="s">
        <v>39464</v>
      </c>
      <c r="B12482" s="24"/>
      <c r="C12482" s="24" t="s">
        <v>39465</v>
      </c>
      <c r="D12482" s="25" t="s">
        <v>39466</v>
      </c>
      <c r="E12482" s="28">
        <v>5.00000</v>
      </c>
      <c r="F12482" s="29">
        <f ca="1">ROUND(11.680,3)</f>
        <v>0</v>
      </c>
      <c r="G12482" s="27">
        <f ca="1">ROUND((E12482*F12482)/100,2)</f>
        <v>0</v>
      </c>
    </row>
    <row r="12483" spans="1:7" ht="15.48" thickBot="1" customHeight="1">
      <c r="A12483" s="30"/>
      <c r="B12483" s="30"/>
      <c r="C12483" s="30"/>
      <c r="D12483" s="31" t="s">
        <v>39467</v>
      </c>
      <c r="E12483" s="30"/>
      <c r="F12483" s="33">
        <f ca="1">ROUND((G12475+G12476+G12477+G12482)*(1+G2/100),2)</f>
        <v>0</v>
      </c>
      <c r="G12483" s="30"/>
    </row>
    <row r="12484" spans="1:7" ht="39.84" thickBot="1" customHeight="1">
      <c r="A12484" s="34" t="s">
        <v>39468</v>
      </c>
      <c r="B12484" s="35" t="s">
        <v>39469</v>
      </c>
      <c r="C12484" s="35" t="s">
        <v>39470</v>
      </c>
      <c r="D12484" s="36" t="s">
        <v>39471</v>
      </c>
      <c r="E12484" s="37"/>
      <c r="F12484" s="38">
        <f ca="1">F12494</f>
        <v>0</v>
      </c>
      <c r="G12484" s="37"/>
    </row>
    <row r="12485" spans="1:7" ht="12.12" thickBot="1" customHeight="1">
      <c r="A12485" s="26"/>
      <c r="B12485" s="26"/>
      <c r="C12485" s="26"/>
      <c r="D12485" s="25" t="s">
        <v>39472</v>
      </c>
      <c r="E12485" s="25"/>
      <c r="F12485" s="25"/>
      <c r="G12485" s="25"/>
    </row>
    <row r="12486" spans="1:7" ht="39.84" thickBot="1" customHeight="1">
      <c r="A12486" s="24" t="s">
        <v>39473</v>
      </c>
      <c r="B12486" s="24" t="s">
        <v>39474</v>
      </c>
      <c r="C12486" s="24" t="s">
        <v>39475</v>
      </c>
      <c r="D12486" s="25" t="s">
        <v>39476</v>
      </c>
      <c r="E12486" s="28">
        <v>0.04080</v>
      </c>
      <c r="F12486" s="29">
        <f ca="1">ROUND(36.060,3)</f>
        <v>0</v>
      </c>
      <c r="G12486" s="27">
        <f ca="1">ROUND(E12486*F12486,2)</f>
        <v>0</v>
      </c>
    </row>
    <row r="12487" spans="1:7" ht="39.84" thickBot="1" customHeight="1">
      <c r="A12487" s="24" t="s">
        <v>39477</v>
      </c>
      <c r="B12487" s="24" t="s">
        <v>39478</v>
      </c>
      <c r="C12487" s="24" t="s">
        <v>39479</v>
      </c>
      <c r="D12487" s="25" t="s">
        <v>39480</v>
      </c>
      <c r="E12487" s="28">
        <v>0.03188</v>
      </c>
      <c r="F12487" s="29">
        <f ca="1">ROUND(53.440,3)</f>
        <v>0</v>
      </c>
      <c r="G12487" s="27">
        <f ca="1">ROUND(E12487*F12487,2)</f>
        <v>0</v>
      </c>
    </row>
    <row r="12488" spans="1:7" ht="21.36" thickBot="1" customHeight="1">
      <c r="A12488" s="24" t="s">
        <v>39481</v>
      </c>
      <c r="B12488" s="24" t="s">
        <v>39482</v>
      </c>
      <c r="C12488" s="24" t="s">
        <v>39483</v>
      </c>
      <c r="D12488" s="25" t="s">
        <v>39484</v>
      </c>
      <c r="E12488" s="28">
        <v>0.33800</v>
      </c>
      <c r="F12488" s="29">
        <f ca="1">F12492</f>
        <v>0</v>
      </c>
      <c r="G12488" s="27">
        <f ca="1">ROUND(E12488*F12488,2)</f>
        <v>0</v>
      </c>
    </row>
    <row r="12489" spans="1:7" ht="24.36" thickBot="1" customHeight="1">
      <c r="A12489" s="24" t="s">
        <v>39485</v>
      </c>
      <c r="B12489" s="24" t="s">
        <v>39486</v>
      </c>
      <c r="C12489" s="24" t="s">
        <v>39487</v>
      </c>
      <c r="D12489" s="25" t="s">
        <v>39488</v>
      </c>
      <c r="E12489" s="28">
        <v>1.00000</v>
      </c>
      <c r="F12489" s="29">
        <f ca="1">ROUND(21.000,3)</f>
        <v>0</v>
      </c>
      <c r="G12489" s="27">
        <f ca="1">ROUND(E12489*F12489,2)</f>
        <v>0</v>
      </c>
    </row>
    <row r="12490" spans="1:7" ht="24.36" thickBot="1" customHeight="1">
      <c r="A12490" s="24" t="s">
        <v>39489</v>
      </c>
      <c r="B12490" s="24" t="s">
        <v>39490</v>
      </c>
      <c r="C12490" s="24" t="s">
        <v>39491</v>
      </c>
      <c r="D12490" s="25" t="s">
        <v>39492</v>
      </c>
      <c r="E12490" s="28">
        <v>1.00000</v>
      </c>
      <c r="F12490" s="29">
        <f ca="1">ROUND(19.000,3)</f>
        <v>0</v>
      </c>
      <c r="G12490" s="27">
        <f ca="1">ROUND(E12490*F12490,2)</f>
        <v>0</v>
      </c>
    </row>
    <row r="12491" spans="1:7" ht="24.36" thickBot="1" customHeight="1">
      <c r="A12491" s="24" t="s">
        <v>39493</v>
      </c>
      <c r="B12491" s="24" t="s">
        <v>39494</v>
      </c>
      <c r="C12491" s="24" t="s">
        <v>39495</v>
      </c>
      <c r="D12491" s="25" t="s">
        <v>39496</v>
      </c>
      <c r="E12491" s="28">
        <v>0.20000</v>
      </c>
      <c r="F12491" s="29">
        <f ca="1">ROUND(19.000,3)</f>
        <v>0</v>
      </c>
      <c r="G12491" s="27">
        <f ca="1">ROUND(E12491*F12491,2)</f>
        <v>0</v>
      </c>
    </row>
    <row r="12492" spans="1:7" ht="15.12" thickBot="1" customHeight="1">
      <c r="A12492" s="26"/>
      <c r="B12492" s="26"/>
      <c r="C12492" s="26"/>
      <c r="D12492" s="24" t="s">
        <v>39497</v>
      </c>
      <c r="E12492" s="28">
        <v>0.33800</v>
      </c>
      <c r="F12492" s="29">
        <f ca="1">ROUND((G12489+G12490+G12491),3)</f>
        <v>0</v>
      </c>
      <c r="G12492" s="27">
        <f ca="1">ROUND(E12492*F12492,2)</f>
        <v>0</v>
      </c>
    </row>
    <row r="12493" spans="1:7" ht="15.12" thickBot="1" customHeight="1">
      <c r="A12493" s="24" t="s">
        <v>39498</v>
      </c>
      <c r="B12493" s="24"/>
      <c r="C12493" s="24" t="s">
        <v>39499</v>
      </c>
      <c r="D12493" s="25" t="s">
        <v>39500</v>
      </c>
      <c r="E12493" s="28">
        <v>5.00000</v>
      </c>
      <c r="F12493" s="29">
        <f ca="1">ROUND(14.800,3)</f>
        <v>0</v>
      </c>
      <c r="G12493" s="27">
        <f ca="1">ROUND((E12493*F12493)/100,2)</f>
        <v>0</v>
      </c>
    </row>
    <row r="12494" spans="1:7" ht="15.48" thickBot="1" customHeight="1">
      <c r="A12494" s="30"/>
      <c r="B12494" s="30"/>
      <c r="C12494" s="30"/>
      <c r="D12494" s="31" t="s">
        <v>39501</v>
      </c>
      <c r="E12494" s="30"/>
      <c r="F12494" s="33">
        <f ca="1">ROUND((G12486+G12487+G12488+G12493)*(1+G2/100),2)</f>
        <v>0</v>
      </c>
      <c r="G12494" s="30"/>
    </row>
    <row r="12495" spans="1:7" ht="39.84" thickBot="1" customHeight="1">
      <c r="A12495" s="34" t="s">
        <v>39502</v>
      </c>
      <c r="B12495" s="35" t="s">
        <v>39503</v>
      </c>
      <c r="C12495" s="35" t="s">
        <v>39504</v>
      </c>
      <c r="D12495" s="36" t="s">
        <v>39505</v>
      </c>
      <c r="E12495" s="37"/>
      <c r="F12495" s="38">
        <f ca="1">F12506</f>
        <v>0</v>
      </c>
      <c r="G12495" s="37"/>
    </row>
    <row r="12496" spans="1:7" ht="21.36" thickBot="1" customHeight="1">
      <c r="A12496" s="26"/>
      <c r="B12496" s="26"/>
      <c r="C12496" s="26"/>
      <c r="D12496" s="25" t="s">
        <v>39506</v>
      </c>
      <c r="E12496" s="25"/>
      <c r="F12496" s="25"/>
      <c r="G12496" s="25"/>
    </row>
    <row r="12497" spans="1:7" ht="39.84" thickBot="1" customHeight="1">
      <c r="A12497" s="24" t="s">
        <v>39507</v>
      </c>
      <c r="B12497" s="24" t="s">
        <v>39508</v>
      </c>
      <c r="C12497" s="24" t="s">
        <v>39509</v>
      </c>
      <c r="D12497" s="25" t="s">
        <v>39510</v>
      </c>
      <c r="E12497" s="28">
        <v>0.04000</v>
      </c>
      <c r="F12497" s="29">
        <f ca="1">ROUND(63.840,3)</f>
        <v>0</v>
      </c>
      <c r="G12497" s="27">
        <f ca="1">ROUND(E12497*F12497,2)</f>
        <v>0</v>
      </c>
    </row>
    <row r="12498" spans="1:7" ht="39.84" thickBot="1" customHeight="1">
      <c r="A12498" s="24" t="s">
        <v>39511</v>
      </c>
      <c r="B12498" s="24" t="s">
        <v>39512</v>
      </c>
      <c r="C12498" s="24" t="s">
        <v>39513</v>
      </c>
      <c r="D12498" s="25" t="s">
        <v>39514</v>
      </c>
      <c r="E12498" s="28">
        <v>0.06875</v>
      </c>
      <c r="F12498" s="29">
        <f ca="1">ROUND(53.440,3)</f>
        <v>0</v>
      </c>
      <c r="G12498" s="27">
        <f ca="1">ROUND(E12498*F12498,2)</f>
        <v>0</v>
      </c>
    </row>
    <row r="12499" spans="1:7" ht="30.60" thickBot="1" customHeight="1">
      <c r="A12499" s="24" t="s">
        <v>39515</v>
      </c>
      <c r="B12499" s="24" t="s">
        <v>39516</v>
      </c>
      <c r="C12499" s="24" t="s">
        <v>39517</v>
      </c>
      <c r="D12499" s="25" t="s">
        <v>39518</v>
      </c>
      <c r="E12499" s="28">
        <v>0.01400</v>
      </c>
      <c r="F12499" s="29">
        <f ca="1">ROUND(44.630,3)</f>
        <v>0</v>
      </c>
      <c r="G12499" s="27">
        <f ca="1">ROUND(E12499*F12499,2)</f>
        <v>0</v>
      </c>
    </row>
    <row r="12500" spans="1:7" ht="21.36" thickBot="1" customHeight="1">
      <c r="A12500" s="24" t="s">
        <v>39519</v>
      </c>
      <c r="B12500" s="24" t="s">
        <v>39520</v>
      </c>
      <c r="C12500" s="24" t="s">
        <v>39521</v>
      </c>
      <c r="D12500" s="25" t="s">
        <v>39522</v>
      </c>
      <c r="E12500" s="28">
        <v>0.40000</v>
      </c>
      <c r="F12500" s="29">
        <f ca="1">F12504</f>
        <v>0</v>
      </c>
      <c r="G12500" s="27">
        <f ca="1">ROUND(E12500*F12500,2)</f>
        <v>0</v>
      </c>
    </row>
    <row r="12501" spans="1:7" ht="24.36" thickBot="1" customHeight="1">
      <c r="A12501" s="24" t="s">
        <v>39523</v>
      </c>
      <c r="B12501" s="24" t="s">
        <v>39524</v>
      </c>
      <c r="C12501" s="24" t="s">
        <v>39525</v>
      </c>
      <c r="D12501" s="25" t="s">
        <v>39526</v>
      </c>
      <c r="E12501" s="28">
        <v>1.00000</v>
      </c>
      <c r="F12501" s="29">
        <f ca="1">ROUND(21.000,3)</f>
        <v>0</v>
      </c>
      <c r="G12501" s="27">
        <f ca="1">ROUND(E12501*F12501,2)</f>
        <v>0</v>
      </c>
    </row>
    <row r="12502" spans="1:7" ht="24.36" thickBot="1" customHeight="1">
      <c r="A12502" s="24" t="s">
        <v>39527</v>
      </c>
      <c r="B12502" s="24" t="s">
        <v>39528</v>
      </c>
      <c r="C12502" s="24" t="s">
        <v>39529</v>
      </c>
      <c r="D12502" s="25" t="s">
        <v>39530</v>
      </c>
      <c r="E12502" s="28">
        <v>1.00000</v>
      </c>
      <c r="F12502" s="29">
        <f ca="1">ROUND(19.000,3)</f>
        <v>0</v>
      </c>
      <c r="G12502" s="27">
        <f ca="1">ROUND(E12502*F12502,2)</f>
        <v>0</v>
      </c>
    </row>
    <row r="12503" spans="1:7" ht="24.36" thickBot="1" customHeight="1">
      <c r="A12503" s="24" t="s">
        <v>39531</v>
      </c>
      <c r="B12503" s="24" t="s">
        <v>39532</v>
      </c>
      <c r="C12503" s="24" t="s">
        <v>39533</v>
      </c>
      <c r="D12503" s="25" t="s">
        <v>39534</v>
      </c>
      <c r="E12503" s="28">
        <v>0.20000</v>
      </c>
      <c r="F12503" s="29">
        <f ca="1">ROUND(19.000,3)</f>
        <v>0</v>
      </c>
      <c r="G12503" s="27">
        <f ca="1">ROUND(E12503*F12503,2)</f>
        <v>0</v>
      </c>
    </row>
    <row r="12504" spans="1:7" ht="15.12" thickBot="1" customHeight="1">
      <c r="A12504" s="26"/>
      <c r="B12504" s="26"/>
      <c r="C12504" s="26"/>
      <c r="D12504" s="24" t="s">
        <v>39535</v>
      </c>
      <c r="E12504" s="28">
        <v>0.40000</v>
      </c>
      <c r="F12504" s="29">
        <f ca="1">ROUND((G12501+G12502+G12503),3)</f>
        <v>0</v>
      </c>
      <c r="G12504" s="27">
        <f ca="1">ROUND(E12504*F12504,2)</f>
        <v>0</v>
      </c>
    </row>
    <row r="12505" spans="1:7" ht="15.12" thickBot="1" customHeight="1">
      <c r="A12505" s="24" t="s">
        <v>39536</v>
      </c>
      <c r="B12505" s="24"/>
      <c r="C12505" s="24" t="s">
        <v>39537</v>
      </c>
      <c r="D12505" s="25" t="s">
        <v>39538</v>
      </c>
      <c r="E12505" s="28">
        <v>5.00000</v>
      </c>
      <c r="F12505" s="29">
        <f ca="1">ROUND(17.520,3)</f>
        <v>0</v>
      </c>
      <c r="G12505" s="27">
        <f ca="1">ROUND((E12505*F12505)/100,2)</f>
        <v>0</v>
      </c>
    </row>
    <row r="12506" spans="1:7" ht="15.48" thickBot="1" customHeight="1">
      <c r="A12506" s="30"/>
      <c r="B12506" s="30"/>
      <c r="C12506" s="30"/>
      <c r="D12506" s="31" t="s">
        <v>39539</v>
      </c>
      <c r="E12506" s="30"/>
      <c r="F12506" s="33">
        <f ca="1">ROUND((G12497+G12498+G12499+G12500+G12505)*(1+G2/100),2)</f>
        <v>0</v>
      </c>
      <c r="G12506" s="30"/>
    </row>
    <row r="12507" spans="1:7" ht="39.84" thickBot="1" customHeight="1">
      <c r="A12507" s="34" t="s">
        <v>39540</v>
      </c>
      <c r="B12507" s="35" t="s">
        <v>39541</v>
      </c>
      <c r="C12507" s="35" t="s">
        <v>39542</v>
      </c>
      <c r="D12507" s="36" t="s">
        <v>39543</v>
      </c>
      <c r="E12507" s="37"/>
      <c r="F12507" s="38">
        <f ca="1">F12518</f>
        <v>0</v>
      </c>
      <c r="G12507" s="37"/>
    </row>
    <row r="12508" spans="1:7" ht="21.36" thickBot="1" customHeight="1">
      <c r="A12508" s="26"/>
      <c r="B12508" s="26"/>
      <c r="C12508" s="26"/>
      <c r="D12508" s="25" t="s">
        <v>39544</v>
      </c>
      <c r="E12508" s="25"/>
      <c r="F12508" s="25"/>
      <c r="G12508" s="25"/>
    </row>
    <row r="12509" spans="1:7" ht="39.84" thickBot="1" customHeight="1">
      <c r="A12509" s="24" t="s">
        <v>39545</v>
      </c>
      <c r="B12509" s="24" t="s">
        <v>39546</v>
      </c>
      <c r="C12509" s="24" t="s">
        <v>39547</v>
      </c>
      <c r="D12509" s="25" t="s">
        <v>39548</v>
      </c>
      <c r="E12509" s="28">
        <v>0.01200</v>
      </c>
      <c r="F12509" s="29">
        <f ca="1">ROUND(63.840,3)</f>
        <v>0</v>
      </c>
      <c r="G12509" s="27">
        <f ca="1">ROUND(E12509*F12509,2)</f>
        <v>0</v>
      </c>
    </row>
    <row r="12510" spans="1:7" ht="39.84" thickBot="1" customHeight="1">
      <c r="A12510" s="24" t="s">
        <v>39549</v>
      </c>
      <c r="B12510" s="24" t="s">
        <v>39550</v>
      </c>
      <c r="C12510" s="24" t="s">
        <v>39551</v>
      </c>
      <c r="D12510" s="25" t="s">
        <v>39552</v>
      </c>
      <c r="E12510" s="28">
        <v>0.02060</v>
      </c>
      <c r="F12510" s="29">
        <f ca="1">ROUND(53.440,3)</f>
        <v>0</v>
      </c>
      <c r="G12510" s="27">
        <f ca="1">ROUND(E12510*F12510,2)</f>
        <v>0</v>
      </c>
    </row>
    <row r="12511" spans="1:7" ht="30.60" thickBot="1" customHeight="1">
      <c r="A12511" s="24" t="s">
        <v>39553</v>
      </c>
      <c r="B12511" s="24" t="s">
        <v>39554</v>
      </c>
      <c r="C12511" s="24" t="s">
        <v>39555</v>
      </c>
      <c r="D12511" s="25" t="s">
        <v>39556</v>
      </c>
      <c r="E12511" s="28">
        <v>0.00500</v>
      </c>
      <c r="F12511" s="29">
        <f ca="1">ROUND(44.630,3)</f>
        <v>0</v>
      </c>
      <c r="G12511" s="27">
        <f ca="1">ROUND(E12511*F12511,2)</f>
        <v>0</v>
      </c>
    </row>
    <row r="12512" spans="1:7" ht="21.36" thickBot="1" customHeight="1">
      <c r="A12512" s="24" t="s">
        <v>39557</v>
      </c>
      <c r="B12512" s="24" t="s">
        <v>39558</v>
      </c>
      <c r="C12512" s="24" t="s">
        <v>39559</v>
      </c>
      <c r="D12512" s="25" t="s">
        <v>39560</v>
      </c>
      <c r="E12512" s="28">
        <v>0.26000</v>
      </c>
      <c r="F12512" s="29">
        <f ca="1">F12516</f>
        <v>0</v>
      </c>
      <c r="G12512" s="27">
        <f ca="1">ROUND(E12512*F12512,2)</f>
        <v>0</v>
      </c>
    </row>
    <row r="12513" spans="1:7" ht="24.36" thickBot="1" customHeight="1">
      <c r="A12513" s="24" t="s">
        <v>39561</v>
      </c>
      <c r="B12513" s="24" t="s">
        <v>39562</v>
      </c>
      <c r="C12513" s="24" t="s">
        <v>39563</v>
      </c>
      <c r="D12513" s="25" t="s">
        <v>39564</v>
      </c>
      <c r="E12513" s="28">
        <v>1.00000</v>
      </c>
      <c r="F12513" s="29">
        <f ca="1">ROUND(21.000,3)</f>
        <v>0</v>
      </c>
      <c r="G12513" s="27">
        <f ca="1">ROUND(E12513*F12513,2)</f>
        <v>0</v>
      </c>
    </row>
    <row r="12514" spans="1:7" ht="24.36" thickBot="1" customHeight="1">
      <c r="A12514" s="24" t="s">
        <v>39565</v>
      </c>
      <c r="B12514" s="24" t="s">
        <v>39566</v>
      </c>
      <c r="C12514" s="24" t="s">
        <v>39567</v>
      </c>
      <c r="D12514" s="25" t="s">
        <v>39568</v>
      </c>
      <c r="E12514" s="28">
        <v>1.00000</v>
      </c>
      <c r="F12514" s="29">
        <f ca="1">ROUND(19.000,3)</f>
        <v>0</v>
      </c>
      <c r="G12514" s="27">
        <f ca="1">ROUND(E12514*F12514,2)</f>
        <v>0</v>
      </c>
    </row>
    <row r="12515" spans="1:7" ht="24.36" thickBot="1" customHeight="1">
      <c r="A12515" s="24" t="s">
        <v>39569</v>
      </c>
      <c r="B12515" s="24" t="s">
        <v>39570</v>
      </c>
      <c r="C12515" s="24" t="s">
        <v>39571</v>
      </c>
      <c r="D12515" s="25" t="s">
        <v>39572</v>
      </c>
      <c r="E12515" s="28">
        <v>0.20000</v>
      </c>
      <c r="F12515" s="29">
        <f ca="1">ROUND(19.000,3)</f>
        <v>0</v>
      </c>
      <c r="G12515" s="27">
        <f ca="1">ROUND(E12515*F12515,2)</f>
        <v>0</v>
      </c>
    </row>
    <row r="12516" spans="1:7" ht="15.12" thickBot="1" customHeight="1">
      <c r="A12516" s="26"/>
      <c r="B12516" s="26"/>
      <c r="C12516" s="26"/>
      <c r="D12516" s="24" t="s">
        <v>39573</v>
      </c>
      <c r="E12516" s="28">
        <v>0.26000</v>
      </c>
      <c r="F12516" s="29">
        <f ca="1">ROUND((G12513+G12514+G12515),3)</f>
        <v>0</v>
      </c>
      <c r="G12516" s="27">
        <f ca="1">ROUND(E12516*F12516,2)</f>
        <v>0</v>
      </c>
    </row>
    <row r="12517" spans="1:7" ht="15.12" thickBot="1" customHeight="1">
      <c r="A12517" s="24" t="s">
        <v>39574</v>
      </c>
      <c r="B12517" s="24"/>
      <c r="C12517" s="24" t="s">
        <v>39575</v>
      </c>
      <c r="D12517" s="25" t="s">
        <v>39576</v>
      </c>
      <c r="E12517" s="28">
        <v>5.00000</v>
      </c>
      <c r="F12517" s="29">
        <f ca="1">ROUND(11.390,3)</f>
        <v>0</v>
      </c>
      <c r="G12517" s="27">
        <f ca="1">ROUND((E12517*F12517)/100,2)</f>
        <v>0</v>
      </c>
    </row>
    <row r="12518" spans="1:7" ht="15.48" thickBot="1" customHeight="1">
      <c r="A12518" s="30"/>
      <c r="B12518" s="30"/>
      <c r="C12518" s="30"/>
      <c r="D12518" s="31" t="s">
        <v>39577</v>
      </c>
      <c r="E12518" s="30"/>
      <c r="F12518" s="33">
        <f ca="1">ROUND((G12509+G12510+G12511+G12512+G12517)*(1+G2/100),2)</f>
        <v>0</v>
      </c>
      <c r="G12518" s="30"/>
    </row>
    <row r="12519" spans="1:7" ht="58.32" thickBot="1" customHeight="1">
      <c r="A12519" s="34" t="s">
        <v>39578</v>
      </c>
      <c r="B12519" s="35" t="s">
        <v>39579</v>
      </c>
      <c r="C12519" s="35" t="s">
        <v>39580</v>
      </c>
      <c r="D12519" s="36" t="s">
        <v>39581</v>
      </c>
      <c r="E12519" s="37"/>
      <c r="F12519" s="38">
        <f ca="1">F12529</f>
        <v>0</v>
      </c>
      <c r="G12519" s="37"/>
    </row>
    <row r="12520" spans="1:7" ht="21.36" thickBot="1" customHeight="1">
      <c r="A12520" s="26"/>
      <c r="B12520" s="26"/>
      <c r="C12520" s="26"/>
      <c r="D12520" s="25" t="s">
        <v>39582</v>
      </c>
      <c r="E12520" s="25"/>
      <c r="F12520" s="25"/>
      <c r="G12520" s="25"/>
    </row>
    <row r="12521" spans="1:7" ht="39.84" thickBot="1" customHeight="1">
      <c r="A12521" s="24" t="s">
        <v>39583</v>
      </c>
      <c r="B12521" s="24" t="s">
        <v>39584</v>
      </c>
      <c r="C12521" s="24" t="s">
        <v>39585</v>
      </c>
      <c r="D12521" s="25" t="s">
        <v>39586</v>
      </c>
      <c r="E12521" s="28">
        <v>0.07000</v>
      </c>
      <c r="F12521" s="29">
        <f ca="1">ROUND(57.460,3)</f>
        <v>0</v>
      </c>
      <c r="G12521" s="27">
        <f ca="1">ROUND(E12521*F12521,2)</f>
        <v>0</v>
      </c>
    </row>
    <row r="12522" spans="1:7" ht="24.36" thickBot="1" customHeight="1">
      <c r="A12522" s="24" t="s">
        <v>39587</v>
      </c>
      <c r="B12522" s="24" t="s">
        <v>39588</v>
      </c>
      <c r="C12522" s="24" t="s">
        <v>39589</v>
      </c>
      <c r="D12522" s="25" t="s">
        <v>39590</v>
      </c>
      <c r="E12522" s="28">
        <v>0.01350</v>
      </c>
      <c r="F12522" s="29">
        <f ca="1">ROUND(4.630,3)</f>
        <v>0</v>
      </c>
      <c r="G12522" s="27">
        <f ca="1">ROUND(E12522*F12522,2)</f>
        <v>0</v>
      </c>
    </row>
    <row r="12523" spans="1:7" ht="21.36" thickBot="1" customHeight="1">
      <c r="A12523" s="24" t="s">
        <v>39591</v>
      </c>
      <c r="B12523" s="24" t="s">
        <v>39592</v>
      </c>
      <c r="C12523" s="24" t="s">
        <v>39593</v>
      </c>
      <c r="D12523" s="25" t="s">
        <v>39594</v>
      </c>
      <c r="E12523" s="28">
        <v>0.56000</v>
      </c>
      <c r="F12523" s="29">
        <f ca="1">F12527</f>
        <v>0</v>
      </c>
      <c r="G12523" s="27">
        <f ca="1">ROUND(E12523*F12523,2)</f>
        <v>0</v>
      </c>
    </row>
    <row r="12524" spans="1:7" ht="24.36" thickBot="1" customHeight="1">
      <c r="A12524" s="24" t="s">
        <v>39595</v>
      </c>
      <c r="B12524" s="24" t="s">
        <v>39596</v>
      </c>
      <c r="C12524" s="24" t="s">
        <v>39597</v>
      </c>
      <c r="D12524" s="25" t="s">
        <v>39598</v>
      </c>
      <c r="E12524" s="28">
        <v>1.00000</v>
      </c>
      <c r="F12524" s="29">
        <f ca="1">ROUND(21.000,3)</f>
        <v>0</v>
      </c>
      <c r="G12524" s="27">
        <f ca="1">ROUND(E12524*F12524,2)</f>
        <v>0</v>
      </c>
    </row>
    <row r="12525" spans="1:7" ht="24.36" thickBot="1" customHeight="1">
      <c r="A12525" s="24" t="s">
        <v>39599</v>
      </c>
      <c r="B12525" s="24" t="s">
        <v>39600</v>
      </c>
      <c r="C12525" s="24" t="s">
        <v>39601</v>
      </c>
      <c r="D12525" s="25" t="s">
        <v>39602</v>
      </c>
      <c r="E12525" s="28">
        <v>1.00000</v>
      </c>
      <c r="F12525" s="29">
        <f ca="1">ROUND(19.000,3)</f>
        <v>0</v>
      </c>
      <c r="G12525" s="27">
        <f ca="1">ROUND(E12525*F12525,2)</f>
        <v>0</v>
      </c>
    </row>
    <row r="12526" spans="1:7" ht="24.36" thickBot="1" customHeight="1">
      <c r="A12526" s="24" t="s">
        <v>39603</v>
      </c>
      <c r="B12526" s="24" t="s">
        <v>39604</v>
      </c>
      <c r="C12526" s="24" t="s">
        <v>39605</v>
      </c>
      <c r="D12526" s="25" t="s">
        <v>39606</v>
      </c>
      <c r="E12526" s="28">
        <v>0.20000</v>
      </c>
      <c r="F12526" s="29">
        <f ca="1">ROUND(19.000,3)</f>
        <v>0</v>
      </c>
      <c r="G12526" s="27">
        <f ca="1">ROUND(E12526*F12526,2)</f>
        <v>0</v>
      </c>
    </row>
    <row r="12527" spans="1:7" ht="15.12" thickBot="1" customHeight="1">
      <c r="A12527" s="26"/>
      <c r="B12527" s="26"/>
      <c r="C12527" s="26"/>
      <c r="D12527" s="24" t="s">
        <v>39607</v>
      </c>
      <c r="E12527" s="28">
        <v>0.56000</v>
      </c>
      <c r="F12527" s="29">
        <f ca="1">ROUND((G12524+G12525+G12526),3)</f>
        <v>0</v>
      </c>
      <c r="G12527" s="27">
        <f ca="1">ROUND(E12527*F12527,2)</f>
        <v>0</v>
      </c>
    </row>
    <row r="12528" spans="1:7" ht="15.12" thickBot="1" customHeight="1">
      <c r="A12528" s="24" t="s">
        <v>39608</v>
      </c>
      <c r="B12528" s="24"/>
      <c r="C12528" s="24" t="s">
        <v>39609</v>
      </c>
      <c r="D12528" s="25" t="s">
        <v>39610</v>
      </c>
      <c r="E12528" s="28">
        <v>5.00000</v>
      </c>
      <c r="F12528" s="29">
        <f ca="1">ROUND(24.530,3)</f>
        <v>0</v>
      </c>
      <c r="G12528" s="27">
        <f ca="1">ROUND((E12528*F12528)/100,2)</f>
        <v>0</v>
      </c>
    </row>
    <row r="12529" spans="1:7" ht="15.48" thickBot="1" customHeight="1">
      <c r="A12529" s="30"/>
      <c r="B12529" s="30"/>
      <c r="C12529" s="30"/>
      <c r="D12529" s="31" t="s">
        <v>39611</v>
      </c>
      <c r="E12529" s="30"/>
      <c r="F12529" s="33">
        <f ca="1">ROUND((G12521+G12522+G12523+G12528)*(1+G2/100),2)</f>
        <v>0</v>
      </c>
      <c r="G12529" s="30"/>
    </row>
    <row r="12530" spans="1:7" ht="49.08" thickBot="1" customHeight="1">
      <c r="A12530" s="34" t="s">
        <v>39612</v>
      </c>
      <c r="B12530" s="35" t="s">
        <v>39613</v>
      </c>
      <c r="C12530" s="35" t="s">
        <v>39614</v>
      </c>
      <c r="D12530" s="36" t="s">
        <v>39615</v>
      </c>
      <c r="E12530" s="37"/>
      <c r="F12530" s="38">
        <f ca="1">F12539</f>
        <v>0</v>
      </c>
      <c r="G12530" s="37"/>
    </row>
    <row r="12531" spans="1:7" ht="21.36" thickBot="1" customHeight="1">
      <c r="A12531" s="26"/>
      <c r="B12531" s="26"/>
      <c r="C12531" s="26"/>
      <c r="D12531" s="25" t="s">
        <v>39616</v>
      </c>
      <c r="E12531" s="25"/>
      <c r="F12531" s="25"/>
      <c r="G12531" s="25"/>
    </row>
    <row r="12532" spans="1:7" ht="49.08" thickBot="1" customHeight="1">
      <c r="A12532" s="24" t="s">
        <v>39617</v>
      </c>
      <c r="B12532" s="24" t="s">
        <v>39618</v>
      </c>
      <c r="C12532" s="24" t="s">
        <v>39619</v>
      </c>
      <c r="D12532" s="25" t="s">
        <v>39620</v>
      </c>
      <c r="E12532" s="28">
        <v>0.08889</v>
      </c>
      <c r="F12532" s="29">
        <f ca="1">ROUND(57.850,3)</f>
        <v>0</v>
      </c>
      <c r="G12532" s="27">
        <f ca="1">ROUND(E12532*F12532,2)</f>
        <v>0</v>
      </c>
    </row>
    <row r="12533" spans="1:7" ht="21.36" thickBot="1" customHeight="1">
      <c r="A12533" s="24" t="s">
        <v>39621</v>
      </c>
      <c r="B12533" s="24" t="s">
        <v>39622</v>
      </c>
      <c r="C12533" s="24" t="s">
        <v>39623</v>
      </c>
      <c r="D12533" s="25" t="s">
        <v>39624</v>
      </c>
      <c r="E12533" s="28">
        <v>0.56000</v>
      </c>
      <c r="F12533" s="29">
        <f ca="1">F12537</f>
        <v>0</v>
      </c>
      <c r="G12533" s="27">
        <f ca="1">ROUND(E12533*F12533,2)</f>
        <v>0</v>
      </c>
    </row>
    <row r="12534" spans="1:7" ht="24.36" thickBot="1" customHeight="1">
      <c r="A12534" s="24" t="s">
        <v>39625</v>
      </c>
      <c r="B12534" s="24" t="s">
        <v>39626</v>
      </c>
      <c r="C12534" s="24" t="s">
        <v>39627</v>
      </c>
      <c r="D12534" s="25" t="s">
        <v>39628</v>
      </c>
      <c r="E12534" s="28">
        <v>1.00000</v>
      </c>
      <c r="F12534" s="29">
        <f ca="1">ROUND(21.000,3)</f>
        <v>0</v>
      </c>
      <c r="G12534" s="27">
        <f ca="1">ROUND(E12534*F12534,2)</f>
        <v>0</v>
      </c>
    </row>
    <row r="12535" spans="1:7" ht="24.36" thickBot="1" customHeight="1">
      <c r="A12535" s="24" t="s">
        <v>39629</v>
      </c>
      <c r="B12535" s="24" t="s">
        <v>39630</v>
      </c>
      <c r="C12535" s="24" t="s">
        <v>39631</v>
      </c>
      <c r="D12535" s="25" t="s">
        <v>39632</v>
      </c>
      <c r="E12535" s="28">
        <v>1.00000</v>
      </c>
      <c r="F12535" s="29">
        <f ca="1">ROUND(19.000,3)</f>
        <v>0</v>
      </c>
      <c r="G12535" s="27">
        <f ca="1">ROUND(E12535*F12535,2)</f>
        <v>0</v>
      </c>
    </row>
    <row r="12536" spans="1:7" ht="24.36" thickBot="1" customHeight="1">
      <c r="A12536" s="24" t="s">
        <v>39633</v>
      </c>
      <c r="B12536" s="24" t="s">
        <v>39634</v>
      </c>
      <c r="C12536" s="24" t="s">
        <v>39635</v>
      </c>
      <c r="D12536" s="25" t="s">
        <v>39636</v>
      </c>
      <c r="E12536" s="28">
        <v>0.20000</v>
      </c>
      <c r="F12536" s="29">
        <f ca="1">ROUND(19.000,3)</f>
        <v>0</v>
      </c>
      <c r="G12536" s="27">
        <f ca="1">ROUND(E12536*F12536,2)</f>
        <v>0</v>
      </c>
    </row>
    <row r="12537" spans="1:7" ht="15.12" thickBot="1" customHeight="1">
      <c r="A12537" s="26"/>
      <c r="B12537" s="26"/>
      <c r="C12537" s="26"/>
      <c r="D12537" s="24" t="s">
        <v>39637</v>
      </c>
      <c r="E12537" s="28">
        <v>0.56000</v>
      </c>
      <c r="F12537" s="29">
        <f ca="1">ROUND((G12534+G12535+G12536),3)</f>
        <v>0</v>
      </c>
      <c r="G12537" s="27">
        <f ca="1">ROUND(E12537*F12537,2)</f>
        <v>0</v>
      </c>
    </row>
    <row r="12538" spans="1:7" ht="15.12" thickBot="1" customHeight="1">
      <c r="A12538" s="24" t="s">
        <v>39638</v>
      </c>
      <c r="B12538" s="24"/>
      <c r="C12538" s="24" t="s">
        <v>39639</v>
      </c>
      <c r="D12538" s="25" t="s">
        <v>39640</v>
      </c>
      <c r="E12538" s="28">
        <v>5.00000</v>
      </c>
      <c r="F12538" s="29">
        <f ca="1">ROUND(24.530,3)</f>
        <v>0</v>
      </c>
      <c r="G12538" s="27">
        <f ca="1">ROUND((E12538*F12538)/100,2)</f>
        <v>0</v>
      </c>
    </row>
    <row r="12539" spans="1:7" ht="15.48" thickBot="1" customHeight="1">
      <c r="A12539" s="30"/>
      <c r="B12539" s="30"/>
      <c r="C12539" s="30"/>
      <c r="D12539" s="31" t="s">
        <v>39641</v>
      </c>
      <c r="E12539" s="30"/>
      <c r="F12539" s="33">
        <f ca="1">ROUND((G12532+G12533+G12538)*(1+G2/100),2)</f>
        <v>0</v>
      </c>
      <c r="G12539" s="30"/>
    </row>
    <row r="12540" spans="1:7" ht="49.08" thickBot="1" customHeight="1">
      <c r="A12540" s="34" t="s">
        <v>39642</v>
      </c>
      <c r="B12540" s="35" t="s">
        <v>39643</v>
      </c>
      <c r="C12540" s="35" t="s">
        <v>39644</v>
      </c>
      <c r="D12540" s="36" t="s">
        <v>39645</v>
      </c>
      <c r="E12540" s="37"/>
      <c r="F12540" s="38">
        <f ca="1">F12550</f>
        <v>0</v>
      </c>
      <c r="G12540" s="37"/>
    </row>
    <row r="12541" spans="1:7" ht="21.36" thickBot="1" customHeight="1">
      <c r="A12541" s="26"/>
      <c r="B12541" s="26"/>
      <c r="C12541" s="26"/>
      <c r="D12541" s="25" t="s">
        <v>39646</v>
      </c>
      <c r="E12541" s="25"/>
      <c r="F12541" s="25"/>
      <c r="G12541" s="25"/>
    </row>
    <row r="12542" spans="1:7" ht="39.84" thickBot="1" customHeight="1">
      <c r="A12542" s="24" t="s">
        <v>39647</v>
      </c>
      <c r="B12542" s="24" t="s">
        <v>39648</v>
      </c>
      <c r="C12542" s="24" t="s">
        <v>39649</v>
      </c>
      <c r="D12542" s="25" t="s">
        <v>39650</v>
      </c>
      <c r="E12542" s="28">
        <v>0.02778</v>
      </c>
      <c r="F12542" s="29">
        <f ca="1">ROUND(41.280,3)</f>
        <v>0</v>
      </c>
      <c r="G12542" s="27">
        <f ca="1">ROUND(E12542*F12542,2)</f>
        <v>0</v>
      </c>
    </row>
    <row r="12543" spans="1:7" ht="39.84" thickBot="1" customHeight="1">
      <c r="A12543" s="24" t="s">
        <v>39651</v>
      </c>
      <c r="B12543" s="24" t="s">
        <v>39652</v>
      </c>
      <c r="C12543" s="24" t="s">
        <v>39653</v>
      </c>
      <c r="D12543" s="25" t="s">
        <v>39654</v>
      </c>
      <c r="E12543" s="28">
        <v>0.05556</v>
      </c>
      <c r="F12543" s="29">
        <f ca="1">ROUND(57.840,3)</f>
        <v>0</v>
      </c>
      <c r="G12543" s="27">
        <f ca="1">ROUND(E12543*F12543,2)</f>
        <v>0</v>
      </c>
    </row>
    <row r="12544" spans="1:7" ht="21.36" thickBot="1" customHeight="1">
      <c r="A12544" s="24" t="s">
        <v>39655</v>
      </c>
      <c r="B12544" s="24" t="s">
        <v>39656</v>
      </c>
      <c r="C12544" s="24" t="s">
        <v>39657</v>
      </c>
      <c r="D12544" s="25" t="s">
        <v>39658</v>
      </c>
      <c r="E12544" s="28">
        <v>0.56000</v>
      </c>
      <c r="F12544" s="29">
        <f ca="1">F12548</f>
        <v>0</v>
      </c>
      <c r="G12544" s="27">
        <f ca="1">ROUND(E12544*F12544,2)</f>
        <v>0</v>
      </c>
    </row>
    <row r="12545" spans="1:7" ht="24.36" thickBot="1" customHeight="1">
      <c r="A12545" s="24" t="s">
        <v>39659</v>
      </c>
      <c r="B12545" s="24" t="s">
        <v>39660</v>
      </c>
      <c r="C12545" s="24" t="s">
        <v>39661</v>
      </c>
      <c r="D12545" s="25" t="s">
        <v>39662</v>
      </c>
      <c r="E12545" s="28">
        <v>1.00000</v>
      </c>
      <c r="F12545" s="29">
        <f ca="1">ROUND(21.000,3)</f>
        <v>0</v>
      </c>
      <c r="G12545" s="27">
        <f ca="1">ROUND(E12545*F12545,2)</f>
        <v>0</v>
      </c>
    </row>
    <row r="12546" spans="1:7" ht="24.36" thickBot="1" customHeight="1">
      <c r="A12546" s="24" t="s">
        <v>39663</v>
      </c>
      <c r="B12546" s="24" t="s">
        <v>39664</v>
      </c>
      <c r="C12546" s="24" t="s">
        <v>39665</v>
      </c>
      <c r="D12546" s="25" t="s">
        <v>39666</v>
      </c>
      <c r="E12546" s="28">
        <v>1.00000</v>
      </c>
      <c r="F12546" s="29">
        <f ca="1">ROUND(19.000,3)</f>
        <v>0</v>
      </c>
      <c r="G12546" s="27">
        <f ca="1">ROUND(E12546*F12546,2)</f>
        <v>0</v>
      </c>
    </row>
    <row r="12547" spans="1:7" ht="24.36" thickBot="1" customHeight="1">
      <c r="A12547" s="24" t="s">
        <v>39667</v>
      </c>
      <c r="B12547" s="24" t="s">
        <v>39668</v>
      </c>
      <c r="C12547" s="24" t="s">
        <v>39669</v>
      </c>
      <c r="D12547" s="25" t="s">
        <v>39670</v>
      </c>
      <c r="E12547" s="28">
        <v>0.20000</v>
      </c>
      <c r="F12547" s="29">
        <f ca="1">ROUND(19.000,3)</f>
        <v>0</v>
      </c>
      <c r="G12547" s="27">
        <f ca="1">ROUND(E12547*F12547,2)</f>
        <v>0</v>
      </c>
    </row>
    <row r="12548" spans="1:7" ht="15.12" thickBot="1" customHeight="1">
      <c r="A12548" s="26"/>
      <c r="B12548" s="26"/>
      <c r="C12548" s="26"/>
      <c r="D12548" s="24" t="s">
        <v>39671</v>
      </c>
      <c r="E12548" s="28">
        <v>0.56000</v>
      </c>
      <c r="F12548" s="29">
        <f ca="1">ROUND((G12545+G12546+G12547),3)</f>
        <v>0</v>
      </c>
      <c r="G12548" s="27">
        <f ca="1">ROUND(E12548*F12548,2)</f>
        <v>0</v>
      </c>
    </row>
    <row r="12549" spans="1:7" ht="15.12" thickBot="1" customHeight="1">
      <c r="A12549" s="24" t="s">
        <v>39672</v>
      </c>
      <c r="B12549" s="24"/>
      <c r="C12549" s="24" t="s">
        <v>39673</v>
      </c>
      <c r="D12549" s="25" t="s">
        <v>39674</v>
      </c>
      <c r="E12549" s="28">
        <v>5.00000</v>
      </c>
      <c r="F12549" s="29">
        <f ca="1">ROUND(24.530,3)</f>
        <v>0</v>
      </c>
      <c r="G12549" s="27">
        <f ca="1">ROUND((E12549*F12549)/100,2)</f>
        <v>0</v>
      </c>
    </row>
    <row r="12550" spans="1:7" ht="15.48" thickBot="1" customHeight="1">
      <c r="A12550" s="30"/>
      <c r="B12550" s="30"/>
      <c r="C12550" s="30"/>
      <c r="D12550" s="31" t="s">
        <v>39675</v>
      </c>
      <c r="E12550" s="30"/>
      <c r="F12550" s="33">
        <f ca="1">ROUND((G12542+G12543+G12544+G12549)*(1+G2/100),2)</f>
        <v>0</v>
      </c>
      <c r="G12550" s="30"/>
    </row>
    <row r="12551" spans="1:7" ht="39.84" thickBot="1" customHeight="1">
      <c r="A12551" s="34" t="s">
        <v>39676</v>
      </c>
      <c r="B12551" s="35" t="s">
        <v>39677</v>
      </c>
      <c r="C12551" s="35" t="s">
        <v>39678</v>
      </c>
      <c r="D12551" s="36" t="s">
        <v>39679</v>
      </c>
      <c r="E12551" s="37"/>
      <c r="F12551" s="38">
        <f ca="1">F12562</f>
        <v>0</v>
      </c>
      <c r="G12551" s="37"/>
    </row>
    <row r="12552" spans="1:7" ht="21.36" thickBot="1" customHeight="1">
      <c r="A12552" s="26"/>
      <c r="B12552" s="26"/>
      <c r="C12552" s="26"/>
      <c r="D12552" s="25" t="s">
        <v>39680</v>
      </c>
      <c r="E12552" s="25"/>
      <c r="F12552" s="25"/>
      <c r="G12552" s="25"/>
    </row>
    <row r="12553" spans="1:7" ht="49.08" thickBot="1" customHeight="1">
      <c r="A12553" s="24" t="s">
        <v>39681</v>
      </c>
      <c r="B12553" s="24" t="s">
        <v>39682</v>
      </c>
      <c r="C12553" s="24" t="s">
        <v>39683</v>
      </c>
      <c r="D12553" s="25" t="s">
        <v>39684</v>
      </c>
      <c r="E12553" s="28">
        <v>0.03475</v>
      </c>
      <c r="F12553" s="29">
        <f ca="1">ROUND(59.090,3)</f>
        <v>0</v>
      </c>
      <c r="G12553" s="27">
        <f ca="1">ROUND(E12553*F12553,2)</f>
        <v>0</v>
      </c>
    </row>
    <row r="12554" spans="1:7" ht="39.84" thickBot="1" customHeight="1">
      <c r="A12554" s="24" t="s">
        <v>39685</v>
      </c>
      <c r="B12554" s="24" t="s">
        <v>39686</v>
      </c>
      <c r="C12554" s="24" t="s">
        <v>39687</v>
      </c>
      <c r="D12554" s="25" t="s">
        <v>39688</v>
      </c>
      <c r="E12554" s="28">
        <v>0.05500</v>
      </c>
      <c r="F12554" s="29">
        <f ca="1">ROUND(53.440,3)</f>
        <v>0</v>
      </c>
      <c r="G12554" s="27">
        <f ca="1">ROUND(E12554*F12554,2)</f>
        <v>0</v>
      </c>
    </row>
    <row r="12555" spans="1:7" ht="24.36" thickBot="1" customHeight="1">
      <c r="A12555" s="24" t="s">
        <v>39689</v>
      </c>
      <c r="B12555" s="24" t="s">
        <v>39690</v>
      </c>
      <c r="C12555" s="24" t="s">
        <v>39691</v>
      </c>
      <c r="D12555" s="25" t="s">
        <v>39692</v>
      </c>
      <c r="E12555" s="28">
        <v>0.01350</v>
      </c>
      <c r="F12555" s="29">
        <f ca="1">ROUND(4.630,3)</f>
        <v>0</v>
      </c>
      <c r="G12555" s="27">
        <f ca="1">ROUND(E12555*F12555,2)</f>
        <v>0</v>
      </c>
    </row>
    <row r="12556" spans="1:7" ht="21.36" thickBot="1" customHeight="1">
      <c r="A12556" s="24" t="s">
        <v>39693</v>
      </c>
      <c r="B12556" s="24" t="s">
        <v>39694</v>
      </c>
      <c r="C12556" s="24" t="s">
        <v>39695</v>
      </c>
      <c r="D12556" s="25" t="s">
        <v>39696</v>
      </c>
      <c r="E12556" s="28">
        <v>0.35000</v>
      </c>
      <c r="F12556" s="29">
        <f ca="1">F12560</f>
        <v>0</v>
      </c>
      <c r="G12556" s="27">
        <f ca="1">ROUND(E12556*F12556,2)</f>
        <v>0</v>
      </c>
    </row>
    <row r="12557" spans="1:7" ht="24.36" thickBot="1" customHeight="1">
      <c r="A12557" s="24" t="s">
        <v>39697</v>
      </c>
      <c r="B12557" s="24" t="s">
        <v>39698</v>
      </c>
      <c r="C12557" s="24" t="s">
        <v>39699</v>
      </c>
      <c r="D12557" s="25" t="s">
        <v>39700</v>
      </c>
      <c r="E12557" s="28">
        <v>1.00000</v>
      </c>
      <c r="F12557" s="29">
        <f ca="1">ROUND(21.000,3)</f>
        <v>0</v>
      </c>
      <c r="G12557" s="27">
        <f ca="1">ROUND(E12557*F12557,2)</f>
        <v>0</v>
      </c>
    </row>
    <row r="12558" spans="1:7" ht="24.36" thickBot="1" customHeight="1">
      <c r="A12558" s="24" t="s">
        <v>39701</v>
      </c>
      <c r="B12558" s="24" t="s">
        <v>39702</v>
      </c>
      <c r="C12558" s="24" t="s">
        <v>39703</v>
      </c>
      <c r="D12558" s="25" t="s">
        <v>39704</v>
      </c>
      <c r="E12558" s="28">
        <v>1.00000</v>
      </c>
      <c r="F12558" s="29">
        <f ca="1">ROUND(19.000,3)</f>
        <v>0</v>
      </c>
      <c r="G12558" s="27">
        <f ca="1">ROUND(E12558*F12558,2)</f>
        <v>0</v>
      </c>
    </row>
    <row r="12559" spans="1:7" ht="24.36" thickBot="1" customHeight="1">
      <c r="A12559" s="24" t="s">
        <v>39705</v>
      </c>
      <c r="B12559" s="24" t="s">
        <v>39706</v>
      </c>
      <c r="C12559" s="24" t="s">
        <v>39707</v>
      </c>
      <c r="D12559" s="25" t="s">
        <v>39708</v>
      </c>
      <c r="E12559" s="28">
        <v>0.20000</v>
      </c>
      <c r="F12559" s="29">
        <f ca="1">ROUND(19.000,3)</f>
        <v>0</v>
      </c>
      <c r="G12559" s="27">
        <f ca="1">ROUND(E12559*F12559,2)</f>
        <v>0</v>
      </c>
    </row>
    <row r="12560" spans="1:7" ht="15.12" thickBot="1" customHeight="1">
      <c r="A12560" s="26"/>
      <c r="B12560" s="26"/>
      <c r="C12560" s="26"/>
      <c r="D12560" s="24" t="s">
        <v>39709</v>
      </c>
      <c r="E12560" s="28">
        <v>0.35000</v>
      </c>
      <c r="F12560" s="29">
        <f ca="1">ROUND((G12557+G12558+G12559),3)</f>
        <v>0</v>
      </c>
      <c r="G12560" s="27">
        <f ca="1">ROUND(E12560*F12560,2)</f>
        <v>0</v>
      </c>
    </row>
    <row r="12561" spans="1:7" ht="15.12" thickBot="1" customHeight="1">
      <c r="A12561" s="24" t="s">
        <v>39710</v>
      </c>
      <c r="B12561" s="24"/>
      <c r="C12561" s="24" t="s">
        <v>39711</v>
      </c>
      <c r="D12561" s="25" t="s">
        <v>39712</v>
      </c>
      <c r="E12561" s="28">
        <v>5.00000</v>
      </c>
      <c r="F12561" s="29">
        <f ca="1">ROUND(15.330,3)</f>
        <v>0</v>
      </c>
      <c r="G12561" s="27">
        <f ca="1">ROUND((E12561*F12561)/100,2)</f>
        <v>0</v>
      </c>
    </row>
    <row r="12562" spans="1:7" ht="15.48" thickBot="1" customHeight="1">
      <c r="A12562" s="30"/>
      <c r="B12562" s="30"/>
      <c r="C12562" s="30"/>
      <c r="D12562" s="31" t="s">
        <v>39713</v>
      </c>
      <c r="E12562" s="30"/>
      <c r="F12562" s="33">
        <f ca="1">ROUND((G12553+G12554+G12555+G12556+G12561)*(1+G2/100),2)</f>
        <v>0</v>
      </c>
      <c r="G12562" s="30"/>
    </row>
    <row r="12563" spans="1:7" ht="21.36" thickBot="1" customHeight="1">
      <c r="A12563" s="34" t="s">
        <v>39714</v>
      </c>
      <c r="B12563" s="35" t="s">
        <v>39715</v>
      </c>
      <c r="C12563" s="35" t="s">
        <v>39716</v>
      </c>
      <c r="D12563" s="36" t="s">
        <v>39717</v>
      </c>
      <c r="E12563" s="37"/>
      <c r="F12563" s="38">
        <f ca="1">F12572</f>
        <v>0</v>
      </c>
      <c r="G12563" s="37"/>
    </row>
    <row r="12564" spans="1:7" ht="39.84" thickBot="1" customHeight="1">
      <c r="A12564" s="26"/>
      <c r="B12564" s="26"/>
      <c r="C12564" s="26"/>
      <c r="D12564" s="25" t="s">
        <v>39718</v>
      </c>
      <c r="E12564" s="25"/>
      <c r="F12564" s="25"/>
      <c r="G12564" s="25"/>
    </row>
    <row r="12565" spans="1:7" ht="30.60" thickBot="1" customHeight="1">
      <c r="A12565" s="24" t="s">
        <v>39719</v>
      </c>
      <c r="B12565" s="24" t="s">
        <v>39720</v>
      </c>
      <c r="C12565" s="24" t="s">
        <v>39721</v>
      </c>
      <c r="D12565" s="25" t="s">
        <v>39722</v>
      </c>
      <c r="E12565" s="28">
        <v>0.20000</v>
      </c>
      <c r="F12565" s="29">
        <f ca="1">ROUND(41.900,3)</f>
        <v>0</v>
      </c>
      <c r="G12565" s="27">
        <f ca="1">ROUND(E12565*F12565,2)</f>
        <v>0</v>
      </c>
    </row>
    <row r="12566" spans="1:7" ht="24.36" thickBot="1" customHeight="1">
      <c r="A12566" s="24" t="s">
        <v>39723</v>
      </c>
      <c r="B12566" s="24" t="s">
        <v>39724</v>
      </c>
      <c r="C12566" s="24" t="s">
        <v>39725</v>
      </c>
      <c r="D12566" s="25" t="s">
        <v>39726</v>
      </c>
      <c r="E12566" s="28">
        <v>0.10000</v>
      </c>
      <c r="F12566" s="29">
        <f ca="1">ROUND(85.930,3)</f>
        <v>0</v>
      </c>
      <c r="G12566" s="27">
        <f ca="1">ROUND(E12566*F12566,2)</f>
        <v>0</v>
      </c>
    </row>
    <row r="12567" spans="1:7" ht="30.60" thickBot="1" customHeight="1">
      <c r="A12567" s="24" t="s">
        <v>39727</v>
      </c>
      <c r="B12567" s="24" t="s">
        <v>39728</v>
      </c>
      <c r="C12567" s="24" t="s">
        <v>39729</v>
      </c>
      <c r="D12567" s="25" t="s">
        <v>39730</v>
      </c>
      <c r="E12567" s="28">
        <v>0.01100</v>
      </c>
      <c r="F12567" s="29">
        <f ca="1">ROUND(2.520,3)</f>
        <v>0</v>
      </c>
      <c r="G12567" s="27">
        <f ca="1">ROUND(E12567*F12567,2)</f>
        <v>0</v>
      </c>
    </row>
    <row r="12568" spans="1:7" ht="24.36" thickBot="1" customHeight="1">
      <c r="A12568" s="24" t="s">
        <v>39731</v>
      </c>
      <c r="B12568" s="24" t="s">
        <v>39732</v>
      </c>
      <c r="C12568" s="24" t="s">
        <v>39733</v>
      </c>
      <c r="D12568" s="25" t="s">
        <v>39734</v>
      </c>
      <c r="E12568" s="28">
        <v>0.01100</v>
      </c>
      <c r="F12568" s="29">
        <f ca="1">ROUND(4.730,3)</f>
        <v>0</v>
      </c>
      <c r="G12568" s="27">
        <f ca="1">ROUND(E12568*F12568,2)</f>
        <v>0</v>
      </c>
    </row>
    <row r="12569" spans="1:7" ht="24.36" thickBot="1" customHeight="1">
      <c r="A12569" s="24" t="s">
        <v>39735</v>
      </c>
      <c r="B12569" s="24" t="s">
        <v>39736</v>
      </c>
      <c r="C12569" s="24" t="s">
        <v>39737</v>
      </c>
      <c r="D12569" s="25" t="s">
        <v>39738</v>
      </c>
      <c r="E12569" s="28">
        <v>0.01500</v>
      </c>
      <c r="F12569" s="29">
        <f ca="1">ROUND(0.650,3)</f>
        <v>0</v>
      </c>
      <c r="G12569" s="27">
        <f ca="1">ROUND(E12569*F12569,2)</f>
        <v>0</v>
      </c>
    </row>
    <row r="12570" spans="1:7" ht="24.36" thickBot="1" customHeight="1">
      <c r="A12570" s="24" t="s">
        <v>39739</v>
      </c>
      <c r="B12570" s="24" t="s">
        <v>39740</v>
      </c>
      <c r="C12570" s="24" t="s">
        <v>39741</v>
      </c>
      <c r="D12570" s="25" t="s">
        <v>39742</v>
      </c>
      <c r="E12570" s="28">
        <v>0.01100</v>
      </c>
      <c r="F12570" s="29">
        <f ca="1">ROUND(4.060,3)</f>
        <v>0</v>
      </c>
      <c r="G12570" s="27">
        <f ca="1">ROUND(E12570*F12570,2)</f>
        <v>0</v>
      </c>
    </row>
    <row r="12571" spans="1:7" ht="24.36" thickBot="1" customHeight="1">
      <c r="A12571" s="24" t="s">
        <v>39743</v>
      </c>
      <c r="B12571" s="24" t="s">
        <v>39744</v>
      </c>
      <c r="C12571" s="24" t="s">
        <v>39745</v>
      </c>
      <c r="D12571" s="25" t="s">
        <v>39746</v>
      </c>
      <c r="E12571" s="28">
        <v>0.19500</v>
      </c>
      <c r="F12571" s="29">
        <f ca="1">ROUND(49.500,3)</f>
        <v>0</v>
      </c>
      <c r="G12571" s="27">
        <f ca="1">ROUND(E12571*F12571,2)</f>
        <v>0</v>
      </c>
    </row>
    <row r="12572" spans="1:7" ht="15.48" thickBot="1" customHeight="1">
      <c r="A12572" s="30"/>
      <c r="B12572" s="30"/>
      <c r="C12572" s="30"/>
      <c r="D12572" s="31" t="s">
        <v>39747</v>
      </c>
      <c r="E12572" s="30"/>
      <c r="F12572" s="33">
        <f ca="1">ROUND((G12565+G12566+G12567+G12568+G12569+G12570+G12571)*(1+G2/100),2)</f>
        <v>0</v>
      </c>
      <c r="G12572" s="30"/>
    </row>
    <row r="12573" spans="1:7" ht="21.36" thickBot="1" customHeight="1">
      <c r="A12573" s="34" t="s">
        <v>39748</v>
      </c>
      <c r="B12573" s="35" t="s">
        <v>39749</v>
      </c>
      <c r="C12573" s="35" t="s">
        <v>39750</v>
      </c>
      <c r="D12573" s="36" t="s">
        <v>39751</v>
      </c>
      <c r="E12573" s="37"/>
      <c r="F12573" s="38">
        <f ca="1">F12582</f>
        <v>0</v>
      </c>
      <c r="G12573" s="37"/>
    </row>
    <row r="12574" spans="1:7" ht="12.12" thickBot="1" customHeight="1">
      <c r="A12574" s="26"/>
      <c r="B12574" s="26"/>
      <c r="C12574" s="26"/>
      <c r="D12574" s="25" t="s">
        <v>39752</v>
      </c>
      <c r="E12574" s="25"/>
      <c r="F12574" s="25"/>
      <c r="G12574" s="25"/>
    </row>
    <row r="12575" spans="1:7" ht="30.60" thickBot="1" customHeight="1">
      <c r="A12575" s="24" t="s">
        <v>39753</v>
      </c>
      <c r="B12575" s="24" t="s">
        <v>39754</v>
      </c>
      <c r="C12575" s="24" t="s">
        <v>39755</v>
      </c>
      <c r="D12575" s="25" t="s">
        <v>39756</v>
      </c>
      <c r="E12575" s="28">
        <v>0.21000</v>
      </c>
      <c r="F12575" s="29">
        <f ca="1">ROUND(41.900,3)</f>
        <v>0</v>
      </c>
      <c r="G12575" s="27">
        <f ca="1">ROUND(E12575*F12575,2)</f>
        <v>0</v>
      </c>
    </row>
    <row r="12576" spans="1:7" ht="24.36" thickBot="1" customHeight="1">
      <c r="A12576" s="24" t="s">
        <v>39757</v>
      </c>
      <c r="B12576" s="24" t="s">
        <v>39758</v>
      </c>
      <c r="C12576" s="24" t="s">
        <v>39759</v>
      </c>
      <c r="D12576" s="25" t="s">
        <v>39760</v>
      </c>
      <c r="E12576" s="28">
        <v>0.10000</v>
      </c>
      <c r="F12576" s="29">
        <f ca="1">ROUND(85.930,3)</f>
        <v>0</v>
      </c>
      <c r="G12576" s="27">
        <f ca="1">ROUND(E12576*F12576,2)</f>
        <v>0</v>
      </c>
    </row>
    <row r="12577" spans="1:7" ht="30.60" thickBot="1" customHeight="1">
      <c r="A12577" s="24" t="s">
        <v>39761</v>
      </c>
      <c r="B12577" s="24" t="s">
        <v>39762</v>
      </c>
      <c r="C12577" s="24" t="s">
        <v>39763</v>
      </c>
      <c r="D12577" s="25" t="s">
        <v>39764</v>
      </c>
      <c r="E12577" s="28">
        <v>0.01100</v>
      </c>
      <c r="F12577" s="29">
        <f ca="1">ROUND(2.520,3)</f>
        <v>0</v>
      </c>
      <c r="G12577" s="27">
        <f ca="1">ROUND(E12577*F12577,2)</f>
        <v>0</v>
      </c>
    </row>
    <row r="12578" spans="1:7" ht="24.36" thickBot="1" customHeight="1">
      <c r="A12578" s="24" t="s">
        <v>39765</v>
      </c>
      <c r="B12578" s="24" t="s">
        <v>39766</v>
      </c>
      <c r="C12578" s="24" t="s">
        <v>39767</v>
      </c>
      <c r="D12578" s="25" t="s">
        <v>39768</v>
      </c>
      <c r="E12578" s="28">
        <v>0.01100</v>
      </c>
      <c r="F12578" s="29">
        <f ca="1">ROUND(4.730,3)</f>
        <v>0</v>
      </c>
      <c r="G12578" s="27">
        <f ca="1">ROUND(E12578*F12578,2)</f>
        <v>0</v>
      </c>
    </row>
    <row r="12579" spans="1:7" ht="24.36" thickBot="1" customHeight="1">
      <c r="A12579" s="24" t="s">
        <v>39769</v>
      </c>
      <c r="B12579" s="24" t="s">
        <v>39770</v>
      </c>
      <c r="C12579" s="24" t="s">
        <v>39771</v>
      </c>
      <c r="D12579" s="25" t="s">
        <v>39772</v>
      </c>
      <c r="E12579" s="28">
        <v>0.01500</v>
      </c>
      <c r="F12579" s="29">
        <f ca="1">ROUND(0.650,3)</f>
        <v>0</v>
      </c>
      <c r="G12579" s="27">
        <f ca="1">ROUND(E12579*F12579,2)</f>
        <v>0</v>
      </c>
    </row>
    <row r="12580" spans="1:7" ht="24.36" thickBot="1" customHeight="1">
      <c r="A12580" s="24" t="s">
        <v>39773</v>
      </c>
      <c r="B12580" s="24" t="s">
        <v>39774</v>
      </c>
      <c r="C12580" s="24" t="s">
        <v>39775</v>
      </c>
      <c r="D12580" s="25" t="s">
        <v>39776</v>
      </c>
      <c r="E12580" s="28">
        <v>0.01100</v>
      </c>
      <c r="F12580" s="29">
        <f ca="1">ROUND(4.060,3)</f>
        <v>0</v>
      </c>
      <c r="G12580" s="27">
        <f ca="1">ROUND(E12580*F12580,2)</f>
        <v>0</v>
      </c>
    </row>
    <row r="12581" spans="1:7" ht="24.36" thickBot="1" customHeight="1">
      <c r="A12581" s="24" t="s">
        <v>39777</v>
      </c>
      <c r="B12581" s="24" t="s">
        <v>39778</v>
      </c>
      <c r="C12581" s="24" t="s">
        <v>39779</v>
      </c>
      <c r="D12581" s="25" t="s">
        <v>39780</v>
      </c>
      <c r="E12581" s="28">
        <v>0.19500</v>
      </c>
      <c r="F12581" s="29">
        <f ca="1">ROUND(49.500,3)</f>
        <v>0</v>
      </c>
      <c r="G12581" s="27">
        <f ca="1">ROUND(E12581*F12581,2)</f>
        <v>0</v>
      </c>
    </row>
    <row r="12582" spans="1:7" ht="15.48" thickBot="1" customHeight="1">
      <c r="A12582" s="30"/>
      <c r="B12582" s="30"/>
      <c r="C12582" s="30"/>
      <c r="D12582" s="31" t="s">
        <v>39781</v>
      </c>
      <c r="E12582" s="30"/>
      <c r="F12582" s="33">
        <f ca="1">ROUND((G12575+G12576+G12577+G12578+G12579+G12580+G12581)*(1+G2/100),2)</f>
        <v>0</v>
      </c>
      <c r="G12582" s="30"/>
    </row>
    <row r="12583" spans="1:7" ht="30.60" thickBot="1" customHeight="1">
      <c r="A12583" s="34" t="s">
        <v>39782</v>
      </c>
      <c r="B12583" s="35" t="s">
        <v>39783</v>
      </c>
      <c r="C12583" s="35" t="s">
        <v>39784</v>
      </c>
      <c r="D12583" s="36" t="s">
        <v>39785</v>
      </c>
      <c r="E12583" s="37"/>
      <c r="F12583" s="38">
        <f ca="1">F12594</f>
        <v>0</v>
      </c>
      <c r="G12583" s="37"/>
    </row>
    <row r="12584" spans="1:7" ht="21.36" thickBot="1" customHeight="1">
      <c r="A12584" s="26"/>
      <c r="B12584" s="26"/>
      <c r="C12584" s="26"/>
      <c r="D12584" s="25" t="s">
        <v>39786</v>
      </c>
      <c r="E12584" s="25"/>
      <c r="F12584" s="25"/>
      <c r="G12584" s="25"/>
    </row>
    <row r="12585" spans="1:7" ht="39.84" thickBot="1" customHeight="1">
      <c r="A12585" s="24" t="s">
        <v>39787</v>
      </c>
      <c r="B12585" s="24" t="s">
        <v>39788</v>
      </c>
      <c r="C12585" s="24" t="s">
        <v>39789</v>
      </c>
      <c r="D12585" s="25" t="s">
        <v>39790</v>
      </c>
      <c r="E12585" s="28">
        <v>0.00700</v>
      </c>
      <c r="F12585" s="29">
        <f ca="1">ROUND(88.930,3)</f>
        <v>0</v>
      </c>
      <c r="G12585" s="27">
        <f ca="1">ROUND(E12585*F12585,2)</f>
        <v>0</v>
      </c>
    </row>
    <row r="12586" spans="1:7" ht="30.60" thickBot="1" customHeight="1">
      <c r="A12586" s="24" t="s">
        <v>39791</v>
      </c>
      <c r="B12586" s="24" t="s">
        <v>39792</v>
      </c>
      <c r="C12586" s="24" t="s">
        <v>39793</v>
      </c>
      <c r="D12586" s="25" t="s">
        <v>39794</v>
      </c>
      <c r="E12586" s="28">
        <v>0.02000</v>
      </c>
      <c r="F12586" s="29">
        <f ca="1">ROUND(42.660,3)</f>
        <v>0</v>
      </c>
      <c r="G12586" s="27">
        <f ca="1">ROUND(E12586*F12586,2)</f>
        <v>0</v>
      </c>
    </row>
    <row r="12587" spans="1:7" ht="21.36" thickBot="1" customHeight="1">
      <c r="A12587" s="24" t="s">
        <v>39795</v>
      </c>
      <c r="B12587" s="24" t="s">
        <v>39796</v>
      </c>
      <c r="C12587" s="24" t="s">
        <v>39797</v>
      </c>
      <c r="D12587" s="25" t="s">
        <v>39798</v>
      </c>
      <c r="E12587" s="28">
        <v>0.01500</v>
      </c>
      <c r="F12587" s="29">
        <f ca="1">ROUND(1.320,3)</f>
        <v>0</v>
      </c>
      <c r="G12587" s="27">
        <f ca="1">ROUND(E12587*F12587,2)</f>
        <v>0</v>
      </c>
    </row>
    <row r="12588" spans="1:7" ht="21.36" thickBot="1" customHeight="1">
      <c r="A12588" s="24" t="s">
        <v>39799</v>
      </c>
      <c r="B12588" s="24" t="s">
        <v>39800</v>
      </c>
      <c r="C12588" s="24" t="s">
        <v>39801</v>
      </c>
      <c r="D12588" s="25" t="s">
        <v>39802</v>
      </c>
      <c r="E12588" s="28">
        <v>0.27000</v>
      </c>
      <c r="F12588" s="29">
        <f ca="1">F12592</f>
        <v>0</v>
      </c>
      <c r="G12588" s="27">
        <f ca="1">ROUND(E12588*F12588,2)</f>
        <v>0</v>
      </c>
    </row>
    <row r="12589" spans="1:7" ht="24.36" thickBot="1" customHeight="1">
      <c r="A12589" s="24" t="s">
        <v>39803</v>
      </c>
      <c r="B12589" s="24" t="s">
        <v>39804</v>
      </c>
      <c r="C12589" s="24" t="s">
        <v>39805</v>
      </c>
      <c r="D12589" s="25" t="s">
        <v>39806</v>
      </c>
      <c r="E12589" s="28">
        <v>1.00000</v>
      </c>
      <c r="F12589" s="29">
        <f ca="1">ROUND(21.000,3)</f>
        <v>0</v>
      </c>
      <c r="G12589" s="27">
        <f ca="1">ROUND(E12589*F12589,2)</f>
        <v>0</v>
      </c>
    </row>
    <row r="12590" spans="1:7" ht="24.36" thickBot="1" customHeight="1">
      <c r="A12590" s="24" t="s">
        <v>39807</v>
      </c>
      <c r="B12590" s="24" t="s">
        <v>39808</v>
      </c>
      <c r="C12590" s="24" t="s">
        <v>39809</v>
      </c>
      <c r="D12590" s="25" t="s">
        <v>39810</v>
      </c>
      <c r="E12590" s="28">
        <v>1.00000</v>
      </c>
      <c r="F12590" s="29">
        <f ca="1">ROUND(19.000,3)</f>
        <v>0</v>
      </c>
      <c r="G12590" s="27">
        <f ca="1">ROUND(E12590*F12590,2)</f>
        <v>0</v>
      </c>
    </row>
    <row r="12591" spans="1:7" ht="24.36" thickBot="1" customHeight="1">
      <c r="A12591" s="24" t="s">
        <v>39811</v>
      </c>
      <c r="B12591" s="24" t="s">
        <v>39812</v>
      </c>
      <c r="C12591" s="24" t="s">
        <v>39813</v>
      </c>
      <c r="D12591" s="25" t="s">
        <v>39814</v>
      </c>
      <c r="E12591" s="28">
        <v>0.20000</v>
      </c>
      <c r="F12591" s="29">
        <f ca="1">ROUND(19.000,3)</f>
        <v>0</v>
      </c>
      <c r="G12591" s="27">
        <f ca="1">ROUND(E12591*F12591,2)</f>
        <v>0</v>
      </c>
    </row>
    <row r="12592" spans="1:7" ht="15.12" thickBot="1" customHeight="1">
      <c r="A12592" s="26"/>
      <c r="B12592" s="26"/>
      <c r="C12592" s="26"/>
      <c r="D12592" s="24" t="s">
        <v>39815</v>
      </c>
      <c r="E12592" s="28">
        <v>0.27000</v>
      </c>
      <c r="F12592" s="29">
        <f ca="1">ROUND((G12589+G12590+G12591),3)</f>
        <v>0</v>
      </c>
      <c r="G12592" s="27">
        <f ca="1">ROUND(E12592*F12592,2)</f>
        <v>0</v>
      </c>
    </row>
    <row r="12593" spans="1:7" ht="15.12" thickBot="1" customHeight="1">
      <c r="A12593" s="24" t="s">
        <v>39816</v>
      </c>
      <c r="B12593" s="24"/>
      <c r="C12593" s="24" t="s">
        <v>39817</v>
      </c>
      <c r="D12593" s="25" t="s">
        <v>39818</v>
      </c>
      <c r="E12593" s="28">
        <v>3.00000</v>
      </c>
      <c r="F12593" s="29">
        <f ca="1">ROUND(11.830,3)</f>
        <v>0</v>
      </c>
      <c r="G12593" s="27">
        <f ca="1">ROUND((E12593*F12593)/100,2)</f>
        <v>0</v>
      </c>
    </row>
    <row r="12594" spans="1:7" ht="15.48" thickBot="1" customHeight="1">
      <c r="A12594" s="30"/>
      <c r="B12594" s="30"/>
      <c r="C12594" s="30"/>
      <c r="D12594" s="31" t="s">
        <v>39819</v>
      </c>
      <c r="E12594" s="30"/>
      <c r="F12594" s="33">
        <f ca="1">ROUND((G12585+G12586+G12587+G12588+G12593)*(1+G2/100),2)</f>
        <v>0</v>
      </c>
      <c r="G12594" s="30"/>
    </row>
    <row r="12595" spans="1:7" ht="49.08" thickBot="1" customHeight="1">
      <c r="A12595" s="34" t="s">
        <v>39820</v>
      </c>
      <c r="B12595" s="35" t="s">
        <v>39821</v>
      </c>
      <c r="C12595" s="35" t="s">
        <v>39822</v>
      </c>
      <c r="D12595" s="36" t="s">
        <v>39823</v>
      </c>
      <c r="E12595" s="37"/>
      <c r="F12595" s="38">
        <f ca="1">F12607</f>
        <v>0</v>
      </c>
      <c r="G12595" s="37"/>
    </row>
    <row r="12596" spans="1:7" ht="21.36" thickBot="1" customHeight="1">
      <c r="A12596" s="26"/>
      <c r="B12596" s="26"/>
      <c r="C12596" s="26"/>
      <c r="D12596" s="25" t="s">
        <v>39824</v>
      </c>
      <c r="E12596" s="25"/>
      <c r="F12596" s="25"/>
      <c r="G12596" s="25"/>
    </row>
    <row r="12597" spans="1:7" ht="39.84" thickBot="1" customHeight="1">
      <c r="A12597" s="24" t="s">
        <v>39825</v>
      </c>
      <c r="B12597" s="24" t="s">
        <v>39826</v>
      </c>
      <c r="C12597" s="24" t="s">
        <v>39827</v>
      </c>
      <c r="D12597" s="25" t="s">
        <v>39828</v>
      </c>
      <c r="E12597" s="28">
        <v>0.00700</v>
      </c>
      <c r="F12597" s="29">
        <f ca="1">ROUND(88.930,3)</f>
        <v>0</v>
      </c>
      <c r="G12597" s="27">
        <f ca="1">ROUND(E12597*F12597,2)</f>
        <v>0</v>
      </c>
    </row>
    <row r="12598" spans="1:7" ht="30.60" thickBot="1" customHeight="1">
      <c r="A12598" s="24" t="s">
        <v>39829</v>
      </c>
      <c r="B12598" s="24" t="s">
        <v>39830</v>
      </c>
      <c r="C12598" s="24" t="s">
        <v>39831</v>
      </c>
      <c r="D12598" s="25" t="s">
        <v>39832</v>
      </c>
      <c r="E12598" s="28">
        <v>0.02000</v>
      </c>
      <c r="F12598" s="29">
        <f ca="1">ROUND(42.660,3)</f>
        <v>0</v>
      </c>
      <c r="G12598" s="27">
        <f ca="1">ROUND(E12598*F12598,2)</f>
        <v>0</v>
      </c>
    </row>
    <row r="12599" spans="1:7" ht="21.36" thickBot="1" customHeight="1">
      <c r="A12599" s="24" t="s">
        <v>39833</v>
      </c>
      <c r="B12599" s="24" t="s">
        <v>39834</v>
      </c>
      <c r="C12599" s="24" t="s">
        <v>39835</v>
      </c>
      <c r="D12599" s="25" t="s">
        <v>39836</v>
      </c>
      <c r="E12599" s="28">
        <v>0.01500</v>
      </c>
      <c r="F12599" s="29">
        <f ca="1">ROUND(1.320,3)</f>
        <v>0</v>
      </c>
      <c r="G12599" s="27">
        <f ca="1">ROUND(E12599*F12599,2)</f>
        <v>0</v>
      </c>
    </row>
    <row r="12600" spans="1:7" ht="21.36" thickBot="1" customHeight="1">
      <c r="A12600" s="24" t="s">
        <v>39837</v>
      </c>
      <c r="B12600" s="24" t="s">
        <v>39838</v>
      </c>
      <c r="C12600" s="24" t="s">
        <v>39839</v>
      </c>
      <c r="D12600" s="25" t="s">
        <v>39840</v>
      </c>
      <c r="E12600" s="28">
        <v>0.48600</v>
      </c>
      <c r="F12600" s="29">
        <f ca="1">F12604</f>
        <v>0</v>
      </c>
      <c r="G12600" s="27">
        <f ca="1">ROUND(E12600*F12600,2)</f>
        <v>0</v>
      </c>
    </row>
    <row r="12601" spans="1:7" ht="24.36" thickBot="1" customHeight="1">
      <c r="A12601" s="24" t="s">
        <v>39841</v>
      </c>
      <c r="B12601" s="24" t="s">
        <v>39842</v>
      </c>
      <c r="C12601" s="24" t="s">
        <v>39843</v>
      </c>
      <c r="D12601" s="25" t="s">
        <v>39844</v>
      </c>
      <c r="E12601" s="28">
        <v>1.00000</v>
      </c>
      <c r="F12601" s="29">
        <f ca="1">ROUND(21.000,3)</f>
        <v>0</v>
      </c>
      <c r="G12601" s="27">
        <f ca="1">ROUND(E12601*F12601,2)</f>
        <v>0</v>
      </c>
    </row>
    <row r="12602" spans="1:7" ht="24.36" thickBot="1" customHeight="1">
      <c r="A12602" s="24" t="s">
        <v>39845</v>
      </c>
      <c r="B12602" s="24" t="s">
        <v>39846</v>
      </c>
      <c r="C12602" s="24" t="s">
        <v>39847</v>
      </c>
      <c r="D12602" s="25" t="s">
        <v>39848</v>
      </c>
      <c r="E12602" s="28">
        <v>1.00000</v>
      </c>
      <c r="F12602" s="29">
        <f ca="1">ROUND(19.000,3)</f>
        <v>0</v>
      </c>
      <c r="G12602" s="27">
        <f ca="1">ROUND(E12602*F12602,2)</f>
        <v>0</v>
      </c>
    </row>
    <row r="12603" spans="1:7" ht="24.36" thickBot="1" customHeight="1">
      <c r="A12603" s="24" t="s">
        <v>39849</v>
      </c>
      <c r="B12603" s="24" t="s">
        <v>39850</v>
      </c>
      <c r="C12603" s="24" t="s">
        <v>39851</v>
      </c>
      <c r="D12603" s="25" t="s">
        <v>39852</v>
      </c>
      <c r="E12603" s="28">
        <v>0.20000</v>
      </c>
      <c r="F12603" s="29">
        <f ca="1">ROUND(19.000,3)</f>
        <v>0</v>
      </c>
      <c r="G12603" s="27">
        <f ca="1">ROUND(E12603*F12603,2)</f>
        <v>0</v>
      </c>
    </row>
    <row r="12604" spans="1:7" ht="15.12" thickBot="1" customHeight="1">
      <c r="A12604" s="26"/>
      <c r="B12604" s="26"/>
      <c r="C12604" s="26"/>
      <c r="D12604" s="24" t="s">
        <v>39853</v>
      </c>
      <c r="E12604" s="28">
        <v>0.48600</v>
      </c>
      <c r="F12604" s="29">
        <f ca="1">ROUND((G12601+G12602+G12603),3)</f>
        <v>0</v>
      </c>
      <c r="G12604" s="27">
        <f ca="1">ROUND(E12604*F12604,2)</f>
        <v>0</v>
      </c>
    </row>
    <row r="12605" spans="1:7" ht="15.12" thickBot="1" customHeight="1">
      <c r="A12605" s="24" t="s">
        <v>39854</v>
      </c>
      <c r="B12605" s="24"/>
      <c r="C12605" s="24" t="s">
        <v>39855</v>
      </c>
      <c r="D12605" s="25" t="s">
        <v>39856</v>
      </c>
      <c r="E12605" s="28">
        <v>5.00000</v>
      </c>
      <c r="F12605" s="29">
        <f ca="1">ROUND(21.290,3)</f>
        <v>0</v>
      </c>
      <c r="G12605" s="27">
        <f ca="1">ROUND((E12605*F12605)/100,2)</f>
        <v>0</v>
      </c>
    </row>
    <row r="12606" spans="1:7" ht="15.12" thickBot="1" customHeight="1">
      <c r="A12606" s="24" t="s">
        <v>39857</v>
      </c>
      <c r="B12606" s="24"/>
      <c r="C12606" s="24" t="s">
        <v>39858</v>
      </c>
      <c r="D12606" s="25" t="s">
        <v>39859</v>
      </c>
      <c r="E12606" s="28">
        <v>5.00000</v>
      </c>
      <c r="F12606" s="29">
        <f ca="1">ROUND(1.490,3)</f>
        <v>0</v>
      </c>
      <c r="G12606" s="27">
        <f ca="1">ROUND((E12606*F12606)/100,2)</f>
        <v>0</v>
      </c>
    </row>
    <row r="12607" spans="1:7" ht="15.48" thickBot="1" customHeight="1">
      <c r="A12607" s="30"/>
      <c r="B12607" s="30"/>
      <c r="C12607" s="30"/>
      <c r="D12607" s="31" t="s">
        <v>39860</v>
      </c>
      <c r="E12607" s="30"/>
      <c r="F12607" s="33">
        <f ca="1">ROUND((G12597+G12598+G12599+G12600+G12605+G12606)*(1+G2/100),2)</f>
        <v>0</v>
      </c>
      <c r="G12607" s="30"/>
    </row>
    <row r="12608" spans="1:7" ht="49.08" thickBot="1" customHeight="1">
      <c r="A12608" s="34" t="s">
        <v>39861</v>
      </c>
      <c r="B12608" s="35" t="s">
        <v>39862</v>
      </c>
      <c r="C12608" s="35" t="s">
        <v>39863</v>
      </c>
      <c r="D12608" s="36" t="s">
        <v>39864</v>
      </c>
      <c r="E12608" s="37"/>
      <c r="F12608" s="38">
        <f ca="1">F12620</f>
        <v>0</v>
      </c>
      <c r="G12608" s="37"/>
    </row>
    <row r="12609" spans="1:7" ht="21.36" thickBot="1" customHeight="1">
      <c r="A12609" s="26"/>
      <c r="B12609" s="26"/>
      <c r="C12609" s="26"/>
      <c r="D12609" s="25" t="s">
        <v>39865</v>
      </c>
      <c r="E12609" s="25"/>
      <c r="F12609" s="25"/>
      <c r="G12609" s="25"/>
    </row>
    <row r="12610" spans="1:7" ht="39.84" thickBot="1" customHeight="1">
      <c r="A12610" s="24" t="s">
        <v>39866</v>
      </c>
      <c r="B12610" s="24" t="s">
        <v>39867</v>
      </c>
      <c r="C12610" s="24" t="s">
        <v>39868</v>
      </c>
      <c r="D12610" s="25" t="s">
        <v>39869</v>
      </c>
      <c r="E12610" s="28">
        <v>0.00700</v>
      </c>
      <c r="F12610" s="29">
        <f ca="1">ROUND(88.930,3)</f>
        <v>0</v>
      </c>
      <c r="G12610" s="27">
        <f ca="1">ROUND(E12610*F12610,2)</f>
        <v>0</v>
      </c>
    </row>
    <row r="12611" spans="1:7" ht="30.60" thickBot="1" customHeight="1">
      <c r="A12611" s="24" t="s">
        <v>39870</v>
      </c>
      <c r="B12611" s="24" t="s">
        <v>39871</v>
      </c>
      <c r="C12611" s="24" t="s">
        <v>39872</v>
      </c>
      <c r="D12611" s="25" t="s">
        <v>39873</v>
      </c>
      <c r="E12611" s="28">
        <v>0.02000</v>
      </c>
      <c r="F12611" s="29">
        <f ca="1">ROUND(42.660,3)</f>
        <v>0</v>
      </c>
      <c r="G12611" s="27">
        <f ca="1">ROUND(E12611*F12611,2)</f>
        <v>0</v>
      </c>
    </row>
    <row r="12612" spans="1:7" ht="21.36" thickBot="1" customHeight="1">
      <c r="A12612" s="24" t="s">
        <v>39874</v>
      </c>
      <c r="B12612" s="24" t="s">
        <v>39875</v>
      </c>
      <c r="C12612" s="24" t="s">
        <v>39876</v>
      </c>
      <c r="D12612" s="25" t="s">
        <v>39877</v>
      </c>
      <c r="E12612" s="28">
        <v>0.01500</v>
      </c>
      <c r="F12612" s="29">
        <f ca="1">ROUND(1.320,3)</f>
        <v>0</v>
      </c>
      <c r="G12612" s="27">
        <f ca="1">ROUND(E12612*F12612,2)</f>
        <v>0</v>
      </c>
    </row>
    <row r="12613" spans="1:7" ht="21.36" thickBot="1" customHeight="1">
      <c r="A12613" s="24" t="s">
        <v>39878</v>
      </c>
      <c r="B12613" s="24" t="s">
        <v>39879</v>
      </c>
      <c r="C12613" s="24" t="s">
        <v>39880</v>
      </c>
      <c r="D12613" s="25" t="s">
        <v>39881</v>
      </c>
      <c r="E12613" s="28">
        <v>0.26667</v>
      </c>
      <c r="F12613" s="29">
        <f ca="1">F12617</f>
        <v>0</v>
      </c>
      <c r="G12613" s="27">
        <f ca="1">ROUND(E12613*F12613,2)</f>
        <v>0</v>
      </c>
    </row>
    <row r="12614" spans="1:7" ht="24.36" thickBot="1" customHeight="1">
      <c r="A12614" s="24" t="s">
        <v>39882</v>
      </c>
      <c r="B12614" s="24" t="s">
        <v>39883</v>
      </c>
      <c r="C12614" s="24" t="s">
        <v>39884</v>
      </c>
      <c r="D12614" s="25" t="s">
        <v>39885</v>
      </c>
      <c r="E12614" s="28">
        <v>1.00000</v>
      </c>
      <c r="F12614" s="29">
        <f ca="1">ROUND(21.000,3)</f>
        <v>0</v>
      </c>
      <c r="G12614" s="27">
        <f ca="1">ROUND(E12614*F12614,2)</f>
        <v>0</v>
      </c>
    </row>
    <row r="12615" spans="1:7" ht="24.36" thickBot="1" customHeight="1">
      <c r="A12615" s="24" t="s">
        <v>39886</v>
      </c>
      <c r="B12615" s="24" t="s">
        <v>39887</v>
      </c>
      <c r="C12615" s="24" t="s">
        <v>39888</v>
      </c>
      <c r="D12615" s="25" t="s">
        <v>39889</v>
      </c>
      <c r="E12615" s="28">
        <v>1.00000</v>
      </c>
      <c r="F12615" s="29">
        <f ca="1">ROUND(19.000,3)</f>
        <v>0</v>
      </c>
      <c r="G12615" s="27">
        <f ca="1">ROUND(E12615*F12615,2)</f>
        <v>0</v>
      </c>
    </row>
    <row r="12616" spans="1:7" ht="24.36" thickBot="1" customHeight="1">
      <c r="A12616" s="24" t="s">
        <v>39890</v>
      </c>
      <c r="B12616" s="24" t="s">
        <v>39891</v>
      </c>
      <c r="C12616" s="24" t="s">
        <v>39892</v>
      </c>
      <c r="D12616" s="25" t="s">
        <v>39893</v>
      </c>
      <c r="E12616" s="28">
        <v>0.20000</v>
      </c>
      <c r="F12616" s="29">
        <f ca="1">ROUND(19.000,3)</f>
        <v>0</v>
      </c>
      <c r="G12616" s="27">
        <f ca="1">ROUND(E12616*F12616,2)</f>
        <v>0</v>
      </c>
    </row>
    <row r="12617" spans="1:7" ht="15.12" thickBot="1" customHeight="1">
      <c r="A12617" s="26"/>
      <c r="B12617" s="26"/>
      <c r="C12617" s="26"/>
      <c r="D12617" s="24" t="s">
        <v>39894</v>
      </c>
      <c r="E12617" s="28">
        <v>0.26667</v>
      </c>
      <c r="F12617" s="29">
        <f ca="1">ROUND((G12614+G12615+G12616),3)</f>
        <v>0</v>
      </c>
      <c r="G12617" s="27">
        <f ca="1">ROUND(E12617*F12617,2)</f>
        <v>0</v>
      </c>
    </row>
    <row r="12618" spans="1:7" ht="15.12" thickBot="1" customHeight="1">
      <c r="A12618" s="24" t="s">
        <v>39895</v>
      </c>
      <c r="B12618" s="24"/>
      <c r="C12618" s="24" t="s">
        <v>39896</v>
      </c>
      <c r="D12618" s="25" t="s">
        <v>39897</v>
      </c>
      <c r="E12618" s="28">
        <v>5.00000</v>
      </c>
      <c r="F12618" s="29">
        <f ca="1">ROUND(11.680,3)</f>
        <v>0</v>
      </c>
      <c r="G12618" s="27">
        <f ca="1">ROUND((E12618*F12618)/100,2)</f>
        <v>0</v>
      </c>
    </row>
    <row r="12619" spans="1:7" ht="15.12" thickBot="1" customHeight="1">
      <c r="A12619" s="24" t="s">
        <v>39898</v>
      </c>
      <c r="B12619" s="24"/>
      <c r="C12619" s="24" t="s">
        <v>39899</v>
      </c>
      <c r="D12619" s="25" t="s">
        <v>39900</v>
      </c>
      <c r="E12619" s="28">
        <v>5.00000</v>
      </c>
      <c r="F12619" s="29">
        <f ca="1">ROUND(1.490,3)</f>
        <v>0</v>
      </c>
      <c r="G12619" s="27">
        <f ca="1">ROUND((E12619*F12619)/100,2)</f>
        <v>0</v>
      </c>
    </row>
    <row r="12620" spans="1:7" ht="15.48" thickBot="1" customHeight="1">
      <c r="A12620" s="30"/>
      <c r="B12620" s="30"/>
      <c r="C12620" s="30"/>
      <c r="D12620" s="31" t="s">
        <v>39901</v>
      </c>
      <c r="E12620" s="30"/>
      <c r="F12620" s="33">
        <f ca="1">ROUND((G12610+G12611+G12612+G12613+G12618+G12619)*(1+G2/100),2)</f>
        <v>0</v>
      </c>
      <c r="G12620" s="30"/>
    </row>
    <row r="12621" spans="1:7" ht="49.08" thickBot="1" customHeight="1">
      <c r="A12621" s="34" t="s">
        <v>39902</v>
      </c>
      <c r="B12621" s="35" t="s">
        <v>39903</v>
      </c>
      <c r="C12621" s="35" t="s">
        <v>39904</v>
      </c>
      <c r="D12621" s="36" t="s">
        <v>39905</v>
      </c>
      <c r="E12621" s="37"/>
      <c r="F12621" s="38">
        <f ca="1">F12632</f>
        <v>0</v>
      </c>
      <c r="G12621" s="37"/>
    </row>
    <row r="12622" spans="1:7" ht="21.36" thickBot="1" customHeight="1">
      <c r="A12622" s="26"/>
      <c r="B12622" s="26"/>
      <c r="C12622" s="26"/>
      <c r="D12622" s="25" t="s">
        <v>39906</v>
      </c>
      <c r="E12622" s="25"/>
      <c r="F12622" s="25"/>
      <c r="G12622" s="25"/>
    </row>
    <row r="12623" spans="1:7" ht="39.84" thickBot="1" customHeight="1">
      <c r="A12623" s="24" t="s">
        <v>39907</v>
      </c>
      <c r="B12623" s="24" t="s">
        <v>39908</v>
      </c>
      <c r="C12623" s="24" t="s">
        <v>39909</v>
      </c>
      <c r="D12623" s="25" t="s">
        <v>39910</v>
      </c>
      <c r="E12623" s="28">
        <v>0.00700</v>
      </c>
      <c r="F12623" s="29">
        <f ca="1">ROUND(88.930,3)</f>
        <v>0</v>
      </c>
      <c r="G12623" s="27">
        <f ca="1">ROUND(E12623*F12623,2)</f>
        <v>0</v>
      </c>
    </row>
    <row r="12624" spans="1:7" ht="30.60" thickBot="1" customHeight="1">
      <c r="A12624" s="24" t="s">
        <v>39911</v>
      </c>
      <c r="B12624" s="24" t="s">
        <v>39912</v>
      </c>
      <c r="C12624" s="24" t="s">
        <v>39913</v>
      </c>
      <c r="D12624" s="25" t="s">
        <v>39914</v>
      </c>
      <c r="E12624" s="28">
        <v>0.02000</v>
      </c>
      <c r="F12624" s="29">
        <f ca="1">ROUND(42.660,3)</f>
        <v>0</v>
      </c>
      <c r="G12624" s="27">
        <f ca="1">ROUND(E12624*F12624,2)</f>
        <v>0</v>
      </c>
    </row>
    <row r="12625" spans="1:7" ht="21.36" thickBot="1" customHeight="1">
      <c r="A12625" s="24" t="s">
        <v>39915</v>
      </c>
      <c r="B12625" s="24" t="s">
        <v>39916</v>
      </c>
      <c r="C12625" s="24" t="s">
        <v>39917</v>
      </c>
      <c r="D12625" s="25" t="s">
        <v>39918</v>
      </c>
      <c r="E12625" s="28">
        <v>0.01500</v>
      </c>
      <c r="F12625" s="29">
        <f ca="1">ROUND(1.320,3)</f>
        <v>0</v>
      </c>
      <c r="G12625" s="27">
        <f ca="1">ROUND(E12625*F12625,2)</f>
        <v>0</v>
      </c>
    </row>
    <row r="12626" spans="1:7" ht="21.36" thickBot="1" customHeight="1">
      <c r="A12626" s="24" t="s">
        <v>39919</v>
      </c>
      <c r="B12626" s="24" t="s">
        <v>39920</v>
      </c>
      <c r="C12626" s="24" t="s">
        <v>39921</v>
      </c>
      <c r="D12626" s="25" t="s">
        <v>39922</v>
      </c>
      <c r="E12626" s="28">
        <v>0.36000</v>
      </c>
      <c r="F12626" s="29">
        <f ca="1">F12630</f>
        <v>0</v>
      </c>
      <c r="G12626" s="27">
        <f ca="1">ROUND(E12626*F12626,2)</f>
        <v>0</v>
      </c>
    </row>
    <row r="12627" spans="1:7" ht="24.36" thickBot="1" customHeight="1">
      <c r="A12627" s="24" t="s">
        <v>39923</v>
      </c>
      <c r="B12627" s="24" t="s">
        <v>39924</v>
      </c>
      <c r="C12627" s="24" t="s">
        <v>39925</v>
      </c>
      <c r="D12627" s="25" t="s">
        <v>39926</v>
      </c>
      <c r="E12627" s="28">
        <v>1.00000</v>
      </c>
      <c r="F12627" s="29">
        <f ca="1">ROUND(21.000,3)</f>
        <v>0</v>
      </c>
      <c r="G12627" s="27">
        <f ca="1">ROUND(E12627*F12627,2)</f>
        <v>0</v>
      </c>
    </row>
    <row r="12628" spans="1:7" ht="24.36" thickBot="1" customHeight="1">
      <c r="A12628" s="24" t="s">
        <v>39927</v>
      </c>
      <c r="B12628" s="24" t="s">
        <v>39928</v>
      </c>
      <c r="C12628" s="24" t="s">
        <v>39929</v>
      </c>
      <c r="D12628" s="25" t="s">
        <v>39930</v>
      </c>
      <c r="E12628" s="28">
        <v>1.00000</v>
      </c>
      <c r="F12628" s="29">
        <f ca="1">ROUND(19.000,3)</f>
        <v>0</v>
      </c>
      <c r="G12628" s="27">
        <f ca="1">ROUND(E12628*F12628,2)</f>
        <v>0</v>
      </c>
    </row>
    <row r="12629" spans="1:7" ht="24.36" thickBot="1" customHeight="1">
      <c r="A12629" s="24" t="s">
        <v>39931</v>
      </c>
      <c r="B12629" s="24" t="s">
        <v>39932</v>
      </c>
      <c r="C12629" s="24" t="s">
        <v>39933</v>
      </c>
      <c r="D12629" s="25" t="s">
        <v>39934</v>
      </c>
      <c r="E12629" s="28">
        <v>0.20000</v>
      </c>
      <c r="F12629" s="29">
        <f ca="1">ROUND(19.000,3)</f>
        <v>0</v>
      </c>
      <c r="G12629" s="27">
        <f ca="1">ROUND(E12629*F12629,2)</f>
        <v>0</v>
      </c>
    </row>
    <row r="12630" spans="1:7" ht="15.12" thickBot="1" customHeight="1">
      <c r="A12630" s="26"/>
      <c r="B12630" s="26"/>
      <c r="C12630" s="26"/>
      <c r="D12630" s="24" t="s">
        <v>39935</v>
      </c>
      <c r="E12630" s="28">
        <v>0.36000</v>
      </c>
      <c r="F12630" s="29">
        <f ca="1">ROUND((G12627+G12628+G12629),3)</f>
        <v>0</v>
      </c>
      <c r="G12630" s="27">
        <f ca="1">ROUND(E12630*F12630,2)</f>
        <v>0</v>
      </c>
    </row>
    <row r="12631" spans="1:7" ht="15.12" thickBot="1" customHeight="1">
      <c r="A12631" s="24" t="s">
        <v>39936</v>
      </c>
      <c r="B12631" s="24"/>
      <c r="C12631" s="24" t="s">
        <v>39937</v>
      </c>
      <c r="D12631" s="25" t="s">
        <v>39938</v>
      </c>
      <c r="E12631" s="28">
        <v>3.00000</v>
      </c>
      <c r="F12631" s="29">
        <f ca="1">ROUND(15.770,3)</f>
        <v>0</v>
      </c>
      <c r="G12631" s="27">
        <f ca="1">ROUND((E12631*F12631)/100,2)</f>
        <v>0</v>
      </c>
    </row>
    <row r="12632" spans="1:7" ht="15.48" thickBot="1" customHeight="1">
      <c r="A12632" s="30"/>
      <c r="B12632" s="30"/>
      <c r="C12632" s="30"/>
      <c r="D12632" s="31" t="s">
        <v>39939</v>
      </c>
      <c r="E12632" s="30"/>
      <c r="F12632" s="33">
        <f ca="1">ROUND((G12623+G12624+G12625+G12626+G12631)*(1+G2/100),2)</f>
        <v>0</v>
      </c>
      <c r="G12632" s="30"/>
    </row>
    <row r="12633" spans="1:7" ht="49.08" thickBot="1" customHeight="1">
      <c r="A12633" s="34" t="s">
        <v>39940</v>
      </c>
      <c r="B12633" s="35" t="s">
        <v>39941</v>
      </c>
      <c r="C12633" s="35" t="s">
        <v>39942</v>
      </c>
      <c r="D12633" s="36" t="s">
        <v>39943</v>
      </c>
      <c r="E12633" s="37"/>
      <c r="F12633" s="38">
        <f ca="1">F12643</f>
        <v>0</v>
      </c>
      <c r="G12633" s="37"/>
    </row>
    <row r="12634" spans="1:7" ht="21.36" thickBot="1" customHeight="1">
      <c r="A12634" s="26"/>
      <c r="B12634" s="26"/>
      <c r="C12634" s="26"/>
      <c r="D12634" s="25" t="s">
        <v>39944</v>
      </c>
      <c r="E12634" s="25"/>
      <c r="F12634" s="25"/>
      <c r="G12634" s="25"/>
    </row>
    <row r="12635" spans="1:7" ht="39.84" thickBot="1" customHeight="1">
      <c r="A12635" s="24" t="s">
        <v>39945</v>
      </c>
      <c r="B12635" s="24" t="s">
        <v>39946</v>
      </c>
      <c r="C12635" s="24" t="s">
        <v>39947</v>
      </c>
      <c r="D12635" s="25" t="s">
        <v>39948</v>
      </c>
      <c r="E12635" s="28">
        <v>0.01220</v>
      </c>
      <c r="F12635" s="29">
        <f ca="1">ROUND(70.410,3)</f>
        <v>0</v>
      </c>
      <c r="G12635" s="27">
        <f ca="1">ROUND(E12635*F12635,2)</f>
        <v>0</v>
      </c>
    </row>
    <row r="12636" spans="1:7" ht="39.84" thickBot="1" customHeight="1">
      <c r="A12636" s="24" t="s">
        <v>39949</v>
      </c>
      <c r="B12636" s="24" t="s">
        <v>39950</v>
      </c>
      <c r="C12636" s="24" t="s">
        <v>39951</v>
      </c>
      <c r="D12636" s="25" t="s">
        <v>39952</v>
      </c>
      <c r="E12636" s="28">
        <v>0.01667</v>
      </c>
      <c r="F12636" s="29">
        <f ca="1">ROUND(45.710,3)</f>
        <v>0</v>
      </c>
      <c r="G12636" s="27">
        <f ca="1">ROUND(E12636*F12636,2)</f>
        <v>0</v>
      </c>
    </row>
    <row r="12637" spans="1:7" ht="21.36" thickBot="1" customHeight="1">
      <c r="A12637" s="24" t="s">
        <v>39953</v>
      </c>
      <c r="B12637" s="24" t="s">
        <v>39954</v>
      </c>
      <c r="C12637" s="24" t="s">
        <v>39955</v>
      </c>
      <c r="D12637" s="25" t="s">
        <v>39956</v>
      </c>
      <c r="E12637" s="28">
        <v>0.32000</v>
      </c>
      <c r="F12637" s="29">
        <f ca="1">F12641</f>
        <v>0</v>
      </c>
      <c r="G12637" s="27">
        <f ca="1">ROUND(E12637*F12637,2)</f>
        <v>0</v>
      </c>
    </row>
    <row r="12638" spans="1:7" ht="24.36" thickBot="1" customHeight="1">
      <c r="A12638" s="24" t="s">
        <v>39957</v>
      </c>
      <c r="B12638" s="24" t="s">
        <v>39958</v>
      </c>
      <c r="C12638" s="24" t="s">
        <v>39959</v>
      </c>
      <c r="D12638" s="25" t="s">
        <v>39960</v>
      </c>
      <c r="E12638" s="28">
        <v>1.00000</v>
      </c>
      <c r="F12638" s="29">
        <f ca="1">ROUND(21.000,3)</f>
        <v>0</v>
      </c>
      <c r="G12638" s="27">
        <f ca="1">ROUND(E12638*F12638,2)</f>
        <v>0</v>
      </c>
    </row>
    <row r="12639" spans="1:7" ht="24.36" thickBot="1" customHeight="1">
      <c r="A12639" s="24" t="s">
        <v>39961</v>
      </c>
      <c r="B12639" s="24" t="s">
        <v>39962</v>
      </c>
      <c r="C12639" s="24" t="s">
        <v>39963</v>
      </c>
      <c r="D12639" s="25" t="s">
        <v>39964</v>
      </c>
      <c r="E12639" s="28">
        <v>1.00000</v>
      </c>
      <c r="F12639" s="29">
        <f ca="1">ROUND(19.000,3)</f>
        <v>0</v>
      </c>
      <c r="G12639" s="27">
        <f ca="1">ROUND(E12639*F12639,2)</f>
        <v>0</v>
      </c>
    </row>
    <row r="12640" spans="1:7" ht="24.36" thickBot="1" customHeight="1">
      <c r="A12640" s="24" t="s">
        <v>39965</v>
      </c>
      <c r="B12640" s="24" t="s">
        <v>39966</v>
      </c>
      <c r="C12640" s="24" t="s">
        <v>39967</v>
      </c>
      <c r="D12640" s="25" t="s">
        <v>39968</v>
      </c>
      <c r="E12640" s="28">
        <v>0.20000</v>
      </c>
      <c r="F12640" s="29">
        <f ca="1">ROUND(19.000,3)</f>
        <v>0</v>
      </c>
      <c r="G12640" s="27">
        <f ca="1">ROUND(E12640*F12640,2)</f>
        <v>0</v>
      </c>
    </row>
    <row r="12641" spans="1:7" ht="15.12" thickBot="1" customHeight="1">
      <c r="A12641" s="26"/>
      <c r="B12641" s="26"/>
      <c r="C12641" s="26"/>
      <c r="D12641" s="24" t="s">
        <v>39969</v>
      </c>
      <c r="E12641" s="28">
        <v>0.32000</v>
      </c>
      <c r="F12641" s="29">
        <f ca="1">ROUND((G12638+G12639+G12640),3)</f>
        <v>0</v>
      </c>
      <c r="G12641" s="27">
        <f ca="1">ROUND(E12641*F12641,2)</f>
        <v>0</v>
      </c>
    </row>
    <row r="12642" spans="1:7" ht="15.12" thickBot="1" customHeight="1">
      <c r="A12642" s="24" t="s">
        <v>39970</v>
      </c>
      <c r="B12642" s="24"/>
      <c r="C12642" s="24" t="s">
        <v>39971</v>
      </c>
      <c r="D12642" s="25" t="s">
        <v>39972</v>
      </c>
      <c r="E12642" s="28">
        <v>5.00000</v>
      </c>
      <c r="F12642" s="29">
        <f ca="1">ROUND(14.020,3)</f>
        <v>0</v>
      </c>
      <c r="G12642" s="27">
        <f ca="1">ROUND((E12642*F12642)/100,2)</f>
        <v>0</v>
      </c>
    </row>
    <row r="12643" spans="1:7" ht="15.48" thickBot="1" customHeight="1">
      <c r="A12643" s="30"/>
      <c r="B12643" s="30"/>
      <c r="C12643" s="30"/>
      <c r="D12643" s="31" t="s">
        <v>39973</v>
      </c>
      <c r="E12643" s="30"/>
      <c r="F12643" s="33">
        <f ca="1">ROUND((G12635+G12636+G12637+G12642)*(1+G2/100),2)</f>
        <v>0</v>
      </c>
      <c r="G12643" s="30"/>
    </row>
    <row r="12644" spans="1:7" ht="58.32" thickBot="1" customHeight="1">
      <c r="A12644" s="34" t="s">
        <v>39974</v>
      </c>
      <c r="B12644" s="35" t="s">
        <v>39975</v>
      </c>
      <c r="C12644" s="35" t="s">
        <v>39976</v>
      </c>
      <c r="D12644" s="36" t="s">
        <v>39977</v>
      </c>
      <c r="E12644" s="37"/>
      <c r="F12644" s="38">
        <f ca="1">F12654</f>
        <v>0</v>
      </c>
      <c r="G12644" s="37"/>
    </row>
    <row r="12645" spans="1:7" ht="21.36" thickBot="1" customHeight="1">
      <c r="A12645" s="26"/>
      <c r="B12645" s="26"/>
      <c r="C12645" s="26"/>
      <c r="D12645" s="25" t="s">
        <v>39978</v>
      </c>
      <c r="E12645" s="25"/>
      <c r="F12645" s="25"/>
      <c r="G12645" s="25"/>
    </row>
    <row r="12646" spans="1:7" ht="39.84" thickBot="1" customHeight="1">
      <c r="A12646" s="24" t="s">
        <v>39979</v>
      </c>
      <c r="B12646" s="24" t="s">
        <v>39980</v>
      </c>
      <c r="C12646" s="24" t="s">
        <v>39981</v>
      </c>
      <c r="D12646" s="25" t="s">
        <v>39982</v>
      </c>
      <c r="E12646" s="28">
        <v>0.01220</v>
      </c>
      <c r="F12646" s="29">
        <f ca="1">ROUND(70.410,3)</f>
        <v>0</v>
      </c>
      <c r="G12646" s="27">
        <f ca="1">ROUND(E12646*F12646,2)</f>
        <v>0</v>
      </c>
    </row>
    <row r="12647" spans="1:7" ht="39.84" thickBot="1" customHeight="1">
      <c r="A12647" s="24" t="s">
        <v>39983</v>
      </c>
      <c r="B12647" s="24" t="s">
        <v>39984</v>
      </c>
      <c r="C12647" s="24" t="s">
        <v>39985</v>
      </c>
      <c r="D12647" s="25" t="s">
        <v>39986</v>
      </c>
      <c r="E12647" s="28">
        <v>0.01667</v>
      </c>
      <c r="F12647" s="29">
        <f ca="1">ROUND(45.710,3)</f>
        <v>0</v>
      </c>
      <c r="G12647" s="27">
        <f ca="1">ROUND(E12647*F12647,2)</f>
        <v>0</v>
      </c>
    </row>
    <row r="12648" spans="1:7" ht="21.36" thickBot="1" customHeight="1">
      <c r="A12648" s="24" t="s">
        <v>39987</v>
      </c>
      <c r="B12648" s="24" t="s">
        <v>39988</v>
      </c>
      <c r="C12648" s="24" t="s">
        <v>39989</v>
      </c>
      <c r="D12648" s="25" t="s">
        <v>39990</v>
      </c>
      <c r="E12648" s="28">
        <v>0.45000</v>
      </c>
      <c r="F12648" s="29">
        <f ca="1">F12652</f>
        <v>0</v>
      </c>
      <c r="G12648" s="27">
        <f ca="1">ROUND(E12648*F12648,2)</f>
        <v>0</v>
      </c>
    </row>
    <row r="12649" spans="1:7" ht="24.36" thickBot="1" customHeight="1">
      <c r="A12649" s="24" t="s">
        <v>39991</v>
      </c>
      <c r="B12649" s="24" t="s">
        <v>39992</v>
      </c>
      <c r="C12649" s="24" t="s">
        <v>39993</v>
      </c>
      <c r="D12649" s="25" t="s">
        <v>39994</v>
      </c>
      <c r="E12649" s="28">
        <v>1.00000</v>
      </c>
      <c r="F12649" s="29">
        <f ca="1">ROUND(21.000,3)</f>
        <v>0</v>
      </c>
      <c r="G12649" s="27">
        <f ca="1">ROUND(E12649*F12649,2)</f>
        <v>0</v>
      </c>
    </row>
    <row r="12650" spans="1:7" ht="24.36" thickBot="1" customHeight="1">
      <c r="A12650" s="24" t="s">
        <v>39995</v>
      </c>
      <c r="B12650" s="24" t="s">
        <v>39996</v>
      </c>
      <c r="C12650" s="24" t="s">
        <v>39997</v>
      </c>
      <c r="D12650" s="25" t="s">
        <v>39998</v>
      </c>
      <c r="E12650" s="28">
        <v>1.00000</v>
      </c>
      <c r="F12650" s="29">
        <f ca="1">ROUND(19.000,3)</f>
        <v>0</v>
      </c>
      <c r="G12650" s="27">
        <f ca="1">ROUND(E12650*F12650,2)</f>
        <v>0</v>
      </c>
    </row>
    <row r="12651" spans="1:7" ht="24.36" thickBot="1" customHeight="1">
      <c r="A12651" s="24" t="s">
        <v>39999</v>
      </c>
      <c r="B12651" s="24" t="s">
        <v>40000</v>
      </c>
      <c r="C12651" s="24" t="s">
        <v>40001</v>
      </c>
      <c r="D12651" s="25" t="s">
        <v>40002</v>
      </c>
      <c r="E12651" s="28">
        <v>0.20000</v>
      </c>
      <c r="F12651" s="29">
        <f ca="1">ROUND(19.000,3)</f>
        <v>0</v>
      </c>
      <c r="G12651" s="27">
        <f ca="1">ROUND(E12651*F12651,2)</f>
        <v>0</v>
      </c>
    </row>
    <row r="12652" spans="1:7" ht="15.12" thickBot="1" customHeight="1">
      <c r="A12652" s="26"/>
      <c r="B12652" s="26"/>
      <c r="C12652" s="26"/>
      <c r="D12652" s="24" t="s">
        <v>40003</v>
      </c>
      <c r="E12652" s="28">
        <v>0.45000</v>
      </c>
      <c r="F12652" s="29">
        <f ca="1">ROUND((G12649+G12650+G12651),3)</f>
        <v>0</v>
      </c>
      <c r="G12652" s="27">
        <f ca="1">ROUND(E12652*F12652,2)</f>
        <v>0</v>
      </c>
    </row>
    <row r="12653" spans="1:7" ht="15.12" thickBot="1" customHeight="1">
      <c r="A12653" s="24" t="s">
        <v>40004</v>
      </c>
      <c r="B12653" s="24"/>
      <c r="C12653" s="24" t="s">
        <v>40005</v>
      </c>
      <c r="D12653" s="25" t="s">
        <v>40006</v>
      </c>
      <c r="E12653" s="28">
        <v>5.00000</v>
      </c>
      <c r="F12653" s="29">
        <f ca="1">ROUND(19.710,3)</f>
        <v>0</v>
      </c>
      <c r="G12653" s="27">
        <f ca="1">ROUND((E12653*F12653)/100,2)</f>
        <v>0</v>
      </c>
    </row>
    <row r="12654" spans="1:7" ht="15.48" thickBot="1" customHeight="1">
      <c r="A12654" s="30"/>
      <c r="B12654" s="30"/>
      <c r="C12654" s="30"/>
      <c r="D12654" s="31" t="s">
        <v>40007</v>
      </c>
      <c r="E12654" s="30"/>
      <c r="F12654" s="33">
        <f ca="1">ROUND((G12646+G12647+G12648+G12653)*(1+G2/100),2)</f>
        <v>0</v>
      </c>
      <c r="G12654" s="30"/>
    </row>
    <row r="12655" spans="1:7" ht="58.32" thickBot="1" customHeight="1">
      <c r="A12655" s="34" t="s">
        <v>40008</v>
      </c>
      <c r="B12655" s="35" t="s">
        <v>40009</v>
      </c>
      <c r="C12655" s="35" t="s">
        <v>40010</v>
      </c>
      <c r="D12655" s="36" t="s">
        <v>40011</v>
      </c>
      <c r="E12655" s="37"/>
      <c r="F12655" s="38">
        <f ca="1">F12665</f>
        <v>0</v>
      </c>
      <c r="G12655" s="37"/>
    </row>
    <row r="12656" spans="1:7" ht="21.36" thickBot="1" customHeight="1">
      <c r="A12656" s="26"/>
      <c r="B12656" s="26"/>
      <c r="C12656" s="26"/>
      <c r="D12656" s="25" t="s">
        <v>40012</v>
      </c>
      <c r="E12656" s="25"/>
      <c r="F12656" s="25"/>
      <c r="G12656" s="25"/>
    </row>
    <row r="12657" spans="1:7" ht="39.84" thickBot="1" customHeight="1">
      <c r="A12657" s="24" t="s">
        <v>40013</v>
      </c>
      <c r="B12657" s="24" t="s">
        <v>40014</v>
      </c>
      <c r="C12657" s="24" t="s">
        <v>40015</v>
      </c>
      <c r="D12657" s="25" t="s">
        <v>40016</v>
      </c>
      <c r="E12657" s="28">
        <v>0.01220</v>
      </c>
      <c r="F12657" s="29">
        <f ca="1">ROUND(70.410,3)</f>
        <v>0</v>
      </c>
      <c r="G12657" s="27">
        <f ca="1">ROUND(E12657*F12657,2)</f>
        <v>0</v>
      </c>
    </row>
    <row r="12658" spans="1:7" ht="39.84" thickBot="1" customHeight="1">
      <c r="A12658" s="24" t="s">
        <v>40017</v>
      </c>
      <c r="B12658" s="24" t="s">
        <v>40018</v>
      </c>
      <c r="C12658" s="24" t="s">
        <v>40019</v>
      </c>
      <c r="D12658" s="25" t="s">
        <v>40020</v>
      </c>
      <c r="E12658" s="28">
        <v>0.01667</v>
      </c>
      <c r="F12658" s="29">
        <f ca="1">ROUND(45.710,3)</f>
        <v>0</v>
      </c>
      <c r="G12658" s="27">
        <f ca="1">ROUND(E12658*F12658,2)</f>
        <v>0</v>
      </c>
    </row>
    <row r="12659" spans="1:7" ht="21.36" thickBot="1" customHeight="1">
      <c r="A12659" s="24" t="s">
        <v>40021</v>
      </c>
      <c r="B12659" s="24" t="s">
        <v>40022</v>
      </c>
      <c r="C12659" s="24" t="s">
        <v>40023</v>
      </c>
      <c r="D12659" s="25" t="s">
        <v>40024</v>
      </c>
      <c r="E12659" s="28">
        <v>0.36000</v>
      </c>
      <c r="F12659" s="29">
        <f ca="1">F12663</f>
        <v>0</v>
      </c>
      <c r="G12659" s="27">
        <f ca="1">ROUND(E12659*F12659,2)</f>
        <v>0</v>
      </c>
    </row>
    <row r="12660" spans="1:7" ht="24.36" thickBot="1" customHeight="1">
      <c r="A12660" s="24" t="s">
        <v>40025</v>
      </c>
      <c r="B12660" s="24" t="s">
        <v>40026</v>
      </c>
      <c r="C12660" s="24" t="s">
        <v>40027</v>
      </c>
      <c r="D12660" s="25" t="s">
        <v>40028</v>
      </c>
      <c r="E12660" s="28">
        <v>1.00000</v>
      </c>
      <c r="F12660" s="29">
        <f ca="1">ROUND(21.000,3)</f>
        <v>0</v>
      </c>
      <c r="G12660" s="27">
        <f ca="1">ROUND(E12660*F12660,2)</f>
        <v>0</v>
      </c>
    </row>
    <row r="12661" spans="1:7" ht="24.36" thickBot="1" customHeight="1">
      <c r="A12661" s="24" t="s">
        <v>40029</v>
      </c>
      <c r="B12661" s="24" t="s">
        <v>40030</v>
      </c>
      <c r="C12661" s="24" t="s">
        <v>40031</v>
      </c>
      <c r="D12661" s="25" t="s">
        <v>40032</v>
      </c>
      <c r="E12661" s="28">
        <v>1.00000</v>
      </c>
      <c r="F12661" s="29">
        <f ca="1">ROUND(19.000,3)</f>
        <v>0</v>
      </c>
      <c r="G12661" s="27">
        <f ca="1">ROUND(E12661*F12661,2)</f>
        <v>0</v>
      </c>
    </row>
    <row r="12662" spans="1:7" ht="24.36" thickBot="1" customHeight="1">
      <c r="A12662" s="24" t="s">
        <v>40033</v>
      </c>
      <c r="B12662" s="24" t="s">
        <v>40034</v>
      </c>
      <c r="C12662" s="24" t="s">
        <v>40035</v>
      </c>
      <c r="D12662" s="25" t="s">
        <v>40036</v>
      </c>
      <c r="E12662" s="28">
        <v>0.20000</v>
      </c>
      <c r="F12662" s="29">
        <f ca="1">ROUND(19.000,3)</f>
        <v>0</v>
      </c>
      <c r="G12662" s="27">
        <f ca="1">ROUND(E12662*F12662,2)</f>
        <v>0</v>
      </c>
    </row>
    <row r="12663" spans="1:7" ht="15.12" thickBot="1" customHeight="1">
      <c r="A12663" s="26"/>
      <c r="B12663" s="26"/>
      <c r="C12663" s="26"/>
      <c r="D12663" s="24" t="s">
        <v>40037</v>
      </c>
      <c r="E12663" s="28">
        <v>0.36000</v>
      </c>
      <c r="F12663" s="29">
        <f ca="1">ROUND((G12660+G12661+G12662),3)</f>
        <v>0</v>
      </c>
      <c r="G12663" s="27">
        <f ca="1">ROUND(E12663*F12663,2)</f>
        <v>0</v>
      </c>
    </row>
    <row r="12664" spans="1:7" ht="15.12" thickBot="1" customHeight="1">
      <c r="A12664" s="24" t="s">
        <v>40038</v>
      </c>
      <c r="B12664" s="24"/>
      <c r="C12664" s="24" t="s">
        <v>40039</v>
      </c>
      <c r="D12664" s="25" t="s">
        <v>40040</v>
      </c>
      <c r="E12664" s="28">
        <v>5.00000</v>
      </c>
      <c r="F12664" s="29">
        <f ca="1">ROUND(15.770,3)</f>
        <v>0</v>
      </c>
      <c r="G12664" s="27">
        <f ca="1">ROUND((E12664*F12664)/100,2)</f>
        <v>0</v>
      </c>
    </row>
    <row r="12665" spans="1:7" ht="15.48" thickBot="1" customHeight="1">
      <c r="A12665" s="30"/>
      <c r="B12665" s="30"/>
      <c r="C12665" s="30"/>
      <c r="D12665" s="31" t="s">
        <v>40041</v>
      </c>
      <c r="E12665" s="30"/>
      <c r="F12665" s="33">
        <f ca="1">ROUND((G12657+G12658+G12659+G12664)*(1+G2/100),2)</f>
        <v>0</v>
      </c>
      <c r="G12665" s="30"/>
    </row>
    <row r="12666" spans="1:7" ht="49.08" thickBot="1" customHeight="1">
      <c r="A12666" s="34" t="s">
        <v>40042</v>
      </c>
      <c r="B12666" s="35" t="s">
        <v>40043</v>
      </c>
      <c r="C12666" s="35" t="s">
        <v>40044</v>
      </c>
      <c r="D12666" s="36" t="s">
        <v>40045</v>
      </c>
      <c r="E12666" s="37"/>
      <c r="F12666" s="38">
        <f ca="1">F12676</f>
        <v>0</v>
      </c>
      <c r="G12666" s="37"/>
    </row>
    <row r="12667" spans="1:7" ht="21.36" thickBot="1" customHeight="1">
      <c r="A12667" s="26"/>
      <c r="B12667" s="26"/>
      <c r="C12667" s="26"/>
      <c r="D12667" s="25" t="s">
        <v>40046</v>
      </c>
      <c r="E12667" s="25"/>
      <c r="F12667" s="25"/>
      <c r="G12667" s="25"/>
    </row>
    <row r="12668" spans="1:7" ht="30.60" thickBot="1" customHeight="1">
      <c r="A12668" s="24" t="s">
        <v>40047</v>
      </c>
      <c r="B12668" s="24" t="s">
        <v>40048</v>
      </c>
      <c r="C12668" s="24" t="s">
        <v>40049</v>
      </c>
      <c r="D12668" s="25" t="s">
        <v>40050</v>
      </c>
      <c r="E12668" s="28">
        <v>0.03000</v>
      </c>
      <c r="F12668" s="29">
        <f ca="1">ROUND(128.450,3)</f>
        <v>0</v>
      </c>
      <c r="G12668" s="27">
        <f ca="1">ROUND(E12668*F12668,2)</f>
        <v>0</v>
      </c>
    </row>
    <row r="12669" spans="1:7" ht="24.36" thickBot="1" customHeight="1">
      <c r="A12669" s="24" t="s">
        <v>40051</v>
      </c>
      <c r="B12669" s="24" t="s">
        <v>40052</v>
      </c>
      <c r="C12669" s="24" t="s">
        <v>40053</v>
      </c>
      <c r="D12669" s="25" t="s">
        <v>40054</v>
      </c>
      <c r="E12669" s="28">
        <v>0.02000</v>
      </c>
      <c r="F12669" s="29">
        <f ca="1">ROUND(4.630,3)</f>
        <v>0</v>
      </c>
      <c r="G12669" s="27">
        <f ca="1">ROUND(E12669*F12669,2)</f>
        <v>0</v>
      </c>
    </row>
    <row r="12670" spans="1:7" ht="21.36" thickBot="1" customHeight="1">
      <c r="A12670" s="24" t="s">
        <v>40055</v>
      </c>
      <c r="B12670" s="24" t="s">
        <v>40056</v>
      </c>
      <c r="C12670" s="24" t="s">
        <v>40057</v>
      </c>
      <c r="D12670" s="25" t="s">
        <v>40058</v>
      </c>
      <c r="E12670" s="28">
        <v>0.30000</v>
      </c>
      <c r="F12670" s="29">
        <f ca="1">F12674</f>
        <v>0</v>
      </c>
      <c r="G12670" s="27">
        <f ca="1">ROUND(E12670*F12670,2)</f>
        <v>0</v>
      </c>
    </row>
    <row r="12671" spans="1:7" ht="24.36" thickBot="1" customHeight="1">
      <c r="A12671" s="24" t="s">
        <v>40059</v>
      </c>
      <c r="B12671" s="24" t="s">
        <v>40060</v>
      </c>
      <c r="C12671" s="24" t="s">
        <v>40061</v>
      </c>
      <c r="D12671" s="25" t="s">
        <v>40062</v>
      </c>
      <c r="E12671" s="28">
        <v>1.00000</v>
      </c>
      <c r="F12671" s="29">
        <f ca="1">ROUND(21.000,3)</f>
        <v>0</v>
      </c>
      <c r="G12671" s="27">
        <f ca="1">ROUND(E12671*F12671,2)</f>
        <v>0</v>
      </c>
    </row>
    <row r="12672" spans="1:7" ht="24.36" thickBot="1" customHeight="1">
      <c r="A12672" s="24" t="s">
        <v>40063</v>
      </c>
      <c r="B12672" s="24" t="s">
        <v>40064</v>
      </c>
      <c r="C12672" s="24" t="s">
        <v>40065</v>
      </c>
      <c r="D12672" s="25" t="s">
        <v>40066</v>
      </c>
      <c r="E12672" s="28">
        <v>1.00000</v>
      </c>
      <c r="F12672" s="29">
        <f ca="1">ROUND(19.000,3)</f>
        <v>0</v>
      </c>
      <c r="G12672" s="27">
        <f ca="1">ROUND(E12672*F12672,2)</f>
        <v>0</v>
      </c>
    </row>
    <row r="12673" spans="1:7" ht="24.36" thickBot="1" customHeight="1">
      <c r="A12673" s="24" t="s">
        <v>40067</v>
      </c>
      <c r="B12673" s="24" t="s">
        <v>40068</v>
      </c>
      <c r="C12673" s="24" t="s">
        <v>40069</v>
      </c>
      <c r="D12673" s="25" t="s">
        <v>40070</v>
      </c>
      <c r="E12673" s="28">
        <v>0.20000</v>
      </c>
      <c r="F12673" s="29">
        <f ca="1">ROUND(19.000,3)</f>
        <v>0</v>
      </c>
      <c r="G12673" s="27">
        <f ca="1">ROUND(E12673*F12673,2)</f>
        <v>0</v>
      </c>
    </row>
    <row r="12674" spans="1:7" ht="15.12" thickBot="1" customHeight="1">
      <c r="A12674" s="26"/>
      <c r="B12674" s="26"/>
      <c r="C12674" s="26"/>
      <c r="D12674" s="24" t="s">
        <v>40071</v>
      </c>
      <c r="E12674" s="28">
        <v>0.30000</v>
      </c>
      <c r="F12674" s="29">
        <f ca="1">ROUND((G12671+G12672+G12673),3)</f>
        <v>0</v>
      </c>
      <c r="G12674" s="27">
        <f ca="1">ROUND(E12674*F12674,2)</f>
        <v>0</v>
      </c>
    </row>
    <row r="12675" spans="1:7" ht="15.12" thickBot="1" customHeight="1">
      <c r="A12675" s="24" t="s">
        <v>40072</v>
      </c>
      <c r="B12675" s="24"/>
      <c r="C12675" s="24" t="s">
        <v>40073</v>
      </c>
      <c r="D12675" s="25" t="s">
        <v>40074</v>
      </c>
      <c r="E12675" s="28">
        <v>3.00000</v>
      </c>
      <c r="F12675" s="29">
        <f ca="1">ROUND(13.140,3)</f>
        <v>0</v>
      </c>
      <c r="G12675" s="27">
        <f ca="1">ROUND((E12675*F12675)/100,2)</f>
        <v>0</v>
      </c>
    </row>
    <row r="12676" spans="1:7" ht="15.48" thickBot="1" customHeight="1">
      <c r="A12676" s="30"/>
      <c r="B12676" s="30"/>
      <c r="C12676" s="30"/>
      <c r="D12676" s="31" t="s">
        <v>40075</v>
      </c>
      <c r="E12676" s="30"/>
      <c r="F12676" s="33">
        <f ca="1">ROUND((G12668+G12669+G12670+G12675)*(1+G2/100),2)</f>
        <v>0</v>
      </c>
      <c r="G12676" s="30"/>
    </row>
    <row r="12677" spans="1:7" ht="49.08" thickBot="1" customHeight="1">
      <c r="A12677" s="34" t="s">
        <v>40076</v>
      </c>
      <c r="B12677" s="35" t="s">
        <v>40077</v>
      </c>
      <c r="C12677" s="35" t="s">
        <v>40078</v>
      </c>
      <c r="D12677" s="36" t="s">
        <v>40079</v>
      </c>
      <c r="E12677" s="37"/>
      <c r="F12677" s="38">
        <f ca="1">F12687</f>
        <v>0</v>
      </c>
      <c r="G12677" s="37"/>
    </row>
    <row r="12678" spans="1:7" ht="21.36" thickBot="1" customHeight="1">
      <c r="A12678" s="26"/>
      <c r="B12678" s="26"/>
      <c r="C12678" s="26"/>
      <c r="D12678" s="25" t="s">
        <v>40080</v>
      </c>
      <c r="E12678" s="25"/>
      <c r="F12678" s="25"/>
      <c r="G12678" s="25"/>
    </row>
    <row r="12679" spans="1:7" ht="30.60" thickBot="1" customHeight="1">
      <c r="A12679" s="24" t="s">
        <v>40081</v>
      </c>
      <c r="B12679" s="24" t="s">
        <v>40082</v>
      </c>
      <c r="C12679" s="24" t="s">
        <v>40083</v>
      </c>
      <c r="D12679" s="25" t="s">
        <v>40084</v>
      </c>
      <c r="E12679" s="28">
        <v>0.01500</v>
      </c>
      <c r="F12679" s="29">
        <f ca="1">ROUND(128.450,3)</f>
        <v>0</v>
      </c>
      <c r="G12679" s="27">
        <f ca="1">ROUND(E12679*F12679,2)</f>
        <v>0</v>
      </c>
    </row>
    <row r="12680" spans="1:7" ht="24.36" thickBot="1" customHeight="1">
      <c r="A12680" s="24" t="s">
        <v>40085</v>
      </c>
      <c r="B12680" s="24" t="s">
        <v>40086</v>
      </c>
      <c r="C12680" s="24" t="s">
        <v>40087</v>
      </c>
      <c r="D12680" s="25" t="s">
        <v>40088</v>
      </c>
      <c r="E12680" s="28">
        <v>0.01000</v>
      </c>
      <c r="F12680" s="29">
        <f ca="1">ROUND(4.630,3)</f>
        <v>0</v>
      </c>
      <c r="G12680" s="27">
        <f ca="1">ROUND(E12680*F12680,2)</f>
        <v>0</v>
      </c>
    </row>
    <row r="12681" spans="1:7" ht="21.36" thickBot="1" customHeight="1">
      <c r="A12681" s="24" t="s">
        <v>40089</v>
      </c>
      <c r="B12681" s="24" t="s">
        <v>40090</v>
      </c>
      <c r="C12681" s="24" t="s">
        <v>40091</v>
      </c>
      <c r="D12681" s="25" t="s">
        <v>40092</v>
      </c>
      <c r="E12681" s="28">
        <v>0.26667</v>
      </c>
      <c r="F12681" s="29">
        <f ca="1">F12685</f>
        <v>0</v>
      </c>
      <c r="G12681" s="27">
        <f ca="1">ROUND(E12681*F12681,2)</f>
        <v>0</v>
      </c>
    </row>
    <row r="12682" spans="1:7" ht="24.36" thickBot="1" customHeight="1">
      <c r="A12682" s="24" t="s">
        <v>40093</v>
      </c>
      <c r="B12682" s="24" t="s">
        <v>40094</v>
      </c>
      <c r="C12682" s="24" t="s">
        <v>40095</v>
      </c>
      <c r="D12682" s="25" t="s">
        <v>40096</v>
      </c>
      <c r="E12682" s="28">
        <v>1.00000</v>
      </c>
      <c r="F12682" s="29">
        <f ca="1">ROUND(21.000,3)</f>
        <v>0</v>
      </c>
      <c r="G12682" s="27">
        <f ca="1">ROUND(E12682*F12682,2)</f>
        <v>0</v>
      </c>
    </row>
    <row r="12683" spans="1:7" ht="24.36" thickBot="1" customHeight="1">
      <c r="A12683" s="24" t="s">
        <v>40097</v>
      </c>
      <c r="B12683" s="24" t="s">
        <v>40098</v>
      </c>
      <c r="C12683" s="24" t="s">
        <v>40099</v>
      </c>
      <c r="D12683" s="25" t="s">
        <v>40100</v>
      </c>
      <c r="E12683" s="28">
        <v>1.00000</v>
      </c>
      <c r="F12683" s="29">
        <f ca="1">ROUND(19.000,3)</f>
        <v>0</v>
      </c>
      <c r="G12683" s="27">
        <f ca="1">ROUND(E12683*F12683,2)</f>
        <v>0</v>
      </c>
    </row>
    <row r="12684" spans="1:7" ht="24.36" thickBot="1" customHeight="1">
      <c r="A12684" s="24" t="s">
        <v>40101</v>
      </c>
      <c r="B12684" s="24" t="s">
        <v>40102</v>
      </c>
      <c r="C12684" s="24" t="s">
        <v>40103</v>
      </c>
      <c r="D12684" s="25" t="s">
        <v>40104</v>
      </c>
      <c r="E12684" s="28">
        <v>0.20000</v>
      </c>
      <c r="F12684" s="29">
        <f ca="1">ROUND(19.000,3)</f>
        <v>0</v>
      </c>
      <c r="G12684" s="27">
        <f ca="1">ROUND(E12684*F12684,2)</f>
        <v>0</v>
      </c>
    </row>
    <row r="12685" spans="1:7" ht="15.12" thickBot="1" customHeight="1">
      <c r="A12685" s="26"/>
      <c r="B12685" s="26"/>
      <c r="C12685" s="26"/>
      <c r="D12685" s="24" t="s">
        <v>40105</v>
      </c>
      <c r="E12685" s="28">
        <v>0.26667</v>
      </c>
      <c r="F12685" s="29">
        <f ca="1">ROUND((G12682+G12683+G12684),3)</f>
        <v>0</v>
      </c>
      <c r="G12685" s="27">
        <f ca="1">ROUND(E12685*F12685,2)</f>
        <v>0</v>
      </c>
    </row>
    <row r="12686" spans="1:7" ht="15.12" thickBot="1" customHeight="1">
      <c r="A12686" s="24" t="s">
        <v>40106</v>
      </c>
      <c r="B12686" s="24"/>
      <c r="C12686" s="24" t="s">
        <v>40107</v>
      </c>
      <c r="D12686" s="25" t="s">
        <v>40108</v>
      </c>
      <c r="E12686" s="28">
        <v>5.00000</v>
      </c>
      <c r="F12686" s="29">
        <f ca="1">ROUND(11.680,3)</f>
        <v>0</v>
      </c>
      <c r="G12686" s="27">
        <f ca="1">ROUND((E12686*F12686)/100,2)</f>
        <v>0</v>
      </c>
    </row>
    <row r="12687" spans="1:7" ht="15.48" thickBot="1" customHeight="1">
      <c r="A12687" s="30"/>
      <c r="B12687" s="30"/>
      <c r="C12687" s="30"/>
      <c r="D12687" s="31" t="s">
        <v>40109</v>
      </c>
      <c r="E12687" s="30"/>
      <c r="F12687" s="33">
        <f ca="1">ROUND((G12679+G12680+G12681+G12686)*(1+G2/100),2)</f>
        <v>0</v>
      </c>
      <c r="G12687" s="30"/>
    </row>
    <row r="12688" spans="1:7" ht="49.08" thickBot="1" customHeight="1">
      <c r="A12688" s="34" t="s">
        <v>40110</v>
      </c>
      <c r="B12688" s="35" t="s">
        <v>40111</v>
      </c>
      <c r="C12688" s="35" t="s">
        <v>40112</v>
      </c>
      <c r="D12688" s="36" t="s">
        <v>40113</v>
      </c>
      <c r="E12688" s="37"/>
      <c r="F12688" s="38">
        <f ca="1">F12698</f>
        <v>0</v>
      </c>
      <c r="G12688" s="37"/>
    </row>
    <row r="12689" spans="1:7" ht="21.36" thickBot="1" customHeight="1">
      <c r="A12689" s="26"/>
      <c r="B12689" s="26"/>
      <c r="C12689" s="26"/>
      <c r="D12689" s="25" t="s">
        <v>40114</v>
      </c>
      <c r="E12689" s="25"/>
      <c r="F12689" s="25"/>
      <c r="G12689" s="25"/>
    </row>
    <row r="12690" spans="1:7" ht="30.60" thickBot="1" customHeight="1">
      <c r="A12690" s="24" t="s">
        <v>40115</v>
      </c>
      <c r="B12690" s="24" t="s">
        <v>40116</v>
      </c>
      <c r="C12690" s="24" t="s">
        <v>40117</v>
      </c>
      <c r="D12690" s="25" t="s">
        <v>40118</v>
      </c>
      <c r="E12690" s="28">
        <v>0.01500</v>
      </c>
      <c r="F12690" s="29">
        <f ca="1">ROUND(128.450,3)</f>
        <v>0</v>
      </c>
      <c r="G12690" s="27">
        <f ca="1">ROUND(E12690*F12690,2)</f>
        <v>0</v>
      </c>
    </row>
    <row r="12691" spans="1:7" ht="24.36" thickBot="1" customHeight="1">
      <c r="A12691" s="24" t="s">
        <v>40119</v>
      </c>
      <c r="B12691" s="24" t="s">
        <v>40120</v>
      </c>
      <c r="C12691" s="24" t="s">
        <v>40121</v>
      </c>
      <c r="D12691" s="25" t="s">
        <v>40122</v>
      </c>
      <c r="E12691" s="28">
        <v>0.01000</v>
      </c>
      <c r="F12691" s="29">
        <f ca="1">ROUND(4.630,3)</f>
        <v>0</v>
      </c>
      <c r="G12691" s="27">
        <f ca="1">ROUND(E12691*F12691,2)</f>
        <v>0</v>
      </c>
    </row>
    <row r="12692" spans="1:7" ht="21.36" thickBot="1" customHeight="1">
      <c r="A12692" s="24" t="s">
        <v>40123</v>
      </c>
      <c r="B12692" s="24" t="s">
        <v>40124</v>
      </c>
      <c r="C12692" s="24" t="s">
        <v>40125</v>
      </c>
      <c r="D12692" s="25" t="s">
        <v>40126</v>
      </c>
      <c r="E12692" s="28">
        <v>0.36000</v>
      </c>
      <c r="F12692" s="29">
        <f ca="1">F12696</f>
        <v>0</v>
      </c>
      <c r="G12692" s="27">
        <f ca="1">ROUND(E12692*F12692,2)</f>
        <v>0</v>
      </c>
    </row>
    <row r="12693" spans="1:7" ht="24.36" thickBot="1" customHeight="1">
      <c r="A12693" s="24" t="s">
        <v>40127</v>
      </c>
      <c r="B12693" s="24" t="s">
        <v>40128</v>
      </c>
      <c r="C12693" s="24" t="s">
        <v>40129</v>
      </c>
      <c r="D12693" s="25" t="s">
        <v>40130</v>
      </c>
      <c r="E12693" s="28">
        <v>1.00000</v>
      </c>
      <c r="F12693" s="29">
        <f ca="1">ROUND(21.000,3)</f>
        <v>0</v>
      </c>
      <c r="G12693" s="27">
        <f ca="1">ROUND(E12693*F12693,2)</f>
        <v>0</v>
      </c>
    </row>
    <row r="12694" spans="1:7" ht="24.36" thickBot="1" customHeight="1">
      <c r="A12694" s="24" t="s">
        <v>40131</v>
      </c>
      <c r="B12694" s="24" t="s">
        <v>40132</v>
      </c>
      <c r="C12694" s="24" t="s">
        <v>40133</v>
      </c>
      <c r="D12694" s="25" t="s">
        <v>40134</v>
      </c>
      <c r="E12694" s="28">
        <v>1.00000</v>
      </c>
      <c r="F12694" s="29">
        <f ca="1">ROUND(19.000,3)</f>
        <v>0</v>
      </c>
      <c r="G12694" s="27">
        <f ca="1">ROUND(E12694*F12694,2)</f>
        <v>0</v>
      </c>
    </row>
    <row r="12695" spans="1:7" ht="24.36" thickBot="1" customHeight="1">
      <c r="A12695" s="24" t="s">
        <v>40135</v>
      </c>
      <c r="B12695" s="24" t="s">
        <v>40136</v>
      </c>
      <c r="C12695" s="24" t="s">
        <v>40137</v>
      </c>
      <c r="D12695" s="25" t="s">
        <v>40138</v>
      </c>
      <c r="E12695" s="28">
        <v>0.20000</v>
      </c>
      <c r="F12695" s="29">
        <f ca="1">ROUND(19.000,3)</f>
        <v>0</v>
      </c>
      <c r="G12695" s="27">
        <f ca="1">ROUND(E12695*F12695,2)</f>
        <v>0</v>
      </c>
    </row>
    <row r="12696" spans="1:7" ht="15.12" thickBot="1" customHeight="1">
      <c r="A12696" s="26"/>
      <c r="B12696" s="26"/>
      <c r="C12696" s="26"/>
      <c r="D12696" s="24" t="s">
        <v>40139</v>
      </c>
      <c r="E12696" s="28">
        <v>0.36000</v>
      </c>
      <c r="F12696" s="29">
        <f ca="1">ROUND((G12693+G12694+G12695),3)</f>
        <v>0</v>
      </c>
      <c r="G12696" s="27">
        <f ca="1">ROUND(E12696*F12696,2)</f>
        <v>0</v>
      </c>
    </row>
    <row r="12697" spans="1:7" ht="15.12" thickBot="1" customHeight="1">
      <c r="A12697" s="24" t="s">
        <v>40140</v>
      </c>
      <c r="B12697" s="24"/>
      <c r="C12697" s="24" t="s">
        <v>40141</v>
      </c>
      <c r="D12697" s="25" t="s">
        <v>40142</v>
      </c>
      <c r="E12697" s="28">
        <v>5.00000</v>
      </c>
      <c r="F12697" s="29">
        <f ca="1">ROUND(15.770,3)</f>
        <v>0</v>
      </c>
      <c r="G12697" s="27">
        <f ca="1">ROUND((E12697*F12697)/100,2)</f>
        <v>0</v>
      </c>
    </row>
    <row r="12698" spans="1:7" ht="15.48" thickBot="1" customHeight="1">
      <c r="A12698" s="30"/>
      <c r="B12698" s="30"/>
      <c r="C12698" s="30"/>
      <c r="D12698" s="31" t="s">
        <v>40143</v>
      </c>
      <c r="E12698" s="30"/>
      <c r="F12698" s="33">
        <f ca="1">ROUND((G12690+G12691+G12692+G12697)*(1+G2/100),2)</f>
        <v>0</v>
      </c>
      <c r="G12698" s="30"/>
    </row>
    <row r="12699" spans="1:7" ht="30.60" thickBot="1" customHeight="1">
      <c r="A12699" s="34" t="s">
        <v>40144</v>
      </c>
      <c r="B12699" s="35" t="s">
        <v>40145</v>
      </c>
      <c r="C12699" s="35" t="s">
        <v>40146</v>
      </c>
      <c r="D12699" s="36" t="s">
        <v>40147</v>
      </c>
      <c r="E12699" s="37"/>
      <c r="F12699" s="38">
        <f ca="1">F12709</f>
        <v>0</v>
      </c>
      <c r="G12699" s="37"/>
    </row>
    <row r="12700" spans="1:7" ht="12.12" thickBot="1" customHeight="1">
      <c r="A12700" s="26"/>
      <c r="B12700" s="26"/>
      <c r="C12700" s="26"/>
      <c r="D12700" s="25" t="s">
        <v>40148</v>
      </c>
      <c r="E12700" s="25"/>
      <c r="F12700" s="25"/>
      <c r="G12700" s="25"/>
    </row>
    <row r="12701" spans="1:7" ht="39.84" thickBot="1" customHeight="1">
      <c r="A12701" s="24" t="s">
        <v>40149</v>
      </c>
      <c r="B12701" s="24" t="s">
        <v>40150</v>
      </c>
      <c r="C12701" s="24" t="s">
        <v>40151</v>
      </c>
      <c r="D12701" s="25" t="s">
        <v>40152</v>
      </c>
      <c r="E12701" s="28">
        <v>0.02360</v>
      </c>
      <c r="F12701" s="29">
        <f ca="1">ROUND(42.810,3)</f>
        <v>0</v>
      </c>
      <c r="G12701" s="27">
        <f ca="1">ROUND(E12701*F12701,2)</f>
        <v>0</v>
      </c>
    </row>
    <row r="12702" spans="1:7" ht="30.60" thickBot="1" customHeight="1">
      <c r="A12702" s="24" t="s">
        <v>40153</v>
      </c>
      <c r="B12702" s="24" t="s">
        <v>40154</v>
      </c>
      <c r="C12702" s="24" t="s">
        <v>40155</v>
      </c>
      <c r="D12702" s="25" t="s">
        <v>40156</v>
      </c>
      <c r="E12702" s="28">
        <v>0.04720</v>
      </c>
      <c r="F12702" s="29">
        <f ca="1">ROUND(43.750,3)</f>
        <v>0</v>
      </c>
      <c r="G12702" s="27">
        <f ca="1">ROUND(E12702*F12702,2)</f>
        <v>0</v>
      </c>
    </row>
    <row r="12703" spans="1:7" ht="21.36" thickBot="1" customHeight="1">
      <c r="A12703" s="24" t="s">
        <v>40157</v>
      </c>
      <c r="B12703" s="24" t="s">
        <v>40158</v>
      </c>
      <c r="C12703" s="24" t="s">
        <v>40159</v>
      </c>
      <c r="D12703" s="25" t="s">
        <v>40160</v>
      </c>
      <c r="E12703" s="28">
        <v>0.30000</v>
      </c>
      <c r="F12703" s="29">
        <f ca="1">F12707</f>
        <v>0</v>
      </c>
      <c r="G12703" s="27">
        <f ca="1">ROUND(E12703*F12703,2)</f>
        <v>0</v>
      </c>
    </row>
    <row r="12704" spans="1:7" ht="24.36" thickBot="1" customHeight="1">
      <c r="A12704" s="24" t="s">
        <v>40161</v>
      </c>
      <c r="B12704" s="24" t="s">
        <v>40162</v>
      </c>
      <c r="C12704" s="24" t="s">
        <v>40163</v>
      </c>
      <c r="D12704" s="25" t="s">
        <v>40164</v>
      </c>
      <c r="E12704" s="28">
        <v>1.00000</v>
      </c>
      <c r="F12704" s="29">
        <f ca="1">ROUND(21.000,3)</f>
        <v>0</v>
      </c>
      <c r="G12704" s="27">
        <f ca="1">ROUND(E12704*F12704,2)</f>
        <v>0</v>
      </c>
    </row>
    <row r="12705" spans="1:7" ht="24.36" thickBot="1" customHeight="1">
      <c r="A12705" s="24" t="s">
        <v>40165</v>
      </c>
      <c r="B12705" s="24" t="s">
        <v>40166</v>
      </c>
      <c r="C12705" s="24" t="s">
        <v>40167</v>
      </c>
      <c r="D12705" s="25" t="s">
        <v>40168</v>
      </c>
      <c r="E12705" s="28">
        <v>1.00000</v>
      </c>
      <c r="F12705" s="29">
        <f ca="1">ROUND(19.000,3)</f>
        <v>0</v>
      </c>
      <c r="G12705" s="27">
        <f ca="1">ROUND(E12705*F12705,2)</f>
        <v>0</v>
      </c>
    </row>
    <row r="12706" spans="1:7" ht="24.36" thickBot="1" customHeight="1">
      <c r="A12706" s="24" t="s">
        <v>40169</v>
      </c>
      <c r="B12706" s="24" t="s">
        <v>40170</v>
      </c>
      <c r="C12706" s="24" t="s">
        <v>40171</v>
      </c>
      <c r="D12706" s="25" t="s">
        <v>40172</v>
      </c>
      <c r="E12706" s="28">
        <v>0.20000</v>
      </c>
      <c r="F12706" s="29">
        <f ca="1">ROUND(19.000,3)</f>
        <v>0</v>
      </c>
      <c r="G12706" s="27">
        <f ca="1">ROUND(E12706*F12706,2)</f>
        <v>0</v>
      </c>
    </row>
    <row r="12707" spans="1:7" ht="15.12" thickBot="1" customHeight="1">
      <c r="A12707" s="26"/>
      <c r="B12707" s="26"/>
      <c r="C12707" s="26"/>
      <c r="D12707" s="24" t="s">
        <v>40173</v>
      </c>
      <c r="E12707" s="28">
        <v>0.30000</v>
      </c>
      <c r="F12707" s="29">
        <f ca="1">ROUND((G12704+G12705+G12706),3)</f>
        <v>0</v>
      </c>
      <c r="G12707" s="27">
        <f ca="1">ROUND(E12707*F12707,2)</f>
        <v>0</v>
      </c>
    </row>
    <row r="12708" spans="1:7" ht="15.12" thickBot="1" customHeight="1">
      <c r="A12708" s="24" t="s">
        <v>40174</v>
      </c>
      <c r="B12708" s="24"/>
      <c r="C12708" s="24" t="s">
        <v>40175</v>
      </c>
      <c r="D12708" s="25" t="s">
        <v>40176</v>
      </c>
      <c r="E12708" s="28">
        <v>5.00000</v>
      </c>
      <c r="F12708" s="29">
        <f ca="1">ROUND(13.140,3)</f>
        <v>0</v>
      </c>
      <c r="G12708" s="27">
        <f ca="1">ROUND((E12708*F12708)/100,2)</f>
        <v>0</v>
      </c>
    </row>
    <row r="12709" spans="1:7" ht="15.48" thickBot="1" customHeight="1">
      <c r="A12709" s="30"/>
      <c r="B12709" s="30"/>
      <c r="C12709" s="30"/>
      <c r="D12709" s="31" t="s">
        <v>40177</v>
      </c>
      <c r="E12709" s="30"/>
      <c r="F12709" s="33">
        <f ca="1">ROUND((G12701+G12702+G12703+G12708)*(1+G2/100),2)</f>
        <v>0</v>
      </c>
      <c r="G12709" s="30"/>
    </row>
    <row r="12710" spans="1:7" ht="49.08" thickBot="1" customHeight="1">
      <c r="A12710" s="34" t="s">
        <v>40178</v>
      </c>
      <c r="B12710" s="35" t="s">
        <v>40179</v>
      </c>
      <c r="C12710" s="35" t="s">
        <v>40180</v>
      </c>
      <c r="D12710" s="36" t="s">
        <v>40181</v>
      </c>
      <c r="E12710" s="37"/>
      <c r="F12710" s="38">
        <f ca="1">F12720</f>
        <v>0</v>
      </c>
      <c r="G12710" s="37"/>
    </row>
    <row r="12711" spans="1:7" ht="21.36" thickBot="1" customHeight="1">
      <c r="A12711" s="26"/>
      <c r="B12711" s="26"/>
      <c r="C12711" s="26"/>
      <c r="D12711" s="25" t="s">
        <v>40182</v>
      </c>
      <c r="E12711" s="25"/>
      <c r="F12711" s="25"/>
      <c r="G12711" s="25"/>
    </row>
    <row r="12712" spans="1:7" ht="39.84" thickBot="1" customHeight="1">
      <c r="A12712" s="24" t="s">
        <v>40183</v>
      </c>
      <c r="B12712" s="24" t="s">
        <v>40184</v>
      </c>
      <c r="C12712" s="24" t="s">
        <v>40185</v>
      </c>
      <c r="D12712" s="25" t="s">
        <v>40186</v>
      </c>
      <c r="E12712" s="28">
        <v>0.01100</v>
      </c>
      <c r="F12712" s="29">
        <f ca="1">ROUND(138.040,3)</f>
        <v>0</v>
      </c>
      <c r="G12712" s="27">
        <f ca="1">ROUND(E12712*F12712,2)</f>
        <v>0</v>
      </c>
    </row>
    <row r="12713" spans="1:7" ht="39.84" thickBot="1" customHeight="1">
      <c r="A12713" s="24" t="s">
        <v>40187</v>
      </c>
      <c r="B12713" s="24" t="s">
        <v>40188</v>
      </c>
      <c r="C12713" s="24" t="s">
        <v>40189</v>
      </c>
      <c r="D12713" s="25" t="s">
        <v>40190</v>
      </c>
      <c r="E12713" s="28">
        <v>0.02667</v>
      </c>
      <c r="F12713" s="29">
        <f ca="1">ROUND(86.210,3)</f>
        <v>0</v>
      </c>
      <c r="G12713" s="27">
        <f ca="1">ROUND(E12713*F12713,2)</f>
        <v>0</v>
      </c>
    </row>
    <row r="12714" spans="1:7" ht="21.36" thickBot="1" customHeight="1">
      <c r="A12714" s="24" t="s">
        <v>40191</v>
      </c>
      <c r="B12714" s="24" t="s">
        <v>40192</v>
      </c>
      <c r="C12714" s="24" t="s">
        <v>40193</v>
      </c>
      <c r="D12714" s="25" t="s">
        <v>40194</v>
      </c>
      <c r="E12714" s="28">
        <v>0.32000</v>
      </c>
      <c r="F12714" s="29">
        <f ca="1">F12718</f>
        <v>0</v>
      </c>
      <c r="G12714" s="27">
        <f ca="1">ROUND(E12714*F12714,2)</f>
        <v>0</v>
      </c>
    </row>
    <row r="12715" spans="1:7" ht="24.36" thickBot="1" customHeight="1">
      <c r="A12715" s="24" t="s">
        <v>40195</v>
      </c>
      <c r="B12715" s="24" t="s">
        <v>40196</v>
      </c>
      <c r="C12715" s="24" t="s">
        <v>40197</v>
      </c>
      <c r="D12715" s="25" t="s">
        <v>40198</v>
      </c>
      <c r="E12715" s="28">
        <v>1.00000</v>
      </c>
      <c r="F12715" s="29">
        <f ca="1">ROUND(21.000,3)</f>
        <v>0</v>
      </c>
      <c r="G12715" s="27">
        <f ca="1">ROUND(E12715*F12715,2)</f>
        <v>0</v>
      </c>
    </row>
    <row r="12716" spans="1:7" ht="24.36" thickBot="1" customHeight="1">
      <c r="A12716" s="24" t="s">
        <v>40199</v>
      </c>
      <c r="B12716" s="24" t="s">
        <v>40200</v>
      </c>
      <c r="C12716" s="24" t="s">
        <v>40201</v>
      </c>
      <c r="D12716" s="25" t="s">
        <v>40202</v>
      </c>
      <c r="E12716" s="28">
        <v>1.00000</v>
      </c>
      <c r="F12716" s="29">
        <f ca="1">ROUND(19.000,3)</f>
        <v>0</v>
      </c>
      <c r="G12716" s="27">
        <f ca="1">ROUND(E12716*F12716,2)</f>
        <v>0</v>
      </c>
    </row>
    <row r="12717" spans="1:7" ht="24.36" thickBot="1" customHeight="1">
      <c r="A12717" s="24" t="s">
        <v>40203</v>
      </c>
      <c r="B12717" s="24" t="s">
        <v>40204</v>
      </c>
      <c r="C12717" s="24" t="s">
        <v>40205</v>
      </c>
      <c r="D12717" s="25" t="s">
        <v>40206</v>
      </c>
      <c r="E12717" s="28">
        <v>0.20000</v>
      </c>
      <c r="F12717" s="29">
        <f ca="1">ROUND(19.000,3)</f>
        <v>0</v>
      </c>
      <c r="G12717" s="27">
        <f ca="1">ROUND(E12717*F12717,2)</f>
        <v>0</v>
      </c>
    </row>
    <row r="12718" spans="1:7" ht="15.12" thickBot="1" customHeight="1">
      <c r="A12718" s="26"/>
      <c r="B12718" s="26"/>
      <c r="C12718" s="26"/>
      <c r="D12718" s="24" t="s">
        <v>40207</v>
      </c>
      <c r="E12718" s="28">
        <v>0.32000</v>
      </c>
      <c r="F12718" s="29">
        <f ca="1">ROUND((G12715+G12716+G12717),3)</f>
        <v>0</v>
      </c>
      <c r="G12718" s="27">
        <f ca="1">ROUND(E12718*F12718,2)</f>
        <v>0</v>
      </c>
    </row>
    <row r="12719" spans="1:7" ht="15.12" thickBot="1" customHeight="1">
      <c r="A12719" s="24" t="s">
        <v>40208</v>
      </c>
      <c r="B12719" s="24"/>
      <c r="C12719" s="24" t="s">
        <v>40209</v>
      </c>
      <c r="D12719" s="25" t="s">
        <v>40210</v>
      </c>
      <c r="E12719" s="28">
        <v>5.00000</v>
      </c>
      <c r="F12719" s="29">
        <f ca="1">ROUND(14.020,3)</f>
        <v>0</v>
      </c>
      <c r="G12719" s="27">
        <f ca="1">ROUND((E12719*F12719)/100,2)</f>
        <v>0</v>
      </c>
    </row>
    <row r="12720" spans="1:7" ht="15.48" thickBot="1" customHeight="1">
      <c r="A12720" s="30"/>
      <c r="B12720" s="30"/>
      <c r="C12720" s="30"/>
      <c r="D12720" s="31" t="s">
        <v>40211</v>
      </c>
      <c r="E12720" s="30"/>
      <c r="F12720" s="33">
        <f ca="1">ROUND((G12712+G12713+G12714+G12719)*(1+G2/100),2)</f>
        <v>0</v>
      </c>
      <c r="G12720" s="30"/>
    </row>
    <row r="12721" spans="1:7" ht="49.08" thickBot="1" customHeight="1">
      <c r="A12721" s="34" t="s">
        <v>40212</v>
      </c>
      <c r="B12721" s="35" t="s">
        <v>40213</v>
      </c>
      <c r="C12721" s="35" t="s">
        <v>40214</v>
      </c>
      <c r="D12721" s="36" t="s">
        <v>40215</v>
      </c>
      <c r="E12721" s="37"/>
      <c r="F12721" s="38">
        <f ca="1">F12731</f>
        <v>0</v>
      </c>
      <c r="G12721" s="37"/>
    </row>
    <row r="12722" spans="1:7" ht="21.36" thickBot="1" customHeight="1">
      <c r="A12722" s="26"/>
      <c r="B12722" s="26"/>
      <c r="C12722" s="26"/>
      <c r="D12722" s="25" t="s">
        <v>40216</v>
      </c>
      <c r="E12722" s="25"/>
      <c r="F12722" s="25"/>
      <c r="G12722" s="25"/>
    </row>
    <row r="12723" spans="1:7" ht="39.84" thickBot="1" customHeight="1">
      <c r="A12723" s="24" t="s">
        <v>40217</v>
      </c>
      <c r="B12723" s="24" t="s">
        <v>40218</v>
      </c>
      <c r="C12723" s="24" t="s">
        <v>40219</v>
      </c>
      <c r="D12723" s="25" t="s">
        <v>40220</v>
      </c>
      <c r="E12723" s="28">
        <v>0.01100</v>
      </c>
      <c r="F12723" s="29">
        <f ca="1">ROUND(138.040,3)</f>
        <v>0</v>
      </c>
      <c r="G12723" s="27">
        <f ca="1">ROUND(E12723*F12723,2)</f>
        <v>0</v>
      </c>
    </row>
    <row r="12724" spans="1:7" ht="39.84" thickBot="1" customHeight="1">
      <c r="A12724" s="24" t="s">
        <v>40221</v>
      </c>
      <c r="B12724" s="24" t="s">
        <v>40222</v>
      </c>
      <c r="C12724" s="24" t="s">
        <v>40223</v>
      </c>
      <c r="D12724" s="25" t="s">
        <v>40224</v>
      </c>
      <c r="E12724" s="28">
        <v>0.02667</v>
      </c>
      <c r="F12724" s="29">
        <f ca="1">ROUND(86.210,3)</f>
        <v>0</v>
      </c>
      <c r="G12724" s="27">
        <f ca="1">ROUND(E12724*F12724,2)</f>
        <v>0</v>
      </c>
    </row>
    <row r="12725" spans="1:7" ht="21.36" thickBot="1" customHeight="1">
      <c r="A12725" s="24" t="s">
        <v>40225</v>
      </c>
      <c r="B12725" s="24" t="s">
        <v>40226</v>
      </c>
      <c r="C12725" s="24" t="s">
        <v>40227</v>
      </c>
      <c r="D12725" s="25" t="s">
        <v>40228</v>
      </c>
      <c r="E12725" s="28">
        <v>0.37300</v>
      </c>
      <c r="F12725" s="29">
        <f ca="1">F12729</f>
        <v>0</v>
      </c>
      <c r="G12725" s="27">
        <f ca="1">ROUND(E12725*F12725,2)</f>
        <v>0</v>
      </c>
    </row>
    <row r="12726" spans="1:7" ht="24.36" thickBot="1" customHeight="1">
      <c r="A12726" s="24" t="s">
        <v>40229</v>
      </c>
      <c r="B12726" s="24" t="s">
        <v>40230</v>
      </c>
      <c r="C12726" s="24" t="s">
        <v>40231</v>
      </c>
      <c r="D12726" s="25" t="s">
        <v>40232</v>
      </c>
      <c r="E12726" s="28">
        <v>1.00000</v>
      </c>
      <c r="F12726" s="29">
        <f ca="1">ROUND(21.000,3)</f>
        <v>0</v>
      </c>
      <c r="G12726" s="27">
        <f ca="1">ROUND(E12726*F12726,2)</f>
        <v>0</v>
      </c>
    </row>
    <row r="12727" spans="1:7" ht="24.36" thickBot="1" customHeight="1">
      <c r="A12727" s="24" t="s">
        <v>40233</v>
      </c>
      <c r="B12727" s="24" t="s">
        <v>40234</v>
      </c>
      <c r="C12727" s="24" t="s">
        <v>40235</v>
      </c>
      <c r="D12727" s="25" t="s">
        <v>40236</v>
      </c>
      <c r="E12727" s="28">
        <v>1.00000</v>
      </c>
      <c r="F12727" s="29">
        <f ca="1">ROUND(19.000,3)</f>
        <v>0</v>
      </c>
      <c r="G12727" s="27">
        <f ca="1">ROUND(E12727*F12727,2)</f>
        <v>0</v>
      </c>
    </row>
    <row r="12728" spans="1:7" ht="24.36" thickBot="1" customHeight="1">
      <c r="A12728" s="24" t="s">
        <v>40237</v>
      </c>
      <c r="B12728" s="24" t="s">
        <v>40238</v>
      </c>
      <c r="C12728" s="24" t="s">
        <v>40239</v>
      </c>
      <c r="D12728" s="25" t="s">
        <v>40240</v>
      </c>
      <c r="E12728" s="28">
        <v>0.20000</v>
      </c>
      <c r="F12728" s="29">
        <f ca="1">ROUND(19.000,3)</f>
        <v>0</v>
      </c>
      <c r="G12728" s="27">
        <f ca="1">ROUND(E12728*F12728,2)</f>
        <v>0</v>
      </c>
    </row>
    <row r="12729" spans="1:7" ht="15.12" thickBot="1" customHeight="1">
      <c r="A12729" s="26"/>
      <c r="B12729" s="26"/>
      <c r="C12729" s="26"/>
      <c r="D12729" s="24" t="s">
        <v>40241</v>
      </c>
      <c r="E12729" s="28">
        <v>0.37300</v>
      </c>
      <c r="F12729" s="29">
        <f ca="1">ROUND((G12726+G12727+G12728),3)</f>
        <v>0</v>
      </c>
      <c r="G12729" s="27">
        <f ca="1">ROUND(E12729*F12729,2)</f>
        <v>0</v>
      </c>
    </row>
    <row r="12730" spans="1:7" ht="15.12" thickBot="1" customHeight="1">
      <c r="A12730" s="24" t="s">
        <v>40242</v>
      </c>
      <c r="B12730" s="24"/>
      <c r="C12730" s="24" t="s">
        <v>40243</v>
      </c>
      <c r="D12730" s="25" t="s">
        <v>40244</v>
      </c>
      <c r="E12730" s="28">
        <v>5.00000</v>
      </c>
      <c r="F12730" s="29">
        <f ca="1">ROUND(16.340,3)</f>
        <v>0</v>
      </c>
      <c r="G12730" s="27">
        <f ca="1">ROUND((E12730*F12730)/100,2)</f>
        <v>0</v>
      </c>
    </row>
    <row r="12731" spans="1:7" ht="15.48" thickBot="1" customHeight="1">
      <c r="A12731" s="30"/>
      <c r="B12731" s="30"/>
      <c r="C12731" s="30"/>
      <c r="D12731" s="31" t="s">
        <v>40245</v>
      </c>
      <c r="E12731" s="30"/>
      <c r="F12731" s="33">
        <f ca="1">ROUND((G12723+G12724+G12725+G12730)*(1+G2/100),2)</f>
        <v>0</v>
      </c>
      <c r="G12731" s="30"/>
    </row>
    <row r="12732" spans="1:7" ht="49.08" thickBot="1" customHeight="1">
      <c r="A12732" s="34" t="s">
        <v>40246</v>
      </c>
      <c r="B12732" s="35" t="s">
        <v>40247</v>
      </c>
      <c r="C12732" s="35" t="s">
        <v>40248</v>
      </c>
      <c r="D12732" s="36" t="s">
        <v>40249</v>
      </c>
      <c r="E12732" s="37"/>
      <c r="F12732" s="38">
        <f ca="1">F12742</f>
        <v>0</v>
      </c>
      <c r="G12732" s="37"/>
    </row>
    <row r="12733" spans="1:7" ht="21.36" thickBot="1" customHeight="1">
      <c r="A12733" s="26"/>
      <c r="B12733" s="26"/>
      <c r="C12733" s="26"/>
      <c r="D12733" s="25" t="s">
        <v>40250</v>
      </c>
      <c r="E12733" s="25"/>
      <c r="F12733" s="25"/>
      <c r="G12733" s="25"/>
    </row>
    <row r="12734" spans="1:7" ht="39.84" thickBot="1" customHeight="1">
      <c r="A12734" s="24" t="s">
        <v>40251</v>
      </c>
      <c r="B12734" s="24" t="s">
        <v>40252</v>
      </c>
      <c r="C12734" s="24" t="s">
        <v>40253</v>
      </c>
      <c r="D12734" s="25" t="s">
        <v>40254</v>
      </c>
      <c r="E12734" s="28">
        <v>0.01100</v>
      </c>
      <c r="F12734" s="29">
        <f ca="1">ROUND(138.040,3)</f>
        <v>0</v>
      </c>
      <c r="G12734" s="27">
        <f ca="1">ROUND(E12734*F12734,2)</f>
        <v>0</v>
      </c>
    </row>
    <row r="12735" spans="1:7" ht="39.84" thickBot="1" customHeight="1">
      <c r="A12735" s="24" t="s">
        <v>40255</v>
      </c>
      <c r="B12735" s="24" t="s">
        <v>40256</v>
      </c>
      <c r="C12735" s="24" t="s">
        <v>40257</v>
      </c>
      <c r="D12735" s="25" t="s">
        <v>40258</v>
      </c>
      <c r="E12735" s="28">
        <v>0.02667</v>
      </c>
      <c r="F12735" s="29">
        <f ca="1">ROUND(86.210,3)</f>
        <v>0</v>
      </c>
      <c r="G12735" s="27">
        <f ca="1">ROUND(E12735*F12735,2)</f>
        <v>0</v>
      </c>
    </row>
    <row r="12736" spans="1:7" ht="21.36" thickBot="1" customHeight="1">
      <c r="A12736" s="24" t="s">
        <v>40259</v>
      </c>
      <c r="B12736" s="24" t="s">
        <v>40260</v>
      </c>
      <c r="C12736" s="24" t="s">
        <v>40261</v>
      </c>
      <c r="D12736" s="25" t="s">
        <v>40262</v>
      </c>
      <c r="E12736" s="28">
        <v>0.45000</v>
      </c>
      <c r="F12736" s="29">
        <f ca="1">F12740</f>
        <v>0</v>
      </c>
      <c r="G12736" s="27">
        <f ca="1">ROUND(E12736*F12736,2)</f>
        <v>0</v>
      </c>
    </row>
    <row r="12737" spans="1:7" ht="24.36" thickBot="1" customHeight="1">
      <c r="A12737" s="24" t="s">
        <v>40263</v>
      </c>
      <c r="B12737" s="24" t="s">
        <v>40264</v>
      </c>
      <c r="C12737" s="24" t="s">
        <v>40265</v>
      </c>
      <c r="D12737" s="25" t="s">
        <v>40266</v>
      </c>
      <c r="E12737" s="28">
        <v>1.00000</v>
      </c>
      <c r="F12737" s="29">
        <f ca="1">ROUND(21.000,3)</f>
        <v>0</v>
      </c>
      <c r="G12737" s="27">
        <f ca="1">ROUND(E12737*F12737,2)</f>
        <v>0</v>
      </c>
    </row>
    <row r="12738" spans="1:7" ht="24.36" thickBot="1" customHeight="1">
      <c r="A12738" s="24" t="s">
        <v>40267</v>
      </c>
      <c r="B12738" s="24" t="s">
        <v>40268</v>
      </c>
      <c r="C12738" s="24" t="s">
        <v>40269</v>
      </c>
      <c r="D12738" s="25" t="s">
        <v>40270</v>
      </c>
      <c r="E12738" s="28">
        <v>1.00000</v>
      </c>
      <c r="F12738" s="29">
        <f ca="1">ROUND(19.000,3)</f>
        <v>0</v>
      </c>
      <c r="G12738" s="27">
        <f ca="1">ROUND(E12738*F12738,2)</f>
        <v>0</v>
      </c>
    </row>
    <row r="12739" spans="1:7" ht="24.36" thickBot="1" customHeight="1">
      <c r="A12739" s="24" t="s">
        <v>40271</v>
      </c>
      <c r="B12739" s="24" t="s">
        <v>40272</v>
      </c>
      <c r="C12739" s="24" t="s">
        <v>40273</v>
      </c>
      <c r="D12739" s="25" t="s">
        <v>40274</v>
      </c>
      <c r="E12739" s="28">
        <v>0.20000</v>
      </c>
      <c r="F12739" s="29">
        <f ca="1">ROUND(19.000,3)</f>
        <v>0</v>
      </c>
      <c r="G12739" s="27">
        <f ca="1">ROUND(E12739*F12739,2)</f>
        <v>0</v>
      </c>
    </row>
    <row r="12740" spans="1:7" ht="15.12" thickBot="1" customHeight="1">
      <c r="A12740" s="26"/>
      <c r="B12740" s="26"/>
      <c r="C12740" s="26"/>
      <c r="D12740" s="24" t="s">
        <v>40275</v>
      </c>
      <c r="E12740" s="28">
        <v>0.45000</v>
      </c>
      <c r="F12740" s="29">
        <f ca="1">ROUND((G12737+G12738+G12739),3)</f>
        <v>0</v>
      </c>
      <c r="G12740" s="27">
        <f ca="1">ROUND(E12740*F12740,2)</f>
        <v>0</v>
      </c>
    </row>
    <row r="12741" spans="1:7" ht="15.12" thickBot="1" customHeight="1">
      <c r="A12741" s="24" t="s">
        <v>40276</v>
      </c>
      <c r="B12741" s="24"/>
      <c r="C12741" s="24" t="s">
        <v>40277</v>
      </c>
      <c r="D12741" s="25" t="s">
        <v>40278</v>
      </c>
      <c r="E12741" s="28">
        <v>5.00000</v>
      </c>
      <c r="F12741" s="29">
        <f ca="1">ROUND(19.710,3)</f>
        <v>0</v>
      </c>
      <c r="G12741" s="27">
        <f ca="1">ROUND((E12741*F12741)/100,2)</f>
        <v>0</v>
      </c>
    </row>
    <row r="12742" spans="1:7" ht="15.48" thickBot="1" customHeight="1">
      <c r="A12742" s="30"/>
      <c r="B12742" s="30"/>
      <c r="C12742" s="30"/>
      <c r="D12742" s="31" t="s">
        <v>40279</v>
      </c>
      <c r="E12742" s="30"/>
      <c r="F12742" s="33">
        <f ca="1">ROUND((G12734+G12735+G12736+G12741)*(1+G2/100),2)</f>
        <v>0</v>
      </c>
      <c r="G12742" s="30"/>
    </row>
    <row r="12743" spans="1:7" ht="58.32" thickBot="1" customHeight="1">
      <c r="A12743" s="34" t="s">
        <v>40280</v>
      </c>
      <c r="B12743" s="35" t="s">
        <v>40281</v>
      </c>
      <c r="C12743" s="35" t="s">
        <v>40282</v>
      </c>
      <c r="D12743" s="36" t="s">
        <v>40283</v>
      </c>
      <c r="E12743" s="37"/>
      <c r="F12743" s="38">
        <f ca="1">F12752</f>
        <v>0</v>
      </c>
      <c r="G12743" s="37"/>
    </row>
    <row r="12744" spans="1:7" ht="21.36" thickBot="1" customHeight="1">
      <c r="A12744" s="26"/>
      <c r="B12744" s="26"/>
      <c r="C12744" s="26"/>
      <c r="D12744" s="25" t="s">
        <v>40284</v>
      </c>
      <c r="E12744" s="25"/>
      <c r="F12744" s="25"/>
      <c r="G12744" s="25"/>
    </row>
    <row r="12745" spans="1:7" ht="39.84" thickBot="1" customHeight="1">
      <c r="A12745" s="24" t="s">
        <v>40285</v>
      </c>
      <c r="B12745" s="24" t="s">
        <v>40286</v>
      </c>
      <c r="C12745" s="24" t="s">
        <v>40287</v>
      </c>
      <c r="D12745" s="25" t="s">
        <v>40288</v>
      </c>
      <c r="E12745" s="28">
        <v>0.01750</v>
      </c>
      <c r="F12745" s="29">
        <f ca="1">ROUND(86.000,3)</f>
        <v>0</v>
      </c>
      <c r="G12745" s="27">
        <f ca="1">ROUND(E12745*F12745,2)</f>
        <v>0</v>
      </c>
    </row>
    <row r="12746" spans="1:7" ht="21.36" thickBot="1" customHeight="1">
      <c r="A12746" s="24" t="s">
        <v>40289</v>
      </c>
      <c r="B12746" s="24" t="s">
        <v>40290</v>
      </c>
      <c r="C12746" s="24" t="s">
        <v>40291</v>
      </c>
      <c r="D12746" s="25" t="s">
        <v>40292</v>
      </c>
      <c r="E12746" s="28">
        <v>0.32000</v>
      </c>
      <c r="F12746" s="29">
        <f ca="1">F12750</f>
        <v>0</v>
      </c>
      <c r="G12746" s="27">
        <f ca="1">ROUND(E12746*F12746,2)</f>
        <v>0</v>
      </c>
    </row>
    <row r="12747" spans="1:7" ht="24.36" thickBot="1" customHeight="1">
      <c r="A12747" s="24" t="s">
        <v>40293</v>
      </c>
      <c r="B12747" s="24" t="s">
        <v>40294</v>
      </c>
      <c r="C12747" s="24" t="s">
        <v>40295</v>
      </c>
      <c r="D12747" s="25" t="s">
        <v>40296</v>
      </c>
      <c r="E12747" s="28">
        <v>1.00000</v>
      </c>
      <c r="F12747" s="29">
        <f ca="1">ROUND(21.000,3)</f>
        <v>0</v>
      </c>
      <c r="G12747" s="27">
        <f ca="1">ROUND(E12747*F12747,2)</f>
        <v>0</v>
      </c>
    </row>
    <row r="12748" spans="1:7" ht="24.36" thickBot="1" customHeight="1">
      <c r="A12748" s="24" t="s">
        <v>40297</v>
      </c>
      <c r="B12748" s="24" t="s">
        <v>40298</v>
      </c>
      <c r="C12748" s="24" t="s">
        <v>40299</v>
      </c>
      <c r="D12748" s="25" t="s">
        <v>40300</v>
      </c>
      <c r="E12748" s="28">
        <v>1.00000</v>
      </c>
      <c r="F12748" s="29">
        <f ca="1">ROUND(19.000,3)</f>
        <v>0</v>
      </c>
      <c r="G12748" s="27">
        <f ca="1">ROUND(E12748*F12748,2)</f>
        <v>0</v>
      </c>
    </row>
    <row r="12749" spans="1:7" ht="24.36" thickBot="1" customHeight="1">
      <c r="A12749" s="24" t="s">
        <v>40301</v>
      </c>
      <c r="B12749" s="24" t="s">
        <v>40302</v>
      </c>
      <c r="C12749" s="24" t="s">
        <v>40303</v>
      </c>
      <c r="D12749" s="25" t="s">
        <v>40304</v>
      </c>
      <c r="E12749" s="28">
        <v>0.20000</v>
      </c>
      <c r="F12749" s="29">
        <f ca="1">ROUND(19.000,3)</f>
        <v>0</v>
      </c>
      <c r="G12749" s="27">
        <f ca="1">ROUND(E12749*F12749,2)</f>
        <v>0</v>
      </c>
    </row>
    <row r="12750" spans="1:7" ht="15.12" thickBot="1" customHeight="1">
      <c r="A12750" s="26"/>
      <c r="B12750" s="26"/>
      <c r="C12750" s="26"/>
      <c r="D12750" s="24" t="s">
        <v>40305</v>
      </c>
      <c r="E12750" s="28">
        <v>0.32000</v>
      </c>
      <c r="F12750" s="29">
        <f ca="1">ROUND((G12747+G12748+G12749),3)</f>
        <v>0</v>
      </c>
      <c r="G12750" s="27">
        <f ca="1">ROUND(E12750*F12750,2)</f>
        <v>0</v>
      </c>
    </row>
    <row r="12751" spans="1:7" ht="15.12" thickBot="1" customHeight="1">
      <c r="A12751" s="24" t="s">
        <v>40306</v>
      </c>
      <c r="B12751" s="24"/>
      <c r="C12751" s="24" t="s">
        <v>40307</v>
      </c>
      <c r="D12751" s="25" t="s">
        <v>40308</v>
      </c>
      <c r="E12751" s="28">
        <v>5.00000</v>
      </c>
      <c r="F12751" s="29">
        <f ca="1">ROUND(14.020,3)</f>
        <v>0</v>
      </c>
      <c r="G12751" s="27">
        <f ca="1">ROUND((E12751*F12751)/100,2)</f>
        <v>0</v>
      </c>
    </row>
    <row r="12752" spans="1:7" ht="15.48" thickBot="1" customHeight="1">
      <c r="A12752" s="30"/>
      <c r="B12752" s="30"/>
      <c r="C12752" s="30"/>
      <c r="D12752" s="31" t="s">
        <v>40309</v>
      </c>
      <c r="E12752" s="30"/>
      <c r="F12752" s="33">
        <f ca="1">ROUND((G12745+G12746+G12751)*(1+G2/100),2)</f>
        <v>0</v>
      </c>
      <c r="G12752" s="30"/>
    </row>
    <row r="12753" spans="1:7" ht="67.56" thickBot="1" customHeight="1">
      <c r="A12753" s="34" t="s">
        <v>40310</v>
      </c>
      <c r="B12753" s="35" t="s">
        <v>40311</v>
      </c>
      <c r="C12753" s="35" t="s">
        <v>40312</v>
      </c>
      <c r="D12753" s="36" t="s">
        <v>40313</v>
      </c>
      <c r="E12753" s="37"/>
      <c r="F12753" s="38">
        <f ca="1">F12762</f>
        <v>0</v>
      </c>
      <c r="G12753" s="37"/>
    </row>
    <row r="12754" spans="1:7" ht="21.36" thickBot="1" customHeight="1">
      <c r="A12754" s="26"/>
      <c r="B12754" s="26"/>
      <c r="C12754" s="26"/>
      <c r="D12754" s="25" t="s">
        <v>40314</v>
      </c>
      <c r="E12754" s="25"/>
      <c r="F12754" s="25"/>
      <c r="G12754" s="25"/>
    </row>
    <row r="12755" spans="1:7" ht="39.84" thickBot="1" customHeight="1">
      <c r="A12755" s="24" t="s">
        <v>40315</v>
      </c>
      <c r="B12755" s="24" t="s">
        <v>40316</v>
      </c>
      <c r="C12755" s="24" t="s">
        <v>40317</v>
      </c>
      <c r="D12755" s="25" t="s">
        <v>40318</v>
      </c>
      <c r="E12755" s="28">
        <v>0.02000</v>
      </c>
      <c r="F12755" s="29">
        <f ca="1">ROUND(86.000,3)</f>
        <v>0</v>
      </c>
      <c r="G12755" s="27">
        <f ca="1">ROUND(E12755*F12755,2)</f>
        <v>0</v>
      </c>
    </row>
    <row r="12756" spans="1:7" ht="21.36" thickBot="1" customHeight="1">
      <c r="A12756" s="24" t="s">
        <v>40319</v>
      </c>
      <c r="B12756" s="24" t="s">
        <v>40320</v>
      </c>
      <c r="C12756" s="24" t="s">
        <v>40321</v>
      </c>
      <c r="D12756" s="25" t="s">
        <v>40322</v>
      </c>
      <c r="E12756" s="28">
        <v>0.53333</v>
      </c>
      <c r="F12756" s="29">
        <f ca="1">F12760</f>
        <v>0</v>
      </c>
      <c r="G12756" s="27">
        <f ca="1">ROUND(E12756*F12756,2)</f>
        <v>0</v>
      </c>
    </row>
    <row r="12757" spans="1:7" ht="24.36" thickBot="1" customHeight="1">
      <c r="A12757" s="24" t="s">
        <v>40323</v>
      </c>
      <c r="B12757" s="24" t="s">
        <v>40324</v>
      </c>
      <c r="C12757" s="24" t="s">
        <v>40325</v>
      </c>
      <c r="D12757" s="25" t="s">
        <v>40326</v>
      </c>
      <c r="E12757" s="28">
        <v>1.00000</v>
      </c>
      <c r="F12757" s="29">
        <f ca="1">ROUND(21.000,3)</f>
        <v>0</v>
      </c>
      <c r="G12757" s="27">
        <f ca="1">ROUND(E12757*F12757,2)</f>
        <v>0</v>
      </c>
    </row>
    <row r="12758" spans="1:7" ht="24.36" thickBot="1" customHeight="1">
      <c r="A12758" s="24" t="s">
        <v>40327</v>
      </c>
      <c r="B12758" s="24" t="s">
        <v>40328</v>
      </c>
      <c r="C12758" s="24" t="s">
        <v>40329</v>
      </c>
      <c r="D12758" s="25" t="s">
        <v>40330</v>
      </c>
      <c r="E12758" s="28">
        <v>1.00000</v>
      </c>
      <c r="F12758" s="29">
        <f ca="1">ROUND(19.000,3)</f>
        <v>0</v>
      </c>
      <c r="G12758" s="27">
        <f ca="1">ROUND(E12758*F12758,2)</f>
        <v>0</v>
      </c>
    </row>
    <row r="12759" spans="1:7" ht="24.36" thickBot="1" customHeight="1">
      <c r="A12759" s="24" t="s">
        <v>40331</v>
      </c>
      <c r="B12759" s="24" t="s">
        <v>40332</v>
      </c>
      <c r="C12759" s="24" t="s">
        <v>40333</v>
      </c>
      <c r="D12759" s="25" t="s">
        <v>40334</v>
      </c>
      <c r="E12759" s="28">
        <v>0.20000</v>
      </c>
      <c r="F12759" s="29">
        <f ca="1">ROUND(19.000,3)</f>
        <v>0</v>
      </c>
      <c r="G12759" s="27">
        <f ca="1">ROUND(E12759*F12759,2)</f>
        <v>0</v>
      </c>
    </row>
    <row r="12760" spans="1:7" ht="15.12" thickBot="1" customHeight="1">
      <c r="A12760" s="26"/>
      <c r="B12760" s="26"/>
      <c r="C12760" s="26"/>
      <c r="D12760" s="24" t="s">
        <v>40335</v>
      </c>
      <c r="E12760" s="28">
        <v>0.53333</v>
      </c>
      <c r="F12760" s="29">
        <f ca="1">ROUND((G12757+G12758+G12759),3)</f>
        <v>0</v>
      </c>
      <c r="G12760" s="27">
        <f ca="1">ROUND(E12760*F12760,2)</f>
        <v>0</v>
      </c>
    </row>
    <row r="12761" spans="1:7" ht="15.12" thickBot="1" customHeight="1">
      <c r="A12761" s="24" t="s">
        <v>40336</v>
      </c>
      <c r="B12761" s="24"/>
      <c r="C12761" s="24" t="s">
        <v>40337</v>
      </c>
      <c r="D12761" s="25" t="s">
        <v>40338</v>
      </c>
      <c r="E12761" s="28">
        <v>5.00000</v>
      </c>
      <c r="F12761" s="29">
        <f ca="1">ROUND(23.360,3)</f>
        <v>0</v>
      </c>
      <c r="G12761" s="27">
        <f ca="1">ROUND((E12761*F12761)/100,2)</f>
        <v>0</v>
      </c>
    </row>
    <row r="12762" spans="1:7" ht="15.48" thickBot="1" customHeight="1">
      <c r="A12762" s="30"/>
      <c r="B12762" s="30"/>
      <c r="C12762" s="30"/>
      <c r="D12762" s="31" t="s">
        <v>40339</v>
      </c>
      <c r="E12762" s="30"/>
      <c r="F12762" s="33">
        <f ca="1">ROUND((G12755+G12756+G12761)*(1+G2/100),2)</f>
        <v>0</v>
      </c>
      <c r="G12762" s="30"/>
    </row>
    <row r="12763" spans="1:7" ht="67.56" thickBot="1" customHeight="1">
      <c r="A12763" s="34" t="s">
        <v>40340</v>
      </c>
      <c r="B12763" s="35" t="s">
        <v>40341</v>
      </c>
      <c r="C12763" s="35" t="s">
        <v>40342</v>
      </c>
      <c r="D12763" s="36" t="s">
        <v>40343</v>
      </c>
      <c r="E12763" s="37"/>
      <c r="F12763" s="38">
        <f ca="1">F12772</f>
        <v>0</v>
      </c>
      <c r="G12763" s="37"/>
    </row>
    <row r="12764" spans="1:7" ht="21.36" thickBot="1" customHeight="1">
      <c r="A12764" s="26"/>
      <c r="B12764" s="26"/>
      <c r="C12764" s="26"/>
      <c r="D12764" s="25" t="s">
        <v>40344</v>
      </c>
      <c r="E12764" s="25"/>
      <c r="F12764" s="25"/>
      <c r="G12764" s="25"/>
    </row>
    <row r="12765" spans="1:7" ht="39.84" thickBot="1" customHeight="1">
      <c r="A12765" s="24" t="s">
        <v>40345</v>
      </c>
      <c r="B12765" s="24" t="s">
        <v>40346</v>
      </c>
      <c r="C12765" s="24" t="s">
        <v>40347</v>
      </c>
      <c r="D12765" s="25" t="s">
        <v>40348</v>
      </c>
      <c r="E12765" s="28">
        <v>0.01750</v>
      </c>
      <c r="F12765" s="29">
        <f ca="1">ROUND(86.000,3)</f>
        <v>0</v>
      </c>
      <c r="G12765" s="27">
        <f ca="1">ROUND(E12765*F12765,2)</f>
        <v>0</v>
      </c>
    </row>
    <row r="12766" spans="1:7" ht="21.36" thickBot="1" customHeight="1">
      <c r="A12766" s="24" t="s">
        <v>40349</v>
      </c>
      <c r="B12766" s="24" t="s">
        <v>40350</v>
      </c>
      <c r="C12766" s="24" t="s">
        <v>40351</v>
      </c>
      <c r="D12766" s="25" t="s">
        <v>40352</v>
      </c>
      <c r="E12766" s="28">
        <v>0.40000</v>
      </c>
      <c r="F12766" s="29">
        <f ca="1">F12770</f>
        <v>0</v>
      </c>
      <c r="G12766" s="27">
        <f ca="1">ROUND(E12766*F12766,2)</f>
        <v>0</v>
      </c>
    </row>
    <row r="12767" spans="1:7" ht="24.36" thickBot="1" customHeight="1">
      <c r="A12767" s="24" t="s">
        <v>40353</v>
      </c>
      <c r="B12767" s="24" t="s">
        <v>40354</v>
      </c>
      <c r="C12767" s="24" t="s">
        <v>40355</v>
      </c>
      <c r="D12767" s="25" t="s">
        <v>40356</v>
      </c>
      <c r="E12767" s="28">
        <v>1.00000</v>
      </c>
      <c r="F12767" s="29">
        <f ca="1">ROUND(21.000,3)</f>
        <v>0</v>
      </c>
      <c r="G12767" s="27">
        <f ca="1">ROUND(E12767*F12767,2)</f>
        <v>0</v>
      </c>
    </row>
    <row r="12768" spans="1:7" ht="24.36" thickBot="1" customHeight="1">
      <c r="A12768" s="24" t="s">
        <v>40357</v>
      </c>
      <c r="B12768" s="24" t="s">
        <v>40358</v>
      </c>
      <c r="C12768" s="24" t="s">
        <v>40359</v>
      </c>
      <c r="D12768" s="25" t="s">
        <v>40360</v>
      </c>
      <c r="E12768" s="28">
        <v>1.00000</v>
      </c>
      <c r="F12768" s="29">
        <f ca="1">ROUND(19.000,3)</f>
        <v>0</v>
      </c>
      <c r="G12768" s="27">
        <f ca="1">ROUND(E12768*F12768,2)</f>
        <v>0</v>
      </c>
    </row>
    <row r="12769" spans="1:7" ht="24.36" thickBot="1" customHeight="1">
      <c r="A12769" s="24" t="s">
        <v>40361</v>
      </c>
      <c r="B12769" s="24" t="s">
        <v>40362</v>
      </c>
      <c r="C12769" s="24" t="s">
        <v>40363</v>
      </c>
      <c r="D12769" s="25" t="s">
        <v>40364</v>
      </c>
      <c r="E12769" s="28">
        <v>0.20000</v>
      </c>
      <c r="F12769" s="29">
        <f ca="1">ROUND(19.000,3)</f>
        <v>0</v>
      </c>
      <c r="G12769" s="27">
        <f ca="1">ROUND(E12769*F12769,2)</f>
        <v>0</v>
      </c>
    </row>
    <row r="12770" spans="1:7" ht="15.12" thickBot="1" customHeight="1">
      <c r="A12770" s="26"/>
      <c r="B12770" s="26"/>
      <c r="C12770" s="26"/>
      <c r="D12770" s="24" t="s">
        <v>40365</v>
      </c>
      <c r="E12770" s="28">
        <v>0.40000</v>
      </c>
      <c r="F12770" s="29">
        <f ca="1">ROUND((G12767+G12768+G12769),3)</f>
        <v>0</v>
      </c>
      <c r="G12770" s="27">
        <f ca="1">ROUND(E12770*F12770,2)</f>
        <v>0</v>
      </c>
    </row>
    <row r="12771" spans="1:7" ht="15.12" thickBot="1" customHeight="1">
      <c r="A12771" s="24" t="s">
        <v>40366</v>
      </c>
      <c r="B12771" s="24"/>
      <c r="C12771" s="24" t="s">
        <v>40367</v>
      </c>
      <c r="D12771" s="25" t="s">
        <v>40368</v>
      </c>
      <c r="E12771" s="28">
        <v>5.00000</v>
      </c>
      <c r="F12771" s="29">
        <f ca="1">ROUND(17.520,3)</f>
        <v>0</v>
      </c>
      <c r="G12771" s="27">
        <f ca="1">ROUND((E12771*F12771)/100,2)</f>
        <v>0</v>
      </c>
    </row>
    <row r="12772" spans="1:7" ht="15.48" thickBot="1" customHeight="1">
      <c r="A12772" s="30"/>
      <c r="B12772" s="30"/>
      <c r="C12772" s="30"/>
      <c r="D12772" s="31" t="s">
        <v>40369</v>
      </c>
      <c r="E12772" s="30"/>
      <c r="F12772" s="33">
        <f ca="1">ROUND((G12765+G12766+G12771)*(1+G2/100),2)</f>
        <v>0</v>
      </c>
      <c r="G12772" s="30"/>
    </row>
    <row r="12773" spans="1:7" ht="67.56" thickBot="1" customHeight="1">
      <c r="A12773" s="34" t="s">
        <v>40370</v>
      </c>
      <c r="B12773" s="35" t="s">
        <v>40371</v>
      </c>
      <c r="C12773" s="35" t="s">
        <v>40372</v>
      </c>
      <c r="D12773" s="36" t="s">
        <v>40373</v>
      </c>
      <c r="E12773" s="37"/>
      <c r="F12773" s="38">
        <f ca="1">F12782</f>
        <v>0</v>
      </c>
      <c r="G12773" s="37"/>
    </row>
    <row r="12774" spans="1:7" ht="30.60" thickBot="1" customHeight="1">
      <c r="A12774" s="26"/>
      <c r="B12774" s="26"/>
      <c r="C12774" s="26"/>
      <c r="D12774" s="25" t="s">
        <v>40374</v>
      </c>
      <c r="E12774" s="25"/>
      <c r="F12774" s="25"/>
      <c r="G12774" s="25"/>
    </row>
    <row r="12775" spans="1:7" ht="58.32" thickBot="1" customHeight="1">
      <c r="A12775" s="24" t="s">
        <v>40375</v>
      </c>
      <c r="B12775" s="24" t="s">
        <v>40376</v>
      </c>
      <c r="C12775" s="24" t="s">
        <v>40377</v>
      </c>
      <c r="D12775" s="25" t="s">
        <v>40378</v>
      </c>
      <c r="E12775" s="28">
        <v>0.02750</v>
      </c>
      <c r="F12775" s="29">
        <f ca="1">ROUND(173.430,3)</f>
        <v>0</v>
      </c>
      <c r="G12775" s="27">
        <f ca="1">ROUND(E12775*F12775,2)</f>
        <v>0</v>
      </c>
    </row>
    <row r="12776" spans="1:7" ht="21.36" thickBot="1" customHeight="1">
      <c r="A12776" s="24" t="s">
        <v>40379</v>
      </c>
      <c r="B12776" s="24" t="s">
        <v>40380</v>
      </c>
      <c r="C12776" s="24" t="s">
        <v>40381</v>
      </c>
      <c r="D12776" s="25" t="s">
        <v>40382</v>
      </c>
      <c r="E12776" s="28">
        <v>0.50000</v>
      </c>
      <c r="F12776" s="29">
        <f ca="1">F12780</f>
        <v>0</v>
      </c>
      <c r="G12776" s="27">
        <f ca="1">ROUND(E12776*F12776,2)</f>
        <v>0</v>
      </c>
    </row>
    <row r="12777" spans="1:7" ht="24.36" thickBot="1" customHeight="1">
      <c r="A12777" s="24" t="s">
        <v>40383</v>
      </c>
      <c r="B12777" s="24" t="s">
        <v>40384</v>
      </c>
      <c r="C12777" s="24" t="s">
        <v>40385</v>
      </c>
      <c r="D12777" s="25" t="s">
        <v>40386</v>
      </c>
      <c r="E12777" s="28">
        <v>1.00000</v>
      </c>
      <c r="F12777" s="29">
        <f ca="1">ROUND(21.000,3)</f>
        <v>0</v>
      </c>
      <c r="G12777" s="27">
        <f ca="1">ROUND(E12777*F12777,2)</f>
        <v>0</v>
      </c>
    </row>
    <row r="12778" spans="1:7" ht="24.36" thickBot="1" customHeight="1">
      <c r="A12778" s="24" t="s">
        <v>40387</v>
      </c>
      <c r="B12778" s="24" t="s">
        <v>40388</v>
      </c>
      <c r="C12778" s="24" t="s">
        <v>40389</v>
      </c>
      <c r="D12778" s="25" t="s">
        <v>40390</v>
      </c>
      <c r="E12778" s="28">
        <v>1.00000</v>
      </c>
      <c r="F12778" s="29">
        <f ca="1">ROUND(19.000,3)</f>
        <v>0</v>
      </c>
      <c r="G12778" s="27">
        <f ca="1">ROUND(E12778*F12778,2)</f>
        <v>0</v>
      </c>
    </row>
    <row r="12779" spans="1:7" ht="24.36" thickBot="1" customHeight="1">
      <c r="A12779" s="24" t="s">
        <v>40391</v>
      </c>
      <c r="B12779" s="24" t="s">
        <v>40392</v>
      </c>
      <c r="C12779" s="24" t="s">
        <v>40393</v>
      </c>
      <c r="D12779" s="25" t="s">
        <v>40394</v>
      </c>
      <c r="E12779" s="28">
        <v>0.20000</v>
      </c>
      <c r="F12779" s="29">
        <f ca="1">ROUND(19.000,3)</f>
        <v>0</v>
      </c>
      <c r="G12779" s="27">
        <f ca="1">ROUND(E12779*F12779,2)</f>
        <v>0</v>
      </c>
    </row>
    <row r="12780" spans="1:7" ht="15.12" thickBot="1" customHeight="1">
      <c r="A12780" s="26"/>
      <c r="B12780" s="26"/>
      <c r="C12780" s="26"/>
      <c r="D12780" s="24" t="s">
        <v>40395</v>
      </c>
      <c r="E12780" s="28">
        <v>0.50000</v>
      </c>
      <c r="F12780" s="29">
        <f ca="1">ROUND((G12777+G12778+G12779),3)</f>
        <v>0</v>
      </c>
      <c r="G12780" s="27">
        <f ca="1">ROUND(E12780*F12780,2)</f>
        <v>0</v>
      </c>
    </row>
    <row r="12781" spans="1:7" ht="15.12" thickBot="1" customHeight="1">
      <c r="A12781" s="24" t="s">
        <v>40396</v>
      </c>
      <c r="B12781" s="24"/>
      <c r="C12781" s="24" t="s">
        <v>40397</v>
      </c>
      <c r="D12781" s="25" t="s">
        <v>40398</v>
      </c>
      <c r="E12781" s="28">
        <v>5.00000</v>
      </c>
      <c r="F12781" s="29">
        <f ca="1">ROUND(21.900,3)</f>
        <v>0</v>
      </c>
      <c r="G12781" s="27">
        <f ca="1">ROUND((E12781*F12781)/100,2)</f>
        <v>0</v>
      </c>
    </row>
    <row r="12782" spans="1:7" ht="15.48" thickBot="1" customHeight="1">
      <c r="A12782" s="30"/>
      <c r="B12782" s="30"/>
      <c r="C12782" s="30"/>
      <c r="D12782" s="31" t="s">
        <v>40399</v>
      </c>
      <c r="E12782" s="30"/>
      <c r="F12782" s="33">
        <f ca="1">ROUND((G12775+G12776+G12781)*(1+G2/100),2)</f>
        <v>0</v>
      </c>
      <c r="G12782" s="30"/>
    </row>
    <row r="12783" spans="1:7" ht="76.80" thickBot="1" customHeight="1">
      <c r="A12783" s="34" t="s">
        <v>40400</v>
      </c>
      <c r="B12783" s="35" t="s">
        <v>40401</v>
      </c>
      <c r="C12783" s="35" t="s">
        <v>40402</v>
      </c>
      <c r="D12783" s="36" t="s">
        <v>40403</v>
      </c>
      <c r="E12783" s="37"/>
      <c r="F12783" s="38">
        <f ca="1">F12792</f>
        <v>0</v>
      </c>
      <c r="G12783" s="37"/>
    </row>
    <row r="12784" spans="1:7" ht="30.60" thickBot="1" customHeight="1">
      <c r="A12784" s="26"/>
      <c r="B12784" s="26"/>
      <c r="C12784" s="26"/>
      <c r="D12784" s="25" t="s">
        <v>40404</v>
      </c>
      <c r="E12784" s="25"/>
      <c r="F12784" s="25"/>
      <c r="G12784" s="25"/>
    </row>
    <row r="12785" spans="1:7" ht="39.84" thickBot="1" customHeight="1">
      <c r="A12785" s="24" t="s">
        <v>40405</v>
      </c>
      <c r="B12785" s="24" t="s">
        <v>40406</v>
      </c>
      <c r="C12785" s="24" t="s">
        <v>40407</v>
      </c>
      <c r="D12785" s="25" t="s">
        <v>40408</v>
      </c>
      <c r="E12785" s="28">
        <v>0.01667</v>
      </c>
      <c r="F12785" s="29">
        <f ca="1">ROUND(115.330,3)</f>
        <v>0</v>
      </c>
      <c r="G12785" s="27">
        <f ca="1">ROUND(E12785*F12785,2)</f>
        <v>0</v>
      </c>
    </row>
    <row r="12786" spans="1:7" ht="21.36" thickBot="1" customHeight="1">
      <c r="A12786" s="24" t="s">
        <v>40409</v>
      </c>
      <c r="B12786" s="24" t="s">
        <v>40410</v>
      </c>
      <c r="C12786" s="24" t="s">
        <v>40411</v>
      </c>
      <c r="D12786" s="25" t="s">
        <v>40412</v>
      </c>
      <c r="E12786" s="28">
        <v>0.36000</v>
      </c>
      <c r="F12786" s="29">
        <f ca="1">F12790</f>
        <v>0</v>
      </c>
      <c r="G12786" s="27">
        <f ca="1">ROUND(E12786*F12786,2)</f>
        <v>0</v>
      </c>
    </row>
    <row r="12787" spans="1:7" ht="24.36" thickBot="1" customHeight="1">
      <c r="A12787" s="24" t="s">
        <v>40413</v>
      </c>
      <c r="B12787" s="24" t="s">
        <v>40414</v>
      </c>
      <c r="C12787" s="24" t="s">
        <v>40415</v>
      </c>
      <c r="D12787" s="25" t="s">
        <v>40416</v>
      </c>
      <c r="E12787" s="28">
        <v>1.00000</v>
      </c>
      <c r="F12787" s="29">
        <f ca="1">ROUND(21.000,3)</f>
        <v>0</v>
      </c>
      <c r="G12787" s="27">
        <f ca="1">ROUND(E12787*F12787,2)</f>
        <v>0</v>
      </c>
    </row>
    <row r="12788" spans="1:7" ht="24.36" thickBot="1" customHeight="1">
      <c r="A12788" s="24" t="s">
        <v>40417</v>
      </c>
      <c r="B12788" s="24" t="s">
        <v>40418</v>
      </c>
      <c r="C12788" s="24" t="s">
        <v>40419</v>
      </c>
      <c r="D12788" s="25" t="s">
        <v>40420</v>
      </c>
      <c r="E12788" s="28">
        <v>1.00000</v>
      </c>
      <c r="F12788" s="29">
        <f ca="1">ROUND(19.000,3)</f>
        <v>0</v>
      </c>
      <c r="G12788" s="27">
        <f ca="1">ROUND(E12788*F12788,2)</f>
        <v>0</v>
      </c>
    </row>
    <row r="12789" spans="1:7" ht="24.36" thickBot="1" customHeight="1">
      <c r="A12789" s="24" t="s">
        <v>40421</v>
      </c>
      <c r="B12789" s="24" t="s">
        <v>40422</v>
      </c>
      <c r="C12789" s="24" t="s">
        <v>40423</v>
      </c>
      <c r="D12789" s="25" t="s">
        <v>40424</v>
      </c>
      <c r="E12789" s="28">
        <v>0.20000</v>
      </c>
      <c r="F12789" s="29">
        <f ca="1">ROUND(19.000,3)</f>
        <v>0</v>
      </c>
      <c r="G12789" s="27">
        <f ca="1">ROUND(E12789*F12789,2)</f>
        <v>0</v>
      </c>
    </row>
    <row r="12790" spans="1:7" ht="15.12" thickBot="1" customHeight="1">
      <c r="A12790" s="26"/>
      <c r="B12790" s="26"/>
      <c r="C12790" s="26"/>
      <c r="D12790" s="24" t="s">
        <v>40425</v>
      </c>
      <c r="E12790" s="28">
        <v>0.36000</v>
      </c>
      <c r="F12790" s="29">
        <f ca="1">ROUND((G12787+G12788+G12789),3)</f>
        <v>0</v>
      </c>
      <c r="G12790" s="27">
        <f ca="1">ROUND(E12790*F12790,2)</f>
        <v>0</v>
      </c>
    </row>
    <row r="12791" spans="1:7" ht="15.12" thickBot="1" customHeight="1">
      <c r="A12791" s="24" t="s">
        <v>40426</v>
      </c>
      <c r="B12791" s="24"/>
      <c r="C12791" s="24" t="s">
        <v>40427</v>
      </c>
      <c r="D12791" s="25" t="s">
        <v>40428</v>
      </c>
      <c r="E12791" s="28">
        <v>5.00000</v>
      </c>
      <c r="F12791" s="29">
        <f ca="1">ROUND(15.770,3)</f>
        <v>0</v>
      </c>
      <c r="G12791" s="27">
        <f ca="1">ROUND((E12791*F12791)/100,2)</f>
        <v>0</v>
      </c>
    </row>
    <row r="12792" spans="1:7" ht="15.48" thickBot="1" customHeight="1">
      <c r="A12792" s="30"/>
      <c r="B12792" s="30"/>
      <c r="C12792" s="30"/>
      <c r="D12792" s="31" t="s">
        <v>40429</v>
      </c>
      <c r="E12792" s="30"/>
      <c r="F12792" s="33">
        <f ca="1">ROUND((G12785+G12786+G12791)*(1+G2/100),2)</f>
        <v>0</v>
      </c>
      <c r="G12792" s="30"/>
    </row>
    <row r="12793" spans="1:7" ht="67.56" thickBot="1" customHeight="1">
      <c r="A12793" s="34" t="s">
        <v>40430</v>
      </c>
      <c r="B12793" s="35" t="s">
        <v>40431</v>
      </c>
      <c r="C12793" s="35" t="s">
        <v>40432</v>
      </c>
      <c r="D12793" s="36" t="s">
        <v>40433</v>
      </c>
      <c r="E12793" s="37"/>
      <c r="F12793" s="38">
        <f ca="1">F12802</f>
        <v>0</v>
      </c>
      <c r="G12793" s="37"/>
    </row>
    <row r="12794" spans="1:7" ht="30.60" thickBot="1" customHeight="1">
      <c r="A12794" s="26"/>
      <c r="B12794" s="26"/>
      <c r="C12794" s="26"/>
      <c r="D12794" s="25" t="s">
        <v>40434</v>
      </c>
      <c r="E12794" s="25"/>
      <c r="F12794" s="25"/>
      <c r="G12794" s="25"/>
    </row>
    <row r="12795" spans="1:7" ht="58.32" thickBot="1" customHeight="1">
      <c r="A12795" s="24" t="s">
        <v>40435</v>
      </c>
      <c r="B12795" s="24" t="s">
        <v>40436</v>
      </c>
      <c r="C12795" s="24" t="s">
        <v>40437</v>
      </c>
      <c r="D12795" s="25" t="s">
        <v>40438</v>
      </c>
      <c r="E12795" s="28">
        <v>0.02750</v>
      </c>
      <c r="F12795" s="29">
        <f ca="1">ROUND(173.430,3)</f>
        <v>0</v>
      </c>
      <c r="G12795" s="27">
        <f ca="1">ROUND(E12795*F12795,2)</f>
        <v>0</v>
      </c>
    </row>
    <row r="12796" spans="1:7" ht="21.36" thickBot="1" customHeight="1">
      <c r="A12796" s="24" t="s">
        <v>40439</v>
      </c>
      <c r="B12796" s="24" t="s">
        <v>40440</v>
      </c>
      <c r="C12796" s="24" t="s">
        <v>40441</v>
      </c>
      <c r="D12796" s="25" t="s">
        <v>40442</v>
      </c>
      <c r="E12796" s="28">
        <v>0.30000</v>
      </c>
      <c r="F12796" s="29">
        <f ca="1">F12800</f>
        <v>0</v>
      </c>
      <c r="G12796" s="27">
        <f ca="1">ROUND(E12796*F12796,2)</f>
        <v>0</v>
      </c>
    </row>
    <row r="12797" spans="1:7" ht="24.36" thickBot="1" customHeight="1">
      <c r="A12797" s="24" t="s">
        <v>40443</v>
      </c>
      <c r="B12797" s="24" t="s">
        <v>40444</v>
      </c>
      <c r="C12797" s="24" t="s">
        <v>40445</v>
      </c>
      <c r="D12797" s="25" t="s">
        <v>40446</v>
      </c>
      <c r="E12797" s="28">
        <v>1.00000</v>
      </c>
      <c r="F12797" s="29">
        <f ca="1">ROUND(21.000,3)</f>
        <v>0</v>
      </c>
      <c r="G12797" s="27">
        <f ca="1">ROUND(E12797*F12797,2)</f>
        <v>0</v>
      </c>
    </row>
    <row r="12798" spans="1:7" ht="24.36" thickBot="1" customHeight="1">
      <c r="A12798" s="24" t="s">
        <v>40447</v>
      </c>
      <c r="B12798" s="24" t="s">
        <v>40448</v>
      </c>
      <c r="C12798" s="24" t="s">
        <v>40449</v>
      </c>
      <c r="D12798" s="25" t="s">
        <v>40450</v>
      </c>
      <c r="E12798" s="28">
        <v>1.00000</v>
      </c>
      <c r="F12798" s="29">
        <f ca="1">ROUND(19.000,3)</f>
        <v>0</v>
      </c>
      <c r="G12798" s="27">
        <f ca="1">ROUND(E12798*F12798,2)</f>
        <v>0</v>
      </c>
    </row>
    <row r="12799" spans="1:7" ht="24.36" thickBot="1" customHeight="1">
      <c r="A12799" s="24" t="s">
        <v>40451</v>
      </c>
      <c r="B12799" s="24" t="s">
        <v>40452</v>
      </c>
      <c r="C12799" s="24" t="s">
        <v>40453</v>
      </c>
      <c r="D12799" s="25" t="s">
        <v>40454</v>
      </c>
      <c r="E12799" s="28">
        <v>0.20000</v>
      </c>
      <c r="F12799" s="29">
        <f ca="1">ROUND(19.000,3)</f>
        <v>0</v>
      </c>
      <c r="G12799" s="27">
        <f ca="1">ROUND(E12799*F12799,2)</f>
        <v>0</v>
      </c>
    </row>
    <row r="12800" spans="1:7" ht="15.12" thickBot="1" customHeight="1">
      <c r="A12800" s="26"/>
      <c r="B12800" s="26"/>
      <c r="C12800" s="26"/>
      <c r="D12800" s="24" t="s">
        <v>40455</v>
      </c>
      <c r="E12800" s="28">
        <v>0.30000</v>
      </c>
      <c r="F12800" s="29">
        <f ca="1">ROUND((G12797+G12798+G12799),3)</f>
        <v>0</v>
      </c>
      <c r="G12800" s="27">
        <f ca="1">ROUND(E12800*F12800,2)</f>
        <v>0</v>
      </c>
    </row>
    <row r="12801" spans="1:7" ht="15.12" thickBot="1" customHeight="1">
      <c r="A12801" s="24" t="s">
        <v>40456</v>
      </c>
      <c r="B12801" s="24"/>
      <c r="C12801" s="24" t="s">
        <v>40457</v>
      </c>
      <c r="D12801" s="25" t="s">
        <v>40458</v>
      </c>
      <c r="E12801" s="28">
        <v>5.00000</v>
      </c>
      <c r="F12801" s="29">
        <f ca="1">ROUND(13.140,3)</f>
        <v>0</v>
      </c>
      <c r="G12801" s="27">
        <f ca="1">ROUND((E12801*F12801)/100,2)</f>
        <v>0</v>
      </c>
    </row>
    <row r="12802" spans="1:7" ht="15.48" thickBot="1" customHeight="1">
      <c r="A12802" s="30"/>
      <c r="B12802" s="30"/>
      <c r="C12802" s="30"/>
      <c r="D12802" s="31" t="s">
        <v>40459</v>
      </c>
      <c r="E12802" s="30"/>
      <c r="F12802" s="33">
        <f ca="1">ROUND((G12795+G12796+G12801)*(1+G2/100),2)</f>
        <v>0</v>
      </c>
      <c r="G12802" s="30"/>
    </row>
    <row r="12803" spans="1:7" ht="76.80" thickBot="1" customHeight="1">
      <c r="A12803" s="34" t="s">
        <v>40460</v>
      </c>
      <c r="B12803" s="35" t="s">
        <v>40461</v>
      </c>
      <c r="C12803" s="35" t="s">
        <v>40462</v>
      </c>
      <c r="D12803" s="36" t="s">
        <v>40463</v>
      </c>
      <c r="E12803" s="37"/>
      <c r="F12803" s="38">
        <f ca="1">F12812</f>
        <v>0</v>
      </c>
      <c r="G12803" s="37"/>
    </row>
    <row r="12804" spans="1:7" ht="30.60" thickBot="1" customHeight="1">
      <c r="A12804" s="26"/>
      <c r="B12804" s="26"/>
      <c r="C12804" s="26"/>
      <c r="D12804" s="25" t="s">
        <v>40464</v>
      </c>
      <c r="E12804" s="25"/>
      <c r="F12804" s="25"/>
      <c r="G12804" s="25"/>
    </row>
    <row r="12805" spans="1:7" ht="39.84" thickBot="1" customHeight="1">
      <c r="A12805" s="24" t="s">
        <v>40465</v>
      </c>
      <c r="B12805" s="24" t="s">
        <v>40466</v>
      </c>
      <c r="C12805" s="24" t="s">
        <v>40467</v>
      </c>
      <c r="D12805" s="25" t="s">
        <v>40468</v>
      </c>
      <c r="E12805" s="28">
        <v>0.01667</v>
      </c>
      <c r="F12805" s="29">
        <f ca="1">ROUND(115.330,3)</f>
        <v>0</v>
      </c>
      <c r="G12805" s="27">
        <f ca="1">ROUND(E12805*F12805,2)</f>
        <v>0</v>
      </c>
    </row>
    <row r="12806" spans="1:7" ht="21.36" thickBot="1" customHeight="1">
      <c r="A12806" s="24" t="s">
        <v>40469</v>
      </c>
      <c r="B12806" s="24" t="s">
        <v>40470</v>
      </c>
      <c r="C12806" s="24" t="s">
        <v>40471</v>
      </c>
      <c r="D12806" s="25" t="s">
        <v>40472</v>
      </c>
      <c r="E12806" s="28">
        <v>0.30000</v>
      </c>
      <c r="F12806" s="29">
        <f ca="1">F12810</f>
        <v>0</v>
      </c>
      <c r="G12806" s="27">
        <f ca="1">ROUND(E12806*F12806,2)</f>
        <v>0</v>
      </c>
    </row>
    <row r="12807" spans="1:7" ht="24.36" thickBot="1" customHeight="1">
      <c r="A12807" s="24" t="s">
        <v>40473</v>
      </c>
      <c r="B12807" s="24" t="s">
        <v>40474</v>
      </c>
      <c r="C12807" s="24" t="s">
        <v>40475</v>
      </c>
      <c r="D12807" s="25" t="s">
        <v>40476</v>
      </c>
      <c r="E12807" s="28">
        <v>1.00000</v>
      </c>
      <c r="F12807" s="29">
        <f ca="1">ROUND(21.000,3)</f>
        <v>0</v>
      </c>
      <c r="G12807" s="27">
        <f ca="1">ROUND(E12807*F12807,2)</f>
        <v>0</v>
      </c>
    </row>
    <row r="12808" spans="1:7" ht="24.36" thickBot="1" customHeight="1">
      <c r="A12808" s="24" t="s">
        <v>40477</v>
      </c>
      <c r="B12808" s="24" t="s">
        <v>40478</v>
      </c>
      <c r="C12808" s="24" t="s">
        <v>40479</v>
      </c>
      <c r="D12808" s="25" t="s">
        <v>40480</v>
      </c>
      <c r="E12808" s="28">
        <v>1.00000</v>
      </c>
      <c r="F12808" s="29">
        <f ca="1">ROUND(19.000,3)</f>
        <v>0</v>
      </c>
      <c r="G12808" s="27">
        <f ca="1">ROUND(E12808*F12808,2)</f>
        <v>0</v>
      </c>
    </row>
    <row r="12809" spans="1:7" ht="24.36" thickBot="1" customHeight="1">
      <c r="A12809" s="24" t="s">
        <v>40481</v>
      </c>
      <c r="B12809" s="24" t="s">
        <v>40482</v>
      </c>
      <c r="C12809" s="24" t="s">
        <v>40483</v>
      </c>
      <c r="D12809" s="25" t="s">
        <v>40484</v>
      </c>
      <c r="E12809" s="28">
        <v>0.20000</v>
      </c>
      <c r="F12809" s="29">
        <f ca="1">ROUND(19.000,3)</f>
        <v>0</v>
      </c>
      <c r="G12809" s="27">
        <f ca="1">ROUND(E12809*F12809,2)</f>
        <v>0</v>
      </c>
    </row>
    <row r="12810" spans="1:7" ht="15.12" thickBot="1" customHeight="1">
      <c r="A12810" s="26"/>
      <c r="B12810" s="26"/>
      <c r="C12810" s="26"/>
      <c r="D12810" s="24" t="s">
        <v>40485</v>
      </c>
      <c r="E12810" s="28">
        <v>0.30000</v>
      </c>
      <c r="F12810" s="29">
        <f ca="1">ROUND((G12807+G12808+G12809),3)</f>
        <v>0</v>
      </c>
      <c r="G12810" s="27">
        <f ca="1">ROUND(E12810*F12810,2)</f>
        <v>0</v>
      </c>
    </row>
    <row r="12811" spans="1:7" ht="15.12" thickBot="1" customHeight="1">
      <c r="A12811" s="24" t="s">
        <v>40486</v>
      </c>
      <c r="B12811" s="24"/>
      <c r="C12811" s="24" t="s">
        <v>40487</v>
      </c>
      <c r="D12811" s="25" t="s">
        <v>40488</v>
      </c>
      <c r="E12811" s="28">
        <v>5.00000</v>
      </c>
      <c r="F12811" s="29">
        <f ca="1">ROUND(13.140,3)</f>
        <v>0</v>
      </c>
      <c r="G12811" s="27">
        <f ca="1">ROUND((E12811*F12811)/100,2)</f>
        <v>0</v>
      </c>
    </row>
    <row r="12812" spans="1:7" ht="15.48" thickBot="1" customHeight="1">
      <c r="A12812" s="30"/>
      <c r="B12812" s="30"/>
      <c r="C12812" s="30"/>
      <c r="D12812" s="31" t="s">
        <v>40489</v>
      </c>
      <c r="E12812" s="30"/>
      <c r="F12812" s="33">
        <f ca="1">ROUND((G12805+G12806+G12811)*(1+G2/100),2)</f>
        <v>0</v>
      </c>
      <c r="G12812" s="30"/>
    </row>
    <row r="12813" spans="1:7" ht="67.56" thickBot="1" customHeight="1">
      <c r="A12813" s="34" t="s">
        <v>40490</v>
      </c>
      <c r="B12813" s="35" t="s">
        <v>40491</v>
      </c>
      <c r="C12813" s="35" t="s">
        <v>40492</v>
      </c>
      <c r="D12813" s="36" t="s">
        <v>40493</v>
      </c>
      <c r="E12813" s="37"/>
      <c r="F12813" s="38">
        <f ca="1">F12822</f>
        <v>0</v>
      </c>
      <c r="G12813" s="37"/>
    </row>
    <row r="12814" spans="1:7" ht="30.60" thickBot="1" customHeight="1">
      <c r="A12814" s="26"/>
      <c r="B12814" s="26"/>
      <c r="C12814" s="26"/>
      <c r="D12814" s="25" t="s">
        <v>40494</v>
      </c>
      <c r="E12814" s="25"/>
      <c r="F12814" s="25"/>
      <c r="G12814" s="25"/>
    </row>
    <row r="12815" spans="1:7" ht="58.32" thickBot="1" customHeight="1">
      <c r="A12815" s="24" t="s">
        <v>40495</v>
      </c>
      <c r="B12815" s="24" t="s">
        <v>40496</v>
      </c>
      <c r="C12815" s="24" t="s">
        <v>40497</v>
      </c>
      <c r="D12815" s="25" t="s">
        <v>40498</v>
      </c>
      <c r="E12815" s="28">
        <v>0.02750</v>
      </c>
      <c r="F12815" s="29">
        <f ca="1">ROUND(173.430,3)</f>
        <v>0</v>
      </c>
      <c r="G12815" s="27">
        <f ca="1">ROUND(E12815*F12815,2)</f>
        <v>0</v>
      </c>
    </row>
    <row r="12816" spans="1:7" ht="21.36" thickBot="1" customHeight="1">
      <c r="A12816" s="24" t="s">
        <v>40499</v>
      </c>
      <c r="B12816" s="24" t="s">
        <v>40500</v>
      </c>
      <c r="C12816" s="24" t="s">
        <v>40501</v>
      </c>
      <c r="D12816" s="25" t="s">
        <v>40502</v>
      </c>
      <c r="E12816" s="28">
        <v>0.45000</v>
      </c>
      <c r="F12816" s="29">
        <f ca="1">F12820</f>
        <v>0</v>
      </c>
      <c r="G12816" s="27">
        <f ca="1">ROUND(E12816*F12816,2)</f>
        <v>0</v>
      </c>
    </row>
    <row r="12817" spans="1:7" ht="24.36" thickBot="1" customHeight="1">
      <c r="A12817" s="24" t="s">
        <v>40503</v>
      </c>
      <c r="B12817" s="24" t="s">
        <v>40504</v>
      </c>
      <c r="C12817" s="24" t="s">
        <v>40505</v>
      </c>
      <c r="D12817" s="25" t="s">
        <v>40506</v>
      </c>
      <c r="E12817" s="28">
        <v>1.00000</v>
      </c>
      <c r="F12817" s="29">
        <f ca="1">ROUND(21.000,3)</f>
        <v>0</v>
      </c>
      <c r="G12817" s="27">
        <f ca="1">ROUND(E12817*F12817,2)</f>
        <v>0</v>
      </c>
    </row>
    <row r="12818" spans="1:7" ht="24.36" thickBot="1" customHeight="1">
      <c r="A12818" s="24" t="s">
        <v>40507</v>
      </c>
      <c r="B12818" s="24" t="s">
        <v>40508</v>
      </c>
      <c r="C12818" s="24" t="s">
        <v>40509</v>
      </c>
      <c r="D12818" s="25" t="s">
        <v>40510</v>
      </c>
      <c r="E12818" s="28">
        <v>1.00000</v>
      </c>
      <c r="F12818" s="29">
        <f ca="1">ROUND(19.000,3)</f>
        <v>0</v>
      </c>
      <c r="G12818" s="27">
        <f ca="1">ROUND(E12818*F12818,2)</f>
        <v>0</v>
      </c>
    </row>
    <row r="12819" spans="1:7" ht="24.36" thickBot="1" customHeight="1">
      <c r="A12819" s="24" t="s">
        <v>40511</v>
      </c>
      <c r="B12819" s="24" t="s">
        <v>40512</v>
      </c>
      <c r="C12819" s="24" t="s">
        <v>40513</v>
      </c>
      <c r="D12819" s="25" t="s">
        <v>40514</v>
      </c>
      <c r="E12819" s="28">
        <v>0.20000</v>
      </c>
      <c r="F12819" s="29">
        <f ca="1">ROUND(19.000,3)</f>
        <v>0</v>
      </c>
      <c r="G12819" s="27">
        <f ca="1">ROUND(E12819*F12819,2)</f>
        <v>0</v>
      </c>
    </row>
    <row r="12820" spans="1:7" ht="15.12" thickBot="1" customHeight="1">
      <c r="A12820" s="26"/>
      <c r="B12820" s="26"/>
      <c r="C12820" s="26"/>
      <c r="D12820" s="24" t="s">
        <v>40515</v>
      </c>
      <c r="E12820" s="28">
        <v>0.45000</v>
      </c>
      <c r="F12820" s="29">
        <f ca="1">ROUND((G12817+G12818+G12819),3)</f>
        <v>0</v>
      </c>
      <c r="G12820" s="27">
        <f ca="1">ROUND(E12820*F12820,2)</f>
        <v>0</v>
      </c>
    </row>
    <row r="12821" spans="1:7" ht="15.12" thickBot="1" customHeight="1">
      <c r="A12821" s="24" t="s">
        <v>40516</v>
      </c>
      <c r="B12821" s="24"/>
      <c r="C12821" s="24" t="s">
        <v>40517</v>
      </c>
      <c r="D12821" s="25" t="s">
        <v>40518</v>
      </c>
      <c r="E12821" s="28">
        <v>5.00000</v>
      </c>
      <c r="F12821" s="29">
        <f ca="1">ROUND(19.710,3)</f>
        <v>0</v>
      </c>
      <c r="G12821" s="27">
        <f ca="1">ROUND((E12821*F12821)/100,2)</f>
        <v>0</v>
      </c>
    </row>
    <row r="12822" spans="1:7" ht="15.48" thickBot="1" customHeight="1">
      <c r="A12822" s="30"/>
      <c r="B12822" s="30"/>
      <c r="C12822" s="30"/>
      <c r="D12822" s="31" t="s">
        <v>40519</v>
      </c>
      <c r="E12822" s="30"/>
      <c r="F12822" s="33">
        <f ca="1">ROUND((G12815+G12816+G12821)*(1+G2/100),2)</f>
        <v>0</v>
      </c>
      <c r="G12822" s="30"/>
    </row>
    <row r="12823" spans="1:7" ht="76.80" thickBot="1" customHeight="1">
      <c r="A12823" s="34" t="s">
        <v>40520</v>
      </c>
      <c r="B12823" s="35" t="s">
        <v>40521</v>
      </c>
      <c r="C12823" s="35" t="s">
        <v>40522</v>
      </c>
      <c r="D12823" s="36" t="s">
        <v>40523</v>
      </c>
      <c r="E12823" s="37"/>
      <c r="F12823" s="38">
        <f ca="1">F12832</f>
        <v>0</v>
      </c>
      <c r="G12823" s="37"/>
    </row>
    <row r="12824" spans="1:7" ht="30.60" thickBot="1" customHeight="1">
      <c r="A12824" s="26"/>
      <c r="B12824" s="26"/>
      <c r="C12824" s="26"/>
      <c r="D12824" s="25" t="s">
        <v>40524</v>
      </c>
      <c r="E12824" s="25"/>
      <c r="F12824" s="25"/>
      <c r="G12824" s="25"/>
    </row>
    <row r="12825" spans="1:7" ht="39.84" thickBot="1" customHeight="1">
      <c r="A12825" s="24" t="s">
        <v>40525</v>
      </c>
      <c r="B12825" s="24" t="s">
        <v>40526</v>
      </c>
      <c r="C12825" s="24" t="s">
        <v>40527</v>
      </c>
      <c r="D12825" s="25" t="s">
        <v>40528</v>
      </c>
      <c r="E12825" s="28">
        <v>0.01667</v>
      </c>
      <c r="F12825" s="29">
        <f ca="1">ROUND(115.330,3)</f>
        <v>0</v>
      </c>
      <c r="G12825" s="27">
        <f ca="1">ROUND(E12825*F12825,2)</f>
        <v>0</v>
      </c>
    </row>
    <row r="12826" spans="1:7" ht="21.36" thickBot="1" customHeight="1">
      <c r="A12826" s="24" t="s">
        <v>40529</v>
      </c>
      <c r="B12826" s="24" t="s">
        <v>40530</v>
      </c>
      <c r="C12826" s="24" t="s">
        <v>40531</v>
      </c>
      <c r="D12826" s="25" t="s">
        <v>40532</v>
      </c>
      <c r="E12826" s="28">
        <v>0.45000</v>
      </c>
      <c r="F12826" s="29">
        <f ca="1">F12830</f>
        <v>0</v>
      </c>
      <c r="G12826" s="27">
        <f ca="1">ROUND(E12826*F12826,2)</f>
        <v>0</v>
      </c>
    </row>
    <row r="12827" spans="1:7" ht="24.36" thickBot="1" customHeight="1">
      <c r="A12827" s="24" t="s">
        <v>40533</v>
      </c>
      <c r="B12827" s="24" t="s">
        <v>40534</v>
      </c>
      <c r="C12827" s="24" t="s">
        <v>40535</v>
      </c>
      <c r="D12827" s="25" t="s">
        <v>40536</v>
      </c>
      <c r="E12827" s="28">
        <v>1.00000</v>
      </c>
      <c r="F12827" s="29">
        <f ca="1">ROUND(21.000,3)</f>
        <v>0</v>
      </c>
      <c r="G12827" s="27">
        <f ca="1">ROUND(E12827*F12827,2)</f>
        <v>0</v>
      </c>
    </row>
    <row r="12828" spans="1:7" ht="24.36" thickBot="1" customHeight="1">
      <c r="A12828" s="24" t="s">
        <v>40537</v>
      </c>
      <c r="B12828" s="24" t="s">
        <v>40538</v>
      </c>
      <c r="C12828" s="24" t="s">
        <v>40539</v>
      </c>
      <c r="D12828" s="25" t="s">
        <v>40540</v>
      </c>
      <c r="E12828" s="28">
        <v>1.00000</v>
      </c>
      <c r="F12828" s="29">
        <f ca="1">ROUND(19.000,3)</f>
        <v>0</v>
      </c>
      <c r="G12828" s="27">
        <f ca="1">ROUND(E12828*F12828,2)</f>
        <v>0</v>
      </c>
    </row>
    <row r="12829" spans="1:7" ht="24.36" thickBot="1" customHeight="1">
      <c r="A12829" s="24" t="s">
        <v>40541</v>
      </c>
      <c r="B12829" s="24" t="s">
        <v>40542</v>
      </c>
      <c r="C12829" s="24" t="s">
        <v>40543</v>
      </c>
      <c r="D12829" s="25" t="s">
        <v>40544</v>
      </c>
      <c r="E12829" s="28">
        <v>0.20000</v>
      </c>
      <c r="F12829" s="29">
        <f ca="1">ROUND(19.000,3)</f>
        <v>0</v>
      </c>
      <c r="G12829" s="27">
        <f ca="1">ROUND(E12829*F12829,2)</f>
        <v>0</v>
      </c>
    </row>
    <row r="12830" spans="1:7" ht="15.12" thickBot="1" customHeight="1">
      <c r="A12830" s="26"/>
      <c r="B12830" s="26"/>
      <c r="C12830" s="26"/>
      <c r="D12830" s="24" t="s">
        <v>40545</v>
      </c>
      <c r="E12830" s="28">
        <v>0.45000</v>
      </c>
      <c r="F12830" s="29">
        <f ca="1">ROUND((G12827+G12828+G12829),3)</f>
        <v>0</v>
      </c>
      <c r="G12830" s="27">
        <f ca="1">ROUND(E12830*F12830,2)</f>
        <v>0</v>
      </c>
    </row>
    <row r="12831" spans="1:7" ht="15.12" thickBot="1" customHeight="1">
      <c r="A12831" s="24" t="s">
        <v>40546</v>
      </c>
      <c r="B12831" s="24"/>
      <c r="C12831" s="24" t="s">
        <v>40547</v>
      </c>
      <c r="D12831" s="25" t="s">
        <v>40548</v>
      </c>
      <c r="E12831" s="28">
        <v>5.00000</v>
      </c>
      <c r="F12831" s="29">
        <f ca="1">ROUND(19.710,3)</f>
        <v>0</v>
      </c>
      <c r="G12831" s="27">
        <f ca="1">ROUND((E12831*F12831)/100,2)</f>
        <v>0</v>
      </c>
    </row>
    <row r="12832" spans="1:7" ht="15.48" thickBot="1" customHeight="1">
      <c r="A12832" s="30"/>
      <c r="B12832" s="30"/>
      <c r="C12832" s="30"/>
      <c r="D12832" s="31" t="s">
        <v>40549</v>
      </c>
      <c r="E12832" s="30"/>
      <c r="F12832" s="33">
        <f ca="1">ROUND((G12825+G12826+G12831)*(1+G2/100),2)</f>
        <v>0</v>
      </c>
      <c r="G12832" s="30"/>
    </row>
    <row r="12833" spans="1:7" ht="49.08" thickBot="1" customHeight="1">
      <c r="A12833" s="34" t="s">
        <v>40550</v>
      </c>
      <c r="B12833" s="35" t="s">
        <v>40551</v>
      </c>
      <c r="C12833" s="35" t="s">
        <v>40552</v>
      </c>
      <c r="D12833" s="36" t="s">
        <v>40553</v>
      </c>
      <c r="E12833" s="37"/>
      <c r="F12833" s="38">
        <f ca="1">F12843</f>
        <v>0</v>
      </c>
      <c r="G12833" s="37"/>
    </row>
    <row r="12834" spans="1:7" ht="21.36" thickBot="1" customHeight="1">
      <c r="A12834" s="26"/>
      <c r="B12834" s="26"/>
      <c r="C12834" s="26"/>
      <c r="D12834" s="25" t="s">
        <v>40554</v>
      </c>
      <c r="E12834" s="25"/>
      <c r="F12834" s="25"/>
      <c r="G12834" s="25"/>
    </row>
    <row r="12835" spans="1:7" ht="39.84" thickBot="1" customHeight="1">
      <c r="A12835" s="24" t="s">
        <v>40555</v>
      </c>
      <c r="B12835" s="24" t="s">
        <v>40556</v>
      </c>
      <c r="C12835" s="24" t="s">
        <v>40557</v>
      </c>
      <c r="D12835" s="25" t="s">
        <v>40558</v>
      </c>
      <c r="E12835" s="28">
        <v>0.04000</v>
      </c>
      <c r="F12835" s="29">
        <f ca="1">ROUND(43.020,3)</f>
        <v>0</v>
      </c>
      <c r="G12835" s="27">
        <f ca="1">ROUND(E12835*F12835,2)</f>
        <v>0</v>
      </c>
    </row>
    <row r="12836" spans="1:7" ht="39.84" thickBot="1" customHeight="1">
      <c r="A12836" s="24" t="s">
        <v>40559</v>
      </c>
      <c r="B12836" s="24" t="s">
        <v>40560</v>
      </c>
      <c r="C12836" s="24" t="s">
        <v>40561</v>
      </c>
      <c r="D12836" s="25" t="s">
        <v>40562</v>
      </c>
      <c r="E12836" s="28">
        <v>0.08000</v>
      </c>
      <c r="F12836" s="29">
        <f ca="1">ROUND(71.910,3)</f>
        <v>0</v>
      </c>
      <c r="G12836" s="27">
        <f ca="1">ROUND(E12836*F12836,2)</f>
        <v>0</v>
      </c>
    </row>
    <row r="12837" spans="1:7" ht="21.36" thickBot="1" customHeight="1">
      <c r="A12837" s="24" t="s">
        <v>40563</v>
      </c>
      <c r="B12837" s="24" t="s">
        <v>40564</v>
      </c>
      <c r="C12837" s="24" t="s">
        <v>40565</v>
      </c>
      <c r="D12837" s="25" t="s">
        <v>40566</v>
      </c>
      <c r="E12837" s="28">
        <v>0.56000</v>
      </c>
      <c r="F12837" s="29">
        <f ca="1">F12841</f>
        <v>0</v>
      </c>
      <c r="G12837" s="27">
        <f ca="1">ROUND(E12837*F12837,2)</f>
        <v>0</v>
      </c>
    </row>
    <row r="12838" spans="1:7" ht="24.36" thickBot="1" customHeight="1">
      <c r="A12838" s="24" t="s">
        <v>40567</v>
      </c>
      <c r="B12838" s="24" t="s">
        <v>40568</v>
      </c>
      <c r="C12838" s="24" t="s">
        <v>40569</v>
      </c>
      <c r="D12838" s="25" t="s">
        <v>40570</v>
      </c>
      <c r="E12838" s="28">
        <v>1.00000</v>
      </c>
      <c r="F12838" s="29">
        <f ca="1">ROUND(21.000,3)</f>
        <v>0</v>
      </c>
      <c r="G12838" s="27">
        <f ca="1">ROUND(E12838*F12838,2)</f>
        <v>0</v>
      </c>
    </row>
    <row r="12839" spans="1:7" ht="24.36" thickBot="1" customHeight="1">
      <c r="A12839" s="24" t="s">
        <v>40571</v>
      </c>
      <c r="B12839" s="24" t="s">
        <v>40572</v>
      </c>
      <c r="C12839" s="24" t="s">
        <v>40573</v>
      </c>
      <c r="D12839" s="25" t="s">
        <v>40574</v>
      </c>
      <c r="E12839" s="28">
        <v>1.00000</v>
      </c>
      <c r="F12839" s="29">
        <f ca="1">ROUND(19.000,3)</f>
        <v>0</v>
      </c>
      <c r="G12839" s="27">
        <f ca="1">ROUND(E12839*F12839,2)</f>
        <v>0</v>
      </c>
    </row>
    <row r="12840" spans="1:7" ht="24.36" thickBot="1" customHeight="1">
      <c r="A12840" s="24" t="s">
        <v>40575</v>
      </c>
      <c r="B12840" s="24" t="s">
        <v>40576</v>
      </c>
      <c r="C12840" s="24" t="s">
        <v>40577</v>
      </c>
      <c r="D12840" s="25" t="s">
        <v>40578</v>
      </c>
      <c r="E12840" s="28">
        <v>0.20000</v>
      </c>
      <c r="F12840" s="29">
        <f ca="1">ROUND(19.000,3)</f>
        <v>0</v>
      </c>
      <c r="G12840" s="27">
        <f ca="1">ROUND(E12840*F12840,2)</f>
        <v>0</v>
      </c>
    </row>
    <row r="12841" spans="1:7" ht="15.12" thickBot="1" customHeight="1">
      <c r="A12841" s="26"/>
      <c r="B12841" s="26"/>
      <c r="C12841" s="26"/>
      <c r="D12841" s="24" t="s">
        <v>40579</v>
      </c>
      <c r="E12841" s="28">
        <v>0.56000</v>
      </c>
      <c r="F12841" s="29">
        <f ca="1">ROUND((G12838+G12839+G12840),3)</f>
        <v>0</v>
      </c>
      <c r="G12841" s="27">
        <f ca="1">ROUND(E12841*F12841,2)</f>
        <v>0</v>
      </c>
    </row>
    <row r="12842" spans="1:7" ht="15.12" thickBot="1" customHeight="1">
      <c r="A12842" s="24" t="s">
        <v>40580</v>
      </c>
      <c r="B12842" s="24"/>
      <c r="C12842" s="24" t="s">
        <v>40581</v>
      </c>
      <c r="D12842" s="25" t="s">
        <v>40582</v>
      </c>
      <c r="E12842" s="28">
        <v>5.00000</v>
      </c>
      <c r="F12842" s="29">
        <f ca="1">ROUND(24.530,3)</f>
        <v>0</v>
      </c>
      <c r="G12842" s="27">
        <f ca="1">ROUND((E12842*F12842)/100,2)</f>
        <v>0</v>
      </c>
    </row>
    <row r="12843" spans="1:7" ht="25.08" thickBot="1" customHeight="1">
      <c r="A12843" s="30"/>
      <c r="B12843" s="30"/>
      <c r="C12843" s="30"/>
      <c r="D12843" s="31" t="s">
        <v>40583</v>
      </c>
      <c r="E12843" s="30"/>
      <c r="F12843" s="33">
        <f ca="1">ROUND((G12835+G12836+G12837+G12842)*(1+G2/100),2)</f>
        <v>0</v>
      </c>
      <c r="G12843" s="30"/>
    </row>
    <row r="12844" spans="1:7" ht="39.84" thickBot="1" customHeight="1">
      <c r="A12844" s="34" t="s">
        <v>40584</v>
      </c>
      <c r="B12844" s="35" t="s">
        <v>40585</v>
      </c>
      <c r="C12844" s="35" t="s">
        <v>40586</v>
      </c>
      <c r="D12844" s="36" t="s">
        <v>40587</v>
      </c>
      <c r="E12844" s="37"/>
      <c r="F12844" s="38">
        <f ca="1">F12853</f>
        <v>0</v>
      </c>
      <c r="G12844" s="37"/>
    </row>
    <row r="12845" spans="1:7" ht="12.12" thickBot="1" customHeight="1">
      <c r="A12845" s="26"/>
      <c r="B12845" s="26"/>
      <c r="C12845" s="26"/>
      <c r="D12845" s="25" t="s">
        <v>40588</v>
      </c>
      <c r="E12845" s="25"/>
      <c r="F12845" s="25"/>
      <c r="G12845" s="25"/>
    </row>
    <row r="12846" spans="1:7" ht="49.08" thickBot="1" customHeight="1">
      <c r="A12846" s="24" t="s">
        <v>40589</v>
      </c>
      <c r="B12846" s="24" t="s">
        <v>40590</v>
      </c>
      <c r="C12846" s="24" t="s">
        <v>40591</v>
      </c>
      <c r="D12846" s="25" t="s">
        <v>40592</v>
      </c>
      <c r="E12846" s="28">
        <v>0.09167</v>
      </c>
      <c r="F12846" s="29">
        <f ca="1">ROUND(32.220,3)</f>
        <v>0</v>
      </c>
      <c r="G12846" s="27">
        <f ca="1">ROUND(E12846*F12846,2)</f>
        <v>0</v>
      </c>
    </row>
    <row r="12847" spans="1:7" ht="21.36" thickBot="1" customHeight="1">
      <c r="A12847" s="24" t="s">
        <v>40593</v>
      </c>
      <c r="B12847" s="24" t="s">
        <v>40594</v>
      </c>
      <c r="C12847" s="24" t="s">
        <v>40595</v>
      </c>
      <c r="D12847" s="25" t="s">
        <v>40596</v>
      </c>
      <c r="E12847" s="28">
        <v>0.50000</v>
      </c>
      <c r="F12847" s="29">
        <f ca="1">F12851</f>
        <v>0</v>
      </c>
      <c r="G12847" s="27">
        <f ca="1">ROUND(E12847*F12847,2)</f>
        <v>0</v>
      </c>
    </row>
    <row r="12848" spans="1:7" ht="24.36" thickBot="1" customHeight="1">
      <c r="A12848" s="24" t="s">
        <v>40597</v>
      </c>
      <c r="B12848" s="24" t="s">
        <v>40598</v>
      </c>
      <c r="C12848" s="24" t="s">
        <v>40599</v>
      </c>
      <c r="D12848" s="25" t="s">
        <v>40600</v>
      </c>
      <c r="E12848" s="28">
        <v>1.00000</v>
      </c>
      <c r="F12848" s="29">
        <f ca="1">ROUND(21.000,3)</f>
        <v>0</v>
      </c>
      <c r="G12848" s="27">
        <f ca="1">ROUND(E12848*F12848,2)</f>
        <v>0</v>
      </c>
    </row>
    <row r="12849" spans="1:7" ht="24.36" thickBot="1" customHeight="1">
      <c r="A12849" s="24" t="s">
        <v>40601</v>
      </c>
      <c r="B12849" s="24" t="s">
        <v>40602</v>
      </c>
      <c r="C12849" s="24" t="s">
        <v>40603</v>
      </c>
      <c r="D12849" s="25" t="s">
        <v>40604</v>
      </c>
      <c r="E12849" s="28">
        <v>1.00000</v>
      </c>
      <c r="F12849" s="29">
        <f ca="1">ROUND(19.000,3)</f>
        <v>0</v>
      </c>
      <c r="G12849" s="27">
        <f ca="1">ROUND(E12849*F12849,2)</f>
        <v>0</v>
      </c>
    </row>
    <row r="12850" spans="1:7" ht="24.36" thickBot="1" customHeight="1">
      <c r="A12850" s="24" t="s">
        <v>40605</v>
      </c>
      <c r="B12850" s="24" t="s">
        <v>40606</v>
      </c>
      <c r="C12850" s="24" t="s">
        <v>40607</v>
      </c>
      <c r="D12850" s="25" t="s">
        <v>40608</v>
      </c>
      <c r="E12850" s="28">
        <v>0.20000</v>
      </c>
      <c r="F12850" s="29">
        <f ca="1">ROUND(19.000,3)</f>
        <v>0</v>
      </c>
      <c r="G12850" s="27">
        <f ca="1">ROUND(E12850*F12850,2)</f>
        <v>0</v>
      </c>
    </row>
    <row r="12851" spans="1:7" ht="15.12" thickBot="1" customHeight="1">
      <c r="A12851" s="26"/>
      <c r="B12851" s="26"/>
      <c r="C12851" s="26"/>
      <c r="D12851" s="24" t="s">
        <v>40609</v>
      </c>
      <c r="E12851" s="28">
        <v>0.50000</v>
      </c>
      <c r="F12851" s="29">
        <f ca="1">ROUND((G12848+G12849+G12850),3)</f>
        <v>0</v>
      </c>
      <c r="G12851" s="27">
        <f ca="1">ROUND(E12851*F12851,2)</f>
        <v>0</v>
      </c>
    </row>
    <row r="12852" spans="1:7" ht="15.12" thickBot="1" customHeight="1">
      <c r="A12852" s="24" t="s">
        <v>40610</v>
      </c>
      <c r="B12852" s="24"/>
      <c r="C12852" s="24" t="s">
        <v>40611</v>
      </c>
      <c r="D12852" s="25" t="s">
        <v>40612</v>
      </c>
      <c r="E12852" s="28">
        <v>5.00000</v>
      </c>
      <c r="F12852" s="29">
        <f ca="1">ROUND(21.900,3)</f>
        <v>0</v>
      </c>
      <c r="G12852" s="27">
        <f ca="1">ROUND((E12852*F12852)/100,2)</f>
        <v>0</v>
      </c>
    </row>
    <row r="12853" spans="1:7" ht="15.48" thickBot="1" customHeight="1">
      <c r="A12853" s="30"/>
      <c r="B12853" s="30"/>
      <c r="C12853" s="30"/>
      <c r="D12853" s="31" t="s">
        <v>40613</v>
      </c>
      <c r="E12853" s="30"/>
      <c r="F12853" s="33">
        <f ca="1">ROUND((G12846+G12847+G12852)*(1+G2/100),2)</f>
        <v>0</v>
      </c>
      <c r="G12853" s="30"/>
    </row>
    <row r="12854" spans="1:7" ht="49.08" thickBot="1" customHeight="1">
      <c r="A12854" s="34" t="s">
        <v>40614</v>
      </c>
      <c r="B12854" s="35" t="s">
        <v>40615</v>
      </c>
      <c r="C12854" s="35" t="s">
        <v>40616</v>
      </c>
      <c r="D12854" s="36" t="s">
        <v>40617</v>
      </c>
      <c r="E12854" s="37"/>
      <c r="F12854" s="38">
        <f ca="1">F12863</f>
        <v>0</v>
      </c>
      <c r="G12854" s="37"/>
    </row>
    <row r="12855" spans="1:7" ht="21.36" thickBot="1" customHeight="1">
      <c r="A12855" s="26"/>
      <c r="B12855" s="26"/>
      <c r="C12855" s="26"/>
      <c r="D12855" s="25" t="s">
        <v>40618</v>
      </c>
      <c r="E12855" s="25"/>
      <c r="F12855" s="25"/>
      <c r="G12855" s="25"/>
    </row>
    <row r="12856" spans="1:7" ht="49.08" thickBot="1" customHeight="1">
      <c r="A12856" s="24" t="s">
        <v>40619</v>
      </c>
      <c r="B12856" s="24" t="s">
        <v>40620</v>
      </c>
      <c r="C12856" s="24" t="s">
        <v>40621</v>
      </c>
      <c r="D12856" s="25" t="s">
        <v>40622</v>
      </c>
      <c r="E12856" s="28">
        <v>0.02750</v>
      </c>
      <c r="F12856" s="29">
        <f ca="1">ROUND(32.220,3)</f>
        <v>0</v>
      </c>
      <c r="G12856" s="27">
        <f ca="1">ROUND(E12856*F12856,2)</f>
        <v>0</v>
      </c>
    </row>
    <row r="12857" spans="1:7" ht="21.36" thickBot="1" customHeight="1">
      <c r="A12857" s="24" t="s">
        <v>40623</v>
      </c>
      <c r="B12857" s="24" t="s">
        <v>40624</v>
      </c>
      <c r="C12857" s="24" t="s">
        <v>40625</v>
      </c>
      <c r="D12857" s="25" t="s">
        <v>40626</v>
      </c>
      <c r="E12857" s="28">
        <v>0.20000</v>
      </c>
      <c r="F12857" s="29">
        <f ca="1">F12861</f>
        <v>0</v>
      </c>
      <c r="G12857" s="27">
        <f ca="1">ROUND(E12857*F12857,2)</f>
        <v>0</v>
      </c>
    </row>
    <row r="12858" spans="1:7" ht="24.36" thickBot="1" customHeight="1">
      <c r="A12858" s="24" t="s">
        <v>40627</v>
      </c>
      <c r="B12858" s="24" t="s">
        <v>40628</v>
      </c>
      <c r="C12858" s="24" t="s">
        <v>40629</v>
      </c>
      <c r="D12858" s="25" t="s">
        <v>40630</v>
      </c>
      <c r="E12858" s="28">
        <v>1.00000</v>
      </c>
      <c r="F12858" s="29">
        <f ca="1">ROUND(21.000,3)</f>
        <v>0</v>
      </c>
      <c r="G12858" s="27">
        <f ca="1">ROUND(E12858*F12858,2)</f>
        <v>0</v>
      </c>
    </row>
    <row r="12859" spans="1:7" ht="24.36" thickBot="1" customHeight="1">
      <c r="A12859" s="24" t="s">
        <v>40631</v>
      </c>
      <c r="B12859" s="24" t="s">
        <v>40632</v>
      </c>
      <c r="C12859" s="24" t="s">
        <v>40633</v>
      </c>
      <c r="D12859" s="25" t="s">
        <v>40634</v>
      </c>
      <c r="E12859" s="28">
        <v>1.00000</v>
      </c>
      <c r="F12859" s="29">
        <f ca="1">ROUND(19.000,3)</f>
        <v>0</v>
      </c>
      <c r="G12859" s="27">
        <f ca="1">ROUND(E12859*F12859,2)</f>
        <v>0</v>
      </c>
    </row>
    <row r="12860" spans="1:7" ht="24.36" thickBot="1" customHeight="1">
      <c r="A12860" s="24" t="s">
        <v>40635</v>
      </c>
      <c r="B12860" s="24" t="s">
        <v>40636</v>
      </c>
      <c r="C12860" s="24" t="s">
        <v>40637</v>
      </c>
      <c r="D12860" s="25" t="s">
        <v>40638</v>
      </c>
      <c r="E12860" s="28">
        <v>0.20000</v>
      </c>
      <c r="F12860" s="29">
        <f ca="1">ROUND(19.000,3)</f>
        <v>0</v>
      </c>
      <c r="G12860" s="27">
        <f ca="1">ROUND(E12860*F12860,2)</f>
        <v>0</v>
      </c>
    </row>
    <row r="12861" spans="1:7" ht="15.12" thickBot="1" customHeight="1">
      <c r="A12861" s="26"/>
      <c r="B12861" s="26"/>
      <c r="C12861" s="26"/>
      <c r="D12861" s="24" t="s">
        <v>40639</v>
      </c>
      <c r="E12861" s="28">
        <v>0.20000</v>
      </c>
      <c r="F12861" s="29">
        <f ca="1">ROUND((G12858+G12859+G12860),3)</f>
        <v>0</v>
      </c>
      <c r="G12861" s="27">
        <f ca="1">ROUND(E12861*F12861,2)</f>
        <v>0</v>
      </c>
    </row>
    <row r="12862" spans="1:7" ht="15.12" thickBot="1" customHeight="1">
      <c r="A12862" s="24" t="s">
        <v>40640</v>
      </c>
      <c r="B12862" s="24"/>
      <c r="C12862" s="24" t="s">
        <v>40641</v>
      </c>
      <c r="D12862" s="25" t="s">
        <v>40642</v>
      </c>
      <c r="E12862" s="28">
        <v>5.00000</v>
      </c>
      <c r="F12862" s="29">
        <f ca="1">ROUND(8.760,3)</f>
        <v>0</v>
      </c>
      <c r="G12862" s="27">
        <f ca="1">ROUND((E12862*F12862)/100,2)</f>
        <v>0</v>
      </c>
    </row>
    <row r="12863" spans="1:7" ht="15.48" thickBot="1" customHeight="1">
      <c r="A12863" s="30"/>
      <c r="B12863" s="30"/>
      <c r="C12863" s="30"/>
      <c r="D12863" s="31" t="s">
        <v>40643</v>
      </c>
      <c r="E12863" s="30"/>
      <c r="F12863" s="33">
        <f ca="1">ROUND((G12856+G12857+G12862)*(1+G2/100),2)</f>
        <v>0</v>
      </c>
      <c r="G12863" s="30"/>
    </row>
    <row r="12864" spans="1:7" ht="49.08" thickBot="1" customHeight="1">
      <c r="A12864" s="34" t="s">
        <v>40644</v>
      </c>
      <c r="B12864" s="35" t="s">
        <v>40645</v>
      </c>
      <c r="C12864" s="35" t="s">
        <v>40646</v>
      </c>
      <c r="D12864" s="36" t="s">
        <v>40647</v>
      </c>
      <c r="E12864" s="37"/>
      <c r="F12864" s="38">
        <f ca="1">F12873</f>
        <v>0</v>
      </c>
      <c r="G12864" s="37"/>
    </row>
    <row r="12865" spans="1:7" ht="21.36" thickBot="1" customHeight="1">
      <c r="A12865" s="26"/>
      <c r="B12865" s="26"/>
      <c r="C12865" s="26"/>
      <c r="D12865" s="25" t="s">
        <v>40648</v>
      </c>
      <c r="E12865" s="25"/>
      <c r="F12865" s="25"/>
      <c r="G12865" s="25"/>
    </row>
    <row r="12866" spans="1:7" ht="49.08" thickBot="1" customHeight="1">
      <c r="A12866" s="24" t="s">
        <v>40649</v>
      </c>
      <c r="B12866" s="24" t="s">
        <v>40650</v>
      </c>
      <c r="C12866" s="24" t="s">
        <v>40651</v>
      </c>
      <c r="D12866" s="25" t="s">
        <v>40652</v>
      </c>
      <c r="E12866" s="28">
        <v>0.03600</v>
      </c>
      <c r="F12866" s="29">
        <f ca="1">ROUND(32.220,3)</f>
        <v>0</v>
      </c>
      <c r="G12866" s="27">
        <f ca="1">ROUND(E12866*F12866,2)</f>
        <v>0</v>
      </c>
    </row>
    <row r="12867" spans="1:7" ht="21.36" thickBot="1" customHeight="1">
      <c r="A12867" s="24" t="s">
        <v>40653</v>
      </c>
      <c r="B12867" s="24" t="s">
        <v>40654</v>
      </c>
      <c r="C12867" s="24" t="s">
        <v>40655</v>
      </c>
      <c r="D12867" s="25" t="s">
        <v>40656</v>
      </c>
      <c r="E12867" s="28">
        <v>0.22000</v>
      </c>
      <c r="F12867" s="29">
        <f ca="1">F12871</f>
        <v>0</v>
      </c>
      <c r="G12867" s="27">
        <f ca="1">ROUND(E12867*F12867,2)</f>
        <v>0</v>
      </c>
    </row>
    <row r="12868" spans="1:7" ht="24.36" thickBot="1" customHeight="1">
      <c r="A12868" s="24" t="s">
        <v>40657</v>
      </c>
      <c r="B12868" s="24" t="s">
        <v>40658</v>
      </c>
      <c r="C12868" s="24" t="s">
        <v>40659</v>
      </c>
      <c r="D12868" s="25" t="s">
        <v>40660</v>
      </c>
      <c r="E12868" s="28">
        <v>1.00000</v>
      </c>
      <c r="F12868" s="29">
        <f ca="1">ROUND(21.000,3)</f>
        <v>0</v>
      </c>
      <c r="G12868" s="27">
        <f ca="1">ROUND(E12868*F12868,2)</f>
        <v>0</v>
      </c>
    </row>
    <row r="12869" spans="1:7" ht="24.36" thickBot="1" customHeight="1">
      <c r="A12869" s="24" t="s">
        <v>40661</v>
      </c>
      <c r="B12869" s="24" t="s">
        <v>40662</v>
      </c>
      <c r="C12869" s="24" t="s">
        <v>40663</v>
      </c>
      <c r="D12869" s="25" t="s">
        <v>40664</v>
      </c>
      <c r="E12869" s="28">
        <v>1.00000</v>
      </c>
      <c r="F12869" s="29">
        <f ca="1">ROUND(19.000,3)</f>
        <v>0</v>
      </c>
      <c r="G12869" s="27">
        <f ca="1">ROUND(E12869*F12869,2)</f>
        <v>0</v>
      </c>
    </row>
    <row r="12870" spans="1:7" ht="24.36" thickBot="1" customHeight="1">
      <c r="A12870" s="24" t="s">
        <v>40665</v>
      </c>
      <c r="B12870" s="24" t="s">
        <v>40666</v>
      </c>
      <c r="C12870" s="24" t="s">
        <v>40667</v>
      </c>
      <c r="D12870" s="25" t="s">
        <v>40668</v>
      </c>
      <c r="E12870" s="28">
        <v>0.20000</v>
      </c>
      <c r="F12870" s="29">
        <f ca="1">ROUND(19.000,3)</f>
        <v>0</v>
      </c>
      <c r="G12870" s="27">
        <f ca="1">ROUND(E12870*F12870,2)</f>
        <v>0</v>
      </c>
    </row>
    <row r="12871" spans="1:7" ht="15.12" thickBot="1" customHeight="1">
      <c r="A12871" s="26"/>
      <c r="B12871" s="26"/>
      <c r="C12871" s="26"/>
      <c r="D12871" s="24" t="s">
        <v>40669</v>
      </c>
      <c r="E12871" s="28">
        <v>0.22000</v>
      </c>
      <c r="F12871" s="29">
        <f ca="1">ROUND((G12868+G12869+G12870),3)</f>
        <v>0</v>
      </c>
      <c r="G12871" s="27">
        <f ca="1">ROUND(E12871*F12871,2)</f>
        <v>0</v>
      </c>
    </row>
    <row r="12872" spans="1:7" ht="15.12" thickBot="1" customHeight="1">
      <c r="A12872" s="24" t="s">
        <v>40670</v>
      </c>
      <c r="B12872" s="24"/>
      <c r="C12872" s="24" t="s">
        <v>40671</v>
      </c>
      <c r="D12872" s="25" t="s">
        <v>40672</v>
      </c>
      <c r="E12872" s="28">
        <v>5.00000</v>
      </c>
      <c r="F12872" s="29">
        <f ca="1">ROUND(9.640,3)</f>
        <v>0</v>
      </c>
      <c r="G12872" s="27">
        <f ca="1">ROUND((E12872*F12872)/100,2)</f>
        <v>0</v>
      </c>
    </row>
    <row r="12873" spans="1:7" ht="15.48" thickBot="1" customHeight="1">
      <c r="A12873" s="30"/>
      <c r="B12873" s="30"/>
      <c r="C12873" s="30"/>
      <c r="D12873" s="31" t="s">
        <v>40673</v>
      </c>
      <c r="E12873" s="30"/>
      <c r="F12873" s="33">
        <f ca="1">ROUND((G12866+G12867+G12872)*(1+G2/100),2)</f>
        <v>0</v>
      </c>
      <c r="G12873" s="30"/>
    </row>
    <row r="12874" spans="1:7" ht="49.08" thickBot="1" customHeight="1">
      <c r="A12874" s="34" t="s">
        <v>40674</v>
      </c>
      <c r="B12874" s="35" t="s">
        <v>40675</v>
      </c>
      <c r="C12874" s="35" t="s">
        <v>40676</v>
      </c>
      <c r="D12874" s="36" t="s">
        <v>40677</v>
      </c>
      <c r="E12874" s="37"/>
      <c r="F12874" s="38">
        <f ca="1">F12883</f>
        <v>0</v>
      </c>
      <c r="G12874" s="37"/>
    </row>
    <row r="12875" spans="1:7" ht="21.36" thickBot="1" customHeight="1">
      <c r="A12875" s="26"/>
      <c r="B12875" s="26"/>
      <c r="C12875" s="26"/>
      <c r="D12875" s="25" t="s">
        <v>40678</v>
      </c>
      <c r="E12875" s="25"/>
      <c r="F12875" s="25"/>
      <c r="G12875" s="25"/>
    </row>
    <row r="12876" spans="1:7" ht="49.08" thickBot="1" customHeight="1">
      <c r="A12876" s="24" t="s">
        <v>40679</v>
      </c>
      <c r="B12876" s="24" t="s">
        <v>40680</v>
      </c>
      <c r="C12876" s="24" t="s">
        <v>40681</v>
      </c>
      <c r="D12876" s="25" t="s">
        <v>40682</v>
      </c>
      <c r="E12876" s="28">
        <v>0.03600</v>
      </c>
      <c r="F12876" s="29">
        <f ca="1">ROUND(32.220,3)</f>
        <v>0</v>
      </c>
      <c r="G12876" s="27">
        <f ca="1">ROUND(E12876*F12876,2)</f>
        <v>0</v>
      </c>
    </row>
    <row r="12877" spans="1:7" ht="21.36" thickBot="1" customHeight="1">
      <c r="A12877" s="24" t="s">
        <v>40683</v>
      </c>
      <c r="B12877" s="24" t="s">
        <v>40684</v>
      </c>
      <c r="C12877" s="24" t="s">
        <v>40685</v>
      </c>
      <c r="D12877" s="25" t="s">
        <v>40686</v>
      </c>
      <c r="E12877" s="28">
        <v>0.28000</v>
      </c>
      <c r="F12877" s="29">
        <f ca="1">F12881</f>
        <v>0</v>
      </c>
      <c r="G12877" s="27">
        <f ca="1">ROUND(E12877*F12877,2)</f>
        <v>0</v>
      </c>
    </row>
    <row r="12878" spans="1:7" ht="24.36" thickBot="1" customHeight="1">
      <c r="A12878" s="24" t="s">
        <v>40687</v>
      </c>
      <c r="B12878" s="24" t="s">
        <v>40688</v>
      </c>
      <c r="C12878" s="24" t="s">
        <v>40689</v>
      </c>
      <c r="D12878" s="25" t="s">
        <v>40690</v>
      </c>
      <c r="E12878" s="28">
        <v>1.00000</v>
      </c>
      <c r="F12878" s="29">
        <f ca="1">ROUND(21.000,3)</f>
        <v>0</v>
      </c>
      <c r="G12878" s="27">
        <f ca="1">ROUND(E12878*F12878,2)</f>
        <v>0</v>
      </c>
    </row>
    <row r="12879" spans="1:7" ht="24.36" thickBot="1" customHeight="1">
      <c r="A12879" s="24" t="s">
        <v>40691</v>
      </c>
      <c r="B12879" s="24" t="s">
        <v>40692</v>
      </c>
      <c r="C12879" s="24" t="s">
        <v>40693</v>
      </c>
      <c r="D12879" s="25" t="s">
        <v>40694</v>
      </c>
      <c r="E12879" s="28">
        <v>1.00000</v>
      </c>
      <c r="F12879" s="29">
        <f ca="1">ROUND(19.000,3)</f>
        <v>0</v>
      </c>
      <c r="G12879" s="27">
        <f ca="1">ROUND(E12879*F12879,2)</f>
        <v>0</v>
      </c>
    </row>
    <row r="12880" spans="1:7" ht="24.36" thickBot="1" customHeight="1">
      <c r="A12880" s="24" t="s">
        <v>40695</v>
      </c>
      <c r="B12880" s="24" t="s">
        <v>40696</v>
      </c>
      <c r="C12880" s="24" t="s">
        <v>40697</v>
      </c>
      <c r="D12880" s="25" t="s">
        <v>40698</v>
      </c>
      <c r="E12880" s="28">
        <v>0.20000</v>
      </c>
      <c r="F12880" s="29">
        <f ca="1">ROUND(19.000,3)</f>
        <v>0</v>
      </c>
      <c r="G12880" s="27">
        <f ca="1">ROUND(E12880*F12880,2)</f>
        <v>0</v>
      </c>
    </row>
    <row r="12881" spans="1:7" ht="15.12" thickBot="1" customHeight="1">
      <c r="A12881" s="26"/>
      <c r="B12881" s="26"/>
      <c r="C12881" s="26"/>
      <c r="D12881" s="24" t="s">
        <v>40699</v>
      </c>
      <c r="E12881" s="28">
        <v>0.28000</v>
      </c>
      <c r="F12881" s="29">
        <f ca="1">ROUND((G12878+G12879+G12880),3)</f>
        <v>0</v>
      </c>
      <c r="G12881" s="27">
        <f ca="1">ROUND(E12881*F12881,2)</f>
        <v>0</v>
      </c>
    </row>
    <row r="12882" spans="1:7" ht="15.12" thickBot="1" customHeight="1">
      <c r="A12882" s="24" t="s">
        <v>40700</v>
      </c>
      <c r="B12882" s="24"/>
      <c r="C12882" s="24" t="s">
        <v>40701</v>
      </c>
      <c r="D12882" s="25" t="s">
        <v>40702</v>
      </c>
      <c r="E12882" s="28">
        <v>5.00000</v>
      </c>
      <c r="F12882" s="29">
        <f ca="1">ROUND(12.260,3)</f>
        <v>0</v>
      </c>
      <c r="G12882" s="27">
        <f ca="1">ROUND((E12882*F12882)/100,2)</f>
        <v>0</v>
      </c>
    </row>
    <row r="12883" spans="1:7" ht="15.48" thickBot="1" customHeight="1">
      <c r="A12883" s="30"/>
      <c r="B12883" s="30"/>
      <c r="C12883" s="30"/>
      <c r="D12883" s="31" t="s">
        <v>40703</v>
      </c>
      <c r="E12883" s="30"/>
      <c r="F12883" s="33">
        <f ca="1">ROUND((G12876+G12877+G12882)*(1+G2/100),2)</f>
        <v>0</v>
      </c>
      <c r="G12883" s="30"/>
    </row>
    <row r="12884" spans="1:7" ht="49.08" thickBot="1" customHeight="1">
      <c r="A12884" s="34" t="s">
        <v>40704</v>
      </c>
      <c r="B12884" s="35" t="s">
        <v>40705</v>
      </c>
      <c r="C12884" s="35" t="s">
        <v>40706</v>
      </c>
      <c r="D12884" s="36" t="s">
        <v>40707</v>
      </c>
      <c r="E12884" s="37"/>
      <c r="F12884" s="38">
        <f ca="1">F12894</f>
        <v>0</v>
      </c>
      <c r="G12884" s="37"/>
    </row>
    <row r="12885" spans="1:7" ht="21.36" thickBot="1" customHeight="1">
      <c r="A12885" s="26"/>
      <c r="B12885" s="26"/>
      <c r="C12885" s="26"/>
      <c r="D12885" s="25" t="s">
        <v>40708</v>
      </c>
      <c r="E12885" s="25"/>
      <c r="F12885" s="25"/>
      <c r="G12885" s="25"/>
    </row>
    <row r="12886" spans="1:7" ht="30.60" thickBot="1" customHeight="1">
      <c r="A12886" s="24" t="s">
        <v>40709</v>
      </c>
      <c r="B12886" s="24" t="s">
        <v>40710</v>
      </c>
      <c r="C12886" s="24" t="s">
        <v>40711</v>
      </c>
      <c r="D12886" s="25" t="s">
        <v>40712</v>
      </c>
      <c r="E12886" s="28">
        <v>0.05000</v>
      </c>
      <c r="F12886" s="29">
        <f ca="1">ROUND(32.220,3)</f>
        <v>0</v>
      </c>
      <c r="G12886" s="27">
        <f ca="1">ROUND(E12886*F12886,2)</f>
        <v>0</v>
      </c>
    </row>
    <row r="12887" spans="1:7" ht="39.84" thickBot="1" customHeight="1">
      <c r="A12887" s="24" t="s">
        <v>40713</v>
      </c>
      <c r="B12887" s="24" t="s">
        <v>40714</v>
      </c>
      <c r="C12887" s="24" t="s">
        <v>40715</v>
      </c>
      <c r="D12887" s="25" t="s">
        <v>40716</v>
      </c>
      <c r="E12887" s="28">
        <v>0.13600</v>
      </c>
      <c r="F12887" s="29">
        <f ca="1">ROUND(33.050,3)</f>
        <v>0</v>
      </c>
      <c r="G12887" s="27">
        <f ca="1">ROUND(E12887*F12887,2)</f>
        <v>0</v>
      </c>
    </row>
    <row r="12888" spans="1:7" ht="21.36" thickBot="1" customHeight="1">
      <c r="A12888" s="24" t="s">
        <v>40717</v>
      </c>
      <c r="B12888" s="24" t="s">
        <v>40718</v>
      </c>
      <c r="C12888" s="24" t="s">
        <v>40719</v>
      </c>
      <c r="D12888" s="25" t="s">
        <v>40720</v>
      </c>
      <c r="E12888" s="28">
        <v>0.48600</v>
      </c>
      <c r="F12888" s="29">
        <f ca="1">F12892</f>
        <v>0</v>
      </c>
      <c r="G12888" s="27">
        <f ca="1">ROUND(E12888*F12888,2)</f>
        <v>0</v>
      </c>
    </row>
    <row r="12889" spans="1:7" ht="24.36" thickBot="1" customHeight="1">
      <c r="A12889" s="24" t="s">
        <v>40721</v>
      </c>
      <c r="B12889" s="24" t="s">
        <v>40722</v>
      </c>
      <c r="C12889" s="24" t="s">
        <v>40723</v>
      </c>
      <c r="D12889" s="25" t="s">
        <v>40724</v>
      </c>
      <c r="E12889" s="28">
        <v>1.00000</v>
      </c>
      <c r="F12889" s="29">
        <f ca="1">ROUND(21.000,3)</f>
        <v>0</v>
      </c>
      <c r="G12889" s="27">
        <f ca="1">ROUND(E12889*F12889,2)</f>
        <v>0</v>
      </c>
    </row>
    <row r="12890" spans="1:7" ht="24.36" thickBot="1" customHeight="1">
      <c r="A12890" s="24" t="s">
        <v>40725</v>
      </c>
      <c r="B12890" s="24" t="s">
        <v>40726</v>
      </c>
      <c r="C12890" s="24" t="s">
        <v>40727</v>
      </c>
      <c r="D12890" s="25" t="s">
        <v>40728</v>
      </c>
      <c r="E12890" s="28">
        <v>1.00000</v>
      </c>
      <c r="F12890" s="29">
        <f ca="1">ROUND(19.000,3)</f>
        <v>0</v>
      </c>
      <c r="G12890" s="27">
        <f ca="1">ROUND(E12890*F12890,2)</f>
        <v>0</v>
      </c>
    </row>
    <row r="12891" spans="1:7" ht="24.36" thickBot="1" customHeight="1">
      <c r="A12891" s="24" t="s">
        <v>40729</v>
      </c>
      <c r="B12891" s="24" t="s">
        <v>40730</v>
      </c>
      <c r="C12891" s="24" t="s">
        <v>40731</v>
      </c>
      <c r="D12891" s="25" t="s">
        <v>40732</v>
      </c>
      <c r="E12891" s="28">
        <v>0.20000</v>
      </c>
      <c r="F12891" s="29">
        <f ca="1">ROUND(19.000,3)</f>
        <v>0</v>
      </c>
      <c r="G12891" s="27">
        <f ca="1">ROUND(E12891*F12891,2)</f>
        <v>0</v>
      </c>
    </row>
    <row r="12892" spans="1:7" ht="15.12" thickBot="1" customHeight="1">
      <c r="A12892" s="26"/>
      <c r="B12892" s="26"/>
      <c r="C12892" s="26"/>
      <c r="D12892" s="24" t="s">
        <v>40733</v>
      </c>
      <c r="E12892" s="28">
        <v>0.48600</v>
      </c>
      <c r="F12892" s="29">
        <f ca="1">ROUND((G12889+G12890+G12891),3)</f>
        <v>0</v>
      </c>
      <c r="G12892" s="27">
        <f ca="1">ROUND(E12892*F12892,2)</f>
        <v>0</v>
      </c>
    </row>
    <row r="12893" spans="1:7" ht="15.12" thickBot="1" customHeight="1">
      <c r="A12893" s="24" t="s">
        <v>40734</v>
      </c>
      <c r="B12893" s="24"/>
      <c r="C12893" s="24" t="s">
        <v>40735</v>
      </c>
      <c r="D12893" s="25" t="s">
        <v>40736</v>
      </c>
      <c r="E12893" s="28">
        <v>5.00000</v>
      </c>
      <c r="F12893" s="29">
        <f ca="1">ROUND(21.290,3)</f>
        <v>0</v>
      </c>
      <c r="G12893" s="27">
        <f ca="1">ROUND((E12893*F12893)/100,2)</f>
        <v>0</v>
      </c>
    </row>
    <row r="12894" spans="1:7" ht="15.48" thickBot="1" customHeight="1">
      <c r="A12894" s="30"/>
      <c r="B12894" s="30"/>
      <c r="C12894" s="30"/>
      <c r="D12894" s="31" t="s">
        <v>40737</v>
      </c>
      <c r="E12894" s="30"/>
      <c r="F12894" s="33">
        <f ca="1">ROUND((G12886+G12887+G12888+G12893)*(1+G2/100),2)</f>
        <v>0</v>
      </c>
      <c r="G12894" s="30"/>
    </row>
    <row r="12895" spans="1:7" ht="49.08" thickBot="1" customHeight="1">
      <c r="A12895" s="34" t="s">
        <v>40738</v>
      </c>
      <c r="B12895" s="35" t="s">
        <v>40739</v>
      </c>
      <c r="C12895" s="35" t="s">
        <v>40740</v>
      </c>
      <c r="D12895" s="36" t="s">
        <v>40741</v>
      </c>
      <c r="E12895" s="37"/>
      <c r="F12895" s="38">
        <f ca="1">F12905</f>
        <v>0</v>
      </c>
      <c r="G12895" s="37"/>
    </row>
    <row r="12896" spans="1:7" ht="21.36" thickBot="1" customHeight="1">
      <c r="A12896" s="26"/>
      <c r="B12896" s="26"/>
      <c r="C12896" s="26"/>
      <c r="D12896" s="25" t="s">
        <v>40742</v>
      </c>
      <c r="E12896" s="25"/>
      <c r="F12896" s="25"/>
      <c r="G12896" s="25"/>
    </row>
    <row r="12897" spans="1:7" ht="30.60" thickBot="1" customHeight="1">
      <c r="A12897" s="24" t="s">
        <v>40743</v>
      </c>
      <c r="B12897" s="24" t="s">
        <v>40744</v>
      </c>
      <c r="C12897" s="24" t="s">
        <v>40745</v>
      </c>
      <c r="D12897" s="25" t="s">
        <v>40746</v>
      </c>
      <c r="E12897" s="28">
        <v>0.05000</v>
      </c>
      <c r="F12897" s="29">
        <f ca="1">ROUND(32.220,3)</f>
        <v>0</v>
      </c>
      <c r="G12897" s="27">
        <f ca="1">ROUND(E12897*F12897,2)</f>
        <v>0</v>
      </c>
    </row>
    <row r="12898" spans="1:7" ht="39.84" thickBot="1" customHeight="1">
      <c r="A12898" s="24" t="s">
        <v>40747</v>
      </c>
      <c r="B12898" s="24" t="s">
        <v>40748</v>
      </c>
      <c r="C12898" s="24" t="s">
        <v>40749</v>
      </c>
      <c r="D12898" s="25" t="s">
        <v>40750</v>
      </c>
      <c r="E12898" s="28">
        <v>0.13600</v>
      </c>
      <c r="F12898" s="29">
        <f ca="1">ROUND(33.050,3)</f>
        <v>0</v>
      </c>
      <c r="G12898" s="27">
        <f ca="1">ROUND(E12898*F12898,2)</f>
        <v>0</v>
      </c>
    </row>
    <row r="12899" spans="1:7" ht="21.36" thickBot="1" customHeight="1">
      <c r="A12899" s="24" t="s">
        <v>40751</v>
      </c>
      <c r="B12899" s="24" t="s">
        <v>40752</v>
      </c>
      <c r="C12899" s="24" t="s">
        <v>40753</v>
      </c>
      <c r="D12899" s="25" t="s">
        <v>40754</v>
      </c>
      <c r="E12899" s="28">
        <v>0.26667</v>
      </c>
      <c r="F12899" s="29">
        <f ca="1">F12903</f>
        <v>0</v>
      </c>
      <c r="G12899" s="27">
        <f ca="1">ROUND(E12899*F12899,2)</f>
        <v>0</v>
      </c>
    </row>
    <row r="12900" spans="1:7" ht="24.36" thickBot="1" customHeight="1">
      <c r="A12900" s="24" t="s">
        <v>40755</v>
      </c>
      <c r="B12900" s="24" t="s">
        <v>40756</v>
      </c>
      <c r="C12900" s="24" t="s">
        <v>40757</v>
      </c>
      <c r="D12900" s="25" t="s">
        <v>40758</v>
      </c>
      <c r="E12900" s="28">
        <v>1.00000</v>
      </c>
      <c r="F12900" s="29">
        <f ca="1">ROUND(21.000,3)</f>
        <v>0</v>
      </c>
      <c r="G12900" s="27">
        <f ca="1">ROUND(E12900*F12900,2)</f>
        <v>0</v>
      </c>
    </row>
    <row r="12901" spans="1:7" ht="24.36" thickBot="1" customHeight="1">
      <c r="A12901" s="24" t="s">
        <v>40759</v>
      </c>
      <c r="B12901" s="24" t="s">
        <v>40760</v>
      </c>
      <c r="C12901" s="24" t="s">
        <v>40761</v>
      </c>
      <c r="D12901" s="25" t="s">
        <v>40762</v>
      </c>
      <c r="E12901" s="28">
        <v>1.00000</v>
      </c>
      <c r="F12901" s="29">
        <f ca="1">ROUND(19.000,3)</f>
        <v>0</v>
      </c>
      <c r="G12901" s="27">
        <f ca="1">ROUND(E12901*F12901,2)</f>
        <v>0</v>
      </c>
    </row>
    <row r="12902" spans="1:7" ht="24.36" thickBot="1" customHeight="1">
      <c r="A12902" s="24" t="s">
        <v>40763</v>
      </c>
      <c r="B12902" s="24" t="s">
        <v>40764</v>
      </c>
      <c r="C12902" s="24" t="s">
        <v>40765</v>
      </c>
      <c r="D12902" s="25" t="s">
        <v>40766</v>
      </c>
      <c r="E12902" s="28">
        <v>0.20000</v>
      </c>
      <c r="F12902" s="29">
        <f ca="1">ROUND(19.000,3)</f>
        <v>0</v>
      </c>
      <c r="G12902" s="27">
        <f ca="1">ROUND(E12902*F12902,2)</f>
        <v>0</v>
      </c>
    </row>
    <row r="12903" spans="1:7" ht="15.12" thickBot="1" customHeight="1">
      <c r="A12903" s="26"/>
      <c r="B12903" s="26"/>
      <c r="C12903" s="26"/>
      <c r="D12903" s="24" t="s">
        <v>40767</v>
      </c>
      <c r="E12903" s="28">
        <v>0.26667</v>
      </c>
      <c r="F12903" s="29">
        <f ca="1">ROUND((G12900+G12901+G12902),3)</f>
        <v>0</v>
      </c>
      <c r="G12903" s="27">
        <f ca="1">ROUND(E12903*F12903,2)</f>
        <v>0</v>
      </c>
    </row>
    <row r="12904" spans="1:7" ht="15.12" thickBot="1" customHeight="1">
      <c r="A12904" s="24" t="s">
        <v>40768</v>
      </c>
      <c r="B12904" s="24"/>
      <c r="C12904" s="24" t="s">
        <v>40769</v>
      </c>
      <c r="D12904" s="25" t="s">
        <v>40770</v>
      </c>
      <c r="E12904" s="28">
        <v>5.00000</v>
      </c>
      <c r="F12904" s="29">
        <f ca="1">ROUND(11.680,3)</f>
        <v>0</v>
      </c>
      <c r="G12904" s="27">
        <f ca="1">ROUND((E12904*F12904)/100,2)</f>
        <v>0</v>
      </c>
    </row>
    <row r="12905" spans="1:7" ht="15.48" thickBot="1" customHeight="1">
      <c r="A12905" s="30"/>
      <c r="B12905" s="30"/>
      <c r="C12905" s="30"/>
      <c r="D12905" s="31" t="s">
        <v>40771</v>
      </c>
      <c r="E12905" s="30"/>
      <c r="F12905" s="33">
        <f ca="1">ROUND((G12897+G12898+G12899+G12904)*(1+G2/100),2)</f>
        <v>0</v>
      </c>
      <c r="G12905" s="30"/>
    </row>
    <row r="12906" spans="1:7" ht="49.08" thickBot="1" customHeight="1">
      <c r="A12906" s="34" t="s">
        <v>40772</v>
      </c>
      <c r="B12906" s="35" t="s">
        <v>40773</v>
      </c>
      <c r="C12906" s="35" t="s">
        <v>40774</v>
      </c>
      <c r="D12906" s="36" t="s">
        <v>40775</v>
      </c>
      <c r="E12906" s="37"/>
      <c r="F12906" s="38">
        <f ca="1">F12916</f>
        <v>0</v>
      </c>
      <c r="G12906" s="37"/>
    </row>
    <row r="12907" spans="1:7" ht="21.36" thickBot="1" customHeight="1">
      <c r="A12907" s="26"/>
      <c r="B12907" s="26"/>
      <c r="C12907" s="26"/>
      <c r="D12907" s="25" t="s">
        <v>40776</v>
      </c>
      <c r="E12907" s="25"/>
      <c r="F12907" s="25"/>
      <c r="G12907" s="25"/>
    </row>
    <row r="12908" spans="1:7" ht="30.60" thickBot="1" customHeight="1">
      <c r="A12908" s="24" t="s">
        <v>40777</v>
      </c>
      <c r="B12908" s="24" t="s">
        <v>40778</v>
      </c>
      <c r="C12908" s="24" t="s">
        <v>40779</v>
      </c>
      <c r="D12908" s="25" t="s">
        <v>40780</v>
      </c>
      <c r="E12908" s="28">
        <v>0.05000</v>
      </c>
      <c r="F12908" s="29">
        <f ca="1">ROUND(32.220,3)</f>
        <v>0</v>
      </c>
      <c r="G12908" s="27">
        <f ca="1">ROUND(E12908*F12908,2)</f>
        <v>0</v>
      </c>
    </row>
    <row r="12909" spans="1:7" ht="39.84" thickBot="1" customHeight="1">
      <c r="A12909" s="24" t="s">
        <v>40781</v>
      </c>
      <c r="B12909" s="24" t="s">
        <v>40782</v>
      </c>
      <c r="C12909" s="24" t="s">
        <v>40783</v>
      </c>
      <c r="D12909" s="25" t="s">
        <v>40784</v>
      </c>
      <c r="E12909" s="28">
        <v>0.13600</v>
      </c>
      <c r="F12909" s="29">
        <f ca="1">ROUND(33.050,3)</f>
        <v>0</v>
      </c>
      <c r="G12909" s="27">
        <f ca="1">ROUND(E12909*F12909,2)</f>
        <v>0</v>
      </c>
    </row>
    <row r="12910" spans="1:7" ht="21.36" thickBot="1" customHeight="1">
      <c r="A12910" s="24" t="s">
        <v>40785</v>
      </c>
      <c r="B12910" s="24" t="s">
        <v>40786</v>
      </c>
      <c r="C12910" s="24" t="s">
        <v>40787</v>
      </c>
      <c r="D12910" s="25" t="s">
        <v>40788</v>
      </c>
      <c r="E12910" s="28">
        <v>0.36000</v>
      </c>
      <c r="F12910" s="29">
        <f ca="1">F12914</f>
        <v>0</v>
      </c>
      <c r="G12910" s="27">
        <f ca="1">ROUND(E12910*F12910,2)</f>
        <v>0</v>
      </c>
    </row>
    <row r="12911" spans="1:7" ht="24.36" thickBot="1" customHeight="1">
      <c r="A12911" s="24" t="s">
        <v>40789</v>
      </c>
      <c r="B12911" s="24" t="s">
        <v>40790</v>
      </c>
      <c r="C12911" s="24" t="s">
        <v>40791</v>
      </c>
      <c r="D12911" s="25" t="s">
        <v>40792</v>
      </c>
      <c r="E12911" s="28">
        <v>1.00000</v>
      </c>
      <c r="F12911" s="29">
        <f ca="1">ROUND(21.000,3)</f>
        <v>0</v>
      </c>
      <c r="G12911" s="27">
        <f ca="1">ROUND(E12911*F12911,2)</f>
        <v>0</v>
      </c>
    </row>
    <row r="12912" spans="1:7" ht="24.36" thickBot="1" customHeight="1">
      <c r="A12912" s="24" t="s">
        <v>40793</v>
      </c>
      <c r="B12912" s="24" t="s">
        <v>40794</v>
      </c>
      <c r="C12912" s="24" t="s">
        <v>40795</v>
      </c>
      <c r="D12912" s="25" t="s">
        <v>40796</v>
      </c>
      <c r="E12912" s="28">
        <v>1.00000</v>
      </c>
      <c r="F12912" s="29">
        <f ca="1">ROUND(19.000,3)</f>
        <v>0</v>
      </c>
      <c r="G12912" s="27">
        <f ca="1">ROUND(E12912*F12912,2)</f>
        <v>0</v>
      </c>
    </row>
    <row r="12913" spans="1:7" ht="24.36" thickBot="1" customHeight="1">
      <c r="A12913" s="24" t="s">
        <v>40797</v>
      </c>
      <c r="B12913" s="24" t="s">
        <v>40798</v>
      </c>
      <c r="C12913" s="24" t="s">
        <v>40799</v>
      </c>
      <c r="D12913" s="25" t="s">
        <v>40800</v>
      </c>
      <c r="E12913" s="28">
        <v>0.20000</v>
      </c>
      <c r="F12913" s="29">
        <f ca="1">ROUND(19.000,3)</f>
        <v>0</v>
      </c>
      <c r="G12913" s="27">
        <f ca="1">ROUND(E12913*F12913,2)</f>
        <v>0</v>
      </c>
    </row>
    <row r="12914" spans="1:7" ht="15.12" thickBot="1" customHeight="1">
      <c r="A12914" s="26"/>
      <c r="B12914" s="26"/>
      <c r="C12914" s="26"/>
      <c r="D12914" s="24" t="s">
        <v>40801</v>
      </c>
      <c r="E12914" s="28">
        <v>0.36000</v>
      </c>
      <c r="F12914" s="29">
        <f ca="1">ROUND((G12911+G12912+G12913),3)</f>
        <v>0</v>
      </c>
      <c r="G12914" s="27">
        <f ca="1">ROUND(E12914*F12914,2)</f>
        <v>0</v>
      </c>
    </row>
    <row r="12915" spans="1:7" ht="15.12" thickBot="1" customHeight="1">
      <c r="A12915" s="24" t="s">
        <v>40802</v>
      </c>
      <c r="B12915" s="24"/>
      <c r="C12915" s="24" t="s">
        <v>40803</v>
      </c>
      <c r="D12915" s="25" t="s">
        <v>40804</v>
      </c>
      <c r="E12915" s="28">
        <v>5.00000</v>
      </c>
      <c r="F12915" s="29">
        <f ca="1">ROUND(15.770,3)</f>
        <v>0</v>
      </c>
      <c r="G12915" s="27">
        <f ca="1">ROUND((E12915*F12915)/100,2)</f>
        <v>0</v>
      </c>
    </row>
    <row r="12916" spans="1:7" ht="15.48" thickBot="1" customHeight="1">
      <c r="A12916" s="30"/>
      <c r="B12916" s="30"/>
      <c r="C12916" s="30"/>
      <c r="D12916" s="31" t="s">
        <v>40805</v>
      </c>
      <c r="E12916" s="30"/>
      <c r="F12916" s="33">
        <f ca="1">ROUND((G12908+G12909+G12910+G12915)*(1+G2/100),2)</f>
        <v>0</v>
      </c>
      <c r="G12916" s="30"/>
    </row>
    <row r="12917" spans="1:7" ht="15.48" thickBot="1" customHeight="1">
      <c r="A12917" s="39"/>
      <c r="B12917" s="39"/>
      <c r="C12917" s="39"/>
      <c r="D12917" s="50" t="s">
        <v>40806</v>
      </c>
      <c r="E12917" s="51"/>
      <c r="F12917" s="51"/>
      <c r="G12917" s="51"/>
    </row>
    <row r="12918" spans="1:7" ht="15.48" thickBot="1" customHeight="1">
      <c r="A12918" s="52" t="s">
        <v>40807</v>
      </c>
      <c r="B12918" s="52" t="s">
        <v>40808</v>
      </c>
      <c r="C12918" s="53"/>
      <c r="D12918" s="54" t="s">
        <v>40809</v>
      </c>
      <c r="E12918" s="53"/>
      <c r="F12918" s="53"/>
      <c r="G12918" s="53"/>
    </row>
    <row r="12919" spans="1:7" ht="21.36" thickBot="1" customHeight="1">
      <c r="A12919" s="10" t="s">
        <v>40810</v>
      </c>
      <c r="B12919" s="24" t="s">
        <v>40811</v>
      </c>
      <c r="C12919" s="24" t="s">
        <v>40812</v>
      </c>
      <c r="D12919" s="25" t="s">
        <v>40813</v>
      </c>
      <c r="E12919" s="26"/>
      <c r="F12919" s="27">
        <f ca="1">F12928</f>
        <v>0</v>
      </c>
      <c r="G12919" s="26"/>
    </row>
    <row r="12920" spans="1:7" ht="39.84" thickBot="1" customHeight="1">
      <c r="A12920" s="26"/>
      <c r="B12920" s="26"/>
      <c r="C12920" s="26"/>
      <c r="D12920" s="25" t="s">
        <v>40814</v>
      </c>
      <c r="E12920" s="25"/>
      <c r="F12920" s="25"/>
      <c r="G12920" s="25"/>
    </row>
    <row r="12921" spans="1:7" ht="30.60" thickBot="1" customHeight="1">
      <c r="A12921" s="24" t="s">
        <v>40815</v>
      </c>
      <c r="B12921" s="24" t="s">
        <v>40816</v>
      </c>
      <c r="C12921" s="24" t="s">
        <v>40817</v>
      </c>
      <c r="D12921" s="25" t="s">
        <v>40818</v>
      </c>
      <c r="E12921" s="28">
        <v>0.06660</v>
      </c>
      <c r="F12921" s="29">
        <f ca="1">ROUND(110.660,3)</f>
        <v>0</v>
      </c>
      <c r="G12921" s="27">
        <f ca="1">ROUND(E12921*F12921,2)</f>
        <v>0</v>
      </c>
    </row>
    <row r="12922" spans="1:7" ht="24.36" thickBot="1" customHeight="1">
      <c r="A12922" s="24" t="s">
        <v>40819</v>
      </c>
      <c r="B12922" s="24" t="s">
        <v>40820</v>
      </c>
      <c r="C12922" s="24" t="s">
        <v>40821</v>
      </c>
      <c r="D12922" s="25" t="s">
        <v>40822</v>
      </c>
      <c r="E12922" s="28">
        <v>0.11000</v>
      </c>
      <c r="F12922" s="29">
        <f ca="1">ROUND(4.630,3)</f>
        <v>0</v>
      </c>
      <c r="G12922" s="27">
        <f ca="1">ROUND(E12922*F12922,2)</f>
        <v>0</v>
      </c>
    </row>
    <row r="12923" spans="1:7" ht="21.36" thickBot="1" customHeight="1">
      <c r="A12923" s="24" t="s">
        <v>40823</v>
      </c>
      <c r="B12923" s="24" t="s">
        <v>40824</v>
      </c>
      <c r="C12923" s="24" t="s">
        <v>40825</v>
      </c>
      <c r="D12923" s="25" t="s">
        <v>40826</v>
      </c>
      <c r="E12923" s="28">
        <v>0.35000</v>
      </c>
      <c r="F12923" s="29">
        <f ca="1">F12927</f>
        <v>0</v>
      </c>
      <c r="G12923" s="27">
        <f ca="1">ROUND(E12923*F12923,2)</f>
        <v>0</v>
      </c>
    </row>
    <row r="12924" spans="1:7" ht="24.36" thickBot="1" customHeight="1">
      <c r="A12924" s="24" t="s">
        <v>40827</v>
      </c>
      <c r="B12924" s="24" t="s">
        <v>40828</v>
      </c>
      <c r="C12924" s="24" t="s">
        <v>40829</v>
      </c>
      <c r="D12924" s="25" t="s">
        <v>40830</v>
      </c>
      <c r="E12924" s="28">
        <v>1.00000</v>
      </c>
      <c r="F12924" s="29">
        <f ca="1">ROUND(21.000,3)</f>
        <v>0</v>
      </c>
      <c r="G12924" s="27">
        <f ca="1">ROUND(E12924*F12924,2)</f>
        <v>0</v>
      </c>
    </row>
    <row r="12925" spans="1:7" ht="24.36" thickBot="1" customHeight="1">
      <c r="A12925" s="24" t="s">
        <v>40831</v>
      </c>
      <c r="B12925" s="24" t="s">
        <v>40832</v>
      </c>
      <c r="C12925" s="24" t="s">
        <v>40833</v>
      </c>
      <c r="D12925" s="25" t="s">
        <v>40834</v>
      </c>
      <c r="E12925" s="28">
        <v>1.00000</v>
      </c>
      <c r="F12925" s="29">
        <f ca="1">ROUND(19.000,3)</f>
        <v>0</v>
      </c>
      <c r="G12925" s="27">
        <f ca="1">ROUND(E12925*F12925,2)</f>
        <v>0</v>
      </c>
    </row>
    <row r="12926" spans="1:7" ht="24.36" thickBot="1" customHeight="1">
      <c r="A12926" s="24" t="s">
        <v>40835</v>
      </c>
      <c r="B12926" s="24" t="s">
        <v>40836</v>
      </c>
      <c r="C12926" s="24" t="s">
        <v>40837</v>
      </c>
      <c r="D12926" s="25" t="s">
        <v>40838</v>
      </c>
      <c r="E12926" s="28">
        <v>0.20000</v>
      </c>
      <c r="F12926" s="29">
        <f ca="1">ROUND(19.000,3)</f>
        <v>0</v>
      </c>
      <c r="G12926" s="27">
        <f ca="1">ROUND(E12926*F12926,2)</f>
        <v>0</v>
      </c>
    </row>
    <row r="12927" spans="1:7" ht="15.12" thickBot="1" customHeight="1">
      <c r="A12927" s="26"/>
      <c r="B12927" s="26"/>
      <c r="C12927" s="26"/>
      <c r="D12927" s="24" t="s">
        <v>40839</v>
      </c>
      <c r="E12927" s="28">
        <v>0.35000</v>
      </c>
      <c r="F12927" s="29">
        <f ca="1">ROUND((G12924+G12925+G12926),3)</f>
        <v>0</v>
      </c>
      <c r="G12927" s="27">
        <f ca="1">ROUND(E12927*F12927,2)</f>
        <v>0</v>
      </c>
    </row>
    <row r="12928" spans="1:7" ht="15.48" thickBot="1" customHeight="1">
      <c r="A12928" s="30"/>
      <c r="B12928" s="30"/>
      <c r="C12928" s="30"/>
      <c r="D12928" s="31" t="s">
        <v>40840</v>
      </c>
      <c r="E12928" s="30"/>
      <c r="F12928" s="33">
        <f ca="1">ROUND((G12921+G12922+G12923)*(1+G2/100),2)</f>
        <v>0</v>
      </c>
      <c r="G12928" s="30"/>
    </row>
    <row r="12929" spans="1:7" ht="15.48" thickBot="1" customHeight="1">
      <c r="A12929" s="39"/>
      <c r="B12929" s="39"/>
      <c r="C12929" s="39"/>
      <c r="D12929" s="50" t="s">
        <v>40841</v>
      </c>
      <c r="E12929" s="51"/>
      <c r="F12929" s="51"/>
      <c r="G12929" s="51"/>
    </row>
    <row r="12930" spans="1:7" ht="15.48" thickBot="1" customHeight="1">
      <c r="A12930" s="52" t="s">
        <v>40842</v>
      </c>
      <c r="B12930" s="52" t="s">
        <v>40843</v>
      </c>
      <c r="C12930" s="53"/>
      <c r="D12930" s="54" t="s">
        <v>40844</v>
      </c>
      <c r="E12930" s="53"/>
      <c r="F12930" s="53"/>
      <c r="G12930" s="53"/>
    </row>
    <row r="12931" spans="1:7" ht="21.36" thickBot="1" customHeight="1">
      <c r="A12931" s="10" t="s">
        <v>40845</v>
      </c>
      <c r="B12931" s="24" t="s">
        <v>40846</v>
      </c>
      <c r="C12931" s="24" t="s">
        <v>40847</v>
      </c>
      <c r="D12931" s="25" t="s">
        <v>40848</v>
      </c>
      <c r="E12931" s="26"/>
      <c r="F12931" s="27">
        <f ca="1">F12943</f>
        <v>0</v>
      </c>
      <c r="G12931" s="26"/>
    </row>
    <row r="12932" spans="1:7" ht="30.60" thickBot="1" customHeight="1">
      <c r="A12932" s="26"/>
      <c r="B12932" s="26"/>
      <c r="C12932" s="26"/>
      <c r="D12932" s="25" t="s">
        <v>40849</v>
      </c>
      <c r="E12932" s="25"/>
      <c r="F12932" s="25"/>
      <c r="G12932" s="25"/>
    </row>
    <row r="12933" spans="1:7" ht="39.84" thickBot="1" customHeight="1">
      <c r="A12933" s="24" t="s">
        <v>40850</v>
      </c>
      <c r="B12933" s="24" t="s">
        <v>40851</v>
      </c>
      <c r="C12933" s="24" t="s">
        <v>40852</v>
      </c>
      <c r="D12933" s="25" t="s">
        <v>40853</v>
      </c>
      <c r="E12933" s="28">
        <v>1.20000</v>
      </c>
      <c r="F12933" s="29">
        <f ca="1">ROUND(2.600,3)</f>
        <v>0</v>
      </c>
      <c r="G12933" s="27">
        <f ca="1">ROUND(E12933*F12933,2)</f>
        <v>0</v>
      </c>
    </row>
    <row r="12934" spans="1:7" ht="30.60" thickBot="1" customHeight="1">
      <c r="A12934" s="24" t="s">
        <v>40854</v>
      </c>
      <c r="B12934" s="24" t="s">
        <v>40855</v>
      </c>
      <c r="C12934" s="24" t="s">
        <v>40856</v>
      </c>
      <c r="D12934" s="25" t="s">
        <v>40857</v>
      </c>
      <c r="E12934" s="28">
        <v>0.02520</v>
      </c>
      <c r="F12934" s="29">
        <f ca="1">ROUND(27.500,3)</f>
        <v>0</v>
      </c>
      <c r="G12934" s="27">
        <f ca="1">ROUND(E12934*F12934,2)</f>
        <v>0</v>
      </c>
    </row>
    <row r="12935" spans="1:7" ht="21.36" thickBot="1" customHeight="1">
      <c r="A12935" s="24" t="s">
        <v>40858</v>
      </c>
      <c r="B12935" s="24" t="s">
        <v>40859</v>
      </c>
      <c r="C12935" s="24" t="s">
        <v>40860</v>
      </c>
      <c r="D12935" s="25" t="s">
        <v>40861</v>
      </c>
      <c r="E12935" s="28">
        <v>0.37500</v>
      </c>
      <c r="F12935" s="29">
        <f ca="1">ROUND(1.050,3)</f>
        <v>0</v>
      </c>
      <c r="G12935" s="27">
        <f ca="1">ROUND(E12935*F12935,2)</f>
        <v>0</v>
      </c>
    </row>
    <row r="12936" spans="1:7" ht="39.84" thickBot="1" customHeight="1">
      <c r="A12936" s="24" t="s">
        <v>40862</v>
      </c>
      <c r="B12936" s="24" t="s">
        <v>40863</v>
      </c>
      <c r="C12936" s="24" t="s">
        <v>40864</v>
      </c>
      <c r="D12936" s="25" t="s">
        <v>40865</v>
      </c>
      <c r="E12936" s="28">
        <v>0.15000</v>
      </c>
      <c r="F12936" s="29">
        <f ca="1">ROUND(4.050,3)</f>
        <v>0</v>
      </c>
      <c r="G12936" s="27">
        <f ca="1">ROUND(E12936*F12936,2)</f>
        <v>0</v>
      </c>
    </row>
    <row r="12937" spans="1:7" ht="21.36" thickBot="1" customHeight="1">
      <c r="A12937" s="24" t="s">
        <v>40866</v>
      </c>
      <c r="B12937" s="24" t="s">
        <v>40867</v>
      </c>
      <c r="C12937" s="24" t="s">
        <v>40868</v>
      </c>
      <c r="D12937" s="25" t="s">
        <v>40869</v>
      </c>
      <c r="E12937" s="28">
        <v>0.51100</v>
      </c>
      <c r="F12937" s="29">
        <f ca="1">F12941</f>
        <v>0</v>
      </c>
      <c r="G12937" s="27">
        <f ca="1">ROUND(E12937*F12937,2)</f>
        <v>0</v>
      </c>
    </row>
    <row r="12938" spans="1:7" ht="24.36" thickBot="1" customHeight="1">
      <c r="A12938" s="24" t="s">
        <v>40870</v>
      </c>
      <c r="B12938" s="24" t="s">
        <v>40871</v>
      </c>
      <c r="C12938" s="24" t="s">
        <v>40872</v>
      </c>
      <c r="D12938" s="25" t="s">
        <v>40873</v>
      </c>
      <c r="E12938" s="28">
        <v>1.00000</v>
      </c>
      <c r="F12938" s="29">
        <f ca="1">ROUND(21.000,3)</f>
        <v>0</v>
      </c>
      <c r="G12938" s="27">
        <f ca="1">ROUND(E12938*F12938,2)</f>
        <v>0</v>
      </c>
    </row>
    <row r="12939" spans="1:7" ht="24.36" thickBot="1" customHeight="1">
      <c r="A12939" s="24" t="s">
        <v>40874</v>
      </c>
      <c r="B12939" s="24" t="s">
        <v>40875</v>
      </c>
      <c r="C12939" s="24" t="s">
        <v>40876</v>
      </c>
      <c r="D12939" s="25" t="s">
        <v>40877</v>
      </c>
      <c r="E12939" s="28">
        <v>1.00000</v>
      </c>
      <c r="F12939" s="29">
        <f ca="1">ROUND(19.000,3)</f>
        <v>0</v>
      </c>
      <c r="G12939" s="27">
        <f ca="1">ROUND(E12939*F12939,2)</f>
        <v>0</v>
      </c>
    </row>
    <row r="12940" spans="1:7" ht="24.36" thickBot="1" customHeight="1">
      <c r="A12940" s="24" t="s">
        <v>40878</v>
      </c>
      <c r="B12940" s="24" t="s">
        <v>40879</v>
      </c>
      <c r="C12940" s="24" t="s">
        <v>40880</v>
      </c>
      <c r="D12940" s="25" t="s">
        <v>40881</v>
      </c>
      <c r="E12940" s="28">
        <v>0.20000</v>
      </c>
      <c r="F12940" s="29">
        <f ca="1">ROUND(19.000,3)</f>
        <v>0</v>
      </c>
      <c r="G12940" s="27">
        <f ca="1">ROUND(E12940*F12940,2)</f>
        <v>0</v>
      </c>
    </row>
    <row r="12941" spans="1:7" ht="15.12" thickBot="1" customHeight="1">
      <c r="A12941" s="26"/>
      <c r="B12941" s="26"/>
      <c r="C12941" s="26"/>
      <c r="D12941" s="24" t="s">
        <v>40882</v>
      </c>
      <c r="E12941" s="28">
        <v>0.51100</v>
      </c>
      <c r="F12941" s="29">
        <f ca="1">ROUND((G12938+G12939+G12940),3)</f>
        <v>0</v>
      </c>
      <c r="G12941" s="27">
        <f ca="1">ROUND(E12941*F12941,2)</f>
        <v>0</v>
      </c>
    </row>
    <row r="12942" spans="1:7" ht="15.12" thickBot="1" customHeight="1">
      <c r="A12942" s="24" t="s">
        <v>40883</v>
      </c>
      <c r="B12942" s="24"/>
      <c r="C12942" s="24" t="s">
        <v>40884</v>
      </c>
      <c r="D12942" s="25" t="s">
        <v>40885</v>
      </c>
      <c r="E12942" s="28">
        <v>3.00000</v>
      </c>
      <c r="F12942" s="29">
        <f ca="1">ROUND(22.380,3)</f>
        <v>0</v>
      </c>
      <c r="G12942" s="27">
        <f ca="1">ROUND((E12942*F12942)/100,2)</f>
        <v>0</v>
      </c>
    </row>
    <row r="12943" spans="1:7" ht="15.48" thickBot="1" customHeight="1">
      <c r="A12943" s="30"/>
      <c r="B12943" s="30"/>
      <c r="C12943" s="30"/>
      <c r="D12943" s="31" t="s">
        <v>40886</v>
      </c>
      <c r="E12943" s="30"/>
      <c r="F12943" s="33">
        <f ca="1">ROUND((G12933+G12934+G12935+G12936+G12937+G12942)*(1+G2/100),2)</f>
        <v>0</v>
      </c>
      <c r="G12943" s="30"/>
    </row>
    <row r="12944" spans="1:7" ht="49.08" thickBot="1" customHeight="1">
      <c r="A12944" s="34" t="s">
        <v>40887</v>
      </c>
      <c r="B12944" s="35" t="s">
        <v>40888</v>
      </c>
      <c r="C12944" s="35" t="s">
        <v>40889</v>
      </c>
      <c r="D12944" s="36" t="s">
        <v>40890</v>
      </c>
      <c r="E12944" s="37"/>
      <c r="F12944" s="38">
        <f ca="1">F12955</f>
        <v>0</v>
      </c>
      <c r="G12944" s="37"/>
    </row>
    <row r="12945" spans="1:7" ht="21.36" thickBot="1" customHeight="1">
      <c r="A12945" s="26"/>
      <c r="B12945" s="26"/>
      <c r="C12945" s="26"/>
      <c r="D12945" s="25" t="s">
        <v>40891</v>
      </c>
      <c r="E12945" s="25"/>
      <c r="F12945" s="25"/>
      <c r="G12945" s="25"/>
    </row>
    <row r="12946" spans="1:7" ht="39.84" thickBot="1" customHeight="1">
      <c r="A12946" s="24" t="s">
        <v>40892</v>
      </c>
      <c r="B12946" s="24" t="s">
        <v>40893</v>
      </c>
      <c r="C12946" s="24" t="s">
        <v>40894</v>
      </c>
      <c r="D12946" s="25" t="s">
        <v>40895</v>
      </c>
      <c r="E12946" s="28">
        <v>0.90720</v>
      </c>
      <c r="F12946" s="29">
        <f ca="1">ROUND(2.600,3)</f>
        <v>0</v>
      </c>
      <c r="G12946" s="27">
        <f ca="1">ROUND(E12946*F12946,2)</f>
        <v>0</v>
      </c>
    </row>
    <row r="12947" spans="1:7" ht="21.36" thickBot="1" customHeight="1">
      <c r="A12947" s="24" t="s">
        <v>40896</v>
      </c>
      <c r="B12947" s="24" t="s">
        <v>40897</v>
      </c>
      <c r="C12947" s="24" t="s">
        <v>40898</v>
      </c>
      <c r="D12947" s="25" t="s">
        <v>40899</v>
      </c>
      <c r="E12947" s="28">
        <v>0.75000</v>
      </c>
      <c r="F12947" s="29">
        <f ca="1">ROUND(1.050,3)</f>
        <v>0</v>
      </c>
      <c r="G12947" s="27">
        <f ca="1">ROUND(E12947*F12947,2)</f>
        <v>0</v>
      </c>
    </row>
    <row r="12948" spans="1:7" ht="30.60" thickBot="1" customHeight="1">
      <c r="A12948" s="24" t="s">
        <v>40900</v>
      </c>
      <c r="B12948" s="24" t="s">
        <v>40901</v>
      </c>
      <c r="C12948" s="24" t="s">
        <v>40902</v>
      </c>
      <c r="D12948" s="25" t="s">
        <v>40903</v>
      </c>
      <c r="E12948" s="28">
        <v>0.02200</v>
      </c>
      <c r="F12948" s="29">
        <f ca="1">ROUND(27.500,3)</f>
        <v>0</v>
      </c>
      <c r="G12948" s="27">
        <f ca="1">ROUND(E12948*F12948,2)</f>
        <v>0</v>
      </c>
    </row>
    <row r="12949" spans="1:7" ht="21.36" thickBot="1" customHeight="1">
      <c r="A12949" s="24" t="s">
        <v>40904</v>
      </c>
      <c r="B12949" s="24" t="s">
        <v>40905</v>
      </c>
      <c r="C12949" s="24" t="s">
        <v>40906</v>
      </c>
      <c r="D12949" s="25" t="s">
        <v>40907</v>
      </c>
      <c r="E12949" s="28">
        <v>0.60000</v>
      </c>
      <c r="F12949" s="29">
        <f ca="1">F12953</f>
        <v>0</v>
      </c>
      <c r="G12949" s="27">
        <f ca="1">ROUND(E12949*F12949,2)</f>
        <v>0</v>
      </c>
    </row>
    <row r="12950" spans="1:7" ht="24.36" thickBot="1" customHeight="1">
      <c r="A12950" s="24" t="s">
        <v>40908</v>
      </c>
      <c r="B12950" s="24" t="s">
        <v>40909</v>
      </c>
      <c r="C12950" s="24" t="s">
        <v>40910</v>
      </c>
      <c r="D12950" s="25" t="s">
        <v>40911</v>
      </c>
      <c r="E12950" s="28">
        <v>1.00000</v>
      </c>
      <c r="F12950" s="29">
        <f ca="1">ROUND(21.000,3)</f>
        <v>0</v>
      </c>
      <c r="G12950" s="27">
        <f ca="1">ROUND(E12950*F12950,2)</f>
        <v>0</v>
      </c>
    </row>
    <row r="12951" spans="1:7" ht="24.36" thickBot="1" customHeight="1">
      <c r="A12951" s="24" t="s">
        <v>40912</v>
      </c>
      <c r="B12951" s="24" t="s">
        <v>40913</v>
      </c>
      <c r="C12951" s="24" t="s">
        <v>40914</v>
      </c>
      <c r="D12951" s="25" t="s">
        <v>40915</v>
      </c>
      <c r="E12951" s="28">
        <v>1.00000</v>
      </c>
      <c r="F12951" s="29">
        <f ca="1">ROUND(19.000,3)</f>
        <v>0</v>
      </c>
      <c r="G12951" s="27">
        <f ca="1">ROUND(E12951*F12951,2)</f>
        <v>0</v>
      </c>
    </row>
    <row r="12952" spans="1:7" ht="24.36" thickBot="1" customHeight="1">
      <c r="A12952" s="24" t="s">
        <v>40916</v>
      </c>
      <c r="B12952" s="24" t="s">
        <v>40917</v>
      </c>
      <c r="C12952" s="24" t="s">
        <v>40918</v>
      </c>
      <c r="D12952" s="25" t="s">
        <v>40919</v>
      </c>
      <c r="E12952" s="28">
        <v>0.20000</v>
      </c>
      <c r="F12952" s="29">
        <f ca="1">ROUND(19.000,3)</f>
        <v>0</v>
      </c>
      <c r="G12952" s="27">
        <f ca="1">ROUND(E12952*F12952,2)</f>
        <v>0</v>
      </c>
    </row>
    <row r="12953" spans="1:7" ht="15.12" thickBot="1" customHeight="1">
      <c r="A12953" s="26"/>
      <c r="B12953" s="26"/>
      <c r="C12953" s="26"/>
      <c r="D12953" s="24" t="s">
        <v>40920</v>
      </c>
      <c r="E12953" s="28">
        <v>0.60000</v>
      </c>
      <c r="F12953" s="29">
        <f ca="1">ROUND((G12950+G12951+G12952),3)</f>
        <v>0</v>
      </c>
      <c r="G12953" s="27">
        <f ca="1">ROUND(E12953*F12953,2)</f>
        <v>0</v>
      </c>
    </row>
    <row r="12954" spans="1:7" ht="15.12" thickBot="1" customHeight="1">
      <c r="A12954" s="24" t="s">
        <v>40921</v>
      </c>
      <c r="B12954" s="24"/>
      <c r="C12954" s="24" t="s">
        <v>40922</v>
      </c>
      <c r="D12954" s="25" t="s">
        <v>40923</v>
      </c>
      <c r="E12954" s="28">
        <v>3.00000</v>
      </c>
      <c r="F12954" s="29">
        <f ca="1">ROUND(26.280,3)</f>
        <v>0</v>
      </c>
      <c r="G12954" s="27">
        <f ca="1">ROUND((E12954*F12954)/100,2)</f>
        <v>0</v>
      </c>
    </row>
    <row r="12955" spans="1:7" ht="15.48" thickBot="1" customHeight="1">
      <c r="A12955" s="30"/>
      <c r="B12955" s="30"/>
      <c r="C12955" s="30"/>
      <c r="D12955" s="31" t="s">
        <v>40924</v>
      </c>
      <c r="E12955" s="30"/>
      <c r="F12955" s="33">
        <f ca="1">ROUND((G12946+G12947+G12948+G12949+G12954)*(1+G2/100),2)</f>
        <v>0</v>
      </c>
      <c r="G12955" s="30"/>
    </row>
    <row r="12956" spans="1:7" ht="58.32" thickBot="1" customHeight="1">
      <c r="A12956" s="34" t="s">
        <v>40925</v>
      </c>
      <c r="B12956" s="35" t="s">
        <v>40926</v>
      </c>
      <c r="C12956" s="35" t="s">
        <v>40927</v>
      </c>
      <c r="D12956" s="36" t="s">
        <v>40928</v>
      </c>
      <c r="E12956" s="37"/>
      <c r="F12956" s="38">
        <f ca="1">F12967</f>
        <v>0</v>
      </c>
      <c r="G12956" s="37"/>
    </row>
    <row r="12957" spans="1:7" ht="21.36" thickBot="1" customHeight="1">
      <c r="A12957" s="26"/>
      <c r="B12957" s="26"/>
      <c r="C12957" s="26"/>
      <c r="D12957" s="25" t="s">
        <v>40929</v>
      </c>
      <c r="E12957" s="25"/>
      <c r="F12957" s="25"/>
      <c r="G12957" s="25"/>
    </row>
    <row r="12958" spans="1:7" ht="39.84" thickBot="1" customHeight="1">
      <c r="A12958" s="24" t="s">
        <v>40930</v>
      </c>
      <c r="B12958" s="24" t="s">
        <v>40931</v>
      </c>
      <c r="C12958" s="24" t="s">
        <v>40932</v>
      </c>
      <c r="D12958" s="25" t="s">
        <v>40933</v>
      </c>
      <c r="E12958" s="28">
        <v>0.90720</v>
      </c>
      <c r="F12958" s="29">
        <f ca="1">ROUND(2.600,3)</f>
        <v>0</v>
      </c>
      <c r="G12958" s="27">
        <f ca="1">ROUND(E12958*F12958,2)</f>
        <v>0</v>
      </c>
    </row>
    <row r="12959" spans="1:7" ht="21.36" thickBot="1" customHeight="1">
      <c r="A12959" s="24" t="s">
        <v>40934</v>
      </c>
      <c r="B12959" s="24" t="s">
        <v>40935</v>
      </c>
      <c r="C12959" s="24" t="s">
        <v>40936</v>
      </c>
      <c r="D12959" s="25" t="s">
        <v>40937</v>
      </c>
      <c r="E12959" s="28">
        <v>0.75000</v>
      </c>
      <c r="F12959" s="29">
        <f ca="1">ROUND(1.050,3)</f>
        <v>0</v>
      </c>
      <c r="G12959" s="27">
        <f ca="1">ROUND(E12959*F12959,2)</f>
        <v>0</v>
      </c>
    </row>
    <row r="12960" spans="1:7" ht="30.60" thickBot="1" customHeight="1">
      <c r="A12960" s="24" t="s">
        <v>40938</v>
      </c>
      <c r="B12960" s="24" t="s">
        <v>40939</v>
      </c>
      <c r="C12960" s="24" t="s">
        <v>40940</v>
      </c>
      <c r="D12960" s="25" t="s">
        <v>40941</v>
      </c>
      <c r="E12960" s="28">
        <v>0.02200</v>
      </c>
      <c r="F12960" s="29">
        <f ca="1">ROUND(27.500,3)</f>
        <v>0</v>
      </c>
      <c r="G12960" s="27">
        <f ca="1">ROUND(E12960*F12960,2)</f>
        <v>0</v>
      </c>
    </row>
    <row r="12961" spans="1:7" ht="21.36" thickBot="1" customHeight="1">
      <c r="A12961" s="24" t="s">
        <v>40942</v>
      </c>
      <c r="B12961" s="24" t="s">
        <v>40943</v>
      </c>
      <c r="C12961" s="24" t="s">
        <v>40944</v>
      </c>
      <c r="D12961" s="25" t="s">
        <v>40945</v>
      </c>
      <c r="E12961" s="28">
        <v>0.90000</v>
      </c>
      <c r="F12961" s="29">
        <f ca="1">F12965</f>
        <v>0</v>
      </c>
      <c r="G12961" s="27">
        <f ca="1">ROUND(E12961*F12961,2)</f>
        <v>0</v>
      </c>
    </row>
    <row r="12962" spans="1:7" ht="24.36" thickBot="1" customHeight="1">
      <c r="A12962" s="24" t="s">
        <v>40946</v>
      </c>
      <c r="B12962" s="24" t="s">
        <v>40947</v>
      </c>
      <c r="C12962" s="24" t="s">
        <v>40948</v>
      </c>
      <c r="D12962" s="25" t="s">
        <v>40949</v>
      </c>
      <c r="E12962" s="28">
        <v>1.00000</v>
      </c>
      <c r="F12962" s="29">
        <f ca="1">ROUND(21.000,3)</f>
        <v>0</v>
      </c>
      <c r="G12962" s="27">
        <f ca="1">ROUND(E12962*F12962,2)</f>
        <v>0</v>
      </c>
    </row>
    <row r="12963" spans="1:7" ht="24.36" thickBot="1" customHeight="1">
      <c r="A12963" s="24" t="s">
        <v>40950</v>
      </c>
      <c r="B12963" s="24" t="s">
        <v>40951</v>
      </c>
      <c r="C12963" s="24" t="s">
        <v>40952</v>
      </c>
      <c r="D12963" s="25" t="s">
        <v>40953</v>
      </c>
      <c r="E12963" s="28">
        <v>1.00000</v>
      </c>
      <c r="F12963" s="29">
        <f ca="1">ROUND(19.000,3)</f>
        <v>0</v>
      </c>
      <c r="G12963" s="27">
        <f ca="1">ROUND(E12963*F12963,2)</f>
        <v>0</v>
      </c>
    </row>
    <row r="12964" spans="1:7" ht="24.36" thickBot="1" customHeight="1">
      <c r="A12964" s="24" t="s">
        <v>40954</v>
      </c>
      <c r="B12964" s="24" t="s">
        <v>40955</v>
      </c>
      <c r="C12964" s="24" t="s">
        <v>40956</v>
      </c>
      <c r="D12964" s="25" t="s">
        <v>40957</v>
      </c>
      <c r="E12964" s="28">
        <v>0.20000</v>
      </c>
      <c r="F12964" s="29">
        <f ca="1">ROUND(19.000,3)</f>
        <v>0</v>
      </c>
      <c r="G12964" s="27">
        <f ca="1">ROUND(E12964*F12964,2)</f>
        <v>0</v>
      </c>
    </row>
    <row r="12965" spans="1:7" ht="15.12" thickBot="1" customHeight="1">
      <c r="A12965" s="26"/>
      <c r="B12965" s="26"/>
      <c r="C12965" s="26"/>
      <c r="D12965" s="24" t="s">
        <v>40958</v>
      </c>
      <c r="E12965" s="28">
        <v>0.90000</v>
      </c>
      <c r="F12965" s="29">
        <f ca="1">ROUND((G12962+G12963+G12964),3)</f>
        <v>0</v>
      </c>
      <c r="G12965" s="27">
        <f ca="1">ROUND(E12965*F12965,2)</f>
        <v>0</v>
      </c>
    </row>
    <row r="12966" spans="1:7" ht="15.12" thickBot="1" customHeight="1">
      <c r="A12966" s="24" t="s">
        <v>40959</v>
      </c>
      <c r="B12966" s="24"/>
      <c r="C12966" s="24" t="s">
        <v>40960</v>
      </c>
      <c r="D12966" s="25" t="s">
        <v>40961</v>
      </c>
      <c r="E12966" s="28">
        <v>3.00000</v>
      </c>
      <c r="F12966" s="29">
        <f ca="1">ROUND(39.420,3)</f>
        <v>0</v>
      </c>
      <c r="G12966" s="27">
        <f ca="1">ROUND((E12966*F12966)/100,2)</f>
        <v>0</v>
      </c>
    </row>
    <row r="12967" spans="1:7" ht="15.48" thickBot="1" customHeight="1">
      <c r="A12967" s="30"/>
      <c r="B12967" s="30"/>
      <c r="C12967" s="30"/>
      <c r="D12967" s="31" t="s">
        <v>40962</v>
      </c>
      <c r="E12967" s="30"/>
      <c r="F12967" s="33">
        <f ca="1">ROUND((G12958+G12959+G12960+G12961+G12966)*(1+G2/100),2)</f>
        <v>0</v>
      </c>
      <c r="G12967" s="30"/>
    </row>
    <row r="12968" spans="1:7" ht="49.08" thickBot="1" customHeight="1">
      <c r="A12968" s="34" t="s">
        <v>40963</v>
      </c>
      <c r="B12968" s="35" t="s">
        <v>40964</v>
      </c>
      <c r="C12968" s="35" t="s">
        <v>40965</v>
      </c>
      <c r="D12968" s="36" t="s">
        <v>40966</v>
      </c>
      <c r="E12968" s="37"/>
      <c r="F12968" s="38">
        <f ca="1">F12979</f>
        <v>0</v>
      </c>
      <c r="G12968" s="37"/>
    </row>
    <row r="12969" spans="1:7" ht="21.36" thickBot="1" customHeight="1">
      <c r="A12969" s="26"/>
      <c r="B12969" s="26"/>
      <c r="C12969" s="26"/>
      <c r="D12969" s="25" t="s">
        <v>40967</v>
      </c>
      <c r="E12969" s="25"/>
      <c r="F12969" s="25"/>
      <c r="G12969" s="25"/>
    </row>
    <row r="12970" spans="1:7" ht="39.84" thickBot="1" customHeight="1">
      <c r="A12970" s="24" t="s">
        <v>40968</v>
      </c>
      <c r="B12970" s="24" t="s">
        <v>40969</v>
      </c>
      <c r="C12970" s="24" t="s">
        <v>40970</v>
      </c>
      <c r="D12970" s="25" t="s">
        <v>40971</v>
      </c>
      <c r="E12970" s="28">
        <v>0.90720</v>
      </c>
      <c r="F12970" s="29">
        <f ca="1">ROUND(2.600,3)</f>
        <v>0</v>
      </c>
      <c r="G12970" s="27">
        <f ca="1">ROUND(E12970*F12970,2)</f>
        <v>0</v>
      </c>
    </row>
    <row r="12971" spans="1:7" ht="21.36" thickBot="1" customHeight="1">
      <c r="A12971" s="24" t="s">
        <v>40972</v>
      </c>
      <c r="B12971" s="24" t="s">
        <v>40973</v>
      </c>
      <c r="C12971" s="24" t="s">
        <v>40974</v>
      </c>
      <c r="D12971" s="25" t="s">
        <v>40975</v>
      </c>
      <c r="E12971" s="28">
        <v>0.75000</v>
      </c>
      <c r="F12971" s="29">
        <f ca="1">ROUND(1.050,3)</f>
        <v>0</v>
      </c>
      <c r="G12971" s="27">
        <f ca="1">ROUND(E12971*F12971,2)</f>
        <v>0</v>
      </c>
    </row>
    <row r="12972" spans="1:7" ht="30.60" thickBot="1" customHeight="1">
      <c r="A12972" s="24" t="s">
        <v>40976</v>
      </c>
      <c r="B12972" s="24" t="s">
        <v>40977</v>
      </c>
      <c r="C12972" s="24" t="s">
        <v>40978</v>
      </c>
      <c r="D12972" s="25" t="s">
        <v>40979</v>
      </c>
      <c r="E12972" s="28">
        <v>0.02200</v>
      </c>
      <c r="F12972" s="29">
        <f ca="1">ROUND(27.500,3)</f>
        <v>0</v>
      </c>
      <c r="G12972" s="27">
        <f ca="1">ROUND(E12972*F12972,2)</f>
        <v>0</v>
      </c>
    </row>
    <row r="12973" spans="1:7" ht="21.36" thickBot="1" customHeight="1">
      <c r="A12973" s="24" t="s">
        <v>40980</v>
      </c>
      <c r="B12973" s="24" t="s">
        <v>40981</v>
      </c>
      <c r="C12973" s="24" t="s">
        <v>40982</v>
      </c>
      <c r="D12973" s="25" t="s">
        <v>40983</v>
      </c>
      <c r="E12973" s="28">
        <v>0.66667</v>
      </c>
      <c r="F12973" s="29">
        <f ca="1">F12977</f>
        <v>0</v>
      </c>
      <c r="G12973" s="27">
        <f ca="1">ROUND(E12973*F12973,2)</f>
        <v>0</v>
      </c>
    </row>
    <row r="12974" spans="1:7" ht="24.36" thickBot="1" customHeight="1">
      <c r="A12974" s="24" t="s">
        <v>40984</v>
      </c>
      <c r="B12974" s="24" t="s">
        <v>40985</v>
      </c>
      <c r="C12974" s="24" t="s">
        <v>40986</v>
      </c>
      <c r="D12974" s="25" t="s">
        <v>40987</v>
      </c>
      <c r="E12974" s="28">
        <v>1.00000</v>
      </c>
      <c r="F12974" s="29">
        <f ca="1">ROUND(21.000,3)</f>
        <v>0</v>
      </c>
      <c r="G12974" s="27">
        <f ca="1">ROUND(E12974*F12974,2)</f>
        <v>0</v>
      </c>
    </row>
    <row r="12975" spans="1:7" ht="24.36" thickBot="1" customHeight="1">
      <c r="A12975" s="24" t="s">
        <v>40988</v>
      </c>
      <c r="B12975" s="24" t="s">
        <v>40989</v>
      </c>
      <c r="C12975" s="24" t="s">
        <v>40990</v>
      </c>
      <c r="D12975" s="25" t="s">
        <v>40991</v>
      </c>
      <c r="E12975" s="28">
        <v>1.00000</v>
      </c>
      <c r="F12975" s="29">
        <f ca="1">ROUND(19.000,3)</f>
        <v>0</v>
      </c>
      <c r="G12975" s="27">
        <f ca="1">ROUND(E12975*F12975,2)</f>
        <v>0</v>
      </c>
    </row>
    <row r="12976" spans="1:7" ht="24.36" thickBot="1" customHeight="1">
      <c r="A12976" s="24" t="s">
        <v>40992</v>
      </c>
      <c r="B12976" s="24" t="s">
        <v>40993</v>
      </c>
      <c r="C12976" s="24" t="s">
        <v>40994</v>
      </c>
      <c r="D12976" s="25" t="s">
        <v>40995</v>
      </c>
      <c r="E12976" s="28">
        <v>0.20000</v>
      </c>
      <c r="F12976" s="29">
        <f ca="1">ROUND(19.000,3)</f>
        <v>0</v>
      </c>
      <c r="G12976" s="27">
        <f ca="1">ROUND(E12976*F12976,2)</f>
        <v>0</v>
      </c>
    </row>
    <row r="12977" spans="1:7" ht="15.12" thickBot="1" customHeight="1">
      <c r="A12977" s="26"/>
      <c r="B12977" s="26"/>
      <c r="C12977" s="26"/>
      <c r="D12977" s="24" t="s">
        <v>40996</v>
      </c>
      <c r="E12977" s="28">
        <v>0.66667</v>
      </c>
      <c r="F12977" s="29">
        <f ca="1">ROUND((G12974+G12975+G12976),3)</f>
        <v>0</v>
      </c>
      <c r="G12977" s="27">
        <f ca="1">ROUND(E12977*F12977,2)</f>
        <v>0</v>
      </c>
    </row>
    <row r="12978" spans="1:7" ht="15.12" thickBot="1" customHeight="1">
      <c r="A12978" s="24" t="s">
        <v>40997</v>
      </c>
      <c r="B12978" s="24"/>
      <c r="C12978" s="24" t="s">
        <v>40998</v>
      </c>
      <c r="D12978" s="25" t="s">
        <v>40999</v>
      </c>
      <c r="E12978" s="28">
        <v>5.00000</v>
      </c>
      <c r="F12978" s="29">
        <f ca="1">ROUND(29.200,3)</f>
        <v>0</v>
      </c>
      <c r="G12978" s="27">
        <f ca="1">ROUND((E12978*F12978)/100,2)</f>
        <v>0</v>
      </c>
    </row>
    <row r="12979" spans="1:7" ht="15.48" thickBot="1" customHeight="1">
      <c r="A12979" s="30"/>
      <c r="B12979" s="30"/>
      <c r="C12979" s="30"/>
      <c r="D12979" s="31" t="s">
        <v>41000</v>
      </c>
      <c r="E12979" s="30"/>
      <c r="F12979" s="33">
        <f ca="1">ROUND((G12970+G12971+G12972+G12973+G12978)*(1+G2/100),2)</f>
        <v>0</v>
      </c>
      <c r="G12979" s="30"/>
    </row>
    <row r="12980" spans="1:7" ht="58.32" thickBot="1" customHeight="1">
      <c r="A12980" s="34" t="s">
        <v>41001</v>
      </c>
      <c r="B12980" s="35" t="s">
        <v>41002</v>
      </c>
      <c r="C12980" s="35" t="s">
        <v>41003</v>
      </c>
      <c r="D12980" s="36" t="s">
        <v>41004</v>
      </c>
      <c r="E12980" s="37"/>
      <c r="F12980" s="38">
        <f ca="1">F12991</f>
        <v>0</v>
      </c>
      <c r="G12980" s="37"/>
    </row>
    <row r="12981" spans="1:7" ht="21.36" thickBot="1" customHeight="1">
      <c r="A12981" s="26"/>
      <c r="B12981" s="26"/>
      <c r="C12981" s="26"/>
      <c r="D12981" s="25" t="s">
        <v>41005</v>
      </c>
      <c r="E12981" s="25"/>
      <c r="F12981" s="25"/>
      <c r="G12981" s="25"/>
    </row>
    <row r="12982" spans="1:7" ht="39.84" thickBot="1" customHeight="1">
      <c r="A12982" s="24" t="s">
        <v>41006</v>
      </c>
      <c r="B12982" s="24" t="s">
        <v>41007</v>
      </c>
      <c r="C12982" s="24" t="s">
        <v>41008</v>
      </c>
      <c r="D12982" s="25" t="s">
        <v>41009</v>
      </c>
      <c r="E12982" s="28">
        <v>0.90720</v>
      </c>
      <c r="F12982" s="29">
        <f ca="1">ROUND(2.600,3)</f>
        <v>0</v>
      </c>
      <c r="G12982" s="27">
        <f ca="1">ROUND(E12982*F12982,2)</f>
        <v>0</v>
      </c>
    </row>
    <row r="12983" spans="1:7" ht="21.36" thickBot="1" customHeight="1">
      <c r="A12983" s="24" t="s">
        <v>41010</v>
      </c>
      <c r="B12983" s="24" t="s">
        <v>41011</v>
      </c>
      <c r="C12983" s="24" t="s">
        <v>41012</v>
      </c>
      <c r="D12983" s="25" t="s">
        <v>41013</v>
      </c>
      <c r="E12983" s="28">
        <v>0.75000</v>
      </c>
      <c r="F12983" s="29">
        <f ca="1">ROUND(1.050,3)</f>
        <v>0</v>
      </c>
      <c r="G12983" s="27">
        <f ca="1">ROUND(E12983*F12983,2)</f>
        <v>0</v>
      </c>
    </row>
    <row r="12984" spans="1:7" ht="30.60" thickBot="1" customHeight="1">
      <c r="A12984" s="24" t="s">
        <v>41014</v>
      </c>
      <c r="B12984" s="24" t="s">
        <v>41015</v>
      </c>
      <c r="C12984" s="24" t="s">
        <v>41016</v>
      </c>
      <c r="D12984" s="25" t="s">
        <v>41017</v>
      </c>
      <c r="E12984" s="28">
        <v>0.02200</v>
      </c>
      <c r="F12984" s="29">
        <f ca="1">ROUND(27.500,3)</f>
        <v>0</v>
      </c>
      <c r="G12984" s="27">
        <f ca="1">ROUND(E12984*F12984,2)</f>
        <v>0</v>
      </c>
    </row>
    <row r="12985" spans="1:7" ht="21.36" thickBot="1" customHeight="1">
      <c r="A12985" s="24" t="s">
        <v>41018</v>
      </c>
      <c r="B12985" s="24" t="s">
        <v>41019</v>
      </c>
      <c r="C12985" s="24" t="s">
        <v>41020</v>
      </c>
      <c r="D12985" s="25" t="s">
        <v>41021</v>
      </c>
      <c r="E12985" s="28">
        <v>0.93000</v>
      </c>
      <c r="F12985" s="29">
        <f ca="1">F12989</f>
        <v>0</v>
      </c>
      <c r="G12985" s="27">
        <f ca="1">ROUND(E12985*F12985,2)</f>
        <v>0</v>
      </c>
    </row>
    <row r="12986" spans="1:7" ht="24.36" thickBot="1" customHeight="1">
      <c r="A12986" s="24" t="s">
        <v>41022</v>
      </c>
      <c r="B12986" s="24" t="s">
        <v>41023</v>
      </c>
      <c r="C12986" s="24" t="s">
        <v>41024</v>
      </c>
      <c r="D12986" s="25" t="s">
        <v>41025</v>
      </c>
      <c r="E12986" s="28">
        <v>1.00000</v>
      </c>
      <c r="F12986" s="29">
        <f ca="1">ROUND(21.000,3)</f>
        <v>0</v>
      </c>
      <c r="G12986" s="27">
        <f ca="1">ROUND(E12986*F12986,2)</f>
        <v>0</v>
      </c>
    </row>
    <row r="12987" spans="1:7" ht="24.36" thickBot="1" customHeight="1">
      <c r="A12987" s="24" t="s">
        <v>41026</v>
      </c>
      <c r="B12987" s="24" t="s">
        <v>41027</v>
      </c>
      <c r="C12987" s="24" t="s">
        <v>41028</v>
      </c>
      <c r="D12987" s="25" t="s">
        <v>41029</v>
      </c>
      <c r="E12987" s="28">
        <v>1.00000</v>
      </c>
      <c r="F12987" s="29">
        <f ca="1">ROUND(19.000,3)</f>
        <v>0</v>
      </c>
      <c r="G12987" s="27">
        <f ca="1">ROUND(E12987*F12987,2)</f>
        <v>0</v>
      </c>
    </row>
    <row r="12988" spans="1:7" ht="24.36" thickBot="1" customHeight="1">
      <c r="A12988" s="24" t="s">
        <v>41030</v>
      </c>
      <c r="B12988" s="24" t="s">
        <v>41031</v>
      </c>
      <c r="C12988" s="24" t="s">
        <v>41032</v>
      </c>
      <c r="D12988" s="25" t="s">
        <v>41033</v>
      </c>
      <c r="E12988" s="28">
        <v>0.20000</v>
      </c>
      <c r="F12988" s="29">
        <f ca="1">ROUND(19.000,3)</f>
        <v>0</v>
      </c>
      <c r="G12988" s="27">
        <f ca="1">ROUND(E12988*F12988,2)</f>
        <v>0</v>
      </c>
    </row>
    <row r="12989" spans="1:7" ht="15.12" thickBot="1" customHeight="1">
      <c r="A12989" s="26"/>
      <c r="B12989" s="26"/>
      <c r="C12989" s="26"/>
      <c r="D12989" s="24" t="s">
        <v>41034</v>
      </c>
      <c r="E12989" s="28">
        <v>0.93000</v>
      </c>
      <c r="F12989" s="29">
        <f ca="1">ROUND((G12986+G12987+G12988),3)</f>
        <v>0</v>
      </c>
      <c r="G12989" s="27">
        <f ca="1">ROUND(E12989*F12989,2)</f>
        <v>0</v>
      </c>
    </row>
    <row r="12990" spans="1:7" ht="15.12" thickBot="1" customHeight="1">
      <c r="A12990" s="24" t="s">
        <v>41035</v>
      </c>
      <c r="B12990" s="24"/>
      <c r="C12990" s="24" t="s">
        <v>41036</v>
      </c>
      <c r="D12990" s="25" t="s">
        <v>41037</v>
      </c>
      <c r="E12990" s="28">
        <v>5.00000</v>
      </c>
      <c r="F12990" s="29">
        <f ca="1">ROUND(40.730,3)</f>
        <v>0</v>
      </c>
      <c r="G12990" s="27">
        <f ca="1">ROUND((E12990*F12990)/100,2)</f>
        <v>0</v>
      </c>
    </row>
    <row r="12991" spans="1:7" ht="15.48" thickBot="1" customHeight="1">
      <c r="A12991" s="30"/>
      <c r="B12991" s="30"/>
      <c r="C12991" s="30"/>
      <c r="D12991" s="31" t="s">
        <v>41038</v>
      </c>
      <c r="E12991" s="30"/>
      <c r="F12991" s="33">
        <f ca="1">ROUND((G12982+G12983+G12984+G12985+G12990)*(1+G2/100),2)</f>
        <v>0</v>
      </c>
      <c r="G12991" s="30"/>
    </row>
    <row r="12992" spans="1:7" ht="49.08" thickBot="1" customHeight="1">
      <c r="A12992" s="34" t="s">
        <v>41039</v>
      </c>
      <c r="B12992" s="35" t="s">
        <v>41040</v>
      </c>
      <c r="C12992" s="35" t="s">
        <v>41041</v>
      </c>
      <c r="D12992" s="36" t="s">
        <v>41042</v>
      </c>
      <c r="E12992" s="37"/>
      <c r="F12992" s="38">
        <f ca="1">F13003</f>
        <v>0</v>
      </c>
      <c r="G12992" s="37"/>
    </row>
    <row r="12993" spans="1:7" ht="21.36" thickBot="1" customHeight="1">
      <c r="A12993" s="26"/>
      <c r="B12993" s="26"/>
      <c r="C12993" s="26"/>
      <c r="D12993" s="25" t="s">
        <v>41043</v>
      </c>
      <c r="E12993" s="25"/>
      <c r="F12993" s="25"/>
      <c r="G12993" s="25"/>
    </row>
    <row r="12994" spans="1:7" ht="39.84" thickBot="1" customHeight="1">
      <c r="A12994" s="24" t="s">
        <v>41044</v>
      </c>
      <c r="B12994" s="24" t="s">
        <v>41045</v>
      </c>
      <c r="C12994" s="24" t="s">
        <v>41046</v>
      </c>
      <c r="D12994" s="25" t="s">
        <v>41047</v>
      </c>
      <c r="E12994" s="28">
        <v>1.13400</v>
      </c>
      <c r="F12994" s="29">
        <f ca="1">ROUND(2.600,3)</f>
        <v>0</v>
      </c>
      <c r="G12994" s="27">
        <f ca="1">ROUND(E12994*F12994,2)</f>
        <v>0</v>
      </c>
    </row>
    <row r="12995" spans="1:7" ht="21.36" thickBot="1" customHeight="1">
      <c r="A12995" s="24" t="s">
        <v>41048</v>
      </c>
      <c r="B12995" s="24" t="s">
        <v>41049</v>
      </c>
      <c r="C12995" s="24" t="s">
        <v>41050</v>
      </c>
      <c r="D12995" s="25" t="s">
        <v>41051</v>
      </c>
      <c r="E12995" s="28">
        <v>0.75000</v>
      </c>
      <c r="F12995" s="29">
        <f ca="1">ROUND(1.050,3)</f>
        <v>0</v>
      </c>
      <c r="G12995" s="27">
        <f ca="1">ROUND(E12995*F12995,2)</f>
        <v>0</v>
      </c>
    </row>
    <row r="12996" spans="1:7" ht="30.60" thickBot="1" customHeight="1">
      <c r="A12996" s="24" t="s">
        <v>41052</v>
      </c>
      <c r="B12996" s="24" t="s">
        <v>41053</v>
      </c>
      <c r="C12996" s="24" t="s">
        <v>41054</v>
      </c>
      <c r="D12996" s="25" t="s">
        <v>41055</v>
      </c>
      <c r="E12996" s="28">
        <v>0.02200</v>
      </c>
      <c r="F12996" s="29">
        <f ca="1">ROUND(27.500,3)</f>
        <v>0</v>
      </c>
      <c r="G12996" s="27">
        <f ca="1">ROUND(E12996*F12996,2)</f>
        <v>0</v>
      </c>
    </row>
    <row r="12997" spans="1:7" ht="21.36" thickBot="1" customHeight="1">
      <c r="A12997" s="24" t="s">
        <v>41056</v>
      </c>
      <c r="B12997" s="24" t="s">
        <v>41057</v>
      </c>
      <c r="C12997" s="24" t="s">
        <v>41058</v>
      </c>
      <c r="D12997" s="25" t="s">
        <v>41059</v>
      </c>
      <c r="E12997" s="28">
        <v>0.84000</v>
      </c>
      <c r="F12997" s="29">
        <f ca="1">F13001</f>
        <v>0</v>
      </c>
      <c r="G12997" s="27">
        <f ca="1">ROUND(E12997*F12997,2)</f>
        <v>0</v>
      </c>
    </row>
    <row r="12998" spans="1:7" ht="24.36" thickBot="1" customHeight="1">
      <c r="A12998" s="24" t="s">
        <v>41060</v>
      </c>
      <c r="B12998" s="24" t="s">
        <v>41061</v>
      </c>
      <c r="C12998" s="24" t="s">
        <v>41062</v>
      </c>
      <c r="D12998" s="25" t="s">
        <v>41063</v>
      </c>
      <c r="E12998" s="28">
        <v>1.00000</v>
      </c>
      <c r="F12998" s="29">
        <f ca="1">ROUND(21.000,3)</f>
        <v>0</v>
      </c>
      <c r="G12998" s="27">
        <f ca="1">ROUND(E12998*F12998,2)</f>
        <v>0</v>
      </c>
    </row>
    <row r="12999" spans="1:7" ht="24.36" thickBot="1" customHeight="1">
      <c r="A12999" s="24" t="s">
        <v>41064</v>
      </c>
      <c r="B12999" s="24" t="s">
        <v>41065</v>
      </c>
      <c r="C12999" s="24" t="s">
        <v>41066</v>
      </c>
      <c r="D12999" s="25" t="s">
        <v>41067</v>
      </c>
      <c r="E12999" s="28">
        <v>1.00000</v>
      </c>
      <c r="F12999" s="29">
        <f ca="1">ROUND(19.000,3)</f>
        <v>0</v>
      </c>
      <c r="G12999" s="27">
        <f ca="1">ROUND(E12999*F12999,2)</f>
        <v>0</v>
      </c>
    </row>
    <row r="13000" spans="1:7" ht="24.36" thickBot="1" customHeight="1">
      <c r="A13000" s="24" t="s">
        <v>41068</v>
      </c>
      <c r="B13000" s="24" t="s">
        <v>41069</v>
      </c>
      <c r="C13000" s="24" t="s">
        <v>41070</v>
      </c>
      <c r="D13000" s="25" t="s">
        <v>41071</v>
      </c>
      <c r="E13000" s="28">
        <v>0.20000</v>
      </c>
      <c r="F13000" s="29">
        <f ca="1">ROUND(19.000,3)</f>
        <v>0</v>
      </c>
      <c r="G13000" s="27">
        <f ca="1">ROUND(E13000*F13000,2)</f>
        <v>0</v>
      </c>
    </row>
    <row r="13001" spans="1:7" ht="15.12" thickBot="1" customHeight="1">
      <c r="A13001" s="26"/>
      <c r="B13001" s="26"/>
      <c r="C13001" s="26"/>
      <c r="D13001" s="24" t="s">
        <v>41072</v>
      </c>
      <c r="E13001" s="28">
        <v>0.84000</v>
      </c>
      <c r="F13001" s="29">
        <f ca="1">ROUND((G12998+G12999+G13000),3)</f>
        <v>0</v>
      </c>
      <c r="G13001" s="27">
        <f ca="1">ROUND(E13001*F13001,2)</f>
        <v>0</v>
      </c>
    </row>
    <row r="13002" spans="1:7" ht="15.12" thickBot="1" customHeight="1">
      <c r="A13002" s="24" t="s">
        <v>41073</v>
      </c>
      <c r="B13002" s="24"/>
      <c r="C13002" s="24" t="s">
        <v>41074</v>
      </c>
      <c r="D13002" s="25" t="s">
        <v>41075</v>
      </c>
      <c r="E13002" s="28">
        <v>5.00000</v>
      </c>
      <c r="F13002" s="29">
        <f ca="1">ROUND(36.790,3)</f>
        <v>0</v>
      </c>
      <c r="G13002" s="27">
        <f ca="1">ROUND((E13002*F13002)/100,2)</f>
        <v>0</v>
      </c>
    </row>
    <row r="13003" spans="1:7" ht="15.48" thickBot="1" customHeight="1">
      <c r="A13003" s="30"/>
      <c r="B13003" s="30"/>
      <c r="C13003" s="30"/>
      <c r="D13003" s="31" t="s">
        <v>41076</v>
      </c>
      <c r="E13003" s="30"/>
      <c r="F13003" s="33">
        <f ca="1">ROUND((G12994+G12995+G12996+G12997+G13002)*(1+G2/100),2)</f>
        <v>0</v>
      </c>
      <c r="G13003" s="30"/>
    </row>
    <row r="13004" spans="1:7" ht="58.32" thickBot="1" customHeight="1">
      <c r="A13004" s="34" t="s">
        <v>41077</v>
      </c>
      <c r="B13004" s="35" t="s">
        <v>41078</v>
      </c>
      <c r="C13004" s="35" t="s">
        <v>41079</v>
      </c>
      <c r="D13004" s="36" t="s">
        <v>41080</v>
      </c>
      <c r="E13004" s="37"/>
      <c r="F13004" s="38">
        <f ca="1">F13015</f>
        <v>0</v>
      </c>
      <c r="G13004" s="37"/>
    </row>
    <row r="13005" spans="1:7" ht="21.36" thickBot="1" customHeight="1">
      <c r="A13005" s="26"/>
      <c r="B13005" s="26"/>
      <c r="C13005" s="26"/>
      <c r="D13005" s="25" t="s">
        <v>41081</v>
      </c>
      <c r="E13005" s="25"/>
      <c r="F13005" s="25"/>
      <c r="G13005" s="25"/>
    </row>
    <row r="13006" spans="1:7" ht="39.84" thickBot="1" customHeight="1">
      <c r="A13006" s="24" t="s">
        <v>41082</v>
      </c>
      <c r="B13006" s="24" t="s">
        <v>41083</v>
      </c>
      <c r="C13006" s="24" t="s">
        <v>41084</v>
      </c>
      <c r="D13006" s="25" t="s">
        <v>41085</v>
      </c>
      <c r="E13006" s="28">
        <v>1.13400</v>
      </c>
      <c r="F13006" s="29">
        <f ca="1">ROUND(2.600,3)</f>
        <v>0</v>
      </c>
      <c r="G13006" s="27">
        <f ca="1">ROUND(E13006*F13006,2)</f>
        <v>0</v>
      </c>
    </row>
    <row r="13007" spans="1:7" ht="21.36" thickBot="1" customHeight="1">
      <c r="A13007" s="24" t="s">
        <v>41086</v>
      </c>
      <c r="B13007" s="24" t="s">
        <v>41087</v>
      </c>
      <c r="C13007" s="24" t="s">
        <v>41088</v>
      </c>
      <c r="D13007" s="25" t="s">
        <v>41089</v>
      </c>
      <c r="E13007" s="28">
        <v>0.75000</v>
      </c>
      <c r="F13007" s="29">
        <f ca="1">ROUND(1.050,3)</f>
        <v>0</v>
      </c>
      <c r="G13007" s="27">
        <f ca="1">ROUND(E13007*F13007,2)</f>
        <v>0</v>
      </c>
    </row>
    <row r="13008" spans="1:7" ht="30.60" thickBot="1" customHeight="1">
      <c r="A13008" s="24" t="s">
        <v>41090</v>
      </c>
      <c r="B13008" s="24" t="s">
        <v>41091</v>
      </c>
      <c r="C13008" s="24" t="s">
        <v>41092</v>
      </c>
      <c r="D13008" s="25" t="s">
        <v>41093</v>
      </c>
      <c r="E13008" s="28">
        <v>0.02200</v>
      </c>
      <c r="F13008" s="29">
        <f ca="1">ROUND(27.500,3)</f>
        <v>0</v>
      </c>
      <c r="G13008" s="27">
        <f ca="1">ROUND(E13008*F13008,2)</f>
        <v>0</v>
      </c>
    </row>
    <row r="13009" spans="1:7" ht="21.36" thickBot="1" customHeight="1">
      <c r="A13009" s="24" t="s">
        <v>41094</v>
      </c>
      <c r="B13009" s="24" t="s">
        <v>41095</v>
      </c>
      <c r="C13009" s="24" t="s">
        <v>41096</v>
      </c>
      <c r="D13009" s="25" t="s">
        <v>41097</v>
      </c>
      <c r="E13009" s="28">
        <v>1.18000</v>
      </c>
      <c r="F13009" s="29">
        <f ca="1">F13013</f>
        <v>0</v>
      </c>
      <c r="G13009" s="27">
        <f ca="1">ROUND(E13009*F13009,2)</f>
        <v>0</v>
      </c>
    </row>
    <row r="13010" spans="1:7" ht="24.36" thickBot="1" customHeight="1">
      <c r="A13010" s="24" t="s">
        <v>41098</v>
      </c>
      <c r="B13010" s="24" t="s">
        <v>41099</v>
      </c>
      <c r="C13010" s="24" t="s">
        <v>41100</v>
      </c>
      <c r="D13010" s="25" t="s">
        <v>41101</v>
      </c>
      <c r="E13010" s="28">
        <v>1.00000</v>
      </c>
      <c r="F13010" s="29">
        <f ca="1">ROUND(21.000,3)</f>
        <v>0</v>
      </c>
      <c r="G13010" s="27">
        <f ca="1">ROUND(E13010*F13010,2)</f>
        <v>0</v>
      </c>
    </row>
    <row r="13011" spans="1:7" ht="24.36" thickBot="1" customHeight="1">
      <c r="A13011" s="24" t="s">
        <v>41102</v>
      </c>
      <c r="B13011" s="24" t="s">
        <v>41103</v>
      </c>
      <c r="C13011" s="24" t="s">
        <v>41104</v>
      </c>
      <c r="D13011" s="25" t="s">
        <v>41105</v>
      </c>
      <c r="E13011" s="28">
        <v>1.00000</v>
      </c>
      <c r="F13011" s="29">
        <f ca="1">ROUND(19.000,3)</f>
        <v>0</v>
      </c>
      <c r="G13011" s="27">
        <f ca="1">ROUND(E13011*F13011,2)</f>
        <v>0</v>
      </c>
    </row>
    <row r="13012" spans="1:7" ht="24.36" thickBot="1" customHeight="1">
      <c r="A13012" s="24" t="s">
        <v>41106</v>
      </c>
      <c r="B13012" s="24" t="s">
        <v>41107</v>
      </c>
      <c r="C13012" s="24" t="s">
        <v>41108</v>
      </c>
      <c r="D13012" s="25" t="s">
        <v>41109</v>
      </c>
      <c r="E13012" s="28">
        <v>0.20000</v>
      </c>
      <c r="F13012" s="29">
        <f ca="1">ROUND(19.000,3)</f>
        <v>0</v>
      </c>
      <c r="G13012" s="27">
        <f ca="1">ROUND(E13012*F13012,2)</f>
        <v>0</v>
      </c>
    </row>
    <row r="13013" spans="1:7" ht="15.12" thickBot="1" customHeight="1">
      <c r="A13013" s="26"/>
      <c r="B13013" s="26"/>
      <c r="C13013" s="26"/>
      <c r="D13013" s="24" t="s">
        <v>41110</v>
      </c>
      <c r="E13013" s="28">
        <v>1.18000</v>
      </c>
      <c r="F13013" s="29">
        <f ca="1">ROUND((G13010+G13011+G13012),3)</f>
        <v>0</v>
      </c>
      <c r="G13013" s="27">
        <f ca="1">ROUND(E13013*F13013,2)</f>
        <v>0</v>
      </c>
    </row>
    <row r="13014" spans="1:7" ht="15.12" thickBot="1" customHeight="1">
      <c r="A13014" s="24" t="s">
        <v>41111</v>
      </c>
      <c r="B13014" s="24"/>
      <c r="C13014" s="24" t="s">
        <v>41112</v>
      </c>
      <c r="D13014" s="25" t="s">
        <v>41113</v>
      </c>
      <c r="E13014" s="28">
        <v>5.00000</v>
      </c>
      <c r="F13014" s="29">
        <f ca="1">ROUND(51.680,3)</f>
        <v>0</v>
      </c>
      <c r="G13014" s="27">
        <f ca="1">ROUND((E13014*F13014)/100,2)</f>
        <v>0</v>
      </c>
    </row>
    <row r="13015" spans="1:7" ht="15.48" thickBot="1" customHeight="1">
      <c r="A13015" s="30"/>
      <c r="B13015" s="30"/>
      <c r="C13015" s="30"/>
      <c r="D13015" s="31" t="s">
        <v>41114</v>
      </c>
      <c r="E13015" s="30"/>
      <c r="F13015" s="33">
        <f ca="1">ROUND((G13006+G13007+G13008+G13009+G13014)*(1+G2/100),2)</f>
        <v>0</v>
      </c>
      <c r="G13015" s="30"/>
    </row>
    <row r="13016" spans="1:7" ht="49.08" thickBot="1" customHeight="1">
      <c r="A13016" s="34" t="s">
        <v>41115</v>
      </c>
      <c r="B13016" s="35" t="s">
        <v>41116</v>
      </c>
      <c r="C13016" s="35" t="s">
        <v>41117</v>
      </c>
      <c r="D13016" s="36" t="s">
        <v>41118</v>
      </c>
      <c r="E13016" s="37"/>
      <c r="F13016" s="38">
        <f ca="1">F13027</f>
        <v>0</v>
      </c>
      <c r="G13016" s="37"/>
    </row>
    <row r="13017" spans="1:7" ht="21.36" thickBot="1" customHeight="1">
      <c r="A13017" s="26"/>
      <c r="B13017" s="26"/>
      <c r="C13017" s="26"/>
      <c r="D13017" s="25" t="s">
        <v>41119</v>
      </c>
      <c r="E13017" s="25"/>
      <c r="F13017" s="25"/>
      <c r="G13017" s="25"/>
    </row>
    <row r="13018" spans="1:7" ht="39.84" thickBot="1" customHeight="1">
      <c r="A13018" s="24" t="s">
        <v>41120</v>
      </c>
      <c r="B13018" s="24" t="s">
        <v>41121</v>
      </c>
      <c r="C13018" s="24" t="s">
        <v>41122</v>
      </c>
      <c r="D13018" s="25" t="s">
        <v>41123</v>
      </c>
      <c r="E13018" s="28">
        <v>1.13400</v>
      </c>
      <c r="F13018" s="29">
        <f ca="1">ROUND(2.600,3)</f>
        <v>0</v>
      </c>
      <c r="G13018" s="27">
        <f ca="1">ROUND(E13018*F13018,2)</f>
        <v>0</v>
      </c>
    </row>
    <row r="13019" spans="1:7" ht="21.36" thickBot="1" customHeight="1">
      <c r="A13019" s="24" t="s">
        <v>41124</v>
      </c>
      <c r="B13019" s="24" t="s">
        <v>41125</v>
      </c>
      <c r="C13019" s="24" t="s">
        <v>41126</v>
      </c>
      <c r="D13019" s="25" t="s">
        <v>41127</v>
      </c>
      <c r="E13019" s="28">
        <v>0.75000</v>
      </c>
      <c r="F13019" s="29">
        <f ca="1">ROUND(1.050,3)</f>
        <v>0</v>
      </c>
      <c r="G13019" s="27">
        <f ca="1">ROUND(E13019*F13019,2)</f>
        <v>0</v>
      </c>
    </row>
    <row r="13020" spans="1:7" ht="30.60" thickBot="1" customHeight="1">
      <c r="A13020" s="24" t="s">
        <v>41128</v>
      </c>
      <c r="B13020" s="24" t="s">
        <v>41129</v>
      </c>
      <c r="C13020" s="24" t="s">
        <v>41130</v>
      </c>
      <c r="D13020" s="25" t="s">
        <v>41131</v>
      </c>
      <c r="E13020" s="28">
        <v>0.02200</v>
      </c>
      <c r="F13020" s="29">
        <f ca="1">ROUND(27.500,3)</f>
        <v>0</v>
      </c>
      <c r="G13020" s="27">
        <f ca="1">ROUND(E13020*F13020,2)</f>
        <v>0</v>
      </c>
    </row>
    <row r="13021" spans="1:7" ht="21.36" thickBot="1" customHeight="1">
      <c r="A13021" s="24" t="s">
        <v>41132</v>
      </c>
      <c r="B13021" s="24" t="s">
        <v>41133</v>
      </c>
      <c r="C13021" s="24" t="s">
        <v>41134</v>
      </c>
      <c r="D13021" s="25" t="s">
        <v>41135</v>
      </c>
      <c r="E13021" s="28">
        <v>0.70000</v>
      </c>
      <c r="F13021" s="29">
        <f ca="1">F13025</f>
        <v>0</v>
      </c>
      <c r="G13021" s="27">
        <f ca="1">ROUND(E13021*F13021,2)</f>
        <v>0</v>
      </c>
    </row>
    <row r="13022" spans="1:7" ht="24.36" thickBot="1" customHeight="1">
      <c r="A13022" s="24" t="s">
        <v>41136</v>
      </c>
      <c r="B13022" s="24" t="s">
        <v>41137</v>
      </c>
      <c r="C13022" s="24" t="s">
        <v>41138</v>
      </c>
      <c r="D13022" s="25" t="s">
        <v>41139</v>
      </c>
      <c r="E13022" s="28">
        <v>1.00000</v>
      </c>
      <c r="F13022" s="29">
        <f ca="1">ROUND(21.000,3)</f>
        <v>0</v>
      </c>
      <c r="G13022" s="27">
        <f ca="1">ROUND(E13022*F13022,2)</f>
        <v>0</v>
      </c>
    </row>
    <row r="13023" spans="1:7" ht="24.36" thickBot="1" customHeight="1">
      <c r="A13023" s="24" t="s">
        <v>41140</v>
      </c>
      <c r="B13023" s="24" t="s">
        <v>41141</v>
      </c>
      <c r="C13023" s="24" t="s">
        <v>41142</v>
      </c>
      <c r="D13023" s="25" t="s">
        <v>41143</v>
      </c>
      <c r="E13023" s="28">
        <v>1.00000</v>
      </c>
      <c r="F13023" s="29">
        <f ca="1">ROUND(19.000,3)</f>
        <v>0</v>
      </c>
      <c r="G13023" s="27">
        <f ca="1">ROUND(E13023*F13023,2)</f>
        <v>0</v>
      </c>
    </row>
    <row r="13024" spans="1:7" ht="24.36" thickBot="1" customHeight="1">
      <c r="A13024" s="24" t="s">
        <v>41144</v>
      </c>
      <c r="B13024" s="24" t="s">
        <v>41145</v>
      </c>
      <c r="C13024" s="24" t="s">
        <v>41146</v>
      </c>
      <c r="D13024" s="25" t="s">
        <v>41147</v>
      </c>
      <c r="E13024" s="28">
        <v>0.20000</v>
      </c>
      <c r="F13024" s="29">
        <f ca="1">ROUND(19.000,3)</f>
        <v>0</v>
      </c>
      <c r="G13024" s="27">
        <f ca="1">ROUND(E13024*F13024,2)</f>
        <v>0</v>
      </c>
    </row>
    <row r="13025" spans="1:7" ht="15.12" thickBot="1" customHeight="1">
      <c r="A13025" s="26"/>
      <c r="B13025" s="26"/>
      <c r="C13025" s="26"/>
      <c r="D13025" s="24" t="s">
        <v>41148</v>
      </c>
      <c r="E13025" s="28">
        <v>0.70000</v>
      </c>
      <c r="F13025" s="29">
        <f ca="1">ROUND((G13022+G13023+G13024),3)</f>
        <v>0</v>
      </c>
      <c r="G13025" s="27">
        <f ca="1">ROUND(E13025*F13025,2)</f>
        <v>0</v>
      </c>
    </row>
    <row r="13026" spans="1:7" ht="15.12" thickBot="1" customHeight="1">
      <c r="A13026" s="24" t="s">
        <v>41149</v>
      </c>
      <c r="B13026" s="24"/>
      <c r="C13026" s="24" t="s">
        <v>41150</v>
      </c>
      <c r="D13026" s="25" t="s">
        <v>41151</v>
      </c>
      <c r="E13026" s="28">
        <v>5.00000</v>
      </c>
      <c r="F13026" s="29">
        <f ca="1">ROUND(30.660,3)</f>
        <v>0</v>
      </c>
      <c r="G13026" s="27">
        <f ca="1">ROUND((E13026*F13026)/100,2)</f>
        <v>0</v>
      </c>
    </row>
    <row r="13027" spans="1:7" ht="15.48" thickBot="1" customHeight="1">
      <c r="A13027" s="30"/>
      <c r="B13027" s="30"/>
      <c r="C13027" s="30"/>
      <c r="D13027" s="31" t="s">
        <v>41152</v>
      </c>
      <c r="E13027" s="30"/>
      <c r="F13027" s="33">
        <f ca="1">ROUND((G13018+G13019+G13020+G13021+G13026)*(1+G2/100),2)</f>
        <v>0</v>
      </c>
      <c r="G13027" s="30"/>
    </row>
    <row r="13028" spans="1:7" ht="58.32" thickBot="1" customHeight="1">
      <c r="A13028" s="34" t="s">
        <v>41153</v>
      </c>
      <c r="B13028" s="35" t="s">
        <v>41154</v>
      </c>
      <c r="C13028" s="35" t="s">
        <v>41155</v>
      </c>
      <c r="D13028" s="36" t="s">
        <v>41156</v>
      </c>
      <c r="E13028" s="37"/>
      <c r="F13028" s="38">
        <f ca="1">F13039</f>
        <v>0</v>
      </c>
      <c r="G13028" s="37"/>
    </row>
    <row r="13029" spans="1:7" ht="21.36" thickBot="1" customHeight="1">
      <c r="A13029" s="26"/>
      <c r="B13029" s="26"/>
      <c r="C13029" s="26"/>
      <c r="D13029" s="25" t="s">
        <v>41157</v>
      </c>
      <c r="E13029" s="25"/>
      <c r="F13029" s="25"/>
      <c r="G13029" s="25"/>
    </row>
    <row r="13030" spans="1:7" ht="39.84" thickBot="1" customHeight="1">
      <c r="A13030" s="24" t="s">
        <v>41158</v>
      </c>
      <c r="B13030" s="24" t="s">
        <v>41159</v>
      </c>
      <c r="C13030" s="24" t="s">
        <v>41160</v>
      </c>
      <c r="D13030" s="25" t="s">
        <v>41161</v>
      </c>
      <c r="E13030" s="28">
        <v>1.13400</v>
      </c>
      <c r="F13030" s="29">
        <f ca="1">ROUND(2.600,3)</f>
        <v>0</v>
      </c>
      <c r="G13030" s="27">
        <f ca="1">ROUND(E13030*F13030,2)</f>
        <v>0</v>
      </c>
    </row>
    <row r="13031" spans="1:7" ht="21.36" thickBot="1" customHeight="1">
      <c r="A13031" s="24" t="s">
        <v>41162</v>
      </c>
      <c r="B13031" s="24" t="s">
        <v>41163</v>
      </c>
      <c r="C13031" s="24" t="s">
        <v>41164</v>
      </c>
      <c r="D13031" s="25" t="s">
        <v>41165</v>
      </c>
      <c r="E13031" s="28">
        <v>0.75000</v>
      </c>
      <c r="F13031" s="29">
        <f ca="1">ROUND(1.050,3)</f>
        <v>0</v>
      </c>
      <c r="G13031" s="27">
        <f ca="1">ROUND(E13031*F13031,2)</f>
        <v>0</v>
      </c>
    </row>
    <row r="13032" spans="1:7" ht="30.60" thickBot="1" customHeight="1">
      <c r="A13032" s="24" t="s">
        <v>41166</v>
      </c>
      <c r="B13032" s="24" t="s">
        <v>41167</v>
      </c>
      <c r="C13032" s="24" t="s">
        <v>41168</v>
      </c>
      <c r="D13032" s="25" t="s">
        <v>41169</v>
      </c>
      <c r="E13032" s="28">
        <v>0.02200</v>
      </c>
      <c r="F13032" s="29">
        <f ca="1">ROUND(27.500,3)</f>
        <v>0</v>
      </c>
      <c r="G13032" s="27">
        <f ca="1">ROUND(E13032*F13032,2)</f>
        <v>0</v>
      </c>
    </row>
    <row r="13033" spans="1:7" ht="21.36" thickBot="1" customHeight="1">
      <c r="A13033" s="24" t="s">
        <v>41170</v>
      </c>
      <c r="B13033" s="24" t="s">
        <v>41171</v>
      </c>
      <c r="C13033" s="24" t="s">
        <v>41172</v>
      </c>
      <c r="D13033" s="25" t="s">
        <v>41173</v>
      </c>
      <c r="E13033" s="28">
        <v>0.97000</v>
      </c>
      <c r="F13033" s="29">
        <f ca="1">F13037</f>
        <v>0</v>
      </c>
      <c r="G13033" s="27">
        <f ca="1">ROUND(E13033*F13033,2)</f>
        <v>0</v>
      </c>
    </row>
    <row r="13034" spans="1:7" ht="24.36" thickBot="1" customHeight="1">
      <c r="A13034" s="24" t="s">
        <v>41174</v>
      </c>
      <c r="B13034" s="24" t="s">
        <v>41175</v>
      </c>
      <c r="C13034" s="24" t="s">
        <v>41176</v>
      </c>
      <c r="D13034" s="25" t="s">
        <v>41177</v>
      </c>
      <c r="E13034" s="28">
        <v>1.00000</v>
      </c>
      <c r="F13034" s="29">
        <f ca="1">ROUND(21.000,3)</f>
        <v>0</v>
      </c>
      <c r="G13034" s="27">
        <f ca="1">ROUND(E13034*F13034,2)</f>
        <v>0</v>
      </c>
    </row>
    <row r="13035" spans="1:7" ht="24.36" thickBot="1" customHeight="1">
      <c r="A13035" s="24" t="s">
        <v>41178</v>
      </c>
      <c r="B13035" s="24" t="s">
        <v>41179</v>
      </c>
      <c r="C13035" s="24" t="s">
        <v>41180</v>
      </c>
      <c r="D13035" s="25" t="s">
        <v>41181</v>
      </c>
      <c r="E13035" s="28">
        <v>1.00000</v>
      </c>
      <c r="F13035" s="29">
        <f ca="1">ROUND(19.000,3)</f>
        <v>0</v>
      </c>
      <c r="G13035" s="27">
        <f ca="1">ROUND(E13035*F13035,2)</f>
        <v>0</v>
      </c>
    </row>
    <row r="13036" spans="1:7" ht="24.36" thickBot="1" customHeight="1">
      <c r="A13036" s="24" t="s">
        <v>41182</v>
      </c>
      <c r="B13036" s="24" t="s">
        <v>41183</v>
      </c>
      <c r="C13036" s="24" t="s">
        <v>41184</v>
      </c>
      <c r="D13036" s="25" t="s">
        <v>41185</v>
      </c>
      <c r="E13036" s="28">
        <v>0.20000</v>
      </c>
      <c r="F13036" s="29">
        <f ca="1">ROUND(19.000,3)</f>
        <v>0</v>
      </c>
      <c r="G13036" s="27">
        <f ca="1">ROUND(E13036*F13036,2)</f>
        <v>0</v>
      </c>
    </row>
    <row r="13037" spans="1:7" ht="15.12" thickBot="1" customHeight="1">
      <c r="A13037" s="26"/>
      <c r="B13037" s="26"/>
      <c r="C13037" s="26"/>
      <c r="D13037" s="24" t="s">
        <v>41186</v>
      </c>
      <c r="E13037" s="28">
        <v>0.97000</v>
      </c>
      <c r="F13037" s="29">
        <f ca="1">ROUND((G13034+G13035+G13036),3)</f>
        <v>0</v>
      </c>
      <c r="G13037" s="27">
        <f ca="1">ROUND(E13037*F13037,2)</f>
        <v>0</v>
      </c>
    </row>
    <row r="13038" spans="1:7" ht="15.12" thickBot="1" customHeight="1">
      <c r="A13038" s="24" t="s">
        <v>41187</v>
      </c>
      <c r="B13038" s="24"/>
      <c r="C13038" s="24" t="s">
        <v>41188</v>
      </c>
      <c r="D13038" s="25" t="s">
        <v>41189</v>
      </c>
      <c r="E13038" s="28">
        <v>5.00000</v>
      </c>
      <c r="F13038" s="29">
        <f ca="1">ROUND(42.490,3)</f>
        <v>0</v>
      </c>
      <c r="G13038" s="27">
        <f ca="1">ROUND((E13038*F13038)/100,2)</f>
        <v>0</v>
      </c>
    </row>
    <row r="13039" spans="1:7" ht="15.48" thickBot="1" customHeight="1">
      <c r="A13039" s="30"/>
      <c r="B13039" s="30"/>
      <c r="C13039" s="30"/>
      <c r="D13039" s="31" t="s">
        <v>41190</v>
      </c>
      <c r="E13039" s="30"/>
      <c r="F13039" s="33">
        <f ca="1">ROUND((G13030+G13031+G13032+G13033+G13038)*(1+G2/100),2)</f>
        <v>0</v>
      </c>
      <c r="G13039" s="30"/>
    </row>
    <row r="13040" spans="1:7" ht="15.48" thickBot="1" customHeight="1">
      <c r="A13040" s="39"/>
      <c r="B13040" s="39"/>
      <c r="C13040" s="39"/>
      <c r="D13040" s="50" t="s">
        <v>41191</v>
      </c>
      <c r="E13040" s="51"/>
      <c r="F13040" s="51"/>
      <c r="G13040" s="51"/>
    </row>
    <row r="13041" spans="1:7" ht="15.48" thickBot="1" customHeight="1">
      <c r="A13041" s="52" t="s">
        <v>41192</v>
      </c>
      <c r="B13041" s="52" t="s">
        <v>41193</v>
      </c>
      <c r="C13041" s="53"/>
      <c r="D13041" s="54" t="s">
        <v>41194</v>
      </c>
      <c r="E13041" s="53"/>
      <c r="F13041" s="53"/>
      <c r="G13041" s="53"/>
    </row>
    <row r="13042" spans="1:7" ht="21.36" thickBot="1" customHeight="1">
      <c r="A13042" s="10" t="s">
        <v>41195</v>
      </c>
      <c r="B13042" s="24" t="s">
        <v>41196</v>
      </c>
      <c r="C13042" s="24" t="s">
        <v>41197</v>
      </c>
      <c r="D13042" s="25" t="s">
        <v>41198</v>
      </c>
      <c r="E13042" s="26"/>
      <c r="F13042" s="27">
        <f ca="1">F13054</f>
        <v>0</v>
      </c>
      <c r="G13042" s="26"/>
    </row>
    <row r="13043" spans="1:7" ht="39.84" thickBot="1" customHeight="1">
      <c r="A13043" s="26"/>
      <c r="B13043" s="26"/>
      <c r="C13043" s="26"/>
      <c r="D13043" s="25" t="s">
        <v>41199</v>
      </c>
      <c r="E13043" s="25"/>
      <c r="F13043" s="25"/>
      <c r="G13043" s="25"/>
    </row>
    <row r="13044" spans="1:7" ht="30.60" thickBot="1" customHeight="1">
      <c r="A13044" s="24" t="s">
        <v>41200</v>
      </c>
      <c r="B13044" s="24" t="s">
        <v>41201</v>
      </c>
      <c r="C13044" s="24" t="s">
        <v>41202</v>
      </c>
      <c r="D13044" s="25" t="s">
        <v>41203</v>
      </c>
      <c r="E13044" s="28">
        <v>0.06000</v>
      </c>
      <c r="F13044" s="29">
        <f ca="1">ROUND(29.170,3)</f>
        <v>0</v>
      </c>
      <c r="G13044" s="27">
        <f ca="1">ROUND(E13044*F13044,2)</f>
        <v>0</v>
      </c>
    </row>
    <row r="13045" spans="1:7" ht="30.60" thickBot="1" customHeight="1">
      <c r="A13045" s="24" t="s">
        <v>41204</v>
      </c>
      <c r="B13045" s="24" t="s">
        <v>41205</v>
      </c>
      <c r="C13045" s="24" t="s">
        <v>41206</v>
      </c>
      <c r="D13045" s="25" t="s">
        <v>41207</v>
      </c>
      <c r="E13045" s="28">
        <v>0.02520</v>
      </c>
      <c r="F13045" s="29">
        <f ca="1">ROUND(27.500,3)</f>
        <v>0</v>
      </c>
      <c r="G13045" s="27">
        <f ca="1">ROUND(E13045*F13045,2)</f>
        <v>0</v>
      </c>
    </row>
    <row r="13046" spans="1:7" ht="30.60" thickBot="1" customHeight="1">
      <c r="A13046" s="24" t="s">
        <v>41208</v>
      </c>
      <c r="B13046" s="24" t="s">
        <v>41209</v>
      </c>
      <c r="C13046" s="24" t="s">
        <v>41210</v>
      </c>
      <c r="D13046" s="25" t="s">
        <v>41211</v>
      </c>
      <c r="E13046" s="28">
        <v>0.17500</v>
      </c>
      <c r="F13046" s="29">
        <f ca="1">ROUND(55.500,3)</f>
        <v>0</v>
      </c>
      <c r="G13046" s="27">
        <f ca="1">ROUND(E13046*F13046,2)</f>
        <v>0</v>
      </c>
    </row>
    <row r="13047" spans="1:7" ht="30.60" thickBot="1" customHeight="1">
      <c r="A13047" s="24" t="s">
        <v>41212</v>
      </c>
      <c r="B13047" s="24" t="s">
        <v>41213</v>
      </c>
      <c r="C13047" s="24" t="s">
        <v>41214</v>
      </c>
      <c r="D13047" s="25" t="s">
        <v>41215</v>
      </c>
      <c r="E13047" s="28">
        <v>0.03500</v>
      </c>
      <c r="F13047" s="29">
        <f ca="1">ROUND(60.400,3)</f>
        <v>0</v>
      </c>
      <c r="G13047" s="27">
        <f ca="1">ROUND(E13047*F13047,2)</f>
        <v>0</v>
      </c>
    </row>
    <row r="13048" spans="1:7" ht="21.36" thickBot="1" customHeight="1">
      <c r="A13048" s="24" t="s">
        <v>41216</v>
      </c>
      <c r="B13048" s="24" t="s">
        <v>41217</v>
      </c>
      <c r="C13048" s="24" t="s">
        <v>41218</v>
      </c>
      <c r="D13048" s="25" t="s">
        <v>41219</v>
      </c>
      <c r="E13048" s="28">
        <v>0.33000</v>
      </c>
      <c r="F13048" s="29">
        <f ca="1">F13052</f>
        <v>0</v>
      </c>
      <c r="G13048" s="27">
        <f ca="1">ROUND(E13048*F13048,2)</f>
        <v>0</v>
      </c>
    </row>
    <row r="13049" spans="1:7" ht="24.36" thickBot="1" customHeight="1">
      <c r="A13049" s="24" t="s">
        <v>41220</v>
      </c>
      <c r="B13049" s="24" t="s">
        <v>41221</v>
      </c>
      <c r="C13049" s="24" t="s">
        <v>41222</v>
      </c>
      <c r="D13049" s="25" t="s">
        <v>41223</v>
      </c>
      <c r="E13049" s="28">
        <v>1.00000</v>
      </c>
      <c r="F13049" s="29">
        <f ca="1">ROUND(21.000,3)</f>
        <v>0</v>
      </c>
      <c r="G13049" s="27">
        <f ca="1">ROUND(E13049*F13049,2)</f>
        <v>0</v>
      </c>
    </row>
    <row r="13050" spans="1:7" ht="24.36" thickBot="1" customHeight="1">
      <c r="A13050" s="24" t="s">
        <v>41224</v>
      </c>
      <c r="B13050" s="24" t="s">
        <v>41225</v>
      </c>
      <c r="C13050" s="24" t="s">
        <v>41226</v>
      </c>
      <c r="D13050" s="25" t="s">
        <v>41227</v>
      </c>
      <c r="E13050" s="28">
        <v>1.00000</v>
      </c>
      <c r="F13050" s="29">
        <f ca="1">ROUND(19.000,3)</f>
        <v>0</v>
      </c>
      <c r="G13050" s="27">
        <f ca="1">ROUND(E13050*F13050,2)</f>
        <v>0</v>
      </c>
    </row>
    <row r="13051" spans="1:7" ht="24.36" thickBot="1" customHeight="1">
      <c r="A13051" s="24" t="s">
        <v>41228</v>
      </c>
      <c r="B13051" s="24" t="s">
        <v>41229</v>
      </c>
      <c r="C13051" s="24" t="s">
        <v>41230</v>
      </c>
      <c r="D13051" s="25" t="s">
        <v>41231</v>
      </c>
      <c r="E13051" s="28">
        <v>0.20000</v>
      </c>
      <c r="F13051" s="29">
        <f ca="1">ROUND(19.000,3)</f>
        <v>0</v>
      </c>
      <c r="G13051" s="27">
        <f ca="1">ROUND(E13051*F13051,2)</f>
        <v>0</v>
      </c>
    </row>
    <row r="13052" spans="1:7" ht="15.12" thickBot="1" customHeight="1">
      <c r="A13052" s="26"/>
      <c r="B13052" s="26"/>
      <c r="C13052" s="26"/>
      <c r="D13052" s="24" t="s">
        <v>41232</v>
      </c>
      <c r="E13052" s="28">
        <v>0.33000</v>
      </c>
      <c r="F13052" s="29">
        <f ca="1">ROUND((G13049+G13050+G13051),3)</f>
        <v>0</v>
      </c>
      <c r="G13052" s="27">
        <f ca="1">ROUND(E13052*F13052,2)</f>
        <v>0</v>
      </c>
    </row>
    <row r="13053" spans="1:7" ht="15.12" thickBot="1" customHeight="1">
      <c r="A13053" s="24" t="s">
        <v>41233</v>
      </c>
      <c r="B13053" s="24"/>
      <c r="C13053" s="24" t="s">
        <v>41234</v>
      </c>
      <c r="D13053" s="25" t="s">
        <v>41235</v>
      </c>
      <c r="E13053" s="28">
        <v>3.00000</v>
      </c>
      <c r="F13053" s="29">
        <f ca="1">ROUND(14.450,3)</f>
        <v>0</v>
      </c>
      <c r="G13053" s="27">
        <f ca="1">ROUND((E13053*F13053)/100,2)</f>
        <v>0</v>
      </c>
    </row>
    <row r="13054" spans="1:7" ht="15.48" thickBot="1" customHeight="1">
      <c r="A13054" s="30"/>
      <c r="B13054" s="30"/>
      <c r="C13054" s="30"/>
      <c r="D13054" s="31" t="s">
        <v>41236</v>
      </c>
      <c r="E13054" s="30"/>
      <c r="F13054" s="33">
        <f ca="1">ROUND((G13044+G13045+G13046+G13047+G13048+G13053)*(1+G2/100),2)</f>
        <v>0</v>
      </c>
      <c r="G13054" s="30"/>
    </row>
    <row r="13055" spans="1:7" ht="30.60" thickBot="1" customHeight="1">
      <c r="A13055" s="34" t="s">
        <v>41237</v>
      </c>
      <c r="B13055" s="35" t="s">
        <v>41238</v>
      </c>
      <c r="C13055" s="35" t="s">
        <v>41239</v>
      </c>
      <c r="D13055" s="36" t="s">
        <v>41240</v>
      </c>
      <c r="E13055" s="37"/>
      <c r="F13055" s="38">
        <f ca="1">F13067</f>
        <v>0</v>
      </c>
      <c r="G13055" s="37"/>
    </row>
    <row r="13056" spans="1:7" ht="39.84" thickBot="1" customHeight="1">
      <c r="A13056" s="26"/>
      <c r="B13056" s="26"/>
      <c r="C13056" s="26"/>
      <c r="D13056" s="25" t="s">
        <v>41241</v>
      </c>
      <c r="E13056" s="25"/>
      <c r="F13056" s="25"/>
      <c r="G13056" s="25"/>
    </row>
    <row r="13057" spans="1:7" ht="30.60" thickBot="1" customHeight="1">
      <c r="A13057" s="24" t="s">
        <v>41242</v>
      </c>
      <c r="B13057" s="24" t="s">
        <v>41243</v>
      </c>
      <c r="C13057" s="24" t="s">
        <v>41244</v>
      </c>
      <c r="D13057" s="25" t="s">
        <v>41245</v>
      </c>
      <c r="E13057" s="28">
        <v>0.06000</v>
      </c>
      <c r="F13057" s="29">
        <f ca="1">ROUND(29.170,3)</f>
        <v>0</v>
      </c>
      <c r="G13057" s="27">
        <f ca="1">ROUND(E13057*F13057,2)</f>
        <v>0</v>
      </c>
    </row>
    <row r="13058" spans="1:7" ht="30.60" thickBot="1" customHeight="1">
      <c r="A13058" s="24" t="s">
        <v>41246</v>
      </c>
      <c r="B13058" s="24" t="s">
        <v>41247</v>
      </c>
      <c r="C13058" s="24" t="s">
        <v>41248</v>
      </c>
      <c r="D13058" s="25" t="s">
        <v>41249</v>
      </c>
      <c r="E13058" s="28">
        <v>0.02520</v>
      </c>
      <c r="F13058" s="29">
        <f ca="1">ROUND(27.500,3)</f>
        <v>0</v>
      </c>
      <c r="G13058" s="27">
        <f ca="1">ROUND(E13058*F13058,2)</f>
        <v>0</v>
      </c>
    </row>
    <row r="13059" spans="1:7" ht="30.60" thickBot="1" customHeight="1">
      <c r="A13059" s="24" t="s">
        <v>41250</v>
      </c>
      <c r="B13059" s="24" t="s">
        <v>41251</v>
      </c>
      <c r="C13059" s="24" t="s">
        <v>41252</v>
      </c>
      <c r="D13059" s="25" t="s">
        <v>41253</v>
      </c>
      <c r="E13059" s="28">
        <v>0.17500</v>
      </c>
      <c r="F13059" s="29">
        <f ca="1">ROUND(55.500,3)</f>
        <v>0</v>
      </c>
      <c r="G13059" s="27">
        <f ca="1">ROUND(E13059*F13059,2)</f>
        <v>0</v>
      </c>
    </row>
    <row r="13060" spans="1:7" ht="30.60" thickBot="1" customHeight="1">
      <c r="A13060" s="24" t="s">
        <v>41254</v>
      </c>
      <c r="B13060" s="24" t="s">
        <v>41255</v>
      </c>
      <c r="C13060" s="24" t="s">
        <v>41256</v>
      </c>
      <c r="D13060" s="25" t="s">
        <v>41257</v>
      </c>
      <c r="E13060" s="28">
        <v>0.03500</v>
      </c>
      <c r="F13060" s="29">
        <f ca="1">ROUND(60.400,3)</f>
        <v>0</v>
      </c>
      <c r="G13060" s="27">
        <f ca="1">ROUND(E13060*F13060,2)</f>
        <v>0</v>
      </c>
    </row>
    <row r="13061" spans="1:7" ht="24.36" thickBot="1" customHeight="1">
      <c r="A13061" s="24" t="s">
        <v>41258</v>
      </c>
      <c r="B13061" s="24" t="s">
        <v>41259</v>
      </c>
      <c r="C13061" s="24" t="s">
        <v>41260</v>
      </c>
      <c r="D13061" s="25" t="s">
        <v>41261</v>
      </c>
      <c r="E13061" s="28">
        <v>0.50000</v>
      </c>
      <c r="F13061" s="29">
        <f ca="1">F13065</f>
        <v>0</v>
      </c>
      <c r="G13061" s="27">
        <f ca="1">ROUND(E13061*F13061,2)</f>
        <v>0</v>
      </c>
    </row>
    <row r="13062" spans="1:7" ht="24.36" thickBot="1" customHeight="1">
      <c r="A13062" s="24" t="s">
        <v>41262</v>
      </c>
      <c r="B13062" s="24" t="s">
        <v>41263</v>
      </c>
      <c r="C13062" s="24" t="s">
        <v>41264</v>
      </c>
      <c r="D13062" s="25" t="s">
        <v>41265</v>
      </c>
      <c r="E13062" s="28">
        <v>1.00000</v>
      </c>
      <c r="F13062" s="29">
        <f ca="1">ROUND(21.000,3)</f>
        <v>0</v>
      </c>
      <c r="G13062" s="27">
        <f ca="1">ROUND(E13062*F13062,2)</f>
        <v>0</v>
      </c>
    </row>
    <row r="13063" spans="1:7" ht="24.36" thickBot="1" customHeight="1">
      <c r="A13063" s="24" t="s">
        <v>41266</v>
      </c>
      <c r="B13063" s="24" t="s">
        <v>41267</v>
      </c>
      <c r="C13063" s="24" t="s">
        <v>41268</v>
      </c>
      <c r="D13063" s="25" t="s">
        <v>41269</v>
      </c>
      <c r="E13063" s="28">
        <v>1.00000</v>
      </c>
      <c r="F13063" s="29">
        <f ca="1">ROUND(19.000,3)</f>
        <v>0</v>
      </c>
      <c r="G13063" s="27">
        <f ca="1">ROUND(E13063*F13063,2)</f>
        <v>0</v>
      </c>
    </row>
    <row r="13064" spans="1:7" ht="24.36" thickBot="1" customHeight="1">
      <c r="A13064" s="24" t="s">
        <v>41270</v>
      </c>
      <c r="B13064" s="24" t="s">
        <v>41271</v>
      </c>
      <c r="C13064" s="24" t="s">
        <v>41272</v>
      </c>
      <c r="D13064" s="25" t="s">
        <v>41273</v>
      </c>
      <c r="E13064" s="28">
        <v>0.50000</v>
      </c>
      <c r="F13064" s="29">
        <f ca="1">ROUND(19.000,3)</f>
        <v>0</v>
      </c>
      <c r="G13064" s="27">
        <f ca="1">ROUND(E13064*F13064,2)</f>
        <v>0</v>
      </c>
    </row>
    <row r="13065" spans="1:7" ht="15.12" thickBot="1" customHeight="1">
      <c r="A13065" s="26"/>
      <c r="B13065" s="26"/>
      <c r="C13065" s="26"/>
      <c r="D13065" s="24" t="s">
        <v>41274</v>
      </c>
      <c r="E13065" s="28">
        <v>0.50000</v>
      </c>
      <c r="F13065" s="29">
        <f ca="1">ROUND((G13062+G13063+G13064),3)</f>
        <v>0</v>
      </c>
      <c r="G13065" s="27">
        <f ca="1">ROUND(E13065*F13065,2)</f>
        <v>0</v>
      </c>
    </row>
    <row r="13066" spans="1:7" ht="15.12" thickBot="1" customHeight="1">
      <c r="A13066" s="24" t="s">
        <v>41275</v>
      </c>
      <c r="B13066" s="24"/>
      <c r="C13066" s="24" t="s">
        <v>41276</v>
      </c>
      <c r="D13066" s="25" t="s">
        <v>41277</v>
      </c>
      <c r="E13066" s="28">
        <v>3.00000</v>
      </c>
      <c r="F13066" s="29">
        <f ca="1">ROUND(24.750,3)</f>
        <v>0</v>
      </c>
      <c r="G13066" s="27">
        <f ca="1">ROUND((E13066*F13066)/100,2)</f>
        <v>0</v>
      </c>
    </row>
    <row r="13067" spans="1:7" ht="15.48" thickBot="1" customHeight="1">
      <c r="A13067" s="30"/>
      <c r="B13067" s="30"/>
      <c r="C13067" s="30"/>
      <c r="D13067" s="31" t="s">
        <v>41278</v>
      </c>
      <c r="E13067" s="30"/>
      <c r="F13067" s="33">
        <f ca="1">ROUND((G13057+G13058+G13059+G13060+G13061+G13066)*(1+G2/100),2)</f>
        <v>0</v>
      </c>
      <c r="G13067" s="30"/>
    </row>
    <row r="13068" spans="1:7" ht="21.36" thickBot="1" customHeight="1">
      <c r="A13068" s="34" t="s">
        <v>41279</v>
      </c>
      <c r="B13068" s="35" t="s">
        <v>41280</v>
      </c>
      <c r="C13068" s="35" t="s">
        <v>41281</v>
      </c>
      <c r="D13068" s="36" t="s">
        <v>41282</v>
      </c>
      <c r="E13068" s="37"/>
      <c r="F13068" s="38">
        <f ca="1">F13078</f>
        <v>0</v>
      </c>
      <c r="G13068" s="37"/>
    </row>
    <row r="13069" spans="1:7" ht="39.84" thickBot="1" customHeight="1">
      <c r="A13069" s="26"/>
      <c r="B13069" s="26"/>
      <c r="C13069" s="26"/>
      <c r="D13069" s="25" t="s">
        <v>41283</v>
      </c>
      <c r="E13069" s="25"/>
      <c r="F13069" s="25"/>
      <c r="G13069" s="25"/>
    </row>
    <row r="13070" spans="1:7" ht="39.84" thickBot="1" customHeight="1">
      <c r="A13070" s="24" t="s">
        <v>41284</v>
      </c>
      <c r="B13070" s="24" t="s">
        <v>41285</v>
      </c>
      <c r="C13070" s="24" t="s">
        <v>41286</v>
      </c>
      <c r="D13070" s="25" t="s">
        <v>41287</v>
      </c>
      <c r="E13070" s="28">
        <v>0.03200</v>
      </c>
      <c r="F13070" s="29">
        <f ca="1">ROUND(94.920,3)</f>
        <v>0</v>
      </c>
      <c r="G13070" s="27">
        <f ca="1">ROUND(E13070*F13070,2)</f>
        <v>0</v>
      </c>
    </row>
    <row r="13071" spans="1:7" ht="30.60" thickBot="1" customHeight="1">
      <c r="A13071" s="24" t="s">
        <v>41288</v>
      </c>
      <c r="B13071" s="24" t="s">
        <v>41289</v>
      </c>
      <c r="C13071" s="24" t="s">
        <v>41290</v>
      </c>
      <c r="D13071" s="25" t="s">
        <v>41291</v>
      </c>
      <c r="E13071" s="28">
        <v>0.10800</v>
      </c>
      <c r="F13071" s="29">
        <f ca="1">ROUND(119.320,3)</f>
        <v>0</v>
      </c>
      <c r="G13071" s="27">
        <f ca="1">ROUND(E13071*F13071,2)</f>
        <v>0</v>
      </c>
    </row>
    <row r="13072" spans="1:7" ht="21.36" thickBot="1" customHeight="1">
      <c r="A13072" s="24" t="s">
        <v>41292</v>
      </c>
      <c r="B13072" s="24" t="s">
        <v>41293</v>
      </c>
      <c r="C13072" s="24" t="s">
        <v>41294</v>
      </c>
      <c r="D13072" s="25" t="s">
        <v>41295</v>
      </c>
      <c r="E13072" s="28">
        <v>0.33000</v>
      </c>
      <c r="F13072" s="29">
        <f ca="1">F13076</f>
        <v>0</v>
      </c>
      <c r="G13072" s="27">
        <f ca="1">ROUND(E13072*F13072,2)</f>
        <v>0</v>
      </c>
    </row>
    <row r="13073" spans="1:7" ht="24.36" thickBot="1" customHeight="1">
      <c r="A13073" s="24" t="s">
        <v>41296</v>
      </c>
      <c r="B13073" s="24" t="s">
        <v>41297</v>
      </c>
      <c r="C13073" s="24" t="s">
        <v>41298</v>
      </c>
      <c r="D13073" s="25" t="s">
        <v>41299</v>
      </c>
      <c r="E13073" s="28">
        <v>1.00000</v>
      </c>
      <c r="F13073" s="29">
        <f ca="1">ROUND(21.000,3)</f>
        <v>0</v>
      </c>
      <c r="G13073" s="27">
        <f ca="1">ROUND(E13073*F13073,2)</f>
        <v>0</v>
      </c>
    </row>
    <row r="13074" spans="1:7" ht="24.36" thickBot="1" customHeight="1">
      <c r="A13074" s="24" t="s">
        <v>41300</v>
      </c>
      <c r="B13074" s="24" t="s">
        <v>41301</v>
      </c>
      <c r="C13074" s="24" t="s">
        <v>41302</v>
      </c>
      <c r="D13074" s="25" t="s">
        <v>41303</v>
      </c>
      <c r="E13074" s="28">
        <v>1.00000</v>
      </c>
      <c r="F13074" s="29">
        <f ca="1">ROUND(19.000,3)</f>
        <v>0</v>
      </c>
      <c r="G13074" s="27">
        <f ca="1">ROUND(E13074*F13074,2)</f>
        <v>0</v>
      </c>
    </row>
    <row r="13075" spans="1:7" ht="24.36" thickBot="1" customHeight="1">
      <c r="A13075" s="24" t="s">
        <v>41304</v>
      </c>
      <c r="B13075" s="24" t="s">
        <v>41305</v>
      </c>
      <c r="C13075" s="24" t="s">
        <v>41306</v>
      </c>
      <c r="D13075" s="25" t="s">
        <v>41307</v>
      </c>
      <c r="E13075" s="28">
        <v>0.20000</v>
      </c>
      <c r="F13075" s="29">
        <f ca="1">ROUND(19.000,3)</f>
        <v>0</v>
      </c>
      <c r="G13075" s="27">
        <f ca="1">ROUND(E13075*F13075,2)</f>
        <v>0</v>
      </c>
    </row>
    <row r="13076" spans="1:7" ht="15.12" thickBot="1" customHeight="1">
      <c r="A13076" s="26"/>
      <c r="B13076" s="26"/>
      <c r="C13076" s="26"/>
      <c r="D13076" s="24" t="s">
        <v>41308</v>
      </c>
      <c r="E13076" s="28">
        <v>0.33000</v>
      </c>
      <c r="F13076" s="29">
        <f ca="1">ROUND((G13073+G13074+G13075),3)</f>
        <v>0</v>
      </c>
      <c r="G13076" s="27">
        <f ca="1">ROUND(E13076*F13076,2)</f>
        <v>0</v>
      </c>
    </row>
    <row r="13077" spans="1:7" ht="15.12" thickBot="1" customHeight="1">
      <c r="A13077" s="24" t="s">
        <v>41309</v>
      </c>
      <c r="B13077" s="24"/>
      <c r="C13077" s="24" t="s">
        <v>41310</v>
      </c>
      <c r="D13077" s="25" t="s">
        <v>41311</v>
      </c>
      <c r="E13077" s="28">
        <v>3.00000</v>
      </c>
      <c r="F13077" s="29">
        <f ca="1">ROUND(14.450,3)</f>
        <v>0</v>
      </c>
      <c r="G13077" s="27">
        <f ca="1">ROUND((E13077*F13077)/100,2)</f>
        <v>0</v>
      </c>
    </row>
    <row r="13078" spans="1:7" ht="15.48" thickBot="1" customHeight="1">
      <c r="A13078" s="30"/>
      <c r="B13078" s="30"/>
      <c r="C13078" s="30"/>
      <c r="D13078" s="31" t="s">
        <v>41312</v>
      </c>
      <c r="E13078" s="30"/>
      <c r="F13078" s="33">
        <f ca="1">ROUND((G13070+G13071+G13072+G13077)*(1+G2/100),2)</f>
        <v>0</v>
      </c>
      <c r="G13078" s="30"/>
    </row>
    <row r="13079" spans="1:7" ht="21.36" thickBot="1" customHeight="1">
      <c r="A13079" s="34" t="s">
        <v>41313</v>
      </c>
      <c r="B13079" s="35" t="s">
        <v>41314</v>
      </c>
      <c r="C13079" s="35" t="s">
        <v>41315</v>
      </c>
      <c r="D13079" s="36" t="s">
        <v>41316</v>
      </c>
      <c r="E13079" s="37"/>
      <c r="F13079" s="38">
        <f ca="1">F13089</f>
        <v>0</v>
      </c>
      <c r="G13079" s="37"/>
    </row>
    <row r="13080" spans="1:7" ht="12.12" thickBot="1" customHeight="1">
      <c r="A13080" s="26"/>
      <c r="B13080" s="26"/>
      <c r="C13080" s="26"/>
      <c r="D13080" s="25" t="s">
        <v>41317</v>
      </c>
      <c r="E13080" s="25"/>
      <c r="F13080" s="25"/>
      <c r="G13080" s="25"/>
    </row>
    <row r="13081" spans="1:7" ht="39.84" thickBot="1" customHeight="1">
      <c r="A13081" s="24" t="s">
        <v>41318</v>
      </c>
      <c r="B13081" s="24" t="s">
        <v>41319</v>
      </c>
      <c r="C13081" s="24" t="s">
        <v>41320</v>
      </c>
      <c r="D13081" s="25" t="s">
        <v>41321</v>
      </c>
      <c r="E13081" s="28">
        <v>0.03200</v>
      </c>
      <c r="F13081" s="29">
        <f ca="1">ROUND(94.920,3)</f>
        <v>0</v>
      </c>
      <c r="G13081" s="27">
        <f ca="1">ROUND(E13081*F13081,2)</f>
        <v>0</v>
      </c>
    </row>
    <row r="13082" spans="1:7" ht="49.08" thickBot="1" customHeight="1">
      <c r="A13082" s="24" t="s">
        <v>41322</v>
      </c>
      <c r="B13082" s="24" t="s">
        <v>41323</v>
      </c>
      <c r="C13082" s="24" t="s">
        <v>41324</v>
      </c>
      <c r="D13082" s="25" t="s">
        <v>41325</v>
      </c>
      <c r="E13082" s="28">
        <v>0.14000</v>
      </c>
      <c r="F13082" s="29">
        <f ca="1">ROUND(123.340,3)</f>
        <v>0</v>
      </c>
      <c r="G13082" s="27">
        <f ca="1">ROUND(E13082*F13082,2)</f>
        <v>0</v>
      </c>
    </row>
    <row r="13083" spans="1:7" ht="21.36" thickBot="1" customHeight="1">
      <c r="A13083" s="24" t="s">
        <v>41326</v>
      </c>
      <c r="B13083" s="24" t="s">
        <v>41327</v>
      </c>
      <c r="C13083" s="24" t="s">
        <v>41328</v>
      </c>
      <c r="D13083" s="25" t="s">
        <v>41329</v>
      </c>
      <c r="E13083" s="28">
        <v>0.33000</v>
      </c>
      <c r="F13083" s="29">
        <f ca="1">F13087</f>
        <v>0</v>
      </c>
      <c r="G13083" s="27">
        <f ca="1">ROUND(E13083*F13083,2)</f>
        <v>0</v>
      </c>
    </row>
    <row r="13084" spans="1:7" ht="24.36" thickBot="1" customHeight="1">
      <c r="A13084" s="24" t="s">
        <v>41330</v>
      </c>
      <c r="B13084" s="24" t="s">
        <v>41331</v>
      </c>
      <c r="C13084" s="24" t="s">
        <v>41332</v>
      </c>
      <c r="D13084" s="25" t="s">
        <v>41333</v>
      </c>
      <c r="E13084" s="28">
        <v>1.00000</v>
      </c>
      <c r="F13084" s="29">
        <f ca="1">ROUND(21.000,3)</f>
        <v>0</v>
      </c>
      <c r="G13084" s="27">
        <f ca="1">ROUND(E13084*F13084,2)</f>
        <v>0</v>
      </c>
    </row>
    <row r="13085" spans="1:7" ht="24.36" thickBot="1" customHeight="1">
      <c r="A13085" s="24" t="s">
        <v>41334</v>
      </c>
      <c r="B13085" s="24" t="s">
        <v>41335</v>
      </c>
      <c r="C13085" s="24" t="s">
        <v>41336</v>
      </c>
      <c r="D13085" s="25" t="s">
        <v>41337</v>
      </c>
      <c r="E13085" s="28">
        <v>1.00000</v>
      </c>
      <c r="F13085" s="29">
        <f ca="1">ROUND(19.000,3)</f>
        <v>0</v>
      </c>
      <c r="G13085" s="27">
        <f ca="1">ROUND(E13085*F13085,2)</f>
        <v>0</v>
      </c>
    </row>
    <row r="13086" spans="1:7" ht="24.36" thickBot="1" customHeight="1">
      <c r="A13086" s="24" t="s">
        <v>41338</v>
      </c>
      <c r="B13086" s="24" t="s">
        <v>41339</v>
      </c>
      <c r="C13086" s="24" t="s">
        <v>41340</v>
      </c>
      <c r="D13086" s="25" t="s">
        <v>41341</v>
      </c>
      <c r="E13086" s="28">
        <v>0.20000</v>
      </c>
      <c r="F13086" s="29">
        <f ca="1">ROUND(19.000,3)</f>
        <v>0</v>
      </c>
      <c r="G13086" s="27">
        <f ca="1">ROUND(E13086*F13086,2)</f>
        <v>0</v>
      </c>
    </row>
    <row r="13087" spans="1:7" ht="15.12" thickBot="1" customHeight="1">
      <c r="A13087" s="26"/>
      <c r="B13087" s="26"/>
      <c r="C13087" s="26"/>
      <c r="D13087" s="24" t="s">
        <v>41342</v>
      </c>
      <c r="E13087" s="28">
        <v>0.33000</v>
      </c>
      <c r="F13087" s="29">
        <f ca="1">ROUND((G13084+G13085+G13086),3)</f>
        <v>0</v>
      </c>
      <c r="G13087" s="27">
        <f ca="1">ROUND(E13087*F13087,2)</f>
        <v>0</v>
      </c>
    </row>
    <row r="13088" spans="1:7" ht="15.12" thickBot="1" customHeight="1">
      <c r="A13088" s="24" t="s">
        <v>41343</v>
      </c>
      <c r="B13088" s="24"/>
      <c r="C13088" s="24" t="s">
        <v>41344</v>
      </c>
      <c r="D13088" s="25" t="s">
        <v>41345</v>
      </c>
      <c r="E13088" s="28">
        <v>3.00000</v>
      </c>
      <c r="F13088" s="29">
        <f ca="1">ROUND(14.450,3)</f>
        <v>0</v>
      </c>
      <c r="G13088" s="27">
        <f ca="1">ROUND((E13088*F13088)/100,2)</f>
        <v>0</v>
      </c>
    </row>
    <row r="13089" spans="1:7" ht="15.48" thickBot="1" customHeight="1">
      <c r="A13089" s="30"/>
      <c r="B13089" s="30"/>
      <c r="C13089" s="30"/>
      <c r="D13089" s="31" t="s">
        <v>41346</v>
      </c>
      <c r="E13089" s="30"/>
      <c r="F13089" s="33">
        <f ca="1">ROUND((G13081+G13082+G13083+G13088)*(1+G2/100),2)</f>
        <v>0</v>
      </c>
      <c r="G13089" s="30"/>
    </row>
    <row r="13090" spans="1:7" ht="21.36" thickBot="1" customHeight="1">
      <c r="A13090" s="34" t="s">
        <v>41347</v>
      </c>
      <c r="B13090" s="35" t="s">
        <v>41348</v>
      </c>
      <c r="C13090" s="35" t="s">
        <v>41349</v>
      </c>
      <c r="D13090" s="36" t="s">
        <v>41350</v>
      </c>
      <c r="E13090" s="37"/>
      <c r="F13090" s="38">
        <f ca="1">F13100</f>
        <v>0</v>
      </c>
      <c r="G13090" s="37"/>
    </row>
    <row r="13091" spans="1:7" ht="21.36" thickBot="1" customHeight="1">
      <c r="A13091" s="26"/>
      <c r="B13091" s="26"/>
      <c r="C13091" s="26"/>
      <c r="D13091" s="25" t="s">
        <v>41351</v>
      </c>
      <c r="E13091" s="25"/>
      <c r="F13091" s="25"/>
      <c r="G13091" s="25"/>
    </row>
    <row r="13092" spans="1:7" ht="39.84" thickBot="1" customHeight="1">
      <c r="A13092" s="24" t="s">
        <v>41352</v>
      </c>
      <c r="B13092" s="24" t="s">
        <v>41353</v>
      </c>
      <c r="C13092" s="24" t="s">
        <v>41354</v>
      </c>
      <c r="D13092" s="25" t="s">
        <v>41355</v>
      </c>
      <c r="E13092" s="28">
        <v>0.02000</v>
      </c>
      <c r="F13092" s="29">
        <f ca="1">ROUND(94.920,3)</f>
        <v>0</v>
      </c>
      <c r="G13092" s="27">
        <f ca="1">ROUND(E13092*F13092,2)</f>
        <v>0</v>
      </c>
    </row>
    <row r="13093" spans="1:7" ht="49.08" thickBot="1" customHeight="1">
      <c r="A13093" s="24" t="s">
        <v>41356</v>
      </c>
      <c r="B13093" s="24" t="s">
        <v>41357</v>
      </c>
      <c r="C13093" s="24" t="s">
        <v>41358</v>
      </c>
      <c r="D13093" s="25" t="s">
        <v>41359</v>
      </c>
      <c r="E13093" s="28">
        <v>0.12000</v>
      </c>
      <c r="F13093" s="29">
        <f ca="1">ROUND(114.950,3)</f>
        <v>0</v>
      </c>
      <c r="G13093" s="27">
        <f ca="1">ROUND(E13093*F13093,2)</f>
        <v>0</v>
      </c>
    </row>
    <row r="13094" spans="1:7" ht="21.36" thickBot="1" customHeight="1">
      <c r="A13094" s="24" t="s">
        <v>41360</v>
      </c>
      <c r="B13094" s="24" t="s">
        <v>41361</v>
      </c>
      <c r="C13094" s="24" t="s">
        <v>41362</v>
      </c>
      <c r="D13094" s="25" t="s">
        <v>41363</v>
      </c>
      <c r="E13094" s="28">
        <v>0.40000</v>
      </c>
      <c r="F13094" s="29">
        <f ca="1">F13098</f>
        <v>0</v>
      </c>
      <c r="G13094" s="27">
        <f ca="1">ROUND(E13094*F13094,2)</f>
        <v>0</v>
      </c>
    </row>
    <row r="13095" spans="1:7" ht="24.36" thickBot="1" customHeight="1">
      <c r="A13095" s="24" t="s">
        <v>41364</v>
      </c>
      <c r="B13095" s="24" t="s">
        <v>41365</v>
      </c>
      <c r="C13095" s="24" t="s">
        <v>41366</v>
      </c>
      <c r="D13095" s="25" t="s">
        <v>41367</v>
      </c>
      <c r="E13095" s="28">
        <v>1.00000</v>
      </c>
      <c r="F13095" s="29">
        <f ca="1">ROUND(21.000,3)</f>
        <v>0</v>
      </c>
      <c r="G13095" s="27">
        <f ca="1">ROUND(E13095*F13095,2)</f>
        <v>0</v>
      </c>
    </row>
    <row r="13096" spans="1:7" ht="24.36" thickBot="1" customHeight="1">
      <c r="A13096" s="24" t="s">
        <v>41368</v>
      </c>
      <c r="B13096" s="24" t="s">
        <v>41369</v>
      </c>
      <c r="C13096" s="24" t="s">
        <v>41370</v>
      </c>
      <c r="D13096" s="25" t="s">
        <v>41371</v>
      </c>
      <c r="E13096" s="28">
        <v>1.00000</v>
      </c>
      <c r="F13096" s="29">
        <f ca="1">ROUND(19.000,3)</f>
        <v>0</v>
      </c>
      <c r="G13096" s="27">
        <f ca="1">ROUND(E13096*F13096,2)</f>
        <v>0</v>
      </c>
    </row>
    <row r="13097" spans="1:7" ht="24.36" thickBot="1" customHeight="1">
      <c r="A13097" s="24" t="s">
        <v>41372</v>
      </c>
      <c r="B13097" s="24" t="s">
        <v>41373</v>
      </c>
      <c r="C13097" s="24" t="s">
        <v>41374</v>
      </c>
      <c r="D13097" s="25" t="s">
        <v>41375</v>
      </c>
      <c r="E13097" s="28">
        <v>0.20000</v>
      </c>
      <c r="F13097" s="29">
        <f ca="1">ROUND(19.000,3)</f>
        <v>0</v>
      </c>
      <c r="G13097" s="27">
        <f ca="1">ROUND(E13097*F13097,2)</f>
        <v>0</v>
      </c>
    </row>
    <row r="13098" spans="1:7" ht="15.12" thickBot="1" customHeight="1">
      <c r="A13098" s="26"/>
      <c r="B13098" s="26"/>
      <c r="C13098" s="26"/>
      <c r="D13098" s="24" t="s">
        <v>41376</v>
      </c>
      <c r="E13098" s="28">
        <v>0.40000</v>
      </c>
      <c r="F13098" s="29">
        <f ca="1">ROUND((G13095+G13096+G13097),3)</f>
        <v>0</v>
      </c>
      <c r="G13098" s="27">
        <f ca="1">ROUND(E13098*F13098,2)</f>
        <v>0</v>
      </c>
    </row>
    <row r="13099" spans="1:7" ht="15.12" thickBot="1" customHeight="1">
      <c r="A13099" s="24" t="s">
        <v>41377</v>
      </c>
      <c r="B13099" s="24"/>
      <c r="C13099" s="24" t="s">
        <v>41378</v>
      </c>
      <c r="D13099" s="25" t="s">
        <v>41379</v>
      </c>
      <c r="E13099" s="28">
        <v>3.00000</v>
      </c>
      <c r="F13099" s="29">
        <f ca="1">ROUND(17.520,3)</f>
        <v>0</v>
      </c>
      <c r="G13099" s="27">
        <f ca="1">ROUND((E13099*F13099)/100,2)</f>
        <v>0</v>
      </c>
    </row>
    <row r="13100" spans="1:7" ht="15.48" thickBot="1" customHeight="1">
      <c r="A13100" s="30"/>
      <c r="B13100" s="30"/>
      <c r="C13100" s="30"/>
      <c r="D13100" s="31" t="s">
        <v>41380</v>
      </c>
      <c r="E13100" s="30"/>
      <c r="F13100" s="33">
        <f ca="1">ROUND((G13092+G13093+G13094+G13099)*(1+G2/100),2)</f>
        <v>0</v>
      </c>
      <c r="G13100" s="30"/>
    </row>
    <row r="13101" spans="1:7" ht="30.60" thickBot="1" customHeight="1">
      <c r="A13101" s="34" t="s">
        <v>41381</v>
      </c>
      <c r="B13101" s="35" t="s">
        <v>41382</v>
      </c>
      <c r="C13101" s="35" t="s">
        <v>41383</v>
      </c>
      <c r="D13101" s="36" t="s">
        <v>41384</v>
      </c>
      <c r="E13101" s="37"/>
      <c r="F13101" s="38">
        <f ca="1">F13115</f>
        <v>0</v>
      </c>
      <c r="G13101" s="37"/>
    </row>
    <row r="13102" spans="1:7" ht="39.84" thickBot="1" customHeight="1">
      <c r="A13102" s="26"/>
      <c r="B13102" s="26"/>
      <c r="C13102" s="26"/>
      <c r="D13102" s="25" t="s">
        <v>41385</v>
      </c>
      <c r="E13102" s="25"/>
      <c r="F13102" s="25"/>
      <c r="G13102" s="25"/>
    </row>
    <row r="13103" spans="1:7" ht="30.60" thickBot="1" customHeight="1">
      <c r="A13103" s="24" t="s">
        <v>41386</v>
      </c>
      <c r="B13103" s="24" t="s">
        <v>41387</v>
      </c>
      <c r="C13103" s="24" t="s">
        <v>41388</v>
      </c>
      <c r="D13103" s="25" t="s">
        <v>41389</v>
      </c>
      <c r="E13103" s="28">
        <v>0.50400</v>
      </c>
      <c r="F13103" s="29">
        <f ca="1">ROUND(28.000,3)</f>
        <v>0</v>
      </c>
      <c r="G13103" s="27">
        <f ca="1">ROUND(E13103*F13103,2)</f>
        <v>0</v>
      </c>
    </row>
    <row r="13104" spans="1:7" ht="39.84" thickBot="1" customHeight="1">
      <c r="A13104" s="24" t="s">
        <v>41390</v>
      </c>
      <c r="B13104" s="24" t="s">
        <v>41391</v>
      </c>
      <c r="C13104" s="24" t="s">
        <v>41392</v>
      </c>
      <c r="D13104" s="25" t="s">
        <v>41393</v>
      </c>
      <c r="E13104" s="28">
        <v>0.04000</v>
      </c>
      <c r="F13104" s="29">
        <f ca="1">ROUND(94.920,3)</f>
        <v>0</v>
      </c>
      <c r="G13104" s="27">
        <f ca="1">ROUND(E13104*F13104,2)</f>
        <v>0</v>
      </c>
    </row>
    <row r="13105" spans="1:7" ht="30.60" thickBot="1" customHeight="1">
      <c r="A13105" s="24" t="s">
        <v>41394</v>
      </c>
      <c r="B13105" s="24" t="s">
        <v>41395</v>
      </c>
      <c r="C13105" s="24" t="s">
        <v>41396</v>
      </c>
      <c r="D13105" s="25" t="s">
        <v>41397</v>
      </c>
      <c r="E13105" s="28">
        <v>0.30000</v>
      </c>
      <c r="F13105" s="29">
        <f ca="1">ROUND(10.180,3)</f>
        <v>0</v>
      </c>
      <c r="G13105" s="27">
        <f ca="1">ROUND(E13105*F13105,2)</f>
        <v>0</v>
      </c>
    </row>
    <row r="13106" spans="1:7" ht="30.60" thickBot="1" customHeight="1">
      <c r="A13106" s="24" t="s">
        <v>41398</v>
      </c>
      <c r="B13106" s="24" t="s">
        <v>41399</v>
      </c>
      <c r="C13106" s="24" t="s">
        <v>41400</v>
      </c>
      <c r="D13106" s="25" t="s">
        <v>41401</v>
      </c>
      <c r="E13106" s="28">
        <v>0.02200</v>
      </c>
      <c r="F13106" s="29">
        <f ca="1">ROUND(75.520,3)</f>
        <v>0</v>
      </c>
      <c r="G13106" s="27">
        <f ca="1">ROUND(E13106*F13106,2)</f>
        <v>0</v>
      </c>
    </row>
    <row r="13107" spans="1:7" ht="21.36" thickBot="1" customHeight="1">
      <c r="A13107" s="24" t="s">
        <v>41402</v>
      </c>
      <c r="B13107" s="24" t="s">
        <v>41403</v>
      </c>
      <c r="C13107" s="24" t="s">
        <v>41404</v>
      </c>
      <c r="D13107" s="25" t="s">
        <v>41405</v>
      </c>
      <c r="E13107" s="28">
        <v>0.37500</v>
      </c>
      <c r="F13107" s="29">
        <f ca="1">ROUND(1.050,3)</f>
        <v>0</v>
      </c>
      <c r="G13107" s="27">
        <f ca="1">ROUND(E13107*F13107,2)</f>
        <v>0</v>
      </c>
    </row>
    <row r="13108" spans="1:7" ht="21.36" thickBot="1" customHeight="1">
      <c r="A13108" s="24" t="s">
        <v>41406</v>
      </c>
      <c r="B13108" s="24" t="s">
        <v>41407</v>
      </c>
      <c r="C13108" s="24" t="s">
        <v>41408</v>
      </c>
      <c r="D13108" s="25" t="s">
        <v>41409</v>
      </c>
      <c r="E13108" s="28">
        <v>0.50000</v>
      </c>
      <c r="F13108" s="29">
        <f ca="1">ROUND(1.760,3)</f>
        <v>0</v>
      </c>
      <c r="G13108" s="27">
        <f ca="1">ROUND(E13108*F13108,2)</f>
        <v>0</v>
      </c>
    </row>
    <row r="13109" spans="1:7" ht="21.36" thickBot="1" customHeight="1">
      <c r="A13109" s="24" t="s">
        <v>41410</v>
      </c>
      <c r="B13109" s="24" t="s">
        <v>41411</v>
      </c>
      <c r="C13109" s="24" t="s">
        <v>41412</v>
      </c>
      <c r="D13109" s="25" t="s">
        <v>41413</v>
      </c>
      <c r="E13109" s="28">
        <v>0.50000</v>
      </c>
      <c r="F13109" s="29">
        <f ca="1">F13113</f>
        <v>0</v>
      </c>
      <c r="G13109" s="27">
        <f ca="1">ROUND(E13109*F13109,2)</f>
        <v>0</v>
      </c>
    </row>
    <row r="13110" spans="1:7" ht="24.36" thickBot="1" customHeight="1">
      <c r="A13110" s="24" t="s">
        <v>41414</v>
      </c>
      <c r="B13110" s="24" t="s">
        <v>41415</v>
      </c>
      <c r="C13110" s="24" t="s">
        <v>41416</v>
      </c>
      <c r="D13110" s="25" t="s">
        <v>41417</v>
      </c>
      <c r="E13110" s="28">
        <v>1.00000</v>
      </c>
      <c r="F13110" s="29">
        <f ca="1">ROUND(21.000,3)</f>
        <v>0</v>
      </c>
      <c r="G13110" s="27">
        <f ca="1">ROUND(E13110*F13110,2)</f>
        <v>0</v>
      </c>
    </row>
    <row r="13111" spans="1:7" ht="24.36" thickBot="1" customHeight="1">
      <c r="A13111" s="24" t="s">
        <v>41418</v>
      </c>
      <c r="B13111" s="24" t="s">
        <v>41419</v>
      </c>
      <c r="C13111" s="24" t="s">
        <v>41420</v>
      </c>
      <c r="D13111" s="25" t="s">
        <v>41421</v>
      </c>
      <c r="E13111" s="28">
        <v>1.00000</v>
      </c>
      <c r="F13111" s="29">
        <f ca="1">ROUND(19.000,3)</f>
        <v>0</v>
      </c>
      <c r="G13111" s="27">
        <f ca="1">ROUND(E13111*F13111,2)</f>
        <v>0</v>
      </c>
    </row>
    <row r="13112" spans="1:7" ht="24.36" thickBot="1" customHeight="1">
      <c r="A13112" s="24" t="s">
        <v>41422</v>
      </c>
      <c r="B13112" s="24" t="s">
        <v>41423</v>
      </c>
      <c r="C13112" s="24" t="s">
        <v>41424</v>
      </c>
      <c r="D13112" s="25" t="s">
        <v>41425</v>
      </c>
      <c r="E13112" s="28">
        <v>0.20000</v>
      </c>
      <c r="F13112" s="29">
        <f ca="1">ROUND(19.000,3)</f>
        <v>0</v>
      </c>
      <c r="G13112" s="27">
        <f ca="1">ROUND(E13112*F13112,2)</f>
        <v>0</v>
      </c>
    </row>
    <row r="13113" spans="1:7" ht="15.12" thickBot="1" customHeight="1">
      <c r="A13113" s="26"/>
      <c r="B13113" s="26"/>
      <c r="C13113" s="26"/>
      <c r="D13113" s="24" t="s">
        <v>41426</v>
      </c>
      <c r="E13113" s="28">
        <v>0.50000</v>
      </c>
      <c r="F13113" s="29">
        <f ca="1">ROUND((G13110+G13111+G13112),3)</f>
        <v>0</v>
      </c>
      <c r="G13113" s="27">
        <f ca="1">ROUND(E13113*F13113,2)</f>
        <v>0</v>
      </c>
    </row>
    <row r="13114" spans="1:7" ht="15.12" thickBot="1" customHeight="1">
      <c r="A13114" s="24" t="s">
        <v>41427</v>
      </c>
      <c r="B13114" s="24"/>
      <c r="C13114" s="24" t="s">
        <v>41428</v>
      </c>
      <c r="D13114" s="25" t="s">
        <v>41429</v>
      </c>
      <c r="E13114" s="28">
        <v>3.00000</v>
      </c>
      <c r="F13114" s="29">
        <f ca="1">ROUND(21.900,3)</f>
        <v>0</v>
      </c>
      <c r="G13114" s="27">
        <f ca="1">ROUND((E13114*F13114)/100,2)</f>
        <v>0</v>
      </c>
    </row>
    <row r="13115" spans="1:7" ht="15.48" thickBot="1" customHeight="1">
      <c r="A13115" s="30"/>
      <c r="B13115" s="30"/>
      <c r="C13115" s="30"/>
      <c r="D13115" s="31" t="s">
        <v>41430</v>
      </c>
      <c r="E13115" s="30"/>
      <c r="F13115" s="33">
        <f ca="1">ROUND((G13103+G13104+G13105+G13106+G13107+G13108+G13109+G13114)*(1+G2/100),2)</f>
        <v>0</v>
      </c>
      <c r="G13115" s="30"/>
    </row>
    <row r="13116" spans="1:7" ht="21.36" thickBot="1" customHeight="1">
      <c r="A13116" s="34" t="s">
        <v>41431</v>
      </c>
      <c r="B13116" s="35" t="s">
        <v>41432</v>
      </c>
      <c r="C13116" s="35" t="s">
        <v>41433</v>
      </c>
      <c r="D13116" s="36" t="s">
        <v>41434</v>
      </c>
      <c r="E13116" s="37"/>
      <c r="F13116" s="38">
        <f ca="1">F13131</f>
        <v>0</v>
      </c>
      <c r="G13116" s="37"/>
    </row>
    <row r="13117" spans="1:7" ht="76.80" thickBot="1" customHeight="1">
      <c r="A13117" s="26"/>
      <c r="B13117" s="26"/>
      <c r="C13117" s="26"/>
      <c r="D13117" s="25" t="s">
        <v>41435</v>
      </c>
      <c r="E13117" s="25"/>
      <c r="F13117" s="25"/>
      <c r="G13117" s="25"/>
    </row>
    <row r="13118" spans="1:7" ht="30.60" thickBot="1" customHeight="1">
      <c r="A13118" s="24" t="s">
        <v>41436</v>
      </c>
      <c r="B13118" s="24" t="s">
        <v>41437</v>
      </c>
      <c r="C13118" s="24" t="s">
        <v>41438</v>
      </c>
      <c r="D13118" s="25" t="s">
        <v>41439</v>
      </c>
      <c r="E13118" s="28">
        <v>0.01500</v>
      </c>
      <c r="F13118" s="29">
        <f ca="1">ROUND(143.220,3)</f>
        <v>0</v>
      </c>
      <c r="G13118" s="27">
        <f ca="1">ROUND(E13118*F13118,2)</f>
        <v>0</v>
      </c>
    </row>
    <row r="13119" spans="1:7" ht="39.84" thickBot="1" customHeight="1">
      <c r="A13119" s="24" t="s">
        <v>41440</v>
      </c>
      <c r="B13119" s="24" t="s">
        <v>41441</v>
      </c>
      <c r="C13119" s="24" t="s">
        <v>41442</v>
      </c>
      <c r="D13119" s="25" t="s">
        <v>41443</v>
      </c>
      <c r="E13119" s="28">
        <v>0.24000</v>
      </c>
      <c r="F13119" s="29">
        <f ca="1">ROUND(11.260,3)</f>
        <v>0</v>
      </c>
      <c r="G13119" s="27">
        <f ca="1">ROUND(E13119*F13119,2)</f>
        <v>0</v>
      </c>
    </row>
    <row r="13120" spans="1:7" ht="30.60" thickBot="1" customHeight="1">
      <c r="A13120" s="24" t="s">
        <v>41444</v>
      </c>
      <c r="B13120" s="24" t="s">
        <v>41445</v>
      </c>
      <c r="C13120" s="24" t="s">
        <v>41446</v>
      </c>
      <c r="D13120" s="25" t="s">
        <v>41447</v>
      </c>
      <c r="E13120" s="28">
        <v>0.02200</v>
      </c>
      <c r="F13120" s="29">
        <f ca="1">ROUND(75.520,3)</f>
        <v>0</v>
      </c>
      <c r="G13120" s="27">
        <f ca="1">ROUND(E13120*F13120,2)</f>
        <v>0</v>
      </c>
    </row>
    <row r="13121" spans="1:7" ht="58.32" thickBot="1" customHeight="1">
      <c r="A13121" s="24" t="s">
        <v>41448</v>
      </c>
      <c r="B13121" s="24" t="s">
        <v>41449</v>
      </c>
      <c r="C13121" s="24" t="s">
        <v>41450</v>
      </c>
      <c r="D13121" s="25" t="s">
        <v>41451</v>
      </c>
      <c r="E13121" s="28">
        <v>5.00000</v>
      </c>
      <c r="F13121" s="29">
        <f ca="1">ROUND(0.920,3)</f>
        <v>0</v>
      </c>
      <c r="G13121" s="27">
        <f ca="1">ROUND(E13121*F13121,2)</f>
        <v>0</v>
      </c>
    </row>
    <row r="13122" spans="1:7" ht="30.60" thickBot="1" customHeight="1">
      <c r="A13122" s="24" t="s">
        <v>41452</v>
      </c>
      <c r="B13122" s="24" t="s">
        <v>41453</v>
      </c>
      <c r="C13122" s="24" t="s">
        <v>41454</v>
      </c>
      <c r="D13122" s="25" t="s">
        <v>41455</v>
      </c>
      <c r="E13122" s="28">
        <v>0.24000</v>
      </c>
      <c r="F13122" s="29">
        <f ca="1">ROUND(2.800,3)</f>
        <v>0</v>
      </c>
      <c r="G13122" s="27">
        <f ca="1">ROUND(E13122*F13122,2)</f>
        <v>0</v>
      </c>
    </row>
    <row r="13123" spans="1:7" ht="39.84" thickBot="1" customHeight="1">
      <c r="A13123" s="24" t="s">
        <v>41456</v>
      </c>
      <c r="B13123" s="24" t="s">
        <v>41457</v>
      </c>
      <c r="C13123" s="24" t="s">
        <v>41458</v>
      </c>
      <c r="D13123" s="25" t="s">
        <v>41459</v>
      </c>
      <c r="E13123" s="28">
        <v>0.12370</v>
      </c>
      <c r="F13123" s="29">
        <f ca="1">ROUND(5.040,3)</f>
        <v>0</v>
      </c>
      <c r="G13123" s="27">
        <f ca="1">ROUND(E13123*F13123,2)</f>
        <v>0</v>
      </c>
    </row>
    <row r="13124" spans="1:7" ht="30.60" thickBot="1" customHeight="1">
      <c r="A13124" s="24" t="s">
        <v>41460</v>
      </c>
      <c r="B13124" s="24" t="s">
        <v>41461</v>
      </c>
      <c r="C13124" s="24" t="s">
        <v>41462</v>
      </c>
      <c r="D13124" s="25" t="s">
        <v>41463</v>
      </c>
      <c r="E13124" s="28">
        <v>0.12000</v>
      </c>
      <c r="F13124" s="29">
        <f ca="1">ROUND(11.100,3)</f>
        <v>0</v>
      </c>
      <c r="G13124" s="27">
        <f ca="1">ROUND(E13124*F13124,2)</f>
        <v>0</v>
      </c>
    </row>
    <row r="13125" spans="1:7" ht="21.36" thickBot="1" customHeight="1">
      <c r="A13125" s="24" t="s">
        <v>41464</v>
      </c>
      <c r="B13125" s="24" t="s">
        <v>41465</v>
      </c>
      <c r="C13125" s="24" t="s">
        <v>41466</v>
      </c>
      <c r="D13125" s="25" t="s">
        <v>41467</v>
      </c>
      <c r="E13125" s="28">
        <v>0.45000</v>
      </c>
      <c r="F13125" s="29">
        <f ca="1">F13129</f>
        <v>0</v>
      </c>
      <c r="G13125" s="27">
        <f ca="1">ROUND(E13125*F13125,2)</f>
        <v>0</v>
      </c>
    </row>
    <row r="13126" spans="1:7" ht="24.36" thickBot="1" customHeight="1">
      <c r="A13126" s="24" t="s">
        <v>41468</v>
      </c>
      <c r="B13126" s="24" t="s">
        <v>41469</v>
      </c>
      <c r="C13126" s="24" t="s">
        <v>41470</v>
      </c>
      <c r="D13126" s="25" t="s">
        <v>41471</v>
      </c>
      <c r="E13126" s="28">
        <v>1.00000</v>
      </c>
      <c r="F13126" s="29">
        <f ca="1">ROUND(21.000,3)</f>
        <v>0</v>
      </c>
      <c r="G13126" s="27">
        <f ca="1">ROUND(E13126*F13126,2)</f>
        <v>0</v>
      </c>
    </row>
    <row r="13127" spans="1:7" ht="24.36" thickBot="1" customHeight="1">
      <c r="A13127" s="24" t="s">
        <v>41472</v>
      </c>
      <c r="B13127" s="24" t="s">
        <v>41473</v>
      </c>
      <c r="C13127" s="24" t="s">
        <v>41474</v>
      </c>
      <c r="D13127" s="25" t="s">
        <v>41475</v>
      </c>
      <c r="E13127" s="28">
        <v>1.00000</v>
      </c>
      <c r="F13127" s="29">
        <f ca="1">ROUND(19.000,3)</f>
        <v>0</v>
      </c>
      <c r="G13127" s="27">
        <f ca="1">ROUND(E13127*F13127,2)</f>
        <v>0</v>
      </c>
    </row>
    <row r="13128" spans="1:7" ht="24.36" thickBot="1" customHeight="1">
      <c r="A13128" s="24" t="s">
        <v>41476</v>
      </c>
      <c r="B13128" s="24" t="s">
        <v>41477</v>
      </c>
      <c r="C13128" s="24" t="s">
        <v>41478</v>
      </c>
      <c r="D13128" s="25" t="s">
        <v>41479</v>
      </c>
      <c r="E13128" s="28">
        <v>0.20000</v>
      </c>
      <c r="F13128" s="29">
        <f ca="1">ROUND(19.000,3)</f>
        <v>0</v>
      </c>
      <c r="G13128" s="27">
        <f ca="1">ROUND(E13128*F13128,2)</f>
        <v>0</v>
      </c>
    </row>
    <row r="13129" spans="1:7" ht="15.12" thickBot="1" customHeight="1">
      <c r="A13129" s="26"/>
      <c r="B13129" s="26"/>
      <c r="C13129" s="26"/>
      <c r="D13129" s="24" t="s">
        <v>41480</v>
      </c>
      <c r="E13129" s="28">
        <v>0.45000</v>
      </c>
      <c r="F13129" s="29">
        <f ca="1">ROUND((G13126+G13127+G13128),3)</f>
        <v>0</v>
      </c>
      <c r="G13129" s="27">
        <f ca="1">ROUND(E13129*F13129,2)</f>
        <v>0</v>
      </c>
    </row>
    <row r="13130" spans="1:7" ht="15.12" thickBot="1" customHeight="1">
      <c r="A13130" s="24" t="s">
        <v>41481</v>
      </c>
      <c r="B13130" s="24"/>
      <c r="C13130" s="24" t="s">
        <v>41482</v>
      </c>
      <c r="D13130" s="25" t="s">
        <v>41483</v>
      </c>
      <c r="E13130" s="28">
        <v>3.00000</v>
      </c>
      <c r="F13130" s="29">
        <f ca="1">ROUND(19.710,3)</f>
        <v>0</v>
      </c>
      <c r="G13130" s="27">
        <f ca="1">ROUND((E13130*F13130)/100,2)</f>
        <v>0</v>
      </c>
    </row>
    <row r="13131" spans="1:7" ht="15.48" thickBot="1" customHeight="1">
      <c r="A13131" s="30"/>
      <c r="B13131" s="30"/>
      <c r="C13131" s="30"/>
      <c r="D13131" s="31" t="s">
        <v>41484</v>
      </c>
      <c r="E13131" s="30"/>
      <c r="F13131" s="33">
        <f ca="1">ROUND((G13118+G13119+G13120+G13121+G13122+G13123+G13124+G13125+G13130)*(1+G2/100),2)</f>
        <v>0</v>
      </c>
      <c r="G13131" s="30"/>
    </row>
    <row r="13132" spans="1:7" ht="30.60" thickBot="1" customHeight="1">
      <c r="A13132" s="34" t="s">
        <v>41485</v>
      </c>
      <c r="B13132" s="35" t="s">
        <v>41486</v>
      </c>
      <c r="C13132" s="35" t="s">
        <v>41487</v>
      </c>
      <c r="D13132" s="36" t="s">
        <v>41488</v>
      </c>
      <c r="E13132" s="37"/>
      <c r="F13132" s="38">
        <f ca="1">F13147</f>
        <v>0</v>
      </c>
      <c r="G13132" s="37"/>
    </row>
    <row r="13133" spans="1:7" ht="76.80" thickBot="1" customHeight="1">
      <c r="A13133" s="26"/>
      <c r="B13133" s="26"/>
      <c r="C13133" s="26"/>
      <c r="D13133" s="25" t="s">
        <v>41489</v>
      </c>
      <c r="E13133" s="25"/>
      <c r="F13133" s="25"/>
      <c r="G13133" s="25"/>
    </row>
    <row r="13134" spans="1:7" ht="30.60" thickBot="1" customHeight="1">
      <c r="A13134" s="24" t="s">
        <v>41490</v>
      </c>
      <c r="B13134" s="24" t="s">
        <v>41491</v>
      </c>
      <c r="C13134" s="24" t="s">
        <v>41492</v>
      </c>
      <c r="D13134" s="25" t="s">
        <v>41493</v>
      </c>
      <c r="E13134" s="28">
        <v>0.01500</v>
      </c>
      <c r="F13134" s="29">
        <f ca="1">ROUND(143.220,3)</f>
        <v>0</v>
      </c>
      <c r="G13134" s="27">
        <f ca="1">ROUND(E13134*F13134,2)</f>
        <v>0</v>
      </c>
    </row>
    <row r="13135" spans="1:7" ht="39.84" thickBot="1" customHeight="1">
      <c r="A13135" s="24" t="s">
        <v>41494</v>
      </c>
      <c r="B13135" s="24" t="s">
        <v>41495</v>
      </c>
      <c r="C13135" s="24" t="s">
        <v>41496</v>
      </c>
      <c r="D13135" s="25" t="s">
        <v>41497</v>
      </c>
      <c r="E13135" s="28">
        <v>0.24000</v>
      </c>
      <c r="F13135" s="29">
        <f ca="1">ROUND(11.260,3)</f>
        <v>0</v>
      </c>
      <c r="G13135" s="27">
        <f ca="1">ROUND(E13135*F13135,2)</f>
        <v>0</v>
      </c>
    </row>
    <row r="13136" spans="1:7" ht="30.60" thickBot="1" customHeight="1">
      <c r="A13136" s="24" t="s">
        <v>41498</v>
      </c>
      <c r="B13136" s="24" t="s">
        <v>41499</v>
      </c>
      <c r="C13136" s="24" t="s">
        <v>41500</v>
      </c>
      <c r="D13136" s="25" t="s">
        <v>41501</v>
      </c>
      <c r="E13136" s="28">
        <v>0.02200</v>
      </c>
      <c r="F13136" s="29">
        <f ca="1">ROUND(75.520,3)</f>
        <v>0</v>
      </c>
      <c r="G13136" s="27">
        <f ca="1">ROUND(E13136*F13136,2)</f>
        <v>0</v>
      </c>
    </row>
    <row r="13137" spans="1:7" ht="58.32" thickBot="1" customHeight="1">
      <c r="A13137" s="24" t="s">
        <v>41502</v>
      </c>
      <c r="B13137" s="24" t="s">
        <v>41503</v>
      </c>
      <c r="C13137" s="24" t="s">
        <v>41504</v>
      </c>
      <c r="D13137" s="25" t="s">
        <v>41505</v>
      </c>
      <c r="E13137" s="28">
        <v>5.00000</v>
      </c>
      <c r="F13137" s="29">
        <f ca="1">ROUND(0.920,3)</f>
        <v>0</v>
      </c>
      <c r="G13137" s="27">
        <f ca="1">ROUND(E13137*F13137,2)</f>
        <v>0</v>
      </c>
    </row>
    <row r="13138" spans="1:7" ht="30.60" thickBot="1" customHeight="1">
      <c r="A13138" s="24" t="s">
        <v>41506</v>
      </c>
      <c r="B13138" s="24" t="s">
        <v>41507</v>
      </c>
      <c r="C13138" s="24" t="s">
        <v>41508</v>
      </c>
      <c r="D13138" s="25" t="s">
        <v>41509</v>
      </c>
      <c r="E13138" s="28">
        <v>0.24000</v>
      </c>
      <c r="F13138" s="29">
        <f ca="1">ROUND(2.800,3)</f>
        <v>0</v>
      </c>
      <c r="G13138" s="27">
        <f ca="1">ROUND(E13138*F13138,2)</f>
        <v>0</v>
      </c>
    </row>
    <row r="13139" spans="1:7" ht="39.84" thickBot="1" customHeight="1">
      <c r="A13139" s="24" t="s">
        <v>41510</v>
      </c>
      <c r="B13139" s="24" t="s">
        <v>41511</v>
      </c>
      <c r="C13139" s="24" t="s">
        <v>41512</v>
      </c>
      <c r="D13139" s="25" t="s">
        <v>41513</v>
      </c>
      <c r="E13139" s="28">
        <v>0.12370</v>
      </c>
      <c r="F13139" s="29">
        <f ca="1">ROUND(5.040,3)</f>
        <v>0</v>
      </c>
      <c r="G13139" s="27">
        <f ca="1">ROUND(E13139*F13139,2)</f>
        <v>0</v>
      </c>
    </row>
    <row r="13140" spans="1:7" ht="30.60" thickBot="1" customHeight="1">
      <c r="A13140" s="24" t="s">
        <v>41514</v>
      </c>
      <c r="B13140" s="24" t="s">
        <v>41515</v>
      </c>
      <c r="C13140" s="24" t="s">
        <v>41516</v>
      </c>
      <c r="D13140" s="25" t="s">
        <v>41517</v>
      </c>
      <c r="E13140" s="28">
        <v>0.12000</v>
      </c>
      <c r="F13140" s="29">
        <f ca="1">ROUND(11.100,3)</f>
        <v>0</v>
      </c>
      <c r="G13140" s="27">
        <f ca="1">ROUND(E13140*F13140,2)</f>
        <v>0</v>
      </c>
    </row>
    <row r="13141" spans="1:7" ht="24.36" thickBot="1" customHeight="1">
      <c r="A13141" s="24" t="s">
        <v>41518</v>
      </c>
      <c r="B13141" s="24" t="s">
        <v>41519</v>
      </c>
      <c r="C13141" s="24" t="s">
        <v>41520</v>
      </c>
      <c r="D13141" s="25" t="s">
        <v>41521</v>
      </c>
      <c r="E13141" s="28">
        <v>0.67500</v>
      </c>
      <c r="F13141" s="29">
        <f ca="1">F13145</f>
        <v>0</v>
      </c>
      <c r="G13141" s="27">
        <f ca="1">ROUND(E13141*F13141,2)</f>
        <v>0</v>
      </c>
    </row>
    <row r="13142" spans="1:7" ht="24.36" thickBot="1" customHeight="1">
      <c r="A13142" s="24" t="s">
        <v>41522</v>
      </c>
      <c r="B13142" s="24" t="s">
        <v>41523</v>
      </c>
      <c r="C13142" s="24" t="s">
        <v>41524</v>
      </c>
      <c r="D13142" s="25" t="s">
        <v>41525</v>
      </c>
      <c r="E13142" s="28">
        <v>1.00000</v>
      </c>
      <c r="F13142" s="29">
        <f ca="1">ROUND(21.000,3)</f>
        <v>0</v>
      </c>
      <c r="G13142" s="27">
        <f ca="1">ROUND(E13142*F13142,2)</f>
        <v>0</v>
      </c>
    </row>
    <row r="13143" spans="1:7" ht="24.36" thickBot="1" customHeight="1">
      <c r="A13143" s="24" t="s">
        <v>41526</v>
      </c>
      <c r="B13143" s="24" t="s">
        <v>41527</v>
      </c>
      <c r="C13143" s="24" t="s">
        <v>41528</v>
      </c>
      <c r="D13143" s="25" t="s">
        <v>41529</v>
      </c>
      <c r="E13143" s="28">
        <v>1.00000</v>
      </c>
      <c r="F13143" s="29">
        <f ca="1">ROUND(19.000,3)</f>
        <v>0</v>
      </c>
      <c r="G13143" s="27">
        <f ca="1">ROUND(E13143*F13143,2)</f>
        <v>0</v>
      </c>
    </row>
    <row r="13144" spans="1:7" ht="24.36" thickBot="1" customHeight="1">
      <c r="A13144" s="24" t="s">
        <v>41530</v>
      </c>
      <c r="B13144" s="24" t="s">
        <v>41531</v>
      </c>
      <c r="C13144" s="24" t="s">
        <v>41532</v>
      </c>
      <c r="D13144" s="25" t="s">
        <v>41533</v>
      </c>
      <c r="E13144" s="28">
        <v>0.50000</v>
      </c>
      <c r="F13144" s="29">
        <f ca="1">ROUND(19.000,3)</f>
        <v>0</v>
      </c>
      <c r="G13144" s="27">
        <f ca="1">ROUND(E13144*F13144,2)</f>
        <v>0</v>
      </c>
    </row>
    <row r="13145" spans="1:7" ht="15.12" thickBot="1" customHeight="1">
      <c r="A13145" s="26"/>
      <c r="B13145" s="26"/>
      <c r="C13145" s="26"/>
      <c r="D13145" s="24" t="s">
        <v>41534</v>
      </c>
      <c r="E13145" s="28">
        <v>0.67500</v>
      </c>
      <c r="F13145" s="29">
        <f ca="1">ROUND((G13142+G13143+G13144),3)</f>
        <v>0</v>
      </c>
      <c r="G13145" s="27">
        <f ca="1">ROUND(E13145*F13145,2)</f>
        <v>0</v>
      </c>
    </row>
    <row r="13146" spans="1:7" ht="15.12" thickBot="1" customHeight="1">
      <c r="A13146" s="24" t="s">
        <v>41535</v>
      </c>
      <c r="B13146" s="24"/>
      <c r="C13146" s="24" t="s">
        <v>41536</v>
      </c>
      <c r="D13146" s="25" t="s">
        <v>41537</v>
      </c>
      <c r="E13146" s="28">
        <v>3.00000</v>
      </c>
      <c r="F13146" s="29">
        <f ca="1">ROUND(33.410,3)</f>
        <v>0</v>
      </c>
      <c r="G13146" s="27">
        <f ca="1">ROUND((E13146*F13146)/100,2)</f>
        <v>0</v>
      </c>
    </row>
    <row r="13147" spans="1:7" ht="15.48" thickBot="1" customHeight="1">
      <c r="A13147" s="30"/>
      <c r="B13147" s="30"/>
      <c r="C13147" s="30"/>
      <c r="D13147" s="31" t="s">
        <v>41538</v>
      </c>
      <c r="E13147" s="30"/>
      <c r="F13147" s="33">
        <f ca="1">ROUND((G13134+G13135+G13136+G13137+G13138+G13139+G13140+G13141+G13146)*(1+G2/100),2)</f>
        <v>0</v>
      </c>
      <c r="G13147" s="30"/>
    </row>
    <row r="13148" spans="1:7" ht="30.60" thickBot="1" customHeight="1">
      <c r="A13148" s="34" t="s">
        <v>41539</v>
      </c>
      <c r="B13148" s="35" t="s">
        <v>41540</v>
      </c>
      <c r="C13148" s="35" t="s">
        <v>41541</v>
      </c>
      <c r="D13148" s="36" t="s">
        <v>41542</v>
      </c>
      <c r="E13148" s="37"/>
      <c r="F13148" s="38">
        <f ca="1">F13164</f>
        <v>0</v>
      </c>
      <c r="G13148" s="37"/>
    </row>
    <row r="13149" spans="1:7" ht="67.56" thickBot="1" customHeight="1">
      <c r="A13149" s="26"/>
      <c r="B13149" s="26"/>
      <c r="C13149" s="26"/>
      <c r="D13149" s="25" t="s">
        <v>41543</v>
      </c>
      <c r="E13149" s="25"/>
      <c r="F13149" s="25"/>
      <c r="G13149" s="25"/>
    </row>
    <row r="13150" spans="1:7" ht="30.60" thickBot="1" customHeight="1">
      <c r="A13150" s="24" t="s">
        <v>41544</v>
      </c>
      <c r="B13150" s="24" t="s">
        <v>41545</v>
      </c>
      <c r="C13150" s="24" t="s">
        <v>41546</v>
      </c>
      <c r="D13150" s="25" t="s">
        <v>41547</v>
      </c>
      <c r="E13150" s="28">
        <v>0.01500</v>
      </c>
      <c r="F13150" s="29">
        <f ca="1">ROUND(143.220,3)</f>
        <v>0</v>
      </c>
      <c r="G13150" s="27">
        <f ca="1">ROUND(E13150*F13150,2)</f>
        <v>0</v>
      </c>
    </row>
    <row r="13151" spans="1:7" ht="39.84" thickBot="1" customHeight="1">
      <c r="A13151" s="24" t="s">
        <v>41548</v>
      </c>
      <c r="B13151" s="24" t="s">
        <v>41549</v>
      </c>
      <c r="C13151" s="24" t="s">
        <v>41550</v>
      </c>
      <c r="D13151" s="25" t="s">
        <v>41551</v>
      </c>
      <c r="E13151" s="28">
        <v>0.24000</v>
      </c>
      <c r="F13151" s="29">
        <f ca="1">ROUND(11.260,3)</f>
        <v>0</v>
      </c>
      <c r="G13151" s="27">
        <f ca="1">ROUND(E13151*F13151,2)</f>
        <v>0</v>
      </c>
    </row>
    <row r="13152" spans="1:7" ht="30.60" thickBot="1" customHeight="1">
      <c r="A13152" s="24" t="s">
        <v>41552</v>
      </c>
      <c r="B13152" s="24" t="s">
        <v>41553</v>
      </c>
      <c r="C13152" s="24" t="s">
        <v>41554</v>
      </c>
      <c r="D13152" s="25" t="s">
        <v>41555</v>
      </c>
      <c r="E13152" s="28">
        <v>0.02200</v>
      </c>
      <c r="F13152" s="29">
        <f ca="1">ROUND(75.520,3)</f>
        <v>0</v>
      </c>
      <c r="G13152" s="27">
        <f ca="1">ROUND(E13152*F13152,2)</f>
        <v>0</v>
      </c>
    </row>
    <row r="13153" spans="1:7" ht="49.08" thickBot="1" customHeight="1">
      <c r="A13153" s="24" t="s">
        <v>41556</v>
      </c>
      <c r="B13153" s="24" t="s">
        <v>41557</v>
      </c>
      <c r="C13153" s="24" t="s">
        <v>41558</v>
      </c>
      <c r="D13153" s="25" t="s">
        <v>41559</v>
      </c>
      <c r="E13153" s="28">
        <v>0.22500</v>
      </c>
      <c r="F13153" s="29">
        <f ca="1">ROUND(6.750,3)</f>
        <v>0</v>
      </c>
      <c r="G13153" s="27">
        <f ca="1">ROUND(E13153*F13153,2)</f>
        <v>0</v>
      </c>
    </row>
    <row r="13154" spans="1:7" ht="49.08" thickBot="1" customHeight="1">
      <c r="A13154" s="24" t="s">
        <v>41560</v>
      </c>
      <c r="B13154" s="24" t="s">
        <v>41561</v>
      </c>
      <c r="C13154" s="24" t="s">
        <v>41562</v>
      </c>
      <c r="D13154" s="25" t="s">
        <v>41563</v>
      </c>
      <c r="E13154" s="28">
        <v>0.08000</v>
      </c>
      <c r="F13154" s="29">
        <f ca="1">ROUND(114.950,3)</f>
        <v>0</v>
      </c>
      <c r="G13154" s="27">
        <f ca="1">ROUND(E13154*F13154,2)</f>
        <v>0</v>
      </c>
    </row>
    <row r="13155" spans="1:7" ht="30.60" thickBot="1" customHeight="1">
      <c r="A13155" s="24" t="s">
        <v>41564</v>
      </c>
      <c r="B13155" s="24" t="s">
        <v>41565</v>
      </c>
      <c r="C13155" s="24" t="s">
        <v>41566</v>
      </c>
      <c r="D13155" s="25" t="s">
        <v>41567</v>
      </c>
      <c r="E13155" s="28">
        <v>0.24000</v>
      </c>
      <c r="F13155" s="29">
        <f ca="1">ROUND(2.800,3)</f>
        <v>0</v>
      </c>
      <c r="G13155" s="27">
        <f ca="1">ROUND(E13155*F13155,2)</f>
        <v>0</v>
      </c>
    </row>
    <row r="13156" spans="1:7" ht="39.84" thickBot="1" customHeight="1">
      <c r="A13156" s="24" t="s">
        <v>41568</v>
      </c>
      <c r="B13156" s="24" t="s">
        <v>41569</v>
      </c>
      <c r="C13156" s="24" t="s">
        <v>41570</v>
      </c>
      <c r="D13156" s="25" t="s">
        <v>41571</v>
      </c>
      <c r="E13156" s="28">
        <v>0.12370</v>
      </c>
      <c r="F13156" s="29">
        <f ca="1">ROUND(5.040,3)</f>
        <v>0</v>
      </c>
      <c r="G13156" s="27">
        <f ca="1">ROUND(E13156*F13156,2)</f>
        <v>0</v>
      </c>
    </row>
    <row r="13157" spans="1:7" ht="30.60" thickBot="1" customHeight="1">
      <c r="A13157" s="24" t="s">
        <v>41572</v>
      </c>
      <c r="B13157" s="24" t="s">
        <v>41573</v>
      </c>
      <c r="C13157" s="24" t="s">
        <v>41574</v>
      </c>
      <c r="D13157" s="25" t="s">
        <v>41575</v>
      </c>
      <c r="E13157" s="28">
        <v>0.12000</v>
      </c>
      <c r="F13157" s="29">
        <f ca="1">ROUND(11.100,3)</f>
        <v>0</v>
      </c>
      <c r="G13157" s="27">
        <f ca="1">ROUND(E13157*F13157,2)</f>
        <v>0</v>
      </c>
    </row>
    <row r="13158" spans="1:7" ht="21.36" thickBot="1" customHeight="1">
      <c r="A13158" s="24" t="s">
        <v>41576</v>
      </c>
      <c r="B13158" s="24" t="s">
        <v>41577</v>
      </c>
      <c r="C13158" s="24" t="s">
        <v>41578</v>
      </c>
      <c r="D13158" s="25" t="s">
        <v>41579</v>
      </c>
      <c r="E13158" s="28">
        <v>0.45000</v>
      </c>
      <c r="F13158" s="29">
        <f ca="1">F13162</f>
        <v>0</v>
      </c>
      <c r="G13158" s="27">
        <f ca="1">ROUND(E13158*F13158,2)</f>
        <v>0</v>
      </c>
    </row>
    <row r="13159" spans="1:7" ht="24.36" thickBot="1" customHeight="1">
      <c r="A13159" s="24" t="s">
        <v>41580</v>
      </c>
      <c r="B13159" s="24" t="s">
        <v>41581</v>
      </c>
      <c r="C13159" s="24" t="s">
        <v>41582</v>
      </c>
      <c r="D13159" s="25" t="s">
        <v>41583</v>
      </c>
      <c r="E13159" s="28">
        <v>1.00000</v>
      </c>
      <c r="F13159" s="29">
        <f ca="1">ROUND(21.000,3)</f>
        <v>0</v>
      </c>
      <c r="G13159" s="27">
        <f ca="1">ROUND(E13159*F13159,2)</f>
        <v>0</v>
      </c>
    </row>
    <row r="13160" spans="1:7" ht="24.36" thickBot="1" customHeight="1">
      <c r="A13160" s="24" t="s">
        <v>41584</v>
      </c>
      <c r="B13160" s="24" t="s">
        <v>41585</v>
      </c>
      <c r="C13160" s="24" t="s">
        <v>41586</v>
      </c>
      <c r="D13160" s="25" t="s">
        <v>41587</v>
      </c>
      <c r="E13160" s="28">
        <v>1.00000</v>
      </c>
      <c r="F13160" s="29">
        <f ca="1">ROUND(19.000,3)</f>
        <v>0</v>
      </c>
      <c r="G13160" s="27">
        <f ca="1">ROUND(E13160*F13160,2)</f>
        <v>0</v>
      </c>
    </row>
    <row r="13161" spans="1:7" ht="24.36" thickBot="1" customHeight="1">
      <c r="A13161" s="24" t="s">
        <v>41588</v>
      </c>
      <c r="B13161" s="24" t="s">
        <v>41589</v>
      </c>
      <c r="C13161" s="24" t="s">
        <v>41590</v>
      </c>
      <c r="D13161" s="25" t="s">
        <v>41591</v>
      </c>
      <c r="E13161" s="28">
        <v>0.20000</v>
      </c>
      <c r="F13161" s="29">
        <f ca="1">ROUND(19.000,3)</f>
        <v>0</v>
      </c>
      <c r="G13161" s="27">
        <f ca="1">ROUND(E13161*F13161,2)</f>
        <v>0</v>
      </c>
    </row>
    <row r="13162" spans="1:7" ht="15.12" thickBot="1" customHeight="1">
      <c r="A13162" s="26"/>
      <c r="B13162" s="26"/>
      <c r="C13162" s="26"/>
      <c r="D13162" s="24" t="s">
        <v>41592</v>
      </c>
      <c r="E13162" s="28">
        <v>0.45000</v>
      </c>
      <c r="F13162" s="29">
        <f ca="1">ROUND((G13159+G13160+G13161),3)</f>
        <v>0</v>
      </c>
      <c r="G13162" s="27">
        <f ca="1">ROUND(E13162*F13162,2)</f>
        <v>0</v>
      </c>
    </row>
    <row r="13163" spans="1:7" ht="15.12" thickBot="1" customHeight="1">
      <c r="A13163" s="24" t="s">
        <v>41593</v>
      </c>
      <c r="B13163" s="24"/>
      <c r="C13163" s="24" t="s">
        <v>41594</v>
      </c>
      <c r="D13163" s="25" t="s">
        <v>41595</v>
      </c>
      <c r="E13163" s="28">
        <v>3.00000</v>
      </c>
      <c r="F13163" s="29">
        <f ca="1">ROUND(19.710,3)</f>
        <v>0</v>
      </c>
      <c r="G13163" s="27">
        <f ca="1">ROUND((E13163*F13163)/100,2)</f>
        <v>0</v>
      </c>
    </row>
    <row r="13164" spans="1:7" ht="15.48" thickBot="1" customHeight="1">
      <c r="A13164" s="30"/>
      <c r="B13164" s="30"/>
      <c r="C13164" s="30"/>
      <c r="D13164" s="31" t="s">
        <v>41596</v>
      </c>
      <c r="E13164" s="30"/>
      <c r="F13164" s="33">
        <f ca="1">ROUND((G13150+G13151+G13152+G13153+G13154+G13155+G13156+G13157+G13158+G13163)*(1+G2/100),2)</f>
        <v>0</v>
      </c>
      <c r="G13164" s="30"/>
    </row>
    <row r="13165" spans="1:7" ht="21.36" thickBot="1" customHeight="1">
      <c r="A13165" s="34" t="s">
        <v>41597</v>
      </c>
      <c r="B13165" s="35" t="s">
        <v>41598</v>
      </c>
      <c r="C13165" s="35" t="s">
        <v>41599</v>
      </c>
      <c r="D13165" s="36" t="s">
        <v>41600</v>
      </c>
      <c r="E13165" s="37"/>
      <c r="F13165" s="38">
        <f ca="1">F13182</f>
        <v>0</v>
      </c>
      <c r="G13165" s="37"/>
    </row>
    <row r="13166" spans="1:7" ht="95.28" thickBot="1" customHeight="1">
      <c r="A13166" s="26"/>
      <c r="B13166" s="26"/>
      <c r="C13166" s="26"/>
      <c r="D13166" s="25" t="s">
        <v>41601</v>
      </c>
      <c r="E13166" s="25"/>
      <c r="F13166" s="25"/>
      <c r="G13166" s="25"/>
    </row>
    <row r="13167" spans="1:7" ht="30.60" thickBot="1" customHeight="1">
      <c r="A13167" s="24" t="s">
        <v>41602</v>
      </c>
      <c r="B13167" s="24" t="s">
        <v>41603</v>
      </c>
      <c r="C13167" s="24" t="s">
        <v>41604</v>
      </c>
      <c r="D13167" s="25" t="s">
        <v>41605</v>
      </c>
      <c r="E13167" s="28">
        <v>0.01500</v>
      </c>
      <c r="F13167" s="29">
        <f ca="1">ROUND(143.220,3)</f>
        <v>0</v>
      </c>
      <c r="G13167" s="27">
        <f ca="1">ROUND(E13167*F13167,2)</f>
        <v>0</v>
      </c>
    </row>
    <row r="13168" spans="1:7" ht="39.84" thickBot="1" customHeight="1">
      <c r="A13168" s="24" t="s">
        <v>41606</v>
      </c>
      <c r="B13168" s="24" t="s">
        <v>41607</v>
      </c>
      <c r="C13168" s="24" t="s">
        <v>41608</v>
      </c>
      <c r="D13168" s="25" t="s">
        <v>41609</v>
      </c>
      <c r="E13168" s="28">
        <v>0.24000</v>
      </c>
      <c r="F13168" s="29">
        <f ca="1">ROUND(11.260,3)</f>
        <v>0</v>
      </c>
      <c r="G13168" s="27">
        <f ca="1">ROUND(E13168*F13168,2)</f>
        <v>0</v>
      </c>
    </row>
    <row r="13169" spans="1:7" ht="30.60" thickBot="1" customHeight="1">
      <c r="A13169" s="24" t="s">
        <v>41610</v>
      </c>
      <c r="B13169" s="24" t="s">
        <v>41611</v>
      </c>
      <c r="C13169" s="24" t="s">
        <v>41612</v>
      </c>
      <c r="D13169" s="25" t="s">
        <v>41613</v>
      </c>
      <c r="E13169" s="28">
        <v>0.02182</v>
      </c>
      <c r="F13169" s="29">
        <f ca="1">ROUND(75.520,3)</f>
        <v>0</v>
      </c>
      <c r="G13169" s="27">
        <f ca="1">ROUND(E13169*F13169,2)</f>
        <v>0</v>
      </c>
    </row>
    <row r="13170" spans="1:7" ht="39.84" thickBot="1" customHeight="1">
      <c r="A13170" s="24" t="s">
        <v>41614</v>
      </c>
      <c r="B13170" s="24" t="s">
        <v>41615</v>
      </c>
      <c r="C13170" s="24" t="s">
        <v>41616</v>
      </c>
      <c r="D13170" s="25" t="s">
        <v>41617</v>
      </c>
      <c r="E13170" s="28">
        <v>0.33600</v>
      </c>
      <c r="F13170" s="29">
        <f ca="1">ROUND(133.310,3)</f>
        <v>0</v>
      </c>
      <c r="G13170" s="27">
        <f ca="1">ROUND(E13170*F13170,2)</f>
        <v>0</v>
      </c>
    </row>
    <row r="13171" spans="1:7" ht="39.84" thickBot="1" customHeight="1">
      <c r="A13171" s="24" t="s">
        <v>41618</v>
      </c>
      <c r="B13171" s="24" t="s">
        <v>41619</v>
      </c>
      <c r="C13171" s="24" t="s">
        <v>41620</v>
      </c>
      <c r="D13171" s="25" t="s">
        <v>41621</v>
      </c>
      <c r="E13171" s="28">
        <v>0.02200</v>
      </c>
      <c r="F13171" s="29">
        <f ca="1">ROUND(301.400,3)</f>
        <v>0</v>
      </c>
      <c r="G13171" s="27">
        <f ca="1">ROUND(E13171*F13171,2)</f>
        <v>0</v>
      </c>
    </row>
    <row r="13172" spans="1:7" ht="30.60" thickBot="1" customHeight="1">
      <c r="A13172" s="24" t="s">
        <v>41622</v>
      </c>
      <c r="B13172" s="24" t="s">
        <v>41623</v>
      </c>
      <c r="C13172" s="24" t="s">
        <v>41624</v>
      </c>
      <c r="D13172" s="25" t="s">
        <v>41625</v>
      </c>
      <c r="E13172" s="28">
        <v>0.02500</v>
      </c>
      <c r="F13172" s="29">
        <f ca="1">ROUND(121.540,3)</f>
        <v>0</v>
      </c>
      <c r="G13172" s="27">
        <f ca="1">ROUND(E13172*F13172,2)</f>
        <v>0</v>
      </c>
    </row>
    <row r="13173" spans="1:7" ht="30.60" thickBot="1" customHeight="1">
      <c r="A13173" s="24" t="s">
        <v>41626</v>
      </c>
      <c r="B13173" s="24" t="s">
        <v>41627</v>
      </c>
      <c r="C13173" s="24" t="s">
        <v>41628</v>
      </c>
      <c r="D13173" s="25" t="s">
        <v>41629</v>
      </c>
      <c r="E13173" s="28">
        <v>0.12000</v>
      </c>
      <c r="F13173" s="29">
        <f ca="1">ROUND(11.100,3)</f>
        <v>0</v>
      </c>
      <c r="G13173" s="27">
        <f ca="1">ROUND(E13173*F13173,2)</f>
        <v>0</v>
      </c>
    </row>
    <row r="13174" spans="1:7" ht="30.60" thickBot="1" customHeight="1">
      <c r="A13174" s="24" t="s">
        <v>41630</v>
      </c>
      <c r="B13174" s="24" t="s">
        <v>41631</v>
      </c>
      <c r="C13174" s="24" t="s">
        <v>41632</v>
      </c>
      <c r="D13174" s="25" t="s">
        <v>41633</v>
      </c>
      <c r="E13174" s="28">
        <v>0.24000</v>
      </c>
      <c r="F13174" s="29">
        <f ca="1">ROUND(2.800,3)</f>
        <v>0</v>
      </c>
      <c r="G13174" s="27">
        <f ca="1">ROUND(E13174*F13174,2)</f>
        <v>0</v>
      </c>
    </row>
    <row r="13175" spans="1:7" ht="39.84" thickBot="1" customHeight="1">
      <c r="A13175" s="24" t="s">
        <v>41634</v>
      </c>
      <c r="B13175" s="24" t="s">
        <v>41635</v>
      </c>
      <c r="C13175" s="24" t="s">
        <v>41636</v>
      </c>
      <c r="D13175" s="25" t="s">
        <v>41637</v>
      </c>
      <c r="E13175" s="28">
        <v>0.12370</v>
      </c>
      <c r="F13175" s="29">
        <f ca="1">ROUND(5.040,3)</f>
        <v>0</v>
      </c>
      <c r="G13175" s="27">
        <f ca="1">ROUND(E13175*F13175,2)</f>
        <v>0</v>
      </c>
    </row>
    <row r="13176" spans="1:7" ht="21.36" thickBot="1" customHeight="1">
      <c r="A13176" s="24" t="s">
        <v>41638</v>
      </c>
      <c r="B13176" s="24" t="s">
        <v>41639</v>
      </c>
      <c r="C13176" s="24" t="s">
        <v>41640</v>
      </c>
      <c r="D13176" s="25" t="s">
        <v>41641</v>
      </c>
      <c r="E13176" s="28">
        <v>0.60000</v>
      </c>
      <c r="F13176" s="29">
        <f ca="1">F13180</f>
        <v>0</v>
      </c>
      <c r="G13176" s="27">
        <f ca="1">ROUND(E13176*F13176,2)</f>
        <v>0</v>
      </c>
    </row>
    <row r="13177" spans="1:7" ht="24.36" thickBot="1" customHeight="1">
      <c r="A13177" s="24" t="s">
        <v>41642</v>
      </c>
      <c r="B13177" s="24" t="s">
        <v>41643</v>
      </c>
      <c r="C13177" s="24" t="s">
        <v>41644</v>
      </c>
      <c r="D13177" s="25" t="s">
        <v>41645</v>
      </c>
      <c r="E13177" s="28">
        <v>1.00000</v>
      </c>
      <c r="F13177" s="29">
        <f ca="1">ROUND(21.000,3)</f>
        <v>0</v>
      </c>
      <c r="G13177" s="27">
        <f ca="1">ROUND(E13177*F13177,2)</f>
        <v>0</v>
      </c>
    </row>
    <row r="13178" spans="1:7" ht="24.36" thickBot="1" customHeight="1">
      <c r="A13178" s="24" t="s">
        <v>41646</v>
      </c>
      <c r="B13178" s="24" t="s">
        <v>41647</v>
      </c>
      <c r="C13178" s="24" t="s">
        <v>41648</v>
      </c>
      <c r="D13178" s="25" t="s">
        <v>41649</v>
      </c>
      <c r="E13178" s="28">
        <v>1.00000</v>
      </c>
      <c r="F13178" s="29">
        <f ca="1">ROUND(19.000,3)</f>
        <v>0</v>
      </c>
      <c r="G13178" s="27">
        <f ca="1">ROUND(E13178*F13178,2)</f>
        <v>0</v>
      </c>
    </row>
    <row r="13179" spans="1:7" ht="24.36" thickBot="1" customHeight="1">
      <c r="A13179" s="24" t="s">
        <v>41650</v>
      </c>
      <c r="B13179" s="24" t="s">
        <v>41651</v>
      </c>
      <c r="C13179" s="24" t="s">
        <v>41652</v>
      </c>
      <c r="D13179" s="25" t="s">
        <v>41653</v>
      </c>
      <c r="E13179" s="28">
        <v>0.20000</v>
      </c>
      <c r="F13179" s="29">
        <f ca="1">ROUND(19.000,3)</f>
        <v>0</v>
      </c>
      <c r="G13179" s="27">
        <f ca="1">ROUND(E13179*F13179,2)</f>
        <v>0</v>
      </c>
    </row>
    <row r="13180" spans="1:7" ht="15.12" thickBot="1" customHeight="1">
      <c r="A13180" s="26"/>
      <c r="B13180" s="26"/>
      <c r="C13180" s="26"/>
      <c r="D13180" s="24" t="s">
        <v>41654</v>
      </c>
      <c r="E13180" s="28">
        <v>0.60000</v>
      </c>
      <c r="F13180" s="29">
        <f ca="1">ROUND((G13177+G13178+G13179),3)</f>
        <v>0</v>
      </c>
      <c r="G13180" s="27">
        <f ca="1">ROUND(E13180*F13180,2)</f>
        <v>0</v>
      </c>
    </row>
    <row r="13181" spans="1:7" ht="15.12" thickBot="1" customHeight="1">
      <c r="A13181" s="24" t="s">
        <v>41655</v>
      </c>
      <c r="B13181" s="24"/>
      <c r="C13181" s="24" t="s">
        <v>41656</v>
      </c>
      <c r="D13181" s="25" t="s">
        <v>41657</v>
      </c>
      <c r="E13181" s="28">
        <v>3.00000</v>
      </c>
      <c r="F13181" s="29">
        <f ca="1">ROUND(26.280,3)</f>
        <v>0</v>
      </c>
      <c r="G13181" s="27">
        <f ca="1">ROUND((E13181*F13181)/100,2)</f>
        <v>0</v>
      </c>
    </row>
    <row r="13182" spans="1:7" ht="15.48" thickBot="1" customHeight="1">
      <c r="A13182" s="30"/>
      <c r="B13182" s="30"/>
      <c r="C13182" s="30"/>
      <c r="D13182" s="31" t="s">
        <v>41658</v>
      </c>
      <c r="E13182" s="30"/>
      <c r="F13182" s="33">
        <f ca="1">ROUND((G13167+G13168+G13169+G13170+G13171+G13172+G13173+G13174+G13175+G13176+G13181)*(1+G2/100),2)</f>
        <v>0</v>
      </c>
      <c r="G13182" s="30"/>
    </row>
    <row r="13183" spans="1:7" ht="49.08" thickBot="1" customHeight="1">
      <c r="A13183" s="34" t="s">
        <v>41659</v>
      </c>
      <c r="B13183" s="35" t="s">
        <v>41660</v>
      </c>
      <c r="C13183" s="35" t="s">
        <v>41661</v>
      </c>
      <c r="D13183" s="36" t="s">
        <v>41662</v>
      </c>
      <c r="E13183" s="37"/>
      <c r="F13183" s="38">
        <f ca="1">F13193</f>
        <v>0</v>
      </c>
      <c r="G13183" s="37"/>
    </row>
    <row r="13184" spans="1:7" ht="21.36" thickBot="1" customHeight="1">
      <c r="A13184" s="26"/>
      <c r="B13184" s="26"/>
      <c r="C13184" s="26"/>
      <c r="D13184" s="25" t="s">
        <v>41663</v>
      </c>
      <c r="E13184" s="25"/>
      <c r="F13184" s="25"/>
      <c r="G13184" s="25"/>
    </row>
    <row r="13185" spans="1:7" ht="30.60" thickBot="1" customHeight="1">
      <c r="A13185" s="24" t="s">
        <v>41664</v>
      </c>
      <c r="B13185" s="24" t="s">
        <v>41665</v>
      </c>
      <c r="C13185" s="24" t="s">
        <v>41666</v>
      </c>
      <c r="D13185" s="25" t="s">
        <v>41667</v>
      </c>
      <c r="E13185" s="28">
        <v>0.20000</v>
      </c>
      <c r="F13185" s="29">
        <f ca="1">ROUND(55.500,3)</f>
        <v>0</v>
      </c>
      <c r="G13185" s="27">
        <f ca="1">ROUND(E13185*F13185,2)</f>
        <v>0</v>
      </c>
    </row>
    <row r="13186" spans="1:7" ht="30.60" thickBot="1" customHeight="1">
      <c r="A13186" s="24" t="s">
        <v>41668</v>
      </c>
      <c r="B13186" s="24" t="s">
        <v>41669</v>
      </c>
      <c r="C13186" s="24" t="s">
        <v>41670</v>
      </c>
      <c r="D13186" s="25" t="s">
        <v>41671</v>
      </c>
      <c r="E13186" s="28">
        <v>0.30000</v>
      </c>
      <c r="F13186" s="29">
        <f ca="1">ROUND(60.400,3)</f>
        <v>0</v>
      </c>
      <c r="G13186" s="27">
        <f ca="1">ROUND(E13186*F13186,2)</f>
        <v>0</v>
      </c>
    </row>
    <row r="13187" spans="1:7" ht="21.36" thickBot="1" customHeight="1">
      <c r="A13187" s="24" t="s">
        <v>41672</v>
      </c>
      <c r="B13187" s="24" t="s">
        <v>41673</v>
      </c>
      <c r="C13187" s="24" t="s">
        <v>41674</v>
      </c>
      <c r="D13187" s="25" t="s">
        <v>41675</v>
      </c>
      <c r="E13187" s="28">
        <v>0.93000</v>
      </c>
      <c r="F13187" s="29">
        <f ca="1">F13191</f>
        <v>0</v>
      </c>
      <c r="G13187" s="27">
        <f ca="1">ROUND(E13187*F13187,2)</f>
        <v>0</v>
      </c>
    </row>
    <row r="13188" spans="1:7" ht="24.36" thickBot="1" customHeight="1">
      <c r="A13188" s="24" t="s">
        <v>41676</v>
      </c>
      <c r="B13188" s="24" t="s">
        <v>41677</v>
      </c>
      <c r="C13188" s="24" t="s">
        <v>41678</v>
      </c>
      <c r="D13188" s="25" t="s">
        <v>41679</v>
      </c>
      <c r="E13188" s="28">
        <v>1.00000</v>
      </c>
      <c r="F13188" s="29">
        <f ca="1">ROUND(21.000,3)</f>
        <v>0</v>
      </c>
      <c r="G13188" s="27">
        <f ca="1">ROUND(E13188*F13188,2)</f>
        <v>0</v>
      </c>
    </row>
    <row r="13189" spans="1:7" ht="24.36" thickBot="1" customHeight="1">
      <c r="A13189" s="24" t="s">
        <v>41680</v>
      </c>
      <c r="B13189" s="24" t="s">
        <v>41681</v>
      </c>
      <c r="C13189" s="24" t="s">
        <v>41682</v>
      </c>
      <c r="D13189" s="25" t="s">
        <v>41683</v>
      </c>
      <c r="E13189" s="28">
        <v>1.00000</v>
      </c>
      <c r="F13189" s="29">
        <f ca="1">ROUND(19.000,3)</f>
        <v>0</v>
      </c>
      <c r="G13189" s="27">
        <f ca="1">ROUND(E13189*F13189,2)</f>
        <v>0</v>
      </c>
    </row>
    <row r="13190" spans="1:7" ht="24.36" thickBot="1" customHeight="1">
      <c r="A13190" s="24" t="s">
        <v>41684</v>
      </c>
      <c r="B13190" s="24" t="s">
        <v>41685</v>
      </c>
      <c r="C13190" s="24" t="s">
        <v>41686</v>
      </c>
      <c r="D13190" s="25" t="s">
        <v>41687</v>
      </c>
      <c r="E13190" s="28">
        <v>0.20000</v>
      </c>
      <c r="F13190" s="29">
        <f ca="1">ROUND(19.000,3)</f>
        <v>0</v>
      </c>
      <c r="G13190" s="27">
        <f ca="1">ROUND(E13190*F13190,2)</f>
        <v>0</v>
      </c>
    </row>
    <row r="13191" spans="1:7" ht="15.12" thickBot="1" customHeight="1">
      <c r="A13191" s="26"/>
      <c r="B13191" s="26"/>
      <c r="C13191" s="26"/>
      <c r="D13191" s="24" t="s">
        <v>41688</v>
      </c>
      <c r="E13191" s="28">
        <v>0.93000</v>
      </c>
      <c r="F13191" s="29">
        <f ca="1">ROUND((G13188+G13189+G13190),3)</f>
        <v>0</v>
      </c>
      <c r="G13191" s="27">
        <f ca="1">ROUND(E13191*F13191,2)</f>
        <v>0</v>
      </c>
    </row>
    <row r="13192" spans="1:7" ht="15.12" thickBot="1" customHeight="1">
      <c r="A13192" s="24" t="s">
        <v>41689</v>
      </c>
      <c r="B13192" s="24"/>
      <c r="C13192" s="24" t="s">
        <v>41690</v>
      </c>
      <c r="D13192" s="25" t="s">
        <v>41691</v>
      </c>
      <c r="E13192" s="28">
        <v>5.00000</v>
      </c>
      <c r="F13192" s="29">
        <f ca="1">ROUND(40.730,3)</f>
        <v>0</v>
      </c>
      <c r="G13192" s="27">
        <f ca="1">ROUND((E13192*F13192)/100,2)</f>
        <v>0</v>
      </c>
    </row>
    <row r="13193" spans="1:7" ht="15.48" thickBot="1" customHeight="1">
      <c r="A13193" s="30"/>
      <c r="B13193" s="30"/>
      <c r="C13193" s="30"/>
      <c r="D13193" s="31" t="s">
        <v>41692</v>
      </c>
      <c r="E13193" s="30"/>
      <c r="F13193" s="33">
        <f ca="1">ROUND((G13185+G13186+G13187+G13192)*(1+G2/100),2)</f>
        <v>0</v>
      </c>
      <c r="G13193" s="30"/>
    </row>
    <row r="13194" spans="1:7" ht="49.08" thickBot="1" customHeight="1">
      <c r="A13194" s="34" t="s">
        <v>41693</v>
      </c>
      <c r="B13194" s="35" t="s">
        <v>41694</v>
      </c>
      <c r="C13194" s="35" t="s">
        <v>41695</v>
      </c>
      <c r="D13194" s="36" t="s">
        <v>41696</v>
      </c>
      <c r="E13194" s="37"/>
      <c r="F13194" s="38">
        <f ca="1">F13204</f>
        <v>0</v>
      </c>
      <c r="G13194" s="37"/>
    </row>
    <row r="13195" spans="1:7" ht="21.36" thickBot="1" customHeight="1">
      <c r="A13195" s="26"/>
      <c r="B13195" s="26"/>
      <c r="C13195" s="26"/>
      <c r="D13195" s="25" t="s">
        <v>41697</v>
      </c>
      <c r="E13195" s="25"/>
      <c r="F13195" s="25"/>
      <c r="G13195" s="25"/>
    </row>
    <row r="13196" spans="1:7" ht="30.60" thickBot="1" customHeight="1">
      <c r="A13196" s="24" t="s">
        <v>41698</v>
      </c>
      <c r="B13196" s="24" t="s">
        <v>41699</v>
      </c>
      <c r="C13196" s="24" t="s">
        <v>41700</v>
      </c>
      <c r="D13196" s="25" t="s">
        <v>41701</v>
      </c>
      <c r="E13196" s="28">
        <v>0.20000</v>
      </c>
      <c r="F13196" s="29">
        <f ca="1">ROUND(55.500,3)</f>
        <v>0</v>
      </c>
      <c r="G13196" s="27">
        <f ca="1">ROUND(E13196*F13196,2)</f>
        <v>0</v>
      </c>
    </row>
    <row r="13197" spans="1:7" ht="30.60" thickBot="1" customHeight="1">
      <c r="A13197" s="24" t="s">
        <v>41702</v>
      </c>
      <c r="B13197" s="24" t="s">
        <v>41703</v>
      </c>
      <c r="C13197" s="24" t="s">
        <v>41704</v>
      </c>
      <c r="D13197" s="25" t="s">
        <v>41705</v>
      </c>
      <c r="E13197" s="28">
        <v>0.30000</v>
      </c>
      <c r="F13197" s="29">
        <f ca="1">ROUND(60.400,3)</f>
        <v>0</v>
      </c>
      <c r="G13197" s="27">
        <f ca="1">ROUND(E13197*F13197,2)</f>
        <v>0</v>
      </c>
    </row>
    <row r="13198" spans="1:7" ht="21.36" thickBot="1" customHeight="1">
      <c r="A13198" s="24" t="s">
        <v>41706</v>
      </c>
      <c r="B13198" s="24" t="s">
        <v>41707</v>
      </c>
      <c r="C13198" s="24" t="s">
        <v>41708</v>
      </c>
      <c r="D13198" s="25" t="s">
        <v>41709</v>
      </c>
      <c r="E13198" s="28">
        <v>0.53333</v>
      </c>
      <c r="F13198" s="29">
        <f ca="1">F13202</f>
        <v>0</v>
      </c>
      <c r="G13198" s="27">
        <f ca="1">ROUND(E13198*F13198,2)</f>
        <v>0</v>
      </c>
    </row>
    <row r="13199" spans="1:7" ht="24.36" thickBot="1" customHeight="1">
      <c r="A13199" s="24" t="s">
        <v>41710</v>
      </c>
      <c r="B13199" s="24" t="s">
        <v>41711</v>
      </c>
      <c r="C13199" s="24" t="s">
        <v>41712</v>
      </c>
      <c r="D13199" s="25" t="s">
        <v>41713</v>
      </c>
      <c r="E13199" s="28">
        <v>1.00000</v>
      </c>
      <c r="F13199" s="29">
        <f ca="1">ROUND(21.000,3)</f>
        <v>0</v>
      </c>
      <c r="G13199" s="27">
        <f ca="1">ROUND(E13199*F13199,2)</f>
        <v>0</v>
      </c>
    </row>
    <row r="13200" spans="1:7" ht="24.36" thickBot="1" customHeight="1">
      <c r="A13200" s="24" t="s">
        <v>41714</v>
      </c>
      <c r="B13200" s="24" t="s">
        <v>41715</v>
      </c>
      <c r="C13200" s="24" t="s">
        <v>41716</v>
      </c>
      <c r="D13200" s="25" t="s">
        <v>41717</v>
      </c>
      <c r="E13200" s="28">
        <v>1.00000</v>
      </c>
      <c r="F13200" s="29">
        <f ca="1">ROUND(19.000,3)</f>
        <v>0</v>
      </c>
      <c r="G13200" s="27">
        <f ca="1">ROUND(E13200*F13200,2)</f>
        <v>0</v>
      </c>
    </row>
    <row r="13201" spans="1:7" ht="24.36" thickBot="1" customHeight="1">
      <c r="A13201" s="24" t="s">
        <v>41718</v>
      </c>
      <c r="B13201" s="24" t="s">
        <v>41719</v>
      </c>
      <c r="C13201" s="24" t="s">
        <v>41720</v>
      </c>
      <c r="D13201" s="25" t="s">
        <v>41721</v>
      </c>
      <c r="E13201" s="28">
        <v>0.20000</v>
      </c>
      <c r="F13201" s="29">
        <f ca="1">ROUND(19.000,3)</f>
        <v>0</v>
      </c>
      <c r="G13201" s="27">
        <f ca="1">ROUND(E13201*F13201,2)</f>
        <v>0</v>
      </c>
    </row>
    <row r="13202" spans="1:7" ht="15.12" thickBot="1" customHeight="1">
      <c r="A13202" s="26"/>
      <c r="B13202" s="26"/>
      <c r="C13202" s="26"/>
      <c r="D13202" s="24" t="s">
        <v>41722</v>
      </c>
      <c r="E13202" s="28">
        <v>0.53333</v>
      </c>
      <c r="F13202" s="29">
        <f ca="1">ROUND((G13199+G13200+G13201),3)</f>
        <v>0</v>
      </c>
      <c r="G13202" s="27">
        <f ca="1">ROUND(E13202*F13202,2)</f>
        <v>0</v>
      </c>
    </row>
    <row r="13203" spans="1:7" ht="15.12" thickBot="1" customHeight="1">
      <c r="A13203" s="24" t="s">
        <v>41723</v>
      </c>
      <c r="B13203" s="24"/>
      <c r="C13203" s="24" t="s">
        <v>41724</v>
      </c>
      <c r="D13203" s="25" t="s">
        <v>41725</v>
      </c>
      <c r="E13203" s="28">
        <v>5.00000</v>
      </c>
      <c r="F13203" s="29">
        <f ca="1">ROUND(23.360,3)</f>
        <v>0</v>
      </c>
      <c r="G13203" s="27">
        <f ca="1">ROUND((E13203*F13203)/100,2)</f>
        <v>0</v>
      </c>
    </row>
    <row r="13204" spans="1:7" ht="15.48" thickBot="1" customHeight="1">
      <c r="A13204" s="30"/>
      <c r="B13204" s="30"/>
      <c r="C13204" s="30"/>
      <c r="D13204" s="31" t="s">
        <v>41726</v>
      </c>
      <c r="E13204" s="30"/>
      <c r="F13204" s="33">
        <f ca="1">ROUND((G13196+G13197+G13198+G13203)*(1+G2/100),2)</f>
        <v>0</v>
      </c>
      <c r="G13204" s="30"/>
    </row>
    <row r="13205" spans="1:7" ht="49.08" thickBot="1" customHeight="1">
      <c r="A13205" s="34" t="s">
        <v>41727</v>
      </c>
      <c r="B13205" s="35" t="s">
        <v>41728</v>
      </c>
      <c r="C13205" s="35" t="s">
        <v>41729</v>
      </c>
      <c r="D13205" s="36" t="s">
        <v>41730</v>
      </c>
      <c r="E13205" s="37"/>
      <c r="F13205" s="38">
        <f ca="1">F13215</f>
        <v>0</v>
      </c>
      <c r="G13205" s="37"/>
    </row>
    <row r="13206" spans="1:7" ht="21.36" thickBot="1" customHeight="1">
      <c r="A13206" s="26"/>
      <c r="B13206" s="26"/>
      <c r="C13206" s="26"/>
      <c r="D13206" s="25" t="s">
        <v>41731</v>
      </c>
      <c r="E13206" s="25"/>
      <c r="F13206" s="25"/>
      <c r="G13206" s="25"/>
    </row>
    <row r="13207" spans="1:7" ht="30.60" thickBot="1" customHeight="1">
      <c r="A13207" s="24" t="s">
        <v>41732</v>
      </c>
      <c r="B13207" s="24" t="s">
        <v>41733</v>
      </c>
      <c r="C13207" s="24" t="s">
        <v>41734</v>
      </c>
      <c r="D13207" s="25" t="s">
        <v>41735</v>
      </c>
      <c r="E13207" s="28">
        <v>0.20000</v>
      </c>
      <c r="F13207" s="29">
        <f ca="1">ROUND(55.500,3)</f>
        <v>0</v>
      </c>
      <c r="G13207" s="27">
        <f ca="1">ROUND(E13207*F13207,2)</f>
        <v>0</v>
      </c>
    </row>
    <row r="13208" spans="1:7" ht="30.60" thickBot="1" customHeight="1">
      <c r="A13208" s="24" t="s">
        <v>41736</v>
      </c>
      <c r="B13208" s="24" t="s">
        <v>41737</v>
      </c>
      <c r="C13208" s="24" t="s">
        <v>41738</v>
      </c>
      <c r="D13208" s="25" t="s">
        <v>41739</v>
      </c>
      <c r="E13208" s="28">
        <v>0.30000</v>
      </c>
      <c r="F13208" s="29">
        <f ca="1">ROUND(60.400,3)</f>
        <v>0</v>
      </c>
      <c r="G13208" s="27">
        <f ca="1">ROUND(E13208*F13208,2)</f>
        <v>0</v>
      </c>
    </row>
    <row r="13209" spans="1:7" ht="21.36" thickBot="1" customHeight="1">
      <c r="A13209" s="24" t="s">
        <v>41740</v>
      </c>
      <c r="B13209" s="24" t="s">
        <v>41741</v>
      </c>
      <c r="C13209" s="24" t="s">
        <v>41742</v>
      </c>
      <c r="D13209" s="25" t="s">
        <v>41743</v>
      </c>
      <c r="E13209" s="28">
        <v>0.75000</v>
      </c>
      <c r="F13209" s="29">
        <f ca="1">F13213</f>
        <v>0</v>
      </c>
      <c r="G13209" s="27">
        <f ca="1">ROUND(E13209*F13209,2)</f>
        <v>0</v>
      </c>
    </row>
    <row r="13210" spans="1:7" ht="24.36" thickBot="1" customHeight="1">
      <c r="A13210" s="24" t="s">
        <v>41744</v>
      </c>
      <c r="B13210" s="24" t="s">
        <v>41745</v>
      </c>
      <c r="C13210" s="24" t="s">
        <v>41746</v>
      </c>
      <c r="D13210" s="25" t="s">
        <v>41747</v>
      </c>
      <c r="E13210" s="28">
        <v>1.00000</v>
      </c>
      <c r="F13210" s="29">
        <f ca="1">ROUND(21.000,3)</f>
        <v>0</v>
      </c>
      <c r="G13210" s="27">
        <f ca="1">ROUND(E13210*F13210,2)</f>
        <v>0</v>
      </c>
    </row>
    <row r="13211" spans="1:7" ht="24.36" thickBot="1" customHeight="1">
      <c r="A13211" s="24" t="s">
        <v>41748</v>
      </c>
      <c r="B13211" s="24" t="s">
        <v>41749</v>
      </c>
      <c r="C13211" s="24" t="s">
        <v>41750</v>
      </c>
      <c r="D13211" s="25" t="s">
        <v>41751</v>
      </c>
      <c r="E13211" s="28">
        <v>1.00000</v>
      </c>
      <c r="F13211" s="29">
        <f ca="1">ROUND(19.000,3)</f>
        <v>0</v>
      </c>
      <c r="G13211" s="27">
        <f ca="1">ROUND(E13211*F13211,2)</f>
        <v>0</v>
      </c>
    </row>
    <row r="13212" spans="1:7" ht="24.36" thickBot="1" customHeight="1">
      <c r="A13212" s="24" t="s">
        <v>41752</v>
      </c>
      <c r="B13212" s="24" t="s">
        <v>41753</v>
      </c>
      <c r="C13212" s="24" t="s">
        <v>41754</v>
      </c>
      <c r="D13212" s="25" t="s">
        <v>41755</v>
      </c>
      <c r="E13212" s="28">
        <v>0.20000</v>
      </c>
      <c r="F13212" s="29">
        <f ca="1">ROUND(19.000,3)</f>
        <v>0</v>
      </c>
      <c r="G13212" s="27">
        <f ca="1">ROUND(E13212*F13212,2)</f>
        <v>0</v>
      </c>
    </row>
    <row r="13213" spans="1:7" ht="15.12" thickBot="1" customHeight="1">
      <c r="A13213" s="26"/>
      <c r="B13213" s="26"/>
      <c r="C13213" s="26"/>
      <c r="D13213" s="24" t="s">
        <v>41756</v>
      </c>
      <c r="E13213" s="28">
        <v>0.75000</v>
      </c>
      <c r="F13213" s="29">
        <f ca="1">ROUND((G13210+G13211+G13212),3)</f>
        <v>0</v>
      </c>
      <c r="G13213" s="27">
        <f ca="1">ROUND(E13213*F13213,2)</f>
        <v>0</v>
      </c>
    </row>
    <row r="13214" spans="1:7" ht="15.12" thickBot="1" customHeight="1">
      <c r="A13214" s="24" t="s">
        <v>41757</v>
      </c>
      <c r="B13214" s="24"/>
      <c r="C13214" s="24" t="s">
        <v>41758</v>
      </c>
      <c r="D13214" s="25" t="s">
        <v>41759</v>
      </c>
      <c r="E13214" s="28">
        <v>5.00000</v>
      </c>
      <c r="F13214" s="29">
        <f ca="1">ROUND(32.850,3)</f>
        <v>0</v>
      </c>
      <c r="G13214" s="27">
        <f ca="1">ROUND((E13214*F13214)/100,2)</f>
        <v>0</v>
      </c>
    </row>
    <row r="13215" spans="1:7" ht="15.48" thickBot="1" customHeight="1">
      <c r="A13215" s="30"/>
      <c r="B13215" s="30"/>
      <c r="C13215" s="30"/>
      <c r="D13215" s="31" t="s">
        <v>41760</v>
      </c>
      <c r="E13215" s="30"/>
      <c r="F13215" s="33">
        <f ca="1">ROUND((G13207+G13208+G13209+G13214)*(1+G2/100),2)</f>
        <v>0</v>
      </c>
      <c r="G13215" s="30"/>
    </row>
    <row r="13216" spans="1:7" ht="15.48" thickBot="1" customHeight="1">
      <c r="A13216" s="39"/>
      <c r="B13216" s="39"/>
      <c r="C13216" s="39"/>
      <c r="D13216" s="50" t="s">
        <v>41761</v>
      </c>
      <c r="E13216" s="51"/>
      <c r="F13216" s="51"/>
      <c r="G13216" s="51"/>
    </row>
    <row r="13217" spans="1:7" ht="15.48" thickBot="1" customHeight="1">
      <c r="A13217" s="52" t="s">
        <v>41762</v>
      </c>
      <c r="B13217" s="52" t="s">
        <v>41763</v>
      </c>
      <c r="C13217" s="53"/>
      <c r="D13217" s="54" t="s">
        <v>41764</v>
      </c>
      <c r="E13217" s="53"/>
      <c r="F13217" s="53"/>
      <c r="G13217" s="53"/>
    </row>
    <row r="13218" spans="1:7" ht="21.36" thickBot="1" customHeight="1">
      <c r="A13218" s="10" t="s">
        <v>41765</v>
      </c>
      <c r="B13218" s="24" t="s">
        <v>41766</v>
      </c>
      <c r="C13218" s="24" t="s">
        <v>41767</v>
      </c>
      <c r="D13218" s="25" t="s">
        <v>41768</v>
      </c>
      <c r="E13218" s="26"/>
      <c r="F13218" s="27">
        <f ca="1">F13230</f>
        <v>0</v>
      </c>
      <c r="G13218" s="26"/>
    </row>
    <row r="13219" spans="1:7" ht="30.60" thickBot="1" customHeight="1">
      <c r="A13219" s="26"/>
      <c r="B13219" s="26"/>
      <c r="C13219" s="26"/>
      <c r="D13219" s="25" t="s">
        <v>41769</v>
      </c>
      <c r="E13219" s="25"/>
      <c r="F13219" s="25"/>
      <c r="G13219" s="25"/>
    </row>
    <row r="13220" spans="1:7" ht="30.60" thickBot="1" customHeight="1">
      <c r="A13220" s="24" t="s">
        <v>41770</v>
      </c>
      <c r="B13220" s="24" t="s">
        <v>41771</v>
      </c>
      <c r="C13220" s="24" t="s">
        <v>41772</v>
      </c>
      <c r="D13220" s="25" t="s">
        <v>41773</v>
      </c>
      <c r="E13220" s="28">
        <v>1.20000</v>
      </c>
      <c r="F13220" s="29">
        <f ca="1">ROUND(3.850,3)</f>
        <v>0</v>
      </c>
      <c r="G13220" s="27">
        <f ca="1">ROUND(E13220*F13220,2)</f>
        <v>0</v>
      </c>
    </row>
    <row r="13221" spans="1:7" ht="30.60" thickBot="1" customHeight="1">
      <c r="A13221" s="24" t="s">
        <v>41774</v>
      </c>
      <c r="B13221" s="24" t="s">
        <v>41775</v>
      </c>
      <c r="C13221" s="24" t="s">
        <v>41776</v>
      </c>
      <c r="D13221" s="25" t="s">
        <v>41777</v>
      </c>
      <c r="E13221" s="28">
        <v>0.02520</v>
      </c>
      <c r="F13221" s="29">
        <f ca="1">ROUND(27.500,3)</f>
        <v>0</v>
      </c>
      <c r="G13221" s="27">
        <f ca="1">ROUND(E13221*F13221,2)</f>
        <v>0</v>
      </c>
    </row>
    <row r="13222" spans="1:7" ht="21.36" thickBot="1" customHeight="1">
      <c r="A13222" s="24" t="s">
        <v>41778</v>
      </c>
      <c r="B13222" s="24" t="s">
        <v>41779</v>
      </c>
      <c r="C13222" s="24" t="s">
        <v>41780</v>
      </c>
      <c r="D13222" s="25" t="s">
        <v>41781</v>
      </c>
      <c r="E13222" s="28">
        <v>0.37500</v>
      </c>
      <c r="F13222" s="29">
        <f ca="1">ROUND(1.050,3)</f>
        <v>0</v>
      </c>
      <c r="G13222" s="27">
        <f ca="1">ROUND(E13222*F13222,2)</f>
        <v>0</v>
      </c>
    </row>
    <row r="13223" spans="1:7" ht="39.84" thickBot="1" customHeight="1">
      <c r="A13223" s="24" t="s">
        <v>41782</v>
      </c>
      <c r="B13223" s="24" t="s">
        <v>41783</v>
      </c>
      <c r="C13223" s="24" t="s">
        <v>41784</v>
      </c>
      <c r="D13223" s="25" t="s">
        <v>41785</v>
      </c>
      <c r="E13223" s="28">
        <v>0.15000</v>
      </c>
      <c r="F13223" s="29">
        <f ca="1">ROUND(4.050,3)</f>
        <v>0</v>
      </c>
      <c r="G13223" s="27">
        <f ca="1">ROUND(E13223*F13223,2)</f>
        <v>0</v>
      </c>
    </row>
    <row r="13224" spans="1:7" ht="21.36" thickBot="1" customHeight="1">
      <c r="A13224" s="24" t="s">
        <v>41786</v>
      </c>
      <c r="B13224" s="24" t="s">
        <v>41787</v>
      </c>
      <c r="C13224" s="24" t="s">
        <v>41788</v>
      </c>
      <c r="D13224" s="25" t="s">
        <v>41789</v>
      </c>
      <c r="E13224" s="28">
        <v>0.51100</v>
      </c>
      <c r="F13224" s="29">
        <f ca="1">F13228</f>
        <v>0</v>
      </c>
      <c r="G13224" s="27">
        <f ca="1">ROUND(E13224*F13224,2)</f>
        <v>0</v>
      </c>
    </row>
    <row r="13225" spans="1:7" ht="24.36" thickBot="1" customHeight="1">
      <c r="A13225" s="24" t="s">
        <v>41790</v>
      </c>
      <c r="B13225" s="24" t="s">
        <v>41791</v>
      </c>
      <c r="C13225" s="24" t="s">
        <v>41792</v>
      </c>
      <c r="D13225" s="25" t="s">
        <v>41793</v>
      </c>
      <c r="E13225" s="28">
        <v>1.00000</v>
      </c>
      <c r="F13225" s="29">
        <f ca="1">ROUND(21.000,3)</f>
        <v>0</v>
      </c>
      <c r="G13225" s="27">
        <f ca="1">ROUND(E13225*F13225,2)</f>
        <v>0</v>
      </c>
    </row>
    <row r="13226" spans="1:7" ht="24.36" thickBot="1" customHeight="1">
      <c r="A13226" s="24" t="s">
        <v>41794</v>
      </c>
      <c r="B13226" s="24" t="s">
        <v>41795</v>
      </c>
      <c r="C13226" s="24" t="s">
        <v>41796</v>
      </c>
      <c r="D13226" s="25" t="s">
        <v>41797</v>
      </c>
      <c r="E13226" s="28">
        <v>1.00000</v>
      </c>
      <c r="F13226" s="29">
        <f ca="1">ROUND(19.000,3)</f>
        <v>0</v>
      </c>
      <c r="G13226" s="27">
        <f ca="1">ROUND(E13226*F13226,2)</f>
        <v>0</v>
      </c>
    </row>
    <row r="13227" spans="1:7" ht="24.36" thickBot="1" customHeight="1">
      <c r="A13227" s="24" t="s">
        <v>41798</v>
      </c>
      <c r="B13227" s="24" t="s">
        <v>41799</v>
      </c>
      <c r="C13227" s="24" t="s">
        <v>41800</v>
      </c>
      <c r="D13227" s="25" t="s">
        <v>41801</v>
      </c>
      <c r="E13227" s="28">
        <v>0.20000</v>
      </c>
      <c r="F13227" s="29">
        <f ca="1">ROUND(19.000,3)</f>
        <v>0</v>
      </c>
      <c r="G13227" s="27">
        <f ca="1">ROUND(E13227*F13227,2)</f>
        <v>0</v>
      </c>
    </row>
    <row r="13228" spans="1:7" ht="15.12" thickBot="1" customHeight="1">
      <c r="A13228" s="26"/>
      <c r="B13228" s="26"/>
      <c r="C13228" s="26"/>
      <c r="D13228" s="24" t="s">
        <v>41802</v>
      </c>
      <c r="E13228" s="28">
        <v>0.51100</v>
      </c>
      <c r="F13228" s="29">
        <f ca="1">ROUND((G13225+G13226+G13227),3)</f>
        <v>0</v>
      </c>
      <c r="G13228" s="27">
        <f ca="1">ROUND(E13228*F13228,2)</f>
        <v>0</v>
      </c>
    </row>
    <row r="13229" spans="1:7" ht="15.12" thickBot="1" customHeight="1">
      <c r="A13229" s="24" t="s">
        <v>41803</v>
      </c>
      <c r="B13229" s="24"/>
      <c r="C13229" s="24" t="s">
        <v>41804</v>
      </c>
      <c r="D13229" s="25" t="s">
        <v>41805</v>
      </c>
      <c r="E13229" s="28">
        <v>3.00000</v>
      </c>
      <c r="F13229" s="29">
        <f ca="1">ROUND(22.380,3)</f>
        <v>0</v>
      </c>
      <c r="G13229" s="27">
        <f ca="1">ROUND((E13229*F13229)/100,2)</f>
        <v>0</v>
      </c>
    </row>
    <row r="13230" spans="1:7" ht="15.48" thickBot="1" customHeight="1">
      <c r="A13230" s="30"/>
      <c r="B13230" s="30"/>
      <c r="C13230" s="30"/>
      <c r="D13230" s="31" t="s">
        <v>41806</v>
      </c>
      <c r="E13230" s="30"/>
      <c r="F13230" s="33">
        <f ca="1">ROUND((G13220+G13221+G13222+G13223+G13224+G13229)*(1+G2/100),2)</f>
        <v>0</v>
      </c>
      <c r="G13230" s="30"/>
    </row>
    <row r="13231" spans="1:7" ht="30.60" thickBot="1" customHeight="1">
      <c r="A13231" s="34" t="s">
        <v>41807</v>
      </c>
      <c r="B13231" s="35" t="s">
        <v>41808</v>
      </c>
      <c r="C13231" s="35" t="s">
        <v>41809</v>
      </c>
      <c r="D13231" s="36" t="s">
        <v>41810</v>
      </c>
      <c r="E13231" s="37"/>
      <c r="F13231" s="38">
        <f ca="1">F13243</f>
        <v>0</v>
      </c>
      <c r="G13231" s="37"/>
    </row>
    <row r="13232" spans="1:7" ht="21.36" thickBot="1" customHeight="1">
      <c r="A13232" s="26"/>
      <c r="B13232" s="26"/>
      <c r="C13232" s="26"/>
      <c r="D13232" s="25" t="s">
        <v>41811</v>
      </c>
      <c r="E13232" s="25"/>
      <c r="F13232" s="25"/>
      <c r="G13232" s="25"/>
    </row>
    <row r="13233" spans="1:7" ht="30.60" thickBot="1" customHeight="1">
      <c r="A13233" s="24" t="s">
        <v>41812</v>
      </c>
      <c r="B13233" s="24" t="s">
        <v>41813</v>
      </c>
      <c r="C13233" s="24" t="s">
        <v>41814</v>
      </c>
      <c r="D13233" s="25" t="s">
        <v>41815</v>
      </c>
      <c r="E13233" s="28">
        <v>1.20000</v>
      </c>
      <c r="F13233" s="29">
        <f ca="1">ROUND(3.850,3)</f>
        <v>0</v>
      </c>
      <c r="G13233" s="27">
        <f ca="1">ROUND(E13233*F13233,2)</f>
        <v>0</v>
      </c>
    </row>
    <row r="13234" spans="1:7" ht="30.60" thickBot="1" customHeight="1">
      <c r="A13234" s="24" t="s">
        <v>41816</v>
      </c>
      <c r="B13234" s="24" t="s">
        <v>41817</v>
      </c>
      <c r="C13234" s="24" t="s">
        <v>41818</v>
      </c>
      <c r="D13234" s="25" t="s">
        <v>41819</v>
      </c>
      <c r="E13234" s="28">
        <v>0.02200</v>
      </c>
      <c r="F13234" s="29">
        <f ca="1">ROUND(27.500,3)</f>
        <v>0</v>
      </c>
      <c r="G13234" s="27">
        <f ca="1">ROUND(E13234*F13234,2)</f>
        <v>0</v>
      </c>
    </row>
    <row r="13235" spans="1:7" ht="21.36" thickBot="1" customHeight="1">
      <c r="A13235" s="24" t="s">
        <v>41820</v>
      </c>
      <c r="B13235" s="24" t="s">
        <v>41821</v>
      </c>
      <c r="C13235" s="24" t="s">
        <v>41822</v>
      </c>
      <c r="D13235" s="25" t="s">
        <v>41823</v>
      </c>
      <c r="E13235" s="28">
        <v>0.37500</v>
      </c>
      <c r="F13235" s="29">
        <f ca="1">ROUND(1.050,3)</f>
        <v>0</v>
      </c>
      <c r="G13235" s="27">
        <f ca="1">ROUND(E13235*F13235,2)</f>
        <v>0</v>
      </c>
    </row>
    <row r="13236" spans="1:7" ht="39.84" thickBot="1" customHeight="1">
      <c r="A13236" s="24" t="s">
        <v>41824</v>
      </c>
      <c r="B13236" s="24" t="s">
        <v>41825</v>
      </c>
      <c r="C13236" s="24" t="s">
        <v>41826</v>
      </c>
      <c r="D13236" s="25" t="s">
        <v>41827</v>
      </c>
      <c r="E13236" s="28">
        <v>0.15000</v>
      </c>
      <c r="F13236" s="29">
        <f ca="1">ROUND(4.050,3)</f>
        <v>0</v>
      </c>
      <c r="G13236" s="27">
        <f ca="1">ROUND(E13236*F13236,2)</f>
        <v>0</v>
      </c>
    </row>
    <row r="13237" spans="1:7" ht="24.36" thickBot="1" customHeight="1">
      <c r="A13237" s="24" t="s">
        <v>41828</v>
      </c>
      <c r="B13237" s="24" t="s">
        <v>41829</v>
      </c>
      <c r="C13237" s="24" t="s">
        <v>41830</v>
      </c>
      <c r="D13237" s="25" t="s">
        <v>41831</v>
      </c>
      <c r="E13237" s="28">
        <v>0.76650</v>
      </c>
      <c r="F13237" s="29">
        <f ca="1">F13241</f>
        <v>0</v>
      </c>
      <c r="G13237" s="27">
        <f ca="1">ROUND(E13237*F13237,2)</f>
        <v>0</v>
      </c>
    </row>
    <row r="13238" spans="1:7" ht="24.36" thickBot="1" customHeight="1">
      <c r="A13238" s="24" t="s">
        <v>41832</v>
      </c>
      <c r="B13238" s="24" t="s">
        <v>41833</v>
      </c>
      <c r="C13238" s="24" t="s">
        <v>41834</v>
      </c>
      <c r="D13238" s="25" t="s">
        <v>41835</v>
      </c>
      <c r="E13238" s="28">
        <v>1.00000</v>
      </c>
      <c r="F13238" s="29">
        <f ca="1">ROUND(21.000,3)</f>
        <v>0</v>
      </c>
      <c r="G13238" s="27">
        <f ca="1">ROUND(E13238*F13238,2)</f>
        <v>0</v>
      </c>
    </row>
    <row r="13239" spans="1:7" ht="24.36" thickBot="1" customHeight="1">
      <c r="A13239" s="24" t="s">
        <v>41836</v>
      </c>
      <c r="B13239" s="24" t="s">
        <v>41837</v>
      </c>
      <c r="C13239" s="24" t="s">
        <v>41838</v>
      </c>
      <c r="D13239" s="25" t="s">
        <v>41839</v>
      </c>
      <c r="E13239" s="28">
        <v>1.00000</v>
      </c>
      <c r="F13239" s="29">
        <f ca="1">ROUND(19.000,3)</f>
        <v>0</v>
      </c>
      <c r="G13239" s="27">
        <f ca="1">ROUND(E13239*F13239,2)</f>
        <v>0</v>
      </c>
    </row>
    <row r="13240" spans="1:7" ht="24.36" thickBot="1" customHeight="1">
      <c r="A13240" s="24" t="s">
        <v>41840</v>
      </c>
      <c r="B13240" s="24" t="s">
        <v>41841</v>
      </c>
      <c r="C13240" s="24" t="s">
        <v>41842</v>
      </c>
      <c r="D13240" s="25" t="s">
        <v>41843</v>
      </c>
      <c r="E13240" s="28">
        <v>0.50000</v>
      </c>
      <c r="F13240" s="29">
        <f ca="1">ROUND(19.000,3)</f>
        <v>0</v>
      </c>
      <c r="G13240" s="27">
        <f ca="1">ROUND(E13240*F13240,2)</f>
        <v>0</v>
      </c>
    </row>
    <row r="13241" spans="1:7" ht="15.12" thickBot="1" customHeight="1">
      <c r="A13241" s="26"/>
      <c r="B13241" s="26"/>
      <c r="C13241" s="26"/>
      <c r="D13241" s="24" t="s">
        <v>41844</v>
      </c>
      <c r="E13241" s="28">
        <v>0.76650</v>
      </c>
      <c r="F13241" s="29">
        <f ca="1">ROUND((G13238+G13239+G13240),3)</f>
        <v>0</v>
      </c>
      <c r="G13241" s="27">
        <f ca="1">ROUND(E13241*F13241,2)</f>
        <v>0</v>
      </c>
    </row>
    <row r="13242" spans="1:7" ht="15.12" thickBot="1" customHeight="1">
      <c r="A13242" s="24" t="s">
        <v>41845</v>
      </c>
      <c r="B13242" s="24"/>
      <c r="C13242" s="24" t="s">
        <v>41846</v>
      </c>
      <c r="D13242" s="25" t="s">
        <v>41847</v>
      </c>
      <c r="E13242" s="28">
        <v>3.00000</v>
      </c>
      <c r="F13242" s="29">
        <f ca="1">ROUND(37.940,3)</f>
        <v>0</v>
      </c>
      <c r="G13242" s="27">
        <f ca="1">ROUND((E13242*F13242)/100,2)</f>
        <v>0</v>
      </c>
    </row>
    <row r="13243" spans="1:7" ht="15.48" thickBot="1" customHeight="1">
      <c r="A13243" s="30"/>
      <c r="B13243" s="30"/>
      <c r="C13243" s="30"/>
      <c r="D13243" s="31" t="s">
        <v>41848</v>
      </c>
      <c r="E13243" s="30"/>
      <c r="F13243" s="33">
        <f ca="1">ROUND((G13233+G13234+G13235+G13236+G13237+G13242)*(1+G2/100),2)</f>
        <v>0</v>
      </c>
      <c r="G13243" s="30"/>
    </row>
    <row r="13244" spans="1:7" ht="21.36" thickBot="1" customHeight="1">
      <c r="A13244" s="34" t="s">
        <v>41849</v>
      </c>
      <c r="B13244" s="35" t="s">
        <v>41850</v>
      </c>
      <c r="C13244" s="35" t="s">
        <v>41851</v>
      </c>
      <c r="D13244" s="36" t="s">
        <v>41852</v>
      </c>
      <c r="E13244" s="37"/>
      <c r="F13244" s="38">
        <f ca="1">F13256</f>
        <v>0</v>
      </c>
      <c r="G13244" s="37"/>
    </row>
    <row r="13245" spans="1:7" ht="30.60" thickBot="1" customHeight="1">
      <c r="A13245" s="26"/>
      <c r="B13245" s="26"/>
      <c r="C13245" s="26"/>
      <c r="D13245" s="25" t="s">
        <v>41853</v>
      </c>
      <c r="E13245" s="25"/>
      <c r="F13245" s="25"/>
      <c r="G13245" s="25"/>
    </row>
    <row r="13246" spans="1:7" ht="30.60" thickBot="1" customHeight="1">
      <c r="A13246" s="24" t="s">
        <v>41854</v>
      </c>
      <c r="B13246" s="24" t="s">
        <v>41855</v>
      </c>
      <c r="C13246" s="24" t="s">
        <v>41856</v>
      </c>
      <c r="D13246" s="25" t="s">
        <v>41857</v>
      </c>
      <c r="E13246" s="28">
        <v>0.55000</v>
      </c>
      <c r="F13246" s="29">
        <f ca="1">ROUND(3.850,3)</f>
        <v>0</v>
      </c>
      <c r="G13246" s="27">
        <f ca="1">ROUND(E13246*F13246,2)</f>
        <v>0</v>
      </c>
    </row>
    <row r="13247" spans="1:7" ht="30.60" thickBot="1" customHeight="1">
      <c r="A13247" s="24" t="s">
        <v>41858</v>
      </c>
      <c r="B13247" s="24" t="s">
        <v>41859</v>
      </c>
      <c r="C13247" s="24" t="s">
        <v>41860</v>
      </c>
      <c r="D13247" s="25" t="s">
        <v>41861</v>
      </c>
      <c r="E13247" s="28">
        <v>0.02200</v>
      </c>
      <c r="F13247" s="29">
        <f ca="1">ROUND(27.500,3)</f>
        <v>0</v>
      </c>
      <c r="G13247" s="27">
        <f ca="1">ROUND(E13247*F13247,2)</f>
        <v>0</v>
      </c>
    </row>
    <row r="13248" spans="1:7" ht="21.36" thickBot="1" customHeight="1">
      <c r="A13248" s="24" t="s">
        <v>41862</v>
      </c>
      <c r="B13248" s="24" t="s">
        <v>41863</v>
      </c>
      <c r="C13248" s="24" t="s">
        <v>41864</v>
      </c>
      <c r="D13248" s="25" t="s">
        <v>41865</v>
      </c>
      <c r="E13248" s="28">
        <v>0.37500</v>
      </c>
      <c r="F13248" s="29">
        <f ca="1">ROUND(1.050,3)</f>
        <v>0</v>
      </c>
      <c r="G13248" s="27">
        <f ca="1">ROUND(E13248*F13248,2)</f>
        <v>0</v>
      </c>
    </row>
    <row r="13249" spans="1:7" ht="39.84" thickBot="1" customHeight="1">
      <c r="A13249" s="24" t="s">
        <v>41866</v>
      </c>
      <c r="B13249" s="24" t="s">
        <v>41867</v>
      </c>
      <c r="C13249" s="24" t="s">
        <v>41868</v>
      </c>
      <c r="D13249" s="25" t="s">
        <v>41869</v>
      </c>
      <c r="E13249" s="28">
        <v>0.15000</v>
      </c>
      <c r="F13249" s="29">
        <f ca="1">ROUND(4.050,3)</f>
        <v>0</v>
      </c>
      <c r="G13249" s="27">
        <f ca="1">ROUND(E13249*F13249,2)</f>
        <v>0</v>
      </c>
    </row>
    <row r="13250" spans="1:7" ht="21.36" thickBot="1" customHeight="1">
      <c r="A13250" s="24" t="s">
        <v>41870</v>
      </c>
      <c r="B13250" s="24" t="s">
        <v>41871</v>
      </c>
      <c r="C13250" s="24" t="s">
        <v>41872</v>
      </c>
      <c r="D13250" s="25" t="s">
        <v>41873</v>
      </c>
      <c r="E13250" s="28">
        <v>0.25000</v>
      </c>
      <c r="F13250" s="29">
        <f ca="1">F13254</f>
        <v>0</v>
      </c>
      <c r="G13250" s="27">
        <f ca="1">ROUND(E13250*F13250,2)</f>
        <v>0</v>
      </c>
    </row>
    <row r="13251" spans="1:7" ht="24.36" thickBot="1" customHeight="1">
      <c r="A13251" s="24" t="s">
        <v>41874</v>
      </c>
      <c r="B13251" s="24" t="s">
        <v>41875</v>
      </c>
      <c r="C13251" s="24" t="s">
        <v>41876</v>
      </c>
      <c r="D13251" s="25" t="s">
        <v>41877</v>
      </c>
      <c r="E13251" s="28">
        <v>1.00000</v>
      </c>
      <c r="F13251" s="29">
        <f ca="1">ROUND(21.000,3)</f>
        <v>0</v>
      </c>
      <c r="G13251" s="27">
        <f ca="1">ROUND(E13251*F13251,2)</f>
        <v>0</v>
      </c>
    </row>
    <row r="13252" spans="1:7" ht="24.36" thickBot="1" customHeight="1">
      <c r="A13252" s="24" t="s">
        <v>41878</v>
      </c>
      <c r="B13252" s="24" t="s">
        <v>41879</v>
      </c>
      <c r="C13252" s="24" t="s">
        <v>41880</v>
      </c>
      <c r="D13252" s="25" t="s">
        <v>41881</v>
      </c>
      <c r="E13252" s="28">
        <v>1.00000</v>
      </c>
      <c r="F13252" s="29">
        <f ca="1">ROUND(19.000,3)</f>
        <v>0</v>
      </c>
      <c r="G13252" s="27">
        <f ca="1">ROUND(E13252*F13252,2)</f>
        <v>0</v>
      </c>
    </row>
    <row r="13253" spans="1:7" ht="24.36" thickBot="1" customHeight="1">
      <c r="A13253" s="24" t="s">
        <v>41882</v>
      </c>
      <c r="B13253" s="24" t="s">
        <v>41883</v>
      </c>
      <c r="C13253" s="24" t="s">
        <v>41884</v>
      </c>
      <c r="D13253" s="25" t="s">
        <v>41885</v>
      </c>
      <c r="E13253" s="28">
        <v>0.20000</v>
      </c>
      <c r="F13253" s="29">
        <f ca="1">ROUND(19.000,3)</f>
        <v>0</v>
      </c>
      <c r="G13253" s="27">
        <f ca="1">ROUND(E13253*F13253,2)</f>
        <v>0</v>
      </c>
    </row>
    <row r="13254" spans="1:7" ht="15.12" thickBot="1" customHeight="1">
      <c r="A13254" s="26"/>
      <c r="B13254" s="26"/>
      <c r="C13254" s="26"/>
      <c r="D13254" s="24" t="s">
        <v>41886</v>
      </c>
      <c r="E13254" s="28">
        <v>0.25000</v>
      </c>
      <c r="F13254" s="29">
        <f ca="1">ROUND((G13251+G13252+G13253),3)</f>
        <v>0</v>
      </c>
      <c r="G13254" s="27">
        <f ca="1">ROUND(E13254*F13254,2)</f>
        <v>0</v>
      </c>
    </row>
    <row r="13255" spans="1:7" ht="15.12" thickBot="1" customHeight="1">
      <c r="A13255" s="24" t="s">
        <v>41887</v>
      </c>
      <c r="B13255" s="24"/>
      <c r="C13255" s="24" t="s">
        <v>41888</v>
      </c>
      <c r="D13255" s="25" t="s">
        <v>41889</v>
      </c>
      <c r="E13255" s="28">
        <v>3.00000</v>
      </c>
      <c r="F13255" s="29">
        <f ca="1">ROUND(10.950,3)</f>
        <v>0</v>
      </c>
      <c r="G13255" s="27">
        <f ca="1">ROUND((E13255*F13255)/100,2)</f>
        <v>0</v>
      </c>
    </row>
    <row r="13256" spans="1:7" ht="15.48" thickBot="1" customHeight="1">
      <c r="A13256" s="30"/>
      <c r="B13256" s="30"/>
      <c r="C13256" s="30"/>
      <c r="D13256" s="31" t="s">
        <v>41890</v>
      </c>
      <c r="E13256" s="30"/>
      <c r="F13256" s="33">
        <f ca="1">ROUND((G13246+G13247+G13248+G13249+G13250+G13255)*(1+G2/100),2)</f>
        <v>0</v>
      </c>
      <c r="G13256" s="30"/>
    </row>
    <row r="13257" spans="1:7" ht="30.60" thickBot="1" customHeight="1">
      <c r="A13257" s="34" t="s">
        <v>41891</v>
      </c>
      <c r="B13257" s="35" t="s">
        <v>41892</v>
      </c>
      <c r="C13257" s="35" t="s">
        <v>41893</v>
      </c>
      <c r="D13257" s="36" t="s">
        <v>41894</v>
      </c>
      <c r="E13257" s="37"/>
      <c r="F13257" s="38">
        <f ca="1">F13269</f>
        <v>0</v>
      </c>
      <c r="G13257" s="37"/>
    </row>
    <row r="13258" spans="1:7" ht="21.36" thickBot="1" customHeight="1">
      <c r="A13258" s="26"/>
      <c r="B13258" s="26"/>
      <c r="C13258" s="26"/>
      <c r="D13258" s="25" t="s">
        <v>41895</v>
      </c>
      <c r="E13258" s="25"/>
      <c r="F13258" s="25"/>
      <c r="G13258" s="25"/>
    </row>
    <row r="13259" spans="1:7" ht="30.60" thickBot="1" customHeight="1">
      <c r="A13259" s="24" t="s">
        <v>41896</v>
      </c>
      <c r="B13259" s="24" t="s">
        <v>41897</v>
      </c>
      <c r="C13259" s="24" t="s">
        <v>41898</v>
      </c>
      <c r="D13259" s="25" t="s">
        <v>41899</v>
      </c>
      <c r="E13259" s="28">
        <v>0.55000</v>
      </c>
      <c r="F13259" s="29">
        <f ca="1">ROUND(3.850,3)</f>
        <v>0</v>
      </c>
      <c r="G13259" s="27">
        <f ca="1">ROUND(E13259*F13259,2)</f>
        <v>0</v>
      </c>
    </row>
    <row r="13260" spans="1:7" ht="30.60" thickBot="1" customHeight="1">
      <c r="A13260" s="24" t="s">
        <v>41900</v>
      </c>
      <c r="B13260" s="24" t="s">
        <v>41901</v>
      </c>
      <c r="C13260" s="24" t="s">
        <v>41902</v>
      </c>
      <c r="D13260" s="25" t="s">
        <v>41903</v>
      </c>
      <c r="E13260" s="28">
        <v>0.02200</v>
      </c>
      <c r="F13260" s="29">
        <f ca="1">ROUND(27.500,3)</f>
        <v>0</v>
      </c>
      <c r="G13260" s="27">
        <f ca="1">ROUND(E13260*F13260,2)</f>
        <v>0</v>
      </c>
    </row>
    <row r="13261" spans="1:7" ht="21.36" thickBot="1" customHeight="1">
      <c r="A13261" s="24" t="s">
        <v>41904</v>
      </c>
      <c r="B13261" s="24" t="s">
        <v>41905</v>
      </c>
      <c r="C13261" s="24" t="s">
        <v>41906</v>
      </c>
      <c r="D13261" s="25" t="s">
        <v>41907</v>
      </c>
      <c r="E13261" s="28">
        <v>0.37500</v>
      </c>
      <c r="F13261" s="29">
        <f ca="1">ROUND(1.050,3)</f>
        <v>0</v>
      </c>
      <c r="G13261" s="27">
        <f ca="1">ROUND(E13261*F13261,2)</f>
        <v>0</v>
      </c>
    </row>
    <row r="13262" spans="1:7" ht="39.84" thickBot="1" customHeight="1">
      <c r="A13262" s="24" t="s">
        <v>41908</v>
      </c>
      <c r="B13262" s="24" t="s">
        <v>41909</v>
      </c>
      <c r="C13262" s="24" t="s">
        <v>41910</v>
      </c>
      <c r="D13262" s="25" t="s">
        <v>41911</v>
      </c>
      <c r="E13262" s="28">
        <v>0.15000</v>
      </c>
      <c r="F13262" s="29">
        <f ca="1">ROUND(4.050,3)</f>
        <v>0</v>
      </c>
      <c r="G13262" s="27">
        <f ca="1">ROUND(E13262*F13262,2)</f>
        <v>0</v>
      </c>
    </row>
    <row r="13263" spans="1:7" ht="24.36" thickBot="1" customHeight="1">
      <c r="A13263" s="24" t="s">
        <v>41912</v>
      </c>
      <c r="B13263" s="24" t="s">
        <v>41913</v>
      </c>
      <c r="C13263" s="24" t="s">
        <v>41914</v>
      </c>
      <c r="D13263" s="25" t="s">
        <v>41915</v>
      </c>
      <c r="E13263" s="28">
        <v>0.43000</v>
      </c>
      <c r="F13263" s="29">
        <f ca="1">F13267</f>
        <v>0</v>
      </c>
      <c r="G13263" s="27">
        <f ca="1">ROUND(E13263*F13263,2)</f>
        <v>0</v>
      </c>
    </row>
    <row r="13264" spans="1:7" ht="24.36" thickBot="1" customHeight="1">
      <c r="A13264" s="24" t="s">
        <v>41916</v>
      </c>
      <c r="B13264" s="24" t="s">
        <v>41917</v>
      </c>
      <c r="C13264" s="24" t="s">
        <v>41918</v>
      </c>
      <c r="D13264" s="25" t="s">
        <v>41919</v>
      </c>
      <c r="E13264" s="28">
        <v>1.00000</v>
      </c>
      <c r="F13264" s="29">
        <f ca="1">ROUND(21.000,3)</f>
        <v>0</v>
      </c>
      <c r="G13264" s="27">
        <f ca="1">ROUND(E13264*F13264,2)</f>
        <v>0</v>
      </c>
    </row>
    <row r="13265" spans="1:7" ht="24.36" thickBot="1" customHeight="1">
      <c r="A13265" s="24" t="s">
        <v>41920</v>
      </c>
      <c r="B13265" s="24" t="s">
        <v>41921</v>
      </c>
      <c r="C13265" s="24" t="s">
        <v>41922</v>
      </c>
      <c r="D13265" s="25" t="s">
        <v>41923</v>
      </c>
      <c r="E13265" s="28">
        <v>1.00000</v>
      </c>
      <c r="F13265" s="29">
        <f ca="1">ROUND(19.000,3)</f>
        <v>0</v>
      </c>
      <c r="G13265" s="27">
        <f ca="1">ROUND(E13265*F13265,2)</f>
        <v>0</v>
      </c>
    </row>
    <row r="13266" spans="1:7" ht="24.36" thickBot="1" customHeight="1">
      <c r="A13266" s="24" t="s">
        <v>41924</v>
      </c>
      <c r="B13266" s="24" t="s">
        <v>41925</v>
      </c>
      <c r="C13266" s="24" t="s">
        <v>41926</v>
      </c>
      <c r="D13266" s="25" t="s">
        <v>41927</v>
      </c>
      <c r="E13266" s="28">
        <v>0.50000</v>
      </c>
      <c r="F13266" s="29">
        <f ca="1">ROUND(19.000,3)</f>
        <v>0</v>
      </c>
      <c r="G13266" s="27">
        <f ca="1">ROUND(E13266*F13266,2)</f>
        <v>0</v>
      </c>
    </row>
    <row r="13267" spans="1:7" ht="15.12" thickBot="1" customHeight="1">
      <c r="A13267" s="26"/>
      <c r="B13267" s="26"/>
      <c r="C13267" s="26"/>
      <c r="D13267" s="24" t="s">
        <v>41928</v>
      </c>
      <c r="E13267" s="28">
        <v>0.43000</v>
      </c>
      <c r="F13267" s="29">
        <f ca="1">ROUND((G13264+G13265+G13266),3)</f>
        <v>0</v>
      </c>
      <c r="G13267" s="27">
        <f ca="1">ROUND(E13267*F13267,2)</f>
        <v>0</v>
      </c>
    </row>
    <row r="13268" spans="1:7" ht="15.12" thickBot="1" customHeight="1">
      <c r="A13268" s="24" t="s">
        <v>41929</v>
      </c>
      <c r="B13268" s="24"/>
      <c r="C13268" s="24" t="s">
        <v>41930</v>
      </c>
      <c r="D13268" s="25" t="s">
        <v>41931</v>
      </c>
      <c r="E13268" s="28">
        <v>3.00000</v>
      </c>
      <c r="F13268" s="29">
        <f ca="1">ROUND(21.290,3)</f>
        <v>0</v>
      </c>
      <c r="G13268" s="27">
        <f ca="1">ROUND((E13268*F13268)/100,2)</f>
        <v>0</v>
      </c>
    </row>
    <row r="13269" spans="1:7" ht="15.48" thickBot="1" customHeight="1">
      <c r="A13269" s="30"/>
      <c r="B13269" s="30"/>
      <c r="C13269" s="30"/>
      <c r="D13269" s="31" t="s">
        <v>41932</v>
      </c>
      <c r="E13269" s="30"/>
      <c r="F13269" s="33">
        <f ca="1">ROUND((G13259+G13260+G13261+G13262+G13263+G13268)*(1+G2/100),2)</f>
        <v>0</v>
      </c>
      <c r="G13269" s="30"/>
    </row>
    <row r="13270" spans="1:7" ht="15.48" thickBot="1" customHeight="1">
      <c r="A13270" s="39"/>
      <c r="B13270" s="39"/>
      <c r="C13270" s="39"/>
      <c r="D13270" s="50" t="s">
        <v>41933</v>
      </c>
      <c r="E13270" s="51"/>
      <c r="F13270" s="51"/>
      <c r="G13270" s="51"/>
    </row>
    <row r="13271" spans="1:7" ht="15.48" thickBot="1" customHeight="1">
      <c r="A13271" s="52" t="s">
        <v>41934</v>
      </c>
      <c r="B13271" s="52" t="s">
        <v>41935</v>
      </c>
      <c r="C13271" s="53"/>
      <c r="D13271" s="54" t="s">
        <v>41936</v>
      </c>
      <c r="E13271" s="53"/>
      <c r="F13271" s="53"/>
      <c r="G13271" s="53"/>
    </row>
    <row r="13272" spans="1:7" ht="21.36" thickBot="1" customHeight="1">
      <c r="A13272" s="10" t="s">
        <v>41937</v>
      </c>
      <c r="B13272" s="24" t="s">
        <v>41938</v>
      </c>
      <c r="C13272" s="24" t="s">
        <v>41939</v>
      </c>
      <c r="D13272" s="25" t="s">
        <v>41940</v>
      </c>
      <c r="E13272" s="26"/>
      <c r="F13272" s="27">
        <f ca="1">F13284</f>
        <v>0</v>
      </c>
      <c r="G13272" s="26"/>
    </row>
    <row r="13273" spans="1:7" ht="58.32" thickBot="1" customHeight="1">
      <c r="A13273" s="26"/>
      <c r="B13273" s="26"/>
      <c r="C13273" s="26"/>
      <c r="D13273" s="25" t="s">
        <v>41941</v>
      </c>
      <c r="E13273" s="25"/>
      <c r="F13273" s="25"/>
      <c r="G13273" s="25"/>
    </row>
    <row r="13274" spans="1:7" ht="30.60" thickBot="1" customHeight="1">
      <c r="A13274" s="24" t="s">
        <v>41942</v>
      </c>
      <c r="B13274" s="24" t="s">
        <v>41943</v>
      </c>
      <c r="C13274" s="24" t="s">
        <v>41944</v>
      </c>
      <c r="D13274" s="25" t="s">
        <v>41945</v>
      </c>
      <c r="E13274" s="28">
        <v>1.25000</v>
      </c>
      <c r="F13274" s="29">
        <f ca="1">ROUND(5.210,3)</f>
        <v>0</v>
      </c>
      <c r="G13274" s="27">
        <f ca="1">ROUND(E13274*F13274,2)</f>
        <v>0</v>
      </c>
    </row>
    <row r="13275" spans="1:7" ht="30.60" thickBot="1" customHeight="1">
      <c r="A13275" s="24" t="s">
        <v>41946</v>
      </c>
      <c r="B13275" s="24" t="s">
        <v>41947</v>
      </c>
      <c r="C13275" s="24" t="s">
        <v>41948</v>
      </c>
      <c r="D13275" s="25" t="s">
        <v>41949</v>
      </c>
      <c r="E13275" s="28">
        <v>0.02200</v>
      </c>
      <c r="F13275" s="29">
        <f ca="1">ROUND(27.500,3)</f>
        <v>0</v>
      </c>
      <c r="G13275" s="27">
        <f ca="1">ROUND(E13275*F13275,2)</f>
        <v>0</v>
      </c>
    </row>
    <row r="13276" spans="1:7" ht="21.36" thickBot="1" customHeight="1">
      <c r="A13276" s="24" t="s">
        <v>41950</v>
      </c>
      <c r="B13276" s="24" t="s">
        <v>41951</v>
      </c>
      <c r="C13276" s="24" t="s">
        <v>41952</v>
      </c>
      <c r="D13276" s="25" t="s">
        <v>41953</v>
      </c>
      <c r="E13276" s="28">
        <v>0.37500</v>
      </c>
      <c r="F13276" s="29">
        <f ca="1">ROUND(1.050,3)</f>
        <v>0</v>
      </c>
      <c r="G13276" s="27">
        <f ca="1">ROUND(E13276*F13276,2)</f>
        <v>0</v>
      </c>
    </row>
    <row r="13277" spans="1:7" ht="39.84" thickBot="1" customHeight="1">
      <c r="A13277" s="24" t="s">
        <v>41954</v>
      </c>
      <c r="B13277" s="24" t="s">
        <v>41955</v>
      </c>
      <c r="C13277" s="24" t="s">
        <v>41956</v>
      </c>
      <c r="D13277" s="25" t="s">
        <v>41957</v>
      </c>
      <c r="E13277" s="28">
        <v>0.10000</v>
      </c>
      <c r="F13277" s="29">
        <f ca="1">ROUND(4.050,3)</f>
        <v>0</v>
      </c>
      <c r="G13277" s="27">
        <f ca="1">ROUND(E13277*F13277,2)</f>
        <v>0</v>
      </c>
    </row>
    <row r="13278" spans="1:7" ht="21.36" thickBot="1" customHeight="1">
      <c r="A13278" s="24" t="s">
        <v>41958</v>
      </c>
      <c r="B13278" s="24" t="s">
        <v>41959</v>
      </c>
      <c r="C13278" s="24" t="s">
        <v>41960</v>
      </c>
      <c r="D13278" s="25" t="s">
        <v>41961</v>
      </c>
      <c r="E13278" s="28">
        <v>0.50000</v>
      </c>
      <c r="F13278" s="29">
        <f ca="1">F13282</f>
        <v>0</v>
      </c>
      <c r="G13278" s="27">
        <f ca="1">ROUND(E13278*F13278,2)</f>
        <v>0</v>
      </c>
    </row>
    <row r="13279" spans="1:7" ht="24.36" thickBot="1" customHeight="1">
      <c r="A13279" s="24" t="s">
        <v>41962</v>
      </c>
      <c r="B13279" s="24" t="s">
        <v>41963</v>
      </c>
      <c r="C13279" s="24" t="s">
        <v>41964</v>
      </c>
      <c r="D13279" s="25" t="s">
        <v>41965</v>
      </c>
      <c r="E13279" s="28">
        <v>1.00000</v>
      </c>
      <c r="F13279" s="29">
        <f ca="1">ROUND(21.000,3)</f>
        <v>0</v>
      </c>
      <c r="G13279" s="27">
        <f ca="1">ROUND(E13279*F13279,2)</f>
        <v>0</v>
      </c>
    </row>
    <row r="13280" spans="1:7" ht="24.36" thickBot="1" customHeight="1">
      <c r="A13280" s="24" t="s">
        <v>41966</v>
      </c>
      <c r="B13280" s="24" t="s">
        <v>41967</v>
      </c>
      <c r="C13280" s="24" t="s">
        <v>41968</v>
      </c>
      <c r="D13280" s="25" t="s">
        <v>41969</v>
      </c>
      <c r="E13280" s="28">
        <v>1.00000</v>
      </c>
      <c r="F13280" s="29">
        <f ca="1">ROUND(19.000,3)</f>
        <v>0</v>
      </c>
      <c r="G13280" s="27">
        <f ca="1">ROUND(E13280*F13280,2)</f>
        <v>0</v>
      </c>
    </row>
    <row r="13281" spans="1:7" ht="24.36" thickBot="1" customHeight="1">
      <c r="A13281" s="24" t="s">
        <v>41970</v>
      </c>
      <c r="B13281" s="24" t="s">
        <v>41971</v>
      </c>
      <c r="C13281" s="24" t="s">
        <v>41972</v>
      </c>
      <c r="D13281" s="25" t="s">
        <v>41973</v>
      </c>
      <c r="E13281" s="28">
        <v>0.20000</v>
      </c>
      <c r="F13281" s="29">
        <f ca="1">ROUND(19.000,3)</f>
        <v>0</v>
      </c>
      <c r="G13281" s="27">
        <f ca="1">ROUND(E13281*F13281,2)</f>
        <v>0</v>
      </c>
    </row>
    <row r="13282" spans="1:7" ht="15.12" thickBot="1" customHeight="1">
      <c r="A13282" s="26"/>
      <c r="B13282" s="26"/>
      <c r="C13282" s="26"/>
      <c r="D13282" s="24" t="s">
        <v>41974</v>
      </c>
      <c r="E13282" s="28">
        <v>0.50000</v>
      </c>
      <c r="F13282" s="29">
        <f ca="1">ROUND((G13279+G13280+G13281),3)</f>
        <v>0</v>
      </c>
      <c r="G13282" s="27">
        <f ca="1">ROUND(E13282*F13282,2)</f>
        <v>0</v>
      </c>
    </row>
    <row r="13283" spans="1:7" ht="15.12" thickBot="1" customHeight="1">
      <c r="A13283" s="24" t="s">
        <v>41975</v>
      </c>
      <c r="B13283" s="24"/>
      <c r="C13283" s="24" t="s">
        <v>41976</v>
      </c>
      <c r="D13283" s="25" t="s">
        <v>41977</v>
      </c>
      <c r="E13283" s="28">
        <v>3.00000</v>
      </c>
      <c r="F13283" s="29">
        <f ca="1">ROUND(21.900,3)</f>
        <v>0</v>
      </c>
      <c r="G13283" s="27">
        <f ca="1">ROUND((E13283*F13283)/100,2)</f>
        <v>0</v>
      </c>
    </row>
    <row r="13284" spans="1:7" ht="15.48" thickBot="1" customHeight="1">
      <c r="A13284" s="30"/>
      <c r="B13284" s="30"/>
      <c r="C13284" s="30"/>
      <c r="D13284" s="31" t="s">
        <v>41978</v>
      </c>
      <c r="E13284" s="30"/>
      <c r="F13284" s="33">
        <f ca="1">ROUND((G13274+G13275+G13276+G13277+G13278+G13283)*(1+G2/100),2)</f>
        <v>0</v>
      </c>
      <c r="G13284" s="30"/>
    </row>
    <row r="13285" spans="1:7" ht="30.60" thickBot="1" customHeight="1">
      <c r="A13285" s="34" t="s">
        <v>41979</v>
      </c>
      <c r="B13285" s="35" t="s">
        <v>41980</v>
      </c>
      <c r="C13285" s="35" t="s">
        <v>41981</v>
      </c>
      <c r="D13285" s="36" t="s">
        <v>41982</v>
      </c>
      <c r="E13285" s="37"/>
      <c r="F13285" s="38">
        <f ca="1">F13297</f>
        <v>0</v>
      </c>
      <c r="G13285" s="37"/>
    </row>
    <row r="13286" spans="1:7" ht="58.32" thickBot="1" customHeight="1">
      <c r="A13286" s="26"/>
      <c r="B13286" s="26"/>
      <c r="C13286" s="26"/>
      <c r="D13286" s="25" t="s">
        <v>41983</v>
      </c>
      <c r="E13286" s="25"/>
      <c r="F13286" s="25"/>
      <c r="G13286" s="25"/>
    </row>
    <row r="13287" spans="1:7" ht="30.60" thickBot="1" customHeight="1">
      <c r="A13287" s="24" t="s">
        <v>41984</v>
      </c>
      <c r="B13287" s="24" t="s">
        <v>41985</v>
      </c>
      <c r="C13287" s="24" t="s">
        <v>41986</v>
      </c>
      <c r="D13287" s="25" t="s">
        <v>41987</v>
      </c>
      <c r="E13287" s="28">
        <v>1.38000</v>
      </c>
      <c r="F13287" s="29">
        <f ca="1">ROUND(5.210,3)</f>
        <v>0</v>
      </c>
      <c r="G13287" s="27">
        <f ca="1">ROUND(E13287*F13287,2)</f>
        <v>0</v>
      </c>
    </row>
    <row r="13288" spans="1:7" ht="30.60" thickBot="1" customHeight="1">
      <c r="A13288" s="24" t="s">
        <v>41988</v>
      </c>
      <c r="B13288" s="24" t="s">
        <v>41989</v>
      </c>
      <c r="C13288" s="24" t="s">
        <v>41990</v>
      </c>
      <c r="D13288" s="25" t="s">
        <v>41991</v>
      </c>
      <c r="E13288" s="28">
        <v>0.02200</v>
      </c>
      <c r="F13288" s="29">
        <f ca="1">ROUND(27.500,3)</f>
        <v>0</v>
      </c>
      <c r="G13288" s="27">
        <f ca="1">ROUND(E13288*F13288,2)</f>
        <v>0</v>
      </c>
    </row>
    <row r="13289" spans="1:7" ht="21.36" thickBot="1" customHeight="1">
      <c r="A13289" s="24" t="s">
        <v>41992</v>
      </c>
      <c r="B13289" s="24" t="s">
        <v>41993</v>
      </c>
      <c r="C13289" s="24" t="s">
        <v>41994</v>
      </c>
      <c r="D13289" s="25" t="s">
        <v>41995</v>
      </c>
      <c r="E13289" s="28">
        <v>0.37500</v>
      </c>
      <c r="F13289" s="29">
        <f ca="1">ROUND(1.050,3)</f>
        <v>0</v>
      </c>
      <c r="G13289" s="27">
        <f ca="1">ROUND(E13289*F13289,2)</f>
        <v>0</v>
      </c>
    </row>
    <row r="13290" spans="1:7" ht="39.84" thickBot="1" customHeight="1">
      <c r="A13290" s="24" t="s">
        <v>41996</v>
      </c>
      <c r="B13290" s="24" t="s">
        <v>41997</v>
      </c>
      <c r="C13290" s="24" t="s">
        <v>41998</v>
      </c>
      <c r="D13290" s="25" t="s">
        <v>41999</v>
      </c>
      <c r="E13290" s="28">
        <v>0.10000</v>
      </c>
      <c r="F13290" s="29">
        <f ca="1">ROUND(4.050,3)</f>
        <v>0</v>
      </c>
      <c r="G13290" s="27">
        <f ca="1">ROUND(E13290*F13290,2)</f>
        <v>0</v>
      </c>
    </row>
    <row r="13291" spans="1:7" ht="24.36" thickBot="1" customHeight="1">
      <c r="A13291" s="24" t="s">
        <v>42000</v>
      </c>
      <c r="B13291" s="24" t="s">
        <v>42001</v>
      </c>
      <c r="C13291" s="24" t="s">
        <v>42002</v>
      </c>
      <c r="D13291" s="25" t="s">
        <v>42003</v>
      </c>
      <c r="E13291" s="28">
        <v>0.75000</v>
      </c>
      <c r="F13291" s="29">
        <f ca="1">F13295</f>
        <v>0</v>
      </c>
      <c r="G13291" s="27">
        <f ca="1">ROUND(E13291*F13291,2)</f>
        <v>0</v>
      </c>
    </row>
    <row r="13292" spans="1:7" ht="24.36" thickBot="1" customHeight="1">
      <c r="A13292" s="24" t="s">
        <v>42004</v>
      </c>
      <c r="B13292" s="24" t="s">
        <v>42005</v>
      </c>
      <c r="C13292" s="24" t="s">
        <v>42006</v>
      </c>
      <c r="D13292" s="25" t="s">
        <v>42007</v>
      </c>
      <c r="E13292" s="28">
        <v>1.00000</v>
      </c>
      <c r="F13292" s="29">
        <f ca="1">ROUND(21.000,3)</f>
        <v>0</v>
      </c>
      <c r="G13292" s="27">
        <f ca="1">ROUND(E13292*F13292,2)</f>
        <v>0</v>
      </c>
    </row>
    <row r="13293" spans="1:7" ht="24.36" thickBot="1" customHeight="1">
      <c r="A13293" s="24" t="s">
        <v>42008</v>
      </c>
      <c r="B13293" s="24" t="s">
        <v>42009</v>
      </c>
      <c r="C13293" s="24" t="s">
        <v>42010</v>
      </c>
      <c r="D13293" s="25" t="s">
        <v>42011</v>
      </c>
      <c r="E13293" s="28">
        <v>1.00000</v>
      </c>
      <c r="F13293" s="29">
        <f ca="1">ROUND(19.000,3)</f>
        <v>0</v>
      </c>
      <c r="G13293" s="27">
        <f ca="1">ROUND(E13293*F13293,2)</f>
        <v>0</v>
      </c>
    </row>
    <row r="13294" spans="1:7" ht="24.36" thickBot="1" customHeight="1">
      <c r="A13294" s="24" t="s">
        <v>42012</v>
      </c>
      <c r="B13294" s="24" t="s">
        <v>42013</v>
      </c>
      <c r="C13294" s="24" t="s">
        <v>42014</v>
      </c>
      <c r="D13294" s="25" t="s">
        <v>42015</v>
      </c>
      <c r="E13294" s="28">
        <v>0.50000</v>
      </c>
      <c r="F13294" s="29">
        <f ca="1">ROUND(19.000,3)</f>
        <v>0</v>
      </c>
      <c r="G13294" s="27">
        <f ca="1">ROUND(E13294*F13294,2)</f>
        <v>0</v>
      </c>
    </row>
    <row r="13295" spans="1:7" ht="15.12" thickBot="1" customHeight="1">
      <c r="A13295" s="26"/>
      <c r="B13295" s="26"/>
      <c r="C13295" s="26"/>
      <c r="D13295" s="24" t="s">
        <v>42016</v>
      </c>
      <c r="E13295" s="28">
        <v>0.75000</v>
      </c>
      <c r="F13295" s="29">
        <f ca="1">ROUND((G13292+G13293+G13294),3)</f>
        <v>0</v>
      </c>
      <c r="G13295" s="27">
        <f ca="1">ROUND(E13295*F13295,2)</f>
        <v>0</v>
      </c>
    </row>
    <row r="13296" spans="1:7" ht="15.12" thickBot="1" customHeight="1">
      <c r="A13296" s="24" t="s">
        <v>42017</v>
      </c>
      <c r="B13296" s="24"/>
      <c r="C13296" s="24" t="s">
        <v>42018</v>
      </c>
      <c r="D13296" s="25" t="s">
        <v>42019</v>
      </c>
      <c r="E13296" s="28">
        <v>3.00000</v>
      </c>
      <c r="F13296" s="29">
        <f ca="1">ROUND(37.130,3)</f>
        <v>0</v>
      </c>
      <c r="G13296" s="27">
        <f ca="1">ROUND((E13296*F13296)/100,2)</f>
        <v>0</v>
      </c>
    </row>
    <row r="13297" spans="1:7" ht="15.48" thickBot="1" customHeight="1">
      <c r="A13297" s="30"/>
      <c r="B13297" s="30"/>
      <c r="C13297" s="30"/>
      <c r="D13297" s="31" t="s">
        <v>42020</v>
      </c>
      <c r="E13297" s="30"/>
      <c r="F13297" s="33">
        <f ca="1">ROUND((G13287+G13288+G13289+G13290+G13291+G13296)*(1+G2/100),2)</f>
        <v>0</v>
      </c>
      <c r="G13297" s="30"/>
    </row>
    <row r="13298" spans="1:7" ht="21.36" thickBot="1" customHeight="1">
      <c r="A13298" s="34" t="s">
        <v>42021</v>
      </c>
      <c r="B13298" s="35" t="s">
        <v>42022</v>
      </c>
      <c r="C13298" s="35" t="s">
        <v>42023</v>
      </c>
      <c r="D13298" s="36" t="s">
        <v>42024</v>
      </c>
      <c r="E13298" s="37"/>
      <c r="F13298" s="38">
        <f ca="1">F13311</f>
        <v>0</v>
      </c>
      <c r="G13298" s="37"/>
    </row>
    <row r="13299" spans="1:7" ht="58.32" thickBot="1" customHeight="1">
      <c r="A13299" s="26"/>
      <c r="B13299" s="26"/>
      <c r="C13299" s="26"/>
      <c r="D13299" s="25" t="s">
        <v>42025</v>
      </c>
      <c r="E13299" s="25"/>
      <c r="F13299" s="25"/>
      <c r="G13299" s="25"/>
    </row>
    <row r="13300" spans="1:7" ht="39.84" thickBot="1" customHeight="1">
      <c r="A13300" s="24" t="s">
        <v>42026</v>
      </c>
      <c r="B13300" s="24" t="s">
        <v>42027</v>
      </c>
      <c r="C13300" s="24" t="s">
        <v>42028</v>
      </c>
      <c r="D13300" s="25" t="s">
        <v>42029</v>
      </c>
      <c r="E13300" s="28">
        <v>0.92000</v>
      </c>
      <c r="F13300" s="29">
        <f ca="1">ROUND(6.800,3)</f>
        <v>0</v>
      </c>
      <c r="G13300" s="27">
        <f ca="1">ROUND(E13300*F13300,2)</f>
        <v>0</v>
      </c>
    </row>
    <row r="13301" spans="1:7" ht="30.60" thickBot="1" customHeight="1">
      <c r="A13301" s="24" t="s">
        <v>42030</v>
      </c>
      <c r="B13301" s="24" t="s">
        <v>42031</v>
      </c>
      <c r="C13301" s="24" t="s">
        <v>42032</v>
      </c>
      <c r="D13301" s="25" t="s">
        <v>42033</v>
      </c>
      <c r="E13301" s="28">
        <v>0.02200</v>
      </c>
      <c r="F13301" s="29">
        <f ca="1">ROUND(27.500,3)</f>
        <v>0</v>
      </c>
      <c r="G13301" s="27">
        <f ca="1">ROUND(E13301*F13301,2)</f>
        <v>0</v>
      </c>
    </row>
    <row r="13302" spans="1:7" ht="21.36" thickBot="1" customHeight="1">
      <c r="A13302" s="24" t="s">
        <v>42034</v>
      </c>
      <c r="B13302" s="24" t="s">
        <v>42035</v>
      </c>
      <c r="C13302" s="24" t="s">
        <v>42036</v>
      </c>
      <c r="D13302" s="25" t="s">
        <v>42037</v>
      </c>
      <c r="E13302" s="28">
        <v>0.33000</v>
      </c>
      <c r="F13302" s="29">
        <f ca="1">ROUND(1.050,3)</f>
        <v>0</v>
      </c>
      <c r="G13302" s="27">
        <f ca="1">ROUND(E13302*F13302,2)</f>
        <v>0</v>
      </c>
    </row>
    <row r="13303" spans="1:7" ht="30.60" thickBot="1" customHeight="1">
      <c r="A13303" s="24" t="s">
        <v>42038</v>
      </c>
      <c r="B13303" s="24" t="s">
        <v>42039</v>
      </c>
      <c r="C13303" s="24" t="s">
        <v>42040</v>
      </c>
      <c r="D13303" s="25" t="s">
        <v>42041</v>
      </c>
      <c r="E13303" s="28">
        <v>0.20000</v>
      </c>
      <c r="F13303" s="29">
        <f ca="1">ROUND(2.800,3)</f>
        <v>0</v>
      </c>
      <c r="G13303" s="27">
        <f ca="1">ROUND(E13303*F13303,2)</f>
        <v>0</v>
      </c>
    </row>
    <row r="13304" spans="1:7" ht="30.60" thickBot="1" customHeight="1">
      <c r="A13304" s="24" t="s">
        <v>42042</v>
      </c>
      <c r="B13304" s="24" t="s">
        <v>42043</v>
      </c>
      <c r="C13304" s="24" t="s">
        <v>42044</v>
      </c>
      <c r="D13304" s="25" t="s">
        <v>42045</v>
      </c>
      <c r="E13304" s="28">
        <v>0.10000</v>
      </c>
      <c r="F13304" s="29">
        <f ca="1">ROUND(11.100,3)</f>
        <v>0</v>
      </c>
      <c r="G13304" s="27">
        <f ca="1">ROUND(E13304*F13304,2)</f>
        <v>0</v>
      </c>
    </row>
    <row r="13305" spans="1:7" ht="21.36" thickBot="1" customHeight="1">
      <c r="A13305" s="24" t="s">
        <v>42046</v>
      </c>
      <c r="B13305" s="24" t="s">
        <v>42047</v>
      </c>
      <c r="C13305" s="24" t="s">
        <v>42048</v>
      </c>
      <c r="D13305" s="25" t="s">
        <v>42049</v>
      </c>
      <c r="E13305" s="28">
        <v>0.50000</v>
      </c>
      <c r="F13305" s="29">
        <f ca="1">F13309</f>
        <v>0</v>
      </c>
      <c r="G13305" s="27">
        <f ca="1">ROUND(E13305*F13305,2)</f>
        <v>0</v>
      </c>
    </row>
    <row r="13306" spans="1:7" ht="24.36" thickBot="1" customHeight="1">
      <c r="A13306" s="24" t="s">
        <v>42050</v>
      </c>
      <c r="B13306" s="24" t="s">
        <v>42051</v>
      </c>
      <c r="C13306" s="24" t="s">
        <v>42052</v>
      </c>
      <c r="D13306" s="25" t="s">
        <v>42053</v>
      </c>
      <c r="E13306" s="28">
        <v>1.00000</v>
      </c>
      <c r="F13306" s="29">
        <f ca="1">ROUND(21.000,3)</f>
        <v>0</v>
      </c>
      <c r="G13306" s="27">
        <f ca="1">ROUND(E13306*F13306,2)</f>
        <v>0</v>
      </c>
    </row>
    <row r="13307" spans="1:7" ht="24.36" thickBot="1" customHeight="1">
      <c r="A13307" s="24" t="s">
        <v>42054</v>
      </c>
      <c r="B13307" s="24" t="s">
        <v>42055</v>
      </c>
      <c r="C13307" s="24" t="s">
        <v>42056</v>
      </c>
      <c r="D13307" s="25" t="s">
        <v>42057</v>
      </c>
      <c r="E13307" s="28">
        <v>1.00000</v>
      </c>
      <c r="F13307" s="29">
        <f ca="1">ROUND(19.000,3)</f>
        <v>0</v>
      </c>
      <c r="G13307" s="27">
        <f ca="1">ROUND(E13307*F13307,2)</f>
        <v>0</v>
      </c>
    </row>
    <row r="13308" spans="1:7" ht="24.36" thickBot="1" customHeight="1">
      <c r="A13308" s="24" t="s">
        <v>42058</v>
      </c>
      <c r="B13308" s="24" t="s">
        <v>42059</v>
      </c>
      <c r="C13308" s="24" t="s">
        <v>42060</v>
      </c>
      <c r="D13308" s="25" t="s">
        <v>42061</v>
      </c>
      <c r="E13308" s="28">
        <v>0.20000</v>
      </c>
      <c r="F13308" s="29">
        <f ca="1">ROUND(19.000,3)</f>
        <v>0</v>
      </c>
      <c r="G13308" s="27">
        <f ca="1">ROUND(E13308*F13308,2)</f>
        <v>0</v>
      </c>
    </row>
    <row r="13309" spans="1:7" ht="15.12" thickBot="1" customHeight="1">
      <c r="A13309" s="26"/>
      <c r="B13309" s="26"/>
      <c r="C13309" s="26"/>
      <c r="D13309" s="24" t="s">
        <v>42062</v>
      </c>
      <c r="E13309" s="28">
        <v>0.50000</v>
      </c>
      <c r="F13309" s="29">
        <f ca="1">ROUND((G13306+G13307+G13308),3)</f>
        <v>0</v>
      </c>
      <c r="G13309" s="27">
        <f ca="1">ROUND(E13309*F13309,2)</f>
        <v>0</v>
      </c>
    </row>
    <row r="13310" spans="1:7" ht="15.12" thickBot="1" customHeight="1">
      <c r="A13310" s="24" t="s">
        <v>42063</v>
      </c>
      <c r="B13310" s="24"/>
      <c r="C13310" s="24" t="s">
        <v>42064</v>
      </c>
      <c r="D13310" s="25" t="s">
        <v>42065</v>
      </c>
      <c r="E13310" s="28">
        <v>3.00000</v>
      </c>
      <c r="F13310" s="29">
        <f ca="1">ROUND(21.900,3)</f>
        <v>0</v>
      </c>
      <c r="G13310" s="27">
        <f ca="1">ROUND((E13310*F13310)/100,2)</f>
        <v>0</v>
      </c>
    </row>
    <row r="13311" spans="1:7" ht="15.48" thickBot="1" customHeight="1">
      <c r="A13311" s="30"/>
      <c r="B13311" s="30"/>
      <c r="C13311" s="30"/>
      <c r="D13311" s="31" t="s">
        <v>42066</v>
      </c>
      <c r="E13311" s="30"/>
      <c r="F13311" s="33">
        <f ca="1">ROUND((G13300+G13301+G13302+G13303+G13304+G13305+G13310)*(1+G2/100),2)</f>
        <v>0</v>
      </c>
      <c r="G13311" s="30"/>
    </row>
    <row r="13312" spans="1:7" ht="30.60" thickBot="1" customHeight="1">
      <c r="A13312" s="34" t="s">
        <v>42067</v>
      </c>
      <c r="B13312" s="35" t="s">
        <v>42068</v>
      </c>
      <c r="C13312" s="35" t="s">
        <v>42069</v>
      </c>
      <c r="D13312" s="36" t="s">
        <v>42070</v>
      </c>
      <c r="E13312" s="37"/>
      <c r="F13312" s="38">
        <f ca="1">F13325</f>
        <v>0</v>
      </c>
      <c r="G13312" s="37"/>
    </row>
    <row r="13313" spans="1:7" ht="58.32" thickBot="1" customHeight="1">
      <c r="A13313" s="26"/>
      <c r="B13313" s="26"/>
      <c r="C13313" s="26"/>
      <c r="D13313" s="25" t="s">
        <v>42071</v>
      </c>
      <c r="E13313" s="25"/>
      <c r="F13313" s="25"/>
      <c r="G13313" s="25"/>
    </row>
    <row r="13314" spans="1:7" ht="39.84" thickBot="1" customHeight="1">
      <c r="A13314" s="24" t="s">
        <v>42072</v>
      </c>
      <c r="B13314" s="24" t="s">
        <v>42073</v>
      </c>
      <c r="C13314" s="24" t="s">
        <v>42074</v>
      </c>
      <c r="D13314" s="25" t="s">
        <v>42075</v>
      </c>
      <c r="E13314" s="28">
        <v>1.00000</v>
      </c>
      <c r="F13314" s="29">
        <f ca="1">ROUND(6.800,3)</f>
        <v>0</v>
      </c>
      <c r="G13314" s="27">
        <f ca="1">ROUND(E13314*F13314,2)</f>
        <v>0</v>
      </c>
    </row>
    <row r="13315" spans="1:7" ht="30.60" thickBot="1" customHeight="1">
      <c r="A13315" s="24" t="s">
        <v>42076</v>
      </c>
      <c r="B13315" s="24" t="s">
        <v>42077</v>
      </c>
      <c r="C13315" s="24" t="s">
        <v>42078</v>
      </c>
      <c r="D13315" s="25" t="s">
        <v>42079</v>
      </c>
      <c r="E13315" s="28">
        <v>0.02200</v>
      </c>
      <c r="F13315" s="29">
        <f ca="1">ROUND(27.500,3)</f>
        <v>0</v>
      </c>
      <c r="G13315" s="27">
        <f ca="1">ROUND(E13315*F13315,2)</f>
        <v>0</v>
      </c>
    </row>
    <row r="13316" spans="1:7" ht="21.36" thickBot="1" customHeight="1">
      <c r="A13316" s="24" t="s">
        <v>42080</v>
      </c>
      <c r="B13316" s="24" t="s">
        <v>42081</v>
      </c>
      <c r="C13316" s="24" t="s">
        <v>42082</v>
      </c>
      <c r="D13316" s="25" t="s">
        <v>42083</v>
      </c>
      <c r="E13316" s="28">
        <v>0.33000</v>
      </c>
      <c r="F13316" s="29">
        <f ca="1">ROUND(1.050,3)</f>
        <v>0</v>
      </c>
      <c r="G13316" s="27">
        <f ca="1">ROUND(E13316*F13316,2)</f>
        <v>0</v>
      </c>
    </row>
    <row r="13317" spans="1:7" ht="30.60" thickBot="1" customHeight="1">
      <c r="A13317" s="24" t="s">
        <v>42084</v>
      </c>
      <c r="B13317" s="24" t="s">
        <v>42085</v>
      </c>
      <c r="C13317" s="24" t="s">
        <v>42086</v>
      </c>
      <c r="D13317" s="25" t="s">
        <v>42087</v>
      </c>
      <c r="E13317" s="28">
        <v>0.20000</v>
      </c>
      <c r="F13317" s="29">
        <f ca="1">ROUND(2.800,3)</f>
        <v>0</v>
      </c>
      <c r="G13317" s="27">
        <f ca="1">ROUND(E13317*F13317,2)</f>
        <v>0</v>
      </c>
    </row>
    <row r="13318" spans="1:7" ht="30.60" thickBot="1" customHeight="1">
      <c r="A13318" s="24" t="s">
        <v>42088</v>
      </c>
      <c r="B13318" s="24" t="s">
        <v>42089</v>
      </c>
      <c r="C13318" s="24" t="s">
        <v>42090</v>
      </c>
      <c r="D13318" s="25" t="s">
        <v>42091</v>
      </c>
      <c r="E13318" s="28">
        <v>0.10000</v>
      </c>
      <c r="F13318" s="29">
        <f ca="1">ROUND(11.100,3)</f>
        <v>0</v>
      </c>
      <c r="G13318" s="27">
        <f ca="1">ROUND(E13318*F13318,2)</f>
        <v>0</v>
      </c>
    </row>
    <row r="13319" spans="1:7" ht="24.36" thickBot="1" customHeight="1">
      <c r="A13319" s="24" t="s">
        <v>42092</v>
      </c>
      <c r="B13319" s="24" t="s">
        <v>42093</v>
      </c>
      <c r="C13319" s="24" t="s">
        <v>42094</v>
      </c>
      <c r="D13319" s="25" t="s">
        <v>42095</v>
      </c>
      <c r="E13319" s="28">
        <v>0.75000</v>
      </c>
      <c r="F13319" s="29">
        <f ca="1">F13323</f>
        <v>0</v>
      </c>
      <c r="G13319" s="27">
        <f ca="1">ROUND(E13319*F13319,2)</f>
        <v>0</v>
      </c>
    </row>
    <row r="13320" spans="1:7" ht="24.36" thickBot="1" customHeight="1">
      <c r="A13320" s="24" t="s">
        <v>42096</v>
      </c>
      <c r="B13320" s="24" t="s">
        <v>42097</v>
      </c>
      <c r="C13320" s="24" t="s">
        <v>42098</v>
      </c>
      <c r="D13320" s="25" t="s">
        <v>42099</v>
      </c>
      <c r="E13320" s="28">
        <v>1.00000</v>
      </c>
      <c r="F13320" s="29">
        <f ca="1">ROUND(21.000,3)</f>
        <v>0</v>
      </c>
      <c r="G13320" s="27">
        <f ca="1">ROUND(E13320*F13320,2)</f>
        <v>0</v>
      </c>
    </row>
    <row r="13321" spans="1:7" ht="24.36" thickBot="1" customHeight="1">
      <c r="A13321" s="24" t="s">
        <v>42100</v>
      </c>
      <c r="B13321" s="24" t="s">
        <v>42101</v>
      </c>
      <c r="C13321" s="24" t="s">
        <v>42102</v>
      </c>
      <c r="D13321" s="25" t="s">
        <v>42103</v>
      </c>
      <c r="E13321" s="28">
        <v>1.00000</v>
      </c>
      <c r="F13321" s="29">
        <f ca="1">ROUND(19.000,3)</f>
        <v>0</v>
      </c>
      <c r="G13321" s="27">
        <f ca="1">ROUND(E13321*F13321,2)</f>
        <v>0</v>
      </c>
    </row>
    <row r="13322" spans="1:7" ht="24.36" thickBot="1" customHeight="1">
      <c r="A13322" s="24" t="s">
        <v>42104</v>
      </c>
      <c r="B13322" s="24" t="s">
        <v>42105</v>
      </c>
      <c r="C13322" s="24" t="s">
        <v>42106</v>
      </c>
      <c r="D13322" s="25" t="s">
        <v>42107</v>
      </c>
      <c r="E13322" s="28">
        <v>0.50000</v>
      </c>
      <c r="F13322" s="29">
        <f ca="1">ROUND(19.000,3)</f>
        <v>0</v>
      </c>
      <c r="G13322" s="27">
        <f ca="1">ROUND(E13322*F13322,2)</f>
        <v>0</v>
      </c>
    </row>
    <row r="13323" spans="1:7" ht="15.12" thickBot="1" customHeight="1">
      <c r="A13323" s="26"/>
      <c r="B13323" s="26"/>
      <c r="C13323" s="26"/>
      <c r="D13323" s="24" t="s">
        <v>42108</v>
      </c>
      <c r="E13323" s="28">
        <v>0.75000</v>
      </c>
      <c r="F13323" s="29">
        <f ca="1">ROUND((G13320+G13321+G13322),3)</f>
        <v>0</v>
      </c>
      <c r="G13323" s="27">
        <f ca="1">ROUND(E13323*F13323,2)</f>
        <v>0</v>
      </c>
    </row>
    <row r="13324" spans="1:7" ht="15.12" thickBot="1" customHeight="1">
      <c r="A13324" s="24" t="s">
        <v>42109</v>
      </c>
      <c r="B13324" s="24"/>
      <c r="C13324" s="24" t="s">
        <v>42110</v>
      </c>
      <c r="D13324" s="25" t="s">
        <v>42111</v>
      </c>
      <c r="E13324" s="28">
        <v>3.00000</v>
      </c>
      <c r="F13324" s="29">
        <f ca="1">ROUND(37.130,3)</f>
        <v>0</v>
      </c>
      <c r="G13324" s="27">
        <f ca="1">ROUND((E13324*F13324)/100,2)</f>
        <v>0</v>
      </c>
    </row>
    <row r="13325" spans="1:7" ht="15.48" thickBot="1" customHeight="1">
      <c r="A13325" s="30"/>
      <c r="B13325" s="30"/>
      <c r="C13325" s="30"/>
      <c r="D13325" s="31" t="s">
        <v>42112</v>
      </c>
      <c r="E13325" s="30"/>
      <c r="F13325" s="33">
        <f ca="1">ROUND((G13314+G13315+G13316+G13317+G13318+G13319+G13324)*(1+G2/100),2)</f>
        <v>0</v>
      </c>
      <c r="G13325" s="30"/>
    </row>
    <row r="13326" spans="1:7" ht="30.60" thickBot="1" customHeight="1">
      <c r="A13326" s="34" t="s">
        <v>42113</v>
      </c>
      <c r="B13326" s="35" t="s">
        <v>42114</v>
      </c>
      <c r="C13326" s="35" t="s">
        <v>42115</v>
      </c>
      <c r="D13326" s="36" t="s">
        <v>42116</v>
      </c>
      <c r="E13326" s="37"/>
      <c r="F13326" s="38">
        <f ca="1">F13339</f>
        <v>0</v>
      </c>
      <c r="G13326" s="37"/>
    </row>
    <row r="13327" spans="1:7" ht="58.32" thickBot="1" customHeight="1">
      <c r="A13327" s="26"/>
      <c r="B13327" s="26"/>
      <c r="C13327" s="26"/>
      <c r="D13327" s="25" t="s">
        <v>42117</v>
      </c>
      <c r="E13327" s="25"/>
      <c r="F13327" s="25"/>
      <c r="G13327" s="25"/>
    </row>
    <row r="13328" spans="1:7" ht="39.84" thickBot="1" customHeight="1">
      <c r="A13328" s="24" t="s">
        <v>42118</v>
      </c>
      <c r="B13328" s="24" t="s">
        <v>42119</v>
      </c>
      <c r="C13328" s="24" t="s">
        <v>42120</v>
      </c>
      <c r="D13328" s="25" t="s">
        <v>42121</v>
      </c>
      <c r="E13328" s="28">
        <v>0.34000</v>
      </c>
      <c r="F13328" s="29">
        <f ca="1">ROUND(15.200,3)</f>
        <v>0</v>
      </c>
      <c r="G13328" s="27">
        <f ca="1">ROUND(E13328*F13328,2)</f>
        <v>0</v>
      </c>
    </row>
    <row r="13329" spans="1:7" ht="30.60" thickBot="1" customHeight="1">
      <c r="A13329" s="24" t="s">
        <v>42122</v>
      </c>
      <c r="B13329" s="24" t="s">
        <v>42123</v>
      </c>
      <c r="C13329" s="24" t="s">
        <v>42124</v>
      </c>
      <c r="D13329" s="25" t="s">
        <v>42125</v>
      </c>
      <c r="E13329" s="28">
        <v>0.02200</v>
      </c>
      <c r="F13329" s="29">
        <f ca="1">ROUND(27.500,3)</f>
        <v>0</v>
      </c>
      <c r="G13329" s="27">
        <f ca="1">ROUND(E13329*F13329,2)</f>
        <v>0</v>
      </c>
    </row>
    <row r="13330" spans="1:7" ht="21.36" thickBot="1" customHeight="1">
      <c r="A13330" s="24" t="s">
        <v>42126</v>
      </c>
      <c r="B13330" s="24" t="s">
        <v>42127</v>
      </c>
      <c r="C13330" s="24" t="s">
        <v>42128</v>
      </c>
      <c r="D13330" s="25" t="s">
        <v>42129</v>
      </c>
      <c r="E13330" s="28">
        <v>0.37500</v>
      </c>
      <c r="F13330" s="29">
        <f ca="1">ROUND(1.050,3)</f>
        <v>0</v>
      </c>
      <c r="G13330" s="27">
        <f ca="1">ROUND(E13330*F13330,2)</f>
        <v>0</v>
      </c>
    </row>
    <row r="13331" spans="1:7" ht="30.60" thickBot="1" customHeight="1">
      <c r="A13331" s="24" t="s">
        <v>42130</v>
      </c>
      <c r="B13331" s="24" t="s">
        <v>42131</v>
      </c>
      <c r="C13331" s="24" t="s">
        <v>42132</v>
      </c>
      <c r="D13331" s="25" t="s">
        <v>42133</v>
      </c>
      <c r="E13331" s="28">
        <v>0.24000</v>
      </c>
      <c r="F13331" s="29">
        <f ca="1">ROUND(2.800,3)</f>
        <v>0</v>
      </c>
      <c r="G13331" s="27">
        <f ca="1">ROUND(E13331*F13331,2)</f>
        <v>0</v>
      </c>
    </row>
    <row r="13332" spans="1:7" ht="30.60" thickBot="1" customHeight="1">
      <c r="A13332" s="24" t="s">
        <v>42134</v>
      </c>
      <c r="B13332" s="24" t="s">
        <v>42135</v>
      </c>
      <c r="C13332" s="24" t="s">
        <v>42136</v>
      </c>
      <c r="D13332" s="25" t="s">
        <v>42137</v>
      </c>
      <c r="E13332" s="28">
        <v>0.10000</v>
      </c>
      <c r="F13332" s="29">
        <f ca="1">ROUND(11.100,3)</f>
        <v>0</v>
      </c>
      <c r="G13332" s="27">
        <f ca="1">ROUND(E13332*F13332,2)</f>
        <v>0</v>
      </c>
    </row>
    <row r="13333" spans="1:7" ht="21.36" thickBot="1" customHeight="1">
      <c r="A13333" s="24" t="s">
        <v>42138</v>
      </c>
      <c r="B13333" s="24" t="s">
        <v>42139</v>
      </c>
      <c r="C13333" s="24" t="s">
        <v>42140</v>
      </c>
      <c r="D13333" s="25" t="s">
        <v>42141</v>
      </c>
      <c r="E13333" s="28">
        <v>0.25000</v>
      </c>
      <c r="F13333" s="29">
        <f ca="1">F13337</f>
        <v>0</v>
      </c>
      <c r="G13333" s="27">
        <f ca="1">ROUND(E13333*F13333,2)</f>
        <v>0</v>
      </c>
    </row>
    <row r="13334" spans="1:7" ht="24.36" thickBot="1" customHeight="1">
      <c r="A13334" s="24" t="s">
        <v>42142</v>
      </c>
      <c r="B13334" s="24" t="s">
        <v>42143</v>
      </c>
      <c r="C13334" s="24" t="s">
        <v>42144</v>
      </c>
      <c r="D13334" s="25" t="s">
        <v>42145</v>
      </c>
      <c r="E13334" s="28">
        <v>1.00000</v>
      </c>
      <c r="F13334" s="29">
        <f ca="1">ROUND(21.000,3)</f>
        <v>0</v>
      </c>
      <c r="G13334" s="27">
        <f ca="1">ROUND(E13334*F13334,2)</f>
        <v>0</v>
      </c>
    </row>
    <row r="13335" spans="1:7" ht="24.36" thickBot="1" customHeight="1">
      <c r="A13335" s="24" t="s">
        <v>42146</v>
      </c>
      <c r="B13335" s="24" t="s">
        <v>42147</v>
      </c>
      <c r="C13335" s="24" t="s">
        <v>42148</v>
      </c>
      <c r="D13335" s="25" t="s">
        <v>42149</v>
      </c>
      <c r="E13335" s="28">
        <v>1.00000</v>
      </c>
      <c r="F13335" s="29">
        <f ca="1">ROUND(19.000,3)</f>
        <v>0</v>
      </c>
      <c r="G13335" s="27">
        <f ca="1">ROUND(E13335*F13335,2)</f>
        <v>0</v>
      </c>
    </row>
    <row r="13336" spans="1:7" ht="24.36" thickBot="1" customHeight="1">
      <c r="A13336" s="24" t="s">
        <v>42150</v>
      </c>
      <c r="B13336" s="24" t="s">
        <v>42151</v>
      </c>
      <c r="C13336" s="24" t="s">
        <v>42152</v>
      </c>
      <c r="D13336" s="25" t="s">
        <v>42153</v>
      </c>
      <c r="E13336" s="28">
        <v>0.20000</v>
      </c>
      <c r="F13336" s="29">
        <f ca="1">ROUND(19.000,3)</f>
        <v>0</v>
      </c>
      <c r="G13336" s="27">
        <f ca="1">ROUND(E13336*F13336,2)</f>
        <v>0</v>
      </c>
    </row>
    <row r="13337" spans="1:7" ht="15.12" thickBot="1" customHeight="1">
      <c r="A13337" s="26"/>
      <c r="B13337" s="26"/>
      <c r="C13337" s="26"/>
      <c r="D13337" s="24" t="s">
        <v>42154</v>
      </c>
      <c r="E13337" s="28">
        <v>0.25000</v>
      </c>
      <c r="F13337" s="29">
        <f ca="1">ROUND((G13334+G13335+G13336),3)</f>
        <v>0</v>
      </c>
      <c r="G13337" s="27">
        <f ca="1">ROUND(E13337*F13337,2)</f>
        <v>0</v>
      </c>
    </row>
    <row r="13338" spans="1:7" ht="15.12" thickBot="1" customHeight="1">
      <c r="A13338" s="24" t="s">
        <v>42155</v>
      </c>
      <c r="B13338" s="24"/>
      <c r="C13338" s="24" t="s">
        <v>42156</v>
      </c>
      <c r="D13338" s="25" t="s">
        <v>42157</v>
      </c>
      <c r="E13338" s="28">
        <v>3.00000</v>
      </c>
      <c r="F13338" s="29">
        <f ca="1">ROUND(10.950,3)</f>
        <v>0</v>
      </c>
      <c r="G13338" s="27">
        <f ca="1">ROUND((E13338*F13338)/100,2)</f>
        <v>0</v>
      </c>
    </row>
    <row r="13339" spans="1:7" ht="15.48" thickBot="1" customHeight="1">
      <c r="A13339" s="30"/>
      <c r="B13339" s="30"/>
      <c r="C13339" s="30"/>
      <c r="D13339" s="31" t="s">
        <v>42158</v>
      </c>
      <c r="E13339" s="30"/>
      <c r="F13339" s="33">
        <f ca="1">ROUND((G13328+G13329+G13330+G13331+G13332+G13333+G13338)*(1+G2/100),2)</f>
        <v>0</v>
      </c>
      <c r="G13339" s="30"/>
    </row>
    <row r="13340" spans="1:7" ht="30.60" thickBot="1" customHeight="1">
      <c r="A13340" s="34" t="s">
        <v>42159</v>
      </c>
      <c r="B13340" s="35" t="s">
        <v>42160</v>
      </c>
      <c r="C13340" s="35" t="s">
        <v>42161</v>
      </c>
      <c r="D13340" s="36" t="s">
        <v>42162</v>
      </c>
      <c r="E13340" s="37"/>
      <c r="F13340" s="38">
        <f ca="1">F13352</f>
        <v>0</v>
      </c>
      <c r="G13340" s="37"/>
    </row>
    <row r="13341" spans="1:7" ht="58.32" thickBot="1" customHeight="1">
      <c r="A13341" s="26"/>
      <c r="B13341" s="26"/>
      <c r="C13341" s="26"/>
      <c r="D13341" s="25" t="s">
        <v>42163</v>
      </c>
      <c r="E13341" s="25"/>
      <c r="F13341" s="25"/>
      <c r="G13341" s="25"/>
    </row>
    <row r="13342" spans="1:7" ht="30.60" thickBot="1" customHeight="1">
      <c r="A13342" s="24" t="s">
        <v>42164</v>
      </c>
      <c r="B13342" s="24" t="s">
        <v>42165</v>
      </c>
      <c r="C13342" s="24" t="s">
        <v>42166</v>
      </c>
      <c r="D13342" s="25" t="s">
        <v>42167</v>
      </c>
      <c r="E13342" s="28">
        <v>0.44000</v>
      </c>
      <c r="F13342" s="29">
        <f ca="1">ROUND(5.150,3)</f>
        <v>0</v>
      </c>
      <c r="G13342" s="27">
        <f ca="1">ROUND(E13342*F13342,2)</f>
        <v>0</v>
      </c>
    </row>
    <row r="13343" spans="1:7" ht="30.60" thickBot="1" customHeight="1">
      <c r="A13343" s="24" t="s">
        <v>42168</v>
      </c>
      <c r="B13343" s="24" t="s">
        <v>42169</v>
      </c>
      <c r="C13343" s="24" t="s">
        <v>42170</v>
      </c>
      <c r="D13343" s="25" t="s">
        <v>42171</v>
      </c>
      <c r="E13343" s="28">
        <v>0.02200</v>
      </c>
      <c r="F13343" s="29">
        <f ca="1">ROUND(27.500,3)</f>
        <v>0</v>
      </c>
      <c r="G13343" s="27">
        <f ca="1">ROUND(E13343*F13343,2)</f>
        <v>0</v>
      </c>
    </row>
    <row r="13344" spans="1:7" ht="21.36" thickBot="1" customHeight="1">
      <c r="A13344" s="24" t="s">
        <v>42172</v>
      </c>
      <c r="B13344" s="24" t="s">
        <v>42173</v>
      </c>
      <c r="C13344" s="24" t="s">
        <v>42174</v>
      </c>
      <c r="D13344" s="25" t="s">
        <v>42175</v>
      </c>
      <c r="E13344" s="28">
        <v>0.37500</v>
      </c>
      <c r="F13344" s="29">
        <f ca="1">ROUND(1.050,3)</f>
        <v>0</v>
      </c>
      <c r="G13344" s="27">
        <f ca="1">ROUND(E13344*F13344,2)</f>
        <v>0</v>
      </c>
    </row>
    <row r="13345" spans="1:7" ht="39.84" thickBot="1" customHeight="1">
      <c r="A13345" s="24" t="s">
        <v>42176</v>
      </c>
      <c r="B13345" s="24" t="s">
        <v>42177</v>
      </c>
      <c r="C13345" s="24" t="s">
        <v>42178</v>
      </c>
      <c r="D13345" s="25" t="s">
        <v>42179</v>
      </c>
      <c r="E13345" s="28">
        <v>0.10000</v>
      </c>
      <c r="F13345" s="29">
        <f ca="1">ROUND(4.050,3)</f>
        <v>0</v>
      </c>
      <c r="G13345" s="27">
        <f ca="1">ROUND(E13345*F13345,2)</f>
        <v>0</v>
      </c>
    </row>
    <row r="13346" spans="1:7" ht="21.36" thickBot="1" customHeight="1">
      <c r="A13346" s="24" t="s">
        <v>42180</v>
      </c>
      <c r="B13346" s="24" t="s">
        <v>42181</v>
      </c>
      <c r="C13346" s="24" t="s">
        <v>42182</v>
      </c>
      <c r="D13346" s="25" t="s">
        <v>42183</v>
      </c>
      <c r="E13346" s="28">
        <v>0.25000</v>
      </c>
      <c r="F13346" s="29">
        <f ca="1">F13350</f>
        <v>0</v>
      </c>
      <c r="G13346" s="27">
        <f ca="1">ROUND(E13346*F13346,2)</f>
        <v>0</v>
      </c>
    </row>
    <row r="13347" spans="1:7" ht="24.36" thickBot="1" customHeight="1">
      <c r="A13347" s="24" t="s">
        <v>42184</v>
      </c>
      <c r="B13347" s="24" t="s">
        <v>42185</v>
      </c>
      <c r="C13347" s="24" t="s">
        <v>42186</v>
      </c>
      <c r="D13347" s="25" t="s">
        <v>42187</v>
      </c>
      <c r="E13347" s="28">
        <v>1.00000</v>
      </c>
      <c r="F13347" s="29">
        <f ca="1">ROUND(21.000,3)</f>
        <v>0</v>
      </c>
      <c r="G13347" s="27">
        <f ca="1">ROUND(E13347*F13347,2)</f>
        <v>0</v>
      </c>
    </row>
    <row r="13348" spans="1:7" ht="24.36" thickBot="1" customHeight="1">
      <c r="A13348" s="24" t="s">
        <v>42188</v>
      </c>
      <c r="B13348" s="24" t="s">
        <v>42189</v>
      </c>
      <c r="C13348" s="24" t="s">
        <v>42190</v>
      </c>
      <c r="D13348" s="25" t="s">
        <v>42191</v>
      </c>
      <c r="E13348" s="28">
        <v>1.00000</v>
      </c>
      <c r="F13348" s="29">
        <f ca="1">ROUND(19.000,3)</f>
        <v>0</v>
      </c>
      <c r="G13348" s="27">
        <f ca="1">ROUND(E13348*F13348,2)</f>
        <v>0</v>
      </c>
    </row>
    <row r="13349" spans="1:7" ht="24.36" thickBot="1" customHeight="1">
      <c r="A13349" s="24" t="s">
        <v>42192</v>
      </c>
      <c r="B13349" s="24" t="s">
        <v>42193</v>
      </c>
      <c r="C13349" s="24" t="s">
        <v>42194</v>
      </c>
      <c r="D13349" s="25" t="s">
        <v>42195</v>
      </c>
      <c r="E13349" s="28">
        <v>0.20000</v>
      </c>
      <c r="F13349" s="29">
        <f ca="1">ROUND(19.000,3)</f>
        <v>0</v>
      </c>
      <c r="G13349" s="27">
        <f ca="1">ROUND(E13349*F13349,2)</f>
        <v>0</v>
      </c>
    </row>
    <row r="13350" spans="1:7" ht="15.12" thickBot="1" customHeight="1">
      <c r="A13350" s="26"/>
      <c r="B13350" s="26"/>
      <c r="C13350" s="26"/>
      <c r="D13350" s="24" t="s">
        <v>42196</v>
      </c>
      <c r="E13350" s="28">
        <v>0.25000</v>
      </c>
      <c r="F13350" s="29">
        <f ca="1">ROUND((G13347+G13348+G13349),3)</f>
        <v>0</v>
      </c>
      <c r="G13350" s="27">
        <f ca="1">ROUND(E13350*F13350,2)</f>
        <v>0</v>
      </c>
    </row>
    <row r="13351" spans="1:7" ht="15.12" thickBot="1" customHeight="1">
      <c r="A13351" s="24" t="s">
        <v>42197</v>
      </c>
      <c r="B13351" s="24"/>
      <c r="C13351" s="24" t="s">
        <v>42198</v>
      </c>
      <c r="D13351" s="25" t="s">
        <v>42199</v>
      </c>
      <c r="E13351" s="28">
        <v>3.00000</v>
      </c>
      <c r="F13351" s="29">
        <f ca="1">ROUND(10.950,3)</f>
        <v>0</v>
      </c>
      <c r="G13351" s="27">
        <f ca="1">ROUND((E13351*F13351)/100,2)</f>
        <v>0</v>
      </c>
    </row>
    <row r="13352" spans="1:7" ht="15.48" thickBot="1" customHeight="1">
      <c r="A13352" s="30"/>
      <c r="B13352" s="30"/>
      <c r="C13352" s="30"/>
      <c r="D13352" s="31" t="s">
        <v>42200</v>
      </c>
      <c r="E13352" s="30"/>
      <c r="F13352" s="33">
        <f ca="1">ROUND((G13342+G13343+G13344+G13345+G13346+G13351)*(1+G2/100),2)</f>
        <v>0</v>
      </c>
      <c r="G13352" s="30"/>
    </row>
    <row r="13353" spans="1:7" ht="30.60" thickBot="1" customHeight="1">
      <c r="A13353" s="34" t="s">
        <v>42201</v>
      </c>
      <c r="B13353" s="35" t="s">
        <v>42202</v>
      </c>
      <c r="C13353" s="35" t="s">
        <v>42203</v>
      </c>
      <c r="D13353" s="36" t="s">
        <v>42204</v>
      </c>
      <c r="E13353" s="37"/>
      <c r="F13353" s="38">
        <f ca="1">F13365</f>
        <v>0</v>
      </c>
      <c r="G13353" s="37"/>
    </row>
    <row r="13354" spans="1:7" ht="58.32" thickBot="1" customHeight="1">
      <c r="A13354" s="26"/>
      <c r="B13354" s="26"/>
      <c r="C13354" s="26"/>
      <c r="D13354" s="25" t="s">
        <v>42205</v>
      </c>
      <c r="E13354" s="25"/>
      <c r="F13354" s="25"/>
      <c r="G13354" s="25"/>
    </row>
    <row r="13355" spans="1:7" ht="30.60" thickBot="1" customHeight="1">
      <c r="A13355" s="24" t="s">
        <v>42206</v>
      </c>
      <c r="B13355" s="24" t="s">
        <v>42207</v>
      </c>
      <c r="C13355" s="24" t="s">
        <v>42208</v>
      </c>
      <c r="D13355" s="25" t="s">
        <v>42209</v>
      </c>
      <c r="E13355" s="28">
        <v>0.44000</v>
      </c>
      <c r="F13355" s="29">
        <f ca="1">ROUND(5.150,3)</f>
        <v>0</v>
      </c>
      <c r="G13355" s="27">
        <f ca="1">ROUND(E13355*F13355,2)</f>
        <v>0</v>
      </c>
    </row>
    <row r="13356" spans="1:7" ht="30.60" thickBot="1" customHeight="1">
      <c r="A13356" s="24" t="s">
        <v>42210</v>
      </c>
      <c r="B13356" s="24" t="s">
        <v>42211</v>
      </c>
      <c r="C13356" s="24" t="s">
        <v>42212</v>
      </c>
      <c r="D13356" s="25" t="s">
        <v>42213</v>
      </c>
      <c r="E13356" s="28">
        <v>0.02200</v>
      </c>
      <c r="F13356" s="29">
        <f ca="1">ROUND(27.500,3)</f>
        <v>0</v>
      </c>
      <c r="G13356" s="27">
        <f ca="1">ROUND(E13356*F13356,2)</f>
        <v>0</v>
      </c>
    </row>
    <row r="13357" spans="1:7" ht="21.36" thickBot="1" customHeight="1">
      <c r="A13357" s="24" t="s">
        <v>42214</v>
      </c>
      <c r="B13357" s="24" t="s">
        <v>42215</v>
      </c>
      <c r="C13357" s="24" t="s">
        <v>42216</v>
      </c>
      <c r="D13357" s="25" t="s">
        <v>42217</v>
      </c>
      <c r="E13357" s="28">
        <v>0.37500</v>
      </c>
      <c r="F13357" s="29">
        <f ca="1">ROUND(1.050,3)</f>
        <v>0</v>
      </c>
      <c r="G13357" s="27">
        <f ca="1">ROUND(E13357*F13357,2)</f>
        <v>0</v>
      </c>
    </row>
    <row r="13358" spans="1:7" ht="39.84" thickBot="1" customHeight="1">
      <c r="A13358" s="24" t="s">
        <v>42218</v>
      </c>
      <c r="B13358" s="24" t="s">
        <v>42219</v>
      </c>
      <c r="C13358" s="24" t="s">
        <v>42220</v>
      </c>
      <c r="D13358" s="25" t="s">
        <v>42221</v>
      </c>
      <c r="E13358" s="28">
        <v>0.10000</v>
      </c>
      <c r="F13358" s="29">
        <f ca="1">ROUND(4.050,3)</f>
        <v>0</v>
      </c>
      <c r="G13358" s="27">
        <f ca="1">ROUND(E13358*F13358,2)</f>
        <v>0</v>
      </c>
    </row>
    <row r="13359" spans="1:7" ht="24.36" thickBot="1" customHeight="1">
      <c r="A13359" s="24" t="s">
        <v>42222</v>
      </c>
      <c r="B13359" s="24" t="s">
        <v>42223</v>
      </c>
      <c r="C13359" s="24" t="s">
        <v>42224</v>
      </c>
      <c r="D13359" s="25" t="s">
        <v>42225</v>
      </c>
      <c r="E13359" s="28">
        <v>0.42000</v>
      </c>
      <c r="F13359" s="29">
        <f ca="1">F13363</f>
        <v>0</v>
      </c>
      <c r="G13359" s="27">
        <f ca="1">ROUND(E13359*F13359,2)</f>
        <v>0</v>
      </c>
    </row>
    <row r="13360" spans="1:7" ht="24.36" thickBot="1" customHeight="1">
      <c r="A13360" s="24" t="s">
        <v>42226</v>
      </c>
      <c r="B13360" s="24" t="s">
        <v>42227</v>
      </c>
      <c r="C13360" s="24" t="s">
        <v>42228</v>
      </c>
      <c r="D13360" s="25" t="s">
        <v>42229</v>
      </c>
      <c r="E13360" s="28">
        <v>1.00000</v>
      </c>
      <c r="F13360" s="29">
        <f ca="1">ROUND(21.000,3)</f>
        <v>0</v>
      </c>
      <c r="G13360" s="27">
        <f ca="1">ROUND(E13360*F13360,2)</f>
        <v>0</v>
      </c>
    </row>
    <row r="13361" spans="1:7" ht="24.36" thickBot="1" customHeight="1">
      <c r="A13361" s="24" t="s">
        <v>42230</v>
      </c>
      <c r="B13361" s="24" t="s">
        <v>42231</v>
      </c>
      <c r="C13361" s="24" t="s">
        <v>42232</v>
      </c>
      <c r="D13361" s="25" t="s">
        <v>42233</v>
      </c>
      <c r="E13361" s="28">
        <v>1.00000</v>
      </c>
      <c r="F13361" s="29">
        <f ca="1">ROUND(19.000,3)</f>
        <v>0</v>
      </c>
      <c r="G13361" s="27">
        <f ca="1">ROUND(E13361*F13361,2)</f>
        <v>0</v>
      </c>
    </row>
    <row r="13362" spans="1:7" ht="24.36" thickBot="1" customHeight="1">
      <c r="A13362" s="24" t="s">
        <v>42234</v>
      </c>
      <c r="B13362" s="24" t="s">
        <v>42235</v>
      </c>
      <c r="C13362" s="24" t="s">
        <v>42236</v>
      </c>
      <c r="D13362" s="25" t="s">
        <v>42237</v>
      </c>
      <c r="E13362" s="28">
        <v>0.50000</v>
      </c>
      <c r="F13362" s="29">
        <f ca="1">ROUND(19.000,3)</f>
        <v>0</v>
      </c>
      <c r="G13362" s="27">
        <f ca="1">ROUND(E13362*F13362,2)</f>
        <v>0</v>
      </c>
    </row>
    <row r="13363" spans="1:7" ht="15.12" thickBot="1" customHeight="1">
      <c r="A13363" s="26"/>
      <c r="B13363" s="26"/>
      <c r="C13363" s="26"/>
      <c r="D13363" s="24" t="s">
        <v>42238</v>
      </c>
      <c r="E13363" s="28">
        <v>0.42000</v>
      </c>
      <c r="F13363" s="29">
        <f ca="1">ROUND((G13360+G13361+G13362),3)</f>
        <v>0</v>
      </c>
      <c r="G13363" s="27">
        <f ca="1">ROUND(E13363*F13363,2)</f>
        <v>0</v>
      </c>
    </row>
    <row r="13364" spans="1:7" ht="15.12" thickBot="1" customHeight="1">
      <c r="A13364" s="24" t="s">
        <v>42239</v>
      </c>
      <c r="B13364" s="24"/>
      <c r="C13364" s="24" t="s">
        <v>42240</v>
      </c>
      <c r="D13364" s="25" t="s">
        <v>42241</v>
      </c>
      <c r="E13364" s="28">
        <v>3.00000</v>
      </c>
      <c r="F13364" s="29">
        <f ca="1">ROUND(20.790,3)</f>
        <v>0</v>
      </c>
      <c r="G13364" s="27">
        <f ca="1">ROUND((E13364*F13364)/100,2)</f>
        <v>0</v>
      </c>
    </row>
    <row r="13365" spans="1:7" ht="15.48" thickBot="1" customHeight="1">
      <c r="A13365" s="30"/>
      <c r="B13365" s="30"/>
      <c r="C13365" s="30"/>
      <c r="D13365" s="31" t="s">
        <v>42242</v>
      </c>
      <c r="E13365" s="30"/>
      <c r="F13365" s="33">
        <f ca="1">ROUND((G13355+G13356+G13357+G13358+G13359+G13364)*(1+G2/100),2)</f>
        <v>0</v>
      </c>
      <c r="G13365" s="30"/>
    </row>
    <row r="13366" spans="1:7" ht="21.36" thickBot="1" customHeight="1">
      <c r="A13366" s="34" t="s">
        <v>42243</v>
      </c>
      <c r="B13366" s="35" t="s">
        <v>42244</v>
      </c>
      <c r="C13366" s="35" t="s">
        <v>42245</v>
      </c>
      <c r="D13366" s="36" t="s">
        <v>42246</v>
      </c>
      <c r="E13366" s="37"/>
      <c r="F13366" s="38">
        <f ca="1">F13380</f>
        <v>0</v>
      </c>
      <c r="G13366" s="37"/>
    </row>
    <row r="13367" spans="1:7" ht="67.56" thickBot="1" customHeight="1">
      <c r="A13367" s="26"/>
      <c r="B13367" s="26"/>
      <c r="C13367" s="26"/>
      <c r="D13367" s="25" t="s">
        <v>42247</v>
      </c>
      <c r="E13367" s="25"/>
      <c r="F13367" s="25"/>
      <c r="G13367" s="25"/>
    </row>
    <row r="13368" spans="1:7" ht="39.84" thickBot="1" customHeight="1">
      <c r="A13368" s="24" t="s">
        <v>42248</v>
      </c>
      <c r="B13368" s="24" t="s">
        <v>42249</v>
      </c>
      <c r="C13368" s="24" t="s">
        <v>42250</v>
      </c>
      <c r="D13368" s="25" t="s">
        <v>42251</v>
      </c>
      <c r="E13368" s="28">
        <v>0.92000</v>
      </c>
      <c r="F13368" s="29">
        <f ca="1">ROUND(10.460,3)</f>
        <v>0</v>
      </c>
      <c r="G13368" s="27">
        <f ca="1">ROUND(E13368*F13368,2)</f>
        <v>0</v>
      </c>
    </row>
    <row r="13369" spans="1:7" ht="39.84" thickBot="1" customHeight="1">
      <c r="A13369" s="24" t="s">
        <v>42252</v>
      </c>
      <c r="B13369" s="24" t="s">
        <v>42253</v>
      </c>
      <c r="C13369" s="24" t="s">
        <v>42254</v>
      </c>
      <c r="D13369" s="25" t="s">
        <v>42255</v>
      </c>
      <c r="E13369" s="28">
        <v>0.34000</v>
      </c>
      <c r="F13369" s="29">
        <f ca="1">ROUND(15.200,3)</f>
        <v>0</v>
      </c>
      <c r="G13369" s="27">
        <f ca="1">ROUND(E13369*F13369,2)</f>
        <v>0</v>
      </c>
    </row>
    <row r="13370" spans="1:7" ht="30.60" thickBot="1" customHeight="1">
      <c r="A13370" s="24" t="s">
        <v>42256</v>
      </c>
      <c r="B13370" s="24" t="s">
        <v>42257</v>
      </c>
      <c r="C13370" s="24" t="s">
        <v>42258</v>
      </c>
      <c r="D13370" s="25" t="s">
        <v>42259</v>
      </c>
      <c r="E13370" s="28">
        <v>0.02200</v>
      </c>
      <c r="F13370" s="29">
        <f ca="1">ROUND(27.500,3)</f>
        <v>0</v>
      </c>
      <c r="G13370" s="27">
        <f ca="1">ROUND(E13370*F13370,2)</f>
        <v>0</v>
      </c>
    </row>
    <row r="13371" spans="1:7" ht="39.84" thickBot="1" customHeight="1">
      <c r="A13371" s="24" t="s">
        <v>42260</v>
      </c>
      <c r="B13371" s="24" t="s">
        <v>42261</v>
      </c>
      <c r="C13371" s="24" t="s">
        <v>42262</v>
      </c>
      <c r="D13371" s="25" t="s">
        <v>42263</v>
      </c>
      <c r="E13371" s="28">
        <v>0.12000</v>
      </c>
      <c r="F13371" s="29">
        <f ca="1">ROUND(4.050,3)</f>
        <v>0</v>
      </c>
      <c r="G13371" s="27">
        <f ca="1">ROUND(E13371*F13371,2)</f>
        <v>0</v>
      </c>
    </row>
    <row r="13372" spans="1:7" ht="39.84" thickBot="1" customHeight="1">
      <c r="A13372" s="24" t="s">
        <v>42264</v>
      </c>
      <c r="B13372" s="24" t="s">
        <v>42265</v>
      </c>
      <c r="C13372" s="24" t="s">
        <v>42266</v>
      </c>
      <c r="D13372" s="25" t="s">
        <v>42267</v>
      </c>
      <c r="E13372" s="28">
        <v>0.24000</v>
      </c>
      <c r="F13372" s="29">
        <f ca="1">ROUND(2.630,3)</f>
        <v>0</v>
      </c>
      <c r="G13372" s="27">
        <f ca="1">ROUND(E13372*F13372,2)</f>
        <v>0</v>
      </c>
    </row>
    <row r="13373" spans="1:7" ht="39.84" thickBot="1" customHeight="1">
      <c r="A13373" s="24" t="s">
        <v>42268</v>
      </c>
      <c r="B13373" s="24" t="s">
        <v>42269</v>
      </c>
      <c r="C13373" s="24" t="s">
        <v>42270</v>
      </c>
      <c r="D13373" s="25" t="s">
        <v>42271</v>
      </c>
      <c r="E13373" s="28">
        <v>0.12370</v>
      </c>
      <c r="F13373" s="29">
        <f ca="1">ROUND(5.040,3)</f>
        <v>0</v>
      </c>
      <c r="G13373" s="27">
        <f ca="1">ROUND(E13373*F13373,2)</f>
        <v>0</v>
      </c>
    </row>
    <row r="13374" spans="1:7" ht="21.36" thickBot="1" customHeight="1">
      <c r="A13374" s="24" t="s">
        <v>42272</v>
      </c>
      <c r="B13374" s="24" t="s">
        <v>42273</v>
      </c>
      <c r="C13374" s="24" t="s">
        <v>42274</v>
      </c>
      <c r="D13374" s="25" t="s">
        <v>42275</v>
      </c>
      <c r="E13374" s="28">
        <v>0.80000</v>
      </c>
      <c r="F13374" s="29">
        <f ca="1">F13378</f>
        <v>0</v>
      </c>
      <c r="G13374" s="27">
        <f ca="1">ROUND(E13374*F13374,2)</f>
        <v>0</v>
      </c>
    </row>
    <row r="13375" spans="1:7" ht="24.36" thickBot="1" customHeight="1">
      <c r="A13375" s="24" t="s">
        <v>42276</v>
      </c>
      <c r="B13375" s="24" t="s">
        <v>42277</v>
      </c>
      <c r="C13375" s="24" t="s">
        <v>42278</v>
      </c>
      <c r="D13375" s="25" t="s">
        <v>42279</v>
      </c>
      <c r="E13375" s="28">
        <v>1.00000</v>
      </c>
      <c r="F13375" s="29">
        <f ca="1">ROUND(21.000,3)</f>
        <v>0</v>
      </c>
      <c r="G13375" s="27">
        <f ca="1">ROUND(E13375*F13375,2)</f>
        <v>0</v>
      </c>
    </row>
    <row r="13376" spans="1:7" ht="24.36" thickBot="1" customHeight="1">
      <c r="A13376" s="24" t="s">
        <v>42280</v>
      </c>
      <c r="B13376" s="24" t="s">
        <v>42281</v>
      </c>
      <c r="C13376" s="24" t="s">
        <v>42282</v>
      </c>
      <c r="D13376" s="25" t="s">
        <v>42283</v>
      </c>
      <c r="E13376" s="28">
        <v>1.00000</v>
      </c>
      <c r="F13376" s="29">
        <f ca="1">ROUND(19.000,3)</f>
        <v>0</v>
      </c>
      <c r="G13376" s="27">
        <f ca="1">ROUND(E13376*F13376,2)</f>
        <v>0</v>
      </c>
    </row>
    <row r="13377" spans="1:7" ht="24.36" thickBot="1" customHeight="1">
      <c r="A13377" s="24" t="s">
        <v>42284</v>
      </c>
      <c r="B13377" s="24" t="s">
        <v>42285</v>
      </c>
      <c r="C13377" s="24" t="s">
        <v>42286</v>
      </c>
      <c r="D13377" s="25" t="s">
        <v>42287</v>
      </c>
      <c r="E13377" s="28">
        <v>0.20000</v>
      </c>
      <c r="F13377" s="29">
        <f ca="1">ROUND(19.000,3)</f>
        <v>0</v>
      </c>
      <c r="G13377" s="27">
        <f ca="1">ROUND(E13377*F13377,2)</f>
        <v>0</v>
      </c>
    </row>
    <row r="13378" spans="1:7" ht="15.12" thickBot="1" customHeight="1">
      <c r="A13378" s="26"/>
      <c r="B13378" s="26"/>
      <c r="C13378" s="26"/>
      <c r="D13378" s="24" t="s">
        <v>42288</v>
      </c>
      <c r="E13378" s="28">
        <v>0.80000</v>
      </c>
      <c r="F13378" s="29">
        <f ca="1">ROUND((G13375+G13376+G13377),3)</f>
        <v>0</v>
      </c>
      <c r="G13378" s="27">
        <f ca="1">ROUND(E13378*F13378,2)</f>
        <v>0</v>
      </c>
    </row>
    <row r="13379" spans="1:7" ht="15.12" thickBot="1" customHeight="1">
      <c r="A13379" s="24" t="s">
        <v>42289</v>
      </c>
      <c r="B13379" s="24"/>
      <c r="C13379" s="24" t="s">
        <v>42290</v>
      </c>
      <c r="D13379" s="25" t="s">
        <v>42291</v>
      </c>
      <c r="E13379" s="28">
        <v>3.00000</v>
      </c>
      <c r="F13379" s="29">
        <f ca="1">ROUND(35.040,3)</f>
        <v>0</v>
      </c>
      <c r="G13379" s="27">
        <f ca="1">ROUND((E13379*F13379)/100,2)</f>
        <v>0</v>
      </c>
    </row>
    <row r="13380" spans="1:7" ht="15.48" thickBot="1" customHeight="1">
      <c r="A13380" s="30"/>
      <c r="B13380" s="30"/>
      <c r="C13380" s="30"/>
      <c r="D13380" s="31" t="s">
        <v>42292</v>
      </c>
      <c r="E13380" s="30"/>
      <c r="F13380" s="33">
        <f ca="1">ROUND((G13368+G13369+G13370+G13371+G13372+G13373+G13374+G13379)*(1+G2/100),2)</f>
        <v>0</v>
      </c>
      <c r="G13380" s="30"/>
    </row>
    <row r="13381" spans="1:7" ht="21.36" thickBot="1" customHeight="1">
      <c r="A13381" s="34" t="s">
        <v>42293</v>
      </c>
      <c r="B13381" s="35" t="s">
        <v>42294</v>
      </c>
      <c r="C13381" s="35" t="s">
        <v>42295</v>
      </c>
      <c r="D13381" s="36" t="s">
        <v>42296</v>
      </c>
      <c r="E13381" s="37"/>
      <c r="F13381" s="38">
        <f ca="1">F13392</f>
        <v>0</v>
      </c>
      <c r="G13381" s="37"/>
    </row>
    <row r="13382" spans="1:7" ht="21.36" thickBot="1" customHeight="1">
      <c r="A13382" s="26"/>
      <c r="B13382" s="26"/>
      <c r="C13382" s="26"/>
      <c r="D13382" s="25" t="s">
        <v>42297</v>
      </c>
      <c r="E13382" s="25"/>
      <c r="F13382" s="25"/>
      <c r="G13382" s="25"/>
    </row>
    <row r="13383" spans="1:7" ht="30.60" thickBot="1" customHeight="1">
      <c r="A13383" s="24" t="s">
        <v>42298</v>
      </c>
      <c r="B13383" s="24" t="s">
        <v>42299</v>
      </c>
      <c r="C13383" s="24" t="s">
        <v>42300</v>
      </c>
      <c r="D13383" s="25" t="s">
        <v>42301</v>
      </c>
      <c r="E13383" s="28">
        <v>1.00000</v>
      </c>
      <c r="F13383" s="29">
        <f ca="1">ROUND(10.670,3)</f>
        <v>0</v>
      </c>
      <c r="G13383" s="27">
        <f ca="1">ROUND(E13383*F13383,2)</f>
        <v>0</v>
      </c>
    </row>
    <row r="13384" spans="1:7" ht="30.60" thickBot="1" customHeight="1">
      <c r="A13384" s="24" t="s">
        <v>42302</v>
      </c>
      <c r="B13384" s="24" t="s">
        <v>42303</v>
      </c>
      <c r="C13384" s="24" t="s">
        <v>42304</v>
      </c>
      <c r="D13384" s="25" t="s">
        <v>42305</v>
      </c>
      <c r="E13384" s="28">
        <v>0.02200</v>
      </c>
      <c r="F13384" s="29">
        <f ca="1">ROUND(27.500,3)</f>
        <v>0</v>
      </c>
      <c r="G13384" s="27">
        <f ca="1">ROUND(E13384*F13384,2)</f>
        <v>0</v>
      </c>
    </row>
    <row r="13385" spans="1:7" ht="21.36" thickBot="1" customHeight="1">
      <c r="A13385" s="24" t="s">
        <v>42306</v>
      </c>
      <c r="B13385" s="24" t="s">
        <v>42307</v>
      </c>
      <c r="C13385" s="24" t="s">
        <v>42308</v>
      </c>
      <c r="D13385" s="25" t="s">
        <v>42309</v>
      </c>
      <c r="E13385" s="28">
        <v>0.40000</v>
      </c>
      <c r="F13385" s="29">
        <f ca="1">ROUND(1.050,3)</f>
        <v>0</v>
      </c>
      <c r="G13385" s="27">
        <f ca="1">ROUND(E13385*F13385,2)</f>
        <v>0</v>
      </c>
    </row>
    <row r="13386" spans="1:7" ht="21.36" thickBot="1" customHeight="1">
      <c r="A13386" s="24" t="s">
        <v>42310</v>
      </c>
      <c r="B13386" s="24" t="s">
        <v>42311</v>
      </c>
      <c r="C13386" s="24" t="s">
        <v>42312</v>
      </c>
      <c r="D13386" s="25" t="s">
        <v>42313</v>
      </c>
      <c r="E13386" s="28">
        <v>0.64000</v>
      </c>
      <c r="F13386" s="29">
        <f ca="1">F13390</f>
        <v>0</v>
      </c>
      <c r="G13386" s="27">
        <f ca="1">ROUND(E13386*F13386,2)</f>
        <v>0</v>
      </c>
    </row>
    <row r="13387" spans="1:7" ht="24.36" thickBot="1" customHeight="1">
      <c r="A13387" s="24" t="s">
        <v>42314</v>
      </c>
      <c r="B13387" s="24" t="s">
        <v>42315</v>
      </c>
      <c r="C13387" s="24" t="s">
        <v>42316</v>
      </c>
      <c r="D13387" s="25" t="s">
        <v>42317</v>
      </c>
      <c r="E13387" s="28">
        <v>1.00000</v>
      </c>
      <c r="F13387" s="29">
        <f ca="1">ROUND(21.000,3)</f>
        <v>0</v>
      </c>
      <c r="G13387" s="27">
        <f ca="1">ROUND(E13387*F13387,2)</f>
        <v>0</v>
      </c>
    </row>
    <row r="13388" spans="1:7" ht="24.36" thickBot="1" customHeight="1">
      <c r="A13388" s="24" t="s">
        <v>42318</v>
      </c>
      <c r="B13388" s="24" t="s">
        <v>42319</v>
      </c>
      <c r="C13388" s="24" t="s">
        <v>42320</v>
      </c>
      <c r="D13388" s="25" t="s">
        <v>42321</v>
      </c>
      <c r="E13388" s="28">
        <v>1.00000</v>
      </c>
      <c r="F13388" s="29">
        <f ca="1">ROUND(19.000,3)</f>
        <v>0</v>
      </c>
      <c r="G13388" s="27">
        <f ca="1">ROUND(E13388*F13388,2)</f>
        <v>0</v>
      </c>
    </row>
    <row r="13389" spans="1:7" ht="24.36" thickBot="1" customHeight="1">
      <c r="A13389" s="24" t="s">
        <v>42322</v>
      </c>
      <c r="B13389" s="24" t="s">
        <v>42323</v>
      </c>
      <c r="C13389" s="24" t="s">
        <v>42324</v>
      </c>
      <c r="D13389" s="25" t="s">
        <v>42325</v>
      </c>
      <c r="E13389" s="28">
        <v>0.20000</v>
      </c>
      <c r="F13389" s="29">
        <f ca="1">ROUND(19.000,3)</f>
        <v>0</v>
      </c>
      <c r="G13389" s="27">
        <f ca="1">ROUND(E13389*F13389,2)</f>
        <v>0</v>
      </c>
    </row>
    <row r="13390" spans="1:7" ht="15.12" thickBot="1" customHeight="1">
      <c r="A13390" s="26"/>
      <c r="B13390" s="26"/>
      <c r="C13390" s="26"/>
      <c r="D13390" s="24" t="s">
        <v>42326</v>
      </c>
      <c r="E13390" s="28">
        <v>0.64000</v>
      </c>
      <c r="F13390" s="29">
        <f ca="1">ROUND((G13387+G13388+G13389),3)</f>
        <v>0</v>
      </c>
      <c r="G13390" s="27">
        <f ca="1">ROUND(E13390*F13390,2)</f>
        <v>0</v>
      </c>
    </row>
    <row r="13391" spans="1:7" ht="15.12" thickBot="1" customHeight="1">
      <c r="A13391" s="24" t="s">
        <v>42327</v>
      </c>
      <c r="B13391" s="24"/>
      <c r="C13391" s="24" t="s">
        <v>42328</v>
      </c>
      <c r="D13391" s="25" t="s">
        <v>42329</v>
      </c>
      <c r="E13391" s="28">
        <v>3.00000</v>
      </c>
      <c r="F13391" s="29">
        <f ca="1">ROUND(28.030,3)</f>
        <v>0</v>
      </c>
      <c r="G13391" s="27">
        <f ca="1">ROUND((E13391*F13391)/100,2)</f>
        <v>0</v>
      </c>
    </row>
    <row r="13392" spans="1:7" ht="15.48" thickBot="1" customHeight="1">
      <c r="A13392" s="30"/>
      <c r="B13392" s="30"/>
      <c r="C13392" s="30"/>
      <c r="D13392" s="31" t="s">
        <v>42330</v>
      </c>
      <c r="E13392" s="30"/>
      <c r="F13392" s="33">
        <f ca="1">ROUND((G13383+G13384+G13385+G13386+G13391)*(1+G2/100),2)</f>
        <v>0</v>
      </c>
      <c r="G13392" s="30"/>
    </row>
    <row r="13393" spans="1:7" ht="21.36" thickBot="1" customHeight="1">
      <c r="A13393" s="34" t="s">
        <v>42331</v>
      </c>
      <c r="B13393" s="35" t="s">
        <v>42332</v>
      </c>
      <c r="C13393" s="35" t="s">
        <v>42333</v>
      </c>
      <c r="D13393" s="36" t="s">
        <v>42334</v>
      </c>
      <c r="E13393" s="37"/>
      <c r="F13393" s="38">
        <f ca="1">F13406</f>
        <v>0</v>
      </c>
      <c r="G13393" s="37"/>
    </row>
    <row r="13394" spans="1:7" ht="169.20" thickBot="1" customHeight="1">
      <c r="A13394" s="26"/>
      <c r="B13394" s="26"/>
      <c r="C13394" s="26"/>
      <c r="D13394" s="25" t="s">
        <v>42335</v>
      </c>
      <c r="E13394" s="25"/>
      <c r="F13394" s="25"/>
      <c r="G13394" s="25"/>
    </row>
    <row r="13395" spans="1:7" ht="21.36" thickBot="1" customHeight="1">
      <c r="A13395" s="24" t="s">
        <v>42336</v>
      </c>
      <c r="B13395" s="24" t="s">
        <v>42337</v>
      </c>
      <c r="C13395" s="24" t="s">
        <v>42338</v>
      </c>
      <c r="D13395" s="25" t="s">
        <v>42339</v>
      </c>
      <c r="E13395" s="28">
        <v>0.71400</v>
      </c>
      <c r="F13395" s="29">
        <f ca="1">ROUND(14.100,3)</f>
        <v>0</v>
      </c>
      <c r="G13395" s="27">
        <f ca="1">ROUND(E13395*F13395,2)</f>
        <v>0</v>
      </c>
    </row>
    <row r="13396" spans="1:7" ht="30.60" thickBot="1" customHeight="1">
      <c r="A13396" s="24" t="s">
        <v>42340</v>
      </c>
      <c r="B13396" s="24" t="s">
        <v>42341</v>
      </c>
      <c r="C13396" s="24" t="s">
        <v>42342</v>
      </c>
      <c r="D13396" s="25" t="s">
        <v>42343</v>
      </c>
      <c r="E13396" s="28">
        <v>0.02000</v>
      </c>
      <c r="F13396" s="29">
        <f ca="1">ROUND(27.500,3)</f>
        <v>0</v>
      </c>
      <c r="G13396" s="27">
        <f ca="1">ROUND(E13396*F13396,2)</f>
        <v>0</v>
      </c>
    </row>
    <row r="13397" spans="1:7" ht="21.36" thickBot="1" customHeight="1">
      <c r="A13397" s="24" t="s">
        <v>42344</v>
      </c>
      <c r="B13397" s="24" t="s">
        <v>42345</v>
      </c>
      <c r="C13397" s="24" t="s">
        <v>42346</v>
      </c>
      <c r="D13397" s="25" t="s">
        <v>42347</v>
      </c>
      <c r="E13397" s="28">
        <v>1.30000</v>
      </c>
      <c r="F13397" s="29">
        <f ca="1">ROUND(7.250,3)</f>
        <v>0</v>
      </c>
      <c r="G13397" s="27">
        <f ca="1">ROUND(E13397*F13397,2)</f>
        <v>0</v>
      </c>
    </row>
    <row r="13398" spans="1:7" ht="39.84" thickBot="1" customHeight="1">
      <c r="A13398" s="24" t="s">
        <v>42348</v>
      </c>
      <c r="B13398" s="24" t="s">
        <v>42349</v>
      </c>
      <c r="C13398" s="24" t="s">
        <v>42350</v>
      </c>
      <c r="D13398" s="25" t="s">
        <v>42351</v>
      </c>
      <c r="E13398" s="28">
        <v>0.40000</v>
      </c>
      <c r="F13398" s="29">
        <f ca="1">ROUND(2.630,3)</f>
        <v>0</v>
      </c>
      <c r="G13398" s="27">
        <f ca="1">ROUND(E13398*F13398,2)</f>
        <v>0</v>
      </c>
    </row>
    <row r="13399" spans="1:7" ht="21.36" thickBot="1" customHeight="1">
      <c r="A13399" s="24" t="s">
        <v>42352</v>
      </c>
      <c r="B13399" s="24" t="s">
        <v>42353</v>
      </c>
      <c r="C13399" s="24" t="s">
        <v>42354</v>
      </c>
      <c r="D13399" s="25" t="s">
        <v>42355</v>
      </c>
      <c r="E13399" s="28">
        <v>0.33300</v>
      </c>
      <c r="F13399" s="29">
        <f ca="1">ROUND(23.200,3)</f>
        <v>0</v>
      </c>
      <c r="G13399" s="27">
        <f ca="1">ROUND(E13399*F13399,2)</f>
        <v>0</v>
      </c>
    </row>
    <row r="13400" spans="1:7" ht="21.36" thickBot="1" customHeight="1">
      <c r="A13400" s="24" t="s">
        <v>42356</v>
      </c>
      <c r="B13400" s="24" t="s">
        <v>42357</v>
      </c>
      <c r="C13400" s="24" t="s">
        <v>42358</v>
      </c>
      <c r="D13400" s="25" t="s">
        <v>42359</v>
      </c>
      <c r="E13400" s="28">
        <v>2.28000</v>
      </c>
      <c r="F13400" s="29">
        <f ca="1">F13404</f>
        <v>0</v>
      </c>
      <c r="G13400" s="27">
        <f ca="1">ROUND(E13400*F13400,2)</f>
        <v>0</v>
      </c>
    </row>
    <row r="13401" spans="1:7" ht="24.36" thickBot="1" customHeight="1">
      <c r="A13401" s="24" t="s">
        <v>42360</v>
      </c>
      <c r="B13401" s="24" t="s">
        <v>42361</v>
      </c>
      <c r="C13401" s="24" t="s">
        <v>42362</v>
      </c>
      <c r="D13401" s="25" t="s">
        <v>42363</v>
      </c>
      <c r="E13401" s="28">
        <v>1.00000</v>
      </c>
      <c r="F13401" s="29">
        <f ca="1">ROUND(21.000,3)</f>
        <v>0</v>
      </c>
      <c r="G13401" s="27">
        <f ca="1">ROUND(E13401*F13401,2)</f>
        <v>0</v>
      </c>
    </row>
    <row r="13402" spans="1:7" ht="24.36" thickBot="1" customHeight="1">
      <c r="A13402" s="24" t="s">
        <v>42364</v>
      </c>
      <c r="B13402" s="24" t="s">
        <v>42365</v>
      </c>
      <c r="C13402" s="24" t="s">
        <v>42366</v>
      </c>
      <c r="D13402" s="25" t="s">
        <v>42367</v>
      </c>
      <c r="E13402" s="28">
        <v>1.00000</v>
      </c>
      <c r="F13402" s="29">
        <f ca="1">ROUND(19.000,3)</f>
        <v>0</v>
      </c>
      <c r="G13402" s="27">
        <f ca="1">ROUND(E13402*F13402,2)</f>
        <v>0</v>
      </c>
    </row>
    <row r="13403" spans="1:7" ht="24.36" thickBot="1" customHeight="1">
      <c r="A13403" s="24" t="s">
        <v>42368</v>
      </c>
      <c r="B13403" s="24" t="s">
        <v>42369</v>
      </c>
      <c r="C13403" s="24" t="s">
        <v>42370</v>
      </c>
      <c r="D13403" s="25" t="s">
        <v>42371</v>
      </c>
      <c r="E13403" s="28">
        <v>0.20000</v>
      </c>
      <c r="F13403" s="29">
        <f ca="1">ROUND(19.000,3)</f>
        <v>0</v>
      </c>
      <c r="G13403" s="27">
        <f ca="1">ROUND(E13403*F13403,2)</f>
        <v>0</v>
      </c>
    </row>
    <row r="13404" spans="1:7" ht="15.12" thickBot="1" customHeight="1">
      <c r="A13404" s="26"/>
      <c r="B13404" s="26"/>
      <c r="C13404" s="26"/>
      <c r="D13404" s="24" t="s">
        <v>42372</v>
      </c>
      <c r="E13404" s="28">
        <v>2.28000</v>
      </c>
      <c r="F13404" s="29">
        <f ca="1">ROUND((G13401+G13402+G13403),3)</f>
        <v>0</v>
      </c>
      <c r="G13404" s="27">
        <f ca="1">ROUND(E13404*F13404,2)</f>
        <v>0</v>
      </c>
    </row>
    <row r="13405" spans="1:7" ht="15.12" thickBot="1" customHeight="1">
      <c r="A13405" s="24" t="s">
        <v>42373</v>
      </c>
      <c r="B13405" s="24"/>
      <c r="C13405" s="24" t="s">
        <v>42374</v>
      </c>
      <c r="D13405" s="25" t="s">
        <v>42375</v>
      </c>
      <c r="E13405" s="28">
        <v>3.00000</v>
      </c>
      <c r="F13405" s="29">
        <f ca="1">ROUND(99.860,3)</f>
        <v>0</v>
      </c>
      <c r="G13405" s="27">
        <f ca="1">ROUND((E13405*F13405)/100,2)</f>
        <v>0</v>
      </c>
    </row>
    <row r="13406" spans="1:7" ht="15.48" thickBot="1" customHeight="1">
      <c r="A13406" s="30"/>
      <c r="B13406" s="30"/>
      <c r="C13406" s="30"/>
      <c r="D13406" s="31" t="s">
        <v>42376</v>
      </c>
      <c r="E13406" s="30"/>
      <c r="F13406" s="33">
        <f ca="1">ROUND((G13395+G13396+G13397+G13398+G13399+G13400+G13405)*(1+G2/100),2)</f>
        <v>0</v>
      </c>
      <c r="G13406" s="30"/>
    </row>
    <row r="13407" spans="1:7" ht="21.36" thickBot="1" customHeight="1">
      <c r="A13407" s="34" t="s">
        <v>42377</v>
      </c>
      <c r="B13407" s="35" t="s">
        <v>42378</v>
      </c>
      <c r="C13407" s="35" t="s">
        <v>42379</v>
      </c>
      <c r="D13407" s="36" t="s">
        <v>42380</v>
      </c>
      <c r="E13407" s="37"/>
      <c r="F13407" s="38">
        <f ca="1">F13417</f>
        <v>0</v>
      </c>
      <c r="G13407" s="37"/>
    </row>
    <row r="13408" spans="1:7" ht="21.36" thickBot="1" customHeight="1">
      <c r="A13408" s="26"/>
      <c r="B13408" s="26"/>
      <c r="C13408" s="26"/>
      <c r="D13408" s="25" t="s">
        <v>42381</v>
      </c>
      <c r="E13408" s="25"/>
      <c r="F13408" s="25"/>
      <c r="G13408" s="25"/>
    </row>
    <row r="13409" spans="1:7" ht="30.60" thickBot="1" customHeight="1">
      <c r="A13409" s="24" t="s">
        <v>42382</v>
      </c>
      <c r="B13409" s="24" t="s">
        <v>42383</v>
      </c>
      <c r="C13409" s="24" t="s">
        <v>42384</v>
      </c>
      <c r="D13409" s="25" t="s">
        <v>42385</v>
      </c>
      <c r="E13409" s="28">
        <v>1.15000</v>
      </c>
      <c r="F13409" s="29">
        <f ca="1">ROUND(15.270,3)</f>
        <v>0</v>
      </c>
      <c r="G13409" s="27">
        <f ca="1">ROUND(E13409*F13409,2)</f>
        <v>0</v>
      </c>
    </row>
    <row r="13410" spans="1:7" ht="30.60" thickBot="1" customHeight="1">
      <c r="A13410" s="24" t="s">
        <v>42386</v>
      </c>
      <c r="B13410" s="24" t="s">
        <v>42387</v>
      </c>
      <c r="C13410" s="24" t="s">
        <v>42388</v>
      </c>
      <c r="D13410" s="25" t="s">
        <v>42389</v>
      </c>
      <c r="E13410" s="28">
        <v>0.02200</v>
      </c>
      <c r="F13410" s="29">
        <f ca="1">ROUND(27.500,3)</f>
        <v>0</v>
      </c>
      <c r="G13410" s="27">
        <f ca="1">ROUND(E13410*F13410,2)</f>
        <v>0</v>
      </c>
    </row>
    <row r="13411" spans="1:7" ht="21.36" thickBot="1" customHeight="1">
      <c r="A13411" s="24" t="s">
        <v>42390</v>
      </c>
      <c r="B13411" s="24" t="s">
        <v>42391</v>
      </c>
      <c r="C13411" s="24" t="s">
        <v>42392</v>
      </c>
      <c r="D13411" s="25" t="s">
        <v>42393</v>
      </c>
      <c r="E13411" s="28">
        <v>0.55000</v>
      </c>
      <c r="F13411" s="29">
        <f ca="1">F13415</f>
        <v>0</v>
      </c>
      <c r="G13411" s="27">
        <f ca="1">ROUND(E13411*F13411,2)</f>
        <v>0</v>
      </c>
    </row>
    <row r="13412" spans="1:7" ht="24.36" thickBot="1" customHeight="1">
      <c r="A13412" s="24" t="s">
        <v>42394</v>
      </c>
      <c r="B13412" s="24" t="s">
        <v>42395</v>
      </c>
      <c r="C13412" s="24" t="s">
        <v>42396</v>
      </c>
      <c r="D13412" s="25" t="s">
        <v>42397</v>
      </c>
      <c r="E13412" s="28">
        <v>1.00000</v>
      </c>
      <c r="F13412" s="29">
        <f ca="1">ROUND(21.000,3)</f>
        <v>0</v>
      </c>
      <c r="G13412" s="27">
        <f ca="1">ROUND(E13412*F13412,2)</f>
        <v>0</v>
      </c>
    </row>
    <row r="13413" spans="1:7" ht="24.36" thickBot="1" customHeight="1">
      <c r="A13413" s="24" t="s">
        <v>42398</v>
      </c>
      <c r="B13413" s="24" t="s">
        <v>42399</v>
      </c>
      <c r="C13413" s="24" t="s">
        <v>42400</v>
      </c>
      <c r="D13413" s="25" t="s">
        <v>42401</v>
      </c>
      <c r="E13413" s="28">
        <v>1.00000</v>
      </c>
      <c r="F13413" s="29">
        <f ca="1">ROUND(19.000,3)</f>
        <v>0</v>
      </c>
      <c r="G13413" s="27">
        <f ca="1">ROUND(E13413*F13413,2)</f>
        <v>0</v>
      </c>
    </row>
    <row r="13414" spans="1:7" ht="24.36" thickBot="1" customHeight="1">
      <c r="A13414" s="24" t="s">
        <v>42402</v>
      </c>
      <c r="B13414" s="24" t="s">
        <v>42403</v>
      </c>
      <c r="C13414" s="24" t="s">
        <v>42404</v>
      </c>
      <c r="D13414" s="25" t="s">
        <v>42405</v>
      </c>
      <c r="E13414" s="28">
        <v>0.20000</v>
      </c>
      <c r="F13414" s="29">
        <f ca="1">ROUND(19.000,3)</f>
        <v>0</v>
      </c>
      <c r="G13414" s="27">
        <f ca="1">ROUND(E13414*F13414,2)</f>
        <v>0</v>
      </c>
    </row>
    <row r="13415" spans="1:7" ht="15.12" thickBot="1" customHeight="1">
      <c r="A13415" s="26"/>
      <c r="B13415" s="26"/>
      <c r="C13415" s="26"/>
      <c r="D13415" s="24" t="s">
        <v>42406</v>
      </c>
      <c r="E13415" s="28">
        <v>0.55000</v>
      </c>
      <c r="F13415" s="29">
        <f ca="1">ROUND((G13412+G13413+G13414),3)</f>
        <v>0</v>
      </c>
      <c r="G13415" s="27">
        <f ca="1">ROUND(E13415*F13415,2)</f>
        <v>0</v>
      </c>
    </row>
    <row r="13416" spans="1:7" ht="15.12" thickBot="1" customHeight="1">
      <c r="A13416" s="24" t="s">
        <v>42407</v>
      </c>
      <c r="B13416" s="24"/>
      <c r="C13416" s="24" t="s">
        <v>42408</v>
      </c>
      <c r="D13416" s="25" t="s">
        <v>42409</v>
      </c>
      <c r="E13416" s="28">
        <v>3.00000</v>
      </c>
      <c r="F13416" s="29">
        <f ca="1">ROUND(24.090,3)</f>
        <v>0</v>
      </c>
      <c r="G13416" s="27">
        <f ca="1">ROUND((E13416*F13416)/100,2)</f>
        <v>0</v>
      </c>
    </row>
    <row r="13417" spans="1:7" ht="15.48" thickBot="1" customHeight="1">
      <c r="A13417" s="30"/>
      <c r="B13417" s="30"/>
      <c r="C13417" s="30"/>
      <c r="D13417" s="31" t="s">
        <v>42410</v>
      </c>
      <c r="E13417" s="30"/>
      <c r="F13417" s="33">
        <f ca="1">ROUND((G13409+G13410+G13411+G13416)*(1+G2/100),2)</f>
        <v>0</v>
      </c>
      <c r="G13417" s="30"/>
    </row>
    <row r="13418" spans="1:7" ht="39.84" thickBot="1" customHeight="1">
      <c r="A13418" s="34" t="s">
        <v>42411</v>
      </c>
      <c r="B13418" s="35" t="s">
        <v>42412</v>
      </c>
      <c r="C13418" s="35" t="s">
        <v>42413</v>
      </c>
      <c r="D13418" s="36" t="s">
        <v>42414</v>
      </c>
      <c r="E13418" s="37"/>
      <c r="F13418" s="38">
        <f ca="1">F13429</f>
        <v>0</v>
      </c>
      <c r="G13418" s="37"/>
    </row>
    <row r="13419" spans="1:7" ht="21.36" thickBot="1" customHeight="1">
      <c r="A13419" s="26"/>
      <c r="B13419" s="26"/>
      <c r="C13419" s="26"/>
      <c r="D13419" s="25" t="s">
        <v>42415</v>
      </c>
      <c r="E13419" s="25"/>
      <c r="F13419" s="25"/>
      <c r="G13419" s="25"/>
    </row>
    <row r="13420" spans="1:7" ht="39.84" thickBot="1" customHeight="1">
      <c r="A13420" s="24" t="s">
        <v>42416</v>
      </c>
      <c r="B13420" s="24" t="s">
        <v>42417</v>
      </c>
      <c r="C13420" s="24" t="s">
        <v>42418</v>
      </c>
      <c r="D13420" s="25" t="s">
        <v>42419</v>
      </c>
      <c r="E13420" s="28">
        <v>0.01100</v>
      </c>
      <c r="F13420" s="29">
        <f ca="1">ROUND(33.520,3)</f>
        <v>0</v>
      </c>
      <c r="G13420" s="27">
        <f ca="1">ROUND(E13420*F13420,2)</f>
        <v>0</v>
      </c>
    </row>
    <row r="13421" spans="1:7" ht="30.60" thickBot="1" customHeight="1">
      <c r="A13421" s="24" t="s">
        <v>42420</v>
      </c>
      <c r="B13421" s="24" t="s">
        <v>42421</v>
      </c>
      <c r="C13421" s="24" t="s">
        <v>42422</v>
      </c>
      <c r="D13421" s="25" t="s">
        <v>42423</v>
      </c>
      <c r="E13421" s="28">
        <v>0.05400</v>
      </c>
      <c r="F13421" s="29">
        <f ca="1">ROUND(10.670,3)</f>
        <v>0</v>
      </c>
      <c r="G13421" s="27">
        <f ca="1">ROUND(E13421*F13421,2)</f>
        <v>0</v>
      </c>
    </row>
    <row r="13422" spans="1:7" ht="30.60" thickBot="1" customHeight="1">
      <c r="A13422" s="24" t="s">
        <v>42424</v>
      </c>
      <c r="B13422" s="24" t="s">
        <v>42425</v>
      </c>
      <c r="C13422" s="24" t="s">
        <v>42426</v>
      </c>
      <c r="D13422" s="25" t="s">
        <v>42427</v>
      </c>
      <c r="E13422" s="28">
        <v>0.00200</v>
      </c>
      <c r="F13422" s="29">
        <f ca="1">ROUND(27.500,3)</f>
        <v>0</v>
      </c>
      <c r="G13422" s="27">
        <f ca="1">ROUND(E13422*F13422,2)</f>
        <v>0</v>
      </c>
    </row>
    <row r="13423" spans="1:7" ht="21.36" thickBot="1" customHeight="1">
      <c r="A13423" s="24" t="s">
        <v>42428</v>
      </c>
      <c r="B13423" s="24" t="s">
        <v>42429</v>
      </c>
      <c r="C13423" s="24" t="s">
        <v>42430</v>
      </c>
      <c r="D13423" s="25" t="s">
        <v>42431</v>
      </c>
      <c r="E13423" s="28">
        <v>0.23330</v>
      </c>
      <c r="F13423" s="29">
        <f ca="1">F13427</f>
        <v>0</v>
      </c>
      <c r="G13423" s="27">
        <f ca="1">ROUND(E13423*F13423,2)</f>
        <v>0</v>
      </c>
    </row>
    <row r="13424" spans="1:7" ht="24.36" thickBot="1" customHeight="1">
      <c r="A13424" s="24" t="s">
        <v>42432</v>
      </c>
      <c r="B13424" s="24" t="s">
        <v>42433</v>
      </c>
      <c r="C13424" s="24" t="s">
        <v>42434</v>
      </c>
      <c r="D13424" s="25" t="s">
        <v>42435</v>
      </c>
      <c r="E13424" s="28">
        <v>1.00000</v>
      </c>
      <c r="F13424" s="29">
        <f ca="1">ROUND(21.000,3)</f>
        <v>0</v>
      </c>
      <c r="G13424" s="27">
        <f ca="1">ROUND(E13424*F13424,2)</f>
        <v>0</v>
      </c>
    </row>
    <row r="13425" spans="1:7" ht="24.36" thickBot="1" customHeight="1">
      <c r="A13425" s="24" t="s">
        <v>42436</v>
      </c>
      <c r="B13425" s="24" t="s">
        <v>42437</v>
      </c>
      <c r="C13425" s="24" t="s">
        <v>42438</v>
      </c>
      <c r="D13425" s="25" t="s">
        <v>42439</v>
      </c>
      <c r="E13425" s="28">
        <v>1.00000</v>
      </c>
      <c r="F13425" s="29">
        <f ca="1">ROUND(19.000,3)</f>
        <v>0</v>
      </c>
      <c r="G13425" s="27">
        <f ca="1">ROUND(E13425*F13425,2)</f>
        <v>0</v>
      </c>
    </row>
    <row r="13426" spans="1:7" ht="24.36" thickBot="1" customHeight="1">
      <c r="A13426" s="24" t="s">
        <v>42440</v>
      </c>
      <c r="B13426" s="24" t="s">
        <v>42441</v>
      </c>
      <c r="C13426" s="24" t="s">
        <v>42442</v>
      </c>
      <c r="D13426" s="25" t="s">
        <v>42443</v>
      </c>
      <c r="E13426" s="28">
        <v>0.20000</v>
      </c>
      <c r="F13426" s="29">
        <f ca="1">ROUND(19.000,3)</f>
        <v>0</v>
      </c>
      <c r="G13426" s="27">
        <f ca="1">ROUND(E13426*F13426,2)</f>
        <v>0</v>
      </c>
    </row>
    <row r="13427" spans="1:7" ht="15.12" thickBot="1" customHeight="1">
      <c r="A13427" s="26"/>
      <c r="B13427" s="26"/>
      <c r="C13427" s="26"/>
      <c r="D13427" s="24" t="s">
        <v>42444</v>
      </c>
      <c r="E13427" s="28">
        <v>0.23330</v>
      </c>
      <c r="F13427" s="29">
        <f ca="1">ROUND((G13424+G13425+G13426),3)</f>
        <v>0</v>
      </c>
      <c r="G13427" s="27">
        <f ca="1">ROUND(E13427*F13427,2)</f>
        <v>0</v>
      </c>
    </row>
    <row r="13428" spans="1:7" ht="15.12" thickBot="1" customHeight="1">
      <c r="A13428" s="24" t="s">
        <v>42445</v>
      </c>
      <c r="B13428" s="24"/>
      <c r="C13428" s="24" t="s">
        <v>42446</v>
      </c>
      <c r="D13428" s="25" t="s">
        <v>42447</v>
      </c>
      <c r="E13428" s="28">
        <v>3.00000</v>
      </c>
      <c r="F13428" s="29">
        <f ca="1">ROUND(10.220,3)</f>
        <v>0</v>
      </c>
      <c r="G13428" s="27">
        <f ca="1">ROUND((E13428*F13428)/100,2)</f>
        <v>0</v>
      </c>
    </row>
    <row r="13429" spans="1:7" ht="15.48" thickBot="1" customHeight="1">
      <c r="A13429" s="30"/>
      <c r="B13429" s="30"/>
      <c r="C13429" s="30"/>
      <c r="D13429" s="31" t="s">
        <v>42448</v>
      </c>
      <c r="E13429" s="30"/>
      <c r="F13429" s="33">
        <f ca="1">ROUND((G13420+G13421+G13422+G13423+G13428)*(1+G2/100),2)</f>
        <v>0</v>
      </c>
      <c r="G13429" s="30"/>
    </row>
    <row r="13430" spans="1:7" ht="58.32" thickBot="1" customHeight="1">
      <c r="A13430" s="34" t="s">
        <v>42449</v>
      </c>
      <c r="B13430" s="35" t="s">
        <v>42450</v>
      </c>
      <c r="C13430" s="35" t="s">
        <v>42451</v>
      </c>
      <c r="D13430" s="36" t="s">
        <v>42452</v>
      </c>
      <c r="E13430" s="37"/>
      <c r="F13430" s="38">
        <f ca="1">F13444</f>
        <v>0</v>
      </c>
      <c r="G13430" s="37"/>
    </row>
    <row r="13431" spans="1:7" ht="21.36" thickBot="1" customHeight="1">
      <c r="A13431" s="26"/>
      <c r="B13431" s="26"/>
      <c r="C13431" s="26"/>
      <c r="D13431" s="25" t="s">
        <v>42453</v>
      </c>
      <c r="E13431" s="25"/>
      <c r="F13431" s="25"/>
      <c r="G13431" s="25"/>
    </row>
    <row r="13432" spans="1:7" ht="39.84" thickBot="1" customHeight="1">
      <c r="A13432" s="24" t="s">
        <v>42454</v>
      </c>
      <c r="B13432" s="24" t="s">
        <v>42455</v>
      </c>
      <c r="C13432" s="24" t="s">
        <v>42456</v>
      </c>
      <c r="D13432" s="25" t="s">
        <v>42457</v>
      </c>
      <c r="E13432" s="28">
        <v>0.64000</v>
      </c>
      <c r="F13432" s="29">
        <f ca="1">ROUND(10.460,3)</f>
        <v>0</v>
      </c>
      <c r="G13432" s="27">
        <f ca="1">ROUND(E13432*F13432,2)</f>
        <v>0</v>
      </c>
    </row>
    <row r="13433" spans="1:7" ht="39.84" thickBot="1" customHeight="1">
      <c r="A13433" s="24" t="s">
        <v>42458</v>
      </c>
      <c r="B13433" s="24" t="s">
        <v>42459</v>
      </c>
      <c r="C13433" s="24" t="s">
        <v>42460</v>
      </c>
      <c r="D13433" s="25" t="s">
        <v>42461</v>
      </c>
      <c r="E13433" s="28">
        <v>0.34000</v>
      </c>
      <c r="F13433" s="29">
        <f ca="1">ROUND(15.200,3)</f>
        <v>0</v>
      </c>
      <c r="G13433" s="27">
        <f ca="1">ROUND(E13433*F13433,2)</f>
        <v>0</v>
      </c>
    </row>
    <row r="13434" spans="1:7" ht="30.60" thickBot="1" customHeight="1">
      <c r="A13434" s="24" t="s">
        <v>42462</v>
      </c>
      <c r="B13434" s="24" t="s">
        <v>42463</v>
      </c>
      <c r="C13434" s="24" t="s">
        <v>42464</v>
      </c>
      <c r="D13434" s="25" t="s">
        <v>42465</v>
      </c>
      <c r="E13434" s="28">
        <v>0.02200</v>
      </c>
      <c r="F13434" s="29">
        <f ca="1">ROUND(27.500,3)</f>
        <v>0</v>
      </c>
      <c r="G13434" s="27">
        <f ca="1">ROUND(E13434*F13434,2)</f>
        <v>0</v>
      </c>
    </row>
    <row r="13435" spans="1:7" ht="39.84" thickBot="1" customHeight="1">
      <c r="A13435" s="24" t="s">
        <v>42466</v>
      </c>
      <c r="B13435" s="24" t="s">
        <v>42467</v>
      </c>
      <c r="C13435" s="24" t="s">
        <v>42468</v>
      </c>
      <c r="D13435" s="25" t="s">
        <v>42469</v>
      </c>
      <c r="E13435" s="28">
        <v>0.12000</v>
      </c>
      <c r="F13435" s="29">
        <f ca="1">ROUND(4.050,3)</f>
        <v>0</v>
      </c>
      <c r="G13435" s="27">
        <f ca="1">ROUND(E13435*F13435,2)</f>
        <v>0</v>
      </c>
    </row>
    <row r="13436" spans="1:7" ht="39.84" thickBot="1" customHeight="1">
      <c r="A13436" s="24" t="s">
        <v>42470</v>
      </c>
      <c r="B13436" s="24" t="s">
        <v>42471</v>
      </c>
      <c r="C13436" s="24" t="s">
        <v>42472</v>
      </c>
      <c r="D13436" s="25" t="s">
        <v>42473</v>
      </c>
      <c r="E13436" s="28">
        <v>0.24000</v>
      </c>
      <c r="F13436" s="29">
        <f ca="1">ROUND(2.630,3)</f>
        <v>0</v>
      </c>
      <c r="G13436" s="27">
        <f ca="1">ROUND(E13436*F13436,2)</f>
        <v>0</v>
      </c>
    </row>
    <row r="13437" spans="1:7" ht="39.84" thickBot="1" customHeight="1">
      <c r="A13437" s="24" t="s">
        <v>42474</v>
      </c>
      <c r="B13437" s="24" t="s">
        <v>42475</v>
      </c>
      <c r="C13437" s="24" t="s">
        <v>42476</v>
      </c>
      <c r="D13437" s="25" t="s">
        <v>42477</v>
      </c>
      <c r="E13437" s="28">
        <v>0.12370</v>
      </c>
      <c r="F13437" s="29">
        <f ca="1">ROUND(5.040,3)</f>
        <v>0</v>
      </c>
      <c r="G13437" s="27">
        <f ca="1">ROUND(E13437*F13437,2)</f>
        <v>0</v>
      </c>
    </row>
    <row r="13438" spans="1:7" ht="21.36" thickBot="1" customHeight="1">
      <c r="A13438" s="24" t="s">
        <v>42478</v>
      </c>
      <c r="B13438" s="24" t="s">
        <v>42479</v>
      </c>
      <c r="C13438" s="24" t="s">
        <v>42480</v>
      </c>
      <c r="D13438" s="25" t="s">
        <v>42481</v>
      </c>
      <c r="E13438" s="28">
        <v>0.47000</v>
      </c>
      <c r="F13438" s="29">
        <f ca="1">F13442</f>
        <v>0</v>
      </c>
      <c r="G13438" s="27">
        <f ca="1">ROUND(E13438*F13438,2)</f>
        <v>0</v>
      </c>
    </row>
    <row r="13439" spans="1:7" ht="24.36" thickBot="1" customHeight="1">
      <c r="A13439" s="24" t="s">
        <v>42482</v>
      </c>
      <c r="B13439" s="24" t="s">
        <v>42483</v>
      </c>
      <c r="C13439" s="24" t="s">
        <v>42484</v>
      </c>
      <c r="D13439" s="25" t="s">
        <v>42485</v>
      </c>
      <c r="E13439" s="28">
        <v>1.00000</v>
      </c>
      <c r="F13439" s="29">
        <f ca="1">ROUND(21.000,3)</f>
        <v>0</v>
      </c>
      <c r="G13439" s="27">
        <f ca="1">ROUND(E13439*F13439,2)</f>
        <v>0</v>
      </c>
    </row>
    <row r="13440" spans="1:7" ht="24.36" thickBot="1" customHeight="1">
      <c r="A13440" s="24" t="s">
        <v>42486</v>
      </c>
      <c r="B13440" s="24" t="s">
        <v>42487</v>
      </c>
      <c r="C13440" s="24" t="s">
        <v>42488</v>
      </c>
      <c r="D13440" s="25" t="s">
        <v>42489</v>
      </c>
      <c r="E13440" s="28">
        <v>1.00000</v>
      </c>
      <c r="F13440" s="29">
        <f ca="1">ROUND(19.000,3)</f>
        <v>0</v>
      </c>
      <c r="G13440" s="27">
        <f ca="1">ROUND(E13440*F13440,2)</f>
        <v>0</v>
      </c>
    </row>
    <row r="13441" spans="1:7" ht="24.36" thickBot="1" customHeight="1">
      <c r="A13441" s="24" t="s">
        <v>42490</v>
      </c>
      <c r="B13441" s="24" t="s">
        <v>42491</v>
      </c>
      <c r="C13441" s="24" t="s">
        <v>42492</v>
      </c>
      <c r="D13441" s="25" t="s">
        <v>42493</v>
      </c>
      <c r="E13441" s="28">
        <v>0.20000</v>
      </c>
      <c r="F13441" s="29">
        <f ca="1">ROUND(19.000,3)</f>
        <v>0</v>
      </c>
      <c r="G13441" s="27">
        <f ca="1">ROUND(E13441*F13441,2)</f>
        <v>0</v>
      </c>
    </row>
    <row r="13442" spans="1:7" ht="15.12" thickBot="1" customHeight="1">
      <c r="A13442" s="26"/>
      <c r="B13442" s="26"/>
      <c r="C13442" s="26"/>
      <c r="D13442" s="24" t="s">
        <v>42494</v>
      </c>
      <c r="E13442" s="28">
        <v>0.47000</v>
      </c>
      <c r="F13442" s="29">
        <f ca="1">ROUND((G13439+G13440+G13441),3)</f>
        <v>0</v>
      </c>
      <c r="G13442" s="27">
        <f ca="1">ROUND(E13442*F13442,2)</f>
        <v>0</v>
      </c>
    </row>
    <row r="13443" spans="1:7" ht="15.12" thickBot="1" customHeight="1">
      <c r="A13443" s="24" t="s">
        <v>42495</v>
      </c>
      <c r="B13443" s="24"/>
      <c r="C13443" s="24" t="s">
        <v>42496</v>
      </c>
      <c r="D13443" s="25" t="s">
        <v>42497</v>
      </c>
      <c r="E13443" s="28">
        <v>3.00000</v>
      </c>
      <c r="F13443" s="29">
        <f ca="1">ROUND(20.590,3)</f>
        <v>0</v>
      </c>
      <c r="G13443" s="27">
        <f ca="1">ROUND((E13443*F13443)/100,2)</f>
        <v>0</v>
      </c>
    </row>
    <row r="13444" spans="1:7" ht="15.48" thickBot="1" customHeight="1">
      <c r="A13444" s="30"/>
      <c r="B13444" s="30"/>
      <c r="C13444" s="30"/>
      <c r="D13444" s="31" t="s">
        <v>42498</v>
      </c>
      <c r="E13444" s="30"/>
      <c r="F13444" s="33">
        <f ca="1">ROUND((G13432+G13433+G13434+G13435+G13436+G13437+G13438+G13443)*(1+G2/100),2)</f>
        <v>0</v>
      </c>
      <c r="G13444" s="30"/>
    </row>
    <row r="13445" spans="1:7" ht="34.68" thickBot="1" customHeight="1">
      <c r="A13445" s="34" t="s">
        <v>42499</v>
      </c>
      <c r="B13445" s="35" t="s">
        <v>42500</v>
      </c>
      <c r="C13445" s="35" t="s">
        <v>42501</v>
      </c>
      <c r="D13445" s="36" t="s">
        <v>42502</v>
      </c>
      <c r="E13445" s="37"/>
      <c r="F13445" s="38">
        <f ca="1">F13456</f>
        <v>0</v>
      </c>
      <c r="G13445" s="37"/>
    </row>
    <row r="13446" spans="1:7" ht="12.12" thickBot="1" customHeight="1">
      <c r="A13446" s="26"/>
      <c r="B13446" s="26"/>
      <c r="C13446" s="26"/>
      <c r="D13446" s="25" t="s">
        <v>42503</v>
      </c>
      <c r="E13446" s="25"/>
      <c r="F13446" s="25"/>
      <c r="G13446" s="25"/>
    </row>
    <row r="13447" spans="1:7" ht="30.60" thickBot="1" customHeight="1">
      <c r="A13447" s="24" t="s">
        <v>42504</v>
      </c>
      <c r="B13447" s="24" t="s">
        <v>42505</v>
      </c>
      <c r="C13447" s="24" t="s">
        <v>42506</v>
      </c>
      <c r="D13447" s="25" t="s">
        <v>42507</v>
      </c>
      <c r="E13447" s="28">
        <v>0.01650</v>
      </c>
      <c r="F13447" s="29">
        <f ca="1">ROUND(143.220,3)</f>
        <v>0</v>
      </c>
      <c r="G13447" s="27">
        <f ca="1">ROUND(E13447*F13447,2)</f>
        <v>0</v>
      </c>
    </row>
    <row r="13448" spans="1:7" ht="39.84" thickBot="1" customHeight="1">
      <c r="A13448" s="24" t="s">
        <v>42508</v>
      </c>
      <c r="B13448" s="24" t="s">
        <v>42509</v>
      </c>
      <c r="C13448" s="24" t="s">
        <v>42510</v>
      </c>
      <c r="D13448" s="25" t="s">
        <v>42511</v>
      </c>
      <c r="E13448" s="28">
        <v>1.00000</v>
      </c>
      <c r="F13448" s="29">
        <f ca="1">ROUND(6.800,3)</f>
        <v>0</v>
      </c>
      <c r="G13448" s="27">
        <f ca="1">ROUND(E13448*F13448,2)</f>
        <v>0</v>
      </c>
    </row>
    <row r="13449" spans="1:7" ht="39.84" thickBot="1" customHeight="1">
      <c r="A13449" s="24" t="s">
        <v>42512</v>
      </c>
      <c r="B13449" s="24" t="s">
        <v>42513</v>
      </c>
      <c r="C13449" s="24" t="s">
        <v>42514</v>
      </c>
      <c r="D13449" s="25" t="s">
        <v>42515</v>
      </c>
      <c r="E13449" s="28">
        <v>0.02000</v>
      </c>
      <c r="F13449" s="29">
        <f ca="1">ROUND(104.030,3)</f>
        <v>0</v>
      </c>
      <c r="G13449" s="27">
        <f ca="1">ROUND(E13449*F13449,2)</f>
        <v>0</v>
      </c>
    </row>
    <row r="13450" spans="1:7" ht="21.36" thickBot="1" customHeight="1">
      <c r="A13450" s="24" t="s">
        <v>42516</v>
      </c>
      <c r="B13450" s="24" t="s">
        <v>42517</v>
      </c>
      <c r="C13450" s="24" t="s">
        <v>42518</v>
      </c>
      <c r="D13450" s="25" t="s">
        <v>42519</v>
      </c>
      <c r="E13450" s="28">
        <v>0.65000</v>
      </c>
      <c r="F13450" s="29">
        <f ca="1">F13454</f>
        <v>0</v>
      </c>
      <c r="G13450" s="27">
        <f ca="1">ROUND(E13450*F13450,2)</f>
        <v>0</v>
      </c>
    </row>
    <row r="13451" spans="1:7" ht="24.36" thickBot="1" customHeight="1">
      <c r="A13451" s="24" t="s">
        <v>42520</v>
      </c>
      <c r="B13451" s="24" t="s">
        <v>42521</v>
      </c>
      <c r="C13451" s="24" t="s">
        <v>42522</v>
      </c>
      <c r="D13451" s="25" t="s">
        <v>42523</v>
      </c>
      <c r="E13451" s="28">
        <v>1.00000</v>
      </c>
      <c r="F13451" s="29">
        <f ca="1">ROUND(21.000,3)</f>
        <v>0</v>
      </c>
      <c r="G13451" s="27">
        <f ca="1">ROUND(E13451*F13451,2)</f>
        <v>0</v>
      </c>
    </row>
    <row r="13452" spans="1:7" ht="24.36" thickBot="1" customHeight="1">
      <c r="A13452" s="24" t="s">
        <v>42524</v>
      </c>
      <c r="B13452" s="24" t="s">
        <v>42525</v>
      </c>
      <c r="C13452" s="24" t="s">
        <v>42526</v>
      </c>
      <c r="D13452" s="25" t="s">
        <v>42527</v>
      </c>
      <c r="E13452" s="28">
        <v>1.00000</v>
      </c>
      <c r="F13452" s="29">
        <f ca="1">ROUND(19.000,3)</f>
        <v>0</v>
      </c>
      <c r="G13452" s="27">
        <f ca="1">ROUND(E13452*F13452,2)</f>
        <v>0</v>
      </c>
    </row>
    <row r="13453" spans="1:7" ht="24.36" thickBot="1" customHeight="1">
      <c r="A13453" s="24" t="s">
        <v>42528</v>
      </c>
      <c r="B13453" s="24" t="s">
        <v>42529</v>
      </c>
      <c r="C13453" s="24" t="s">
        <v>42530</v>
      </c>
      <c r="D13453" s="25" t="s">
        <v>42531</v>
      </c>
      <c r="E13453" s="28">
        <v>0.20000</v>
      </c>
      <c r="F13453" s="29">
        <f ca="1">ROUND(19.000,3)</f>
        <v>0</v>
      </c>
      <c r="G13453" s="27">
        <f ca="1">ROUND(E13453*F13453,2)</f>
        <v>0</v>
      </c>
    </row>
    <row r="13454" spans="1:7" ht="15.12" thickBot="1" customHeight="1">
      <c r="A13454" s="26"/>
      <c r="B13454" s="26"/>
      <c r="C13454" s="26"/>
      <c r="D13454" s="24" t="s">
        <v>42532</v>
      </c>
      <c r="E13454" s="28">
        <v>0.65000</v>
      </c>
      <c r="F13454" s="29">
        <f ca="1">ROUND((G13451+G13452+G13453),3)</f>
        <v>0</v>
      </c>
      <c r="G13454" s="27">
        <f ca="1">ROUND(E13454*F13454,2)</f>
        <v>0</v>
      </c>
    </row>
    <row r="13455" spans="1:7" ht="15.12" thickBot="1" customHeight="1">
      <c r="A13455" s="24" t="s">
        <v>42533</v>
      </c>
      <c r="B13455" s="24"/>
      <c r="C13455" s="24" t="s">
        <v>42534</v>
      </c>
      <c r="D13455" s="25" t="s">
        <v>42535</v>
      </c>
      <c r="E13455" s="28">
        <v>3.00000</v>
      </c>
      <c r="F13455" s="29">
        <f ca="1">ROUND(28.470,3)</f>
        <v>0</v>
      </c>
      <c r="G13455" s="27">
        <f ca="1">ROUND((E13455*F13455)/100,2)</f>
        <v>0</v>
      </c>
    </row>
    <row r="13456" spans="1:7" ht="25.08" thickBot="1" customHeight="1">
      <c r="A13456" s="30"/>
      <c r="B13456" s="30"/>
      <c r="C13456" s="30"/>
      <c r="D13456" s="31" t="s">
        <v>42536</v>
      </c>
      <c r="E13456" s="30"/>
      <c r="F13456" s="33">
        <f ca="1">ROUND((G13447+G13448+G13449+G13450+G13455)*(1+G2/100),2)</f>
        <v>0</v>
      </c>
      <c r="G13456" s="30"/>
    </row>
    <row r="13457" spans="1:7" ht="58.32" thickBot="1" customHeight="1">
      <c r="A13457" s="34" t="s">
        <v>42537</v>
      </c>
      <c r="B13457" s="35" t="s">
        <v>42538</v>
      </c>
      <c r="C13457" s="35" t="s">
        <v>42539</v>
      </c>
      <c r="D13457" s="36" t="s">
        <v>42540</v>
      </c>
      <c r="E13457" s="37"/>
      <c r="F13457" s="38">
        <f ca="1">F13471</f>
        <v>0</v>
      </c>
      <c r="G13457" s="37"/>
    </row>
    <row r="13458" spans="1:7" ht="21.36" thickBot="1" customHeight="1">
      <c r="A13458" s="26"/>
      <c r="B13458" s="26"/>
      <c r="C13458" s="26"/>
      <c r="D13458" s="25" t="s">
        <v>42541</v>
      </c>
      <c r="E13458" s="25"/>
      <c r="F13458" s="25"/>
      <c r="G13458" s="25"/>
    </row>
    <row r="13459" spans="1:7" ht="39.84" thickBot="1" customHeight="1">
      <c r="A13459" s="24" t="s">
        <v>42542</v>
      </c>
      <c r="B13459" s="24" t="s">
        <v>42543</v>
      </c>
      <c r="C13459" s="24" t="s">
        <v>42544</v>
      </c>
      <c r="D13459" s="25" t="s">
        <v>42545</v>
      </c>
      <c r="E13459" s="28">
        <v>0.64000</v>
      </c>
      <c r="F13459" s="29">
        <f ca="1">ROUND(10.460,3)</f>
        <v>0</v>
      </c>
      <c r="G13459" s="27">
        <f ca="1">ROUND(E13459*F13459,2)</f>
        <v>0</v>
      </c>
    </row>
    <row r="13460" spans="1:7" ht="39.84" thickBot="1" customHeight="1">
      <c r="A13460" s="24" t="s">
        <v>42546</v>
      </c>
      <c r="B13460" s="24" t="s">
        <v>42547</v>
      </c>
      <c r="C13460" s="24" t="s">
        <v>42548</v>
      </c>
      <c r="D13460" s="25" t="s">
        <v>42549</v>
      </c>
      <c r="E13460" s="28">
        <v>0.34000</v>
      </c>
      <c r="F13460" s="29">
        <f ca="1">ROUND(15.200,3)</f>
        <v>0</v>
      </c>
      <c r="G13460" s="27">
        <f ca="1">ROUND(E13460*F13460,2)</f>
        <v>0</v>
      </c>
    </row>
    <row r="13461" spans="1:7" ht="30.60" thickBot="1" customHeight="1">
      <c r="A13461" s="24" t="s">
        <v>42550</v>
      </c>
      <c r="B13461" s="24" t="s">
        <v>42551</v>
      </c>
      <c r="C13461" s="24" t="s">
        <v>42552</v>
      </c>
      <c r="D13461" s="25" t="s">
        <v>42553</v>
      </c>
      <c r="E13461" s="28">
        <v>0.02200</v>
      </c>
      <c r="F13461" s="29">
        <f ca="1">ROUND(27.500,3)</f>
        <v>0</v>
      </c>
      <c r="G13461" s="27">
        <f ca="1">ROUND(E13461*F13461,2)</f>
        <v>0</v>
      </c>
    </row>
    <row r="13462" spans="1:7" ht="39.84" thickBot="1" customHeight="1">
      <c r="A13462" s="24" t="s">
        <v>42554</v>
      </c>
      <c r="B13462" s="24" t="s">
        <v>42555</v>
      </c>
      <c r="C13462" s="24" t="s">
        <v>42556</v>
      </c>
      <c r="D13462" s="25" t="s">
        <v>42557</v>
      </c>
      <c r="E13462" s="28">
        <v>0.12000</v>
      </c>
      <c r="F13462" s="29">
        <f ca="1">ROUND(4.050,3)</f>
        <v>0</v>
      </c>
      <c r="G13462" s="27">
        <f ca="1">ROUND(E13462*F13462,2)</f>
        <v>0</v>
      </c>
    </row>
    <row r="13463" spans="1:7" ht="39.84" thickBot="1" customHeight="1">
      <c r="A13463" s="24" t="s">
        <v>42558</v>
      </c>
      <c r="B13463" s="24" t="s">
        <v>42559</v>
      </c>
      <c r="C13463" s="24" t="s">
        <v>42560</v>
      </c>
      <c r="D13463" s="25" t="s">
        <v>42561</v>
      </c>
      <c r="E13463" s="28">
        <v>0.24000</v>
      </c>
      <c r="F13463" s="29">
        <f ca="1">ROUND(2.630,3)</f>
        <v>0</v>
      </c>
      <c r="G13463" s="27">
        <f ca="1">ROUND(E13463*F13463,2)</f>
        <v>0</v>
      </c>
    </row>
    <row r="13464" spans="1:7" ht="39.84" thickBot="1" customHeight="1">
      <c r="A13464" s="24" t="s">
        <v>42562</v>
      </c>
      <c r="B13464" s="24" t="s">
        <v>42563</v>
      </c>
      <c r="C13464" s="24" t="s">
        <v>42564</v>
      </c>
      <c r="D13464" s="25" t="s">
        <v>42565</v>
      </c>
      <c r="E13464" s="28">
        <v>0.12370</v>
      </c>
      <c r="F13464" s="29">
        <f ca="1">ROUND(5.040,3)</f>
        <v>0</v>
      </c>
      <c r="G13464" s="27">
        <f ca="1">ROUND(E13464*F13464,2)</f>
        <v>0</v>
      </c>
    </row>
    <row r="13465" spans="1:7" ht="21.36" thickBot="1" customHeight="1">
      <c r="A13465" s="24" t="s">
        <v>42566</v>
      </c>
      <c r="B13465" s="24" t="s">
        <v>42567</v>
      </c>
      <c r="C13465" s="24" t="s">
        <v>42568</v>
      </c>
      <c r="D13465" s="25" t="s">
        <v>42569</v>
      </c>
      <c r="E13465" s="28">
        <v>0.47000</v>
      </c>
      <c r="F13465" s="29">
        <f ca="1">F13469</f>
        <v>0</v>
      </c>
      <c r="G13465" s="27">
        <f ca="1">ROUND(E13465*F13465,2)</f>
        <v>0</v>
      </c>
    </row>
    <row r="13466" spans="1:7" ht="24.36" thickBot="1" customHeight="1">
      <c r="A13466" s="24" t="s">
        <v>42570</v>
      </c>
      <c r="B13466" s="24" t="s">
        <v>42571</v>
      </c>
      <c r="C13466" s="24" t="s">
        <v>42572</v>
      </c>
      <c r="D13466" s="25" t="s">
        <v>42573</v>
      </c>
      <c r="E13466" s="28">
        <v>1.00000</v>
      </c>
      <c r="F13466" s="29">
        <f ca="1">ROUND(21.000,3)</f>
        <v>0</v>
      </c>
      <c r="G13466" s="27">
        <f ca="1">ROUND(E13466*F13466,2)</f>
        <v>0</v>
      </c>
    </row>
    <row r="13467" spans="1:7" ht="24.36" thickBot="1" customHeight="1">
      <c r="A13467" s="24" t="s">
        <v>42574</v>
      </c>
      <c r="B13467" s="24" t="s">
        <v>42575</v>
      </c>
      <c r="C13467" s="24" t="s">
        <v>42576</v>
      </c>
      <c r="D13467" s="25" t="s">
        <v>42577</v>
      </c>
      <c r="E13467" s="28">
        <v>1.00000</v>
      </c>
      <c r="F13467" s="29">
        <f ca="1">ROUND(19.000,3)</f>
        <v>0</v>
      </c>
      <c r="G13467" s="27">
        <f ca="1">ROUND(E13467*F13467,2)</f>
        <v>0</v>
      </c>
    </row>
    <row r="13468" spans="1:7" ht="24.36" thickBot="1" customHeight="1">
      <c r="A13468" s="24" t="s">
        <v>42578</v>
      </c>
      <c r="B13468" s="24" t="s">
        <v>42579</v>
      </c>
      <c r="C13468" s="24" t="s">
        <v>42580</v>
      </c>
      <c r="D13468" s="25" t="s">
        <v>42581</v>
      </c>
      <c r="E13468" s="28">
        <v>0.20000</v>
      </c>
      <c r="F13468" s="29">
        <f ca="1">ROUND(19.000,3)</f>
        <v>0</v>
      </c>
      <c r="G13468" s="27">
        <f ca="1">ROUND(E13468*F13468,2)</f>
        <v>0</v>
      </c>
    </row>
    <row r="13469" spans="1:7" ht="15.12" thickBot="1" customHeight="1">
      <c r="A13469" s="26"/>
      <c r="B13469" s="26"/>
      <c r="C13469" s="26"/>
      <c r="D13469" s="24" t="s">
        <v>42582</v>
      </c>
      <c r="E13469" s="28">
        <v>0.47000</v>
      </c>
      <c r="F13469" s="29">
        <f ca="1">ROUND((G13466+G13467+G13468),3)</f>
        <v>0</v>
      </c>
      <c r="G13469" s="27">
        <f ca="1">ROUND(E13469*F13469,2)</f>
        <v>0</v>
      </c>
    </row>
    <row r="13470" spans="1:7" ht="15.12" thickBot="1" customHeight="1">
      <c r="A13470" s="24" t="s">
        <v>42583</v>
      </c>
      <c r="B13470" s="24"/>
      <c r="C13470" s="24" t="s">
        <v>42584</v>
      </c>
      <c r="D13470" s="25" t="s">
        <v>42585</v>
      </c>
      <c r="E13470" s="28">
        <v>3.00000</v>
      </c>
      <c r="F13470" s="29">
        <f ca="1">ROUND(20.590,3)</f>
        <v>0</v>
      </c>
      <c r="G13470" s="27">
        <f ca="1">ROUND((E13470*F13470)/100,2)</f>
        <v>0</v>
      </c>
    </row>
    <row r="13471" spans="1:7" ht="15.48" thickBot="1" customHeight="1">
      <c r="A13471" s="30"/>
      <c r="B13471" s="30"/>
      <c r="C13471" s="30"/>
      <c r="D13471" s="31" t="s">
        <v>42586</v>
      </c>
      <c r="E13471" s="30"/>
      <c r="F13471" s="33">
        <f ca="1">ROUND((G13459+G13460+G13461+G13462+G13463+G13464+G13465+G13470)*(1+G2/100),2)</f>
        <v>0</v>
      </c>
      <c r="G13471" s="30"/>
    </row>
    <row r="13472" spans="1:7" ht="30.60" thickBot="1" customHeight="1">
      <c r="A13472" s="34" t="s">
        <v>42587</v>
      </c>
      <c r="B13472" s="35" t="s">
        <v>42588</v>
      </c>
      <c r="C13472" s="35" t="s">
        <v>42589</v>
      </c>
      <c r="D13472" s="36" t="s">
        <v>42590</v>
      </c>
      <c r="E13472" s="37"/>
      <c r="F13472" s="38">
        <f ca="1">F13482</f>
        <v>0</v>
      </c>
      <c r="G13472" s="37"/>
    </row>
    <row r="13473" spans="1:7" ht="30.60" thickBot="1" customHeight="1">
      <c r="A13473" s="26"/>
      <c r="B13473" s="26"/>
      <c r="C13473" s="26"/>
      <c r="D13473" s="25" t="s">
        <v>42591</v>
      </c>
      <c r="E13473" s="25"/>
      <c r="F13473" s="25"/>
      <c r="G13473" s="25"/>
    </row>
    <row r="13474" spans="1:7" ht="30.60" thickBot="1" customHeight="1">
      <c r="A13474" s="24" t="s">
        <v>42592</v>
      </c>
      <c r="B13474" s="24" t="s">
        <v>42593</v>
      </c>
      <c r="C13474" s="24" t="s">
        <v>42594</v>
      </c>
      <c r="D13474" s="25" t="s">
        <v>42595</v>
      </c>
      <c r="E13474" s="28">
        <v>0.70400</v>
      </c>
      <c r="F13474" s="29">
        <f ca="1">ROUND(5.250,3)</f>
        <v>0</v>
      </c>
      <c r="G13474" s="27">
        <f ca="1">ROUND(E13474*F13474,2)</f>
        <v>0</v>
      </c>
    </row>
    <row r="13475" spans="1:7" ht="21.36" thickBot="1" customHeight="1">
      <c r="A13475" s="24" t="s">
        <v>42596</v>
      </c>
      <c r="B13475" s="24" t="s">
        <v>42597</v>
      </c>
      <c r="C13475" s="24" t="s">
        <v>42598</v>
      </c>
      <c r="D13475" s="25" t="s">
        <v>42599</v>
      </c>
      <c r="E13475" s="28">
        <v>0.02444</v>
      </c>
      <c r="F13475" s="29">
        <f ca="1">ROUND(1.320,3)</f>
        <v>0</v>
      </c>
      <c r="G13475" s="27">
        <f ca="1">ROUND(E13475*F13475,2)</f>
        <v>0</v>
      </c>
    </row>
    <row r="13476" spans="1:7" ht="21.36" thickBot="1" customHeight="1">
      <c r="A13476" s="24" t="s">
        <v>42600</v>
      </c>
      <c r="B13476" s="24" t="s">
        <v>42601</v>
      </c>
      <c r="C13476" s="24" t="s">
        <v>42602</v>
      </c>
      <c r="D13476" s="25" t="s">
        <v>42603</v>
      </c>
      <c r="E13476" s="28">
        <v>0.50000</v>
      </c>
      <c r="F13476" s="29">
        <f ca="1">F13480</f>
        <v>0</v>
      </c>
      <c r="G13476" s="27">
        <f ca="1">ROUND(E13476*F13476,2)</f>
        <v>0</v>
      </c>
    </row>
    <row r="13477" spans="1:7" ht="24.36" thickBot="1" customHeight="1">
      <c r="A13477" s="24" t="s">
        <v>42604</v>
      </c>
      <c r="B13477" s="24" t="s">
        <v>42605</v>
      </c>
      <c r="C13477" s="24" t="s">
        <v>42606</v>
      </c>
      <c r="D13477" s="25" t="s">
        <v>42607</v>
      </c>
      <c r="E13477" s="28">
        <v>1.00000</v>
      </c>
      <c r="F13477" s="29">
        <f ca="1">ROUND(21.000,3)</f>
        <v>0</v>
      </c>
      <c r="G13477" s="27">
        <f ca="1">ROUND(E13477*F13477,2)</f>
        <v>0</v>
      </c>
    </row>
    <row r="13478" spans="1:7" ht="24.36" thickBot="1" customHeight="1">
      <c r="A13478" s="24" t="s">
        <v>42608</v>
      </c>
      <c r="B13478" s="24" t="s">
        <v>42609</v>
      </c>
      <c r="C13478" s="24" t="s">
        <v>42610</v>
      </c>
      <c r="D13478" s="25" t="s">
        <v>42611</v>
      </c>
      <c r="E13478" s="28">
        <v>1.00000</v>
      </c>
      <c r="F13478" s="29">
        <f ca="1">ROUND(19.000,3)</f>
        <v>0</v>
      </c>
      <c r="G13478" s="27">
        <f ca="1">ROUND(E13478*F13478,2)</f>
        <v>0</v>
      </c>
    </row>
    <row r="13479" spans="1:7" ht="24.36" thickBot="1" customHeight="1">
      <c r="A13479" s="24" t="s">
        <v>42612</v>
      </c>
      <c r="B13479" s="24" t="s">
        <v>42613</v>
      </c>
      <c r="C13479" s="24" t="s">
        <v>42614</v>
      </c>
      <c r="D13479" s="25" t="s">
        <v>42615</v>
      </c>
      <c r="E13479" s="28">
        <v>0.20000</v>
      </c>
      <c r="F13479" s="29">
        <f ca="1">ROUND(19.000,3)</f>
        <v>0</v>
      </c>
      <c r="G13479" s="27">
        <f ca="1">ROUND(E13479*F13479,2)</f>
        <v>0</v>
      </c>
    </row>
    <row r="13480" spans="1:7" ht="15.12" thickBot="1" customHeight="1">
      <c r="A13480" s="26"/>
      <c r="B13480" s="26"/>
      <c r="C13480" s="26"/>
      <c r="D13480" s="24" t="s">
        <v>42616</v>
      </c>
      <c r="E13480" s="28">
        <v>0.50000</v>
      </c>
      <c r="F13480" s="29">
        <f ca="1">ROUND((G13477+G13478+G13479),3)</f>
        <v>0</v>
      </c>
      <c r="G13480" s="27">
        <f ca="1">ROUND(E13480*F13480,2)</f>
        <v>0</v>
      </c>
    </row>
    <row r="13481" spans="1:7" ht="15.12" thickBot="1" customHeight="1">
      <c r="A13481" s="24" t="s">
        <v>42617</v>
      </c>
      <c r="B13481" s="24"/>
      <c r="C13481" s="24" t="s">
        <v>42618</v>
      </c>
      <c r="D13481" s="25" t="s">
        <v>42619</v>
      </c>
      <c r="E13481" s="28">
        <v>3.00000</v>
      </c>
      <c r="F13481" s="29">
        <f ca="1">ROUND(21.900,3)</f>
        <v>0</v>
      </c>
      <c r="G13481" s="27">
        <f ca="1">ROUND((E13481*F13481)/100,2)</f>
        <v>0</v>
      </c>
    </row>
    <row r="13482" spans="1:7" ht="15.48" thickBot="1" customHeight="1">
      <c r="A13482" s="30"/>
      <c r="B13482" s="30"/>
      <c r="C13482" s="30"/>
      <c r="D13482" s="31" t="s">
        <v>42620</v>
      </c>
      <c r="E13482" s="30"/>
      <c r="F13482" s="33">
        <f ca="1">ROUND((G13474+G13475+G13476+G13481)*(1+G2/100),2)</f>
        <v>0</v>
      </c>
      <c r="G13482" s="30"/>
    </row>
    <row r="13483" spans="1:7" ht="67.56" thickBot="1" customHeight="1">
      <c r="A13483" s="34" t="s">
        <v>42621</v>
      </c>
      <c r="B13483" s="35" t="s">
        <v>42622</v>
      </c>
      <c r="C13483" s="35" t="s">
        <v>42623</v>
      </c>
      <c r="D13483" s="36" t="s">
        <v>42624</v>
      </c>
      <c r="E13483" s="37"/>
      <c r="F13483" s="38">
        <f ca="1">F13494</f>
        <v>0</v>
      </c>
      <c r="G13483" s="37"/>
    </row>
    <row r="13484" spans="1:7" ht="30.60" thickBot="1" customHeight="1">
      <c r="A13484" s="26"/>
      <c r="B13484" s="26"/>
      <c r="C13484" s="26"/>
      <c r="D13484" s="25" t="s">
        <v>42625</v>
      </c>
      <c r="E13484" s="25"/>
      <c r="F13484" s="25"/>
      <c r="G13484" s="25"/>
    </row>
    <row r="13485" spans="1:7" ht="30.60" thickBot="1" customHeight="1">
      <c r="A13485" s="24" t="s">
        <v>42626</v>
      </c>
      <c r="B13485" s="24" t="s">
        <v>42627</v>
      </c>
      <c r="C13485" s="24" t="s">
        <v>42628</v>
      </c>
      <c r="D13485" s="25" t="s">
        <v>42629</v>
      </c>
      <c r="E13485" s="28">
        <v>0.70400</v>
      </c>
      <c r="F13485" s="29">
        <f ca="1">ROUND(5.250,3)</f>
        <v>0</v>
      </c>
      <c r="G13485" s="27">
        <f ca="1">ROUND(E13485*F13485,2)</f>
        <v>0</v>
      </c>
    </row>
    <row r="13486" spans="1:7" ht="21.36" thickBot="1" customHeight="1">
      <c r="A13486" s="24" t="s">
        <v>42630</v>
      </c>
      <c r="B13486" s="24" t="s">
        <v>42631</v>
      </c>
      <c r="C13486" s="24" t="s">
        <v>42632</v>
      </c>
      <c r="D13486" s="25" t="s">
        <v>42633</v>
      </c>
      <c r="E13486" s="28">
        <v>0.02444</v>
      </c>
      <c r="F13486" s="29">
        <f ca="1">ROUND(1.320,3)</f>
        <v>0</v>
      </c>
      <c r="G13486" s="27">
        <f ca="1">ROUND(E13486*F13486,2)</f>
        <v>0</v>
      </c>
    </row>
    <row r="13487" spans="1:7" ht="21.36" thickBot="1" customHeight="1">
      <c r="A13487" s="24" t="s">
        <v>42634</v>
      </c>
      <c r="B13487" s="24" t="s">
        <v>42635</v>
      </c>
      <c r="C13487" s="24" t="s">
        <v>42636</v>
      </c>
      <c r="D13487" s="25" t="s">
        <v>42637</v>
      </c>
      <c r="E13487" s="28">
        <v>0.20000</v>
      </c>
      <c r="F13487" s="29">
        <f ca="1">ROUND(11.500,3)</f>
        <v>0</v>
      </c>
      <c r="G13487" s="27">
        <f ca="1">ROUND(E13487*F13487,2)</f>
        <v>0</v>
      </c>
    </row>
    <row r="13488" spans="1:7" ht="21.36" thickBot="1" customHeight="1">
      <c r="A13488" s="24" t="s">
        <v>42638</v>
      </c>
      <c r="B13488" s="24" t="s">
        <v>42639</v>
      </c>
      <c r="C13488" s="24" t="s">
        <v>42640</v>
      </c>
      <c r="D13488" s="25" t="s">
        <v>42641</v>
      </c>
      <c r="E13488" s="28">
        <v>0.20000</v>
      </c>
      <c r="F13488" s="29">
        <f ca="1">F13492</f>
        <v>0</v>
      </c>
      <c r="G13488" s="27">
        <f ca="1">ROUND(E13488*F13488,2)</f>
        <v>0</v>
      </c>
    </row>
    <row r="13489" spans="1:7" ht="24.36" thickBot="1" customHeight="1">
      <c r="A13489" s="24" t="s">
        <v>42642</v>
      </c>
      <c r="B13489" s="24" t="s">
        <v>42643</v>
      </c>
      <c r="C13489" s="24" t="s">
        <v>42644</v>
      </c>
      <c r="D13489" s="25" t="s">
        <v>42645</v>
      </c>
      <c r="E13489" s="28">
        <v>1.00000</v>
      </c>
      <c r="F13489" s="29">
        <f ca="1">ROUND(21.000,3)</f>
        <v>0</v>
      </c>
      <c r="G13489" s="27">
        <f ca="1">ROUND(E13489*F13489,2)</f>
        <v>0</v>
      </c>
    </row>
    <row r="13490" spans="1:7" ht="24.36" thickBot="1" customHeight="1">
      <c r="A13490" s="24" t="s">
        <v>42646</v>
      </c>
      <c r="B13490" s="24" t="s">
        <v>42647</v>
      </c>
      <c r="C13490" s="24" t="s">
        <v>42648</v>
      </c>
      <c r="D13490" s="25" t="s">
        <v>42649</v>
      </c>
      <c r="E13490" s="28">
        <v>1.00000</v>
      </c>
      <c r="F13490" s="29">
        <f ca="1">ROUND(19.000,3)</f>
        <v>0</v>
      </c>
      <c r="G13490" s="27">
        <f ca="1">ROUND(E13490*F13490,2)</f>
        <v>0</v>
      </c>
    </row>
    <row r="13491" spans="1:7" ht="24.36" thickBot="1" customHeight="1">
      <c r="A13491" s="24" t="s">
        <v>42650</v>
      </c>
      <c r="B13491" s="24" t="s">
        <v>42651</v>
      </c>
      <c r="C13491" s="24" t="s">
        <v>42652</v>
      </c>
      <c r="D13491" s="25" t="s">
        <v>42653</v>
      </c>
      <c r="E13491" s="28">
        <v>0.20000</v>
      </c>
      <c r="F13491" s="29">
        <f ca="1">ROUND(19.000,3)</f>
        <v>0</v>
      </c>
      <c r="G13491" s="27">
        <f ca="1">ROUND(E13491*F13491,2)</f>
        <v>0</v>
      </c>
    </row>
    <row r="13492" spans="1:7" ht="15.12" thickBot="1" customHeight="1">
      <c r="A13492" s="26"/>
      <c r="B13492" s="26"/>
      <c r="C13492" s="26"/>
      <c r="D13492" s="24" t="s">
        <v>42654</v>
      </c>
      <c r="E13492" s="28">
        <v>0.20000</v>
      </c>
      <c r="F13492" s="29">
        <f ca="1">ROUND((G13489+G13490+G13491),3)</f>
        <v>0</v>
      </c>
      <c r="G13492" s="27">
        <f ca="1">ROUND(E13492*F13492,2)</f>
        <v>0</v>
      </c>
    </row>
    <row r="13493" spans="1:7" ht="15.12" thickBot="1" customHeight="1">
      <c r="A13493" s="24" t="s">
        <v>42655</v>
      </c>
      <c r="B13493" s="24"/>
      <c r="C13493" s="24" t="s">
        <v>42656</v>
      </c>
      <c r="D13493" s="25" t="s">
        <v>42657</v>
      </c>
      <c r="E13493" s="28">
        <v>3.00000</v>
      </c>
      <c r="F13493" s="29">
        <f ca="1">ROUND(8.760,3)</f>
        <v>0</v>
      </c>
      <c r="G13493" s="27">
        <f ca="1">ROUND((E13493*F13493)/100,2)</f>
        <v>0</v>
      </c>
    </row>
    <row r="13494" spans="1:7" ht="15.48" thickBot="1" customHeight="1">
      <c r="A13494" s="30"/>
      <c r="B13494" s="30"/>
      <c r="C13494" s="30"/>
      <c r="D13494" s="31" t="s">
        <v>42658</v>
      </c>
      <c r="E13494" s="30"/>
      <c r="F13494" s="33">
        <f ca="1">ROUND((G13485+G13486+G13487+G13488+G13493)*(1+G2/100),2)</f>
        <v>0</v>
      </c>
      <c r="G13494" s="30"/>
    </row>
    <row r="13495" spans="1:7" ht="49.08" thickBot="1" customHeight="1">
      <c r="A13495" s="34" t="s">
        <v>42659</v>
      </c>
      <c r="B13495" s="35" t="s">
        <v>42660</v>
      </c>
      <c r="C13495" s="35" t="s">
        <v>42661</v>
      </c>
      <c r="D13495" s="36" t="s">
        <v>42662</v>
      </c>
      <c r="E13495" s="37"/>
      <c r="F13495" s="38">
        <f ca="1">F13506</f>
        <v>0</v>
      </c>
      <c r="G13495" s="37"/>
    </row>
    <row r="13496" spans="1:7" ht="21.36" thickBot="1" customHeight="1">
      <c r="A13496" s="26"/>
      <c r="B13496" s="26"/>
      <c r="C13496" s="26"/>
      <c r="D13496" s="25" t="s">
        <v>42663</v>
      </c>
      <c r="E13496" s="25"/>
      <c r="F13496" s="25"/>
      <c r="G13496" s="25"/>
    </row>
    <row r="13497" spans="1:7" ht="30.60" thickBot="1" customHeight="1">
      <c r="A13497" s="24" t="s">
        <v>42664</v>
      </c>
      <c r="B13497" s="24" t="s">
        <v>42665</v>
      </c>
      <c r="C13497" s="24" t="s">
        <v>42666</v>
      </c>
      <c r="D13497" s="25" t="s">
        <v>42667</v>
      </c>
      <c r="E13497" s="28">
        <v>1.00000</v>
      </c>
      <c r="F13497" s="29">
        <f ca="1">ROUND(10.670,3)</f>
        <v>0</v>
      </c>
      <c r="G13497" s="27">
        <f ca="1">ROUND(E13497*F13497,2)</f>
        <v>0</v>
      </c>
    </row>
    <row r="13498" spans="1:7" ht="30.60" thickBot="1" customHeight="1">
      <c r="A13498" s="24" t="s">
        <v>42668</v>
      </c>
      <c r="B13498" s="24" t="s">
        <v>42669</v>
      </c>
      <c r="C13498" s="24" t="s">
        <v>42670</v>
      </c>
      <c r="D13498" s="25" t="s">
        <v>42671</v>
      </c>
      <c r="E13498" s="28">
        <v>0.02200</v>
      </c>
      <c r="F13498" s="29">
        <f ca="1">ROUND(27.500,3)</f>
        <v>0</v>
      </c>
      <c r="G13498" s="27">
        <f ca="1">ROUND(E13498*F13498,2)</f>
        <v>0</v>
      </c>
    </row>
    <row r="13499" spans="1:7" ht="21.36" thickBot="1" customHeight="1">
      <c r="A13499" s="24" t="s">
        <v>42672</v>
      </c>
      <c r="B13499" s="24" t="s">
        <v>42673</v>
      </c>
      <c r="C13499" s="24" t="s">
        <v>42674</v>
      </c>
      <c r="D13499" s="25" t="s">
        <v>42675</v>
      </c>
      <c r="E13499" s="28">
        <v>0.40000</v>
      </c>
      <c r="F13499" s="29">
        <f ca="1">ROUND(1.050,3)</f>
        <v>0</v>
      </c>
      <c r="G13499" s="27">
        <f ca="1">ROUND(E13499*F13499,2)</f>
        <v>0</v>
      </c>
    </row>
    <row r="13500" spans="1:7" ht="21.36" thickBot="1" customHeight="1">
      <c r="A13500" s="24" t="s">
        <v>42676</v>
      </c>
      <c r="B13500" s="24" t="s">
        <v>42677</v>
      </c>
      <c r="C13500" s="24" t="s">
        <v>42678</v>
      </c>
      <c r="D13500" s="25" t="s">
        <v>42679</v>
      </c>
      <c r="E13500" s="28">
        <v>0.90000</v>
      </c>
      <c r="F13500" s="29">
        <f ca="1">F13504</f>
        <v>0</v>
      </c>
      <c r="G13500" s="27">
        <f ca="1">ROUND(E13500*F13500,2)</f>
        <v>0</v>
      </c>
    </row>
    <row r="13501" spans="1:7" ht="24.36" thickBot="1" customHeight="1">
      <c r="A13501" s="24" t="s">
        <v>42680</v>
      </c>
      <c r="B13501" s="24" t="s">
        <v>42681</v>
      </c>
      <c r="C13501" s="24" t="s">
        <v>42682</v>
      </c>
      <c r="D13501" s="25" t="s">
        <v>42683</v>
      </c>
      <c r="E13501" s="28">
        <v>1.00000</v>
      </c>
      <c r="F13501" s="29">
        <f ca="1">ROUND(21.000,3)</f>
        <v>0</v>
      </c>
      <c r="G13501" s="27">
        <f ca="1">ROUND(E13501*F13501,2)</f>
        <v>0</v>
      </c>
    </row>
    <row r="13502" spans="1:7" ht="24.36" thickBot="1" customHeight="1">
      <c r="A13502" s="24" t="s">
        <v>42684</v>
      </c>
      <c r="B13502" s="24" t="s">
        <v>42685</v>
      </c>
      <c r="C13502" s="24" t="s">
        <v>42686</v>
      </c>
      <c r="D13502" s="25" t="s">
        <v>42687</v>
      </c>
      <c r="E13502" s="28">
        <v>1.00000</v>
      </c>
      <c r="F13502" s="29">
        <f ca="1">ROUND(19.000,3)</f>
        <v>0</v>
      </c>
      <c r="G13502" s="27">
        <f ca="1">ROUND(E13502*F13502,2)</f>
        <v>0</v>
      </c>
    </row>
    <row r="13503" spans="1:7" ht="24.36" thickBot="1" customHeight="1">
      <c r="A13503" s="24" t="s">
        <v>42688</v>
      </c>
      <c r="B13503" s="24" t="s">
        <v>42689</v>
      </c>
      <c r="C13503" s="24" t="s">
        <v>42690</v>
      </c>
      <c r="D13503" s="25" t="s">
        <v>42691</v>
      </c>
      <c r="E13503" s="28">
        <v>0.20000</v>
      </c>
      <c r="F13503" s="29">
        <f ca="1">ROUND(19.000,3)</f>
        <v>0</v>
      </c>
      <c r="G13503" s="27">
        <f ca="1">ROUND(E13503*F13503,2)</f>
        <v>0</v>
      </c>
    </row>
    <row r="13504" spans="1:7" ht="15.12" thickBot="1" customHeight="1">
      <c r="A13504" s="26"/>
      <c r="B13504" s="26"/>
      <c r="C13504" s="26"/>
      <c r="D13504" s="24" t="s">
        <v>42692</v>
      </c>
      <c r="E13504" s="28">
        <v>0.90000</v>
      </c>
      <c r="F13504" s="29">
        <f ca="1">ROUND((G13501+G13502+G13503),3)</f>
        <v>0</v>
      </c>
      <c r="G13504" s="27">
        <f ca="1">ROUND(E13504*F13504,2)</f>
        <v>0</v>
      </c>
    </row>
    <row r="13505" spans="1:7" ht="15.12" thickBot="1" customHeight="1">
      <c r="A13505" s="24" t="s">
        <v>42693</v>
      </c>
      <c r="B13505" s="24"/>
      <c r="C13505" s="24" t="s">
        <v>42694</v>
      </c>
      <c r="D13505" s="25" t="s">
        <v>42695</v>
      </c>
      <c r="E13505" s="28">
        <v>5.00000</v>
      </c>
      <c r="F13505" s="29">
        <f ca="1">ROUND(39.420,3)</f>
        <v>0</v>
      </c>
      <c r="G13505" s="27">
        <f ca="1">ROUND((E13505*F13505)/100,2)</f>
        <v>0</v>
      </c>
    </row>
    <row r="13506" spans="1:7" ht="15.48" thickBot="1" customHeight="1">
      <c r="A13506" s="30"/>
      <c r="B13506" s="30"/>
      <c r="C13506" s="30"/>
      <c r="D13506" s="31" t="s">
        <v>42696</v>
      </c>
      <c r="E13506" s="30"/>
      <c r="F13506" s="33">
        <f ca="1">ROUND((G13497+G13498+G13499+G13500+G13505)*(1+G2/100),2)</f>
        <v>0</v>
      </c>
      <c r="G13506" s="30"/>
    </row>
    <row r="13507" spans="1:7" ht="49.08" thickBot="1" customHeight="1">
      <c r="A13507" s="34" t="s">
        <v>42697</v>
      </c>
      <c r="B13507" s="35" t="s">
        <v>42698</v>
      </c>
      <c r="C13507" s="35" t="s">
        <v>42699</v>
      </c>
      <c r="D13507" s="36" t="s">
        <v>42700</v>
      </c>
      <c r="E13507" s="37"/>
      <c r="F13507" s="38">
        <f ca="1">F13518</f>
        <v>0</v>
      </c>
      <c r="G13507" s="37"/>
    </row>
    <row r="13508" spans="1:7" ht="21.36" thickBot="1" customHeight="1">
      <c r="A13508" s="26"/>
      <c r="B13508" s="26"/>
      <c r="C13508" s="26"/>
      <c r="D13508" s="25" t="s">
        <v>42701</v>
      </c>
      <c r="E13508" s="25"/>
      <c r="F13508" s="25"/>
      <c r="G13508" s="25"/>
    </row>
    <row r="13509" spans="1:7" ht="30.60" thickBot="1" customHeight="1">
      <c r="A13509" s="24" t="s">
        <v>42702</v>
      </c>
      <c r="B13509" s="24" t="s">
        <v>42703</v>
      </c>
      <c r="C13509" s="24" t="s">
        <v>42704</v>
      </c>
      <c r="D13509" s="25" t="s">
        <v>42705</v>
      </c>
      <c r="E13509" s="28">
        <v>1.00000</v>
      </c>
      <c r="F13509" s="29">
        <f ca="1">ROUND(10.670,3)</f>
        <v>0</v>
      </c>
      <c r="G13509" s="27">
        <f ca="1">ROUND(E13509*F13509,2)</f>
        <v>0</v>
      </c>
    </row>
    <row r="13510" spans="1:7" ht="30.60" thickBot="1" customHeight="1">
      <c r="A13510" s="24" t="s">
        <v>42706</v>
      </c>
      <c r="B13510" s="24" t="s">
        <v>42707</v>
      </c>
      <c r="C13510" s="24" t="s">
        <v>42708</v>
      </c>
      <c r="D13510" s="25" t="s">
        <v>42709</v>
      </c>
      <c r="E13510" s="28">
        <v>0.02200</v>
      </c>
      <c r="F13510" s="29">
        <f ca="1">ROUND(27.500,3)</f>
        <v>0</v>
      </c>
      <c r="G13510" s="27">
        <f ca="1">ROUND(E13510*F13510,2)</f>
        <v>0</v>
      </c>
    </row>
    <row r="13511" spans="1:7" ht="21.36" thickBot="1" customHeight="1">
      <c r="A13511" s="24" t="s">
        <v>42710</v>
      </c>
      <c r="B13511" s="24" t="s">
        <v>42711</v>
      </c>
      <c r="C13511" s="24" t="s">
        <v>42712</v>
      </c>
      <c r="D13511" s="25" t="s">
        <v>42713</v>
      </c>
      <c r="E13511" s="28">
        <v>0.40000</v>
      </c>
      <c r="F13511" s="29">
        <f ca="1">ROUND(1.050,3)</f>
        <v>0</v>
      </c>
      <c r="G13511" s="27">
        <f ca="1">ROUND(E13511*F13511,2)</f>
        <v>0</v>
      </c>
    </row>
    <row r="13512" spans="1:7" ht="21.36" thickBot="1" customHeight="1">
      <c r="A13512" s="24" t="s">
        <v>42714</v>
      </c>
      <c r="B13512" s="24" t="s">
        <v>42715</v>
      </c>
      <c r="C13512" s="24" t="s">
        <v>42716</v>
      </c>
      <c r="D13512" s="25" t="s">
        <v>42717</v>
      </c>
      <c r="E13512" s="28">
        <v>0.53333</v>
      </c>
      <c r="F13512" s="29">
        <f ca="1">F13516</f>
        <v>0</v>
      </c>
      <c r="G13512" s="27">
        <f ca="1">ROUND(E13512*F13512,2)</f>
        <v>0</v>
      </c>
    </row>
    <row r="13513" spans="1:7" ht="24.36" thickBot="1" customHeight="1">
      <c r="A13513" s="24" t="s">
        <v>42718</v>
      </c>
      <c r="B13513" s="24" t="s">
        <v>42719</v>
      </c>
      <c r="C13513" s="24" t="s">
        <v>42720</v>
      </c>
      <c r="D13513" s="25" t="s">
        <v>42721</v>
      </c>
      <c r="E13513" s="28">
        <v>1.00000</v>
      </c>
      <c r="F13513" s="29">
        <f ca="1">ROUND(21.000,3)</f>
        <v>0</v>
      </c>
      <c r="G13513" s="27">
        <f ca="1">ROUND(E13513*F13513,2)</f>
        <v>0</v>
      </c>
    </row>
    <row r="13514" spans="1:7" ht="24.36" thickBot="1" customHeight="1">
      <c r="A13514" s="24" t="s">
        <v>42722</v>
      </c>
      <c r="B13514" s="24" t="s">
        <v>42723</v>
      </c>
      <c r="C13514" s="24" t="s">
        <v>42724</v>
      </c>
      <c r="D13514" s="25" t="s">
        <v>42725</v>
      </c>
      <c r="E13514" s="28">
        <v>1.00000</v>
      </c>
      <c r="F13514" s="29">
        <f ca="1">ROUND(19.000,3)</f>
        <v>0</v>
      </c>
      <c r="G13514" s="27">
        <f ca="1">ROUND(E13514*F13514,2)</f>
        <v>0</v>
      </c>
    </row>
    <row r="13515" spans="1:7" ht="24.36" thickBot="1" customHeight="1">
      <c r="A13515" s="24" t="s">
        <v>42726</v>
      </c>
      <c r="B13515" s="24" t="s">
        <v>42727</v>
      </c>
      <c r="C13515" s="24" t="s">
        <v>42728</v>
      </c>
      <c r="D13515" s="25" t="s">
        <v>42729</v>
      </c>
      <c r="E13515" s="28">
        <v>0.20000</v>
      </c>
      <c r="F13515" s="29">
        <f ca="1">ROUND(19.000,3)</f>
        <v>0</v>
      </c>
      <c r="G13515" s="27">
        <f ca="1">ROUND(E13515*F13515,2)</f>
        <v>0</v>
      </c>
    </row>
    <row r="13516" spans="1:7" ht="15.12" thickBot="1" customHeight="1">
      <c r="A13516" s="26"/>
      <c r="B13516" s="26"/>
      <c r="C13516" s="26"/>
      <c r="D13516" s="24" t="s">
        <v>42730</v>
      </c>
      <c r="E13516" s="28">
        <v>0.53333</v>
      </c>
      <c r="F13516" s="29">
        <f ca="1">ROUND((G13513+G13514+G13515),3)</f>
        <v>0</v>
      </c>
      <c r="G13516" s="27">
        <f ca="1">ROUND(E13516*F13516,2)</f>
        <v>0</v>
      </c>
    </row>
    <row r="13517" spans="1:7" ht="15.12" thickBot="1" customHeight="1">
      <c r="A13517" s="24" t="s">
        <v>42731</v>
      </c>
      <c r="B13517" s="24"/>
      <c r="C13517" s="24" t="s">
        <v>42732</v>
      </c>
      <c r="D13517" s="25" t="s">
        <v>42733</v>
      </c>
      <c r="E13517" s="28">
        <v>5.00000</v>
      </c>
      <c r="F13517" s="29">
        <f ca="1">ROUND(23.360,3)</f>
        <v>0</v>
      </c>
      <c r="G13517" s="27">
        <f ca="1">ROUND((E13517*F13517)/100,2)</f>
        <v>0</v>
      </c>
    </row>
    <row r="13518" spans="1:7" ht="15.48" thickBot="1" customHeight="1">
      <c r="A13518" s="30"/>
      <c r="B13518" s="30"/>
      <c r="C13518" s="30"/>
      <c r="D13518" s="31" t="s">
        <v>42734</v>
      </c>
      <c r="E13518" s="30"/>
      <c r="F13518" s="33">
        <f ca="1">ROUND((G13509+G13510+G13511+G13512+G13517)*(1+G2/100),2)</f>
        <v>0</v>
      </c>
      <c r="G13518" s="30"/>
    </row>
    <row r="13519" spans="1:7" ht="49.08" thickBot="1" customHeight="1">
      <c r="A13519" s="34" t="s">
        <v>42735</v>
      </c>
      <c r="B13519" s="35" t="s">
        <v>42736</v>
      </c>
      <c r="C13519" s="35" t="s">
        <v>42737</v>
      </c>
      <c r="D13519" s="36" t="s">
        <v>42738</v>
      </c>
      <c r="E13519" s="37"/>
      <c r="F13519" s="38">
        <f ca="1">F13530</f>
        <v>0</v>
      </c>
      <c r="G13519" s="37"/>
    </row>
    <row r="13520" spans="1:7" ht="21.36" thickBot="1" customHeight="1">
      <c r="A13520" s="26"/>
      <c r="B13520" s="26"/>
      <c r="C13520" s="26"/>
      <c r="D13520" s="25" t="s">
        <v>42739</v>
      </c>
      <c r="E13520" s="25"/>
      <c r="F13520" s="25"/>
      <c r="G13520" s="25"/>
    </row>
    <row r="13521" spans="1:7" ht="30.60" thickBot="1" customHeight="1">
      <c r="A13521" s="24" t="s">
        <v>42740</v>
      </c>
      <c r="B13521" s="24" t="s">
        <v>42741</v>
      </c>
      <c r="C13521" s="24" t="s">
        <v>42742</v>
      </c>
      <c r="D13521" s="25" t="s">
        <v>42743</v>
      </c>
      <c r="E13521" s="28">
        <v>1.00000</v>
      </c>
      <c r="F13521" s="29">
        <f ca="1">ROUND(10.670,3)</f>
        <v>0</v>
      </c>
      <c r="G13521" s="27">
        <f ca="1">ROUND(E13521*F13521,2)</f>
        <v>0</v>
      </c>
    </row>
    <row r="13522" spans="1:7" ht="30.60" thickBot="1" customHeight="1">
      <c r="A13522" s="24" t="s">
        <v>42744</v>
      </c>
      <c r="B13522" s="24" t="s">
        <v>42745</v>
      </c>
      <c r="C13522" s="24" t="s">
        <v>42746</v>
      </c>
      <c r="D13522" s="25" t="s">
        <v>42747</v>
      </c>
      <c r="E13522" s="28">
        <v>0.02200</v>
      </c>
      <c r="F13522" s="29">
        <f ca="1">ROUND(27.500,3)</f>
        <v>0</v>
      </c>
      <c r="G13522" s="27">
        <f ca="1">ROUND(E13522*F13522,2)</f>
        <v>0</v>
      </c>
    </row>
    <row r="13523" spans="1:7" ht="21.36" thickBot="1" customHeight="1">
      <c r="A13523" s="24" t="s">
        <v>42748</v>
      </c>
      <c r="B13523" s="24" t="s">
        <v>42749</v>
      </c>
      <c r="C13523" s="24" t="s">
        <v>42750</v>
      </c>
      <c r="D13523" s="25" t="s">
        <v>42751</v>
      </c>
      <c r="E13523" s="28">
        <v>0.40000</v>
      </c>
      <c r="F13523" s="29">
        <f ca="1">ROUND(1.050,3)</f>
        <v>0</v>
      </c>
      <c r="G13523" s="27">
        <f ca="1">ROUND(E13523*F13523,2)</f>
        <v>0</v>
      </c>
    </row>
    <row r="13524" spans="1:7" ht="21.36" thickBot="1" customHeight="1">
      <c r="A13524" s="24" t="s">
        <v>42752</v>
      </c>
      <c r="B13524" s="24" t="s">
        <v>42753</v>
      </c>
      <c r="C13524" s="24" t="s">
        <v>42754</v>
      </c>
      <c r="D13524" s="25" t="s">
        <v>42755</v>
      </c>
      <c r="E13524" s="28">
        <v>0.75000</v>
      </c>
      <c r="F13524" s="29">
        <f ca="1">F13528</f>
        <v>0</v>
      </c>
      <c r="G13524" s="27">
        <f ca="1">ROUND(E13524*F13524,2)</f>
        <v>0</v>
      </c>
    </row>
    <row r="13525" spans="1:7" ht="24.36" thickBot="1" customHeight="1">
      <c r="A13525" s="24" t="s">
        <v>42756</v>
      </c>
      <c r="B13525" s="24" t="s">
        <v>42757</v>
      </c>
      <c r="C13525" s="24" t="s">
        <v>42758</v>
      </c>
      <c r="D13525" s="25" t="s">
        <v>42759</v>
      </c>
      <c r="E13525" s="28">
        <v>1.00000</v>
      </c>
      <c r="F13525" s="29">
        <f ca="1">ROUND(21.000,3)</f>
        <v>0</v>
      </c>
      <c r="G13525" s="27">
        <f ca="1">ROUND(E13525*F13525,2)</f>
        <v>0</v>
      </c>
    </row>
    <row r="13526" spans="1:7" ht="24.36" thickBot="1" customHeight="1">
      <c r="A13526" s="24" t="s">
        <v>42760</v>
      </c>
      <c r="B13526" s="24" t="s">
        <v>42761</v>
      </c>
      <c r="C13526" s="24" t="s">
        <v>42762</v>
      </c>
      <c r="D13526" s="25" t="s">
        <v>42763</v>
      </c>
      <c r="E13526" s="28">
        <v>1.00000</v>
      </c>
      <c r="F13526" s="29">
        <f ca="1">ROUND(19.000,3)</f>
        <v>0</v>
      </c>
      <c r="G13526" s="27">
        <f ca="1">ROUND(E13526*F13526,2)</f>
        <v>0</v>
      </c>
    </row>
    <row r="13527" spans="1:7" ht="24.36" thickBot="1" customHeight="1">
      <c r="A13527" s="24" t="s">
        <v>42764</v>
      </c>
      <c r="B13527" s="24" t="s">
        <v>42765</v>
      </c>
      <c r="C13527" s="24" t="s">
        <v>42766</v>
      </c>
      <c r="D13527" s="25" t="s">
        <v>42767</v>
      </c>
      <c r="E13527" s="28">
        <v>0.20000</v>
      </c>
      <c r="F13527" s="29">
        <f ca="1">ROUND(19.000,3)</f>
        <v>0</v>
      </c>
      <c r="G13527" s="27">
        <f ca="1">ROUND(E13527*F13527,2)</f>
        <v>0</v>
      </c>
    </row>
    <row r="13528" spans="1:7" ht="15.12" thickBot="1" customHeight="1">
      <c r="A13528" s="26"/>
      <c r="B13528" s="26"/>
      <c r="C13528" s="26"/>
      <c r="D13528" s="24" t="s">
        <v>42768</v>
      </c>
      <c r="E13528" s="28">
        <v>0.75000</v>
      </c>
      <c r="F13528" s="29">
        <f ca="1">ROUND((G13525+G13526+G13527),3)</f>
        <v>0</v>
      </c>
      <c r="G13528" s="27">
        <f ca="1">ROUND(E13528*F13528,2)</f>
        <v>0</v>
      </c>
    </row>
    <row r="13529" spans="1:7" ht="15.12" thickBot="1" customHeight="1">
      <c r="A13529" s="24" t="s">
        <v>42769</v>
      </c>
      <c r="B13529" s="24"/>
      <c r="C13529" s="24" t="s">
        <v>42770</v>
      </c>
      <c r="D13529" s="25" t="s">
        <v>42771</v>
      </c>
      <c r="E13529" s="28">
        <v>5.00000</v>
      </c>
      <c r="F13529" s="29">
        <f ca="1">ROUND(32.850,3)</f>
        <v>0</v>
      </c>
      <c r="G13529" s="27">
        <f ca="1">ROUND((E13529*F13529)/100,2)</f>
        <v>0</v>
      </c>
    </row>
    <row r="13530" spans="1:7" ht="15.48" thickBot="1" customHeight="1">
      <c r="A13530" s="30"/>
      <c r="B13530" s="30"/>
      <c r="C13530" s="30"/>
      <c r="D13530" s="31" t="s">
        <v>42772</v>
      </c>
      <c r="E13530" s="30"/>
      <c r="F13530" s="33">
        <f ca="1">ROUND((G13521+G13522+G13523+G13524+G13529)*(1+G2/100),2)</f>
        <v>0</v>
      </c>
      <c r="G13530" s="30"/>
    </row>
    <row r="13531" spans="1:7" ht="58.32" thickBot="1" customHeight="1">
      <c r="A13531" s="34" t="s">
        <v>42773</v>
      </c>
      <c r="B13531" s="35" t="s">
        <v>42774</v>
      </c>
      <c r="C13531" s="35" t="s">
        <v>42775</v>
      </c>
      <c r="D13531" s="36" t="s">
        <v>42776</v>
      </c>
      <c r="E13531" s="37"/>
      <c r="F13531" s="38">
        <f ca="1">F13541</f>
        <v>0</v>
      </c>
      <c r="G13531" s="37"/>
    </row>
    <row r="13532" spans="1:7" ht="21.36" thickBot="1" customHeight="1">
      <c r="A13532" s="26"/>
      <c r="B13532" s="26"/>
      <c r="C13532" s="26"/>
      <c r="D13532" s="25" t="s">
        <v>42777</v>
      </c>
      <c r="E13532" s="25"/>
      <c r="F13532" s="25"/>
      <c r="G13532" s="25"/>
    </row>
    <row r="13533" spans="1:7" ht="30.60" thickBot="1" customHeight="1">
      <c r="A13533" s="24" t="s">
        <v>42778</v>
      </c>
      <c r="B13533" s="24" t="s">
        <v>42779</v>
      </c>
      <c r="C13533" s="24" t="s">
        <v>42780</v>
      </c>
      <c r="D13533" s="25" t="s">
        <v>42781</v>
      </c>
      <c r="E13533" s="28">
        <v>1.15000</v>
      </c>
      <c r="F13533" s="29">
        <f ca="1">ROUND(15.270,3)</f>
        <v>0</v>
      </c>
      <c r="G13533" s="27">
        <f ca="1">ROUND(E13533*F13533,2)</f>
        <v>0</v>
      </c>
    </row>
    <row r="13534" spans="1:7" ht="30.60" thickBot="1" customHeight="1">
      <c r="A13534" s="24" t="s">
        <v>42782</v>
      </c>
      <c r="B13534" s="24" t="s">
        <v>42783</v>
      </c>
      <c r="C13534" s="24" t="s">
        <v>42784</v>
      </c>
      <c r="D13534" s="25" t="s">
        <v>42785</v>
      </c>
      <c r="E13534" s="28">
        <v>0.02200</v>
      </c>
      <c r="F13534" s="29">
        <f ca="1">ROUND(27.500,3)</f>
        <v>0</v>
      </c>
      <c r="G13534" s="27">
        <f ca="1">ROUND(E13534*F13534,2)</f>
        <v>0</v>
      </c>
    </row>
    <row r="13535" spans="1:7" ht="21.36" thickBot="1" customHeight="1">
      <c r="A13535" s="24" t="s">
        <v>42786</v>
      </c>
      <c r="B13535" s="24" t="s">
        <v>42787</v>
      </c>
      <c r="C13535" s="24" t="s">
        <v>42788</v>
      </c>
      <c r="D13535" s="25" t="s">
        <v>42789</v>
      </c>
      <c r="E13535" s="28">
        <v>0.90000</v>
      </c>
      <c r="F13535" s="29">
        <f ca="1">F13539</f>
        <v>0</v>
      </c>
      <c r="G13535" s="27">
        <f ca="1">ROUND(E13535*F13535,2)</f>
        <v>0</v>
      </c>
    </row>
    <row r="13536" spans="1:7" ht="24.36" thickBot="1" customHeight="1">
      <c r="A13536" s="24" t="s">
        <v>42790</v>
      </c>
      <c r="B13536" s="24" t="s">
        <v>42791</v>
      </c>
      <c r="C13536" s="24" t="s">
        <v>42792</v>
      </c>
      <c r="D13536" s="25" t="s">
        <v>42793</v>
      </c>
      <c r="E13536" s="28">
        <v>1.00000</v>
      </c>
      <c r="F13536" s="29">
        <f ca="1">ROUND(21.000,3)</f>
        <v>0</v>
      </c>
      <c r="G13536" s="27">
        <f ca="1">ROUND(E13536*F13536,2)</f>
        <v>0</v>
      </c>
    </row>
    <row r="13537" spans="1:7" ht="24.36" thickBot="1" customHeight="1">
      <c r="A13537" s="24" t="s">
        <v>42794</v>
      </c>
      <c r="B13537" s="24" t="s">
        <v>42795</v>
      </c>
      <c r="C13537" s="24" t="s">
        <v>42796</v>
      </c>
      <c r="D13537" s="25" t="s">
        <v>42797</v>
      </c>
      <c r="E13537" s="28">
        <v>1.00000</v>
      </c>
      <c r="F13537" s="29">
        <f ca="1">ROUND(19.000,3)</f>
        <v>0</v>
      </c>
      <c r="G13537" s="27">
        <f ca="1">ROUND(E13537*F13537,2)</f>
        <v>0</v>
      </c>
    </row>
    <row r="13538" spans="1:7" ht="24.36" thickBot="1" customHeight="1">
      <c r="A13538" s="24" t="s">
        <v>42798</v>
      </c>
      <c r="B13538" s="24" t="s">
        <v>42799</v>
      </c>
      <c r="C13538" s="24" t="s">
        <v>42800</v>
      </c>
      <c r="D13538" s="25" t="s">
        <v>42801</v>
      </c>
      <c r="E13538" s="28">
        <v>0.20000</v>
      </c>
      <c r="F13538" s="29">
        <f ca="1">ROUND(19.000,3)</f>
        <v>0</v>
      </c>
      <c r="G13538" s="27">
        <f ca="1">ROUND(E13538*F13538,2)</f>
        <v>0</v>
      </c>
    </row>
    <row r="13539" spans="1:7" ht="15.12" thickBot="1" customHeight="1">
      <c r="A13539" s="26"/>
      <c r="B13539" s="26"/>
      <c r="C13539" s="26"/>
      <c r="D13539" s="24" t="s">
        <v>42802</v>
      </c>
      <c r="E13539" s="28">
        <v>0.90000</v>
      </c>
      <c r="F13539" s="29">
        <f ca="1">ROUND((G13536+G13537+G13538),3)</f>
        <v>0</v>
      </c>
      <c r="G13539" s="27">
        <f ca="1">ROUND(E13539*F13539,2)</f>
        <v>0</v>
      </c>
    </row>
    <row r="13540" spans="1:7" ht="15.12" thickBot="1" customHeight="1">
      <c r="A13540" s="24" t="s">
        <v>42803</v>
      </c>
      <c r="B13540" s="24"/>
      <c r="C13540" s="24" t="s">
        <v>42804</v>
      </c>
      <c r="D13540" s="25" t="s">
        <v>42805</v>
      </c>
      <c r="E13540" s="28">
        <v>5.00000</v>
      </c>
      <c r="F13540" s="29">
        <f ca="1">ROUND(39.420,3)</f>
        <v>0</v>
      </c>
      <c r="G13540" s="27">
        <f ca="1">ROUND((E13540*F13540)/100,2)</f>
        <v>0</v>
      </c>
    </row>
    <row r="13541" spans="1:7" ht="25.08" thickBot="1" customHeight="1">
      <c r="A13541" s="30"/>
      <c r="B13541" s="30"/>
      <c r="C13541" s="30"/>
      <c r="D13541" s="31" t="s">
        <v>42806</v>
      </c>
      <c r="E13541" s="30"/>
      <c r="F13541" s="33">
        <f ca="1">ROUND((G13533+G13534+G13535+G13540)*(1+G2/100),2)</f>
        <v>0</v>
      </c>
      <c r="G13541" s="30"/>
    </row>
    <row r="13542" spans="1:7" ht="58.32" thickBot="1" customHeight="1">
      <c r="A13542" s="34" t="s">
        <v>42807</v>
      </c>
      <c r="B13542" s="35" t="s">
        <v>42808</v>
      </c>
      <c r="C13542" s="35" t="s">
        <v>42809</v>
      </c>
      <c r="D13542" s="36" t="s">
        <v>42810</v>
      </c>
      <c r="E13542" s="37"/>
      <c r="F13542" s="38">
        <f ca="1">F13552</f>
        <v>0</v>
      </c>
      <c r="G13542" s="37"/>
    </row>
    <row r="13543" spans="1:7" ht="21.36" thickBot="1" customHeight="1">
      <c r="A13543" s="26"/>
      <c r="B13543" s="26"/>
      <c r="C13543" s="26"/>
      <c r="D13543" s="25" t="s">
        <v>42811</v>
      </c>
      <c r="E13543" s="25"/>
      <c r="F13543" s="25"/>
      <c r="G13543" s="25"/>
    </row>
    <row r="13544" spans="1:7" ht="30.60" thickBot="1" customHeight="1">
      <c r="A13544" s="24" t="s">
        <v>42812</v>
      </c>
      <c r="B13544" s="24" t="s">
        <v>42813</v>
      </c>
      <c r="C13544" s="24" t="s">
        <v>42814</v>
      </c>
      <c r="D13544" s="25" t="s">
        <v>42815</v>
      </c>
      <c r="E13544" s="28">
        <v>1.15000</v>
      </c>
      <c r="F13544" s="29">
        <f ca="1">ROUND(15.270,3)</f>
        <v>0</v>
      </c>
      <c r="G13544" s="27">
        <f ca="1">ROUND(E13544*F13544,2)</f>
        <v>0</v>
      </c>
    </row>
    <row r="13545" spans="1:7" ht="30.60" thickBot="1" customHeight="1">
      <c r="A13545" s="24" t="s">
        <v>42816</v>
      </c>
      <c r="B13545" s="24" t="s">
        <v>42817</v>
      </c>
      <c r="C13545" s="24" t="s">
        <v>42818</v>
      </c>
      <c r="D13545" s="25" t="s">
        <v>42819</v>
      </c>
      <c r="E13545" s="28">
        <v>0.02200</v>
      </c>
      <c r="F13545" s="29">
        <f ca="1">ROUND(27.500,3)</f>
        <v>0</v>
      </c>
      <c r="G13545" s="27">
        <f ca="1">ROUND(E13545*F13545,2)</f>
        <v>0</v>
      </c>
    </row>
    <row r="13546" spans="1:7" ht="21.36" thickBot="1" customHeight="1">
      <c r="A13546" s="24" t="s">
        <v>42820</v>
      </c>
      <c r="B13546" s="24" t="s">
        <v>42821</v>
      </c>
      <c r="C13546" s="24" t="s">
        <v>42822</v>
      </c>
      <c r="D13546" s="25" t="s">
        <v>42823</v>
      </c>
      <c r="E13546" s="28">
        <v>0.50000</v>
      </c>
      <c r="F13546" s="29">
        <f ca="1">F13550</f>
        <v>0</v>
      </c>
      <c r="G13546" s="27">
        <f ca="1">ROUND(E13546*F13546,2)</f>
        <v>0</v>
      </c>
    </row>
    <row r="13547" spans="1:7" ht="24.36" thickBot="1" customHeight="1">
      <c r="A13547" s="24" t="s">
        <v>42824</v>
      </c>
      <c r="B13547" s="24" t="s">
        <v>42825</v>
      </c>
      <c r="C13547" s="24" t="s">
        <v>42826</v>
      </c>
      <c r="D13547" s="25" t="s">
        <v>42827</v>
      </c>
      <c r="E13547" s="28">
        <v>1.00000</v>
      </c>
      <c r="F13547" s="29">
        <f ca="1">ROUND(21.000,3)</f>
        <v>0</v>
      </c>
      <c r="G13547" s="27">
        <f ca="1">ROUND(E13547*F13547,2)</f>
        <v>0</v>
      </c>
    </row>
    <row r="13548" spans="1:7" ht="24.36" thickBot="1" customHeight="1">
      <c r="A13548" s="24" t="s">
        <v>42828</v>
      </c>
      <c r="B13548" s="24" t="s">
        <v>42829</v>
      </c>
      <c r="C13548" s="24" t="s">
        <v>42830</v>
      </c>
      <c r="D13548" s="25" t="s">
        <v>42831</v>
      </c>
      <c r="E13548" s="28">
        <v>1.00000</v>
      </c>
      <c r="F13548" s="29">
        <f ca="1">ROUND(19.000,3)</f>
        <v>0</v>
      </c>
      <c r="G13548" s="27">
        <f ca="1">ROUND(E13548*F13548,2)</f>
        <v>0</v>
      </c>
    </row>
    <row r="13549" spans="1:7" ht="24.36" thickBot="1" customHeight="1">
      <c r="A13549" s="24" t="s">
        <v>42832</v>
      </c>
      <c r="B13549" s="24" t="s">
        <v>42833</v>
      </c>
      <c r="C13549" s="24" t="s">
        <v>42834</v>
      </c>
      <c r="D13549" s="25" t="s">
        <v>42835</v>
      </c>
      <c r="E13549" s="28">
        <v>0.20000</v>
      </c>
      <c r="F13549" s="29">
        <f ca="1">ROUND(19.000,3)</f>
        <v>0</v>
      </c>
      <c r="G13549" s="27">
        <f ca="1">ROUND(E13549*F13549,2)</f>
        <v>0</v>
      </c>
    </row>
    <row r="13550" spans="1:7" ht="15.12" thickBot="1" customHeight="1">
      <c r="A13550" s="26"/>
      <c r="B13550" s="26"/>
      <c r="C13550" s="26"/>
      <c r="D13550" s="24" t="s">
        <v>42836</v>
      </c>
      <c r="E13550" s="28">
        <v>0.50000</v>
      </c>
      <c r="F13550" s="29">
        <f ca="1">ROUND((G13547+G13548+G13549),3)</f>
        <v>0</v>
      </c>
      <c r="G13550" s="27">
        <f ca="1">ROUND(E13550*F13550,2)</f>
        <v>0</v>
      </c>
    </row>
    <row r="13551" spans="1:7" ht="15.12" thickBot="1" customHeight="1">
      <c r="A13551" s="24" t="s">
        <v>42837</v>
      </c>
      <c r="B13551" s="24"/>
      <c r="C13551" s="24" t="s">
        <v>42838</v>
      </c>
      <c r="D13551" s="25" t="s">
        <v>42839</v>
      </c>
      <c r="E13551" s="28">
        <v>3.00000</v>
      </c>
      <c r="F13551" s="29">
        <f ca="1">ROUND(21.900,3)</f>
        <v>0</v>
      </c>
      <c r="G13551" s="27">
        <f ca="1">ROUND((E13551*F13551)/100,2)</f>
        <v>0</v>
      </c>
    </row>
    <row r="13552" spans="1:7" ht="25.08" thickBot="1" customHeight="1">
      <c r="A13552" s="30"/>
      <c r="B13552" s="30"/>
      <c r="C13552" s="30"/>
      <c r="D13552" s="31" t="s">
        <v>42840</v>
      </c>
      <c r="E13552" s="30"/>
      <c r="F13552" s="33">
        <f ca="1">ROUND((G13544+G13545+G13546+G13551)*(1+G2/100),2)</f>
        <v>0</v>
      </c>
      <c r="G13552" s="30"/>
    </row>
    <row r="13553" spans="1:7" ht="58.32" thickBot="1" customHeight="1">
      <c r="A13553" s="34" t="s">
        <v>42841</v>
      </c>
      <c r="B13553" s="35" t="s">
        <v>42842</v>
      </c>
      <c r="C13553" s="35" t="s">
        <v>42843</v>
      </c>
      <c r="D13553" s="36" t="s">
        <v>42844</v>
      </c>
      <c r="E13553" s="37"/>
      <c r="F13553" s="38">
        <f ca="1">F13563</f>
        <v>0</v>
      </c>
      <c r="G13553" s="37"/>
    </row>
    <row r="13554" spans="1:7" ht="21.36" thickBot="1" customHeight="1">
      <c r="A13554" s="26"/>
      <c r="B13554" s="26"/>
      <c r="C13554" s="26"/>
      <c r="D13554" s="25" t="s">
        <v>42845</v>
      </c>
      <c r="E13554" s="25"/>
      <c r="F13554" s="25"/>
      <c r="G13554" s="25"/>
    </row>
    <row r="13555" spans="1:7" ht="30.60" thickBot="1" customHeight="1">
      <c r="A13555" s="24" t="s">
        <v>42846</v>
      </c>
      <c r="B13555" s="24" t="s">
        <v>42847</v>
      </c>
      <c r="C13555" s="24" t="s">
        <v>42848</v>
      </c>
      <c r="D13555" s="25" t="s">
        <v>42849</v>
      </c>
      <c r="E13555" s="28">
        <v>1.15000</v>
      </c>
      <c r="F13555" s="29">
        <f ca="1">ROUND(15.270,3)</f>
        <v>0</v>
      </c>
      <c r="G13555" s="27">
        <f ca="1">ROUND(E13555*F13555,2)</f>
        <v>0</v>
      </c>
    </row>
    <row r="13556" spans="1:7" ht="30.60" thickBot="1" customHeight="1">
      <c r="A13556" s="24" t="s">
        <v>42850</v>
      </c>
      <c r="B13556" s="24" t="s">
        <v>42851</v>
      </c>
      <c r="C13556" s="24" t="s">
        <v>42852</v>
      </c>
      <c r="D13556" s="25" t="s">
        <v>42853</v>
      </c>
      <c r="E13556" s="28">
        <v>0.02200</v>
      </c>
      <c r="F13556" s="29">
        <f ca="1">ROUND(27.500,3)</f>
        <v>0</v>
      </c>
      <c r="G13556" s="27">
        <f ca="1">ROUND(E13556*F13556,2)</f>
        <v>0</v>
      </c>
    </row>
    <row r="13557" spans="1:7" ht="21.36" thickBot="1" customHeight="1">
      <c r="A13557" s="24" t="s">
        <v>42854</v>
      </c>
      <c r="B13557" s="24" t="s">
        <v>42855</v>
      </c>
      <c r="C13557" s="24" t="s">
        <v>42856</v>
      </c>
      <c r="D13557" s="25" t="s">
        <v>42857</v>
      </c>
      <c r="E13557" s="28">
        <v>0.75000</v>
      </c>
      <c r="F13557" s="29">
        <f ca="1">F13561</f>
        <v>0</v>
      </c>
      <c r="G13557" s="27">
        <f ca="1">ROUND(E13557*F13557,2)</f>
        <v>0</v>
      </c>
    </row>
    <row r="13558" spans="1:7" ht="24.36" thickBot="1" customHeight="1">
      <c r="A13558" s="24" t="s">
        <v>42858</v>
      </c>
      <c r="B13558" s="24" t="s">
        <v>42859</v>
      </c>
      <c r="C13558" s="24" t="s">
        <v>42860</v>
      </c>
      <c r="D13558" s="25" t="s">
        <v>42861</v>
      </c>
      <c r="E13558" s="28">
        <v>1.00000</v>
      </c>
      <c r="F13558" s="29">
        <f ca="1">ROUND(21.000,3)</f>
        <v>0</v>
      </c>
      <c r="G13558" s="27">
        <f ca="1">ROUND(E13558*F13558,2)</f>
        <v>0</v>
      </c>
    </row>
    <row r="13559" spans="1:7" ht="24.36" thickBot="1" customHeight="1">
      <c r="A13559" s="24" t="s">
        <v>42862</v>
      </c>
      <c r="B13559" s="24" t="s">
        <v>42863</v>
      </c>
      <c r="C13559" s="24" t="s">
        <v>42864</v>
      </c>
      <c r="D13559" s="25" t="s">
        <v>42865</v>
      </c>
      <c r="E13559" s="28">
        <v>1.00000</v>
      </c>
      <c r="F13559" s="29">
        <f ca="1">ROUND(19.000,3)</f>
        <v>0</v>
      </c>
      <c r="G13559" s="27">
        <f ca="1">ROUND(E13559*F13559,2)</f>
        <v>0</v>
      </c>
    </row>
    <row r="13560" spans="1:7" ht="24.36" thickBot="1" customHeight="1">
      <c r="A13560" s="24" t="s">
        <v>42866</v>
      </c>
      <c r="B13560" s="24" t="s">
        <v>42867</v>
      </c>
      <c r="C13560" s="24" t="s">
        <v>42868</v>
      </c>
      <c r="D13560" s="25" t="s">
        <v>42869</v>
      </c>
      <c r="E13560" s="28">
        <v>0.20000</v>
      </c>
      <c r="F13560" s="29">
        <f ca="1">ROUND(19.000,3)</f>
        <v>0</v>
      </c>
      <c r="G13560" s="27">
        <f ca="1">ROUND(E13560*F13560,2)</f>
        <v>0</v>
      </c>
    </row>
    <row r="13561" spans="1:7" ht="15.12" thickBot="1" customHeight="1">
      <c r="A13561" s="26"/>
      <c r="B13561" s="26"/>
      <c r="C13561" s="26"/>
      <c r="D13561" s="24" t="s">
        <v>42870</v>
      </c>
      <c r="E13561" s="28">
        <v>0.75000</v>
      </c>
      <c r="F13561" s="29">
        <f ca="1">ROUND((G13558+G13559+G13560),3)</f>
        <v>0</v>
      </c>
      <c r="G13561" s="27">
        <f ca="1">ROUND(E13561*F13561,2)</f>
        <v>0</v>
      </c>
    </row>
    <row r="13562" spans="1:7" ht="15.12" thickBot="1" customHeight="1">
      <c r="A13562" s="24" t="s">
        <v>42871</v>
      </c>
      <c r="B13562" s="24"/>
      <c r="C13562" s="24" t="s">
        <v>42872</v>
      </c>
      <c r="D13562" s="25" t="s">
        <v>42873</v>
      </c>
      <c r="E13562" s="28">
        <v>5.00000</v>
      </c>
      <c r="F13562" s="29">
        <f ca="1">ROUND(32.850,3)</f>
        <v>0</v>
      </c>
      <c r="G13562" s="27">
        <f ca="1">ROUND((E13562*F13562)/100,2)</f>
        <v>0</v>
      </c>
    </row>
    <row r="13563" spans="1:7" ht="25.08" thickBot="1" customHeight="1">
      <c r="A13563" s="30"/>
      <c r="B13563" s="30"/>
      <c r="C13563" s="30"/>
      <c r="D13563" s="31" t="s">
        <v>42874</v>
      </c>
      <c r="E13563" s="30"/>
      <c r="F13563" s="33">
        <f ca="1">ROUND((G13555+G13556+G13557+G13562)*(1+G2/100),2)</f>
        <v>0</v>
      </c>
      <c r="G13563" s="30"/>
    </row>
    <row r="13564" spans="1:7" ht="58.32" thickBot="1" customHeight="1">
      <c r="A13564" s="34" t="s">
        <v>42875</v>
      </c>
      <c r="B13564" s="35" t="s">
        <v>42876</v>
      </c>
      <c r="C13564" s="35" t="s">
        <v>42877</v>
      </c>
      <c r="D13564" s="36" t="s">
        <v>42878</v>
      </c>
      <c r="E13564" s="37"/>
      <c r="F13564" s="38">
        <f ca="1">F13575</f>
        <v>0</v>
      </c>
      <c r="G13564" s="37"/>
    </row>
    <row r="13565" spans="1:7" ht="30.60" thickBot="1" customHeight="1">
      <c r="A13565" s="26"/>
      <c r="B13565" s="26"/>
      <c r="C13565" s="26"/>
      <c r="D13565" s="25" t="s">
        <v>42879</v>
      </c>
      <c r="E13565" s="25"/>
      <c r="F13565" s="25"/>
      <c r="G13565" s="25"/>
    </row>
    <row r="13566" spans="1:7" ht="30.60" thickBot="1" customHeight="1">
      <c r="A13566" s="24" t="s">
        <v>42880</v>
      </c>
      <c r="B13566" s="24" t="s">
        <v>42881</v>
      </c>
      <c r="C13566" s="24" t="s">
        <v>42882</v>
      </c>
      <c r="D13566" s="25" t="s">
        <v>42883</v>
      </c>
      <c r="E13566" s="28">
        <v>1.26000</v>
      </c>
      <c r="F13566" s="29">
        <f ca="1">ROUND(5.210,3)</f>
        <v>0</v>
      </c>
      <c r="G13566" s="27">
        <f ca="1">ROUND(E13566*F13566,2)</f>
        <v>0</v>
      </c>
    </row>
    <row r="13567" spans="1:7" ht="30.60" thickBot="1" customHeight="1">
      <c r="A13567" s="24" t="s">
        <v>42884</v>
      </c>
      <c r="B13567" s="24" t="s">
        <v>42885</v>
      </c>
      <c r="C13567" s="24" t="s">
        <v>42886</v>
      </c>
      <c r="D13567" s="25" t="s">
        <v>42887</v>
      </c>
      <c r="E13567" s="28">
        <v>0.02200</v>
      </c>
      <c r="F13567" s="29">
        <f ca="1">ROUND(27.500,3)</f>
        <v>0</v>
      </c>
      <c r="G13567" s="27">
        <f ca="1">ROUND(E13567*F13567,2)</f>
        <v>0</v>
      </c>
    </row>
    <row r="13568" spans="1:7" ht="21.36" thickBot="1" customHeight="1">
      <c r="A13568" s="24" t="s">
        <v>42888</v>
      </c>
      <c r="B13568" s="24" t="s">
        <v>42889</v>
      </c>
      <c r="C13568" s="24" t="s">
        <v>42890</v>
      </c>
      <c r="D13568" s="25" t="s">
        <v>42891</v>
      </c>
      <c r="E13568" s="28">
        <v>0.40000</v>
      </c>
      <c r="F13568" s="29">
        <f ca="1">ROUND(1.050,3)</f>
        <v>0</v>
      </c>
      <c r="G13568" s="27">
        <f ca="1">ROUND(E13568*F13568,2)</f>
        <v>0</v>
      </c>
    </row>
    <row r="13569" spans="1:7" ht="21.36" thickBot="1" customHeight="1">
      <c r="A13569" s="24" t="s">
        <v>42892</v>
      </c>
      <c r="B13569" s="24" t="s">
        <v>42893</v>
      </c>
      <c r="C13569" s="24" t="s">
        <v>42894</v>
      </c>
      <c r="D13569" s="25" t="s">
        <v>42895</v>
      </c>
      <c r="E13569" s="28">
        <v>0.68000</v>
      </c>
      <c r="F13569" s="29">
        <f ca="1">F13573</f>
        <v>0</v>
      </c>
      <c r="G13569" s="27">
        <f ca="1">ROUND(E13569*F13569,2)</f>
        <v>0</v>
      </c>
    </row>
    <row r="13570" spans="1:7" ht="24.36" thickBot="1" customHeight="1">
      <c r="A13570" s="24" t="s">
        <v>42896</v>
      </c>
      <c r="B13570" s="24" t="s">
        <v>42897</v>
      </c>
      <c r="C13570" s="24" t="s">
        <v>42898</v>
      </c>
      <c r="D13570" s="25" t="s">
        <v>42899</v>
      </c>
      <c r="E13570" s="28">
        <v>1.00000</v>
      </c>
      <c r="F13570" s="29">
        <f ca="1">ROUND(21.000,3)</f>
        <v>0</v>
      </c>
      <c r="G13570" s="27">
        <f ca="1">ROUND(E13570*F13570,2)</f>
        <v>0</v>
      </c>
    </row>
    <row r="13571" spans="1:7" ht="24.36" thickBot="1" customHeight="1">
      <c r="A13571" s="24" t="s">
        <v>42900</v>
      </c>
      <c r="B13571" s="24" t="s">
        <v>42901</v>
      </c>
      <c r="C13571" s="24" t="s">
        <v>42902</v>
      </c>
      <c r="D13571" s="25" t="s">
        <v>42903</v>
      </c>
      <c r="E13571" s="28">
        <v>1.00000</v>
      </c>
      <c r="F13571" s="29">
        <f ca="1">ROUND(19.000,3)</f>
        <v>0</v>
      </c>
      <c r="G13571" s="27">
        <f ca="1">ROUND(E13571*F13571,2)</f>
        <v>0</v>
      </c>
    </row>
    <row r="13572" spans="1:7" ht="24.36" thickBot="1" customHeight="1">
      <c r="A13572" s="24" t="s">
        <v>42904</v>
      </c>
      <c r="B13572" s="24" t="s">
        <v>42905</v>
      </c>
      <c r="C13572" s="24" t="s">
        <v>42906</v>
      </c>
      <c r="D13572" s="25" t="s">
        <v>42907</v>
      </c>
      <c r="E13572" s="28">
        <v>0.20000</v>
      </c>
      <c r="F13572" s="29">
        <f ca="1">ROUND(19.000,3)</f>
        <v>0</v>
      </c>
      <c r="G13572" s="27">
        <f ca="1">ROUND(E13572*F13572,2)</f>
        <v>0</v>
      </c>
    </row>
    <row r="13573" spans="1:7" ht="15.12" thickBot="1" customHeight="1">
      <c r="A13573" s="26"/>
      <c r="B13573" s="26"/>
      <c r="C13573" s="26"/>
      <c r="D13573" s="24" t="s">
        <v>42908</v>
      </c>
      <c r="E13573" s="28">
        <v>0.68000</v>
      </c>
      <c r="F13573" s="29">
        <f ca="1">ROUND((G13570+G13571+G13572),3)</f>
        <v>0</v>
      </c>
      <c r="G13573" s="27">
        <f ca="1">ROUND(E13573*F13573,2)</f>
        <v>0</v>
      </c>
    </row>
    <row r="13574" spans="1:7" ht="15.12" thickBot="1" customHeight="1">
      <c r="A13574" s="24" t="s">
        <v>42909</v>
      </c>
      <c r="B13574" s="24"/>
      <c r="C13574" s="24" t="s">
        <v>42910</v>
      </c>
      <c r="D13574" s="25" t="s">
        <v>42911</v>
      </c>
      <c r="E13574" s="28">
        <v>5.00000</v>
      </c>
      <c r="F13574" s="29">
        <f ca="1">ROUND(29.780,3)</f>
        <v>0</v>
      </c>
      <c r="G13574" s="27">
        <f ca="1">ROUND((E13574*F13574)/100,2)</f>
        <v>0</v>
      </c>
    </row>
    <row r="13575" spans="1:7" ht="15.48" thickBot="1" customHeight="1">
      <c r="A13575" s="30"/>
      <c r="B13575" s="30"/>
      <c r="C13575" s="30"/>
      <c r="D13575" s="31" t="s">
        <v>42912</v>
      </c>
      <c r="E13575" s="30"/>
      <c r="F13575" s="33">
        <f ca="1">ROUND((G13566+G13567+G13568+G13569+G13574)*(1+G2/100),2)</f>
        <v>0</v>
      </c>
      <c r="G13575" s="30"/>
    </row>
    <row r="13576" spans="1:7" ht="76.80" thickBot="1" customHeight="1">
      <c r="A13576" s="34" t="s">
        <v>42913</v>
      </c>
      <c r="B13576" s="35" t="s">
        <v>42914</v>
      </c>
      <c r="C13576" s="35" t="s">
        <v>42915</v>
      </c>
      <c r="D13576" s="36" t="s">
        <v>42916</v>
      </c>
      <c r="E13576" s="37"/>
      <c r="F13576" s="38">
        <f ca="1">F13587</f>
        <v>0</v>
      </c>
      <c r="G13576" s="37"/>
    </row>
    <row r="13577" spans="1:7" ht="30.60" thickBot="1" customHeight="1">
      <c r="A13577" s="26"/>
      <c r="B13577" s="26"/>
      <c r="C13577" s="26"/>
      <c r="D13577" s="25" t="s">
        <v>42917</v>
      </c>
      <c r="E13577" s="25"/>
      <c r="F13577" s="25"/>
      <c r="G13577" s="25"/>
    </row>
    <row r="13578" spans="1:7" ht="30.60" thickBot="1" customHeight="1">
      <c r="A13578" s="24" t="s">
        <v>42918</v>
      </c>
      <c r="B13578" s="24" t="s">
        <v>42919</v>
      </c>
      <c r="C13578" s="24" t="s">
        <v>42920</v>
      </c>
      <c r="D13578" s="25" t="s">
        <v>42921</v>
      </c>
      <c r="E13578" s="28">
        <v>1.26000</v>
      </c>
      <c r="F13578" s="29">
        <f ca="1">ROUND(5.210,3)</f>
        <v>0</v>
      </c>
      <c r="G13578" s="27">
        <f ca="1">ROUND(E13578*F13578,2)</f>
        <v>0</v>
      </c>
    </row>
    <row r="13579" spans="1:7" ht="30.60" thickBot="1" customHeight="1">
      <c r="A13579" s="24" t="s">
        <v>42922</v>
      </c>
      <c r="B13579" s="24" t="s">
        <v>42923</v>
      </c>
      <c r="C13579" s="24" t="s">
        <v>42924</v>
      </c>
      <c r="D13579" s="25" t="s">
        <v>42925</v>
      </c>
      <c r="E13579" s="28">
        <v>0.02200</v>
      </c>
      <c r="F13579" s="29">
        <f ca="1">ROUND(27.500,3)</f>
        <v>0</v>
      </c>
      <c r="G13579" s="27">
        <f ca="1">ROUND(E13579*F13579,2)</f>
        <v>0</v>
      </c>
    </row>
    <row r="13580" spans="1:7" ht="21.36" thickBot="1" customHeight="1">
      <c r="A13580" s="24" t="s">
        <v>42926</v>
      </c>
      <c r="B13580" s="24" t="s">
        <v>42927</v>
      </c>
      <c r="C13580" s="24" t="s">
        <v>42928</v>
      </c>
      <c r="D13580" s="25" t="s">
        <v>42929</v>
      </c>
      <c r="E13580" s="28">
        <v>0.40000</v>
      </c>
      <c r="F13580" s="29">
        <f ca="1">ROUND(1.050,3)</f>
        <v>0</v>
      </c>
      <c r="G13580" s="27">
        <f ca="1">ROUND(E13580*F13580,2)</f>
        <v>0</v>
      </c>
    </row>
    <row r="13581" spans="1:7" ht="21.36" thickBot="1" customHeight="1">
      <c r="A13581" s="24" t="s">
        <v>42930</v>
      </c>
      <c r="B13581" s="24" t="s">
        <v>42931</v>
      </c>
      <c r="C13581" s="24" t="s">
        <v>42932</v>
      </c>
      <c r="D13581" s="25" t="s">
        <v>42933</v>
      </c>
      <c r="E13581" s="28">
        <v>0.96000</v>
      </c>
      <c r="F13581" s="29">
        <f ca="1">F13585</f>
        <v>0</v>
      </c>
      <c r="G13581" s="27">
        <f ca="1">ROUND(E13581*F13581,2)</f>
        <v>0</v>
      </c>
    </row>
    <row r="13582" spans="1:7" ht="24.36" thickBot="1" customHeight="1">
      <c r="A13582" s="24" t="s">
        <v>42934</v>
      </c>
      <c r="B13582" s="24" t="s">
        <v>42935</v>
      </c>
      <c r="C13582" s="24" t="s">
        <v>42936</v>
      </c>
      <c r="D13582" s="25" t="s">
        <v>42937</v>
      </c>
      <c r="E13582" s="28">
        <v>1.00000</v>
      </c>
      <c r="F13582" s="29">
        <f ca="1">ROUND(21.000,3)</f>
        <v>0</v>
      </c>
      <c r="G13582" s="27">
        <f ca="1">ROUND(E13582*F13582,2)</f>
        <v>0</v>
      </c>
    </row>
    <row r="13583" spans="1:7" ht="24.36" thickBot="1" customHeight="1">
      <c r="A13583" s="24" t="s">
        <v>42938</v>
      </c>
      <c r="B13583" s="24" t="s">
        <v>42939</v>
      </c>
      <c r="C13583" s="24" t="s">
        <v>42940</v>
      </c>
      <c r="D13583" s="25" t="s">
        <v>42941</v>
      </c>
      <c r="E13583" s="28">
        <v>1.00000</v>
      </c>
      <c r="F13583" s="29">
        <f ca="1">ROUND(19.000,3)</f>
        <v>0</v>
      </c>
      <c r="G13583" s="27">
        <f ca="1">ROUND(E13583*F13583,2)</f>
        <v>0</v>
      </c>
    </row>
    <row r="13584" spans="1:7" ht="24.36" thickBot="1" customHeight="1">
      <c r="A13584" s="24" t="s">
        <v>42942</v>
      </c>
      <c r="B13584" s="24" t="s">
        <v>42943</v>
      </c>
      <c r="C13584" s="24" t="s">
        <v>42944</v>
      </c>
      <c r="D13584" s="25" t="s">
        <v>42945</v>
      </c>
      <c r="E13584" s="28">
        <v>0.20000</v>
      </c>
      <c r="F13584" s="29">
        <f ca="1">ROUND(19.000,3)</f>
        <v>0</v>
      </c>
      <c r="G13584" s="27">
        <f ca="1">ROUND(E13584*F13584,2)</f>
        <v>0</v>
      </c>
    </row>
    <row r="13585" spans="1:7" ht="15.12" thickBot="1" customHeight="1">
      <c r="A13585" s="26"/>
      <c r="B13585" s="26"/>
      <c r="C13585" s="26"/>
      <c r="D13585" s="24" t="s">
        <v>42946</v>
      </c>
      <c r="E13585" s="28">
        <v>0.96000</v>
      </c>
      <c r="F13585" s="29">
        <f ca="1">ROUND((G13582+G13583+G13584),3)</f>
        <v>0</v>
      </c>
      <c r="G13585" s="27">
        <f ca="1">ROUND(E13585*F13585,2)</f>
        <v>0</v>
      </c>
    </row>
    <row r="13586" spans="1:7" ht="15.12" thickBot="1" customHeight="1">
      <c r="A13586" s="24" t="s">
        <v>42947</v>
      </c>
      <c r="B13586" s="24"/>
      <c r="C13586" s="24" t="s">
        <v>42948</v>
      </c>
      <c r="D13586" s="25" t="s">
        <v>42949</v>
      </c>
      <c r="E13586" s="28">
        <v>5.00000</v>
      </c>
      <c r="F13586" s="29">
        <f ca="1">ROUND(42.050,3)</f>
        <v>0</v>
      </c>
      <c r="G13586" s="27">
        <f ca="1">ROUND((E13586*F13586)/100,2)</f>
        <v>0</v>
      </c>
    </row>
    <row r="13587" spans="1:7" ht="15.48" thickBot="1" customHeight="1">
      <c r="A13587" s="30"/>
      <c r="B13587" s="30"/>
      <c r="C13587" s="30"/>
      <c r="D13587" s="31" t="s">
        <v>42950</v>
      </c>
      <c r="E13587" s="30"/>
      <c r="F13587" s="33">
        <f ca="1">ROUND((G13578+G13579+G13580+G13581+G13586)*(1+G2/100),2)</f>
        <v>0</v>
      </c>
      <c r="G13587" s="30"/>
    </row>
    <row r="13588" spans="1:7" ht="49.08" thickBot="1" customHeight="1">
      <c r="A13588" s="34" t="s">
        <v>42951</v>
      </c>
      <c r="B13588" s="35" t="s">
        <v>42952</v>
      </c>
      <c r="C13588" s="35" t="s">
        <v>42953</v>
      </c>
      <c r="D13588" s="36" t="s">
        <v>42954</v>
      </c>
      <c r="E13588" s="37"/>
      <c r="F13588" s="38">
        <f ca="1">F13599</f>
        <v>0</v>
      </c>
      <c r="G13588" s="37"/>
    </row>
    <row r="13589" spans="1:7" ht="30.60" thickBot="1" customHeight="1">
      <c r="A13589" s="26"/>
      <c r="B13589" s="26"/>
      <c r="C13589" s="26"/>
      <c r="D13589" s="25" t="s">
        <v>42955</v>
      </c>
      <c r="E13589" s="25"/>
      <c r="F13589" s="25"/>
      <c r="G13589" s="25"/>
    </row>
    <row r="13590" spans="1:7" ht="30.60" thickBot="1" customHeight="1">
      <c r="A13590" s="24" t="s">
        <v>42956</v>
      </c>
      <c r="B13590" s="24" t="s">
        <v>42957</v>
      </c>
      <c r="C13590" s="24" t="s">
        <v>42958</v>
      </c>
      <c r="D13590" s="25" t="s">
        <v>42959</v>
      </c>
      <c r="E13590" s="28">
        <v>1.26000</v>
      </c>
      <c r="F13590" s="29">
        <f ca="1">ROUND(5.210,3)</f>
        <v>0</v>
      </c>
      <c r="G13590" s="27">
        <f ca="1">ROUND(E13590*F13590,2)</f>
        <v>0</v>
      </c>
    </row>
    <row r="13591" spans="1:7" ht="30.60" thickBot="1" customHeight="1">
      <c r="A13591" s="24" t="s">
        <v>42960</v>
      </c>
      <c r="B13591" s="24" t="s">
        <v>42961</v>
      </c>
      <c r="C13591" s="24" t="s">
        <v>42962</v>
      </c>
      <c r="D13591" s="25" t="s">
        <v>42963</v>
      </c>
      <c r="E13591" s="28">
        <v>0.02100</v>
      </c>
      <c r="F13591" s="29">
        <f ca="1">ROUND(27.500,3)</f>
        <v>0</v>
      </c>
      <c r="G13591" s="27">
        <f ca="1">ROUND(E13591*F13591,2)</f>
        <v>0</v>
      </c>
    </row>
    <row r="13592" spans="1:7" ht="21.36" thickBot="1" customHeight="1">
      <c r="A13592" s="24" t="s">
        <v>42964</v>
      </c>
      <c r="B13592" s="24" t="s">
        <v>42965</v>
      </c>
      <c r="C13592" s="24" t="s">
        <v>42966</v>
      </c>
      <c r="D13592" s="25" t="s">
        <v>42967</v>
      </c>
      <c r="E13592" s="28">
        <v>0.40000</v>
      </c>
      <c r="F13592" s="29">
        <f ca="1">ROUND(1.050,3)</f>
        <v>0</v>
      </c>
      <c r="G13592" s="27">
        <f ca="1">ROUND(E13592*F13592,2)</f>
        <v>0</v>
      </c>
    </row>
    <row r="13593" spans="1:7" ht="21.36" thickBot="1" customHeight="1">
      <c r="A13593" s="24" t="s">
        <v>42968</v>
      </c>
      <c r="B13593" s="24" t="s">
        <v>42969</v>
      </c>
      <c r="C13593" s="24" t="s">
        <v>42970</v>
      </c>
      <c r="D13593" s="25" t="s">
        <v>42971</v>
      </c>
      <c r="E13593" s="28">
        <v>0.66667</v>
      </c>
      <c r="F13593" s="29">
        <f ca="1">F13597</f>
        <v>0</v>
      </c>
      <c r="G13593" s="27">
        <f ca="1">ROUND(E13593*F13593,2)</f>
        <v>0</v>
      </c>
    </row>
    <row r="13594" spans="1:7" ht="24.36" thickBot="1" customHeight="1">
      <c r="A13594" s="24" t="s">
        <v>42972</v>
      </c>
      <c r="B13594" s="24" t="s">
        <v>42973</v>
      </c>
      <c r="C13594" s="24" t="s">
        <v>42974</v>
      </c>
      <c r="D13594" s="25" t="s">
        <v>42975</v>
      </c>
      <c r="E13594" s="28">
        <v>1.00000</v>
      </c>
      <c r="F13594" s="29">
        <f ca="1">ROUND(21.000,3)</f>
        <v>0</v>
      </c>
      <c r="G13594" s="27">
        <f ca="1">ROUND(E13594*F13594,2)</f>
        <v>0</v>
      </c>
    </row>
    <row r="13595" spans="1:7" ht="24.36" thickBot="1" customHeight="1">
      <c r="A13595" s="24" t="s">
        <v>42976</v>
      </c>
      <c r="B13595" s="24" t="s">
        <v>42977</v>
      </c>
      <c r="C13595" s="24" t="s">
        <v>42978</v>
      </c>
      <c r="D13595" s="25" t="s">
        <v>42979</v>
      </c>
      <c r="E13595" s="28">
        <v>1.00000</v>
      </c>
      <c r="F13595" s="29">
        <f ca="1">ROUND(19.000,3)</f>
        <v>0</v>
      </c>
      <c r="G13595" s="27">
        <f ca="1">ROUND(E13595*F13595,2)</f>
        <v>0</v>
      </c>
    </row>
    <row r="13596" spans="1:7" ht="24.36" thickBot="1" customHeight="1">
      <c r="A13596" s="24" t="s">
        <v>42980</v>
      </c>
      <c r="B13596" s="24" t="s">
        <v>42981</v>
      </c>
      <c r="C13596" s="24" t="s">
        <v>42982</v>
      </c>
      <c r="D13596" s="25" t="s">
        <v>42983</v>
      </c>
      <c r="E13596" s="28">
        <v>0.20000</v>
      </c>
      <c r="F13596" s="29">
        <f ca="1">ROUND(19.000,3)</f>
        <v>0</v>
      </c>
      <c r="G13596" s="27">
        <f ca="1">ROUND(E13596*F13596,2)</f>
        <v>0</v>
      </c>
    </row>
    <row r="13597" spans="1:7" ht="15.12" thickBot="1" customHeight="1">
      <c r="A13597" s="26"/>
      <c r="B13597" s="26"/>
      <c r="C13597" s="26"/>
      <c r="D13597" s="24" t="s">
        <v>42984</v>
      </c>
      <c r="E13597" s="28">
        <v>0.66667</v>
      </c>
      <c r="F13597" s="29">
        <f ca="1">ROUND((G13594+G13595+G13596),3)</f>
        <v>0</v>
      </c>
      <c r="G13597" s="27">
        <f ca="1">ROUND(E13597*F13597,2)</f>
        <v>0</v>
      </c>
    </row>
    <row r="13598" spans="1:7" ht="15.12" thickBot="1" customHeight="1">
      <c r="A13598" s="24" t="s">
        <v>42985</v>
      </c>
      <c r="B13598" s="24"/>
      <c r="C13598" s="24" t="s">
        <v>42986</v>
      </c>
      <c r="D13598" s="25" t="s">
        <v>42987</v>
      </c>
      <c r="E13598" s="28">
        <v>5.00000</v>
      </c>
      <c r="F13598" s="29">
        <f ca="1">ROUND(29.200,3)</f>
        <v>0</v>
      </c>
      <c r="G13598" s="27">
        <f ca="1">ROUND((E13598*F13598)/100,2)</f>
        <v>0</v>
      </c>
    </row>
    <row r="13599" spans="1:7" ht="15.48" thickBot="1" customHeight="1">
      <c r="A13599" s="30"/>
      <c r="B13599" s="30"/>
      <c r="C13599" s="30"/>
      <c r="D13599" s="31" t="s">
        <v>42988</v>
      </c>
      <c r="E13599" s="30"/>
      <c r="F13599" s="33">
        <f ca="1">ROUND((G13590+G13591+G13592+G13593+G13598)*(1+G2/100),2)</f>
        <v>0</v>
      </c>
      <c r="G13599" s="30"/>
    </row>
    <row r="13600" spans="1:7" ht="58.32" thickBot="1" customHeight="1">
      <c r="A13600" s="34" t="s">
        <v>42989</v>
      </c>
      <c r="B13600" s="35" t="s">
        <v>42990</v>
      </c>
      <c r="C13600" s="35" t="s">
        <v>42991</v>
      </c>
      <c r="D13600" s="36" t="s">
        <v>42992</v>
      </c>
      <c r="E13600" s="37"/>
      <c r="F13600" s="38">
        <f ca="1">F13611</f>
        <v>0</v>
      </c>
      <c r="G13600" s="37"/>
    </row>
    <row r="13601" spans="1:7" ht="39.84" thickBot="1" customHeight="1">
      <c r="A13601" s="26"/>
      <c r="B13601" s="26"/>
      <c r="C13601" s="26"/>
      <c r="D13601" s="25" t="s">
        <v>42993</v>
      </c>
      <c r="E13601" s="25"/>
      <c r="F13601" s="25"/>
      <c r="G13601" s="25"/>
    </row>
    <row r="13602" spans="1:7" ht="30.60" thickBot="1" customHeight="1">
      <c r="A13602" s="24" t="s">
        <v>42994</v>
      </c>
      <c r="B13602" s="24" t="s">
        <v>42995</v>
      </c>
      <c r="C13602" s="24" t="s">
        <v>42996</v>
      </c>
      <c r="D13602" s="25" t="s">
        <v>42997</v>
      </c>
      <c r="E13602" s="28">
        <v>1.26000</v>
      </c>
      <c r="F13602" s="29">
        <f ca="1">ROUND(5.210,3)</f>
        <v>0</v>
      </c>
      <c r="G13602" s="27">
        <f ca="1">ROUND(E13602*F13602,2)</f>
        <v>0</v>
      </c>
    </row>
    <row r="13603" spans="1:7" ht="30.60" thickBot="1" customHeight="1">
      <c r="A13603" s="24" t="s">
        <v>42998</v>
      </c>
      <c r="B13603" s="24" t="s">
        <v>42999</v>
      </c>
      <c r="C13603" s="24" t="s">
        <v>43000</v>
      </c>
      <c r="D13603" s="25" t="s">
        <v>43001</v>
      </c>
      <c r="E13603" s="28">
        <v>0.02100</v>
      </c>
      <c r="F13603" s="29">
        <f ca="1">ROUND(27.500,3)</f>
        <v>0</v>
      </c>
      <c r="G13603" s="27">
        <f ca="1">ROUND(E13603*F13603,2)</f>
        <v>0</v>
      </c>
    </row>
    <row r="13604" spans="1:7" ht="21.36" thickBot="1" customHeight="1">
      <c r="A13604" s="24" t="s">
        <v>43002</v>
      </c>
      <c r="B13604" s="24" t="s">
        <v>43003</v>
      </c>
      <c r="C13604" s="24" t="s">
        <v>43004</v>
      </c>
      <c r="D13604" s="25" t="s">
        <v>43005</v>
      </c>
      <c r="E13604" s="28">
        <v>0.40000</v>
      </c>
      <c r="F13604" s="29">
        <f ca="1">ROUND(1.050,3)</f>
        <v>0</v>
      </c>
      <c r="G13604" s="27">
        <f ca="1">ROUND(E13604*F13604,2)</f>
        <v>0</v>
      </c>
    </row>
    <row r="13605" spans="1:7" ht="21.36" thickBot="1" customHeight="1">
      <c r="A13605" s="24" t="s">
        <v>43006</v>
      </c>
      <c r="B13605" s="24" t="s">
        <v>43007</v>
      </c>
      <c r="C13605" s="24" t="s">
        <v>43008</v>
      </c>
      <c r="D13605" s="25" t="s">
        <v>43009</v>
      </c>
      <c r="E13605" s="28">
        <v>0.66667</v>
      </c>
      <c r="F13605" s="29">
        <f ca="1">F13609</f>
        <v>0</v>
      </c>
      <c r="G13605" s="27">
        <f ca="1">ROUND(E13605*F13605,2)</f>
        <v>0</v>
      </c>
    </row>
    <row r="13606" spans="1:7" ht="24.36" thickBot="1" customHeight="1">
      <c r="A13606" s="24" t="s">
        <v>43010</v>
      </c>
      <c r="B13606" s="24" t="s">
        <v>43011</v>
      </c>
      <c r="C13606" s="24" t="s">
        <v>43012</v>
      </c>
      <c r="D13606" s="25" t="s">
        <v>43013</v>
      </c>
      <c r="E13606" s="28">
        <v>1.00000</v>
      </c>
      <c r="F13606" s="29">
        <f ca="1">ROUND(21.000,3)</f>
        <v>0</v>
      </c>
      <c r="G13606" s="27">
        <f ca="1">ROUND(E13606*F13606,2)</f>
        <v>0</v>
      </c>
    </row>
    <row r="13607" spans="1:7" ht="24.36" thickBot="1" customHeight="1">
      <c r="A13607" s="24" t="s">
        <v>43014</v>
      </c>
      <c r="B13607" s="24" t="s">
        <v>43015</v>
      </c>
      <c r="C13607" s="24" t="s">
        <v>43016</v>
      </c>
      <c r="D13607" s="25" t="s">
        <v>43017</v>
      </c>
      <c r="E13607" s="28">
        <v>1.00000</v>
      </c>
      <c r="F13607" s="29">
        <f ca="1">ROUND(19.000,3)</f>
        <v>0</v>
      </c>
      <c r="G13607" s="27">
        <f ca="1">ROUND(E13607*F13607,2)</f>
        <v>0</v>
      </c>
    </row>
    <row r="13608" spans="1:7" ht="24.36" thickBot="1" customHeight="1">
      <c r="A13608" s="24" t="s">
        <v>43018</v>
      </c>
      <c r="B13608" s="24" t="s">
        <v>43019</v>
      </c>
      <c r="C13608" s="24" t="s">
        <v>43020</v>
      </c>
      <c r="D13608" s="25" t="s">
        <v>43021</v>
      </c>
      <c r="E13608" s="28">
        <v>0.20000</v>
      </c>
      <c r="F13608" s="29">
        <f ca="1">ROUND(19.000,3)</f>
        <v>0</v>
      </c>
      <c r="G13608" s="27">
        <f ca="1">ROUND(E13608*F13608,2)</f>
        <v>0</v>
      </c>
    </row>
    <row r="13609" spans="1:7" ht="15.12" thickBot="1" customHeight="1">
      <c r="A13609" s="26"/>
      <c r="B13609" s="26"/>
      <c r="C13609" s="26"/>
      <c r="D13609" s="24" t="s">
        <v>43022</v>
      </c>
      <c r="E13609" s="28">
        <v>0.66667</v>
      </c>
      <c r="F13609" s="29">
        <f ca="1">ROUND((G13606+G13607+G13608),3)</f>
        <v>0</v>
      </c>
      <c r="G13609" s="27">
        <f ca="1">ROUND(E13609*F13609,2)</f>
        <v>0</v>
      </c>
    </row>
    <row r="13610" spans="1:7" ht="15.12" thickBot="1" customHeight="1">
      <c r="A13610" s="24" t="s">
        <v>43023</v>
      </c>
      <c r="B13610" s="24"/>
      <c r="C13610" s="24" t="s">
        <v>43024</v>
      </c>
      <c r="D13610" s="25" t="s">
        <v>43025</v>
      </c>
      <c r="E13610" s="28">
        <v>5.00000</v>
      </c>
      <c r="F13610" s="29">
        <f ca="1">ROUND(29.200,3)</f>
        <v>0</v>
      </c>
      <c r="G13610" s="27">
        <f ca="1">ROUND((E13610*F13610)/100,2)</f>
        <v>0</v>
      </c>
    </row>
    <row r="13611" spans="1:7" ht="15.48" thickBot="1" customHeight="1">
      <c r="A13611" s="30"/>
      <c r="B13611" s="30"/>
      <c r="C13611" s="30"/>
      <c r="D13611" s="31" t="s">
        <v>43026</v>
      </c>
      <c r="E13611" s="30"/>
      <c r="F13611" s="33">
        <f ca="1">ROUND((G13602+G13603+G13604+G13605+G13610)*(1+G2/100),2)</f>
        <v>0</v>
      </c>
      <c r="G13611" s="30"/>
    </row>
    <row r="13612" spans="1:7" ht="76.80" thickBot="1" customHeight="1">
      <c r="A13612" s="34" t="s">
        <v>43027</v>
      </c>
      <c r="B13612" s="35" t="s">
        <v>43028</v>
      </c>
      <c r="C13612" s="35" t="s">
        <v>43029</v>
      </c>
      <c r="D13612" s="36" t="s">
        <v>43030</v>
      </c>
      <c r="E13612" s="37"/>
      <c r="F13612" s="38">
        <f ca="1">F13623</f>
        <v>0</v>
      </c>
      <c r="G13612" s="37"/>
    </row>
    <row r="13613" spans="1:7" ht="39.84" thickBot="1" customHeight="1">
      <c r="A13613" s="26"/>
      <c r="B13613" s="26"/>
      <c r="C13613" s="26"/>
      <c r="D13613" s="25" t="s">
        <v>43031</v>
      </c>
      <c r="E13613" s="25"/>
      <c r="F13613" s="25"/>
      <c r="G13613" s="25"/>
    </row>
    <row r="13614" spans="1:7" ht="30.60" thickBot="1" customHeight="1">
      <c r="A13614" s="24" t="s">
        <v>43032</v>
      </c>
      <c r="B13614" s="24" t="s">
        <v>43033</v>
      </c>
      <c r="C13614" s="24" t="s">
        <v>43034</v>
      </c>
      <c r="D13614" s="25" t="s">
        <v>43035</v>
      </c>
      <c r="E13614" s="28">
        <v>1.26000</v>
      </c>
      <c r="F13614" s="29">
        <f ca="1">ROUND(5.210,3)</f>
        <v>0</v>
      </c>
      <c r="G13614" s="27">
        <f ca="1">ROUND(E13614*F13614,2)</f>
        <v>0</v>
      </c>
    </row>
    <row r="13615" spans="1:7" ht="30.60" thickBot="1" customHeight="1">
      <c r="A13615" s="24" t="s">
        <v>43036</v>
      </c>
      <c r="B13615" s="24" t="s">
        <v>43037</v>
      </c>
      <c r="C13615" s="24" t="s">
        <v>43038</v>
      </c>
      <c r="D13615" s="25" t="s">
        <v>43039</v>
      </c>
      <c r="E13615" s="28">
        <v>0.02100</v>
      </c>
      <c r="F13615" s="29">
        <f ca="1">ROUND(27.500,3)</f>
        <v>0</v>
      </c>
      <c r="G13615" s="27">
        <f ca="1">ROUND(E13615*F13615,2)</f>
        <v>0</v>
      </c>
    </row>
    <row r="13616" spans="1:7" ht="21.36" thickBot="1" customHeight="1">
      <c r="A13616" s="24" t="s">
        <v>43040</v>
      </c>
      <c r="B13616" s="24" t="s">
        <v>43041</v>
      </c>
      <c r="C13616" s="24" t="s">
        <v>43042</v>
      </c>
      <c r="D13616" s="25" t="s">
        <v>43043</v>
      </c>
      <c r="E13616" s="28">
        <v>0.40000</v>
      </c>
      <c r="F13616" s="29">
        <f ca="1">ROUND(1.050,3)</f>
        <v>0</v>
      </c>
      <c r="G13616" s="27">
        <f ca="1">ROUND(E13616*F13616,2)</f>
        <v>0</v>
      </c>
    </row>
    <row r="13617" spans="1:7" ht="21.36" thickBot="1" customHeight="1">
      <c r="A13617" s="24" t="s">
        <v>43044</v>
      </c>
      <c r="B13617" s="24" t="s">
        <v>43045</v>
      </c>
      <c r="C13617" s="24" t="s">
        <v>43046</v>
      </c>
      <c r="D13617" s="25" t="s">
        <v>43047</v>
      </c>
      <c r="E13617" s="28">
        <v>0.90000</v>
      </c>
      <c r="F13617" s="29">
        <f ca="1">F13621</f>
        <v>0</v>
      </c>
      <c r="G13617" s="27">
        <f ca="1">ROUND(E13617*F13617,2)</f>
        <v>0</v>
      </c>
    </row>
    <row r="13618" spans="1:7" ht="24.36" thickBot="1" customHeight="1">
      <c r="A13618" s="24" t="s">
        <v>43048</v>
      </c>
      <c r="B13618" s="24" t="s">
        <v>43049</v>
      </c>
      <c r="C13618" s="24" t="s">
        <v>43050</v>
      </c>
      <c r="D13618" s="25" t="s">
        <v>43051</v>
      </c>
      <c r="E13618" s="28">
        <v>1.00000</v>
      </c>
      <c r="F13618" s="29">
        <f ca="1">ROUND(21.000,3)</f>
        <v>0</v>
      </c>
      <c r="G13618" s="27">
        <f ca="1">ROUND(E13618*F13618,2)</f>
        <v>0</v>
      </c>
    </row>
    <row r="13619" spans="1:7" ht="24.36" thickBot="1" customHeight="1">
      <c r="A13619" s="24" t="s">
        <v>43052</v>
      </c>
      <c r="B13619" s="24" t="s">
        <v>43053</v>
      </c>
      <c r="C13619" s="24" t="s">
        <v>43054</v>
      </c>
      <c r="D13619" s="25" t="s">
        <v>43055</v>
      </c>
      <c r="E13619" s="28">
        <v>1.00000</v>
      </c>
      <c r="F13619" s="29">
        <f ca="1">ROUND(19.000,3)</f>
        <v>0</v>
      </c>
      <c r="G13619" s="27">
        <f ca="1">ROUND(E13619*F13619,2)</f>
        <v>0</v>
      </c>
    </row>
    <row r="13620" spans="1:7" ht="24.36" thickBot="1" customHeight="1">
      <c r="A13620" s="24" t="s">
        <v>43056</v>
      </c>
      <c r="B13620" s="24" t="s">
        <v>43057</v>
      </c>
      <c r="C13620" s="24" t="s">
        <v>43058</v>
      </c>
      <c r="D13620" s="25" t="s">
        <v>43059</v>
      </c>
      <c r="E13620" s="28">
        <v>0.20000</v>
      </c>
      <c r="F13620" s="29">
        <f ca="1">ROUND(19.000,3)</f>
        <v>0</v>
      </c>
      <c r="G13620" s="27">
        <f ca="1">ROUND(E13620*F13620,2)</f>
        <v>0</v>
      </c>
    </row>
    <row r="13621" spans="1:7" ht="15.12" thickBot="1" customHeight="1">
      <c r="A13621" s="26"/>
      <c r="B13621" s="26"/>
      <c r="C13621" s="26"/>
      <c r="D13621" s="24" t="s">
        <v>43060</v>
      </c>
      <c r="E13621" s="28">
        <v>0.90000</v>
      </c>
      <c r="F13621" s="29">
        <f ca="1">ROUND((G13618+G13619+G13620),3)</f>
        <v>0</v>
      </c>
      <c r="G13621" s="27">
        <f ca="1">ROUND(E13621*F13621,2)</f>
        <v>0</v>
      </c>
    </row>
    <row r="13622" spans="1:7" ht="15.12" thickBot="1" customHeight="1">
      <c r="A13622" s="24" t="s">
        <v>43061</v>
      </c>
      <c r="B13622" s="24"/>
      <c r="C13622" s="24" t="s">
        <v>43062</v>
      </c>
      <c r="D13622" s="25" t="s">
        <v>43063</v>
      </c>
      <c r="E13622" s="28">
        <v>5.00000</v>
      </c>
      <c r="F13622" s="29">
        <f ca="1">ROUND(39.420,3)</f>
        <v>0</v>
      </c>
      <c r="G13622" s="27">
        <f ca="1">ROUND((E13622*F13622)/100,2)</f>
        <v>0</v>
      </c>
    </row>
    <row r="13623" spans="1:7" ht="15.48" thickBot="1" customHeight="1">
      <c r="A13623" s="30"/>
      <c r="B13623" s="30"/>
      <c r="C13623" s="30"/>
      <c r="D13623" s="31" t="s">
        <v>43064</v>
      </c>
      <c r="E13623" s="30"/>
      <c r="F13623" s="33">
        <f ca="1">ROUND((G13614+G13615+G13616+G13617+G13622)*(1+G2/100),2)</f>
        <v>0</v>
      </c>
      <c r="G13623" s="30"/>
    </row>
    <row r="13624" spans="1:7" ht="49.08" thickBot="1" customHeight="1">
      <c r="A13624" s="34" t="s">
        <v>43065</v>
      </c>
      <c r="B13624" s="35" t="s">
        <v>43066</v>
      </c>
      <c r="C13624" s="35" t="s">
        <v>43067</v>
      </c>
      <c r="D13624" s="36" t="s">
        <v>43068</v>
      </c>
      <c r="E13624" s="37"/>
      <c r="F13624" s="38">
        <f ca="1">F13635</f>
        <v>0</v>
      </c>
      <c r="G13624" s="37"/>
    </row>
    <row r="13625" spans="1:7" ht="30.60" thickBot="1" customHeight="1">
      <c r="A13625" s="26"/>
      <c r="B13625" s="26"/>
      <c r="C13625" s="26"/>
      <c r="D13625" s="25" t="s">
        <v>43069</v>
      </c>
      <c r="E13625" s="25"/>
      <c r="F13625" s="25"/>
      <c r="G13625" s="25"/>
    </row>
    <row r="13626" spans="1:7" ht="30.60" thickBot="1" customHeight="1">
      <c r="A13626" s="24" t="s">
        <v>43070</v>
      </c>
      <c r="B13626" s="24" t="s">
        <v>43071</v>
      </c>
      <c r="C13626" s="24" t="s">
        <v>43072</v>
      </c>
      <c r="D13626" s="25" t="s">
        <v>43073</v>
      </c>
      <c r="E13626" s="28">
        <v>1.26000</v>
      </c>
      <c r="F13626" s="29">
        <f ca="1">ROUND(5.210,3)</f>
        <v>0</v>
      </c>
      <c r="G13626" s="27">
        <f ca="1">ROUND(E13626*F13626,2)</f>
        <v>0</v>
      </c>
    </row>
    <row r="13627" spans="1:7" ht="30.60" thickBot="1" customHeight="1">
      <c r="A13627" s="24" t="s">
        <v>43074</v>
      </c>
      <c r="B13627" s="24" t="s">
        <v>43075</v>
      </c>
      <c r="C13627" s="24" t="s">
        <v>43076</v>
      </c>
      <c r="D13627" s="25" t="s">
        <v>43077</v>
      </c>
      <c r="E13627" s="28">
        <v>0.02100</v>
      </c>
      <c r="F13627" s="29">
        <f ca="1">ROUND(27.500,3)</f>
        <v>0</v>
      </c>
      <c r="G13627" s="27">
        <f ca="1">ROUND(E13627*F13627,2)</f>
        <v>0</v>
      </c>
    </row>
    <row r="13628" spans="1:7" ht="21.36" thickBot="1" customHeight="1">
      <c r="A13628" s="24" t="s">
        <v>43078</v>
      </c>
      <c r="B13628" s="24" t="s">
        <v>43079</v>
      </c>
      <c r="C13628" s="24" t="s">
        <v>43080</v>
      </c>
      <c r="D13628" s="25" t="s">
        <v>43081</v>
      </c>
      <c r="E13628" s="28">
        <v>0.40000</v>
      </c>
      <c r="F13628" s="29">
        <f ca="1">ROUND(1.050,3)</f>
        <v>0</v>
      </c>
      <c r="G13628" s="27">
        <f ca="1">ROUND(E13628*F13628,2)</f>
        <v>0</v>
      </c>
    </row>
    <row r="13629" spans="1:7" ht="21.36" thickBot="1" customHeight="1">
      <c r="A13629" s="24" t="s">
        <v>43082</v>
      </c>
      <c r="B13629" s="24" t="s">
        <v>43083</v>
      </c>
      <c r="C13629" s="24" t="s">
        <v>43084</v>
      </c>
      <c r="D13629" s="25" t="s">
        <v>43085</v>
      </c>
      <c r="E13629" s="28">
        <v>0.80000</v>
      </c>
      <c r="F13629" s="29">
        <f ca="1">F13633</f>
        <v>0</v>
      </c>
      <c r="G13629" s="27">
        <f ca="1">ROUND(E13629*F13629,2)</f>
        <v>0</v>
      </c>
    </row>
    <row r="13630" spans="1:7" ht="24.36" thickBot="1" customHeight="1">
      <c r="A13630" s="24" t="s">
        <v>43086</v>
      </c>
      <c r="B13630" s="24" t="s">
        <v>43087</v>
      </c>
      <c r="C13630" s="24" t="s">
        <v>43088</v>
      </c>
      <c r="D13630" s="25" t="s">
        <v>43089</v>
      </c>
      <c r="E13630" s="28">
        <v>1.00000</v>
      </c>
      <c r="F13630" s="29">
        <f ca="1">ROUND(21.000,3)</f>
        <v>0</v>
      </c>
      <c r="G13630" s="27">
        <f ca="1">ROUND(E13630*F13630,2)</f>
        <v>0</v>
      </c>
    </row>
    <row r="13631" spans="1:7" ht="24.36" thickBot="1" customHeight="1">
      <c r="A13631" s="24" t="s">
        <v>43090</v>
      </c>
      <c r="B13631" s="24" t="s">
        <v>43091</v>
      </c>
      <c r="C13631" s="24" t="s">
        <v>43092</v>
      </c>
      <c r="D13631" s="25" t="s">
        <v>43093</v>
      </c>
      <c r="E13631" s="28">
        <v>1.00000</v>
      </c>
      <c r="F13631" s="29">
        <f ca="1">ROUND(19.000,3)</f>
        <v>0</v>
      </c>
      <c r="G13631" s="27">
        <f ca="1">ROUND(E13631*F13631,2)</f>
        <v>0</v>
      </c>
    </row>
    <row r="13632" spans="1:7" ht="24.36" thickBot="1" customHeight="1">
      <c r="A13632" s="24" t="s">
        <v>43094</v>
      </c>
      <c r="B13632" s="24" t="s">
        <v>43095</v>
      </c>
      <c r="C13632" s="24" t="s">
        <v>43096</v>
      </c>
      <c r="D13632" s="25" t="s">
        <v>43097</v>
      </c>
      <c r="E13632" s="28">
        <v>0.20000</v>
      </c>
      <c r="F13632" s="29">
        <f ca="1">ROUND(19.000,3)</f>
        <v>0</v>
      </c>
      <c r="G13632" s="27">
        <f ca="1">ROUND(E13632*F13632,2)</f>
        <v>0</v>
      </c>
    </row>
    <row r="13633" spans="1:7" ht="15.12" thickBot="1" customHeight="1">
      <c r="A13633" s="26"/>
      <c r="B13633" s="26"/>
      <c r="C13633" s="26"/>
      <c r="D13633" s="24" t="s">
        <v>43098</v>
      </c>
      <c r="E13633" s="28">
        <v>0.80000</v>
      </c>
      <c r="F13633" s="29">
        <f ca="1">ROUND((G13630+G13631+G13632),3)</f>
        <v>0</v>
      </c>
      <c r="G13633" s="27">
        <f ca="1">ROUND(E13633*F13633,2)</f>
        <v>0</v>
      </c>
    </row>
    <row r="13634" spans="1:7" ht="15.12" thickBot="1" customHeight="1">
      <c r="A13634" s="24" t="s">
        <v>43099</v>
      </c>
      <c r="B13634" s="24"/>
      <c r="C13634" s="24" t="s">
        <v>43100</v>
      </c>
      <c r="D13634" s="25" t="s">
        <v>43101</v>
      </c>
      <c r="E13634" s="28">
        <v>5.00000</v>
      </c>
      <c r="F13634" s="29">
        <f ca="1">ROUND(35.040,3)</f>
        <v>0</v>
      </c>
      <c r="G13634" s="27">
        <f ca="1">ROUND((E13634*F13634)/100,2)</f>
        <v>0</v>
      </c>
    </row>
    <row r="13635" spans="1:7" ht="15.48" thickBot="1" customHeight="1">
      <c r="A13635" s="30"/>
      <c r="B13635" s="30"/>
      <c r="C13635" s="30"/>
      <c r="D13635" s="31" t="s">
        <v>43102</v>
      </c>
      <c r="E13635" s="30"/>
      <c r="F13635" s="33">
        <f ca="1">ROUND((G13626+G13627+G13628+G13629+G13634)*(1+G2/100),2)</f>
        <v>0</v>
      </c>
      <c r="G13635" s="30"/>
    </row>
    <row r="13636" spans="1:7" ht="58.32" thickBot="1" customHeight="1">
      <c r="A13636" s="34" t="s">
        <v>43103</v>
      </c>
      <c r="B13636" s="35" t="s">
        <v>43104</v>
      </c>
      <c r="C13636" s="35" t="s">
        <v>43105</v>
      </c>
      <c r="D13636" s="36" t="s">
        <v>43106</v>
      </c>
      <c r="E13636" s="37"/>
      <c r="F13636" s="38">
        <f ca="1">F13648</f>
        <v>0</v>
      </c>
      <c r="G13636" s="37"/>
    </row>
    <row r="13637" spans="1:7" ht="30.60" thickBot="1" customHeight="1">
      <c r="A13637" s="26"/>
      <c r="B13637" s="26"/>
      <c r="C13637" s="26"/>
      <c r="D13637" s="25" t="s">
        <v>43107</v>
      </c>
      <c r="E13637" s="25"/>
      <c r="F13637" s="25"/>
      <c r="G13637" s="25"/>
    </row>
    <row r="13638" spans="1:7" ht="30.60" thickBot="1" customHeight="1">
      <c r="A13638" s="24" t="s">
        <v>43108</v>
      </c>
      <c r="B13638" s="24" t="s">
        <v>43109</v>
      </c>
      <c r="C13638" s="24" t="s">
        <v>43110</v>
      </c>
      <c r="D13638" s="25" t="s">
        <v>43111</v>
      </c>
      <c r="E13638" s="28">
        <v>1.26000</v>
      </c>
      <c r="F13638" s="29">
        <f ca="1">ROUND(5.210,3)</f>
        <v>0</v>
      </c>
      <c r="G13638" s="27">
        <f ca="1">ROUND(E13638*F13638,2)</f>
        <v>0</v>
      </c>
    </row>
    <row r="13639" spans="1:7" ht="30.60" thickBot="1" customHeight="1">
      <c r="A13639" s="24" t="s">
        <v>43112</v>
      </c>
      <c r="B13639" s="24" t="s">
        <v>43113</v>
      </c>
      <c r="C13639" s="24" t="s">
        <v>43114</v>
      </c>
      <c r="D13639" s="25" t="s">
        <v>43115</v>
      </c>
      <c r="E13639" s="28">
        <v>0.02100</v>
      </c>
      <c r="F13639" s="29">
        <f ca="1">ROUND(27.500,3)</f>
        <v>0</v>
      </c>
      <c r="G13639" s="27">
        <f ca="1">ROUND(E13639*F13639,2)</f>
        <v>0</v>
      </c>
    </row>
    <row r="13640" spans="1:7" ht="21.36" thickBot="1" customHeight="1">
      <c r="A13640" s="24" t="s">
        <v>43116</v>
      </c>
      <c r="B13640" s="24" t="s">
        <v>43117</v>
      </c>
      <c r="C13640" s="24" t="s">
        <v>43118</v>
      </c>
      <c r="D13640" s="25" t="s">
        <v>43119</v>
      </c>
      <c r="E13640" s="28">
        <v>0.40000</v>
      </c>
      <c r="F13640" s="29">
        <f ca="1">ROUND(1.050,3)</f>
        <v>0</v>
      </c>
      <c r="G13640" s="27">
        <f ca="1">ROUND(E13640*F13640,2)</f>
        <v>0</v>
      </c>
    </row>
    <row r="13641" spans="1:7" ht="21.36" thickBot="1" customHeight="1">
      <c r="A13641" s="24" t="s">
        <v>43120</v>
      </c>
      <c r="B13641" s="24" t="s">
        <v>43121</v>
      </c>
      <c r="C13641" s="24" t="s">
        <v>43122</v>
      </c>
      <c r="D13641" s="25" t="s">
        <v>43123</v>
      </c>
      <c r="E13641" s="28">
        <v>0.20000</v>
      </c>
      <c r="F13641" s="29">
        <f ca="1">ROUND(11.500,3)</f>
        <v>0</v>
      </c>
      <c r="G13641" s="27">
        <f ca="1">ROUND(E13641*F13641,2)</f>
        <v>0</v>
      </c>
    </row>
    <row r="13642" spans="1:7" ht="21.36" thickBot="1" customHeight="1">
      <c r="A13642" s="24" t="s">
        <v>43124</v>
      </c>
      <c r="B13642" s="24" t="s">
        <v>43125</v>
      </c>
      <c r="C13642" s="24" t="s">
        <v>43126</v>
      </c>
      <c r="D13642" s="25" t="s">
        <v>43127</v>
      </c>
      <c r="E13642" s="28">
        <v>0.40000</v>
      </c>
      <c r="F13642" s="29">
        <f ca="1">F13646</f>
        <v>0</v>
      </c>
      <c r="G13642" s="27">
        <f ca="1">ROUND(E13642*F13642,2)</f>
        <v>0</v>
      </c>
    </row>
    <row r="13643" spans="1:7" ht="24.36" thickBot="1" customHeight="1">
      <c r="A13643" s="24" t="s">
        <v>43128</v>
      </c>
      <c r="B13643" s="24" t="s">
        <v>43129</v>
      </c>
      <c r="C13643" s="24" t="s">
        <v>43130</v>
      </c>
      <c r="D13643" s="25" t="s">
        <v>43131</v>
      </c>
      <c r="E13643" s="28">
        <v>1.00000</v>
      </c>
      <c r="F13643" s="29">
        <f ca="1">ROUND(21.000,3)</f>
        <v>0</v>
      </c>
      <c r="G13643" s="27">
        <f ca="1">ROUND(E13643*F13643,2)</f>
        <v>0</v>
      </c>
    </row>
    <row r="13644" spans="1:7" ht="24.36" thickBot="1" customHeight="1">
      <c r="A13644" s="24" t="s">
        <v>43132</v>
      </c>
      <c r="B13644" s="24" t="s">
        <v>43133</v>
      </c>
      <c r="C13644" s="24" t="s">
        <v>43134</v>
      </c>
      <c r="D13644" s="25" t="s">
        <v>43135</v>
      </c>
      <c r="E13644" s="28">
        <v>1.00000</v>
      </c>
      <c r="F13644" s="29">
        <f ca="1">ROUND(19.000,3)</f>
        <v>0</v>
      </c>
      <c r="G13644" s="27">
        <f ca="1">ROUND(E13644*F13644,2)</f>
        <v>0</v>
      </c>
    </row>
    <row r="13645" spans="1:7" ht="24.36" thickBot="1" customHeight="1">
      <c r="A13645" s="24" t="s">
        <v>43136</v>
      </c>
      <c r="B13645" s="24" t="s">
        <v>43137</v>
      </c>
      <c r="C13645" s="24" t="s">
        <v>43138</v>
      </c>
      <c r="D13645" s="25" t="s">
        <v>43139</v>
      </c>
      <c r="E13645" s="28">
        <v>0.20000</v>
      </c>
      <c r="F13645" s="29">
        <f ca="1">ROUND(19.000,3)</f>
        <v>0</v>
      </c>
      <c r="G13645" s="27">
        <f ca="1">ROUND(E13645*F13645,2)</f>
        <v>0</v>
      </c>
    </row>
    <row r="13646" spans="1:7" ht="15.12" thickBot="1" customHeight="1">
      <c r="A13646" s="26"/>
      <c r="B13646" s="26"/>
      <c r="C13646" s="26"/>
      <c r="D13646" s="24" t="s">
        <v>43140</v>
      </c>
      <c r="E13646" s="28">
        <v>0.40000</v>
      </c>
      <c r="F13646" s="29">
        <f ca="1">ROUND((G13643+G13644+G13645),3)</f>
        <v>0</v>
      </c>
      <c r="G13646" s="27">
        <f ca="1">ROUND(E13646*F13646,2)</f>
        <v>0</v>
      </c>
    </row>
    <row r="13647" spans="1:7" ht="15.12" thickBot="1" customHeight="1">
      <c r="A13647" s="24" t="s">
        <v>43141</v>
      </c>
      <c r="B13647" s="24"/>
      <c r="C13647" s="24" t="s">
        <v>43142</v>
      </c>
      <c r="D13647" s="25" t="s">
        <v>43143</v>
      </c>
      <c r="E13647" s="28">
        <v>3.00000</v>
      </c>
      <c r="F13647" s="29">
        <f ca="1">ROUND(17.520,3)</f>
        <v>0</v>
      </c>
      <c r="G13647" s="27">
        <f ca="1">ROUND((E13647*F13647)/100,2)</f>
        <v>0</v>
      </c>
    </row>
    <row r="13648" spans="1:7" ht="15.48" thickBot="1" customHeight="1">
      <c r="A13648" s="30"/>
      <c r="B13648" s="30"/>
      <c r="C13648" s="30"/>
      <c r="D13648" s="31" t="s">
        <v>43144</v>
      </c>
      <c r="E13648" s="30"/>
      <c r="F13648" s="33">
        <f ca="1">ROUND((G13638+G13639+G13640+G13641+G13642+G13647)*(1+G2/100),2)</f>
        <v>0</v>
      </c>
      <c r="G13648" s="30"/>
    </row>
    <row r="13649" spans="1:7" ht="58.32" thickBot="1" customHeight="1">
      <c r="A13649" s="34" t="s">
        <v>43145</v>
      </c>
      <c r="B13649" s="35" t="s">
        <v>43146</v>
      </c>
      <c r="C13649" s="35" t="s">
        <v>43147</v>
      </c>
      <c r="D13649" s="36" t="s">
        <v>43148</v>
      </c>
      <c r="E13649" s="37"/>
      <c r="F13649" s="38">
        <f ca="1">F13661</f>
        <v>0</v>
      </c>
      <c r="G13649" s="37"/>
    </row>
    <row r="13650" spans="1:7" ht="30.60" thickBot="1" customHeight="1">
      <c r="A13650" s="26"/>
      <c r="B13650" s="26"/>
      <c r="C13650" s="26"/>
      <c r="D13650" s="25" t="s">
        <v>43149</v>
      </c>
      <c r="E13650" s="25"/>
      <c r="F13650" s="25"/>
      <c r="G13650" s="25"/>
    </row>
    <row r="13651" spans="1:7" ht="30.60" thickBot="1" customHeight="1">
      <c r="A13651" s="24" t="s">
        <v>43150</v>
      </c>
      <c r="B13651" s="24" t="s">
        <v>43151</v>
      </c>
      <c r="C13651" s="24" t="s">
        <v>43152</v>
      </c>
      <c r="D13651" s="25" t="s">
        <v>43153</v>
      </c>
      <c r="E13651" s="28">
        <v>1.26000</v>
      </c>
      <c r="F13651" s="29">
        <f ca="1">ROUND(5.210,3)</f>
        <v>0</v>
      </c>
      <c r="G13651" s="27">
        <f ca="1">ROUND(E13651*F13651,2)</f>
        <v>0</v>
      </c>
    </row>
    <row r="13652" spans="1:7" ht="30.60" thickBot="1" customHeight="1">
      <c r="A13652" s="24" t="s">
        <v>43154</v>
      </c>
      <c r="B13652" s="24" t="s">
        <v>43155</v>
      </c>
      <c r="C13652" s="24" t="s">
        <v>43156</v>
      </c>
      <c r="D13652" s="25" t="s">
        <v>43157</v>
      </c>
      <c r="E13652" s="28">
        <v>0.02100</v>
      </c>
      <c r="F13652" s="29">
        <f ca="1">ROUND(27.500,3)</f>
        <v>0</v>
      </c>
      <c r="G13652" s="27">
        <f ca="1">ROUND(E13652*F13652,2)</f>
        <v>0</v>
      </c>
    </row>
    <row r="13653" spans="1:7" ht="21.36" thickBot="1" customHeight="1">
      <c r="A13653" s="24" t="s">
        <v>43158</v>
      </c>
      <c r="B13653" s="24" t="s">
        <v>43159</v>
      </c>
      <c r="C13653" s="24" t="s">
        <v>43160</v>
      </c>
      <c r="D13653" s="25" t="s">
        <v>43161</v>
      </c>
      <c r="E13653" s="28">
        <v>0.40000</v>
      </c>
      <c r="F13653" s="29">
        <f ca="1">ROUND(1.050,3)</f>
        <v>0</v>
      </c>
      <c r="G13653" s="27">
        <f ca="1">ROUND(E13653*F13653,2)</f>
        <v>0</v>
      </c>
    </row>
    <row r="13654" spans="1:7" ht="21.36" thickBot="1" customHeight="1">
      <c r="A13654" s="24" t="s">
        <v>43162</v>
      </c>
      <c r="B13654" s="24" t="s">
        <v>43163</v>
      </c>
      <c r="C13654" s="24" t="s">
        <v>43164</v>
      </c>
      <c r="D13654" s="25" t="s">
        <v>43165</v>
      </c>
      <c r="E13654" s="28">
        <v>0.20000</v>
      </c>
      <c r="F13654" s="29">
        <f ca="1">ROUND(11.500,3)</f>
        <v>0</v>
      </c>
      <c r="G13654" s="27">
        <f ca="1">ROUND(E13654*F13654,2)</f>
        <v>0</v>
      </c>
    </row>
    <row r="13655" spans="1:7" ht="21.36" thickBot="1" customHeight="1">
      <c r="A13655" s="24" t="s">
        <v>43166</v>
      </c>
      <c r="B13655" s="24" t="s">
        <v>43167</v>
      </c>
      <c r="C13655" s="24" t="s">
        <v>43168</v>
      </c>
      <c r="D13655" s="25" t="s">
        <v>43169</v>
      </c>
      <c r="E13655" s="28">
        <v>0.50000</v>
      </c>
      <c r="F13655" s="29">
        <f ca="1">F13659</f>
        <v>0</v>
      </c>
      <c r="G13655" s="27">
        <f ca="1">ROUND(E13655*F13655,2)</f>
        <v>0</v>
      </c>
    </row>
    <row r="13656" spans="1:7" ht="24.36" thickBot="1" customHeight="1">
      <c r="A13656" s="24" t="s">
        <v>43170</v>
      </c>
      <c r="B13656" s="24" t="s">
        <v>43171</v>
      </c>
      <c r="C13656" s="24" t="s">
        <v>43172</v>
      </c>
      <c r="D13656" s="25" t="s">
        <v>43173</v>
      </c>
      <c r="E13656" s="28">
        <v>1.00000</v>
      </c>
      <c r="F13656" s="29">
        <f ca="1">ROUND(21.000,3)</f>
        <v>0</v>
      </c>
      <c r="G13656" s="27">
        <f ca="1">ROUND(E13656*F13656,2)</f>
        <v>0</v>
      </c>
    </row>
    <row r="13657" spans="1:7" ht="24.36" thickBot="1" customHeight="1">
      <c r="A13657" s="24" t="s">
        <v>43174</v>
      </c>
      <c r="B13657" s="24" t="s">
        <v>43175</v>
      </c>
      <c r="C13657" s="24" t="s">
        <v>43176</v>
      </c>
      <c r="D13657" s="25" t="s">
        <v>43177</v>
      </c>
      <c r="E13657" s="28">
        <v>1.00000</v>
      </c>
      <c r="F13657" s="29">
        <f ca="1">ROUND(19.000,3)</f>
        <v>0</v>
      </c>
      <c r="G13657" s="27">
        <f ca="1">ROUND(E13657*F13657,2)</f>
        <v>0</v>
      </c>
    </row>
    <row r="13658" spans="1:7" ht="24.36" thickBot="1" customHeight="1">
      <c r="A13658" s="24" t="s">
        <v>43178</v>
      </c>
      <c r="B13658" s="24" t="s">
        <v>43179</v>
      </c>
      <c r="C13658" s="24" t="s">
        <v>43180</v>
      </c>
      <c r="D13658" s="25" t="s">
        <v>43181</v>
      </c>
      <c r="E13658" s="28">
        <v>0.20000</v>
      </c>
      <c r="F13658" s="29">
        <f ca="1">ROUND(19.000,3)</f>
        <v>0</v>
      </c>
      <c r="G13658" s="27">
        <f ca="1">ROUND(E13658*F13658,2)</f>
        <v>0</v>
      </c>
    </row>
    <row r="13659" spans="1:7" ht="15.12" thickBot="1" customHeight="1">
      <c r="A13659" s="26"/>
      <c r="B13659" s="26"/>
      <c r="C13659" s="26"/>
      <c r="D13659" s="24" t="s">
        <v>43182</v>
      </c>
      <c r="E13659" s="28">
        <v>0.50000</v>
      </c>
      <c r="F13659" s="29">
        <f ca="1">ROUND((G13656+G13657+G13658),3)</f>
        <v>0</v>
      </c>
      <c r="G13659" s="27">
        <f ca="1">ROUND(E13659*F13659,2)</f>
        <v>0</v>
      </c>
    </row>
    <row r="13660" spans="1:7" ht="15.12" thickBot="1" customHeight="1">
      <c r="A13660" s="24" t="s">
        <v>43183</v>
      </c>
      <c r="B13660" s="24"/>
      <c r="C13660" s="24" t="s">
        <v>43184</v>
      </c>
      <c r="D13660" s="25" t="s">
        <v>43185</v>
      </c>
      <c r="E13660" s="28">
        <v>3.00000</v>
      </c>
      <c r="F13660" s="29">
        <f ca="1">ROUND(21.900,3)</f>
        <v>0</v>
      </c>
      <c r="G13660" s="27">
        <f ca="1">ROUND((E13660*F13660)/100,2)</f>
        <v>0</v>
      </c>
    </row>
    <row r="13661" spans="1:7" ht="15.48" thickBot="1" customHeight="1">
      <c r="A13661" s="30"/>
      <c r="B13661" s="30"/>
      <c r="C13661" s="30"/>
      <c r="D13661" s="31" t="s">
        <v>43186</v>
      </c>
      <c r="E13661" s="30"/>
      <c r="F13661" s="33">
        <f ca="1">ROUND((G13651+G13652+G13653+G13654+G13655+G13660)*(1+G2/100),2)</f>
        <v>0</v>
      </c>
      <c r="G13661" s="30"/>
    </row>
    <row r="13662" spans="1:7" ht="58.32" thickBot="1" customHeight="1">
      <c r="A13662" s="34" t="s">
        <v>43187</v>
      </c>
      <c r="B13662" s="35" t="s">
        <v>43188</v>
      </c>
      <c r="C13662" s="35" t="s">
        <v>43189</v>
      </c>
      <c r="D13662" s="36" t="s">
        <v>43190</v>
      </c>
      <c r="E13662" s="37"/>
      <c r="F13662" s="38">
        <f ca="1">F13674</f>
        <v>0</v>
      </c>
      <c r="G13662" s="37"/>
    </row>
    <row r="13663" spans="1:7" ht="30.60" thickBot="1" customHeight="1">
      <c r="A13663" s="26"/>
      <c r="B13663" s="26"/>
      <c r="C13663" s="26"/>
      <c r="D13663" s="25" t="s">
        <v>43191</v>
      </c>
      <c r="E13663" s="25"/>
      <c r="F13663" s="25"/>
      <c r="G13663" s="25"/>
    </row>
    <row r="13664" spans="1:7" ht="30.60" thickBot="1" customHeight="1">
      <c r="A13664" s="24" t="s">
        <v>43192</v>
      </c>
      <c r="B13664" s="24" t="s">
        <v>43193</v>
      </c>
      <c r="C13664" s="24" t="s">
        <v>43194</v>
      </c>
      <c r="D13664" s="25" t="s">
        <v>43195</v>
      </c>
      <c r="E13664" s="28">
        <v>1.26000</v>
      </c>
      <c r="F13664" s="29">
        <f ca="1">ROUND(5.210,3)</f>
        <v>0</v>
      </c>
      <c r="G13664" s="27">
        <f ca="1">ROUND(E13664*F13664,2)</f>
        <v>0</v>
      </c>
    </row>
    <row r="13665" spans="1:7" ht="30.60" thickBot="1" customHeight="1">
      <c r="A13665" s="24" t="s">
        <v>43196</v>
      </c>
      <c r="B13665" s="24" t="s">
        <v>43197</v>
      </c>
      <c r="C13665" s="24" t="s">
        <v>43198</v>
      </c>
      <c r="D13665" s="25" t="s">
        <v>43199</v>
      </c>
      <c r="E13665" s="28">
        <v>0.02100</v>
      </c>
      <c r="F13665" s="29">
        <f ca="1">ROUND(27.500,3)</f>
        <v>0</v>
      </c>
      <c r="G13665" s="27">
        <f ca="1">ROUND(E13665*F13665,2)</f>
        <v>0</v>
      </c>
    </row>
    <row r="13666" spans="1:7" ht="21.36" thickBot="1" customHeight="1">
      <c r="A13666" s="24" t="s">
        <v>43200</v>
      </c>
      <c r="B13666" s="24" t="s">
        <v>43201</v>
      </c>
      <c r="C13666" s="24" t="s">
        <v>43202</v>
      </c>
      <c r="D13666" s="25" t="s">
        <v>43203</v>
      </c>
      <c r="E13666" s="28">
        <v>0.40000</v>
      </c>
      <c r="F13666" s="29">
        <f ca="1">ROUND(1.050,3)</f>
        <v>0</v>
      </c>
      <c r="G13666" s="27">
        <f ca="1">ROUND(E13666*F13666,2)</f>
        <v>0</v>
      </c>
    </row>
    <row r="13667" spans="1:7" ht="21.36" thickBot="1" customHeight="1">
      <c r="A13667" s="24" t="s">
        <v>43204</v>
      </c>
      <c r="B13667" s="24" t="s">
        <v>43205</v>
      </c>
      <c r="C13667" s="24" t="s">
        <v>43206</v>
      </c>
      <c r="D13667" s="25" t="s">
        <v>43207</v>
      </c>
      <c r="E13667" s="28">
        <v>0.20000</v>
      </c>
      <c r="F13667" s="29">
        <f ca="1">ROUND(11.500,3)</f>
        <v>0</v>
      </c>
      <c r="G13667" s="27">
        <f ca="1">ROUND(E13667*F13667,2)</f>
        <v>0</v>
      </c>
    </row>
    <row r="13668" spans="1:7" ht="21.36" thickBot="1" customHeight="1">
      <c r="A13668" s="24" t="s">
        <v>43208</v>
      </c>
      <c r="B13668" s="24" t="s">
        <v>43209</v>
      </c>
      <c r="C13668" s="24" t="s">
        <v>43210</v>
      </c>
      <c r="D13668" s="25" t="s">
        <v>43211</v>
      </c>
      <c r="E13668" s="28">
        <v>0.50000</v>
      </c>
      <c r="F13668" s="29">
        <f ca="1">F13672</f>
        <v>0</v>
      </c>
      <c r="G13668" s="27">
        <f ca="1">ROUND(E13668*F13668,2)</f>
        <v>0</v>
      </c>
    </row>
    <row r="13669" spans="1:7" ht="24.36" thickBot="1" customHeight="1">
      <c r="A13669" s="24" t="s">
        <v>43212</v>
      </c>
      <c r="B13669" s="24" t="s">
        <v>43213</v>
      </c>
      <c r="C13669" s="24" t="s">
        <v>43214</v>
      </c>
      <c r="D13669" s="25" t="s">
        <v>43215</v>
      </c>
      <c r="E13669" s="28">
        <v>1.00000</v>
      </c>
      <c r="F13669" s="29">
        <f ca="1">ROUND(21.000,3)</f>
        <v>0</v>
      </c>
      <c r="G13669" s="27">
        <f ca="1">ROUND(E13669*F13669,2)</f>
        <v>0</v>
      </c>
    </row>
    <row r="13670" spans="1:7" ht="24.36" thickBot="1" customHeight="1">
      <c r="A13670" s="24" t="s">
        <v>43216</v>
      </c>
      <c r="B13670" s="24" t="s">
        <v>43217</v>
      </c>
      <c r="C13670" s="24" t="s">
        <v>43218</v>
      </c>
      <c r="D13670" s="25" t="s">
        <v>43219</v>
      </c>
      <c r="E13670" s="28">
        <v>1.00000</v>
      </c>
      <c r="F13670" s="29">
        <f ca="1">ROUND(19.000,3)</f>
        <v>0</v>
      </c>
      <c r="G13670" s="27">
        <f ca="1">ROUND(E13670*F13670,2)</f>
        <v>0</v>
      </c>
    </row>
    <row r="13671" spans="1:7" ht="24.36" thickBot="1" customHeight="1">
      <c r="A13671" s="24" t="s">
        <v>43220</v>
      </c>
      <c r="B13671" s="24" t="s">
        <v>43221</v>
      </c>
      <c r="C13671" s="24" t="s">
        <v>43222</v>
      </c>
      <c r="D13671" s="25" t="s">
        <v>43223</v>
      </c>
      <c r="E13671" s="28">
        <v>0.20000</v>
      </c>
      <c r="F13671" s="29">
        <f ca="1">ROUND(19.000,3)</f>
        <v>0</v>
      </c>
      <c r="G13671" s="27">
        <f ca="1">ROUND(E13671*F13671,2)</f>
        <v>0</v>
      </c>
    </row>
    <row r="13672" spans="1:7" ht="15.12" thickBot="1" customHeight="1">
      <c r="A13672" s="26"/>
      <c r="B13672" s="26"/>
      <c r="C13672" s="26"/>
      <c r="D13672" s="24" t="s">
        <v>43224</v>
      </c>
      <c r="E13672" s="28">
        <v>0.50000</v>
      </c>
      <c r="F13672" s="29">
        <f ca="1">ROUND((G13669+G13670+G13671),3)</f>
        <v>0</v>
      </c>
      <c r="G13672" s="27">
        <f ca="1">ROUND(E13672*F13672,2)</f>
        <v>0</v>
      </c>
    </row>
    <row r="13673" spans="1:7" ht="15.12" thickBot="1" customHeight="1">
      <c r="A13673" s="24" t="s">
        <v>43225</v>
      </c>
      <c r="B13673" s="24"/>
      <c r="C13673" s="24" t="s">
        <v>43226</v>
      </c>
      <c r="D13673" s="25" t="s">
        <v>43227</v>
      </c>
      <c r="E13673" s="28">
        <v>3.00000</v>
      </c>
      <c r="F13673" s="29">
        <f ca="1">ROUND(21.900,3)</f>
        <v>0</v>
      </c>
      <c r="G13673" s="27">
        <f ca="1">ROUND((E13673*F13673)/100,2)</f>
        <v>0</v>
      </c>
    </row>
    <row r="13674" spans="1:7" ht="15.48" thickBot="1" customHeight="1">
      <c r="A13674" s="30"/>
      <c r="B13674" s="30"/>
      <c r="C13674" s="30"/>
      <c r="D13674" s="31" t="s">
        <v>43228</v>
      </c>
      <c r="E13674" s="30"/>
      <c r="F13674" s="33">
        <f ca="1">ROUND((G13664+G13665+G13666+G13667+G13668+G13673)*(1+G2/100),2)</f>
        <v>0</v>
      </c>
      <c r="G13674" s="30"/>
    </row>
    <row r="13675" spans="1:7" ht="58.32" thickBot="1" customHeight="1">
      <c r="A13675" s="34" t="s">
        <v>43229</v>
      </c>
      <c r="B13675" s="35" t="s">
        <v>43230</v>
      </c>
      <c r="C13675" s="35" t="s">
        <v>43231</v>
      </c>
      <c r="D13675" s="36" t="s">
        <v>43232</v>
      </c>
      <c r="E13675" s="37"/>
      <c r="F13675" s="38">
        <f ca="1">F13687</f>
        <v>0</v>
      </c>
      <c r="G13675" s="37"/>
    </row>
    <row r="13676" spans="1:7" ht="30.60" thickBot="1" customHeight="1">
      <c r="A13676" s="26"/>
      <c r="B13676" s="26"/>
      <c r="C13676" s="26"/>
      <c r="D13676" s="25" t="s">
        <v>43233</v>
      </c>
      <c r="E13676" s="25"/>
      <c r="F13676" s="25"/>
      <c r="G13676" s="25"/>
    </row>
    <row r="13677" spans="1:7" ht="30.60" thickBot="1" customHeight="1">
      <c r="A13677" s="24" t="s">
        <v>43234</v>
      </c>
      <c r="B13677" s="24" t="s">
        <v>43235</v>
      </c>
      <c r="C13677" s="24" t="s">
        <v>43236</v>
      </c>
      <c r="D13677" s="25" t="s">
        <v>43237</v>
      </c>
      <c r="E13677" s="28">
        <v>1.26000</v>
      </c>
      <c r="F13677" s="29">
        <f ca="1">ROUND(5.210,3)</f>
        <v>0</v>
      </c>
      <c r="G13677" s="27">
        <f ca="1">ROUND(E13677*F13677,2)</f>
        <v>0</v>
      </c>
    </row>
    <row r="13678" spans="1:7" ht="30.60" thickBot="1" customHeight="1">
      <c r="A13678" s="24" t="s">
        <v>43238</v>
      </c>
      <c r="B13678" s="24" t="s">
        <v>43239</v>
      </c>
      <c r="C13678" s="24" t="s">
        <v>43240</v>
      </c>
      <c r="D13678" s="25" t="s">
        <v>43241</v>
      </c>
      <c r="E13678" s="28">
        <v>0.02100</v>
      </c>
      <c r="F13678" s="29">
        <f ca="1">ROUND(27.500,3)</f>
        <v>0</v>
      </c>
      <c r="G13678" s="27">
        <f ca="1">ROUND(E13678*F13678,2)</f>
        <v>0</v>
      </c>
    </row>
    <row r="13679" spans="1:7" ht="21.36" thickBot="1" customHeight="1">
      <c r="A13679" s="24" t="s">
        <v>43242</v>
      </c>
      <c r="B13679" s="24" t="s">
        <v>43243</v>
      </c>
      <c r="C13679" s="24" t="s">
        <v>43244</v>
      </c>
      <c r="D13679" s="25" t="s">
        <v>43245</v>
      </c>
      <c r="E13679" s="28">
        <v>0.40000</v>
      </c>
      <c r="F13679" s="29">
        <f ca="1">ROUND(1.050,3)</f>
        <v>0</v>
      </c>
      <c r="G13679" s="27">
        <f ca="1">ROUND(E13679*F13679,2)</f>
        <v>0</v>
      </c>
    </row>
    <row r="13680" spans="1:7" ht="21.36" thickBot="1" customHeight="1">
      <c r="A13680" s="24" t="s">
        <v>43246</v>
      </c>
      <c r="B13680" s="24" t="s">
        <v>43247</v>
      </c>
      <c r="C13680" s="24" t="s">
        <v>43248</v>
      </c>
      <c r="D13680" s="25" t="s">
        <v>43249</v>
      </c>
      <c r="E13680" s="28">
        <v>0.20000</v>
      </c>
      <c r="F13680" s="29">
        <f ca="1">ROUND(11.500,3)</f>
        <v>0</v>
      </c>
      <c r="G13680" s="27">
        <f ca="1">ROUND(E13680*F13680,2)</f>
        <v>0</v>
      </c>
    </row>
    <row r="13681" spans="1:7" ht="21.36" thickBot="1" customHeight="1">
      <c r="A13681" s="24" t="s">
        <v>43250</v>
      </c>
      <c r="B13681" s="24" t="s">
        <v>43251</v>
      </c>
      <c r="C13681" s="24" t="s">
        <v>43252</v>
      </c>
      <c r="D13681" s="25" t="s">
        <v>43253</v>
      </c>
      <c r="E13681" s="28">
        <v>0.61540</v>
      </c>
      <c r="F13681" s="29">
        <f ca="1">F13685</f>
        <v>0</v>
      </c>
      <c r="G13681" s="27">
        <f ca="1">ROUND(E13681*F13681,2)</f>
        <v>0</v>
      </c>
    </row>
    <row r="13682" spans="1:7" ht="24.36" thickBot="1" customHeight="1">
      <c r="A13682" s="24" t="s">
        <v>43254</v>
      </c>
      <c r="B13682" s="24" t="s">
        <v>43255</v>
      </c>
      <c r="C13682" s="24" t="s">
        <v>43256</v>
      </c>
      <c r="D13682" s="25" t="s">
        <v>43257</v>
      </c>
      <c r="E13682" s="28">
        <v>1.00000</v>
      </c>
      <c r="F13682" s="29">
        <f ca="1">ROUND(21.000,3)</f>
        <v>0</v>
      </c>
      <c r="G13682" s="27">
        <f ca="1">ROUND(E13682*F13682,2)</f>
        <v>0</v>
      </c>
    </row>
    <row r="13683" spans="1:7" ht="24.36" thickBot="1" customHeight="1">
      <c r="A13683" s="24" t="s">
        <v>43258</v>
      </c>
      <c r="B13683" s="24" t="s">
        <v>43259</v>
      </c>
      <c r="C13683" s="24" t="s">
        <v>43260</v>
      </c>
      <c r="D13683" s="25" t="s">
        <v>43261</v>
      </c>
      <c r="E13683" s="28">
        <v>1.00000</v>
      </c>
      <c r="F13683" s="29">
        <f ca="1">ROUND(19.000,3)</f>
        <v>0</v>
      </c>
      <c r="G13683" s="27">
        <f ca="1">ROUND(E13683*F13683,2)</f>
        <v>0</v>
      </c>
    </row>
    <row r="13684" spans="1:7" ht="24.36" thickBot="1" customHeight="1">
      <c r="A13684" s="24" t="s">
        <v>43262</v>
      </c>
      <c r="B13684" s="24" t="s">
        <v>43263</v>
      </c>
      <c r="C13684" s="24" t="s">
        <v>43264</v>
      </c>
      <c r="D13684" s="25" t="s">
        <v>43265</v>
      </c>
      <c r="E13684" s="28">
        <v>0.20000</v>
      </c>
      <c r="F13684" s="29">
        <f ca="1">ROUND(19.000,3)</f>
        <v>0</v>
      </c>
      <c r="G13684" s="27">
        <f ca="1">ROUND(E13684*F13684,2)</f>
        <v>0</v>
      </c>
    </row>
    <row r="13685" spans="1:7" ht="15.12" thickBot="1" customHeight="1">
      <c r="A13685" s="26"/>
      <c r="B13685" s="26"/>
      <c r="C13685" s="26"/>
      <c r="D13685" s="24" t="s">
        <v>43266</v>
      </c>
      <c r="E13685" s="28">
        <v>0.61540</v>
      </c>
      <c r="F13685" s="29">
        <f ca="1">ROUND((G13682+G13683+G13684),3)</f>
        <v>0</v>
      </c>
      <c r="G13685" s="27">
        <f ca="1">ROUND(E13685*F13685,2)</f>
        <v>0</v>
      </c>
    </row>
    <row r="13686" spans="1:7" ht="15.12" thickBot="1" customHeight="1">
      <c r="A13686" s="24" t="s">
        <v>43267</v>
      </c>
      <c r="B13686" s="24"/>
      <c r="C13686" s="24" t="s">
        <v>43268</v>
      </c>
      <c r="D13686" s="25" t="s">
        <v>43269</v>
      </c>
      <c r="E13686" s="28">
        <v>3.00000</v>
      </c>
      <c r="F13686" s="29">
        <f ca="1">ROUND(26.950,3)</f>
        <v>0</v>
      </c>
      <c r="G13686" s="27">
        <f ca="1">ROUND((E13686*F13686)/100,2)</f>
        <v>0</v>
      </c>
    </row>
    <row r="13687" spans="1:7" ht="15.48" thickBot="1" customHeight="1">
      <c r="A13687" s="30"/>
      <c r="B13687" s="30"/>
      <c r="C13687" s="30"/>
      <c r="D13687" s="31" t="s">
        <v>43270</v>
      </c>
      <c r="E13687" s="30"/>
      <c r="F13687" s="33">
        <f ca="1">ROUND((G13677+G13678+G13679+G13680+G13681+G13686)*(1+G2/100),2)</f>
        <v>0</v>
      </c>
      <c r="G13687" s="30"/>
    </row>
    <row r="13688" spans="1:7" ht="67.56" thickBot="1" customHeight="1">
      <c r="A13688" s="34" t="s">
        <v>43271</v>
      </c>
      <c r="B13688" s="35" t="s">
        <v>43272</v>
      </c>
      <c r="C13688" s="35" t="s">
        <v>43273</v>
      </c>
      <c r="D13688" s="36" t="s">
        <v>43274</v>
      </c>
      <c r="E13688" s="37"/>
      <c r="F13688" s="38">
        <f ca="1">F13699</f>
        <v>0</v>
      </c>
      <c r="G13688" s="37"/>
    </row>
    <row r="13689" spans="1:7" ht="30.60" thickBot="1" customHeight="1">
      <c r="A13689" s="26"/>
      <c r="B13689" s="26"/>
      <c r="C13689" s="26"/>
      <c r="D13689" s="25" t="s">
        <v>43275</v>
      </c>
      <c r="E13689" s="25"/>
      <c r="F13689" s="25"/>
      <c r="G13689" s="25"/>
    </row>
    <row r="13690" spans="1:7" ht="30.60" thickBot="1" customHeight="1">
      <c r="A13690" s="24" t="s">
        <v>43276</v>
      </c>
      <c r="B13690" s="24" t="s">
        <v>43277</v>
      </c>
      <c r="C13690" s="24" t="s">
        <v>43278</v>
      </c>
      <c r="D13690" s="25" t="s">
        <v>43279</v>
      </c>
      <c r="E13690" s="28">
        <v>1.26000</v>
      </c>
      <c r="F13690" s="29">
        <f ca="1">ROUND(5.210,3)</f>
        <v>0</v>
      </c>
      <c r="G13690" s="27">
        <f ca="1">ROUND(E13690*F13690,2)</f>
        <v>0</v>
      </c>
    </row>
    <row r="13691" spans="1:7" ht="30.60" thickBot="1" customHeight="1">
      <c r="A13691" s="24" t="s">
        <v>43280</v>
      </c>
      <c r="B13691" s="24" t="s">
        <v>43281</v>
      </c>
      <c r="C13691" s="24" t="s">
        <v>43282</v>
      </c>
      <c r="D13691" s="25" t="s">
        <v>43283</v>
      </c>
      <c r="E13691" s="28">
        <v>0.02100</v>
      </c>
      <c r="F13691" s="29">
        <f ca="1">ROUND(27.500,3)</f>
        <v>0</v>
      </c>
      <c r="G13691" s="27">
        <f ca="1">ROUND(E13691*F13691,2)</f>
        <v>0</v>
      </c>
    </row>
    <row r="13692" spans="1:7" ht="21.36" thickBot="1" customHeight="1">
      <c r="A13692" s="24" t="s">
        <v>43284</v>
      </c>
      <c r="B13692" s="24" t="s">
        <v>43285</v>
      </c>
      <c r="C13692" s="24" t="s">
        <v>43286</v>
      </c>
      <c r="D13692" s="25" t="s">
        <v>43287</v>
      </c>
      <c r="E13692" s="28">
        <v>0.40000</v>
      </c>
      <c r="F13692" s="29">
        <f ca="1">ROUND(1.050,3)</f>
        <v>0</v>
      </c>
      <c r="G13692" s="27">
        <f ca="1">ROUND(E13692*F13692,2)</f>
        <v>0</v>
      </c>
    </row>
    <row r="13693" spans="1:7" ht="21.36" thickBot="1" customHeight="1">
      <c r="A13693" s="24" t="s">
        <v>43288</v>
      </c>
      <c r="B13693" s="24" t="s">
        <v>43289</v>
      </c>
      <c r="C13693" s="24" t="s">
        <v>43290</v>
      </c>
      <c r="D13693" s="25" t="s">
        <v>43291</v>
      </c>
      <c r="E13693" s="28">
        <v>0.80000</v>
      </c>
      <c r="F13693" s="29">
        <f ca="1">F13697</f>
        <v>0</v>
      </c>
      <c r="G13693" s="27">
        <f ca="1">ROUND(E13693*F13693,2)</f>
        <v>0</v>
      </c>
    </row>
    <row r="13694" spans="1:7" ht="24.36" thickBot="1" customHeight="1">
      <c r="A13694" s="24" t="s">
        <v>43292</v>
      </c>
      <c r="B13694" s="24" t="s">
        <v>43293</v>
      </c>
      <c r="C13694" s="24" t="s">
        <v>43294</v>
      </c>
      <c r="D13694" s="25" t="s">
        <v>43295</v>
      </c>
      <c r="E13694" s="28">
        <v>1.00000</v>
      </c>
      <c r="F13694" s="29">
        <f ca="1">ROUND(21.000,3)</f>
        <v>0</v>
      </c>
      <c r="G13694" s="27">
        <f ca="1">ROUND(E13694*F13694,2)</f>
        <v>0</v>
      </c>
    </row>
    <row r="13695" spans="1:7" ht="24.36" thickBot="1" customHeight="1">
      <c r="A13695" s="24" t="s">
        <v>43296</v>
      </c>
      <c r="B13695" s="24" t="s">
        <v>43297</v>
      </c>
      <c r="C13695" s="24" t="s">
        <v>43298</v>
      </c>
      <c r="D13695" s="25" t="s">
        <v>43299</v>
      </c>
      <c r="E13695" s="28">
        <v>1.00000</v>
      </c>
      <c r="F13695" s="29">
        <f ca="1">ROUND(19.000,3)</f>
        <v>0</v>
      </c>
      <c r="G13695" s="27">
        <f ca="1">ROUND(E13695*F13695,2)</f>
        <v>0</v>
      </c>
    </row>
    <row r="13696" spans="1:7" ht="24.36" thickBot="1" customHeight="1">
      <c r="A13696" s="24" t="s">
        <v>43300</v>
      </c>
      <c r="B13696" s="24" t="s">
        <v>43301</v>
      </c>
      <c r="C13696" s="24" t="s">
        <v>43302</v>
      </c>
      <c r="D13696" s="25" t="s">
        <v>43303</v>
      </c>
      <c r="E13696" s="28">
        <v>0.20000</v>
      </c>
      <c r="F13696" s="29">
        <f ca="1">ROUND(19.000,3)</f>
        <v>0</v>
      </c>
      <c r="G13696" s="27">
        <f ca="1">ROUND(E13696*F13696,2)</f>
        <v>0</v>
      </c>
    </row>
    <row r="13697" spans="1:7" ht="15.12" thickBot="1" customHeight="1">
      <c r="A13697" s="26"/>
      <c r="B13697" s="26"/>
      <c r="C13697" s="26"/>
      <c r="D13697" s="24" t="s">
        <v>43304</v>
      </c>
      <c r="E13697" s="28">
        <v>0.80000</v>
      </c>
      <c r="F13697" s="29">
        <f ca="1">ROUND((G13694+G13695+G13696),3)</f>
        <v>0</v>
      </c>
      <c r="G13697" s="27">
        <f ca="1">ROUND(E13697*F13697,2)</f>
        <v>0</v>
      </c>
    </row>
    <row r="13698" spans="1:7" ht="15.12" thickBot="1" customHeight="1">
      <c r="A13698" s="24" t="s">
        <v>43305</v>
      </c>
      <c r="B13698" s="24"/>
      <c r="C13698" s="24" t="s">
        <v>43306</v>
      </c>
      <c r="D13698" s="25" t="s">
        <v>43307</v>
      </c>
      <c r="E13698" s="28">
        <v>5.00000</v>
      </c>
      <c r="F13698" s="29">
        <f ca="1">ROUND(35.040,3)</f>
        <v>0</v>
      </c>
      <c r="G13698" s="27">
        <f ca="1">ROUND((E13698*F13698)/100,2)</f>
        <v>0</v>
      </c>
    </row>
    <row r="13699" spans="1:7" ht="15.48" thickBot="1" customHeight="1">
      <c r="A13699" s="30"/>
      <c r="B13699" s="30"/>
      <c r="C13699" s="30"/>
      <c r="D13699" s="31" t="s">
        <v>43308</v>
      </c>
      <c r="E13699" s="30"/>
      <c r="F13699" s="33">
        <f ca="1">ROUND((G13690+G13691+G13692+G13693+G13698)*(1+G2/100),2)</f>
        <v>0</v>
      </c>
      <c r="G13699" s="30"/>
    </row>
    <row r="13700" spans="1:7" ht="49.08" thickBot="1" customHeight="1">
      <c r="A13700" s="34" t="s">
        <v>43309</v>
      </c>
      <c r="B13700" s="35" t="s">
        <v>43310</v>
      </c>
      <c r="C13700" s="35" t="s">
        <v>43311</v>
      </c>
      <c r="D13700" s="36" t="s">
        <v>43312</v>
      </c>
      <c r="E13700" s="37"/>
      <c r="F13700" s="38">
        <f ca="1">F13711</f>
        <v>0</v>
      </c>
      <c r="G13700" s="37"/>
    </row>
    <row r="13701" spans="1:7" ht="30.60" thickBot="1" customHeight="1">
      <c r="A13701" s="26"/>
      <c r="B13701" s="26"/>
      <c r="C13701" s="26"/>
      <c r="D13701" s="25" t="s">
        <v>43313</v>
      </c>
      <c r="E13701" s="25"/>
      <c r="F13701" s="25"/>
      <c r="G13701" s="25"/>
    </row>
    <row r="13702" spans="1:7" ht="30.60" thickBot="1" customHeight="1">
      <c r="A13702" s="24" t="s">
        <v>43314</v>
      </c>
      <c r="B13702" s="24" t="s">
        <v>43315</v>
      </c>
      <c r="C13702" s="24" t="s">
        <v>43316</v>
      </c>
      <c r="D13702" s="25" t="s">
        <v>43317</v>
      </c>
      <c r="E13702" s="28">
        <v>1.26000</v>
      </c>
      <c r="F13702" s="29">
        <f ca="1">ROUND(5.210,3)</f>
        <v>0</v>
      </c>
      <c r="G13702" s="27">
        <f ca="1">ROUND(E13702*F13702,2)</f>
        <v>0</v>
      </c>
    </row>
    <row r="13703" spans="1:7" ht="30.60" thickBot="1" customHeight="1">
      <c r="A13703" s="24" t="s">
        <v>43318</v>
      </c>
      <c r="B13703" s="24" t="s">
        <v>43319</v>
      </c>
      <c r="C13703" s="24" t="s">
        <v>43320</v>
      </c>
      <c r="D13703" s="25" t="s">
        <v>43321</v>
      </c>
      <c r="E13703" s="28">
        <v>0.02100</v>
      </c>
      <c r="F13703" s="29">
        <f ca="1">ROUND(27.500,3)</f>
        <v>0</v>
      </c>
      <c r="G13703" s="27">
        <f ca="1">ROUND(E13703*F13703,2)</f>
        <v>0</v>
      </c>
    </row>
    <row r="13704" spans="1:7" ht="21.36" thickBot="1" customHeight="1">
      <c r="A13704" s="24" t="s">
        <v>43322</v>
      </c>
      <c r="B13704" s="24" t="s">
        <v>43323</v>
      </c>
      <c r="C13704" s="24" t="s">
        <v>43324</v>
      </c>
      <c r="D13704" s="25" t="s">
        <v>43325</v>
      </c>
      <c r="E13704" s="28">
        <v>0.40000</v>
      </c>
      <c r="F13704" s="29">
        <f ca="1">ROUND(1.050,3)</f>
        <v>0</v>
      </c>
      <c r="G13704" s="27">
        <f ca="1">ROUND(E13704*F13704,2)</f>
        <v>0</v>
      </c>
    </row>
    <row r="13705" spans="1:7" ht="21.36" thickBot="1" customHeight="1">
      <c r="A13705" s="24" t="s">
        <v>43326</v>
      </c>
      <c r="B13705" s="24" t="s">
        <v>43327</v>
      </c>
      <c r="C13705" s="24" t="s">
        <v>43328</v>
      </c>
      <c r="D13705" s="25" t="s">
        <v>43329</v>
      </c>
      <c r="E13705" s="28">
        <v>0.47060</v>
      </c>
      <c r="F13705" s="29">
        <f ca="1">F13709</f>
        <v>0</v>
      </c>
      <c r="G13705" s="27">
        <f ca="1">ROUND(E13705*F13705,2)</f>
        <v>0</v>
      </c>
    </row>
    <row r="13706" spans="1:7" ht="24.36" thickBot="1" customHeight="1">
      <c r="A13706" s="24" t="s">
        <v>43330</v>
      </c>
      <c r="B13706" s="24" t="s">
        <v>43331</v>
      </c>
      <c r="C13706" s="24" t="s">
        <v>43332</v>
      </c>
      <c r="D13706" s="25" t="s">
        <v>43333</v>
      </c>
      <c r="E13706" s="28">
        <v>1.00000</v>
      </c>
      <c r="F13706" s="29">
        <f ca="1">ROUND(21.000,3)</f>
        <v>0</v>
      </c>
      <c r="G13706" s="27">
        <f ca="1">ROUND(E13706*F13706,2)</f>
        <v>0</v>
      </c>
    </row>
    <row r="13707" spans="1:7" ht="24.36" thickBot="1" customHeight="1">
      <c r="A13707" s="24" t="s">
        <v>43334</v>
      </c>
      <c r="B13707" s="24" t="s">
        <v>43335</v>
      </c>
      <c r="C13707" s="24" t="s">
        <v>43336</v>
      </c>
      <c r="D13707" s="25" t="s">
        <v>43337</v>
      </c>
      <c r="E13707" s="28">
        <v>1.00000</v>
      </c>
      <c r="F13707" s="29">
        <f ca="1">ROUND(19.000,3)</f>
        <v>0</v>
      </c>
      <c r="G13707" s="27">
        <f ca="1">ROUND(E13707*F13707,2)</f>
        <v>0</v>
      </c>
    </row>
    <row r="13708" spans="1:7" ht="24.36" thickBot="1" customHeight="1">
      <c r="A13708" s="24" t="s">
        <v>43338</v>
      </c>
      <c r="B13708" s="24" t="s">
        <v>43339</v>
      </c>
      <c r="C13708" s="24" t="s">
        <v>43340</v>
      </c>
      <c r="D13708" s="25" t="s">
        <v>43341</v>
      </c>
      <c r="E13708" s="28">
        <v>0.20000</v>
      </c>
      <c r="F13708" s="29">
        <f ca="1">ROUND(19.000,3)</f>
        <v>0</v>
      </c>
      <c r="G13708" s="27">
        <f ca="1">ROUND(E13708*F13708,2)</f>
        <v>0</v>
      </c>
    </row>
    <row r="13709" spans="1:7" ht="15.12" thickBot="1" customHeight="1">
      <c r="A13709" s="26"/>
      <c r="B13709" s="26"/>
      <c r="C13709" s="26"/>
      <c r="D13709" s="24" t="s">
        <v>43342</v>
      </c>
      <c r="E13709" s="28">
        <v>0.47060</v>
      </c>
      <c r="F13709" s="29">
        <f ca="1">ROUND((G13706+G13707+G13708),3)</f>
        <v>0</v>
      </c>
      <c r="G13709" s="27">
        <f ca="1">ROUND(E13709*F13709,2)</f>
        <v>0</v>
      </c>
    </row>
    <row r="13710" spans="1:7" ht="15.12" thickBot="1" customHeight="1">
      <c r="A13710" s="24" t="s">
        <v>43343</v>
      </c>
      <c r="B13710" s="24"/>
      <c r="C13710" s="24" t="s">
        <v>43344</v>
      </c>
      <c r="D13710" s="25" t="s">
        <v>43345</v>
      </c>
      <c r="E13710" s="28">
        <v>5.00000</v>
      </c>
      <c r="F13710" s="29">
        <f ca="1">ROUND(20.610,3)</f>
        <v>0</v>
      </c>
      <c r="G13710" s="27">
        <f ca="1">ROUND((E13710*F13710)/100,2)</f>
        <v>0</v>
      </c>
    </row>
    <row r="13711" spans="1:7" ht="15.48" thickBot="1" customHeight="1">
      <c r="A13711" s="30"/>
      <c r="B13711" s="30"/>
      <c r="C13711" s="30"/>
      <c r="D13711" s="31" t="s">
        <v>43346</v>
      </c>
      <c r="E13711" s="30"/>
      <c r="F13711" s="33">
        <f ca="1">ROUND((G13702+G13703+G13704+G13705+G13710)*(1+G2/100),2)</f>
        <v>0</v>
      </c>
      <c r="G13711" s="30"/>
    </row>
    <row r="13712" spans="1:7" ht="49.08" thickBot="1" customHeight="1">
      <c r="A13712" s="34" t="s">
        <v>43347</v>
      </c>
      <c r="B13712" s="35" t="s">
        <v>43348</v>
      </c>
      <c r="C13712" s="35" t="s">
        <v>43349</v>
      </c>
      <c r="D13712" s="36" t="s">
        <v>43350</v>
      </c>
      <c r="E13712" s="37"/>
      <c r="F13712" s="38">
        <f ca="1">F13723</f>
        <v>0</v>
      </c>
      <c r="G13712" s="37"/>
    </row>
    <row r="13713" spans="1:7" ht="30.60" thickBot="1" customHeight="1">
      <c r="A13713" s="26"/>
      <c r="B13713" s="26"/>
      <c r="C13713" s="26"/>
      <c r="D13713" s="25" t="s">
        <v>43351</v>
      </c>
      <c r="E13713" s="25"/>
      <c r="F13713" s="25"/>
      <c r="G13713" s="25"/>
    </row>
    <row r="13714" spans="1:7" ht="30.60" thickBot="1" customHeight="1">
      <c r="A13714" s="24" t="s">
        <v>43352</v>
      </c>
      <c r="B13714" s="24" t="s">
        <v>43353</v>
      </c>
      <c r="C13714" s="24" t="s">
        <v>43354</v>
      </c>
      <c r="D13714" s="25" t="s">
        <v>43355</v>
      </c>
      <c r="E13714" s="28">
        <v>1.26000</v>
      </c>
      <c r="F13714" s="29">
        <f ca="1">ROUND(5.210,3)</f>
        <v>0</v>
      </c>
      <c r="G13714" s="27">
        <f ca="1">ROUND(E13714*F13714,2)</f>
        <v>0</v>
      </c>
    </row>
    <row r="13715" spans="1:7" ht="30.60" thickBot="1" customHeight="1">
      <c r="A13715" s="24" t="s">
        <v>43356</v>
      </c>
      <c r="B13715" s="24" t="s">
        <v>43357</v>
      </c>
      <c r="C13715" s="24" t="s">
        <v>43358</v>
      </c>
      <c r="D13715" s="25" t="s">
        <v>43359</v>
      </c>
      <c r="E13715" s="28">
        <v>0.02100</v>
      </c>
      <c r="F13715" s="29">
        <f ca="1">ROUND(27.500,3)</f>
        <v>0</v>
      </c>
      <c r="G13715" s="27">
        <f ca="1">ROUND(E13715*F13715,2)</f>
        <v>0</v>
      </c>
    </row>
    <row r="13716" spans="1:7" ht="21.36" thickBot="1" customHeight="1">
      <c r="A13716" s="24" t="s">
        <v>43360</v>
      </c>
      <c r="B13716" s="24" t="s">
        <v>43361</v>
      </c>
      <c r="C13716" s="24" t="s">
        <v>43362</v>
      </c>
      <c r="D13716" s="25" t="s">
        <v>43363</v>
      </c>
      <c r="E13716" s="28">
        <v>0.40000</v>
      </c>
      <c r="F13716" s="29">
        <f ca="1">ROUND(1.050,3)</f>
        <v>0</v>
      </c>
      <c r="G13716" s="27">
        <f ca="1">ROUND(E13716*F13716,2)</f>
        <v>0</v>
      </c>
    </row>
    <row r="13717" spans="1:7" ht="21.36" thickBot="1" customHeight="1">
      <c r="A13717" s="24" t="s">
        <v>43364</v>
      </c>
      <c r="B13717" s="24" t="s">
        <v>43365</v>
      </c>
      <c r="C13717" s="24" t="s">
        <v>43366</v>
      </c>
      <c r="D13717" s="25" t="s">
        <v>43367</v>
      </c>
      <c r="E13717" s="28">
        <v>0.57140</v>
      </c>
      <c r="F13717" s="29">
        <f ca="1">F13721</f>
        <v>0</v>
      </c>
      <c r="G13717" s="27">
        <f ca="1">ROUND(E13717*F13717,2)</f>
        <v>0</v>
      </c>
    </row>
    <row r="13718" spans="1:7" ht="24.36" thickBot="1" customHeight="1">
      <c r="A13718" s="24" t="s">
        <v>43368</v>
      </c>
      <c r="B13718" s="24" t="s">
        <v>43369</v>
      </c>
      <c r="C13718" s="24" t="s">
        <v>43370</v>
      </c>
      <c r="D13718" s="25" t="s">
        <v>43371</v>
      </c>
      <c r="E13718" s="28">
        <v>1.00000</v>
      </c>
      <c r="F13718" s="29">
        <f ca="1">ROUND(21.000,3)</f>
        <v>0</v>
      </c>
      <c r="G13718" s="27">
        <f ca="1">ROUND(E13718*F13718,2)</f>
        <v>0</v>
      </c>
    </row>
    <row r="13719" spans="1:7" ht="24.36" thickBot="1" customHeight="1">
      <c r="A13719" s="24" t="s">
        <v>43372</v>
      </c>
      <c r="B13719" s="24" t="s">
        <v>43373</v>
      </c>
      <c r="C13719" s="24" t="s">
        <v>43374</v>
      </c>
      <c r="D13719" s="25" t="s">
        <v>43375</v>
      </c>
      <c r="E13719" s="28">
        <v>1.00000</v>
      </c>
      <c r="F13719" s="29">
        <f ca="1">ROUND(19.000,3)</f>
        <v>0</v>
      </c>
      <c r="G13719" s="27">
        <f ca="1">ROUND(E13719*F13719,2)</f>
        <v>0</v>
      </c>
    </row>
    <row r="13720" spans="1:7" ht="24.36" thickBot="1" customHeight="1">
      <c r="A13720" s="24" t="s">
        <v>43376</v>
      </c>
      <c r="B13720" s="24" t="s">
        <v>43377</v>
      </c>
      <c r="C13720" s="24" t="s">
        <v>43378</v>
      </c>
      <c r="D13720" s="25" t="s">
        <v>43379</v>
      </c>
      <c r="E13720" s="28">
        <v>0.20000</v>
      </c>
      <c r="F13720" s="29">
        <f ca="1">ROUND(19.000,3)</f>
        <v>0</v>
      </c>
      <c r="G13720" s="27">
        <f ca="1">ROUND(E13720*F13720,2)</f>
        <v>0</v>
      </c>
    </row>
    <row r="13721" spans="1:7" ht="15.12" thickBot="1" customHeight="1">
      <c r="A13721" s="26"/>
      <c r="B13721" s="26"/>
      <c r="C13721" s="26"/>
      <c r="D13721" s="24" t="s">
        <v>43380</v>
      </c>
      <c r="E13721" s="28">
        <v>0.57140</v>
      </c>
      <c r="F13721" s="29">
        <f ca="1">ROUND((G13718+G13719+G13720),3)</f>
        <v>0</v>
      </c>
      <c r="G13721" s="27">
        <f ca="1">ROUND(E13721*F13721,2)</f>
        <v>0</v>
      </c>
    </row>
    <row r="13722" spans="1:7" ht="15.12" thickBot="1" customHeight="1">
      <c r="A13722" s="24" t="s">
        <v>43381</v>
      </c>
      <c r="B13722" s="24"/>
      <c r="C13722" s="24" t="s">
        <v>43382</v>
      </c>
      <c r="D13722" s="25" t="s">
        <v>43383</v>
      </c>
      <c r="E13722" s="28">
        <v>5.00000</v>
      </c>
      <c r="F13722" s="29">
        <f ca="1">ROUND(25.030,3)</f>
        <v>0</v>
      </c>
      <c r="G13722" s="27">
        <f ca="1">ROUND((E13722*F13722)/100,2)</f>
        <v>0</v>
      </c>
    </row>
    <row r="13723" spans="1:7" ht="15.48" thickBot="1" customHeight="1">
      <c r="A13723" s="30"/>
      <c r="B13723" s="30"/>
      <c r="C13723" s="30"/>
      <c r="D13723" s="31" t="s">
        <v>43384</v>
      </c>
      <c r="E13723" s="30"/>
      <c r="F13723" s="33">
        <f ca="1">ROUND((G13714+G13715+G13716+G13717+G13722)*(1+G2/100),2)</f>
        <v>0</v>
      </c>
      <c r="G13723" s="30"/>
    </row>
    <row r="13724" spans="1:7" ht="49.08" thickBot="1" customHeight="1">
      <c r="A13724" s="34" t="s">
        <v>43385</v>
      </c>
      <c r="B13724" s="35" t="s">
        <v>43386</v>
      </c>
      <c r="C13724" s="35" t="s">
        <v>43387</v>
      </c>
      <c r="D13724" s="36" t="s">
        <v>43388</v>
      </c>
      <c r="E13724" s="37"/>
      <c r="F13724" s="38">
        <f ca="1">F13735</f>
        <v>0</v>
      </c>
      <c r="G13724" s="37"/>
    </row>
    <row r="13725" spans="1:7" ht="30.60" thickBot="1" customHeight="1">
      <c r="A13725" s="26"/>
      <c r="B13725" s="26"/>
      <c r="C13725" s="26"/>
      <c r="D13725" s="25" t="s">
        <v>43389</v>
      </c>
      <c r="E13725" s="25"/>
      <c r="F13725" s="25"/>
      <c r="G13725" s="25"/>
    </row>
    <row r="13726" spans="1:7" ht="30.60" thickBot="1" customHeight="1">
      <c r="A13726" s="24" t="s">
        <v>43390</v>
      </c>
      <c r="B13726" s="24" t="s">
        <v>43391</v>
      </c>
      <c r="C13726" s="24" t="s">
        <v>43392</v>
      </c>
      <c r="D13726" s="25" t="s">
        <v>43393</v>
      </c>
      <c r="E13726" s="28">
        <v>1.26000</v>
      </c>
      <c r="F13726" s="29">
        <f ca="1">ROUND(5.210,3)</f>
        <v>0</v>
      </c>
      <c r="G13726" s="27">
        <f ca="1">ROUND(E13726*F13726,2)</f>
        <v>0</v>
      </c>
    </row>
    <row r="13727" spans="1:7" ht="30.60" thickBot="1" customHeight="1">
      <c r="A13727" s="24" t="s">
        <v>43394</v>
      </c>
      <c r="B13727" s="24" t="s">
        <v>43395</v>
      </c>
      <c r="C13727" s="24" t="s">
        <v>43396</v>
      </c>
      <c r="D13727" s="25" t="s">
        <v>43397</v>
      </c>
      <c r="E13727" s="28">
        <v>0.02100</v>
      </c>
      <c r="F13727" s="29">
        <f ca="1">ROUND(27.500,3)</f>
        <v>0</v>
      </c>
      <c r="G13727" s="27">
        <f ca="1">ROUND(E13727*F13727,2)</f>
        <v>0</v>
      </c>
    </row>
    <row r="13728" spans="1:7" ht="21.36" thickBot="1" customHeight="1">
      <c r="A13728" s="24" t="s">
        <v>43398</v>
      </c>
      <c r="B13728" s="24" t="s">
        <v>43399</v>
      </c>
      <c r="C13728" s="24" t="s">
        <v>43400</v>
      </c>
      <c r="D13728" s="25" t="s">
        <v>43401</v>
      </c>
      <c r="E13728" s="28">
        <v>0.40000</v>
      </c>
      <c r="F13728" s="29">
        <f ca="1">ROUND(1.050,3)</f>
        <v>0</v>
      </c>
      <c r="G13728" s="27">
        <f ca="1">ROUND(E13728*F13728,2)</f>
        <v>0</v>
      </c>
    </row>
    <row r="13729" spans="1:7" ht="21.36" thickBot="1" customHeight="1">
      <c r="A13729" s="24" t="s">
        <v>43402</v>
      </c>
      <c r="B13729" s="24" t="s">
        <v>43403</v>
      </c>
      <c r="C13729" s="24" t="s">
        <v>43404</v>
      </c>
      <c r="D13729" s="25" t="s">
        <v>43405</v>
      </c>
      <c r="E13729" s="28">
        <v>0.57140</v>
      </c>
      <c r="F13729" s="29">
        <f ca="1">F13733</f>
        <v>0</v>
      </c>
      <c r="G13729" s="27">
        <f ca="1">ROUND(E13729*F13729,2)</f>
        <v>0</v>
      </c>
    </row>
    <row r="13730" spans="1:7" ht="24.36" thickBot="1" customHeight="1">
      <c r="A13730" s="24" t="s">
        <v>43406</v>
      </c>
      <c r="B13730" s="24" t="s">
        <v>43407</v>
      </c>
      <c r="C13730" s="24" t="s">
        <v>43408</v>
      </c>
      <c r="D13730" s="25" t="s">
        <v>43409</v>
      </c>
      <c r="E13730" s="28">
        <v>1.00000</v>
      </c>
      <c r="F13730" s="29">
        <f ca="1">ROUND(21.000,3)</f>
        <v>0</v>
      </c>
      <c r="G13730" s="27">
        <f ca="1">ROUND(E13730*F13730,2)</f>
        <v>0</v>
      </c>
    </row>
    <row r="13731" spans="1:7" ht="24.36" thickBot="1" customHeight="1">
      <c r="A13731" s="24" t="s">
        <v>43410</v>
      </c>
      <c r="B13731" s="24" t="s">
        <v>43411</v>
      </c>
      <c r="C13731" s="24" t="s">
        <v>43412</v>
      </c>
      <c r="D13731" s="25" t="s">
        <v>43413</v>
      </c>
      <c r="E13731" s="28">
        <v>1.00000</v>
      </c>
      <c r="F13731" s="29">
        <f ca="1">ROUND(19.000,3)</f>
        <v>0</v>
      </c>
      <c r="G13731" s="27">
        <f ca="1">ROUND(E13731*F13731,2)</f>
        <v>0</v>
      </c>
    </row>
    <row r="13732" spans="1:7" ht="24.36" thickBot="1" customHeight="1">
      <c r="A13732" s="24" t="s">
        <v>43414</v>
      </c>
      <c r="B13732" s="24" t="s">
        <v>43415</v>
      </c>
      <c r="C13732" s="24" t="s">
        <v>43416</v>
      </c>
      <c r="D13732" s="25" t="s">
        <v>43417</v>
      </c>
      <c r="E13732" s="28">
        <v>0.20000</v>
      </c>
      <c r="F13732" s="29">
        <f ca="1">ROUND(19.000,3)</f>
        <v>0</v>
      </c>
      <c r="G13732" s="27">
        <f ca="1">ROUND(E13732*F13732,2)</f>
        <v>0</v>
      </c>
    </row>
    <row r="13733" spans="1:7" ht="15.12" thickBot="1" customHeight="1">
      <c r="A13733" s="26"/>
      <c r="B13733" s="26"/>
      <c r="C13733" s="26"/>
      <c r="D13733" s="24" t="s">
        <v>43418</v>
      </c>
      <c r="E13733" s="28">
        <v>0.57140</v>
      </c>
      <c r="F13733" s="29">
        <f ca="1">ROUND((G13730+G13731+G13732),3)</f>
        <v>0</v>
      </c>
      <c r="G13733" s="27">
        <f ca="1">ROUND(E13733*F13733,2)</f>
        <v>0</v>
      </c>
    </row>
    <row r="13734" spans="1:7" ht="15.12" thickBot="1" customHeight="1">
      <c r="A13734" s="24" t="s">
        <v>43419</v>
      </c>
      <c r="B13734" s="24"/>
      <c r="C13734" s="24" t="s">
        <v>43420</v>
      </c>
      <c r="D13734" s="25" t="s">
        <v>43421</v>
      </c>
      <c r="E13734" s="28">
        <v>5.00000</v>
      </c>
      <c r="F13734" s="29">
        <f ca="1">ROUND(25.030,3)</f>
        <v>0</v>
      </c>
      <c r="G13734" s="27">
        <f ca="1">ROUND((E13734*F13734)/100,2)</f>
        <v>0</v>
      </c>
    </row>
    <row r="13735" spans="1:7" ht="15.48" thickBot="1" customHeight="1">
      <c r="A13735" s="30"/>
      <c r="B13735" s="30"/>
      <c r="C13735" s="30"/>
      <c r="D13735" s="31" t="s">
        <v>43422</v>
      </c>
      <c r="E13735" s="30"/>
      <c r="F13735" s="33">
        <f ca="1">ROUND((G13726+G13727+G13728+G13729+G13734)*(1+G2/100),2)</f>
        <v>0</v>
      </c>
      <c r="G13735" s="30"/>
    </row>
    <row r="13736" spans="1:7" ht="49.08" thickBot="1" customHeight="1">
      <c r="A13736" s="34" t="s">
        <v>43423</v>
      </c>
      <c r="B13736" s="35" t="s">
        <v>43424</v>
      </c>
      <c r="C13736" s="35" t="s">
        <v>43425</v>
      </c>
      <c r="D13736" s="36" t="s">
        <v>43426</v>
      </c>
      <c r="E13736" s="37"/>
      <c r="F13736" s="38">
        <f ca="1">F13747</f>
        <v>0</v>
      </c>
      <c r="G13736" s="37"/>
    </row>
    <row r="13737" spans="1:7" ht="30.60" thickBot="1" customHeight="1">
      <c r="A13737" s="26"/>
      <c r="B13737" s="26"/>
      <c r="C13737" s="26"/>
      <c r="D13737" s="25" t="s">
        <v>43427</v>
      </c>
      <c r="E13737" s="25"/>
      <c r="F13737" s="25"/>
      <c r="G13737" s="25"/>
    </row>
    <row r="13738" spans="1:7" ht="30.60" thickBot="1" customHeight="1">
      <c r="A13738" s="24" t="s">
        <v>43428</v>
      </c>
      <c r="B13738" s="24" t="s">
        <v>43429</v>
      </c>
      <c r="C13738" s="24" t="s">
        <v>43430</v>
      </c>
      <c r="D13738" s="25" t="s">
        <v>43431</v>
      </c>
      <c r="E13738" s="28">
        <v>1.26000</v>
      </c>
      <c r="F13738" s="29">
        <f ca="1">ROUND(5.210,3)</f>
        <v>0</v>
      </c>
      <c r="G13738" s="27">
        <f ca="1">ROUND(E13738*F13738,2)</f>
        <v>0</v>
      </c>
    </row>
    <row r="13739" spans="1:7" ht="30.60" thickBot="1" customHeight="1">
      <c r="A13739" s="24" t="s">
        <v>43432</v>
      </c>
      <c r="B13739" s="24" t="s">
        <v>43433</v>
      </c>
      <c r="C13739" s="24" t="s">
        <v>43434</v>
      </c>
      <c r="D13739" s="25" t="s">
        <v>43435</v>
      </c>
      <c r="E13739" s="28">
        <v>0.02100</v>
      </c>
      <c r="F13739" s="29">
        <f ca="1">ROUND(27.500,3)</f>
        <v>0</v>
      </c>
      <c r="G13739" s="27">
        <f ca="1">ROUND(E13739*F13739,2)</f>
        <v>0</v>
      </c>
    </row>
    <row r="13740" spans="1:7" ht="21.36" thickBot="1" customHeight="1">
      <c r="A13740" s="24" t="s">
        <v>43436</v>
      </c>
      <c r="B13740" s="24" t="s">
        <v>43437</v>
      </c>
      <c r="C13740" s="24" t="s">
        <v>43438</v>
      </c>
      <c r="D13740" s="25" t="s">
        <v>43439</v>
      </c>
      <c r="E13740" s="28">
        <v>0.40000</v>
      </c>
      <c r="F13740" s="29">
        <f ca="1">ROUND(1.050,3)</f>
        <v>0</v>
      </c>
      <c r="G13740" s="27">
        <f ca="1">ROUND(E13740*F13740,2)</f>
        <v>0</v>
      </c>
    </row>
    <row r="13741" spans="1:7" ht="21.36" thickBot="1" customHeight="1">
      <c r="A13741" s="24" t="s">
        <v>43440</v>
      </c>
      <c r="B13741" s="24" t="s">
        <v>43441</v>
      </c>
      <c r="C13741" s="24" t="s">
        <v>43442</v>
      </c>
      <c r="D13741" s="25" t="s">
        <v>43443</v>
      </c>
      <c r="E13741" s="28">
        <v>0.66667</v>
      </c>
      <c r="F13741" s="29">
        <f ca="1">F13745</f>
        <v>0</v>
      </c>
      <c r="G13741" s="27">
        <f ca="1">ROUND(E13741*F13741,2)</f>
        <v>0</v>
      </c>
    </row>
    <row r="13742" spans="1:7" ht="24.36" thickBot="1" customHeight="1">
      <c r="A13742" s="24" t="s">
        <v>43444</v>
      </c>
      <c r="B13742" s="24" t="s">
        <v>43445</v>
      </c>
      <c r="C13742" s="24" t="s">
        <v>43446</v>
      </c>
      <c r="D13742" s="25" t="s">
        <v>43447</v>
      </c>
      <c r="E13742" s="28">
        <v>1.00000</v>
      </c>
      <c r="F13742" s="29">
        <f ca="1">ROUND(21.000,3)</f>
        <v>0</v>
      </c>
      <c r="G13742" s="27">
        <f ca="1">ROUND(E13742*F13742,2)</f>
        <v>0</v>
      </c>
    </row>
    <row r="13743" spans="1:7" ht="24.36" thickBot="1" customHeight="1">
      <c r="A13743" s="24" t="s">
        <v>43448</v>
      </c>
      <c r="B13743" s="24" t="s">
        <v>43449</v>
      </c>
      <c r="C13743" s="24" t="s">
        <v>43450</v>
      </c>
      <c r="D13743" s="25" t="s">
        <v>43451</v>
      </c>
      <c r="E13743" s="28">
        <v>1.00000</v>
      </c>
      <c r="F13743" s="29">
        <f ca="1">ROUND(19.000,3)</f>
        <v>0</v>
      </c>
      <c r="G13743" s="27">
        <f ca="1">ROUND(E13743*F13743,2)</f>
        <v>0</v>
      </c>
    </row>
    <row r="13744" spans="1:7" ht="24.36" thickBot="1" customHeight="1">
      <c r="A13744" s="24" t="s">
        <v>43452</v>
      </c>
      <c r="B13744" s="24" t="s">
        <v>43453</v>
      </c>
      <c r="C13744" s="24" t="s">
        <v>43454</v>
      </c>
      <c r="D13744" s="25" t="s">
        <v>43455</v>
      </c>
      <c r="E13744" s="28">
        <v>0.20000</v>
      </c>
      <c r="F13744" s="29">
        <f ca="1">ROUND(19.000,3)</f>
        <v>0</v>
      </c>
      <c r="G13744" s="27">
        <f ca="1">ROUND(E13744*F13744,2)</f>
        <v>0</v>
      </c>
    </row>
    <row r="13745" spans="1:7" ht="15.12" thickBot="1" customHeight="1">
      <c r="A13745" s="26"/>
      <c r="B13745" s="26"/>
      <c r="C13745" s="26"/>
      <c r="D13745" s="24" t="s">
        <v>43456</v>
      </c>
      <c r="E13745" s="28">
        <v>0.66667</v>
      </c>
      <c r="F13745" s="29">
        <f ca="1">ROUND((G13742+G13743+G13744),3)</f>
        <v>0</v>
      </c>
      <c r="G13745" s="27">
        <f ca="1">ROUND(E13745*F13745,2)</f>
        <v>0</v>
      </c>
    </row>
    <row r="13746" spans="1:7" ht="15.12" thickBot="1" customHeight="1">
      <c r="A13746" s="24" t="s">
        <v>43457</v>
      </c>
      <c r="B13746" s="24"/>
      <c r="C13746" s="24" t="s">
        <v>43458</v>
      </c>
      <c r="D13746" s="25" t="s">
        <v>43459</v>
      </c>
      <c r="E13746" s="28">
        <v>5.00000</v>
      </c>
      <c r="F13746" s="29">
        <f ca="1">ROUND(29.200,3)</f>
        <v>0</v>
      </c>
      <c r="G13746" s="27">
        <f ca="1">ROUND((E13746*F13746)/100,2)</f>
        <v>0</v>
      </c>
    </row>
    <row r="13747" spans="1:7" ht="15.48" thickBot="1" customHeight="1">
      <c r="A13747" s="30"/>
      <c r="B13747" s="30"/>
      <c r="C13747" s="30"/>
      <c r="D13747" s="31" t="s">
        <v>43460</v>
      </c>
      <c r="E13747" s="30"/>
      <c r="F13747" s="33">
        <f ca="1">ROUND((G13738+G13739+G13740+G13741+G13746)*(1+G2/100),2)</f>
        <v>0</v>
      </c>
      <c r="G13747" s="30"/>
    </row>
    <row r="13748" spans="1:7" ht="49.08" thickBot="1" customHeight="1">
      <c r="A13748" s="34" t="s">
        <v>43461</v>
      </c>
      <c r="B13748" s="35" t="s">
        <v>43462</v>
      </c>
      <c r="C13748" s="35" t="s">
        <v>43463</v>
      </c>
      <c r="D13748" s="36" t="s">
        <v>43464</v>
      </c>
      <c r="E13748" s="37"/>
      <c r="F13748" s="38">
        <f ca="1">F13760</f>
        <v>0</v>
      </c>
      <c r="G13748" s="37"/>
    </row>
    <row r="13749" spans="1:7" ht="30.60" thickBot="1" customHeight="1">
      <c r="A13749" s="26"/>
      <c r="B13749" s="26"/>
      <c r="C13749" s="26"/>
      <c r="D13749" s="25" t="s">
        <v>43465</v>
      </c>
      <c r="E13749" s="25"/>
      <c r="F13749" s="25"/>
      <c r="G13749" s="25"/>
    </row>
    <row r="13750" spans="1:7" ht="30.60" thickBot="1" customHeight="1">
      <c r="A13750" s="24" t="s">
        <v>43466</v>
      </c>
      <c r="B13750" s="24" t="s">
        <v>43467</v>
      </c>
      <c r="C13750" s="24" t="s">
        <v>43468</v>
      </c>
      <c r="D13750" s="25" t="s">
        <v>43469</v>
      </c>
      <c r="E13750" s="28">
        <v>1.26000</v>
      </c>
      <c r="F13750" s="29">
        <f ca="1">ROUND(5.210,3)</f>
        <v>0</v>
      </c>
      <c r="G13750" s="27">
        <f ca="1">ROUND(E13750*F13750,2)</f>
        <v>0</v>
      </c>
    </row>
    <row r="13751" spans="1:7" ht="30.60" thickBot="1" customHeight="1">
      <c r="A13751" s="24" t="s">
        <v>43470</v>
      </c>
      <c r="B13751" s="24" t="s">
        <v>43471</v>
      </c>
      <c r="C13751" s="24" t="s">
        <v>43472</v>
      </c>
      <c r="D13751" s="25" t="s">
        <v>43473</v>
      </c>
      <c r="E13751" s="28">
        <v>0.02100</v>
      </c>
      <c r="F13751" s="29">
        <f ca="1">ROUND(27.500,3)</f>
        <v>0</v>
      </c>
      <c r="G13751" s="27">
        <f ca="1">ROUND(E13751*F13751,2)</f>
        <v>0</v>
      </c>
    </row>
    <row r="13752" spans="1:7" ht="21.36" thickBot="1" customHeight="1">
      <c r="A13752" s="24" t="s">
        <v>43474</v>
      </c>
      <c r="B13752" s="24" t="s">
        <v>43475</v>
      </c>
      <c r="C13752" s="24" t="s">
        <v>43476</v>
      </c>
      <c r="D13752" s="25" t="s">
        <v>43477</v>
      </c>
      <c r="E13752" s="28">
        <v>0.40000</v>
      </c>
      <c r="F13752" s="29">
        <f ca="1">ROUND(1.050,3)</f>
        <v>0</v>
      </c>
      <c r="G13752" s="27">
        <f ca="1">ROUND(E13752*F13752,2)</f>
        <v>0</v>
      </c>
    </row>
    <row r="13753" spans="1:7" ht="21.36" thickBot="1" customHeight="1">
      <c r="A13753" s="24" t="s">
        <v>43478</v>
      </c>
      <c r="B13753" s="24" t="s">
        <v>43479</v>
      </c>
      <c r="C13753" s="24" t="s">
        <v>43480</v>
      </c>
      <c r="D13753" s="25" t="s">
        <v>43481</v>
      </c>
      <c r="E13753" s="28">
        <v>0.20000</v>
      </c>
      <c r="F13753" s="29">
        <f ca="1">ROUND(11.500,3)</f>
        <v>0</v>
      </c>
      <c r="G13753" s="27">
        <f ca="1">ROUND(E13753*F13753,2)</f>
        <v>0</v>
      </c>
    </row>
    <row r="13754" spans="1:7" ht="21.36" thickBot="1" customHeight="1">
      <c r="A13754" s="24" t="s">
        <v>43482</v>
      </c>
      <c r="B13754" s="24" t="s">
        <v>43483</v>
      </c>
      <c r="C13754" s="24" t="s">
        <v>43484</v>
      </c>
      <c r="D13754" s="25" t="s">
        <v>43485</v>
      </c>
      <c r="E13754" s="28">
        <v>0.32000</v>
      </c>
      <c r="F13754" s="29">
        <f ca="1">F13758</f>
        <v>0</v>
      </c>
      <c r="G13754" s="27">
        <f ca="1">ROUND(E13754*F13754,2)</f>
        <v>0</v>
      </c>
    </row>
    <row r="13755" spans="1:7" ht="24.36" thickBot="1" customHeight="1">
      <c r="A13755" s="24" t="s">
        <v>43486</v>
      </c>
      <c r="B13755" s="24" t="s">
        <v>43487</v>
      </c>
      <c r="C13755" s="24" t="s">
        <v>43488</v>
      </c>
      <c r="D13755" s="25" t="s">
        <v>43489</v>
      </c>
      <c r="E13755" s="28">
        <v>1.00000</v>
      </c>
      <c r="F13755" s="29">
        <f ca="1">ROUND(21.000,3)</f>
        <v>0</v>
      </c>
      <c r="G13755" s="27">
        <f ca="1">ROUND(E13755*F13755,2)</f>
        <v>0</v>
      </c>
    </row>
    <row r="13756" spans="1:7" ht="24.36" thickBot="1" customHeight="1">
      <c r="A13756" s="24" t="s">
        <v>43490</v>
      </c>
      <c r="B13756" s="24" t="s">
        <v>43491</v>
      </c>
      <c r="C13756" s="24" t="s">
        <v>43492</v>
      </c>
      <c r="D13756" s="25" t="s">
        <v>43493</v>
      </c>
      <c r="E13756" s="28">
        <v>1.00000</v>
      </c>
      <c r="F13756" s="29">
        <f ca="1">ROUND(19.000,3)</f>
        <v>0</v>
      </c>
      <c r="G13756" s="27">
        <f ca="1">ROUND(E13756*F13756,2)</f>
        <v>0</v>
      </c>
    </row>
    <row r="13757" spans="1:7" ht="24.36" thickBot="1" customHeight="1">
      <c r="A13757" s="24" t="s">
        <v>43494</v>
      </c>
      <c r="B13757" s="24" t="s">
        <v>43495</v>
      </c>
      <c r="C13757" s="24" t="s">
        <v>43496</v>
      </c>
      <c r="D13757" s="25" t="s">
        <v>43497</v>
      </c>
      <c r="E13757" s="28">
        <v>0.20000</v>
      </c>
      <c r="F13757" s="29">
        <f ca="1">ROUND(19.000,3)</f>
        <v>0</v>
      </c>
      <c r="G13757" s="27">
        <f ca="1">ROUND(E13757*F13757,2)</f>
        <v>0</v>
      </c>
    </row>
    <row r="13758" spans="1:7" ht="15.12" thickBot="1" customHeight="1">
      <c r="A13758" s="26"/>
      <c r="B13758" s="26"/>
      <c r="C13758" s="26"/>
      <c r="D13758" s="24" t="s">
        <v>43498</v>
      </c>
      <c r="E13758" s="28">
        <v>0.32000</v>
      </c>
      <c r="F13758" s="29">
        <f ca="1">ROUND((G13755+G13756+G13757),3)</f>
        <v>0</v>
      </c>
      <c r="G13758" s="27">
        <f ca="1">ROUND(E13758*F13758,2)</f>
        <v>0</v>
      </c>
    </row>
    <row r="13759" spans="1:7" ht="15.12" thickBot="1" customHeight="1">
      <c r="A13759" s="24" t="s">
        <v>43499</v>
      </c>
      <c r="B13759" s="24"/>
      <c r="C13759" s="24" t="s">
        <v>43500</v>
      </c>
      <c r="D13759" s="25" t="s">
        <v>43501</v>
      </c>
      <c r="E13759" s="28">
        <v>3.00000</v>
      </c>
      <c r="F13759" s="29">
        <f ca="1">ROUND(14.020,3)</f>
        <v>0</v>
      </c>
      <c r="G13759" s="27">
        <f ca="1">ROUND((E13759*F13759)/100,2)</f>
        <v>0</v>
      </c>
    </row>
    <row r="13760" spans="1:7" ht="15.48" thickBot="1" customHeight="1">
      <c r="A13760" s="30"/>
      <c r="B13760" s="30"/>
      <c r="C13760" s="30"/>
      <c r="D13760" s="31" t="s">
        <v>43502</v>
      </c>
      <c r="E13760" s="30"/>
      <c r="F13760" s="33">
        <f ca="1">ROUND((G13750+G13751+G13752+G13753+G13754+G13759)*(1+G2/100),2)</f>
        <v>0</v>
      </c>
      <c r="G13760" s="30"/>
    </row>
    <row r="13761" spans="1:7" ht="58.32" thickBot="1" customHeight="1">
      <c r="A13761" s="34" t="s">
        <v>43503</v>
      </c>
      <c r="B13761" s="35" t="s">
        <v>43504</v>
      </c>
      <c r="C13761" s="35" t="s">
        <v>43505</v>
      </c>
      <c r="D13761" s="36" t="s">
        <v>43506</v>
      </c>
      <c r="E13761" s="37"/>
      <c r="F13761" s="38">
        <f ca="1">F13773</f>
        <v>0</v>
      </c>
      <c r="G13761" s="37"/>
    </row>
    <row r="13762" spans="1:7" ht="30.60" thickBot="1" customHeight="1">
      <c r="A13762" s="26"/>
      <c r="B13762" s="26"/>
      <c r="C13762" s="26"/>
      <c r="D13762" s="25" t="s">
        <v>43507</v>
      </c>
      <c r="E13762" s="25"/>
      <c r="F13762" s="25"/>
      <c r="G13762" s="25"/>
    </row>
    <row r="13763" spans="1:7" ht="30.60" thickBot="1" customHeight="1">
      <c r="A13763" s="24" t="s">
        <v>43508</v>
      </c>
      <c r="B13763" s="24" t="s">
        <v>43509</v>
      </c>
      <c r="C13763" s="24" t="s">
        <v>43510</v>
      </c>
      <c r="D13763" s="25" t="s">
        <v>43511</v>
      </c>
      <c r="E13763" s="28">
        <v>1.26000</v>
      </c>
      <c r="F13763" s="29">
        <f ca="1">ROUND(5.210,3)</f>
        <v>0</v>
      </c>
      <c r="G13763" s="27">
        <f ca="1">ROUND(E13763*F13763,2)</f>
        <v>0</v>
      </c>
    </row>
    <row r="13764" spans="1:7" ht="30.60" thickBot="1" customHeight="1">
      <c r="A13764" s="24" t="s">
        <v>43512</v>
      </c>
      <c r="B13764" s="24" t="s">
        <v>43513</v>
      </c>
      <c r="C13764" s="24" t="s">
        <v>43514</v>
      </c>
      <c r="D13764" s="25" t="s">
        <v>43515</v>
      </c>
      <c r="E13764" s="28">
        <v>0.02100</v>
      </c>
      <c r="F13764" s="29">
        <f ca="1">ROUND(27.500,3)</f>
        <v>0</v>
      </c>
      <c r="G13764" s="27">
        <f ca="1">ROUND(E13764*F13764,2)</f>
        <v>0</v>
      </c>
    </row>
    <row r="13765" spans="1:7" ht="21.36" thickBot="1" customHeight="1">
      <c r="A13765" s="24" t="s">
        <v>43516</v>
      </c>
      <c r="B13765" s="24" t="s">
        <v>43517</v>
      </c>
      <c r="C13765" s="24" t="s">
        <v>43518</v>
      </c>
      <c r="D13765" s="25" t="s">
        <v>43519</v>
      </c>
      <c r="E13765" s="28">
        <v>0.40000</v>
      </c>
      <c r="F13765" s="29">
        <f ca="1">ROUND(1.050,3)</f>
        <v>0</v>
      </c>
      <c r="G13765" s="27">
        <f ca="1">ROUND(E13765*F13765,2)</f>
        <v>0</v>
      </c>
    </row>
    <row r="13766" spans="1:7" ht="21.36" thickBot="1" customHeight="1">
      <c r="A13766" s="24" t="s">
        <v>43520</v>
      </c>
      <c r="B13766" s="24" t="s">
        <v>43521</v>
      </c>
      <c r="C13766" s="24" t="s">
        <v>43522</v>
      </c>
      <c r="D13766" s="25" t="s">
        <v>43523</v>
      </c>
      <c r="E13766" s="28">
        <v>0.20000</v>
      </c>
      <c r="F13766" s="29">
        <f ca="1">ROUND(11.500,3)</f>
        <v>0</v>
      </c>
      <c r="G13766" s="27">
        <f ca="1">ROUND(E13766*F13766,2)</f>
        <v>0</v>
      </c>
    </row>
    <row r="13767" spans="1:7" ht="21.36" thickBot="1" customHeight="1">
      <c r="A13767" s="24" t="s">
        <v>43524</v>
      </c>
      <c r="B13767" s="24" t="s">
        <v>43525</v>
      </c>
      <c r="C13767" s="24" t="s">
        <v>43526</v>
      </c>
      <c r="D13767" s="25" t="s">
        <v>43527</v>
      </c>
      <c r="E13767" s="28">
        <v>0.38100</v>
      </c>
      <c r="F13767" s="29">
        <f ca="1">F13771</f>
        <v>0</v>
      </c>
      <c r="G13767" s="27">
        <f ca="1">ROUND(E13767*F13767,2)</f>
        <v>0</v>
      </c>
    </row>
    <row r="13768" spans="1:7" ht="24.36" thickBot="1" customHeight="1">
      <c r="A13768" s="24" t="s">
        <v>43528</v>
      </c>
      <c r="B13768" s="24" t="s">
        <v>43529</v>
      </c>
      <c r="C13768" s="24" t="s">
        <v>43530</v>
      </c>
      <c r="D13768" s="25" t="s">
        <v>43531</v>
      </c>
      <c r="E13768" s="28">
        <v>1.00000</v>
      </c>
      <c r="F13768" s="29">
        <f ca="1">ROUND(21.000,3)</f>
        <v>0</v>
      </c>
      <c r="G13768" s="27">
        <f ca="1">ROUND(E13768*F13768,2)</f>
        <v>0</v>
      </c>
    </row>
    <row r="13769" spans="1:7" ht="24.36" thickBot="1" customHeight="1">
      <c r="A13769" s="24" t="s">
        <v>43532</v>
      </c>
      <c r="B13769" s="24" t="s">
        <v>43533</v>
      </c>
      <c r="C13769" s="24" t="s">
        <v>43534</v>
      </c>
      <c r="D13769" s="25" t="s">
        <v>43535</v>
      </c>
      <c r="E13769" s="28">
        <v>1.00000</v>
      </c>
      <c r="F13769" s="29">
        <f ca="1">ROUND(19.000,3)</f>
        <v>0</v>
      </c>
      <c r="G13769" s="27">
        <f ca="1">ROUND(E13769*F13769,2)</f>
        <v>0</v>
      </c>
    </row>
    <row r="13770" spans="1:7" ht="24.36" thickBot="1" customHeight="1">
      <c r="A13770" s="24" t="s">
        <v>43536</v>
      </c>
      <c r="B13770" s="24" t="s">
        <v>43537</v>
      </c>
      <c r="C13770" s="24" t="s">
        <v>43538</v>
      </c>
      <c r="D13770" s="25" t="s">
        <v>43539</v>
      </c>
      <c r="E13770" s="28">
        <v>0.20000</v>
      </c>
      <c r="F13770" s="29">
        <f ca="1">ROUND(19.000,3)</f>
        <v>0</v>
      </c>
      <c r="G13770" s="27">
        <f ca="1">ROUND(E13770*F13770,2)</f>
        <v>0</v>
      </c>
    </row>
    <row r="13771" spans="1:7" ht="15.12" thickBot="1" customHeight="1">
      <c r="A13771" s="26"/>
      <c r="B13771" s="26"/>
      <c r="C13771" s="26"/>
      <c r="D13771" s="24" t="s">
        <v>43540</v>
      </c>
      <c r="E13771" s="28">
        <v>0.38100</v>
      </c>
      <c r="F13771" s="29">
        <f ca="1">ROUND((G13768+G13769+G13770),3)</f>
        <v>0</v>
      </c>
      <c r="G13771" s="27">
        <f ca="1">ROUND(E13771*F13771,2)</f>
        <v>0</v>
      </c>
    </row>
    <row r="13772" spans="1:7" ht="15.12" thickBot="1" customHeight="1">
      <c r="A13772" s="24" t="s">
        <v>43541</v>
      </c>
      <c r="B13772" s="24"/>
      <c r="C13772" s="24" t="s">
        <v>43542</v>
      </c>
      <c r="D13772" s="25" t="s">
        <v>43543</v>
      </c>
      <c r="E13772" s="28">
        <v>3.00000</v>
      </c>
      <c r="F13772" s="29">
        <f ca="1">ROUND(16.690,3)</f>
        <v>0</v>
      </c>
      <c r="G13772" s="27">
        <f ca="1">ROUND((E13772*F13772)/100,2)</f>
        <v>0</v>
      </c>
    </row>
    <row r="13773" spans="1:7" ht="15.48" thickBot="1" customHeight="1">
      <c r="A13773" s="30"/>
      <c r="B13773" s="30"/>
      <c r="C13773" s="30"/>
      <c r="D13773" s="31" t="s">
        <v>43544</v>
      </c>
      <c r="E13773" s="30"/>
      <c r="F13773" s="33">
        <f ca="1">ROUND((G13763+G13764+G13765+G13766+G13767+G13772)*(1+G2/100),2)</f>
        <v>0</v>
      </c>
      <c r="G13773" s="30"/>
    </row>
    <row r="13774" spans="1:7" ht="49.08" thickBot="1" customHeight="1">
      <c r="A13774" s="34" t="s">
        <v>43545</v>
      </c>
      <c r="B13774" s="35" t="s">
        <v>43546</v>
      </c>
      <c r="C13774" s="35" t="s">
        <v>43547</v>
      </c>
      <c r="D13774" s="36" t="s">
        <v>43548</v>
      </c>
      <c r="E13774" s="37"/>
      <c r="F13774" s="38">
        <f ca="1">F13786</f>
        <v>0</v>
      </c>
      <c r="G13774" s="37"/>
    </row>
    <row r="13775" spans="1:7" ht="30.60" thickBot="1" customHeight="1">
      <c r="A13775" s="26"/>
      <c r="B13775" s="26"/>
      <c r="C13775" s="26"/>
      <c r="D13775" s="25" t="s">
        <v>43549</v>
      </c>
      <c r="E13775" s="25"/>
      <c r="F13775" s="25"/>
      <c r="G13775" s="25"/>
    </row>
    <row r="13776" spans="1:7" ht="30.60" thickBot="1" customHeight="1">
      <c r="A13776" s="24" t="s">
        <v>43550</v>
      </c>
      <c r="B13776" s="24" t="s">
        <v>43551</v>
      </c>
      <c r="C13776" s="24" t="s">
        <v>43552</v>
      </c>
      <c r="D13776" s="25" t="s">
        <v>43553</v>
      </c>
      <c r="E13776" s="28">
        <v>1.26000</v>
      </c>
      <c r="F13776" s="29">
        <f ca="1">ROUND(5.210,3)</f>
        <v>0</v>
      </c>
      <c r="G13776" s="27">
        <f ca="1">ROUND(E13776*F13776,2)</f>
        <v>0</v>
      </c>
    </row>
    <row r="13777" spans="1:7" ht="30.60" thickBot="1" customHeight="1">
      <c r="A13777" s="24" t="s">
        <v>43554</v>
      </c>
      <c r="B13777" s="24" t="s">
        <v>43555</v>
      </c>
      <c r="C13777" s="24" t="s">
        <v>43556</v>
      </c>
      <c r="D13777" s="25" t="s">
        <v>43557</v>
      </c>
      <c r="E13777" s="28">
        <v>0.02100</v>
      </c>
      <c r="F13777" s="29">
        <f ca="1">ROUND(27.500,3)</f>
        <v>0</v>
      </c>
      <c r="G13777" s="27">
        <f ca="1">ROUND(E13777*F13777,2)</f>
        <v>0</v>
      </c>
    </row>
    <row r="13778" spans="1:7" ht="21.36" thickBot="1" customHeight="1">
      <c r="A13778" s="24" t="s">
        <v>43558</v>
      </c>
      <c r="B13778" s="24" t="s">
        <v>43559</v>
      </c>
      <c r="C13778" s="24" t="s">
        <v>43560</v>
      </c>
      <c r="D13778" s="25" t="s">
        <v>43561</v>
      </c>
      <c r="E13778" s="28">
        <v>0.40000</v>
      </c>
      <c r="F13778" s="29">
        <f ca="1">ROUND(1.050,3)</f>
        <v>0</v>
      </c>
      <c r="G13778" s="27">
        <f ca="1">ROUND(E13778*F13778,2)</f>
        <v>0</v>
      </c>
    </row>
    <row r="13779" spans="1:7" ht="21.36" thickBot="1" customHeight="1">
      <c r="A13779" s="24" t="s">
        <v>43562</v>
      </c>
      <c r="B13779" s="24" t="s">
        <v>43563</v>
      </c>
      <c r="C13779" s="24" t="s">
        <v>43564</v>
      </c>
      <c r="D13779" s="25" t="s">
        <v>43565</v>
      </c>
      <c r="E13779" s="28">
        <v>0.20000</v>
      </c>
      <c r="F13779" s="29">
        <f ca="1">ROUND(11.500,3)</f>
        <v>0</v>
      </c>
      <c r="G13779" s="27">
        <f ca="1">ROUND(E13779*F13779,2)</f>
        <v>0</v>
      </c>
    </row>
    <row r="13780" spans="1:7" ht="21.36" thickBot="1" customHeight="1">
      <c r="A13780" s="24" t="s">
        <v>43566</v>
      </c>
      <c r="B13780" s="24" t="s">
        <v>43567</v>
      </c>
      <c r="C13780" s="24" t="s">
        <v>43568</v>
      </c>
      <c r="D13780" s="25" t="s">
        <v>43569</v>
      </c>
      <c r="E13780" s="28">
        <v>0.38100</v>
      </c>
      <c r="F13780" s="29">
        <f ca="1">F13784</f>
        <v>0</v>
      </c>
      <c r="G13780" s="27">
        <f ca="1">ROUND(E13780*F13780,2)</f>
        <v>0</v>
      </c>
    </row>
    <row r="13781" spans="1:7" ht="24.36" thickBot="1" customHeight="1">
      <c r="A13781" s="24" t="s">
        <v>43570</v>
      </c>
      <c r="B13781" s="24" t="s">
        <v>43571</v>
      </c>
      <c r="C13781" s="24" t="s">
        <v>43572</v>
      </c>
      <c r="D13781" s="25" t="s">
        <v>43573</v>
      </c>
      <c r="E13781" s="28">
        <v>1.00000</v>
      </c>
      <c r="F13781" s="29">
        <f ca="1">ROUND(21.000,3)</f>
        <v>0</v>
      </c>
      <c r="G13781" s="27">
        <f ca="1">ROUND(E13781*F13781,2)</f>
        <v>0</v>
      </c>
    </row>
    <row r="13782" spans="1:7" ht="24.36" thickBot="1" customHeight="1">
      <c r="A13782" s="24" t="s">
        <v>43574</v>
      </c>
      <c r="B13782" s="24" t="s">
        <v>43575</v>
      </c>
      <c r="C13782" s="24" t="s">
        <v>43576</v>
      </c>
      <c r="D13782" s="25" t="s">
        <v>43577</v>
      </c>
      <c r="E13782" s="28">
        <v>1.00000</v>
      </c>
      <c r="F13782" s="29">
        <f ca="1">ROUND(19.000,3)</f>
        <v>0</v>
      </c>
      <c r="G13782" s="27">
        <f ca="1">ROUND(E13782*F13782,2)</f>
        <v>0</v>
      </c>
    </row>
    <row r="13783" spans="1:7" ht="24.36" thickBot="1" customHeight="1">
      <c r="A13783" s="24" t="s">
        <v>43578</v>
      </c>
      <c r="B13783" s="24" t="s">
        <v>43579</v>
      </c>
      <c r="C13783" s="24" t="s">
        <v>43580</v>
      </c>
      <c r="D13783" s="25" t="s">
        <v>43581</v>
      </c>
      <c r="E13783" s="28">
        <v>0.20000</v>
      </c>
      <c r="F13783" s="29">
        <f ca="1">ROUND(19.000,3)</f>
        <v>0</v>
      </c>
      <c r="G13783" s="27">
        <f ca="1">ROUND(E13783*F13783,2)</f>
        <v>0</v>
      </c>
    </row>
    <row r="13784" spans="1:7" ht="15.12" thickBot="1" customHeight="1">
      <c r="A13784" s="26"/>
      <c r="B13784" s="26"/>
      <c r="C13784" s="26"/>
      <c r="D13784" s="24" t="s">
        <v>43582</v>
      </c>
      <c r="E13784" s="28">
        <v>0.38100</v>
      </c>
      <c r="F13784" s="29">
        <f ca="1">ROUND((G13781+G13782+G13783),3)</f>
        <v>0</v>
      </c>
      <c r="G13784" s="27">
        <f ca="1">ROUND(E13784*F13784,2)</f>
        <v>0</v>
      </c>
    </row>
    <row r="13785" spans="1:7" ht="15.12" thickBot="1" customHeight="1">
      <c r="A13785" s="24" t="s">
        <v>43583</v>
      </c>
      <c r="B13785" s="24"/>
      <c r="C13785" s="24" t="s">
        <v>43584</v>
      </c>
      <c r="D13785" s="25" t="s">
        <v>43585</v>
      </c>
      <c r="E13785" s="28">
        <v>3.00000</v>
      </c>
      <c r="F13785" s="29">
        <f ca="1">ROUND(16.690,3)</f>
        <v>0</v>
      </c>
      <c r="G13785" s="27">
        <f ca="1">ROUND((E13785*F13785)/100,2)</f>
        <v>0</v>
      </c>
    </row>
    <row r="13786" spans="1:7" ht="15.48" thickBot="1" customHeight="1">
      <c r="A13786" s="30"/>
      <c r="B13786" s="30"/>
      <c r="C13786" s="30"/>
      <c r="D13786" s="31" t="s">
        <v>43586</v>
      </c>
      <c r="E13786" s="30"/>
      <c r="F13786" s="33">
        <f ca="1">ROUND((G13776+G13777+G13778+G13779+G13780+G13785)*(1+G2/100),2)</f>
        <v>0</v>
      </c>
      <c r="G13786" s="30"/>
    </row>
    <row r="13787" spans="1:7" ht="58.32" thickBot="1" customHeight="1">
      <c r="A13787" s="34" t="s">
        <v>43587</v>
      </c>
      <c r="B13787" s="35" t="s">
        <v>43588</v>
      </c>
      <c r="C13787" s="35" t="s">
        <v>43589</v>
      </c>
      <c r="D13787" s="36" t="s">
        <v>43590</v>
      </c>
      <c r="E13787" s="37"/>
      <c r="F13787" s="38">
        <f ca="1">F13799</f>
        <v>0</v>
      </c>
      <c r="G13787" s="37"/>
    </row>
    <row r="13788" spans="1:7" ht="30.60" thickBot="1" customHeight="1">
      <c r="A13788" s="26"/>
      <c r="B13788" s="26"/>
      <c r="C13788" s="26"/>
      <c r="D13788" s="25" t="s">
        <v>43591</v>
      </c>
      <c r="E13788" s="25"/>
      <c r="F13788" s="25"/>
      <c r="G13788" s="25"/>
    </row>
    <row r="13789" spans="1:7" ht="30.60" thickBot="1" customHeight="1">
      <c r="A13789" s="24" t="s">
        <v>43592</v>
      </c>
      <c r="B13789" s="24" t="s">
        <v>43593</v>
      </c>
      <c r="C13789" s="24" t="s">
        <v>43594</v>
      </c>
      <c r="D13789" s="25" t="s">
        <v>43595</v>
      </c>
      <c r="E13789" s="28">
        <v>1.26000</v>
      </c>
      <c r="F13789" s="29">
        <f ca="1">ROUND(5.210,3)</f>
        <v>0</v>
      </c>
      <c r="G13789" s="27">
        <f ca="1">ROUND(E13789*F13789,2)</f>
        <v>0</v>
      </c>
    </row>
    <row r="13790" spans="1:7" ht="30.60" thickBot="1" customHeight="1">
      <c r="A13790" s="24" t="s">
        <v>43596</v>
      </c>
      <c r="B13790" s="24" t="s">
        <v>43597</v>
      </c>
      <c r="C13790" s="24" t="s">
        <v>43598</v>
      </c>
      <c r="D13790" s="25" t="s">
        <v>43599</v>
      </c>
      <c r="E13790" s="28">
        <v>0.02100</v>
      </c>
      <c r="F13790" s="29">
        <f ca="1">ROUND(27.500,3)</f>
        <v>0</v>
      </c>
      <c r="G13790" s="27">
        <f ca="1">ROUND(E13790*F13790,2)</f>
        <v>0</v>
      </c>
    </row>
    <row r="13791" spans="1:7" ht="21.36" thickBot="1" customHeight="1">
      <c r="A13791" s="24" t="s">
        <v>43600</v>
      </c>
      <c r="B13791" s="24" t="s">
        <v>43601</v>
      </c>
      <c r="C13791" s="24" t="s">
        <v>43602</v>
      </c>
      <c r="D13791" s="25" t="s">
        <v>43603</v>
      </c>
      <c r="E13791" s="28">
        <v>0.40000</v>
      </c>
      <c r="F13791" s="29">
        <f ca="1">ROUND(1.050,3)</f>
        <v>0</v>
      </c>
      <c r="G13791" s="27">
        <f ca="1">ROUND(E13791*F13791,2)</f>
        <v>0</v>
      </c>
    </row>
    <row r="13792" spans="1:7" ht="21.36" thickBot="1" customHeight="1">
      <c r="A13792" s="24" t="s">
        <v>43604</v>
      </c>
      <c r="B13792" s="24" t="s">
        <v>43605</v>
      </c>
      <c r="C13792" s="24" t="s">
        <v>43606</v>
      </c>
      <c r="D13792" s="25" t="s">
        <v>43607</v>
      </c>
      <c r="E13792" s="28">
        <v>0.20000</v>
      </c>
      <c r="F13792" s="29">
        <f ca="1">ROUND(11.500,3)</f>
        <v>0</v>
      </c>
      <c r="G13792" s="27">
        <f ca="1">ROUND(E13792*F13792,2)</f>
        <v>0</v>
      </c>
    </row>
    <row r="13793" spans="1:7" ht="21.36" thickBot="1" customHeight="1">
      <c r="A13793" s="24" t="s">
        <v>43608</v>
      </c>
      <c r="B13793" s="24" t="s">
        <v>43609</v>
      </c>
      <c r="C13793" s="24" t="s">
        <v>43610</v>
      </c>
      <c r="D13793" s="25" t="s">
        <v>43611</v>
      </c>
      <c r="E13793" s="28">
        <v>0.50000</v>
      </c>
      <c r="F13793" s="29">
        <f ca="1">F13797</f>
        <v>0</v>
      </c>
      <c r="G13793" s="27">
        <f ca="1">ROUND(E13793*F13793,2)</f>
        <v>0</v>
      </c>
    </row>
    <row r="13794" spans="1:7" ht="24.36" thickBot="1" customHeight="1">
      <c r="A13794" s="24" t="s">
        <v>43612</v>
      </c>
      <c r="B13794" s="24" t="s">
        <v>43613</v>
      </c>
      <c r="C13794" s="24" t="s">
        <v>43614</v>
      </c>
      <c r="D13794" s="25" t="s">
        <v>43615</v>
      </c>
      <c r="E13794" s="28">
        <v>1.00000</v>
      </c>
      <c r="F13794" s="29">
        <f ca="1">ROUND(21.000,3)</f>
        <v>0</v>
      </c>
      <c r="G13794" s="27">
        <f ca="1">ROUND(E13794*F13794,2)</f>
        <v>0</v>
      </c>
    </row>
    <row r="13795" spans="1:7" ht="24.36" thickBot="1" customHeight="1">
      <c r="A13795" s="24" t="s">
        <v>43616</v>
      </c>
      <c r="B13795" s="24" t="s">
        <v>43617</v>
      </c>
      <c r="C13795" s="24" t="s">
        <v>43618</v>
      </c>
      <c r="D13795" s="25" t="s">
        <v>43619</v>
      </c>
      <c r="E13795" s="28">
        <v>1.00000</v>
      </c>
      <c r="F13795" s="29">
        <f ca="1">ROUND(19.000,3)</f>
        <v>0</v>
      </c>
      <c r="G13795" s="27">
        <f ca="1">ROUND(E13795*F13795,2)</f>
        <v>0</v>
      </c>
    </row>
    <row r="13796" spans="1:7" ht="24.36" thickBot="1" customHeight="1">
      <c r="A13796" s="24" t="s">
        <v>43620</v>
      </c>
      <c r="B13796" s="24" t="s">
        <v>43621</v>
      </c>
      <c r="C13796" s="24" t="s">
        <v>43622</v>
      </c>
      <c r="D13796" s="25" t="s">
        <v>43623</v>
      </c>
      <c r="E13796" s="28">
        <v>0.20000</v>
      </c>
      <c r="F13796" s="29">
        <f ca="1">ROUND(19.000,3)</f>
        <v>0</v>
      </c>
      <c r="G13796" s="27">
        <f ca="1">ROUND(E13796*F13796,2)</f>
        <v>0</v>
      </c>
    </row>
    <row r="13797" spans="1:7" ht="15.12" thickBot="1" customHeight="1">
      <c r="A13797" s="26"/>
      <c r="B13797" s="26"/>
      <c r="C13797" s="26"/>
      <c r="D13797" s="24" t="s">
        <v>43624</v>
      </c>
      <c r="E13797" s="28">
        <v>0.50000</v>
      </c>
      <c r="F13797" s="29">
        <f ca="1">ROUND((G13794+G13795+G13796),3)</f>
        <v>0</v>
      </c>
      <c r="G13797" s="27">
        <f ca="1">ROUND(E13797*F13797,2)</f>
        <v>0</v>
      </c>
    </row>
    <row r="13798" spans="1:7" ht="15.12" thickBot="1" customHeight="1">
      <c r="A13798" s="24" t="s">
        <v>43625</v>
      </c>
      <c r="B13798" s="24"/>
      <c r="C13798" s="24" t="s">
        <v>43626</v>
      </c>
      <c r="D13798" s="25" t="s">
        <v>43627</v>
      </c>
      <c r="E13798" s="28">
        <v>3.00000</v>
      </c>
      <c r="F13798" s="29">
        <f ca="1">ROUND(21.900,3)</f>
        <v>0</v>
      </c>
      <c r="G13798" s="27">
        <f ca="1">ROUND((E13798*F13798)/100,2)</f>
        <v>0</v>
      </c>
    </row>
    <row r="13799" spans="1:7" ht="15.48" thickBot="1" customHeight="1">
      <c r="A13799" s="30"/>
      <c r="B13799" s="30"/>
      <c r="C13799" s="30"/>
      <c r="D13799" s="31" t="s">
        <v>43628</v>
      </c>
      <c r="E13799" s="30"/>
      <c r="F13799" s="33">
        <f ca="1">ROUND((G13789+G13790+G13791+G13792+G13793+G13798)*(1+G2/100),2)</f>
        <v>0</v>
      </c>
      <c r="G13799" s="30"/>
    </row>
    <row r="13800" spans="1:7" ht="76.80" thickBot="1" customHeight="1">
      <c r="A13800" s="34" t="s">
        <v>43629</v>
      </c>
      <c r="B13800" s="35" t="s">
        <v>43630</v>
      </c>
      <c r="C13800" s="35" t="s">
        <v>43631</v>
      </c>
      <c r="D13800" s="36" t="s">
        <v>43632</v>
      </c>
      <c r="E13800" s="37"/>
      <c r="F13800" s="38">
        <f ca="1">F13810</f>
        <v>0</v>
      </c>
      <c r="G13800" s="37"/>
    </row>
    <row r="13801" spans="1:7" ht="30.60" thickBot="1" customHeight="1">
      <c r="A13801" s="26"/>
      <c r="B13801" s="26"/>
      <c r="C13801" s="26"/>
      <c r="D13801" s="25" t="s">
        <v>43633</v>
      </c>
      <c r="E13801" s="25"/>
      <c r="F13801" s="25"/>
      <c r="G13801" s="25"/>
    </row>
    <row r="13802" spans="1:7" ht="30.60" thickBot="1" customHeight="1">
      <c r="A13802" s="24" t="s">
        <v>43634</v>
      </c>
      <c r="B13802" s="24" t="s">
        <v>43635</v>
      </c>
      <c r="C13802" s="24" t="s">
        <v>43636</v>
      </c>
      <c r="D13802" s="25" t="s">
        <v>43637</v>
      </c>
      <c r="E13802" s="28">
        <v>0.70400</v>
      </c>
      <c r="F13802" s="29">
        <f ca="1">ROUND(5.250,3)</f>
        <v>0</v>
      </c>
      <c r="G13802" s="27">
        <f ca="1">ROUND(E13802*F13802,2)</f>
        <v>0</v>
      </c>
    </row>
    <row r="13803" spans="1:7" ht="21.36" thickBot="1" customHeight="1">
      <c r="A13803" s="24" t="s">
        <v>43638</v>
      </c>
      <c r="B13803" s="24" t="s">
        <v>43639</v>
      </c>
      <c r="C13803" s="24" t="s">
        <v>43640</v>
      </c>
      <c r="D13803" s="25" t="s">
        <v>43641</v>
      </c>
      <c r="E13803" s="28">
        <v>0.02444</v>
      </c>
      <c r="F13803" s="29">
        <f ca="1">ROUND(1.320,3)</f>
        <v>0</v>
      </c>
      <c r="G13803" s="27">
        <f ca="1">ROUND(E13803*F13803,2)</f>
        <v>0</v>
      </c>
    </row>
    <row r="13804" spans="1:7" ht="21.36" thickBot="1" customHeight="1">
      <c r="A13804" s="24" t="s">
        <v>43642</v>
      </c>
      <c r="B13804" s="24" t="s">
        <v>43643</v>
      </c>
      <c r="C13804" s="24" t="s">
        <v>43644</v>
      </c>
      <c r="D13804" s="25" t="s">
        <v>43645</v>
      </c>
      <c r="E13804" s="28">
        <v>0.68000</v>
      </c>
      <c r="F13804" s="29">
        <f ca="1">F13808</f>
        <v>0</v>
      </c>
      <c r="G13804" s="27">
        <f ca="1">ROUND(E13804*F13804,2)</f>
        <v>0</v>
      </c>
    </row>
    <row r="13805" spans="1:7" ht="24.36" thickBot="1" customHeight="1">
      <c r="A13805" s="24" t="s">
        <v>43646</v>
      </c>
      <c r="B13805" s="24" t="s">
        <v>43647</v>
      </c>
      <c r="C13805" s="24" t="s">
        <v>43648</v>
      </c>
      <c r="D13805" s="25" t="s">
        <v>43649</v>
      </c>
      <c r="E13805" s="28">
        <v>1.00000</v>
      </c>
      <c r="F13805" s="29">
        <f ca="1">ROUND(21.000,3)</f>
        <v>0</v>
      </c>
      <c r="G13805" s="27">
        <f ca="1">ROUND(E13805*F13805,2)</f>
        <v>0</v>
      </c>
    </row>
    <row r="13806" spans="1:7" ht="24.36" thickBot="1" customHeight="1">
      <c r="A13806" s="24" t="s">
        <v>43650</v>
      </c>
      <c r="B13806" s="24" t="s">
        <v>43651</v>
      </c>
      <c r="C13806" s="24" t="s">
        <v>43652</v>
      </c>
      <c r="D13806" s="25" t="s">
        <v>43653</v>
      </c>
      <c r="E13806" s="28">
        <v>1.00000</v>
      </c>
      <c r="F13806" s="29">
        <f ca="1">ROUND(19.000,3)</f>
        <v>0</v>
      </c>
      <c r="G13806" s="27">
        <f ca="1">ROUND(E13806*F13806,2)</f>
        <v>0</v>
      </c>
    </row>
    <row r="13807" spans="1:7" ht="24.36" thickBot="1" customHeight="1">
      <c r="A13807" s="24" t="s">
        <v>43654</v>
      </c>
      <c r="B13807" s="24" t="s">
        <v>43655</v>
      </c>
      <c r="C13807" s="24" t="s">
        <v>43656</v>
      </c>
      <c r="D13807" s="25" t="s">
        <v>43657</v>
      </c>
      <c r="E13807" s="28">
        <v>0.20000</v>
      </c>
      <c r="F13807" s="29">
        <f ca="1">ROUND(19.000,3)</f>
        <v>0</v>
      </c>
      <c r="G13807" s="27">
        <f ca="1">ROUND(E13807*F13807,2)</f>
        <v>0</v>
      </c>
    </row>
    <row r="13808" spans="1:7" ht="15.12" thickBot="1" customHeight="1">
      <c r="A13808" s="26"/>
      <c r="B13808" s="26"/>
      <c r="C13808" s="26"/>
      <c r="D13808" s="24" t="s">
        <v>43658</v>
      </c>
      <c r="E13808" s="28">
        <v>0.68000</v>
      </c>
      <c r="F13808" s="29">
        <f ca="1">ROUND((G13805+G13806+G13807),3)</f>
        <v>0</v>
      </c>
      <c r="G13808" s="27">
        <f ca="1">ROUND(E13808*F13808,2)</f>
        <v>0</v>
      </c>
    </row>
    <row r="13809" spans="1:7" ht="15.12" thickBot="1" customHeight="1">
      <c r="A13809" s="24" t="s">
        <v>43659</v>
      </c>
      <c r="B13809" s="24"/>
      <c r="C13809" s="24" t="s">
        <v>43660</v>
      </c>
      <c r="D13809" s="25" t="s">
        <v>43661</v>
      </c>
      <c r="E13809" s="28">
        <v>5.00000</v>
      </c>
      <c r="F13809" s="29">
        <f ca="1">ROUND(29.780,3)</f>
        <v>0</v>
      </c>
      <c r="G13809" s="27">
        <f ca="1">ROUND((E13809*F13809)/100,2)</f>
        <v>0</v>
      </c>
    </row>
    <row r="13810" spans="1:7" ht="15.48" thickBot="1" customHeight="1">
      <c r="A13810" s="30"/>
      <c r="B13810" s="30"/>
      <c r="C13810" s="30"/>
      <c r="D13810" s="31" t="s">
        <v>43662</v>
      </c>
      <c r="E13810" s="30"/>
      <c r="F13810" s="33">
        <f ca="1">ROUND((G13802+G13803+G13804+G13809)*(1+G2/100),2)</f>
        <v>0</v>
      </c>
      <c r="G13810" s="30"/>
    </row>
    <row r="13811" spans="1:7" ht="76.80" thickBot="1" customHeight="1">
      <c r="A13811" s="34" t="s">
        <v>43663</v>
      </c>
      <c r="B13811" s="35" t="s">
        <v>43664</v>
      </c>
      <c r="C13811" s="35" t="s">
        <v>43665</v>
      </c>
      <c r="D13811" s="36" t="s">
        <v>43666</v>
      </c>
      <c r="E13811" s="37"/>
      <c r="F13811" s="38">
        <f ca="1">F13821</f>
        <v>0</v>
      </c>
      <c r="G13811" s="37"/>
    </row>
    <row r="13812" spans="1:7" ht="30.60" thickBot="1" customHeight="1">
      <c r="A13812" s="26"/>
      <c r="B13812" s="26"/>
      <c r="C13812" s="26"/>
      <c r="D13812" s="25" t="s">
        <v>43667</v>
      </c>
      <c r="E13812" s="25"/>
      <c r="F13812" s="25"/>
      <c r="G13812" s="25"/>
    </row>
    <row r="13813" spans="1:7" ht="30.60" thickBot="1" customHeight="1">
      <c r="A13813" s="24" t="s">
        <v>43668</v>
      </c>
      <c r="B13813" s="24" t="s">
        <v>43669</v>
      </c>
      <c r="C13813" s="24" t="s">
        <v>43670</v>
      </c>
      <c r="D13813" s="25" t="s">
        <v>43671</v>
      </c>
      <c r="E13813" s="28">
        <v>0.70400</v>
      </c>
      <c r="F13813" s="29">
        <f ca="1">ROUND(5.250,3)</f>
        <v>0</v>
      </c>
      <c r="G13813" s="27">
        <f ca="1">ROUND(E13813*F13813,2)</f>
        <v>0</v>
      </c>
    </row>
    <row r="13814" spans="1:7" ht="21.36" thickBot="1" customHeight="1">
      <c r="A13814" s="24" t="s">
        <v>43672</v>
      </c>
      <c r="B13814" s="24" t="s">
        <v>43673</v>
      </c>
      <c r="C13814" s="24" t="s">
        <v>43674</v>
      </c>
      <c r="D13814" s="25" t="s">
        <v>43675</v>
      </c>
      <c r="E13814" s="28">
        <v>0.02444</v>
      </c>
      <c r="F13814" s="29">
        <f ca="1">ROUND(1.320,3)</f>
        <v>0</v>
      </c>
      <c r="G13814" s="27">
        <f ca="1">ROUND(E13814*F13814,2)</f>
        <v>0</v>
      </c>
    </row>
    <row r="13815" spans="1:7" ht="21.36" thickBot="1" customHeight="1">
      <c r="A13815" s="24" t="s">
        <v>43676</v>
      </c>
      <c r="B13815" s="24" t="s">
        <v>43677</v>
      </c>
      <c r="C13815" s="24" t="s">
        <v>43678</v>
      </c>
      <c r="D13815" s="25" t="s">
        <v>43679</v>
      </c>
      <c r="E13815" s="28">
        <v>0.57140</v>
      </c>
      <c r="F13815" s="29">
        <f ca="1">F13819</f>
        <v>0</v>
      </c>
      <c r="G13815" s="27">
        <f ca="1">ROUND(E13815*F13815,2)</f>
        <v>0</v>
      </c>
    </row>
    <row r="13816" spans="1:7" ht="24.36" thickBot="1" customHeight="1">
      <c r="A13816" s="24" t="s">
        <v>43680</v>
      </c>
      <c r="B13816" s="24" t="s">
        <v>43681</v>
      </c>
      <c r="C13816" s="24" t="s">
        <v>43682</v>
      </c>
      <c r="D13816" s="25" t="s">
        <v>43683</v>
      </c>
      <c r="E13816" s="28">
        <v>1.00000</v>
      </c>
      <c r="F13816" s="29">
        <f ca="1">ROUND(21.000,3)</f>
        <v>0</v>
      </c>
      <c r="G13816" s="27">
        <f ca="1">ROUND(E13816*F13816,2)</f>
        <v>0</v>
      </c>
    </row>
    <row r="13817" spans="1:7" ht="24.36" thickBot="1" customHeight="1">
      <c r="A13817" s="24" t="s">
        <v>43684</v>
      </c>
      <c r="B13817" s="24" t="s">
        <v>43685</v>
      </c>
      <c r="C13817" s="24" t="s">
        <v>43686</v>
      </c>
      <c r="D13817" s="25" t="s">
        <v>43687</v>
      </c>
      <c r="E13817" s="28">
        <v>1.00000</v>
      </c>
      <c r="F13817" s="29">
        <f ca="1">ROUND(19.000,3)</f>
        <v>0</v>
      </c>
      <c r="G13817" s="27">
        <f ca="1">ROUND(E13817*F13817,2)</f>
        <v>0</v>
      </c>
    </row>
    <row r="13818" spans="1:7" ht="24.36" thickBot="1" customHeight="1">
      <c r="A13818" s="24" t="s">
        <v>43688</v>
      </c>
      <c r="B13818" s="24" t="s">
        <v>43689</v>
      </c>
      <c r="C13818" s="24" t="s">
        <v>43690</v>
      </c>
      <c r="D13818" s="25" t="s">
        <v>43691</v>
      </c>
      <c r="E13818" s="28">
        <v>0.20000</v>
      </c>
      <c r="F13818" s="29">
        <f ca="1">ROUND(19.000,3)</f>
        <v>0</v>
      </c>
      <c r="G13818" s="27">
        <f ca="1">ROUND(E13818*F13818,2)</f>
        <v>0</v>
      </c>
    </row>
    <row r="13819" spans="1:7" ht="15.12" thickBot="1" customHeight="1">
      <c r="A13819" s="26"/>
      <c r="B13819" s="26"/>
      <c r="C13819" s="26"/>
      <c r="D13819" s="24" t="s">
        <v>43692</v>
      </c>
      <c r="E13819" s="28">
        <v>0.57140</v>
      </c>
      <c r="F13819" s="29">
        <f ca="1">ROUND((G13816+G13817+G13818),3)</f>
        <v>0</v>
      </c>
      <c r="G13819" s="27">
        <f ca="1">ROUND(E13819*F13819,2)</f>
        <v>0</v>
      </c>
    </row>
    <row r="13820" spans="1:7" ht="15.12" thickBot="1" customHeight="1">
      <c r="A13820" s="24" t="s">
        <v>43693</v>
      </c>
      <c r="B13820" s="24"/>
      <c r="C13820" s="24" t="s">
        <v>43694</v>
      </c>
      <c r="D13820" s="25" t="s">
        <v>43695</v>
      </c>
      <c r="E13820" s="28">
        <v>5.00000</v>
      </c>
      <c r="F13820" s="29">
        <f ca="1">ROUND(25.030,3)</f>
        <v>0</v>
      </c>
      <c r="G13820" s="27">
        <f ca="1">ROUND((E13820*F13820)/100,2)</f>
        <v>0</v>
      </c>
    </row>
    <row r="13821" spans="1:7" ht="15.48" thickBot="1" customHeight="1">
      <c r="A13821" s="30"/>
      <c r="B13821" s="30"/>
      <c r="C13821" s="30"/>
      <c r="D13821" s="31" t="s">
        <v>43696</v>
      </c>
      <c r="E13821" s="30"/>
      <c r="F13821" s="33">
        <f ca="1">ROUND((G13813+G13814+G13815+G13820)*(1+G2/100),2)</f>
        <v>0</v>
      </c>
      <c r="G13821" s="30"/>
    </row>
    <row r="13822" spans="1:7" ht="67.56" thickBot="1" customHeight="1">
      <c r="A13822" s="34" t="s">
        <v>43697</v>
      </c>
      <c r="B13822" s="35" t="s">
        <v>43698</v>
      </c>
      <c r="C13822" s="35" t="s">
        <v>43699</v>
      </c>
      <c r="D13822" s="36" t="s">
        <v>43700</v>
      </c>
      <c r="E13822" s="37"/>
      <c r="F13822" s="38">
        <f ca="1">F13832</f>
        <v>0</v>
      </c>
      <c r="G13822" s="37"/>
    </row>
    <row r="13823" spans="1:7" ht="30.60" thickBot="1" customHeight="1">
      <c r="A13823" s="26"/>
      <c r="B13823" s="26"/>
      <c r="C13823" s="26"/>
      <c r="D13823" s="25" t="s">
        <v>43701</v>
      </c>
      <c r="E13823" s="25"/>
      <c r="F13823" s="25"/>
      <c r="G13823" s="25"/>
    </row>
    <row r="13824" spans="1:7" ht="30.60" thickBot="1" customHeight="1">
      <c r="A13824" s="24" t="s">
        <v>43702</v>
      </c>
      <c r="B13824" s="24" t="s">
        <v>43703</v>
      </c>
      <c r="C13824" s="24" t="s">
        <v>43704</v>
      </c>
      <c r="D13824" s="25" t="s">
        <v>43705</v>
      </c>
      <c r="E13824" s="28">
        <v>0.70400</v>
      </c>
      <c r="F13824" s="29">
        <f ca="1">ROUND(5.250,3)</f>
        <v>0</v>
      </c>
      <c r="G13824" s="27">
        <f ca="1">ROUND(E13824*F13824,2)</f>
        <v>0</v>
      </c>
    </row>
    <row r="13825" spans="1:7" ht="21.36" thickBot="1" customHeight="1">
      <c r="A13825" s="24" t="s">
        <v>43706</v>
      </c>
      <c r="B13825" s="24" t="s">
        <v>43707</v>
      </c>
      <c r="C13825" s="24" t="s">
        <v>43708</v>
      </c>
      <c r="D13825" s="25" t="s">
        <v>43709</v>
      </c>
      <c r="E13825" s="28">
        <v>0.02444</v>
      </c>
      <c r="F13825" s="29">
        <f ca="1">ROUND(1.320,3)</f>
        <v>0</v>
      </c>
      <c r="G13825" s="27">
        <f ca="1">ROUND(E13825*F13825,2)</f>
        <v>0</v>
      </c>
    </row>
    <row r="13826" spans="1:7" ht="21.36" thickBot="1" customHeight="1">
      <c r="A13826" s="24" t="s">
        <v>43710</v>
      </c>
      <c r="B13826" s="24" t="s">
        <v>43711</v>
      </c>
      <c r="C13826" s="24" t="s">
        <v>43712</v>
      </c>
      <c r="D13826" s="25" t="s">
        <v>43713</v>
      </c>
      <c r="E13826" s="28">
        <v>0.72730</v>
      </c>
      <c r="F13826" s="29">
        <f ca="1">F13830</f>
        <v>0</v>
      </c>
      <c r="G13826" s="27">
        <f ca="1">ROUND(E13826*F13826,2)</f>
        <v>0</v>
      </c>
    </row>
    <row r="13827" spans="1:7" ht="24.36" thickBot="1" customHeight="1">
      <c r="A13827" s="24" t="s">
        <v>43714</v>
      </c>
      <c r="B13827" s="24" t="s">
        <v>43715</v>
      </c>
      <c r="C13827" s="24" t="s">
        <v>43716</v>
      </c>
      <c r="D13827" s="25" t="s">
        <v>43717</v>
      </c>
      <c r="E13827" s="28">
        <v>1.00000</v>
      </c>
      <c r="F13827" s="29">
        <f ca="1">ROUND(21.000,3)</f>
        <v>0</v>
      </c>
      <c r="G13827" s="27">
        <f ca="1">ROUND(E13827*F13827,2)</f>
        <v>0</v>
      </c>
    </row>
    <row r="13828" spans="1:7" ht="24.36" thickBot="1" customHeight="1">
      <c r="A13828" s="24" t="s">
        <v>43718</v>
      </c>
      <c r="B13828" s="24" t="s">
        <v>43719</v>
      </c>
      <c r="C13828" s="24" t="s">
        <v>43720</v>
      </c>
      <c r="D13828" s="25" t="s">
        <v>43721</v>
      </c>
      <c r="E13828" s="28">
        <v>1.00000</v>
      </c>
      <c r="F13828" s="29">
        <f ca="1">ROUND(19.000,3)</f>
        <v>0</v>
      </c>
      <c r="G13828" s="27">
        <f ca="1">ROUND(E13828*F13828,2)</f>
        <v>0</v>
      </c>
    </row>
    <row r="13829" spans="1:7" ht="24.36" thickBot="1" customHeight="1">
      <c r="A13829" s="24" t="s">
        <v>43722</v>
      </c>
      <c r="B13829" s="24" t="s">
        <v>43723</v>
      </c>
      <c r="C13829" s="24" t="s">
        <v>43724</v>
      </c>
      <c r="D13829" s="25" t="s">
        <v>43725</v>
      </c>
      <c r="E13829" s="28">
        <v>0.20000</v>
      </c>
      <c r="F13829" s="29">
        <f ca="1">ROUND(19.000,3)</f>
        <v>0</v>
      </c>
      <c r="G13829" s="27">
        <f ca="1">ROUND(E13829*F13829,2)</f>
        <v>0</v>
      </c>
    </row>
    <row r="13830" spans="1:7" ht="15.12" thickBot="1" customHeight="1">
      <c r="A13830" s="26"/>
      <c r="B13830" s="26"/>
      <c r="C13830" s="26"/>
      <c r="D13830" s="24" t="s">
        <v>43726</v>
      </c>
      <c r="E13830" s="28">
        <v>0.72730</v>
      </c>
      <c r="F13830" s="29">
        <f ca="1">ROUND((G13827+G13828+G13829),3)</f>
        <v>0</v>
      </c>
      <c r="G13830" s="27">
        <f ca="1">ROUND(E13830*F13830,2)</f>
        <v>0</v>
      </c>
    </row>
    <row r="13831" spans="1:7" ht="15.12" thickBot="1" customHeight="1">
      <c r="A13831" s="24" t="s">
        <v>43727</v>
      </c>
      <c r="B13831" s="24"/>
      <c r="C13831" s="24" t="s">
        <v>43728</v>
      </c>
      <c r="D13831" s="25" t="s">
        <v>43729</v>
      </c>
      <c r="E13831" s="28">
        <v>5.00000</v>
      </c>
      <c r="F13831" s="29">
        <f ca="1">ROUND(31.860,3)</f>
        <v>0</v>
      </c>
      <c r="G13831" s="27">
        <f ca="1">ROUND((E13831*F13831)/100,2)</f>
        <v>0</v>
      </c>
    </row>
    <row r="13832" spans="1:7" ht="15.48" thickBot="1" customHeight="1">
      <c r="A13832" s="30"/>
      <c r="B13832" s="30"/>
      <c r="C13832" s="30"/>
      <c r="D13832" s="31" t="s">
        <v>43730</v>
      </c>
      <c r="E13832" s="30"/>
      <c r="F13832" s="33">
        <f ca="1">ROUND((G13824+G13825+G13826+G13831)*(1+G2/100),2)</f>
        <v>0</v>
      </c>
      <c r="G13832" s="30"/>
    </row>
    <row r="13833" spans="1:7" ht="67.56" thickBot="1" customHeight="1">
      <c r="A13833" s="34" t="s">
        <v>43731</v>
      </c>
      <c r="B13833" s="35" t="s">
        <v>43732</v>
      </c>
      <c r="C13833" s="35" t="s">
        <v>43733</v>
      </c>
      <c r="D13833" s="36" t="s">
        <v>43734</v>
      </c>
      <c r="E13833" s="37"/>
      <c r="F13833" s="38">
        <f ca="1">F13843</f>
        <v>0</v>
      </c>
      <c r="G13833" s="37"/>
    </row>
    <row r="13834" spans="1:7" ht="30.60" thickBot="1" customHeight="1">
      <c r="A13834" s="26"/>
      <c r="B13834" s="26"/>
      <c r="C13834" s="26"/>
      <c r="D13834" s="25" t="s">
        <v>43735</v>
      </c>
      <c r="E13834" s="25"/>
      <c r="F13834" s="25"/>
      <c r="G13834" s="25"/>
    </row>
    <row r="13835" spans="1:7" ht="30.60" thickBot="1" customHeight="1">
      <c r="A13835" s="24" t="s">
        <v>43736</v>
      </c>
      <c r="B13835" s="24" t="s">
        <v>43737</v>
      </c>
      <c r="C13835" s="24" t="s">
        <v>43738</v>
      </c>
      <c r="D13835" s="25" t="s">
        <v>43739</v>
      </c>
      <c r="E13835" s="28">
        <v>0.70400</v>
      </c>
      <c r="F13835" s="29">
        <f ca="1">ROUND(5.250,3)</f>
        <v>0</v>
      </c>
      <c r="G13835" s="27">
        <f ca="1">ROUND(E13835*F13835,2)</f>
        <v>0</v>
      </c>
    </row>
    <row r="13836" spans="1:7" ht="21.36" thickBot="1" customHeight="1">
      <c r="A13836" s="24" t="s">
        <v>43740</v>
      </c>
      <c r="B13836" s="24" t="s">
        <v>43741</v>
      </c>
      <c r="C13836" s="24" t="s">
        <v>43742</v>
      </c>
      <c r="D13836" s="25" t="s">
        <v>43743</v>
      </c>
      <c r="E13836" s="28">
        <v>0.02444</v>
      </c>
      <c r="F13836" s="29">
        <f ca="1">ROUND(1.320,3)</f>
        <v>0</v>
      </c>
      <c r="G13836" s="27">
        <f ca="1">ROUND(E13836*F13836,2)</f>
        <v>0</v>
      </c>
    </row>
    <row r="13837" spans="1:7" ht="21.36" thickBot="1" customHeight="1">
      <c r="A13837" s="24" t="s">
        <v>43744</v>
      </c>
      <c r="B13837" s="24" t="s">
        <v>43745</v>
      </c>
      <c r="C13837" s="24" t="s">
        <v>43746</v>
      </c>
      <c r="D13837" s="25" t="s">
        <v>43747</v>
      </c>
      <c r="E13837" s="28">
        <v>0.47060</v>
      </c>
      <c r="F13837" s="29">
        <f ca="1">F13841</f>
        <v>0</v>
      </c>
      <c r="G13837" s="27">
        <f ca="1">ROUND(E13837*F13837,2)</f>
        <v>0</v>
      </c>
    </row>
    <row r="13838" spans="1:7" ht="24.36" thickBot="1" customHeight="1">
      <c r="A13838" s="24" t="s">
        <v>43748</v>
      </c>
      <c r="B13838" s="24" t="s">
        <v>43749</v>
      </c>
      <c r="C13838" s="24" t="s">
        <v>43750</v>
      </c>
      <c r="D13838" s="25" t="s">
        <v>43751</v>
      </c>
      <c r="E13838" s="28">
        <v>1.00000</v>
      </c>
      <c r="F13838" s="29">
        <f ca="1">ROUND(21.000,3)</f>
        <v>0</v>
      </c>
      <c r="G13838" s="27">
        <f ca="1">ROUND(E13838*F13838,2)</f>
        <v>0</v>
      </c>
    </row>
    <row r="13839" spans="1:7" ht="24.36" thickBot="1" customHeight="1">
      <c r="A13839" s="24" t="s">
        <v>43752</v>
      </c>
      <c r="B13839" s="24" t="s">
        <v>43753</v>
      </c>
      <c r="C13839" s="24" t="s">
        <v>43754</v>
      </c>
      <c r="D13839" s="25" t="s">
        <v>43755</v>
      </c>
      <c r="E13839" s="28">
        <v>1.00000</v>
      </c>
      <c r="F13839" s="29">
        <f ca="1">ROUND(19.000,3)</f>
        <v>0</v>
      </c>
      <c r="G13839" s="27">
        <f ca="1">ROUND(E13839*F13839,2)</f>
        <v>0</v>
      </c>
    </row>
    <row r="13840" spans="1:7" ht="24.36" thickBot="1" customHeight="1">
      <c r="A13840" s="24" t="s">
        <v>43756</v>
      </c>
      <c r="B13840" s="24" t="s">
        <v>43757</v>
      </c>
      <c r="C13840" s="24" t="s">
        <v>43758</v>
      </c>
      <c r="D13840" s="25" t="s">
        <v>43759</v>
      </c>
      <c r="E13840" s="28">
        <v>0.20000</v>
      </c>
      <c r="F13840" s="29">
        <f ca="1">ROUND(19.000,3)</f>
        <v>0</v>
      </c>
      <c r="G13840" s="27">
        <f ca="1">ROUND(E13840*F13840,2)</f>
        <v>0</v>
      </c>
    </row>
    <row r="13841" spans="1:7" ht="15.12" thickBot="1" customHeight="1">
      <c r="A13841" s="26"/>
      <c r="B13841" s="26"/>
      <c r="C13841" s="26"/>
      <c r="D13841" s="24" t="s">
        <v>43760</v>
      </c>
      <c r="E13841" s="28">
        <v>0.47060</v>
      </c>
      <c r="F13841" s="29">
        <f ca="1">ROUND((G13838+G13839+G13840),3)</f>
        <v>0</v>
      </c>
      <c r="G13841" s="27">
        <f ca="1">ROUND(E13841*F13841,2)</f>
        <v>0</v>
      </c>
    </row>
    <row r="13842" spans="1:7" ht="15.12" thickBot="1" customHeight="1">
      <c r="A13842" s="24" t="s">
        <v>43761</v>
      </c>
      <c r="B13842" s="24"/>
      <c r="C13842" s="24" t="s">
        <v>43762</v>
      </c>
      <c r="D13842" s="25" t="s">
        <v>43763</v>
      </c>
      <c r="E13842" s="28">
        <v>5.00000</v>
      </c>
      <c r="F13842" s="29">
        <f ca="1">ROUND(20.610,3)</f>
        <v>0</v>
      </c>
      <c r="G13842" s="27">
        <f ca="1">ROUND((E13842*F13842)/100,2)</f>
        <v>0</v>
      </c>
    </row>
    <row r="13843" spans="1:7" ht="15.48" thickBot="1" customHeight="1">
      <c r="A13843" s="30"/>
      <c r="B13843" s="30"/>
      <c r="C13843" s="30"/>
      <c r="D13843" s="31" t="s">
        <v>43764</v>
      </c>
      <c r="E13843" s="30"/>
      <c r="F13843" s="33">
        <f ca="1">ROUND((G13835+G13836+G13837+G13842)*(1+G2/100),2)</f>
        <v>0</v>
      </c>
      <c r="G13843" s="30"/>
    </row>
    <row r="13844" spans="1:7" ht="67.56" thickBot="1" customHeight="1">
      <c r="A13844" s="34" t="s">
        <v>43765</v>
      </c>
      <c r="B13844" s="35" t="s">
        <v>43766</v>
      </c>
      <c r="C13844" s="35" t="s">
        <v>43767</v>
      </c>
      <c r="D13844" s="36" t="s">
        <v>43768</v>
      </c>
      <c r="E13844" s="37"/>
      <c r="F13844" s="38">
        <f ca="1">F13854</f>
        <v>0</v>
      </c>
      <c r="G13844" s="37"/>
    </row>
    <row r="13845" spans="1:7" ht="30.60" thickBot="1" customHeight="1">
      <c r="A13845" s="26"/>
      <c r="B13845" s="26"/>
      <c r="C13845" s="26"/>
      <c r="D13845" s="25" t="s">
        <v>43769</v>
      </c>
      <c r="E13845" s="25"/>
      <c r="F13845" s="25"/>
      <c r="G13845" s="25"/>
    </row>
    <row r="13846" spans="1:7" ht="30.60" thickBot="1" customHeight="1">
      <c r="A13846" s="24" t="s">
        <v>43770</v>
      </c>
      <c r="B13846" s="24" t="s">
        <v>43771</v>
      </c>
      <c r="C13846" s="24" t="s">
        <v>43772</v>
      </c>
      <c r="D13846" s="25" t="s">
        <v>43773</v>
      </c>
      <c r="E13846" s="28">
        <v>0.70400</v>
      </c>
      <c r="F13846" s="29">
        <f ca="1">ROUND(5.250,3)</f>
        <v>0</v>
      </c>
      <c r="G13846" s="27">
        <f ca="1">ROUND(E13846*F13846,2)</f>
        <v>0</v>
      </c>
    </row>
    <row r="13847" spans="1:7" ht="21.36" thickBot="1" customHeight="1">
      <c r="A13847" s="24" t="s">
        <v>43774</v>
      </c>
      <c r="B13847" s="24" t="s">
        <v>43775</v>
      </c>
      <c r="C13847" s="24" t="s">
        <v>43776</v>
      </c>
      <c r="D13847" s="25" t="s">
        <v>43777</v>
      </c>
      <c r="E13847" s="28">
        <v>0.02444</v>
      </c>
      <c r="F13847" s="29">
        <f ca="1">ROUND(1.320,3)</f>
        <v>0</v>
      </c>
      <c r="G13847" s="27">
        <f ca="1">ROUND(E13847*F13847,2)</f>
        <v>0</v>
      </c>
    </row>
    <row r="13848" spans="1:7" ht="21.36" thickBot="1" customHeight="1">
      <c r="A13848" s="24" t="s">
        <v>43778</v>
      </c>
      <c r="B13848" s="24" t="s">
        <v>43779</v>
      </c>
      <c r="C13848" s="24" t="s">
        <v>43780</v>
      </c>
      <c r="D13848" s="25" t="s">
        <v>43781</v>
      </c>
      <c r="E13848" s="28">
        <v>0.57140</v>
      </c>
      <c r="F13848" s="29">
        <f ca="1">F13852</f>
        <v>0</v>
      </c>
      <c r="G13848" s="27">
        <f ca="1">ROUND(E13848*F13848,2)</f>
        <v>0</v>
      </c>
    </row>
    <row r="13849" spans="1:7" ht="24.36" thickBot="1" customHeight="1">
      <c r="A13849" s="24" t="s">
        <v>43782</v>
      </c>
      <c r="B13849" s="24" t="s">
        <v>43783</v>
      </c>
      <c r="C13849" s="24" t="s">
        <v>43784</v>
      </c>
      <c r="D13849" s="25" t="s">
        <v>43785</v>
      </c>
      <c r="E13849" s="28">
        <v>1.00000</v>
      </c>
      <c r="F13849" s="29">
        <f ca="1">ROUND(21.000,3)</f>
        <v>0</v>
      </c>
      <c r="G13849" s="27">
        <f ca="1">ROUND(E13849*F13849,2)</f>
        <v>0</v>
      </c>
    </row>
    <row r="13850" spans="1:7" ht="24.36" thickBot="1" customHeight="1">
      <c r="A13850" s="24" t="s">
        <v>43786</v>
      </c>
      <c r="B13850" s="24" t="s">
        <v>43787</v>
      </c>
      <c r="C13850" s="24" t="s">
        <v>43788</v>
      </c>
      <c r="D13850" s="25" t="s">
        <v>43789</v>
      </c>
      <c r="E13850" s="28">
        <v>1.00000</v>
      </c>
      <c r="F13850" s="29">
        <f ca="1">ROUND(19.000,3)</f>
        <v>0</v>
      </c>
      <c r="G13850" s="27">
        <f ca="1">ROUND(E13850*F13850,2)</f>
        <v>0</v>
      </c>
    </row>
    <row r="13851" spans="1:7" ht="24.36" thickBot="1" customHeight="1">
      <c r="A13851" s="24" t="s">
        <v>43790</v>
      </c>
      <c r="B13851" s="24" t="s">
        <v>43791</v>
      </c>
      <c r="C13851" s="24" t="s">
        <v>43792</v>
      </c>
      <c r="D13851" s="25" t="s">
        <v>43793</v>
      </c>
      <c r="E13851" s="28">
        <v>0.20000</v>
      </c>
      <c r="F13851" s="29">
        <f ca="1">ROUND(19.000,3)</f>
        <v>0</v>
      </c>
      <c r="G13851" s="27">
        <f ca="1">ROUND(E13851*F13851,2)</f>
        <v>0</v>
      </c>
    </row>
    <row r="13852" spans="1:7" ht="15.12" thickBot="1" customHeight="1">
      <c r="A13852" s="26"/>
      <c r="B13852" s="26"/>
      <c r="C13852" s="26"/>
      <c r="D13852" s="24" t="s">
        <v>43794</v>
      </c>
      <c r="E13852" s="28">
        <v>0.57140</v>
      </c>
      <c r="F13852" s="29">
        <f ca="1">ROUND((G13849+G13850+G13851),3)</f>
        <v>0</v>
      </c>
      <c r="G13852" s="27">
        <f ca="1">ROUND(E13852*F13852,2)</f>
        <v>0</v>
      </c>
    </row>
    <row r="13853" spans="1:7" ht="15.12" thickBot="1" customHeight="1">
      <c r="A13853" s="24" t="s">
        <v>43795</v>
      </c>
      <c r="B13853" s="24"/>
      <c r="C13853" s="24" t="s">
        <v>43796</v>
      </c>
      <c r="D13853" s="25" t="s">
        <v>43797</v>
      </c>
      <c r="E13853" s="28">
        <v>5.00000</v>
      </c>
      <c r="F13853" s="29">
        <f ca="1">ROUND(25.030,3)</f>
        <v>0</v>
      </c>
      <c r="G13853" s="27">
        <f ca="1">ROUND((E13853*F13853)/100,2)</f>
        <v>0</v>
      </c>
    </row>
    <row r="13854" spans="1:7" ht="15.48" thickBot="1" customHeight="1">
      <c r="A13854" s="30"/>
      <c r="B13854" s="30"/>
      <c r="C13854" s="30"/>
      <c r="D13854" s="31" t="s">
        <v>43798</v>
      </c>
      <c r="E13854" s="30"/>
      <c r="F13854" s="33">
        <f ca="1">ROUND((G13846+G13847+G13848+G13853)*(1+G2/100),2)</f>
        <v>0</v>
      </c>
      <c r="G13854" s="30"/>
    </row>
    <row r="13855" spans="1:7" ht="67.56" thickBot="1" customHeight="1">
      <c r="A13855" s="34" t="s">
        <v>43799</v>
      </c>
      <c r="B13855" s="35" t="s">
        <v>43800</v>
      </c>
      <c r="C13855" s="35" t="s">
        <v>43801</v>
      </c>
      <c r="D13855" s="36" t="s">
        <v>43802</v>
      </c>
      <c r="E13855" s="37"/>
      <c r="F13855" s="38">
        <f ca="1">F13866</f>
        <v>0</v>
      </c>
      <c r="G13855" s="37"/>
    </row>
    <row r="13856" spans="1:7" ht="30.60" thickBot="1" customHeight="1">
      <c r="A13856" s="26"/>
      <c r="B13856" s="26"/>
      <c r="C13856" s="26"/>
      <c r="D13856" s="25" t="s">
        <v>43803</v>
      </c>
      <c r="E13856" s="25"/>
      <c r="F13856" s="25"/>
      <c r="G13856" s="25"/>
    </row>
    <row r="13857" spans="1:7" ht="30.60" thickBot="1" customHeight="1">
      <c r="A13857" s="24" t="s">
        <v>43804</v>
      </c>
      <c r="B13857" s="24" t="s">
        <v>43805</v>
      </c>
      <c r="C13857" s="24" t="s">
        <v>43806</v>
      </c>
      <c r="D13857" s="25" t="s">
        <v>43807</v>
      </c>
      <c r="E13857" s="28">
        <v>0.70400</v>
      </c>
      <c r="F13857" s="29">
        <f ca="1">ROUND(5.250,3)</f>
        <v>0</v>
      </c>
      <c r="G13857" s="27">
        <f ca="1">ROUND(E13857*F13857,2)</f>
        <v>0</v>
      </c>
    </row>
    <row r="13858" spans="1:7" ht="21.36" thickBot="1" customHeight="1">
      <c r="A13858" s="24" t="s">
        <v>43808</v>
      </c>
      <c r="B13858" s="24" t="s">
        <v>43809</v>
      </c>
      <c r="C13858" s="24" t="s">
        <v>43810</v>
      </c>
      <c r="D13858" s="25" t="s">
        <v>43811</v>
      </c>
      <c r="E13858" s="28">
        <v>0.02444</v>
      </c>
      <c r="F13858" s="29">
        <f ca="1">ROUND(1.320,3)</f>
        <v>0</v>
      </c>
      <c r="G13858" s="27">
        <f ca="1">ROUND(E13858*F13858,2)</f>
        <v>0</v>
      </c>
    </row>
    <row r="13859" spans="1:7" ht="21.36" thickBot="1" customHeight="1">
      <c r="A13859" s="24" t="s">
        <v>43812</v>
      </c>
      <c r="B13859" s="24" t="s">
        <v>43813</v>
      </c>
      <c r="C13859" s="24" t="s">
        <v>43814</v>
      </c>
      <c r="D13859" s="25" t="s">
        <v>43815</v>
      </c>
      <c r="E13859" s="28">
        <v>0.20000</v>
      </c>
      <c r="F13859" s="29">
        <f ca="1">ROUND(11.500,3)</f>
        <v>0</v>
      </c>
      <c r="G13859" s="27">
        <f ca="1">ROUND(E13859*F13859,2)</f>
        <v>0</v>
      </c>
    </row>
    <row r="13860" spans="1:7" ht="21.36" thickBot="1" customHeight="1">
      <c r="A13860" s="24" t="s">
        <v>43816</v>
      </c>
      <c r="B13860" s="24" t="s">
        <v>43817</v>
      </c>
      <c r="C13860" s="24" t="s">
        <v>43818</v>
      </c>
      <c r="D13860" s="25" t="s">
        <v>43819</v>
      </c>
      <c r="E13860" s="28">
        <v>0.44444</v>
      </c>
      <c r="F13860" s="29">
        <f ca="1">F13864</f>
        <v>0</v>
      </c>
      <c r="G13860" s="27">
        <f ca="1">ROUND(E13860*F13860,2)</f>
        <v>0</v>
      </c>
    </row>
    <row r="13861" spans="1:7" ht="24.36" thickBot="1" customHeight="1">
      <c r="A13861" s="24" t="s">
        <v>43820</v>
      </c>
      <c r="B13861" s="24" t="s">
        <v>43821</v>
      </c>
      <c r="C13861" s="24" t="s">
        <v>43822</v>
      </c>
      <c r="D13861" s="25" t="s">
        <v>43823</v>
      </c>
      <c r="E13861" s="28">
        <v>1.00000</v>
      </c>
      <c r="F13861" s="29">
        <f ca="1">ROUND(21.000,3)</f>
        <v>0</v>
      </c>
      <c r="G13861" s="27">
        <f ca="1">ROUND(E13861*F13861,2)</f>
        <v>0</v>
      </c>
    </row>
    <row r="13862" spans="1:7" ht="24.36" thickBot="1" customHeight="1">
      <c r="A13862" s="24" t="s">
        <v>43824</v>
      </c>
      <c r="B13862" s="24" t="s">
        <v>43825</v>
      </c>
      <c r="C13862" s="24" t="s">
        <v>43826</v>
      </c>
      <c r="D13862" s="25" t="s">
        <v>43827</v>
      </c>
      <c r="E13862" s="28">
        <v>1.00000</v>
      </c>
      <c r="F13862" s="29">
        <f ca="1">ROUND(19.000,3)</f>
        <v>0</v>
      </c>
      <c r="G13862" s="27">
        <f ca="1">ROUND(E13862*F13862,2)</f>
        <v>0</v>
      </c>
    </row>
    <row r="13863" spans="1:7" ht="24.36" thickBot="1" customHeight="1">
      <c r="A13863" s="24" t="s">
        <v>43828</v>
      </c>
      <c r="B13863" s="24" t="s">
        <v>43829</v>
      </c>
      <c r="C13863" s="24" t="s">
        <v>43830</v>
      </c>
      <c r="D13863" s="25" t="s">
        <v>43831</v>
      </c>
      <c r="E13863" s="28">
        <v>0.20000</v>
      </c>
      <c r="F13863" s="29">
        <f ca="1">ROUND(19.000,3)</f>
        <v>0</v>
      </c>
      <c r="G13863" s="27">
        <f ca="1">ROUND(E13863*F13863,2)</f>
        <v>0</v>
      </c>
    </row>
    <row r="13864" spans="1:7" ht="15.12" thickBot="1" customHeight="1">
      <c r="A13864" s="26"/>
      <c r="B13864" s="26"/>
      <c r="C13864" s="26"/>
      <c r="D13864" s="24" t="s">
        <v>43832</v>
      </c>
      <c r="E13864" s="28">
        <v>0.44444</v>
      </c>
      <c r="F13864" s="29">
        <f ca="1">ROUND((G13861+G13862+G13863),3)</f>
        <v>0</v>
      </c>
      <c r="G13864" s="27">
        <f ca="1">ROUND(E13864*F13864,2)</f>
        <v>0</v>
      </c>
    </row>
    <row r="13865" spans="1:7" ht="15.12" thickBot="1" customHeight="1">
      <c r="A13865" s="24" t="s">
        <v>43833</v>
      </c>
      <c r="B13865" s="24"/>
      <c r="C13865" s="24" t="s">
        <v>43834</v>
      </c>
      <c r="D13865" s="25" t="s">
        <v>43835</v>
      </c>
      <c r="E13865" s="28">
        <v>3.00000</v>
      </c>
      <c r="F13865" s="29">
        <f ca="1">ROUND(19.470,3)</f>
        <v>0</v>
      </c>
      <c r="G13865" s="27">
        <f ca="1">ROUND((E13865*F13865)/100,2)</f>
        <v>0</v>
      </c>
    </row>
    <row r="13866" spans="1:7" ht="15.48" thickBot="1" customHeight="1">
      <c r="A13866" s="30"/>
      <c r="B13866" s="30"/>
      <c r="C13866" s="30"/>
      <c r="D13866" s="31" t="s">
        <v>43836</v>
      </c>
      <c r="E13866" s="30"/>
      <c r="F13866" s="33">
        <f ca="1">ROUND((G13857+G13858+G13859+G13860+G13865)*(1+G2/100),2)</f>
        <v>0</v>
      </c>
      <c r="G13866" s="30"/>
    </row>
    <row r="13867" spans="1:7" ht="67.56" thickBot="1" customHeight="1">
      <c r="A13867" s="34" t="s">
        <v>43837</v>
      </c>
      <c r="B13867" s="35" t="s">
        <v>43838</v>
      </c>
      <c r="C13867" s="35" t="s">
        <v>43839</v>
      </c>
      <c r="D13867" s="36" t="s">
        <v>43840</v>
      </c>
      <c r="E13867" s="37"/>
      <c r="F13867" s="38">
        <f ca="1">F13878</f>
        <v>0</v>
      </c>
      <c r="G13867" s="37"/>
    </row>
    <row r="13868" spans="1:7" ht="30.60" thickBot="1" customHeight="1">
      <c r="A13868" s="26"/>
      <c r="B13868" s="26"/>
      <c r="C13868" s="26"/>
      <c r="D13868" s="25" t="s">
        <v>43841</v>
      </c>
      <c r="E13868" s="25"/>
      <c r="F13868" s="25"/>
      <c r="G13868" s="25"/>
    </row>
    <row r="13869" spans="1:7" ht="30.60" thickBot="1" customHeight="1">
      <c r="A13869" s="24" t="s">
        <v>43842</v>
      </c>
      <c r="B13869" s="24" t="s">
        <v>43843</v>
      </c>
      <c r="C13869" s="24" t="s">
        <v>43844</v>
      </c>
      <c r="D13869" s="25" t="s">
        <v>43845</v>
      </c>
      <c r="E13869" s="28">
        <v>0.70400</v>
      </c>
      <c r="F13869" s="29">
        <f ca="1">ROUND(5.250,3)</f>
        <v>0</v>
      </c>
      <c r="G13869" s="27">
        <f ca="1">ROUND(E13869*F13869,2)</f>
        <v>0</v>
      </c>
    </row>
    <row r="13870" spans="1:7" ht="21.36" thickBot="1" customHeight="1">
      <c r="A13870" s="24" t="s">
        <v>43846</v>
      </c>
      <c r="B13870" s="24" t="s">
        <v>43847</v>
      </c>
      <c r="C13870" s="24" t="s">
        <v>43848</v>
      </c>
      <c r="D13870" s="25" t="s">
        <v>43849</v>
      </c>
      <c r="E13870" s="28">
        <v>0.02444</v>
      </c>
      <c r="F13870" s="29">
        <f ca="1">ROUND(1.320,3)</f>
        <v>0</v>
      </c>
      <c r="G13870" s="27">
        <f ca="1">ROUND(E13870*F13870,2)</f>
        <v>0</v>
      </c>
    </row>
    <row r="13871" spans="1:7" ht="21.36" thickBot="1" customHeight="1">
      <c r="A13871" s="24" t="s">
        <v>43850</v>
      </c>
      <c r="B13871" s="24" t="s">
        <v>43851</v>
      </c>
      <c r="C13871" s="24" t="s">
        <v>43852</v>
      </c>
      <c r="D13871" s="25" t="s">
        <v>43853</v>
      </c>
      <c r="E13871" s="28">
        <v>0.20000</v>
      </c>
      <c r="F13871" s="29">
        <f ca="1">ROUND(11.500,3)</f>
        <v>0</v>
      </c>
      <c r="G13871" s="27">
        <f ca="1">ROUND(E13871*F13871,2)</f>
        <v>0</v>
      </c>
    </row>
    <row r="13872" spans="1:7" ht="21.36" thickBot="1" customHeight="1">
      <c r="A13872" s="24" t="s">
        <v>43854</v>
      </c>
      <c r="B13872" s="24" t="s">
        <v>43855</v>
      </c>
      <c r="C13872" s="24" t="s">
        <v>43856</v>
      </c>
      <c r="D13872" s="25" t="s">
        <v>43857</v>
      </c>
      <c r="E13872" s="28">
        <v>0.53333</v>
      </c>
      <c r="F13872" s="29">
        <f ca="1">F13876</f>
        <v>0</v>
      </c>
      <c r="G13872" s="27">
        <f ca="1">ROUND(E13872*F13872,2)</f>
        <v>0</v>
      </c>
    </row>
    <row r="13873" spans="1:7" ht="24.36" thickBot="1" customHeight="1">
      <c r="A13873" s="24" t="s">
        <v>43858</v>
      </c>
      <c r="B13873" s="24" t="s">
        <v>43859</v>
      </c>
      <c r="C13873" s="24" t="s">
        <v>43860</v>
      </c>
      <c r="D13873" s="25" t="s">
        <v>43861</v>
      </c>
      <c r="E13873" s="28">
        <v>1.00000</v>
      </c>
      <c r="F13873" s="29">
        <f ca="1">ROUND(21.000,3)</f>
        <v>0</v>
      </c>
      <c r="G13873" s="27">
        <f ca="1">ROUND(E13873*F13873,2)</f>
        <v>0</v>
      </c>
    </row>
    <row r="13874" spans="1:7" ht="24.36" thickBot="1" customHeight="1">
      <c r="A13874" s="24" t="s">
        <v>43862</v>
      </c>
      <c r="B13874" s="24" t="s">
        <v>43863</v>
      </c>
      <c r="C13874" s="24" t="s">
        <v>43864</v>
      </c>
      <c r="D13874" s="25" t="s">
        <v>43865</v>
      </c>
      <c r="E13874" s="28">
        <v>1.00000</v>
      </c>
      <c r="F13874" s="29">
        <f ca="1">ROUND(19.000,3)</f>
        <v>0</v>
      </c>
      <c r="G13874" s="27">
        <f ca="1">ROUND(E13874*F13874,2)</f>
        <v>0</v>
      </c>
    </row>
    <row r="13875" spans="1:7" ht="24.36" thickBot="1" customHeight="1">
      <c r="A13875" s="24" t="s">
        <v>43866</v>
      </c>
      <c r="B13875" s="24" t="s">
        <v>43867</v>
      </c>
      <c r="C13875" s="24" t="s">
        <v>43868</v>
      </c>
      <c r="D13875" s="25" t="s">
        <v>43869</v>
      </c>
      <c r="E13875" s="28">
        <v>0.20000</v>
      </c>
      <c r="F13875" s="29">
        <f ca="1">ROUND(19.000,3)</f>
        <v>0</v>
      </c>
      <c r="G13875" s="27">
        <f ca="1">ROUND(E13875*F13875,2)</f>
        <v>0</v>
      </c>
    </row>
    <row r="13876" spans="1:7" ht="15.12" thickBot="1" customHeight="1">
      <c r="A13876" s="26"/>
      <c r="B13876" s="26"/>
      <c r="C13876" s="26"/>
      <c r="D13876" s="24" t="s">
        <v>43870</v>
      </c>
      <c r="E13876" s="28">
        <v>0.53333</v>
      </c>
      <c r="F13876" s="29">
        <f ca="1">ROUND((G13873+G13874+G13875),3)</f>
        <v>0</v>
      </c>
      <c r="G13876" s="27">
        <f ca="1">ROUND(E13876*F13876,2)</f>
        <v>0</v>
      </c>
    </row>
    <row r="13877" spans="1:7" ht="15.12" thickBot="1" customHeight="1">
      <c r="A13877" s="24" t="s">
        <v>43871</v>
      </c>
      <c r="B13877" s="24"/>
      <c r="C13877" s="24" t="s">
        <v>43872</v>
      </c>
      <c r="D13877" s="25" t="s">
        <v>43873</v>
      </c>
      <c r="E13877" s="28">
        <v>3.00000</v>
      </c>
      <c r="F13877" s="29">
        <f ca="1">ROUND(23.360,3)</f>
        <v>0</v>
      </c>
      <c r="G13877" s="27">
        <f ca="1">ROUND((E13877*F13877)/100,2)</f>
        <v>0</v>
      </c>
    </row>
    <row r="13878" spans="1:7" ht="15.48" thickBot="1" customHeight="1">
      <c r="A13878" s="30"/>
      <c r="B13878" s="30"/>
      <c r="C13878" s="30"/>
      <c r="D13878" s="31" t="s">
        <v>43874</v>
      </c>
      <c r="E13878" s="30"/>
      <c r="F13878" s="33">
        <f ca="1">ROUND((G13869+G13870+G13871+G13872+G13877)*(1+G2/100),2)</f>
        <v>0</v>
      </c>
      <c r="G13878" s="30"/>
    </row>
    <row r="13879" spans="1:7" ht="67.56" thickBot="1" customHeight="1">
      <c r="A13879" s="34" t="s">
        <v>43875</v>
      </c>
      <c r="B13879" s="35" t="s">
        <v>43876</v>
      </c>
      <c r="C13879" s="35" t="s">
        <v>43877</v>
      </c>
      <c r="D13879" s="36" t="s">
        <v>43878</v>
      </c>
      <c r="E13879" s="37"/>
      <c r="F13879" s="38">
        <f ca="1">F13890</f>
        <v>0</v>
      </c>
      <c r="G13879" s="37"/>
    </row>
    <row r="13880" spans="1:7" ht="30.60" thickBot="1" customHeight="1">
      <c r="A13880" s="26"/>
      <c r="B13880" s="26"/>
      <c r="C13880" s="26"/>
      <c r="D13880" s="25" t="s">
        <v>43879</v>
      </c>
      <c r="E13880" s="25"/>
      <c r="F13880" s="25"/>
      <c r="G13880" s="25"/>
    </row>
    <row r="13881" spans="1:7" ht="30.60" thickBot="1" customHeight="1">
      <c r="A13881" s="24" t="s">
        <v>43880</v>
      </c>
      <c r="B13881" s="24" t="s">
        <v>43881</v>
      </c>
      <c r="C13881" s="24" t="s">
        <v>43882</v>
      </c>
      <c r="D13881" s="25" t="s">
        <v>43883</v>
      </c>
      <c r="E13881" s="28">
        <v>0.70400</v>
      </c>
      <c r="F13881" s="29">
        <f ca="1">ROUND(5.250,3)</f>
        <v>0</v>
      </c>
      <c r="G13881" s="27">
        <f ca="1">ROUND(E13881*F13881,2)</f>
        <v>0</v>
      </c>
    </row>
    <row r="13882" spans="1:7" ht="21.36" thickBot="1" customHeight="1">
      <c r="A13882" s="24" t="s">
        <v>43884</v>
      </c>
      <c r="B13882" s="24" t="s">
        <v>43885</v>
      </c>
      <c r="C13882" s="24" t="s">
        <v>43886</v>
      </c>
      <c r="D13882" s="25" t="s">
        <v>43887</v>
      </c>
      <c r="E13882" s="28">
        <v>0.02444</v>
      </c>
      <c r="F13882" s="29">
        <f ca="1">ROUND(1.320,3)</f>
        <v>0</v>
      </c>
      <c r="G13882" s="27">
        <f ca="1">ROUND(E13882*F13882,2)</f>
        <v>0</v>
      </c>
    </row>
    <row r="13883" spans="1:7" ht="21.36" thickBot="1" customHeight="1">
      <c r="A13883" s="24" t="s">
        <v>43888</v>
      </c>
      <c r="B13883" s="24" t="s">
        <v>43889</v>
      </c>
      <c r="C13883" s="24" t="s">
        <v>43890</v>
      </c>
      <c r="D13883" s="25" t="s">
        <v>43891</v>
      </c>
      <c r="E13883" s="28">
        <v>0.20000</v>
      </c>
      <c r="F13883" s="29">
        <f ca="1">ROUND(11.500,3)</f>
        <v>0</v>
      </c>
      <c r="G13883" s="27">
        <f ca="1">ROUND(E13883*F13883,2)</f>
        <v>0</v>
      </c>
    </row>
    <row r="13884" spans="1:7" ht="21.36" thickBot="1" customHeight="1">
      <c r="A13884" s="24" t="s">
        <v>43892</v>
      </c>
      <c r="B13884" s="24" t="s">
        <v>43893</v>
      </c>
      <c r="C13884" s="24" t="s">
        <v>43894</v>
      </c>
      <c r="D13884" s="25" t="s">
        <v>43895</v>
      </c>
      <c r="E13884" s="28">
        <v>0.32000</v>
      </c>
      <c r="F13884" s="29">
        <f ca="1">F13888</f>
        <v>0</v>
      </c>
      <c r="G13884" s="27">
        <f ca="1">ROUND(E13884*F13884,2)</f>
        <v>0</v>
      </c>
    </row>
    <row r="13885" spans="1:7" ht="24.36" thickBot="1" customHeight="1">
      <c r="A13885" s="24" t="s">
        <v>43896</v>
      </c>
      <c r="B13885" s="24" t="s">
        <v>43897</v>
      </c>
      <c r="C13885" s="24" t="s">
        <v>43898</v>
      </c>
      <c r="D13885" s="25" t="s">
        <v>43899</v>
      </c>
      <c r="E13885" s="28">
        <v>1.00000</v>
      </c>
      <c r="F13885" s="29">
        <f ca="1">ROUND(21.000,3)</f>
        <v>0</v>
      </c>
      <c r="G13885" s="27">
        <f ca="1">ROUND(E13885*F13885,2)</f>
        <v>0</v>
      </c>
    </row>
    <row r="13886" spans="1:7" ht="24.36" thickBot="1" customHeight="1">
      <c r="A13886" s="24" t="s">
        <v>43900</v>
      </c>
      <c r="B13886" s="24" t="s">
        <v>43901</v>
      </c>
      <c r="C13886" s="24" t="s">
        <v>43902</v>
      </c>
      <c r="D13886" s="25" t="s">
        <v>43903</v>
      </c>
      <c r="E13886" s="28">
        <v>1.00000</v>
      </c>
      <c r="F13886" s="29">
        <f ca="1">ROUND(19.000,3)</f>
        <v>0</v>
      </c>
      <c r="G13886" s="27">
        <f ca="1">ROUND(E13886*F13886,2)</f>
        <v>0</v>
      </c>
    </row>
    <row r="13887" spans="1:7" ht="24.36" thickBot="1" customHeight="1">
      <c r="A13887" s="24" t="s">
        <v>43904</v>
      </c>
      <c r="B13887" s="24" t="s">
        <v>43905</v>
      </c>
      <c r="C13887" s="24" t="s">
        <v>43906</v>
      </c>
      <c r="D13887" s="25" t="s">
        <v>43907</v>
      </c>
      <c r="E13887" s="28">
        <v>0.20000</v>
      </c>
      <c r="F13887" s="29">
        <f ca="1">ROUND(19.000,3)</f>
        <v>0</v>
      </c>
      <c r="G13887" s="27">
        <f ca="1">ROUND(E13887*F13887,2)</f>
        <v>0</v>
      </c>
    </row>
    <row r="13888" spans="1:7" ht="15.12" thickBot="1" customHeight="1">
      <c r="A13888" s="26"/>
      <c r="B13888" s="26"/>
      <c r="C13888" s="26"/>
      <c r="D13888" s="24" t="s">
        <v>43908</v>
      </c>
      <c r="E13888" s="28">
        <v>0.32000</v>
      </c>
      <c r="F13888" s="29">
        <f ca="1">ROUND((G13885+G13886+G13887),3)</f>
        <v>0</v>
      </c>
      <c r="G13888" s="27">
        <f ca="1">ROUND(E13888*F13888,2)</f>
        <v>0</v>
      </c>
    </row>
    <row r="13889" spans="1:7" ht="15.12" thickBot="1" customHeight="1">
      <c r="A13889" s="24" t="s">
        <v>43909</v>
      </c>
      <c r="B13889" s="24"/>
      <c r="C13889" s="24" t="s">
        <v>43910</v>
      </c>
      <c r="D13889" s="25" t="s">
        <v>43911</v>
      </c>
      <c r="E13889" s="28">
        <v>3.00000</v>
      </c>
      <c r="F13889" s="29">
        <f ca="1">ROUND(14.020,3)</f>
        <v>0</v>
      </c>
      <c r="G13889" s="27">
        <f ca="1">ROUND((E13889*F13889)/100,2)</f>
        <v>0</v>
      </c>
    </row>
    <row r="13890" spans="1:7" ht="15.48" thickBot="1" customHeight="1">
      <c r="A13890" s="30"/>
      <c r="B13890" s="30"/>
      <c r="C13890" s="30"/>
      <c r="D13890" s="31" t="s">
        <v>43912</v>
      </c>
      <c r="E13890" s="30"/>
      <c r="F13890" s="33">
        <f ca="1">ROUND((G13881+G13882+G13883+G13884+G13889)*(1+G2/100),2)</f>
        <v>0</v>
      </c>
      <c r="G13890" s="30"/>
    </row>
    <row r="13891" spans="1:7" ht="86.04" thickBot="1" customHeight="1">
      <c r="A13891" s="34" t="s">
        <v>43913</v>
      </c>
      <c r="B13891" s="35" t="s">
        <v>43914</v>
      </c>
      <c r="C13891" s="35" t="s">
        <v>43915</v>
      </c>
      <c r="D13891" s="36" t="s">
        <v>43916</v>
      </c>
      <c r="E13891" s="37"/>
      <c r="F13891" s="38">
        <f ca="1">F13901</f>
        <v>0</v>
      </c>
      <c r="G13891" s="37"/>
    </row>
    <row r="13892" spans="1:7" ht="39.84" thickBot="1" customHeight="1">
      <c r="A13892" s="26"/>
      <c r="B13892" s="26"/>
      <c r="C13892" s="26"/>
      <c r="D13892" s="25" t="s">
        <v>43917</v>
      </c>
      <c r="E13892" s="25"/>
      <c r="F13892" s="25"/>
      <c r="G13892" s="25"/>
    </row>
    <row r="13893" spans="1:7" ht="30.60" thickBot="1" customHeight="1">
      <c r="A13893" s="24" t="s">
        <v>43918</v>
      </c>
      <c r="B13893" s="24" t="s">
        <v>43919</v>
      </c>
      <c r="C13893" s="24" t="s">
        <v>43920</v>
      </c>
      <c r="D13893" s="25" t="s">
        <v>43921</v>
      </c>
      <c r="E13893" s="28">
        <v>0.70400</v>
      </c>
      <c r="F13893" s="29">
        <f ca="1">ROUND(5.250,3)</f>
        <v>0</v>
      </c>
      <c r="G13893" s="27">
        <f ca="1">ROUND(E13893*F13893,2)</f>
        <v>0</v>
      </c>
    </row>
    <row r="13894" spans="1:7" ht="21.36" thickBot="1" customHeight="1">
      <c r="A13894" s="24" t="s">
        <v>43922</v>
      </c>
      <c r="B13894" s="24" t="s">
        <v>43923</v>
      </c>
      <c r="C13894" s="24" t="s">
        <v>43924</v>
      </c>
      <c r="D13894" s="25" t="s">
        <v>43925</v>
      </c>
      <c r="E13894" s="28">
        <v>0.02444</v>
      </c>
      <c r="F13894" s="29">
        <f ca="1">ROUND(1.320,3)</f>
        <v>0</v>
      </c>
      <c r="G13894" s="27">
        <f ca="1">ROUND(E13894*F13894,2)</f>
        <v>0</v>
      </c>
    </row>
    <row r="13895" spans="1:7" ht="21.36" thickBot="1" customHeight="1">
      <c r="A13895" s="24" t="s">
        <v>43926</v>
      </c>
      <c r="B13895" s="24" t="s">
        <v>43927</v>
      </c>
      <c r="C13895" s="24" t="s">
        <v>43928</v>
      </c>
      <c r="D13895" s="25" t="s">
        <v>43929</v>
      </c>
      <c r="E13895" s="28">
        <v>0.66667</v>
      </c>
      <c r="F13895" s="29">
        <f ca="1">F13899</f>
        <v>0</v>
      </c>
      <c r="G13895" s="27">
        <f ca="1">ROUND(E13895*F13895,2)</f>
        <v>0</v>
      </c>
    </row>
    <row r="13896" spans="1:7" ht="24.36" thickBot="1" customHeight="1">
      <c r="A13896" s="24" t="s">
        <v>43930</v>
      </c>
      <c r="B13896" s="24" t="s">
        <v>43931</v>
      </c>
      <c r="C13896" s="24" t="s">
        <v>43932</v>
      </c>
      <c r="D13896" s="25" t="s">
        <v>43933</v>
      </c>
      <c r="E13896" s="28">
        <v>1.00000</v>
      </c>
      <c r="F13896" s="29">
        <f ca="1">ROUND(21.000,3)</f>
        <v>0</v>
      </c>
      <c r="G13896" s="27">
        <f ca="1">ROUND(E13896*F13896,2)</f>
        <v>0</v>
      </c>
    </row>
    <row r="13897" spans="1:7" ht="24.36" thickBot="1" customHeight="1">
      <c r="A13897" s="24" t="s">
        <v>43934</v>
      </c>
      <c r="B13897" s="24" t="s">
        <v>43935</v>
      </c>
      <c r="C13897" s="24" t="s">
        <v>43936</v>
      </c>
      <c r="D13897" s="25" t="s">
        <v>43937</v>
      </c>
      <c r="E13897" s="28">
        <v>1.00000</v>
      </c>
      <c r="F13897" s="29">
        <f ca="1">ROUND(19.000,3)</f>
        <v>0</v>
      </c>
      <c r="G13897" s="27">
        <f ca="1">ROUND(E13897*F13897,2)</f>
        <v>0</v>
      </c>
    </row>
    <row r="13898" spans="1:7" ht="24.36" thickBot="1" customHeight="1">
      <c r="A13898" s="24" t="s">
        <v>43938</v>
      </c>
      <c r="B13898" s="24" t="s">
        <v>43939</v>
      </c>
      <c r="C13898" s="24" t="s">
        <v>43940</v>
      </c>
      <c r="D13898" s="25" t="s">
        <v>43941</v>
      </c>
      <c r="E13898" s="28">
        <v>0.20000</v>
      </c>
      <c r="F13898" s="29">
        <f ca="1">ROUND(19.000,3)</f>
        <v>0</v>
      </c>
      <c r="G13898" s="27">
        <f ca="1">ROUND(E13898*F13898,2)</f>
        <v>0</v>
      </c>
    </row>
    <row r="13899" spans="1:7" ht="15.12" thickBot="1" customHeight="1">
      <c r="A13899" s="26"/>
      <c r="B13899" s="26"/>
      <c r="C13899" s="26"/>
      <c r="D13899" s="24" t="s">
        <v>43942</v>
      </c>
      <c r="E13899" s="28">
        <v>0.66667</v>
      </c>
      <c r="F13899" s="29">
        <f ca="1">ROUND((G13896+G13897+G13898),3)</f>
        <v>0</v>
      </c>
      <c r="G13899" s="27">
        <f ca="1">ROUND(E13899*F13899,2)</f>
        <v>0</v>
      </c>
    </row>
    <row r="13900" spans="1:7" ht="15.12" thickBot="1" customHeight="1">
      <c r="A13900" s="24" t="s">
        <v>43943</v>
      </c>
      <c r="B13900" s="24"/>
      <c r="C13900" s="24" t="s">
        <v>43944</v>
      </c>
      <c r="D13900" s="25" t="s">
        <v>43945</v>
      </c>
      <c r="E13900" s="28">
        <v>5.00000</v>
      </c>
      <c r="F13900" s="29">
        <f ca="1">ROUND(29.200,3)</f>
        <v>0</v>
      </c>
      <c r="G13900" s="27">
        <f ca="1">ROUND((E13900*F13900)/100,2)</f>
        <v>0</v>
      </c>
    </row>
    <row r="13901" spans="1:7" ht="15.48" thickBot="1" customHeight="1">
      <c r="A13901" s="30"/>
      <c r="B13901" s="30"/>
      <c r="C13901" s="30"/>
      <c r="D13901" s="31" t="s">
        <v>43946</v>
      </c>
      <c r="E13901" s="30"/>
      <c r="F13901" s="33">
        <f ca="1">ROUND((G13893+G13894+G13895+G13900)*(1+G2/100),2)</f>
        <v>0</v>
      </c>
      <c r="G13901" s="30"/>
    </row>
    <row r="13902" spans="1:7" ht="67.56" thickBot="1" customHeight="1">
      <c r="A13902" s="34" t="s">
        <v>43947</v>
      </c>
      <c r="B13902" s="35" t="s">
        <v>43948</v>
      </c>
      <c r="C13902" s="35" t="s">
        <v>43949</v>
      </c>
      <c r="D13902" s="36" t="s">
        <v>43950</v>
      </c>
      <c r="E13902" s="37"/>
      <c r="F13902" s="38">
        <f ca="1">F13912</f>
        <v>0</v>
      </c>
      <c r="G13902" s="37"/>
    </row>
    <row r="13903" spans="1:7" ht="30.60" thickBot="1" customHeight="1">
      <c r="A13903" s="26"/>
      <c r="B13903" s="26"/>
      <c r="C13903" s="26"/>
      <c r="D13903" s="25" t="s">
        <v>43951</v>
      </c>
      <c r="E13903" s="25"/>
      <c r="F13903" s="25"/>
      <c r="G13903" s="25"/>
    </row>
    <row r="13904" spans="1:7" ht="30.60" thickBot="1" customHeight="1">
      <c r="A13904" s="24" t="s">
        <v>43952</v>
      </c>
      <c r="B13904" s="24" t="s">
        <v>43953</v>
      </c>
      <c r="C13904" s="24" t="s">
        <v>43954</v>
      </c>
      <c r="D13904" s="25" t="s">
        <v>43955</v>
      </c>
      <c r="E13904" s="28">
        <v>0.70400</v>
      </c>
      <c r="F13904" s="29">
        <f ca="1">ROUND(5.250,3)</f>
        <v>0</v>
      </c>
      <c r="G13904" s="27">
        <f ca="1">ROUND(E13904*F13904,2)</f>
        <v>0</v>
      </c>
    </row>
    <row r="13905" spans="1:7" ht="21.36" thickBot="1" customHeight="1">
      <c r="A13905" s="24" t="s">
        <v>43956</v>
      </c>
      <c r="B13905" s="24" t="s">
        <v>43957</v>
      </c>
      <c r="C13905" s="24" t="s">
        <v>43958</v>
      </c>
      <c r="D13905" s="25" t="s">
        <v>43959</v>
      </c>
      <c r="E13905" s="28">
        <v>0.02444</v>
      </c>
      <c r="F13905" s="29">
        <f ca="1">ROUND(1.320,3)</f>
        <v>0</v>
      </c>
      <c r="G13905" s="27">
        <f ca="1">ROUND(E13905*F13905,2)</f>
        <v>0</v>
      </c>
    </row>
    <row r="13906" spans="1:7" ht="21.36" thickBot="1" customHeight="1">
      <c r="A13906" s="24" t="s">
        <v>43960</v>
      </c>
      <c r="B13906" s="24" t="s">
        <v>43961</v>
      </c>
      <c r="C13906" s="24" t="s">
        <v>43962</v>
      </c>
      <c r="D13906" s="25" t="s">
        <v>43963</v>
      </c>
      <c r="E13906" s="28">
        <v>0.53333</v>
      </c>
      <c r="F13906" s="29">
        <f ca="1">F13910</f>
        <v>0</v>
      </c>
      <c r="G13906" s="27">
        <f ca="1">ROUND(E13906*F13906,2)</f>
        <v>0</v>
      </c>
    </row>
    <row r="13907" spans="1:7" ht="24.36" thickBot="1" customHeight="1">
      <c r="A13907" s="24" t="s">
        <v>43964</v>
      </c>
      <c r="B13907" s="24" t="s">
        <v>43965</v>
      </c>
      <c r="C13907" s="24" t="s">
        <v>43966</v>
      </c>
      <c r="D13907" s="25" t="s">
        <v>43967</v>
      </c>
      <c r="E13907" s="28">
        <v>1.00000</v>
      </c>
      <c r="F13907" s="29">
        <f ca="1">ROUND(21.000,3)</f>
        <v>0</v>
      </c>
      <c r="G13907" s="27">
        <f ca="1">ROUND(E13907*F13907,2)</f>
        <v>0</v>
      </c>
    </row>
    <row r="13908" spans="1:7" ht="24.36" thickBot="1" customHeight="1">
      <c r="A13908" s="24" t="s">
        <v>43968</v>
      </c>
      <c r="B13908" s="24" t="s">
        <v>43969</v>
      </c>
      <c r="C13908" s="24" t="s">
        <v>43970</v>
      </c>
      <c r="D13908" s="25" t="s">
        <v>43971</v>
      </c>
      <c r="E13908" s="28">
        <v>1.00000</v>
      </c>
      <c r="F13908" s="29">
        <f ca="1">ROUND(19.000,3)</f>
        <v>0</v>
      </c>
      <c r="G13908" s="27">
        <f ca="1">ROUND(E13908*F13908,2)</f>
        <v>0</v>
      </c>
    </row>
    <row r="13909" spans="1:7" ht="24.36" thickBot="1" customHeight="1">
      <c r="A13909" s="24" t="s">
        <v>43972</v>
      </c>
      <c r="B13909" s="24" t="s">
        <v>43973</v>
      </c>
      <c r="C13909" s="24" t="s">
        <v>43974</v>
      </c>
      <c r="D13909" s="25" t="s">
        <v>43975</v>
      </c>
      <c r="E13909" s="28">
        <v>0.20000</v>
      </c>
      <c r="F13909" s="29">
        <f ca="1">ROUND(19.000,3)</f>
        <v>0</v>
      </c>
      <c r="G13909" s="27">
        <f ca="1">ROUND(E13909*F13909,2)</f>
        <v>0</v>
      </c>
    </row>
    <row r="13910" spans="1:7" ht="15.12" thickBot="1" customHeight="1">
      <c r="A13910" s="26"/>
      <c r="B13910" s="26"/>
      <c r="C13910" s="26"/>
      <c r="D13910" s="24" t="s">
        <v>43976</v>
      </c>
      <c r="E13910" s="28">
        <v>0.53333</v>
      </c>
      <c r="F13910" s="29">
        <f ca="1">ROUND((G13907+G13908+G13909),3)</f>
        <v>0</v>
      </c>
      <c r="G13910" s="27">
        <f ca="1">ROUND(E13910*F13910,2)</f>
        <v>0</v>
      </c>
    </row>
    <row r="13911" spans="1:7" ht="15.12" thickBot="1" customHeight="1">
      <c r="A13911" s="24" t="s">
        <v>43977</v>
      </c>
      <c r="B13911" s="24"/>
      <c r="C13911" s="24" t="s">
        <v>43978</v>
      </c>
      <c r="D13911" s="25" t="s">
        <v>43979</v>
      </c>
      <c r="E13911" s="28">
        <v>5.00000</v>
      </c>
      <c r="F13911" s="29">
        <f ca="1">ROUND(23.360,3)</f>
        <v>0</v>
      </c>
      <c r="G13911" s="27">
        <f ca="1">ROUND((E13911*F13911)/100,2)</f>
        <v>0</v>
      </c>
    </row>
    <row r="13912" spans="1:7" ht="15.48" thickBot="1" customHeight="1">
      <c r="A13912" s="30"/>
      <c r="B13912" s="30"/>
      <c r="C13912" s="30"/>
      <c r="D13912" s="31" t="s">
        <v>43980</v>
      </c>
      <c r="E13912" s="30"/>
      <c r="F13912" s="33">
        <f ca="1">ROUND((G13904+G13905+G13906+G13911)*(1+G2/100),2)</f>
        <v>0</v>
      </c>
      <c r="G13912" s="30"/>
    </row>
    <row r="13913" spans="1:7" ht="67.56" thickBot="1" customHeight="1">
      <c r="A13913" s="34" t="s">
        <v>43981</v>
      </c>
      <c r="B13913" s="35" t="s">
        <v>43982</v>
      </c>
      <c r="C13913" s="35" t="s">
        <v>43983</v>
      </c>
      <c r="D13913" s="36" t="s">
        <v>43984</v>
      </c>
      <c r="E13913" s="37"/>
      <c r="F13913" s="38">
        <f ca="1">F13923</f>
        <v>0</v>
      </c>
      <c r="G13913" s="37"/>
    </row>
    <row r="13914" spans="1:7" ht="30.60" thickBot="1" customHeight="1">
      <c r="A13914" s="26"/>
      <c r="B13914" s="26"/>
      <c r="C13914" s="26"/>
      <c r="D13914" s="25" t="s">
        <v>43985</v>
      </c>
      <c r="E13914" s="25"/>
      <c r="F13914" s="25"/>
      <c r="G13914" s="25"/>
    </row>
    <row r="13915" spans="1:7" ht="30.60" thickBot="1" customHeight="1">
      <c r="A13915" s="24" t="s">
        <v>43986</v>
      </c>
      <c r="B13915" s="24" t="s">
        <v>43987</v>
      </c>
      <c r="C13915" s="24" t="s">
        <v>43988</v>
      </c>
      <c r="D13915" s="25" t="s">
        <v>43989</v>
      </c>
      <c r="E13915" s="28">
        <v>0.70400</v>
      </c>
      <c r="F13915" s="29">
        <f ca="1">ROUND(5.250,3)</f>
        <v>0</v>
      </c>
      <c r="G13915" s="27">
        <f ca="1">ROUND(E13915*F13915,2)</f>
        <v>0</v>
      </c>
    </row>
    <row r="13916" spans="1:7" ht="21.36" thickBot="1" customHeight="1">
      <c r="A13916" s="24" t="s">
        <v>43990</v>
      </c>
      <c r="B13916" s="24" t="s">
        <v>43991</v>
      </c>
      <c r="C13916" s="24" t="s">
        <v>43992</v>
      </c>
      <c r="D13916" s="25" t="s">
        <v>43993</v>
      </c>
      <c r="E13916" s="28">
        <v>0.02444</v>
      </c>
      <c r="F13916" s="29">
        <f ca="1">ROUND(1.320,3)</f>
        <v>0</v>
      </c>
      <c r="G13916" s="27">
        <f ca="1">ROUND(E13916*F13916,2)</f>
        <v>0</v>
      </c>
    </row>
    <row r="13917" spans="1:7" ht="21.36" thickBot="1" customHeight="1">
      <c r="A13917" s="24" t="s">
        <v>43994</v>
      </c>
      <c r="B13917" s="24" t="s">
        <v>43995</v>
      </c>
      <c r="C13917" s="24" t="s">
        <v>43996</v>
      </c>
      <c r="D13917" s="25" t="s">
        <v>43997</v>
      </c>
      <c r="E13917" s="28">
        <v>0.66667</v>
      </c>
      <c r="F13917" s="29">
        <f ca="1">F13921</f>
        <v>0</v>
      </c>
      <c r="G13917" s="27">
        <f ca="1">ROUND(E13917*F13917,2)</f>
        <v>0</v>
      </c>
    </row>
    <row r="13918" spans="1:7" ht="24.36" thickBot="1" customHeight="1">
      <c r="A13918" s="24" t="s">
        <v>43998</v>
      </c>
      <c r="B13918" s="24" t="s">
        <v>43999</v>
      </c>
      <c r="C13918" s="24" t="s">
        <v>44000</v>
      </c>
      <c r="D13918" s="25" t="s">
        <v>44001</v>
      </c>
      <c r="E13918" s="28">
        <v>1.00000</v>
      </c>
      <c r="F13918" s="29">
        <f ca="1">ROUND(21.000,3)</f>
        <v>0</v>
      </c>
      <c r="G13918" s="27">
        <f ca="1">ROUND(E13918*F13918,2)</f>
        <v>0</v>
      </c>
    </row>
    <row r="13919" spans="1:7" ht="24.36" thickBot="1" customHeight="1">
      <c r="A13919" s="24" t="s">
        <v>44002</v>
      </c>
      <c r="B13919" s="24" t="s">
        <v>44003</v>
      </c>
      <c r="C13919" s="24" t="s">
        <v>44004</v>
      </c>
      <c r="D13919" s="25" t="s">
        <v>44005</v>
      </c>
      <c r="E13919" s="28">
        <v>1.00000</v>
      </c>
      <c r="F13919" s="29">
        <f ca="1">ROUND(19.000,3)</f>
        <v>0</v>
      </c>
      <c r="G13919" s="27">
        <f ca="1">ROUND(E13919*F13919,2)</f>
        <v>0</v>
      </c>
    </row>
    <row r="13920" spans="1:7" ht="24.36" thickBot="1" customHeight="1">
      <c r="A13920" s="24" t="s">
        <v>44006</v>
      </c>
      <c r="B13920" s="24" t="s">
        <v>44007</v>
      </c>
      <c r="C13920" s="24" t="s">
        <v>44008</v>
      </c>
      <c r="D13920" s="25" t="s">
        <v>44009</v>
      </c>
      <c r="E13920" s="28">
        <v>0.20000</v>
      </c>
      <c r="F13920" s="29">
        <f ca="1">ROUND(19.000,3)</f>
        <v>0</v>
      </c>
      <c r="G13920" s="27">
        <f ca="1">ROUND(E13920*F13920,2)</f>
        <v>0</v>
      </c>
    </row>
    <row r="13921" spans="1:7" ht="15.12" thickBot="1" customHeight="1">
      <c r="A13921" s="26"/>
      <c r="B13921" s="26"/>
      <c r="C13921" s="26"/>
      <c r="D13921" s="24" t="s">
        <v>44010</v>
      </c>
      <c r="E13921" s="28">
        <v>0.66667</v>
      </c>
      <c r="F13921" s="29">
        <f ca="1">ROUND((G13918+G13919+G13920),3)</f>
        <v>0</v>
      </c>
      <c r="G13921" s="27">
        <f ca="1">ROUND(E13921*F13921,2)</f>
        <v>0</v>
      </c>
    </row>
    <row r="13922" spans="1:7" ht="15.12" thickBot="1" customHeight="1">
      <c r="A13922" s="24" t="s">
        <v>44011</v>
      </c>
      <c r="B13922" s="24"/>
      <c r="C13922" s="24" t="s">
        <v>44012</v>
      </c>
      <c r="D13922" s="25" t="s">
        <v>44013</v>
      </c>
      <c r="E13922" s="28">
        <v>5.00000</v>
      </c>
      <c r="F13922" s="29">
        <f ca="1">ROUND(29.200,3)</f>
        <v>0</v>
      </c>
      <c r="G13922" s="27">
        <f ca="1">ROUND((E13922*F13922)/100,2)</f>
        <v>0</v>
      </c>
    </row>
    <row r="13923" spans="1:7" ht="15.48" thickBot="1" customHeight="1">
      <c r="A13923" s="30"/>
      <c r="B13923" s="30"/>
      <c r="C13923" s="30"/>
      <c r="D13923" s="31" t="s">
        <v>44014</v>
      </c>
      <c r="E13923" s="30"/>
      <c r="F13923" s="33">
        <f ca="1">ROUND((G13915+G13916+G13917+G13922)*(1+G2/100),2)</f>
        <v>0</v>
      </c>
      <c r="G13923" s="30"/>
    </row>
    <row r="13924" spans="1:7" ht="67.56" thickBot="1" customHeight="1">
      <c r="A13924" s="34" t="s">
        <v>44015</v>
      </c>
      <c r="B13924" s="35" t="s">
        <v>44016</v>
      </c>
      <c r="C13924" s="35" t="s">
        <v>44017</v>
      </c>
      <c r="D13924" s="36" t="s">
        <v>44018</v>
      </c>
      <c r="E13924" s="37"/>
      <c r="F13924" s="38">
        <f ca="1">F13934</f>
        <v>0</v>
      </c>
      <c r="G13924" s="37"/>
    </row>
    <row r="13925" spans="1:7" ht="30.60" thickBot="1" customHeight="1">
      <c r="A13925" s="26"/>
      <c r="B13925" s="26"/>
      <c r="C13925" s="26"/>
      <c r="D13925" s="25" t="s">
        <v>44019</v>
      </c>
      <c r="E13925" s="25"/>
      <c r="F13925" s="25"/>
      <c r="G13925" s="25"/>
    </row>
    <row r="13926" spans="1:7" ht="30.60" thickBot="1" customHeight="1">
      <c r="A13926" s="24" t="s">
        <v>44020</v>
      </c>
      <c r="B13926" s="24" t="s">
        <v>44021</v>
      </c>
      <c r="C13926" s="24" t="s">
        <v>44022</v>
      </c>
      <c r="D13926" s="25" t="s">
        <v>44023</v>
      </c>
      <c r="E13926" s="28">
        <v>0.70400</v>
      </c>
      <c r="F13926" s="29">
        <f ca="1">ROUND(5.250,3)</f>
        <v>0</v>
      </c>
      <c r="G13926" s="27">
        <f ca="1">ROUND(E13926*F13926,2)</f>
        <v>0</v>
      </c>
    </row>
    <row r="13927" spans="1:7" ht="21.36" thickBot="1" customHeight="1">
      <c r="A13927" s="24" t="s">
        <v>44024</v>
      </c>
      <c r="B13927" s="24" t="s">
        <v>44025</v>
      </c>
      <c r="C13927" s="24" t="s">
        <v>44026</v>
      </c>
      <c r="D13927" s="25" t="s">
        <v>44027</v>
      </c>
      <c r="E13927" s="28">
        <v>0.02444</v>
      </c>
      <c r="F13927" s="29">
        <f ca="1">ROUND(1.320,3)</f>
        <v>0</v>
      </c>
      <c r="G13927" s="27">
        <f ca="1">ROUND(E13927*F13927,2)</f>
        <v>0</v>
      </c>
    </row>
    <row r="13928" spans="1:7" ht="21.36" thickBot="1" customHeight="1">
      <c r="A13928" s="24" t="s">
        <v>44028</v>
      </c>
      <c r="B13928" s="24" t="s">
        <v>44029</v>
      </c>
      <c r="C13928" s="24" t="s">
        <v>44030</v>
      </c>
      <c r="D13928" s="25" t="s">
        <v>44031</v>
      </c>
      <c r="E13928" s="28">
        <v>0.42110</v>
      </c>
      <c r="F13928" s="29">
        <f ca="1">F13932</f>
        <v>0</v>
      </c>
      <c r="G13928" s="27">
        <f ca="1">ROUND(E13928*F13928,2)</f>
        <v>0</v>
      </c>
    </row>
    <row r="13929" spans="1:7" ht="24.36" thickBot="1" customHeight="1">
      <c r="A13929" s="24" t="s">
        <v>44032</v>
      </c>
      <c r="B13929" s="24" t="s">
        <v>44033</v>
      </c>
      <c r="C13929" s="24" t="s">
        <v>44034</v>
      </c>
      <c r="D13929" s="25" t="s">
        <v>44035</v>
      </c>
      <c r="E13929" s="28">
        <v>1.00000</v>
      </c>
      <c r="F13929" s="29">
        <f ca="1">ROUND(21.000,3)</f>
        <v>0</v>
      </c>
      <c r="G13929" s="27">
        <f ca="1">ROUND(E13929*F13929,2)</f>
        <v>0</v>
      </c>
    </row>
    <row r="13930" spans="1:7" ht="24.36" thickBot="1" customHeight="1">
      <c r="A13930" s="24" t="s">
        <v>44036</v>
      </c>
      <c r="B13930" s="24" t="s">
        <v>44037</v>
      </c>
      <c r="C13930" s="24" t="s">
        <v>44038</v>
      </c>
      <c r="D13930" s="25" t="s">
        <v>44039</v>
      </c>
      <c r="E13930" s="28">
        <v>1.00000</v>
      </c>
      <c r="F13930" s="29">
        <f ca="1">ROUND(19.000,3)</f>
        <v>0</v>
      </c>
      <c r="G13930" s="27">
        <f ca="1">ROUND(E13930*F13930,2)</f>
        <v>0</v>
      </c>
    </row>
    <row r="13931" spans="1:7" ht="24.36" thickBot="1" customHeight="1">
      <c r="A13931" s="24" t="s">
        <v>44040</v>
      </c>
      <c r="B13931" s="24" t="s">
        <v>44041</v>
      </c>
      <c r="C13931" s="24" t="s">
        <v>44042</v>
      </c>
      <c r="D13931" s="25" t="s">
        <v>44043</v>
      </c>
      <c r="E13931" s="28">
        <v>0.20000</v>
      </c>
      <c r="F13931" s="29">
        <f ca="1">ROUND(19.000,3)</f>
        <v>0</v>
      </c>
      <c r="G13931" s="27">
        <f ca="1">ROUND(E13931*F13931,2)</f>
        <v>0</v>
      </c>
    </row>
    <row r="13932" spans="1:7" ht="15.12" thickBot="1" customHeight="1">
      <c r="A13932" s="26"/>
      <c r="B13932" s="26"/>
      <c r="C13932" s="26"/>
      <c r="D13932" s="24" t="s">
        <v>44044</v>
      </c>
      <c r="E13932" s="28">
        <v>0.42110</v>
      </c>
      <c r="F13932" s="29">
        <f ca="1">ROUND((G13929+G13930+G13931),3)</f>
        <v>0</v>
      </c>
      <c r="G13932" s="27">
        <f ca="1">ROUND(E13932*F13932,2)</f>
        <v>0</v>
      </c>
    </row>
    <row r="13933" spans="1:7" ht="15.12" thickBot="1" customHeight="1">
      <c r="A13933" s="24" t="s">
        <v>44045</v>
      </c>
      <c r="B13933" s="24"/>
      <c r="C13933" s="24" t="s">
        <v>44046</v>
      </c>
      <c r="D13933" s="25" t="s">
        <v>44047</v>
      </c>
      <c r="E13933" s="28">
        <v>5.00000</v>
      </c>
      <c r="F13933" s="29">
        <f ca="1">ROUND(18.440,3)</f>
        <v>0</v>
      </c>
      <c r="G13933" s="27">
        <f ca="1">ROUND((E13933*F13933)/100,2)</f>
        <v>0</v>
      </c>
    </row>
    <row r="13934" spans="1:7" ht="15.48" thickBot="1" customHeight="1">
      <c r="A13934" s="30"/>
      <c r="B13934" s="30"/>
      <c r="C13934" s="30"/>
      <c r="D13934" s="31" t="s">
        <v>44048</v>
      </c>
      <c r="E13934" s="30"/>
      <c r="F13934" s="33">
        <f ca="1">ROUND((G13926+G13927+G13928+G13933)*(1+G2/100),2)</f>
        <v>0</v>
      </c>
      <c r="G13934" s="30"/>
    </row>
    <row r="13935" spans="1:7" ht="67.56" thickBot="1" customHeight="1">
      <c r="A13935" s="34" t="s">
        <v>44049</v>
      </c>
      <c r="B13935" s="35" t="s">
        <v>44050</v>
      </c>
      <c r="C13935" s="35" t="s">
        <v>44051</v>
      </c>
      <c r="D13935" s="36" t="s">
        <v>44052</v>
      </c>
      <c r="E13935" s="37"/>
      <c r="F13935" s="38">
        <f ca="1">F13945</f>
        <v>0</v>
      </c>
      <c r="G13935" s="37"/>
    </row>
    <row r="13936" spans="1:7" ht="30.60" thickBot="1" customHeight="1">
      <c r="A13936" s="26"/>
      <c r="B13936" s="26"/>
      <c r="C13936" s="26"/>
      <c r="D13936" s="25" t="s">
        <v>44053</v>
      </c>
      <c r="E13936" s="25"/>
      <c r="F13936" s="25"/>
      <c r="G13936" s="25"/>
    </row>
    <row r="13937" spans="1:7" ht="30.60" thickBot="1" customHeight="1">
      <c r="A13937" s="24" t="s">
        <v>44054</v>
      </c>
      <c r="B13937" s="24" t="s">
        <v>44055</v>
      </c>
      <c r="C13937" s="24" t="s">
        <v>44056</v>
      </c>
      <c r="D13937" s="25" t="s">
        <v>44057</v>
      </c>
      <c r="E13937" s="28">
        <v>0.70400</v>
      </c>
      <c r="F13937" s="29">
        <f ca="1">ROUND(5.250,3)</f>
        <v>0</v>
      </c>
      <c r="G13937" s="27">
        <f ca="1">ROUND(E13937*F13937,2)</f>
        <v>0</v>
      </c>
    </row>
    <row r="13938" spans="1:7" ht="21.36" thickBot="1" customHeight="1">
      <c r="A13938" s="24" t="s">
        <v>44058</v>
      </c>
      <c r="B13938" s="24" t="s">
        <v>44059</v>
      </c>
      <c r="C13938" s="24" t="s">
        <v>44060</v>
      </c>
      <c r="D13938" s="25" t="s">
        <v>44061</v>
      </c>
      <c r="E13938" s="28">
        <v>0.02444</v>
      </c>
      <c r="F13938" s="29">
        <f ca="1">ROUND(1.320,3)</f>
        <v>0</v>
      </c>
      <c r="G13938" s="27">
        <f ca="1">ROUND(E13938*F13938,2)</f>
        <v>0</v>
      </c>
    </row>
    <row r="13939" spans="1:7" ht="21.36" thickBot="1" customHeight="1">
      <c r="A13939" s="24" t="s">
        <v>44062</v>
      </c>
      <c r="B13939" s="24" t="s">
        <v>44063</v>
      </c>
      <c r="C13939" s="24" t="s">
        <v>44064</v>
      </c>
      <c r="D13939" s="25" t="s">
        <v>44065</v>
      </c>
      <c r="E13939" s="28">
        <v>0.50000</v>
      </c>
      <c r="F13939" s="29">
        <f ca="1">F13943</f>
        <v>0</v>
      </c>
      <c r="G13939" s="27">
        <f ca="1">ROUND(E13939*F13939,2)</f>
        <v>0</v>
      </c>
    </row>
    <row r="13940" spans="1:7" ht="24.36" thickBot="1" customHeight="1">
      <c r="A13940" s="24" t="s">
        <v>44066</v>
      </c>
      <c r="B13940" s="24" t="s">
        <v>44067</v>
      </c>
      <c r="C13940" s="24" t="s">
        <v>44068</v>
      </c>
      <c r="D13940" s="25" t="s">
        <v>44069</v>
      </c>
      <c r="E13940" s="28">
        <v>1.00000</v>
      </c>
      <c r="F13940" s="29">
        <f ca="1">ROUND(21.000,3)</f>
        <v>0</v>
      </c>
      <c r="G13940" s="27">
        <f ca="1">ROUND(E13940*F13940,2)</f>
        <v>0</v>
      </c>
    </row>
    <row r="13941" spans="1:7" ht="24.36" thickBot="1" customHeight="1">
      <c r="A13941" s="24" t="s">
        <v>44070</v>
      </c>
      <c r="B13941" s="24" t="s">
        <v>44071</v>
      </c>
      <c r="C13941" s="24" t="s">
        <v>44072</v>
      </c>
      <c r="D13941" s="25" t="s">
        <v>44073</v>
      </c>
      <c r="E13941" s="28">
        <v>1.00000</v>
      </c>
      <c r="F13941" s="29">
        <f ca="1">ROUND(19.000,3)</f>
        <v>0</v>
      </c>
      <c r="G13941" s="27">
        <f ca="1">ROUND(E13941*F13941,2)</f>
        <v>0</v>
      </c>
    </row>
    <row r="13942" spans="1:7" ht="24.36" thickBot="1" customHeight="1">
      <c r="A13942" s="24" t="s">
        <v>44074</v>
      </c>
      <c r="B13942" s="24" t="s">
        <v>44075</v>
      </c>
      <c r="C13942" s="24" t="s">
        <v>44076</v>
      </c>
      <c r="D13942" s="25" t="s">
        <v>44077</v>
      </c>
      <c r="E13942" s="28">
        <v>0.20000</v>
      </c>
      <c r="F13942" s="29">
        <f ca="1">ROUND(19.000,3)</f>
        <v>0</v>
      </c>
      <c r="G13942" s="27">
        <f ca="1">ROUND(E13942*F13942,2)</f>
        <v>0</v>
      </c>
    </row>
    <row r="13943" spans="1:7" ht="15.12" thickBot="1" customHeight="1">
      <c r="A13943" s="26"/>
      <c r="B13943" s="26"/>
      <c r="C13943" s="26"/>
      <c r="D13943" s="24" t="s">
        <v>44078</v>
      </c>
      <c r="E13943" s="28">
        <v>0.50000</v>
      </c>
      <c r="F13943" s="29">
        <f ca="1">ROUND((G13940+G13941+G13942),3)</f>
        <v>0</v>
      </c>
      <c r="G13943" s="27">
        <f ca="1">ROUND(E13943*F13943,2)</f>
        <v>0</v>
      </c>
    </row>
    <row r="13944" spans="1:7" ht="15.12" thickBot="1" customHeight="1">
      <c r="A13944" s="24" t="s">
        <v>44079</v>
      </c>
      <c r="B13944" s="24"/>
      <c r="C13944" s="24" t="s">
        <v>44080</v>
      </c>
      <c r="D13944" s="25" t="s">
        <v>44081</v>
      </c>
      <c r="E13944" s="28">
        <v>5.00000</v>
      </c>
      <c r="F13944" s="29">
        <f ca="1">ROUND(21.900,3)</f>
        <v>0</v>
      </c>
      <c r="G13944" s="27">
        <f ca="1">ROUND((E13944*F13944)/100,2)</f>
        <v>0</v>
      </c>
    </row>
    <row r="13945" spans="1:7" ht="15.48" thickBot="1" customHeight="1">
      <c r="A13945" s="30"/>
      <c r="B13945" s="30"/>
      <c r="C13945" s="30"/>
      <c r="D13945" s="31" t="s">
        <v>44082</v>
      </c>
      <c r="E13945" s="30"/>
      <c r="F13945" s="33">
        <f ca="1">ROUND((G13937+G13938+G13939+G13944)*(1+G2/100),2)</f>
        <v>0</v>
      </c>
      <c r="G13945" s="30"/>
    </row>
    <row r="13946" spans="1:7" ht="67.56" thickBot="1" customHeight="1">
      <c r="A13946" s="34" t="s">
        <v>44083</v>
      </c>
      <c r="B13946" s="35" t="s">
        <v>44084</v>
      </c>
      <c r="C13946" s="35" t="s">
        <v>44085</v>
      </c>
      <c r="D13946" s="36" t="s">
        <v>44086</v>
      </c>
      <c r="E13946" s="37"/>
      <c r="F13946" s="38">
        <f ca="1">F13957</f>
        <v>0</v>
      </c>
      <c r="G13946" s="37"/>
    </row>
    <row r="13947" spans="1:7" ht="30.60" thickBot="1" customHeight="1">
      <c r="A13947" s="26"/>
      <c r="B13947" s="26"/>
      <c r="C13947" s="26"/>
      <c r="D13947" s="25" t="s">
        <v>44087</v>
      </c>
      <c r="E13947" s="25"/>
      <c r="F13947" s="25"/>
      <c r="G13947" s="25"/>
    </row>
    <row r="13948" spans="1:7" ht="30.60" thickBot="1" customHeight="1">
      <c r="A13948" s="24" t="s">
        <v>44088</v>
      </c>
      <c r="B13948" s="24" t="s">
        <v>44089</v>
      </c>
      <c r="C13948" s="24" t="s">
        <v>44090</v>
      </c>
      <c r="D13948" s="25" t="s">
        <v>44091</v>
      </c>
      <c r="E13948" s="28">
        <v>0.70400</v>
      </c>
      <c r="F13948" s="29">
        <f ca="1">ROUND(5.250,3)</f>
        <v>0</v>
      </c>
      <c r="G13948" s="27">
        <f ca="1">ROUND(E13948*F13948,2)</f>
        <v>0</v>
      </c>
    </row>
    <row r="13949" spans="1:7" ht="21.36" thickBot="1" customHeight="1">
      <c r="A13949" s="24" t="s">
        <v>44092</v>
      </c>
      <c r="B13949" s="24" t="s">
        <v>44093</v>
      </c>
      <c r="C13949" s="24" t="s">
        <v>44094</v>
      </c>
      <c r="D13949" s="25" t="s">
        <v>44095</v>
      </c>
      <c r="E13949" s="28">
        <v>0.02444</v>
      </c>
      <c r="F13949" s="29">
        <f ca="1">ROUND(1.320,3)</f>
        <v>0</v>
      </c>
      <c r="G13949" s="27">
        <f ca="1">ROUND(E13949*F13949,2)</f>
        <v>0</v>
      </c>
    </row>
    <row r="13950" spans="1:7" ht="21.36" thickBot="1" customHeight="1">
      <c r="A13950" s="24" t="s">
        <v>44096</v>
      </c>
      <c r="B13950" s="24" t="s">
        <v>44097</v>
      </c>
      <c r="C13950" s="24" t="s">
        <v>44098</v>
      </c>
      <c r="D13950" s="25" t="s">
        <v>44099</v>
      </c>
      <c r="E13950" s="28">
        <v>0.20000</v>
      </c>
      <c r="F13950" s="29">
        <f ca="1">ROUND(11.500,3)</f>
        <v>0</v>
      </c>
      <c r="G13950" s="27">
        <f ca="1">ROUND(E13950*F13950,2)</f>
        <v>0</v>
      </c>
    </row>
    <row r="13951" spans="1:7" ht="21.36" thickBot="1" customHeight="1">
      <c r="A13951" s="24" t="s">
        <v>44100</v>
      </c>
      <c r="B13951" s="24" t="s">
        <v>44101</v>
      </c>
      <c r="C13951" s="24" t="s">
        <v>44102</v>
      </c>
      <c r="D13951" s="25" t="s">
        <v>44103</v>
      </c>
      <c r="E13951" s="28">
        <v>0.38100</v>
      </c>
      <c r="F13951" s="29">
        <f ca="1">F13955</f>
        <v>0</v>
      </c>
      <c r="G13951" s="27">
        <f ca="1">ROUND(E13951*F13951,2)</f>
        <v>0</v>
      </c>
    </row>
    <row r="13952" spans="1:7" ht="24.36" thickBot="1" customHeight="1">
      <c r="A13952" s="24" t="s">
        <v>44104</v>
      </c>
      <c r="B13952" s="24" t="s">
        <v>44105</v>
      </c>
      <c r="C13952" s="24" t="s">
        <v>44106</v>
      </c>
      <c r="D13952" s="25" t="s">
        <v>44107</v>
      </c>
      <c r="E13952" s="28">
        <v>1.00000</v>
      </c>
      <c r="F13952" s="29">
        <f ca="1">ROUND(21.000,3)</f>
        <v>0</v>
      </c>
      <c r="G13952" s="27">
        <f ca="1">ROUND(E13952*F13952,2)</f>
        <v>0</v>
      </c>
    </row>
    <row r="13953" spans="1:7" ht="24.36" thickBot="1" customHeight="1">
      <c r="A13953" s="24" t="s">
        <v>44108</v>
      </c>
      <c r="B13953" s="24" t="s">
        <v>44109</v>
      </c>
      <c r="C13953" s="24" t="s">
        <v>44110</v>
      </c>
      <c r="D13953" s="25" t="s">
        <v>44111</v>
      </c>
      <c r="E13953" s="28">
        <v>1.00000</v>
      </c>
      <c r="F13953" s="29">
        <f ca="1">ROUND(19.000,3)</f>
        <v>0</v>
      </c>
      <c r="G13953" s="27">
        <f ca="1">ROUND(E13953*F13953,2)</f>
        <v>0</v>
      </c>
    </row>
    <row r="13954" spans="1:7" ht="24.36" thickBot="1" customHeight="1">
      <c r="A13954" s="24" t="s">
        <v>44112</v>
      </c>
      <c r="B13954" s="24" t="s">
        <v>44113</v>
      </c>
      <c r="C13954" s="24" t="s">
        <v>44114</v>
      </c>
      <c r="D13954" s="25" t="s">
        <v>44115</v>
      </c>
      <c r="E13954" s="28">
        <v>0.20000</v>
      </c>
      <c r="F13954" s="29">
        <f ca="1">ROUND(19.000,3)</f>
        <v>0</v>
      </c>
      <c r="G13954" s="27">
        <f ca="1">ROUND(E13954*F13954,2)</f>
        <v>0</v>
      </c>
    </row>
    <row r="13955" spans="1:7" ht="15.12" thickBot="1" customHeight="1">
      <c r="A13955" s="26"/>
      <c r="B13955" s="26"/>
      <c r="C13955" s="26"/>
      <c r="D13955" s="24" t="s">
        <v>44116</v>
      </c>
      <c r="E13955" s="28">
        <v>0.38100</v>
      </c>
      <c r="F13955" s="29">
        <f ca="1">ROUND((G13952+G13953+G13954),3)</f>
        <v>0</v>
      </c>
      <c r="G13955" s="27">
        <f ca="1">ROUND(E13955*F13955,2)</f>
        <v>0</v>
      </c>
    </row>
    <row r="13956" spans="1:7" ht="15.12" thickBot="1" customHeight="1">
      <c r="A13956" s="24" t="s">
        <v>44117</v>
      </c>
      <c r="B13956" s="24"/>
      <c r="C13956" s="24" t="s">
        <v>44118</v>
      </c>
      <c r="D13956" s="25" t="s">
        <v>44119</v>
      </c>
      <c r="E13956" s="28">
        <v>3.00000</v>
      </c>
      <c r="F13956" s="29">
        <f ca="1">ROUND(16.690,3)</f>
        <v>0</v>
      </c>
      <c r="G13956" s="27">
        <f ca="1">ROUND((E13956*F13956)/100,2)</f>
        <v>0</v>
      </c>
    </row>
    <row r="13957" spans="1:7" ht="15.48" thickBot="1" customHeight="1">
      <c r="A13957" s="30"/>
      <c r="B13957" s="30"/>
      <c r="C13957" s="30"/>
      <c r="D13957" s="31" t="s">
        <v>44120</v>
      </c>
      <c r="E13957" s="30"/>
      <c r="F13957" s="33">
        <f ca="1">ROUND((G13948+G13949+G13950+G13951+G13956)*(1+G2/100),2)</f>
        <v>0</v>
      </c>
      <c r="G13957" s="30"/>
    </row>
    <row r="13958" spans="1:7" ht="67.56" thickBot="1" customHeight="1">
      <c r="A13958" s="34" t="s">
        <v>44121</v>
      </c>
      <c r="B13958" s="35" t="s">
        <v>44122</v>
      </c>
      <c r="C13958" s="35" t="s">
        <v>44123</v>
      </c>
      <c r="D13958" s="36" t="s">
        <v>44124</v>
      </c>
      <c r="E13958" s="37"/>
      <c r="F13958" s="38">
        <f ca="1">F13969</f>
        <v>0</v>
      </c>
      <c r="G13958" s="37"/>
    </row>
    <row r="13959" spans="1:7" ht="30.60" thickBot="1" customHeight="1">
      <c r="A13959" s="26"/>
      <c r="B13959" s="26"/>
      <c r="C13959" s="26"/>
      <c r="D13959" s="25" t="s">
        <v>44125</v>
      </c>
      <c r="E13959" s="25"/>
      <c r="F13959" s="25"/>
      <c r="G13959" s="25"/>
    </row>
    <row r="13960" spans="1:7" ht="30.60" thickBot="1" customHeight="1">
      <c r="A13960" s="24" t="s">
        <v>44126</v>
      </c>
      <c r="B13960" s="24" t="s">
        <v>44127</v>
      </c>
      <c r="C13960" s="24" t="s">
        <v>44128</v>
      </c>
      <c r="D13960" s="25" t="s">
        <v>44129</v>
      </c>
      <c r="E13960" s="28">
        <v>0.70400</v>
      </c>
      <c r="F13960" s="29">
        <f ca="1">ROUND(5.250,3)</f>
        <v>0</v>
      </c>
      <c r="G13960" s="27">
        <f ca="1">ROUND(E13960*F13960,2)</f>
        <v>0</v>
      </c>
    </row>
    <row r="13961" spans="1:7" ht="21.36" thickBot="1" customHeight="1">
      <c r="A13961" s="24" t="s">
        <v>44130</v>
      </c>
      <c r="B13961" s="24" t="s">
        <v>44131</v>
      </c>
      <c r="C13961" s="24" t="s">
        <v>44132</v>
      </c>
      <c r="D13961" s="25" t="s">
        <v>44133</v>
      </c>
      <c r="E13961" s="28">
        <v>0.02444</v>
      </c>
      <c r="F13961" s="29">
        <f ca="1">ROUND(1.320,3)</f>
        <v>0</v>
      </c>
      <c r="G13961" s="27">
        <f ca="1">ROUND(E13961*F13961,2)</f>
        <v>0</v>
      </c>
    </row>
    <row r="13962" spans="1:7" ht="21.36" thickBot="1" customHeight="1">
      <c r="A13962" s="24" t="s">
        <v>44134</v>
      </c>
      <c r="B13962" s="24" t="s">
        <v>44135</v>
      </c>
      <c r="C13962" s="24" t="s">
        <v>44136</v>
      </c>
      <c r="D13962" s="25" t="s">
        <v>44137</v>
      </c>
      <c r="E13962" s="28">
        <v>0.20000</v>
      </c>
      <c r="F13962" s="29">
        <f ca="1">ROUND(11.500,3)</f>
        <v>0</v>
      </c>
      <c r="G13962" s="27">
        <f ca="1">ROUND(E13962*F13962,2)</f>
        <v>0</v>
      </c>
    </row>
    <row r="13963" spans="1:7" ht="21.36" thickBot="1" customHeight="1">
      <c r="A13963" s="24" t="s">
        <v>44138</v>
      </c>
      <c r="B13963" s="24" t="s">
        <v>44139</v>
      </c>
      <c r="C13963" s="24" t="s">
        <v>44140</v>
      </c>
      <c r="D13963" s="25" t="s">
        <v>44141</v>
      </c>
      <c r="E13963" s="28">
        <v>0.47060</v>
      </c>
      <c r="F13963" s="29">
        <f ca="1">F13967</f>
        <v>0</v>
      </c>
      <c r="G13963" s="27">
        <f ca="1">ROUND(E13963*F13963,2)</f>
        <v>0</v>
      </c>
    </row>
    <row r="13964" spans="1:7" ht="24.36" thickBot="1" customHeight="1">
      <c r="A13964" s="24" t="s">
        <v>44142</v>
      </c>
      <c r="B13964" s="24" t="s">
        <v>44143</v>
      </c>
      <c r="C13964" s="24" t="s">
        <v>44144</v>
      </c>
      <c r="D13964" s="25" t="s">
        <v>44145</v>
      </c>
      <c r="E13964" s="28">
        <v>1.00000</v>
      </c>
      <c r="F13964" s="29">
        <f ca="1">ROUND(21.000,3)</f>
        <v>0</v>
      </c>
      <c r="G13964" s="27">
        <f ca="1">ROUND(E13964*F13964,2)</f>
        <v>0</v>
      </c>
    </row>
    <row r="13965" spans="1:7" ht="24.36" thickBot="1" customHeight="1">
      <c r="A13965" s="24" t="s">
        <v>44146</v>
      </c>
      <c r="B13965" s="24" t="s">
        <v>44147</v>
      </c>
      <c r="C13965" s="24" t="s">
        <v>44148</v>
      </c>
      <c r="D13965" s="25" t="s">
        <v>44149</v>
      </c>
      <c r="E13965" s="28">
        <v>1.00000</v>
      </c>
      <c r="F13965" s="29">
        <f ca="1">ROUND(19.000,3)</f>
        <v>0</v>
      </c>
      <c r="G13965" s="27">
        <f ca="1">ROUND(E13965*F13965,2)</f>
        <v>0</v>
      </c>
    </row>
    <row r="13966" spans="1:7" ht="24.36" thickBot="1" customHeight="1">
      <c r="A13966" s="24" t="s">
        <v>44150</v>
      </c>
      <c r="B13966" s="24" t="s">
        <v>44151</v>
      </c>
      <c r="C13966" s="24" t="s">
        <v>44152</v>
      </c>
      <c r="D13966" s="25" t="s">
        <v>44153</v>
      </c>
      <c r="E13966" s="28">
        <v>0.20000</v>
      </c>
      <c r="F13966" s="29">
        <f ca="1">ROUND(19.000,3)</f>
        <v>0</v>
      </c>
      <c r="G13966" s="27">
        <f ca="1">ROUND(E13966*F13966,2)</f>
        <v>0</v>
      </c>
    </row>
    <row r="13967" spans="1:7" ht="15.12" thickBot="1" customHeight="1">
      <c r="A13967" s="26"/>
      <c r="B13967" s="26"/>
      <c r="C13967" s="26"/>
      <c r="D13967" s="24" t="s">
        <v>44154</v>
      </c>
      <c r="E13967" s="28">
        <v>0.47060</v>
      </c>
      <c r="F13967" s="29">
        <f ca="1">ROUND((G13964+G13965+G13966),3)</f>
        <v>0</v>
      </c>
      <c r="G13967" s="27">
        <f ca="1">ROUND(E13967*F13967,2)</f>
        <v>0</v>
      </c>
    </row>
    <row r="13968" spans="1:7" ht="15.12" thickBot="1" customHeight="1">
      <c r="A13968" s="24" t="s">
        <v>44155</v>
      </c>
      <c r="B13968" s="24"/>
      <c r="C13968" s="24" t="s">
        <v>44156</v>
      </c>
      <c r="D13968" s="25" t="s">
        <v>44157</v>
      </c>
      <c r="E13968" s="28">
        <v>3.00000</v>
      </c>
      <c r="F13968" s="29">
        <f ca="1">ROUND(20.610,3)</f>
        <v>0</v>
      </c>
      <c r="G13968" s="27">
        <f ca="1">ROUND((E13968*F13968)/100,2)</f>
        <v>0</v>
      </c>
    </row>
    <row r="13969" spans="1:7" ht="15.48" thickBot="1" customHeight="1">
      <c r="A13969" s="30"/>
      <c r="B13969" s="30"/>
      <c r="C13969" s="30"/>
      <c r="D13969" s="31" t="s">
        <v>44158</v>
      </c>
      <c r="E13969" s="30"/>
      <c r="F13969" s="33">
        <f ca="1">ROUND((G13960+G13961+G13962+G13963+G13968)*(1+G2/100),2)</f>
        <v>0</v>
      </c>
      <c r="G13969" s="30"/>
    </row>
    <row r="13970" spans="1:7" ht="67.56" thickBot="1" customHeight="1">
      <c r="A13970" s="34" t="s">
        <v>44159</v>
      </c>
      <c r="B13970" s="35" t="s">
        <v>44160</v>
      </c>
      <c r="C13970" s="35" t="s">
        <v>44161</v>
      </c>
      <c r="D13970" s="36" t="s">
        <v>44162</v>
      </c>
      <c r="E13970" s="37"/>
      <c r="F13970" s="38">
        <f ca="1">F13981</f>
        <v>0</v>
      </c>
      <c r="G13970" s="37"/>
    </row>
    <row r="13971" spans="1:7" ht="30.60" thickBot="1" customHeight="1">
      <c r="A13971" s="26"/>
      <c r="B13971" s="26"/>
      <c r="C13971" s="26"/>
      <c r="D13971" s="25" t="s">
        <v>44163</v>
      </c>
      <c r="E13971" s="25"/>
      <c r="F13971" s="25"/>
      <c r="G13971" s="25"/>
    </row>
    <row r="13972" spans="1:7" ht="30.60" thickBot="1" customHeight="1">
      <c r="A13972" s="24" t="s">
        <v>44164</v>
      </c>
      <c r="B13972" s="24" t="s">
        <v>44165</v>
      </c>
      <c r="C13972" s="24" t="s">
        <v>44166</v>
      </c>
      <c r="D13972" s="25" t="s">
        <v>44167</v>
      </c>
      <c r="E13972" s="28">
        <v>0.70400</v>
      </c>
      <c r="F13972" s="29">
        <f ca="1">ROUND(5.250,3)</f>
        <v>0</v>
      </c>
      <c r="G13972" s="27">
        <f ca="1">ROUND(E13972*F13972,2)</f>
        <v>0</v>
      </c>
    </row>
    <row r="13973" spans="1:7" ht="21.36" thickBot="1" customHeight="1">
      <c r="A13973" s="24" t="s">
        <v>44168</v>
      </c>
      <c r="B13973" s="24" t="s">
        <v>44169</v>
      </c>
      <c r="C13973" s="24" t="s">
        <v>44170</v>
      </c>
      <c r="D13973" s="25" t="s">
        <v>44171</v>
      </c>
      <c r="E13973" s="28">
        <v>0.02444</v>
      </c>
      <c r="F13973" s="29">
        <f ca="1">ROUND(1.320,3)</f>
        <v>0</v>
      </c>
      <c r="G13973" s="27">
        <f ca="1">ROUND(E13973*F13973,2)</f>
        <v>0</v>
      </c>
    </row>
    <row r="13974" spans="1:7" ht="21.36" thickBot="1" customHeight="1">
      <c r="A13974" s="24" t="s">
        <v>44172</v>
      </c>
      <c r="B13974" s="24" t="s">
        <v>44173</v>
      </c>
      <c r="C13974" s="24" t="s">
        <v>44174</v>
      </c>
      <c r="D13974" s="25" t="s">
        <v>44175</v>
      </c>
      <c r="E13974" s="28">
        <v>0.20000</v>
      </c>
      <c r="F13974" s="29">
        <f ca="1">ROUND(11.500,3)</f>
        <v>0</v>
      </c>
      <c r="G13974" s="27">
        <f ca="1">ROUND(E13974*F13974,2)</f>
        <v>0</v>
      </c>
    </row>
    <row r="13975" spans="1:7" ht="21.36" thickBot="1" customHeight="1">
      <c r="A13975" s="24" t="s">
        <v>44176</v>
      </c>
      <c r="B13975" s="24" t="s">
        <v>44177</v>
      </c>
      <c r="C13975" s="24" t="s">
        <v>44178</v>
      </c>
      <c r="D13975" s="25" t="s">
        <v>44179</v>
      </c>
      <c r="E13975" s="28">
        <v>0.28570</v>
      </c>
      <c r="F13975" s="29">
        <f ca="1">F13979</f>
        <v>0</v>
      </c>
      <c r="G13975" s="27">
        <f ca="1">ROUND(E13975*F13975,2)</f>
        <v>0</v>
      </c>
    </row>
    <row r="13976" spans="1:7" ht="24.36" thickBot="1" customHeight="1">
      <c r="A13976" s="24" t="s">
        <v>44180</v>
      </c>
      <c r="B13976" s="24" t="s">
        <v>44181</v>
      </c>
      <c r="C13976" s="24" t="s">
        <v>44182</v>
      </c>
      <c r="D13976" s="25" t="s">
        <v>44183</v>
      </c>
      <c r="E13976" s="28">
        <v>1.00000</v>
      </c>
      <c r="F13976" s="29">
        <f ca="1">ROUND(21.000,3)</f>
        <v>0</v>
      </c>
      <c r="G13976" s="27">
        <f ca="1">ROUND(E13976*F13976,2)</f>
        <v>0</v>
      </c>
    </row>
    <row r="13977" spans="1:7" ht="24.36" thickBot="1" customHeight="1">
      <c r="A13977" s="24" t="s">
        <v>44184</v>
      </c>
      <c r="B13977" s="24" t="s">
        <v>44185</v>
      </c>
      <c r="C13977" s="24" t="s">
        <v>44186</v>
      </c>
      <c r="D13977" s="25" t="s">
        <v>44187</v>
      </c>
      <c r="E13977" s="28">
        <v>1.00000</v>
      </c>
      <c r="F13977" s="29">
        <f ca="1">ROUND(19.000,3)</f>
        <v>0</v>
      </c>
      <c r="G13977" s="27">
        <f ca="1">ROUND(E13977*F13977,2)</f>
        <v>0</v>
      </c>
    </row>
    <row r="13978" spans="1:7" ht="24.36" thickBot="1" customHeight="1">
      <c r="A13978" s="24" t="s">
        <v>44188</v>
      </c>
      <c r="B13978" s="24" t="s">
        <v>44189</v>
      </c>
      <c r="C13978" s="24" t="s">
        <v>44190</v>
      </c>
      <c r="D13978" s="25" t="s">
        <v>44191</v>
      </c>
      <c r="E13978" s="28">
        <v>0.20000</v>
      </c>
      <c r="F13978" s="29">
        <f ca="1">ROUND(19.000,3)</f>
        <v>0</v>
      </c>
      <c r="G13978" s="27">
        <f ca="1">ROUND(E13978*F13978,2)</f>
        <v>0</v>
      </c>
    </row>
    <row r="13979" spans="1:7" ht="15.12" thickBot="1" customHeight="1">
      <c r="A13979" s="26"/>
      <c r="B13979" s="26"/>
      <c r="C13979" s="26"/>
      <c r="D13979" s="24" t="s">
        <v>44192</v>
      </c>
      <c r="E13979" s="28">
        <v>0.28570</v>
      </c>
      <c r="F13979" s="29">
        <f ca="1">ROUND((G13976+G13977+G13978),3)</f>
        <v>0</v>
      </c>
      <c r="G13979" s="27">
        <f ca="1">ROUND(E13979*F13979,2)</f>
        <v>0</v>
      </c>
    </row>
    <row r="13980" spans="1:7" ht="15.12" thickBot="1" customHeight="1">
      <c r="A13980" s="24" t="s">
        <v>44193</v>
      </c>
      <c r="B13980" s="24"/>
      <c r="C13980" s="24" t="s">
        <v>44194</v>
      </c>
      <c r="D13980" s="25" t="s">
        <v>44195</v>
      </c>
      <c r="E13980" s="28">
        <v>3.00000</v>
      </c>
      <c r="F13980" s="29">
        <f ca="1">ROUND(12.510,3)</f>
        <v>0</v>
      </c>
      <c r="G13980" s="27">
        <f ca="1">ROUND((E13980*F13980)/100,2)</f>
        <v>0</v>
      </c>
    </row>
    <row r="13981" spans="1:7" ht="15.48" thickBot="1" customHeight="1">
      <c r="A13981" s="30"/>
      <c r="B13981" s="30"/>
      <c r="C13981" s="30"/>
      <c r="D13981" s="31" t="s">
        <v>44196</v>
      </c>
      <c r="E13981" s="30"/>
      <c r="F13981" s="33">
        <f ca="1">ROUND((G13972+G13973+G13974+G13975+G13980)*(1+G2/100),2)</f>
        <v>0</v>
      </c>
      <c r="G13981" s="30"/>
    </row>
    <row r="13982" spans="1:7" ht="67.56" thickBot="1" customHeight="1">
      <c r="A13982" s="34" t="s">
        <v>44197</v>
      </c>
      <c r="B13982" s="35" t="s">
        <v>44198</v>
      </c>
      <c r="C13982" s="35" t="s">
        <v>44199</v>
      </c>
      <c r="D13982" s="36" t="s">
        <v>44200</v>
      </c>
      <c r="E13982" s="37"/>
      <c r="F13982" s="38">
        <f ca="1">F13993</f>
        <v>0</v>
      </c>
      <c r="G13982" s="37"/>
    </row>
    <row r="13983" spans="1:7" ht="30.60" thickBot="1" customHeight="1">
      <c r="A13983" s="26"/>
      <c r="B13983" s="26"/>
      <c r="C13983" s="26"/>
      <c r="D13983" s="25" t="s">
        <v>44201</v>
      </c>
      <c r="E13983" s="25"/>
      <c r="F13983" s="25"/>
      <c r="G13983" s="25"/>
    </row>
    <row r="13984" spans="1:7" ht="30.60" thickBot="1" customHeight="1">
      <c r="A13984" s="24" t="s">
        <v>44202</v>
      </c>
      <c r="B13984" s="24" t="s">
        <v>44203</v>
      </c>
      <c r="C13984" s="24" t="s">
        <v>44204</v>
      </c>
      <c r="D13984" s="25" t="s">
        <v>44205</v>
      </c>
      <c r="E13984" s="28">
        <v>0.70400</v>
      </c>
      <c r="F13984" s="29">
        <f ca="1">ROUND(5.250,3)</f>
        <v>0</v>
      </c>
      <c r="G13984" s="27">
        <f ca="1">ROUND(E13984*F13984,2)</f>
        <v>0</v>
      </c>
    </row>
    <row r="13985" spans="1:7" ht="21.36" thickBot="1" customHeight="1">
      <c r="A13985" s="24" t="s">
        <v>44206</v>
      </c>
      <c r="B13985" s="24" t="s">
        <v>44207</v>
      </c>
      <c r="C13985" s="24" t="s">
        <v>44208</v>
      </c>
      <c r="D13985" s="25" t="s">
        <v>44209</v>
      </c>
      <c r="E13985" s="28">
        <v>0.02444</v>
      </c>
      <c r="F13985" s="29">
        <f ca="1">ROUND(1.320,3)</f>
        <v>0</v>
      </c>
      <c r="G13985" s="27">
        <f ca="1">ROUND(E13985*F13985,2)</f>
        <v>0</v>
      </c>
    </row>
    <row r="13986" spans="1:7" ht="21.36" thickBot="1" customHeight="1">
      <c r="A13986" s="24" t="s">
        <v>44210</v>
      </c>
      <c r="B13986" s="24" t="s">
        <v>44211</v>
      </c>
      <c r="C13986" s="24" t="s">
        <v>44212</v>
      </c>
      <c r="D13986" s="25" t="s">
        <v>44213</v>
      </c>
      <c r="E13986" s="28">
        <v>0.20000</v>
      </c>
      <c r="F13986" s="29">
        <f ca="1">ROUND(11.500,3)</f>
        <v>0</v>
      </c>
      <c r="G13986" s="27">
        <f ca="1">ROUND(E13986*F13986,2)</f>
        <v>0</v>
      </c>
    </row>
    <row r="13987" spans="1:7" ht="21.36" thickBot="1" customHeight="1">
      <c r="A13987" s="24" t="s">
        <v>44214</v>
      </c>
      <c r="B13987" s="24" t="s">
        <v>44215</v>
      </c>
      <c r="C13987" s="24" t="s">
        <v>44216</v>
      </c>
      <c r="D13987" s="25" t="s">
        <v>44217</v>
      </c>
      <c r="E13987" s="28">
        <v>0.34780</v>
      </c>
      <c r="F13987" s="29">
        <f ca="1">F13991</f>
        <v>0</v>
      </c>
      <c r="G13987" s="27">
        <f ca="1">ROUND(E13987*F13987,2)</f>
        <v>0</v>
      </c>
    </row>
    <row r="13988" spans="1:7" ht="24.36" thickBot="1" customHeight="1">
      <c r="A13988" s="24" t="s">
        <v>44218</v>
      </c>
      <c r="B13988" s="24" t="s">
        <v>44219</v>
      </c>
      <c r="C13988" s="24" t="s">
        <v>44220</v>
      </c>
      <c r="D13988" s="25" t="s">
        <v>44221</v>
      </c>
      <c r="E13988" s="28">
        <v>1.00000</v>
      </c>
      <c r="F13988" s="29">
        <f ca="1">ROUND(21.000,3)</f>
        <v>0</v>
      </c>
      <c r="G13988" s="27">
        <f ca="1">ROUND(E13988*F13988,2)</f>
        <v>0</v>
      </c>
    </row>
    <row r="13989" spans="1:7" ht="24.36" thickBot="1" customHeight="1">
      <c r="A13989" s="24" t="s">
        <v>44222</v>
      </c>
      <c r="B13989" s="24" t="s">
        <v>44223</v>
      </c>
      <c r="C13989" s="24" t="s">
        <v>44224</v>
      </c>
      <c r="D13989" s="25" t="s">
        <v>44225</v>
      </c>
      <c r="E13989" s="28">
        <v>1.00000</v>
      </c>
      <c r="F13989" s="29">
        <f ca="1">ROUND(19.000,3)</f>
        <v>0</v>
      </c>
      <c r="G13989" s="27">
        <f ca="1">ROUND(E13989*F13989,2)</f>
        <v>0</v>
      </c>
    </row>
    <row r="13990" spans="1:7" ht="24.36" thickBot="1" customHeight="1">
      <c r="A13990" s="24" t="s">
        <v>44226</v>
      </c>
      <c r="B13990" s="24" t="s">
        <v>44227</v>
      </c>
      <c r="C13990" s="24" t="s">
        <v>44228</v>
      </c>
      <c r="D13990" s="25" t="s">
        <v>44229</v>
      </c>
      <c r="E13990" s="28">
        <v>0.20000</v>
      </c>
      <c r="F13990" s="29">
        <f ca="1">ROUND(19.000,3)</f>
        <v>0</v>
      </c>
      <c r="G13990" s="27">
        <f ca="1">ROUND(E13990*F13990,2)</f>
        <v>0</v>
      </c>
    </row>
    <row r="13991" spans="1:7" ht="15.12" thickBot="1" customHeight="1">
      <c r="A13991" s="26"/>
      <c r="B13991" s="26"/>
      <c r="C13991" s="26"/>
      <c r="D13991" s="24" t="s">
        <v>44230</v>
      </c>
      <c r="E13991" s="28">
        <v>0.34780</v>
      </c>
      <c r="F13991" s="29">
        <f ca="1">ROUND((G13988+G13989+G13990),3)</f>
        <v>0</v>
      </c>
      <c r="G13991" s="27">
        <f ca="1">ROUND(E13991*F13991,2)</f>
        <v>0</v>
      </c>
    </row>
    <row r="13992" spans="1:7" ht="15.12" thickBot="1" customHeight="1">
      <c r="A13992" s="24" t="s">
        <v>44231</v>
      </c>
      <c r="B13992" s="24"/>
      <c r="C13992" s="24" t="s">
        <v>44232</v>
      </c>
      <c r="D13992" s="25" t="s">
        <v>44233</v>
      </c>
      <c r="E13992" s="28">
        <v>3.00000</v>
      </c>
      <c r="F13992" s="29">
        <f ca="1">ROUND(15.230,3)</f>
        <v>0</v>
      </c>
      <c r="G13992" s="27">
        <f ca="1">ROUND((E13992*F13992)/100,2)</f>
        <v>0</v>
      </c>
    </row>
    <row r="13993" spans="1:7" ht="15.48" thickBot="1" customHeight="1">
      <c r="A13993" s="30"/>
      <c r="B13993" s="30"/>
      <c r="C13993" s="30"/>
      <c r="D13993" s="31" t="s">
        <v>44234</v>
      </c>
      <c r="E13993" s="30"/>
      <c r="F13993" s="33">
        <f ca="1">ROUND((G13984+G13985+G13986+G13987+G13992)*(1+G2/100),2)</f>
        <v>0</v>
      </c>
      <c r="G13993" s="30"/>
    </row>
    <row r="13994" spans="1:7" ht="15.48" thickBot="1" customHeight="1">
      <c r="A13994" s="39"/>
      <c r="B13994" s="39"/>
      <c r="C13994" s="39"/>
      <c r="D13994" s="50" t="s">
        <v>44235</v>
      </c>
      <c r="E13994" s="51"/>
      <c r="F13994" s="51"/>
      <c r="G13994" s="51"/>
    </row>
    <row r="13995" spans="1:7" ht="15.48" thickBot="1" customHeight="1">
      <c r="A13995" s="52" t="s">
        <v>44236</v>
      </c>
      <c r="B13995" s="52" t="s">
        <v>44237</v>
      </c>
      <c r="C13995" s="53"/>
      <c r="D13995" s="54" t="s">
        <v>44238</v>
      </c>
      <c r="E13995" s="53"/>
      <c r="F13995" s="53"/>
      <c r="G13995" s="53"/>
    </row>
    <row r="13996" spans="1:7" ht="30.60" thickBot="1" customHeight="1">
      <c r="A13996" s="10" t="s">
        <v>44239</v>
      </c>
      <c r="B13996" s="24" t="s">
        <v>44240</v>
      </c>
      <c r="C13996" s="24" t="s">
        <v>44241</v>
      </c>
      <c r="D13996" s="25" t="s">
        <v>44242</v>
      </c>
      <c r="E13996" s="26"/>
      <c r="F13996" s="27">
        <f ca="1">F14008</f>
        <v>0</v>
      </c>
      <c r="G13996" s="26"/>
    </row>
    <row r="13997" spans="1:7" ht="39.84" thickBot="1" customHeight="1">
      <c r="A13997" s="26"/>
      <c r="B13997" s="26"/>
      <c r="C13997" s="26"/>
      <c r="D13997" s="25" t="s">
        <v>44243</v>
      </c>
      <c r="E13997" s="25"/>
      <c r="F13997" s="25"/>
      <c r="G13997" s="25"/>
    </row>
    <row r="13998" spans="1:7" ht="21.36" thickBot="1" customHeight="1">
      <c r="A13998" s="24" t="s">
        <v>44244</v>
      </c>
      <c r="B13998" s="24" t="s">
        <v>44245</v>
      </c>
      <c r="C13998" s="24" t="s">
        <v>44246</v>
      </c>
      <c r="D13998" s="25" t="s">
        <v>44247</v>
      </c>
      <c r="E13998" s="28">
        <v>0.85000</v>
      </c>
      <c r="F13998" s="29">
        <f ca="1">ROUND(7.300,3)</f>
        <v>0</v>
      </c>
      <c r="G13998" s="27">
        <f ca="1">ROUND(E13998*F13998,2)</f>
        <v>0</v>
      </c>
    </row>
    <row r="13999" spans="1:7" ht="30.60" thickBot="1" customHeight="1">
      <c r="A13999" s="24" t="s">
        <v>44248</v>
      </c>
      <c r="B13999" s="24" t="s">
        <v>44249</v>
      </c>
      <c r="C13999" s="24" t="s">
        <v>44250</v>
      </c>
      <c r="D13999" s="25" t="s">
        <v>44251</v>
      </c>
      <c r="E13999" s="28">
        <v>0.02200</v>
      </c>
      <c r="F13999" s="29">
        <f ca="1">ROUND(27.500,3)</f>
        <v>0</v>
      </c>
      <c r="G13999" s="27">
        <f ca="1">ROUND(E13999*F13999,2)</f>
        <v>0</v>
      </c>
    </row>
    <row r="14000" spans="1:7" ht="21.36" thickBot="1" customHeight="1">
      <c r="A14000" s="24" t="s">
        <v>44252</v>
      </c>
      <c r="B14000" s="24" t="s">
        <v>44253</v>
      </c>
      <c r="C14000" s="24" t="s">
        <v>44254</v>
      </c>
      <c r="D14000" s="25" t="s">
        <v>44255</v>
      </c>
      <c r="E14000" s="28">
        <v>0.37500</v>
      </c>
      <c r="F14000" s="29">
        <f ca="1">ROUND(1.050,3)</f>
        <v>0</v>
      </c>
      <c r="G14000" s="27">
        <f ca="1">ROUND(E14000*F14000,2)</f>
        <v>0</v>
      </c>
    </row>
    <row r="14001" spans="1:7" ht="21.36" thickBot="1" customHeight="1">
      <c r="A14001" s="24" t="s">
        <v>44256</v>
      </c>
      <c r="B14001" s="24" t="s">
        <v>44257</v>
      </c>
      <c r="C14001" s="24" t="s">
        <v>44258</v>
      </c>
      <c r="D14001" s="25" t="s">
        <v>44259</v>
      </c>
      <c r="E14001" s="28">
        <v>0.50000</v>
      </c>
      <c r="F14001" s="29">
        <f ca="1">ROUND(1.760,3)</f>
        <v>0</v>
      </c>
      <c r="G14001" s="27">
        <f ca="1">ROUND(E14001*F14001,2)</f>
        <v>0</v>
      </c>
    </row>
    <row r="14002" spans="1:7" ht="21.36" thickBot="1" customHeight="1">
      <c r="A14002" s="24" t="s">
        <v>44260</v>
      </c>
      <c r="B14002" s="24" t="s">
        <v>44261</v>
      </c>
      <c r="C14002" s="24" t="s">
        <v>44262</v>
      </c>
      <c r="D14002" s="25" t="s">
        <v>44263</v>
      </c>
      <c r="E14002" s="28">
        <v>0.55000</v>
      </c>
      <c r="F14002" s="29">
        <f ca="1">F14006</f>
        <v>0</v>
      </c>
      <c r="G14002" s="27">
        <f ca="1">ROUND(E14002*F14002,2)</f>
        <v>0</v>
      </c>
    </row>
    <row r="14003" spans="1:7" ht="24.36" thickBot="1" customHeight="1">
      <c r="A14003" s="24" t="s">
        <v>44264</v>
      </c>
      <c r="B14003" s="24" t="s">
        <v>44265</v>
      </c>
      <c r="C14003" s="24" t="s">
        <v>44266</v>
      </c>
      <c r="D14003" s="25" t="s">
        <v>44267</v>
      </c>
      <c r="E14003" s="28">
        <v>1.00000</v>
      </c>
      <c r="F14003" s="29">
        <f ca="1">ROUND(21.000,3)</f>
        <v>0</v>
      </c>
      <c r="G14003" s="27">
        <f ca="1">ROUND(E14003*F14003,2)</f>
        <v>0</v>
      </c>
    </row>
    <row r="14004" spans="1:7" ht="24.36" thickBot="1" customHeight="1">
      <c r="A14004" s="24" t="s">
        <v>44268</v>
      </c>
      <c r="B14004" s="24" t="s">
        <v>44269</v>
      </c>
      <c r="C14004" s="24" t="s">
        <v>44270</v>
      </c>
      <c r="D14004" s="25" t="s">
        <v>44271</v>
      </c>
      <c r="E14004" s="28">
        <v>1.00000</v>
      </c>
      <c r="F14004" s="29">
        <f ca="1">ROUND(19.000,3)</f>
        <v>0</v>
      </c>
      <c r="G14004" s="27">
        <f ca="1">ROUND(E14004*F14004,2)</f>
        <v>0</v>
      </c>
    </row>
    <row r="14005" spans="1:7" ht="24.36" thickBot="1" customHeight="1">
      <c r="A14005" s="24" t="s">
        <v>44272</v>
      </c>
      <c r="B14005" s="24" t="s">
        <v>44273</v>
      </c>
      <c r="C14005" s="24" t="s">
        <v>44274</v>
      </c>
      <c r="D14005" s="25" t="s">
        <v>44275</v>
      </c>
      <c r="E14005" s="28">
        <v>0.20000</v>
      </c>
      <c r="F14005" s="29">
        <f ca="1">ROUND(19.000,3)</f>
        <v>0</v>
      </c>
      <c r="G14005" s="27">
        <f ca="1">ROUND(E14005*F14005,2)</f>
        <v>0</v>
      </c>
    </row>
    <row r="14006" spans="1:7" ht="15.12" thickBot="1" customHeight="1">
      <c r="A14006" s="26"/>
      <c r="B14006" s="26"/>
      <c r="C14006" s="26"/>
      <c r="D14006" s="24" t="s">
        <v>44276</v>
      </c>
      <c r="E14006" s="28">
        <v>0.55000</v>
      </c>
      <c r="F14006" s="29">
        <f ca="1">ROUND((G14003+G14004+G14005),3)</f>
        <v>0</v>
      </c>
      <c r="G14006" s="27">
        <f ca="1">ROUND(E14006*F14006,2)</f>
        <v>0</v>
      </c>
    </row>
    <row r="14007" spans="1:7" ht="15.12" thickBot="1" customHeight="1">
      <c r="A14007" s="24" t="s">
        <v>44277</v>
      </c>
      <c r="B14007" s="24"/>
      <c r="C14007" s="24" t="s">
        <v>44278</v>
      </c>
      <c r="D14007" s="25" t="s">
        <v>44279</v>
      </c>
      <c r="E14007" s="28">
        <v>3.00000</v>
      </c>
      <c r="F14007" s="29">
        <f ca="1">ROUND(24.090,3)</f>
        <v>0</v>
      </c>
      <c r="G14007" s="27">
        <f ca="1">ROUND((E14007*F14007)/100,2)</f>
        <v>0</v>
      </c>
    </row>
    <row r="14008" spans="1:7" ht="15.48" thickBot="1" customHeight="1">
      <c r="A14008" s="30"/>
      <c r="B14008" s="30"/>
      <c r="C14008" s="30"/>
      <c r="D14008" s="31" t="s">
        <v>44280</v>
      </c>
      <c r="E14008" s="30"/>
      <c r="F14008" s="33">
        <f ca="1">ROUND((G13998+G13999+G14000+G14001+G14002+G14007)*(1+G2/100),2)</f>
        <v>0</v>
      </c>
      <c r="G14008" s="30"/>
    </row>
    <row r="14009" spans="1:7" ht="30.60" thickBot="1" customHeight="1">
      <c r="A14009" s="34" t="s">
        <v>44281</v>
      </c>
      <c r="B14009" s="35" t="s">
        <v>44282</v>
      </c>
      <c r="C14009" s="35" t="s">
        <v>44283</v>
      </c>
      <c r="D14009" s="36" t="s">
        <v>44284</v>
      </c>
      <c r="E14009" s="37"/>
      <c r="F14009" s="38">
        <f ca="1">F14021</f>
        <v>0</v>
      </c>
      <c r="G14009" s="37"/>
    </row>
    <row r="14010" spans="1:7" ht="39.84" thickBot="1" customHeight="1">
      <c r="A14010" s="26"/>
      <c r="B14010" s="26"/>
      <c r="C14010" s="26"/>
      <c r="D14010" s="25" t="s">
        <v>44285</v>
      </c>
      <c r="E14010" s="25"/>
      <c r="F14010" s="25"/>
      <c r="G14010" s="25"/>
    </row>
    <row r="14011" spans="1:7" ht="21.36" thickBot="1" customHeight="1">
      <c r="A14011" s="24" t="s">
        <v>44286</v>
      </c>
      <c r="B14011" s="24" t="s">
        <v>44287</v>
      </c>
      <c r="C14011" s="24" t="s">
        <v>44288</v>
      </c>
      <c r="D14011" s="25" t="s">
        <v>44289</v>
      </c>
      <c r="E14011" s="28">
        <v>0.85000</v>
      </c>
      <c r="F14011" s="29">
        <f ca="1">ROUND(7.300,3)</f>
        <v>0</v>
      </c>
      <c r="G14011" s="27">
        <f ca="1">ROUND(E14011*F14011,2)</f>
        <v>0</v>
      </c>
    </row>
    <row r="14012" spans="1:7" ht="30.60" thickBot="1" customHeight="1">
      <c r="A14012" s="24" t="s">
        <v>44290</v>
      </c>
      <c r="B14012" s="24" t="s">
        <v>44291</v>
      </c>
      <c r="C14012" s="24" t="s">
        <v>44292</v>
      </c>
      <c r="D14012" s="25" t="s">
        <v>44293</v>
      </c>
      <c r="E14012" s="28">
        <v>0.02200</v>
      </c>
      <c r="F14012" s="29">
        <f ca="1">ROUND(27.500,3)</f>
        <v>0</v>
      </c>
      <c r="G14012" s="27">
        <f ca="1">ROUND(E14012*F14012,2)</f>
        <v>0</v>
      </c>
    </row>
    <row r="14013" spans="1:7" ht="21.36" thickBot="1" customHeight="1">
      <c r="A14013" s="24" t="s">
        <v>44294</v>
      </c>
      <c r="B14013" s="24" t="s">
        <v>44295</v>
      </c>
      <c r="C14013" s="24" t="s">
        <v>44296</v>
      </c>
      <c r="D14013" s="25" t="s">
        <v>44297</v>
      </c>
      <c r="E14013" s="28">
        <v>0.37500</v>
      </c>
      <c r="F14013" s="29">
        <f ca="1">ROUND(1.050,3)</f>
        <v>0</v>
      </c>
      <c r="G14013" s="27">
        <f ca="1">ROUND(E14013*F14013,2)</f>
        <v>0</v>
      </c>
    </row>
    <row r="14014" spans="1:7" ht="21.36" thickBot="1" customHeight="1">
      <c r="A14014" s="24" t="s">
        <v>44298</v>
      </c>
      <c r="B14014" s="24" t="s">
        <v>44299</v>
      </c>
      <c r="C14014" s="24" t="s">
        <v>44300</v>
      </c>
      <c r="D14014" s="25" t="s">
        <v>44301</v>
      </c>
      <c r="E14014" s="28">
        <v>0.50000</v>
      </c>
      <c r="F14014" s="29">
        <f ca="1">ROUND(1.760,3)</f>
        <v>0</v>
      </c>
      <c r="G14014" s="27">
        <f ca="1">ROUND(E14014*F14014,2)</f>
        <v>0</v>
      </c>
    </row>
    <row r="14015" spans="1:7" ht="24.36" thickBot="1" customHeight="1">
      <c r="A14015" s="24" t="s">
        <v>44302</v>
      </c>
      <c r="B14015" s="24" t="s">
        <v>44303</v>
      </c>
      <c r="C14015" s="24" t="s">
        <v>44304</v>
      </c>
      <c r="D14015" s="25" t="s">
        <v>44305</v>
      </c>
      <c r="E14015" s="28">
        <v>0.82500</v>
      </c>
      <c r="F14015" s="29">
        <f ca="1">F14019</f>
        <v>0</v>
      </c>
      <c r="G14015" s="27">
        <f ca="1">ROUND(E14015*F14015,2)</f>
        <v>0</v>
      </c>
    </row>
    <row r="14016" spans="1:7" ht="24.36" thickBot="1" customHeight="1">
      <c r="A14016" s="24" t="s">
        <v>44306</v>
      </c>
      <c r="B14016" s="24" t="s">
        <v>44307</v>
      </c>
      <c r="C14016" s="24" t="s">
        <v>44308</v>
      </c>
      <c r="D14016" s="25" t="s">
        <v>44309</v>
      </c>
      <c r="E14016" s="28">
        <v>1.00000</v>
      </c>
      <c r="F14016" s="29">
        <f ca="1">ROUND(21.000,3)</f>
        <v>0</v>
      </c>
      <c r="G14016" s="27">
        <f ca="1">ROUND(E14016*F14016,2)</f>
        <v>0</v>
      </c>
    </row>
    <row r="14017" spans="1:7" ht="24.36" thickBot="1" customHeight="1">
      <c r="A14017" s="24" t="s">
        <v>44310</v>
      </c>
      <c r="B14017" s="24" t="s">
        <v>44311</v>
      </c>
      <c r="C14017" s="24" t="s">
        <v>44312</v>
      </c>
      <c r="D14017" s="25" t="s">
        <v>44313</v>
      </c>
      <c r="E14017" s="28">
        <v>1.00000</v>
      </c>
      <c r="F14017" s="29">
        <f ca="1">ROUND(19.000,3)</f>
        <v>0</v>
      </c>
      <c r="G14017" s="27">
        <f ca="1">ROUND(E14017*F14017,2)</f>
        <v>0</v>
      </c>
    </row>
    <row r="14018" spans="1:7" ht="24.36" thickBot="1" customHeight="1">
      <c r="A14018" s="24" t="s">
        <v>44314</v>
      </c>
      <c r="B14018" s="24" t="s">
        <v>44315</v>
      </c>
      <c r="C14018" s="24" t="s">
        <v>44316</v>
      </c>
      <c r="D14018" s="25" t="s">
        <v>44317</v>
      </c>
      <c r="E14018" s="28">
        <v>0.50000</v>
      </c>
      <c r="F14018" s="29">
        <f ca="1">ROUND(19.000,3)</f>
        <v>0</v>
      </c>
      <c r="G14018" s="27">
        <f ca="1">ROUND(E14018*F14018,2)</f>
        <v>0</v>
      </c>
    </row>
    <row r="14019" spans="1:7" ht="15.12" thickBot="1" customHeight="1">
      <c r="A14019" s="26"/>
      <c r="B14019" s="26"/>
      <c r="C14019" s="26"/>
      <c r="D14019" s="24" t="s">
        <v>44318</v>
      </c>
      <c r="E14019" s="28">
        <v>0.82500</v>
      </c>
      <c r="F14019" s="29">
        <f ca="1">ROUND((G14016+G14017+G14018),3)</f>
        <v>0</v>
      </c>
      <c r="G14019" s="27">
        <f ca="1">ROUND(E14019*F14019,2)</f>
        <v>0</v>
      </c>
    </row>
    <row r="14020" spans="1:7" ht="15.12" thickBot="1" customHeight="1">
      <c r="A14020" s="24" t="s">
        <v>44319</v>
      </c>
      <c r="B14020" s="24"/>
      <c r="C14020" s="24" t="s">
        <v>44320</v>
      </c>
      <c r="D14020" s="25" t="s">
        <v>44321</v>
      </c>
      <c r="E14020" s="28">
        <v>3.00000</v>
      </c>
      <c r="F14020" s="29">
        <f ca="1">ROUND(40.840,3)</f>
        <v>0</v>
      </c>
      <c r="G14020" s="27">
        <f ca="1">ROUND((E14020*F14020)/100,2)</f>
        <v>0</v>
      </c>
    </row>
    <row r="14021" spans="1:7" ht="15.48" thickBot="1" customHeight="1">
      <c r="A14021" s="30"/>
      <c r="B14021" s="30"/>
      <c r="C14021" s="30"/>
      <c r="D14021" s="31" t="s">
        <v>44322</v>
      </c>
      <c r="E14021" s="30"/>
      <c r="F14021" s="33">
        <f ca="1">ROUND((G14011+G14012+G14013+G14014+G14015+G14020)*(1+G2/100),2)</f>
        <v>0</v>
      </c>
      <c r="G14021" s="30"/>
    </row>
    <row r="14022" spans="1:7" ht="30.60" thickBot="1" customHeight="1">
      <c r="A14022" s="34" t="s">
        <v>44323</v>
      </c>
      <c r="B14022" s="35" t="s">
        <v>44324</v>
      </c>
      <c r="C14022" s="35" t="s">
        <v>44325</v>
      </c>
      <c r="D14022" s="36" t="s">
        <v>44326</v>
      </c>
      <c r="E14022" s="37"/>
      <c r="F14022" s="38">
        <f ca="1">F14034</f>
        <v>0</v>
      </c>
      <c r="G14022" s="37"/>
    </row>
    <row r="14023" spans="1:7" ht="39.84" thickBot="1" customHeight="1">
      <c r="A14023" s="26"/>
      <c r="B14023" s="26"/>
      <c r="C14023" s="26"/>
      <c r="D14023" s="25" t="s">
        <v>44327</v>
      </c>
      <c r="E14023" s="25"/>
      <c r="F14023" s="25"/>
      <c r="G14023" s="25"/>
    </row>
    <row r="14024" spans="1:7" ht="21.36" thickBot="1" customHeight="1">
      <c r="A14024" s="24" t="s">
        <v>44328</v>
      </c>
      <c r="B14024" s="24" t="s">
        <v>44329</v>
      </c>
      <c r="C14024" s="24" t="s">
        <v>44330</v>
      </c>
      <c r="D14024" s="25" t="s">
        <v>44331</v>
      </c>
      <c r="E14024" s="28">
        <v>1.26000</v>
      </c>
      <c r="F14024" s="29">
        <f ca="1">ROUND(7.300,3)</f>
        <v>0</v>
      </c>
      <c r="G14024" s="27">
        <f ca="1">ROUND(E14024*F14024,2)</f>
        <v>0</v>
      </c>
    </row>
    <row r="14025" spans="1:7" ht="30.60" thickBot="1" customHeight="1">
      <c r="A14025" s="24" t="s">
        <v>44332</v>
      </c>
      <c r="B14025" s="24" t="s">
        <v>44333</v>
      </c>
      <c r="C14025" s="24" t="s">
        <v>44334</v>
      </c>
      <c r="D14025" s="25" t="s">
        <v>44335</v>
      </c>
      <c r="E14025" s="28">
        <v>0.02520</v>
      </c>
      <c r="F14025" s="29">
        <f ca="1">ROUND(27.500,3)</f>
        <v>0</v>
      </c>
      <c r="G14025" s="27">
        <f ca="1">ROUND(E14025*F14025,2)</f>
        <v>0</v>
      </c>
    </row>
    <row r="14026" spans="1:7" ht="21.36" thickBot="1" customHeight="1">
      <c r="A14026" s="24" t="s">
        <v>44336</v>
      </c>
      <c r="B14026" s="24" t="s">
        <v>44337</v>
      </c>
      <c r="C14026" s="24" t="s">
        <v>44338</v>
      </c>
      <c r="D14026" s="25" t="s">
        <v>44339</v>
      </c>
      <c r="E14026" s="28">
        <v>0.37500</v>
      </c>
      <c r="F14026" s="29">
        <f ca="1">ROUND(1.050,3)</f>
        <v>0</v>
      </c>
      <c r="G14026" s="27">
        <f ca="1">ROUND(E14026*F14026,2)</f>
        <v>0</v>
      </c>
    </row>
    <row r="14027" spans="1:7" ht="21.36" thickBot="1" customHeight="1">
      <c r="A14027" s="24" t="s">
        <v>44340</v>
      </c>
      <c r="B14027" s="24" t="s">
        <v>44341</v>
      </c>
      <c r="C14027" s="24" t="s">
        <v>44342</v>
      </c>
      <c r="D14027" s="25" t="s">
        <v>44343</v>
      </c>
      <c r="E14027" s="28">
        <v>0.50000</v>
      </c>
      <c r="F14027" s="29">
        <f ca="1">ROUND(1.760,3)</f>
        <v>0</v>
      </c>
      <c r="G14027" s="27">
        <f ca="1">ROUND(E14027*F14027,2)</f>
        <v>0</v>
      </c>
    </row>
    <row r="14028" spans="1:7" ht="21.36" thickBot="1" customHeight="1">
      <c r="A14028" s="24" t="s">
        <v>44344</v>
      </c>
      <c r="B14028" s="24" t="s">
        <v>44345</v>
      </c>
      <c r="C14028" s="24" t="s">
        <v>44346</v>
      </c>
      <c r="D14028" s="25" t="s">
        <v>44347</v>
      </c>
      <c r="E14028" s="28">
        <v>0.57000</v>
      </c>
      <c r="F14028" s="29">
        <f ca="1">F14032</f>
        <v>0</v>
      </c>
      <c r="G14028" s="27">
        <f ca="1">ROUND(E14028*F14028,2)</f>
        <v>0</v>
      </c>
    </row>
    <row r="14029" spans="1:7" ht="24.36" thickBot="1" customHeight="1">
      <c r="A14029" s="24" t="s">
        <v>44348</v>
      </c>
      <c r="B14029" s="24" t="s">
        <v>44349</v>
      </c>
      <c r="C14029" s="24" t="s">
        <v>44350</v>
      </c>
      <c r="D14029" s="25" t="s">
        <v>44351</v>
      </c>
      <c r="E14029" s="28">
        <v>1.00000</v>
      </c>
      <c r="F14029" s="29">
        <f ca="1">ROUND(21.000,3)</f>
        <v>0</v>
      </c>
      <c r="G14029" s="27">
        <f ca="1">ROUND(E14029*F14029,2)</f>
        <v>0</v>
      </c>
    </row>
    <row r="14030" spans="1:7" ht="24.36" thickBot="1" customHeight="1">
      <c r="A14030" s="24" t="s">
        <v>44352</v>
      </c>
      <c r="B14030" s="24" t="s">
        <v>44353</v>
      </c>
      <c r="C14030" s="24" t="s">
        <v>44354</v>
      </c>
      <c r="D14030" s="25" t="s">
        <v>44355</v>
      </c>
      <c r="E14030" s="28">
        <v>1.00000</v>
      </c>
      <c r="F14030" s="29">
        <f ca="1">ROUND(19.000,3)</f>
        <v>0</v>
      </c>
      <c r="G14030" s="27">
        <f ca="1">ROUND(E14030*F14030,2)</f>
        <v>0</v>
      </c>
    </row>
    <row r="14031" spans="1:7" ht="24.36" thickBot="1" customHeight="1">
      <c r="A14031" s="24" t="s">
        <v>44356</v>
      </c>
      <c r="B14031" s="24" t="s">
        <v>44357</v>
      </c>
      <c r="C14031" s="24" t="s">
        <v>44358</v>
      </c>
      <c r="D14031" s="25" t="s">
        <v>44359</v>
      </c>
      <c r="E14031" s="28">
        <v>0.20000</v>
      </c>
      <c r="F14031" s="29">
        <f ca="1">ROUND(19.000,3)</f>
        <v>0</v>
      </c>
      <c r="G14031" s="27">
        <f ca="1">ROUND(E14031*F14031,2)</f>
        <v>0</v>
      </c>
    </row>
    <row r="14032" spans="1:7" ht="15.12" thickBot="1" customHeight="1">
      <c r="A14032" s="26"/>
      <c r="B14032" s="26"/>
      <c r="C14032" s="26"/>
      <c r="D14032" s="24" t="s">
        <v>44360</v>
      </c>
      <c r="E14032" s="28">
        <v>0.57000</v>
      </c>
      <c r="F14032" s="29">
        <f ca="1">ROUND((G14029+G14030+G14031),3)</f>
        <v>0</v>
      </c>
      <c r="G14032" s="27">
        <f ca="1">ROUND(E14032*F14032,2)</f>
        <v>0</v>
      </c>
    </row>
    <row r="14033" spans="1:7" ht="15.12" thickBot="1" customHeight="1">
      <c r="A14033" s="24" t="s">
        <v>44361</v>
      </c>
      <c r="B14033" s="24"/>
      <c r="C14033" s="24" t="s">
        <v>44362</v>
      </c>
      <c r="D14033" s="25" t="s">
        <v>44363</v>
      </c>
      <c r="E14033" s="28">
        <v>3.00000</v>
      </c>
      <c r="F14033" s="29">
        <f ca="1">ROUND(24.970,3)</f>
        <v>0</v>
      </c>
      <c r="G14033" s="27">
        <f ca="1">ROUND((E14033*F14033)/100,2)</f>
        <v>0</v>
      </c>
    </row>
    <row r="14034" spans="1:7" ht="15.48" thickBot="1" customHeight="1">
      <c r="A14034" s="30"/>
      <c r="B14034" s="30"/>
      <c r="C14034" s="30"/>
      <c r="D14034" s="31" t="s">
        <v>44364</v>
      </c>
      <c r="E14034" s="30"/>
      <c r="F14034" s="33">
        <f ca="1">ROUND((G14024+G14025+G14026+G14027+G14028+G14033)*(1+G2/100),2)</f>
        <v>0</v>
      </c>
      <c r="G14034" s="30"/>
    </row>
    <row r="14035" spans="1:7" ht="30.60" thickBot="1" customHeight="1">
      <c r="A14035" s="34" t="s">
        <v>44365</v>
      </c>
      <c r="B14035" s="35" t="s">
        <v>44366</v>
      </c>
      <c r="C14035" s="35" t="s">
        <v>44367</v>
      </c>
      <c r="D14035" s="36" t="s">
        <v>44368</v>
      </c>
      <c r="E14035" s="37"/>
      <c r="F14035" s="38">
        <f ca="1">F14047</f>
        <v>0</v>
      </c>
      <c r="G14035" s="37"/>
    </row>
    <row r="14036" spans="1:7" ht="30.60" thickBot="1" customHeight="1">
      <c r="A14036" s="26"/>
      <c r="B14036" s="26"/>
      <c r="C14036" s="26"/>
      <c r="D14036" s="25" t="s">
        <v>44369</v>
      </c>
      <c r="E14036" s="25"/>
      <c r="F14036" s="25"/>
      <c r="G14036" s="25"/>
    </row>
    <row r="14037" spans="1:7" ht="39.84" thickBot="1" customHeight="1">
      <c r="A14037" s="24" t="s">
        <v>44370</v>
      </c>
      <c r="B14037" s="24" t="s">
        <v>44371</v>
      </c>
      <c r="C14037" s="24" t="s">
        <v>44372</v>
      </c>
      <c r="D14037" s="25" t="s">
        <v>44373</v>
      </c>
      <c r="E14037" s="28">
        <v>1.00000</v>
      </c>
      <c r="F14037" s="29">
        <f ca="1">ROUND(6.130,3)</f>
        <v>0</v>
      </c>
      <c r="G14037" s="27">
        <f ca="1">ROUND(E14037*F14037,2)</f>
        <v>0</v>
      </c>
    </row>
    <row r="14038" spans="1:7" ht="30.60" thickBot="1" customHeight="1">
      <c r="A14038" s="24" t="s">
        <v>44374</v>
      </c>
      <c r="B14038" s="24" t="s">
        <v>44375</v>
      </c>
      <c r="C14038" s="24" t="s">
        <v>44376</v>
      </c>
      <c r="D14038" s="25" t="s">
        <v>44377</v>
      </c>
      <c r="E14038" s="28">
        <v>0.02182</v>
      </c>
      <c r="F14038" s="29">
        <f ca="1">ROUND(75.520,3)</f>
        <v>0</v>
      </c>
      <c r="G14038" s="27">
        <f ca="1">ROUND(E14038*F14038,2)</f>
        <v>0</v>
      </c>
    </row>
    <row r="14039" spans="1:7" ht="21.36" thickBot="1" customHeight="1">
      <c r="A14039" s="24" t="s">
        <v>44378</v>
      </c>
      <c r="B14039" s="24" t="s">
        <v>44379</v>
      </c>
      <c r="C14039" s="24" t="s">
        <v>44380</v>
      </c>
      <c r="D14039" s="25" t="s">
        <v>44381</v>
      </c>
      <c r="E14039" s="28">
        <v>0.37500</v>
      </c>
      <c r="F14039" s="29">
        <f ca="1">ROUND(1.050,3)</f>
        <v>0</v>
      </c>
      <c r="G14039" s="27">
        <f ca="1">ROUND(E14039*F14039,2)</f>
        <v>0</v>
      </c>
    </row>
    <row r="14040" spans="1:7" ht="30.60" thickBot="1" customHeight="1">
      <c r="A14040" s="24" t="s">
        <v>44382</v>
      </c>
      <c r="B14040" s="24" t="s">
        <v>44383</v>
      </c>
      <c r="C14040" s="24" t="s">
        <v>44384</v>
      </c>
      <c r="D14040" s="25" t="s">
        <v>44385</v>
      </c>
      <c r="E14040" s="28">
        <v>0.50000</v>
      </c>
      <c r="F14040" s="29">
        <f ca="1">ROUND(1.760,3)</f>
        <v>0</v>
      </c>
      <c r="G14040" s="27">
        <f ca="1">ROUND(E14040*F14040,2)</f>
        <v>0</v>
      </c>
    </row>
    <row r="14041" spans="1:7" ht="21.36" thickBot="1" customHeight="1">
      <c r="A14041" s="24" t="s">
        <v>44386</v>
      </c>
      <c r="B14041" s="24" t="s">
        <v>44387</v>
      </c>
      <c r="C14041" s="24" t="s">
        <v>44388</v>
      </c>
      <c r="D14041" s="25" t="s">
        <v>44389</v>
      </c>
      <c r="E14041" s="28">
        <v>0.56000</v>
      </c>
      <c r="F14041" s="29">
        <f ca="1">F14045</f>
        <v>0</v>
      </c>
      <c r="G14041" s="27">
        <f ca="1">ROUND(E14041*F14041,2)</f>
        <v>0</v>
      </c>
    </row>
    <row r="14042" spans="1:7" ht="24.36" thickBot="1" customHeight="1">
      <c r="A14042" s="24" t="s">
        <v>44390</v>
      </c>
      <c r="B14042" s="24" t="s">
        <v>44391</v>
      </c>
      <c r="C14042" s="24" t="s">
        <v>44392</v>
      </c>
      <c r="D14042" s="25" t="s">
        <v>44393</v>
      </c>
      <c r="E14042" s="28">
        <v>1.00000</v>
      </c>
      <c r="F14042" s="29">
        <f ca="1">ROUND(21.000,3)</f>
        <v>0</v>
      </c>
      <c r="G14042" s="27">
        <f ca="1">ROUND(E14042*F14042,2)</f>
        <v>0</v>
      </c>
    </row>
    <row r="14043" spans="1:7" ht="24.36" thickBot="1" customHeight="1">
      <c r="A14043" s="24" t="s">
        <v>44394</v>
      </c>
      <c r="B14043" s="24" t="s">
        <v>44395</v>
      </c>
      <c r="C14043" s="24" t="s">
        <v>44396</v>
      </c>
      <c r="D14043" s="25" t="s">
        <v>44397</v>
      </c>
      <c r="E14043" s="28">
        <v>1.00000</v>
      </c>
      <c r="F14043" s="29">
        <f ca="1">ROUND(19.000,3)</f>
        <v>0</v>
      </c>
      <c r="G14043" s="27">
        <f ca="1">ROUND(E14043*F14043,2)</f>
        <v>0</v>
      </c>
    </row>
    <row r="14044" spans="1:7" ht="24.36" thickBot="1" customHeight="1">
      <c r="A14044" s="24" t="s">
        <v>44398</v>
      </c>
      <c r="B14044" s="24" t="s">
        <v>44399</v>
      </c>
      <c r="C14044" s="24" t="s">
        <v>44400</v>
      </c>
      <c r="D14044" s="25" t="s">
        <v>44401</v>
      </c>
      <c r="E14044" s="28">
        <v>0.20000</v>
      </c>
      <c r="F14044" s="29">
        <f ca="1">ROUND(19.000,3)</f>
        <v>0</v>
      </c>
      <c r="G14044" s="27">
        <f ca="1">ROUND(E14044*F14044,2)</f>
        <v>0</v>
      </c>
    </row>
    <row r="14045" spans="1:7" ht="15.12" thickBot="1" customHeight="1">
      <c r="A14045" s="26"/>
      <c r="B14045" s="26"/>
      <c r="C14045" s="26"/>
      <c r="D14045" s="24" t="s">
        <v>44402</v>
      </c>
      <c r="E14045" s="28">
        <v>0.56000</v>
      </c>
      <c r="F14045" s="29">
        <f ca="1">ROUND((G14042+G14043+G14044),3)</f>
        <v>0</v>
      </c>
      <c r="G14045" s="27">
        <f ca="1">ROUND(E14045*F14045,2)</f>
        <v>0</v>
      </c>
    </row>
    <row r="14046" spans="1:7" ht="15.12" thickBot="1" customHeight="1">
      <c r="A14046" s="24" t="s">
        <v>44403</v>
      </c>
      <c r="B14046" s="24"/>
      <c r="C14046" s="24" t="s">
        <v>44404</v>
      </c>
      <c r="D14046" s="25" t="s">
        <v>44405</v>
      </c>
      <c r="E14046" s="28">
        <v>3.00000</v>
      </c>
      <c r="F14046" s="29">
        <f ca="1">ROUND(24.530,3)</f>
        <v>0</v>
      </c>
      <c r="G14046" s="27">
        <f ca="1">ROUND((E14046*F14046)/100,2)</f>
        <v>0</v>
      </c>
    </row>
    <row r="14047" spans="1:7" ht="15.48" thickBot="1" customHeight="1">
      <c r="A14047" s="30"/>
      <c r="B14047" s="30"/>
      <c r="C14047" s="30"/>
      <c r="D14047" s="31" t="s">
        <v>44406</v>
      </c>
      <c r="E14047" s="30"/>
      <c r="F14047" s="33">
        <f ca="1">ROUND((G14037+G14038+G14039+G14040+G14041+G14046)*(1+G2/100),2)</f>
        <v>0</v>
      </c>
      <c r="G14047" s="30"/>
    </row>
    <row r="14048" spans="1:7" ht="30.60" thickBot="1" customHeight="1">
      <c r="A14048" s="34" t="s">
        <v>44407</v>
      </c>
      <c r="B14048" s="35" t="s">
        <v>44408</v>
      </c>
      <c r="C14048" s="35" t="s">
        <v>44409</v>
      </c>
      <c r="D14048" s="36" t="s">
        <v>44410</v>
      </c>
      <c r="E14048" s="37"/>
      <c r="F14048" s="38">
        <f ca="1">F14062</f>
        <v>0</v>
      </c>
      <c r="G14048" s="37"/>
    </row>
    <row r="14049" spans="1:7" ht="39.84" thickBot="1" customHeight="1">
      <c r="A14049" s="26"/>
      <c r="B14049" s="26"/>
      <c r="C14049" s="26"/>
      <c r="D14049" s="25" t="s">
        <v>44411</v>
      </c>
      <c r="E14049" s="25"/>
      <c r="F14049" s="25"/>
      <c r="G14049" s="25"/>
    </row>
    <row r="14050" spans="1:7" ht="30.60" thickBot="1" customHeight="1">
      <c r="A14050" s="24" t="s">
        <v>44412</v>
      </c>
      <c r="B14050" s="24" t="s">
        <v>44413</v>
      </c>
      <c r="C14050" s="24" t="s">
        <v>44414</v>
      </c>
      <c r="D14050" s="25" t="s">
        <v>44415</v>
      </c>
      <c r="E14050" s="28">
        <v>0.08000</v>
      </c>
      <c r="F14050" s="29">
        <f ca="1">ROUND(29.170,3)</f>
        <v>0</v>
      </c>
      <c r="G14050" s="27">
        <f ca="1">ROUND(E14050*F14050,2)</f>
        <v>0</v>
      </c>
    </row>
    <row r="14051" spans="1:7" ht="30.60" thickBot="1" customHeight="1">
      <c r="A14051" s="24" t="s">
        <v>44416</v>
      </c>
      <c r="B14051" s="24" t="s">
        <v>44417</v>
      </c>
      <c r="C14051" s="24" t="s">
        <v>44418</v>
      </c>
      <c r="D14051" s="25" t="s">
        <v>44419</v>
      </c>
      <c r="E14051" s="28">
        <v>0.80000</v>
      </c>
      <c r="F14051" s="29">
        <f ca="1">ROUND(8.330,3)</f>
        <v>0</v>
      </c>
      <c r="G14051" s="27">
        <f ca="1">ROUND(E14051*F14051,2)</f>
        <v>0</v>
      </c>
    </row>
    <row r="14052" spans="1:7" ht="21.36" thickBot="1" customHeight="1">
      <c r="A14052" s="24" t="s">
        <v>44420</v>
      </c>
      <c r="B14052" s="24" t="s">
        <v>44421</v>
      </c>
      <c r="C14052" s="24" t="s">
        <v>44422</v>
      </c>
      <c r="D14052" s="25" t="s">
        <v>44423</v>
      </c>
      <c r="E14052" s="28">
        <v>0.50000</v>
      </c>
      <c r="F14052" s="29">
        <f ca="1">ROUND(7.210,3)</f>
        <v>0</v>
      </c>
      <c r="G14052" s="27">
        <f ca="1">ROUND(E14052*F14052,2)</f>
        <v>0</v>
      </c>
    </row>
    <row r="14053" spans="1:7" ht="30.60" thickBot="1" customHeight="1">
      <c r="A14053" s="24" t="s">
        <v>44424</v>
      </c>
      <c r="B14053" s="24" t="s">
        <v>44425</v>
      </c>
      <c r="C14053" s="24" t="s">
        <v>44426</v>
      </c>
      <c r="D14053" s="25" t="s">
        <v>44427</v>
      </c>
      <c r="E14053" s="28">
        <v>0.02200</v>
      </c>
      <c r="F14053" s="29">
        <f ca="1">ROUND(27.500,3)</f>
        <v>0</v>
      </c>
      <c r="G14053" s="27">
        <f ca="1">ROUND(E14053*F14053,2)</f>
        <v>0</v>
      </c>
    </row>
    <row r="14054" spans="1:7" ht="21.36" thickBot="1" customHeight="1">
      <c r="A14054" s="24" t="s">
        <v>44428</v>
      </c>
      <c r="B14054" s="24" t="s">
        <v>44429</v>
      </c>
      <c r="C14054" s="24" t="s">
        <v>44430</v>
      </c>
      <c r="D14054" s="25" t="s">
        <v>44431</v>
      </c>
      <c r="E14054" s="28">
        <v>0.37500</v>
      </c>
      <c r="F14054" s="29">
        <f ca="1">ROUND(1.050,3)</f>
        <v>0</v>
      </c>
      <c r="G14054" s="27">
        <f ca="1">ROUND(E14054*F14054,2)</f>
        <v>0</v>
      </c>
    </row>
    <row r="14055" spans="1:7" ht="21.36" thickBot="1" customHeight="1">
      <c r="A14055" s="24" t="s">
        <v>44432</v>
      </c>
      <c r="B14055" s="24" t="s">
        <v>44433</v>
      </c>
      <c r="C14055" s="24" t="s">
        <v>44434</v>
      </c>
      <c r="D14055" s="25" t="s">
        <v>44435</v>
      </c>
      <c r="E14055" s="28">
        <v>0.50000</v>
      </c>
      <c r="F14055" s="29">
        <f ca="1">ROUND(1.760,3)</f>
        <v>0</v>
      </c>
      <c r="G14055" s="27">
        <f ca="1">ROUND(E14055*F14055,2)</f>
        <v>0</v>
      </c>
    </row>
    <row r="14056" spans="1:7" ht="21.36" thickBot="1" customHeight="1">
      <c r="A14056" s="24" t="s">
        <v>44436</v>
      </c>
      <c r="B14056" s="24" t="s">
        <v>44437</v>
      </c>
      <c r="C14056" s="24" t="s">
        <v>44438</v>
      </c>
      <c r="D14056" s="25" t="s">
        <v>44439</v>
      </c>
      <c r="E14056" s="28">
        <v>0.60000</v>
      </c>
      <c r="F14056" s="29">
        <f ca="1">F14060</f>
        <v>0</v>
      </c>
      <c r="G14056" s="27">
        <f ca="1">ROUND(E14056*F14056,2)</f>
        <v>0</v>
      </c>
    </row>
    <row r="14057" spans="1:7" ht="24.36" thickBot="1" customHeight="1">
      <c r="A14057" s="24" t="s">
        <v>44440</v>
      </c>
      <c r="B14057" s="24" t="s">
        <v>44441</v>
      </c>
      <c r="C14057" s="24" t="s">
        <v>44442</v>
      </c>
      <c r="D14057" s="25" t="s">
        <v>44443</v>
      </c>
      <c r="E14057" s="28">
        <v>1.00000</v>
      </c>
      <c r="F14057" s="29">
        <f ca="1">ROUND(21.000,3)</f>
        <v>0</v>
      </c>
      <c r="G14057" s="27">
        <f ca="1">ROUND(E14057*F14057,2)</f>
        <v>0</v>
      </c>
    </row>
    <row r="14058" spans="1:7" ht="24.36" thickBot="1" customHeight="1">
      <c r="A14058" s="24" t="s">
        <v>44444</v>
      </c>
      <c r="B14058" s="24" t="s">
        <v>44445</v>
      </c>
      <c r="C14058" s="24" t="s">
        <v>44446</v>
      </c>
      <c r="D14058" s="25" t="s">
        <v>44447</v>
      </c>
      <c r="E14058" s="28">
        <v>1.00000</v>
      </c>
      <c r="F14058" s="29">
        <f ca="1">ROUND(19.000,3)</f>
        <v>0</v>
      </c>
      <c r="G14058" s="27">
        <f ca="1">ROUND(E14058*F14058,2)</f>
        <v>0</v>
      </c>
    </row>
    <row r="14059" spans="1:7" ht="24.36" thickBot="1" customHeight="1">
      <c r="A14059" s="24" t="s">
        <v>44448</v>
      </c>
      <c r="B14059" s="24" t="s">
        <v>44449</v>
      </c>
      <c r="C14059" s="24" t="s">
        <v>44450</v>
      </c>
      <c r="D14059" s="25" t="s">
        <v>44451</v>
      </c>
      <c r="E14059" s="28">
        <v>0.20000</v>
      </c>
      <c r="F14059" s="29">
        <f ca="1">ROUND(19.000,3)</f>
        <v>0</v>
      </c>
      <c r="G14059" s="27">
        <f ca="1">ROUND(E14059*F14059,2)</f>
        <v>0</v>
      </c>
    </row>
    <row r="14060" spans="1:7" ht="15.12" thickBot="1" customHeight="1">
      <c r="A14060" s="26"/>
      <c r="B14060" s="26"/>
      <c r="C14060" s="26"/>
      <c r="D14060" s="24" t="s">
        <v>44452</v>
      </c>
      <c r="E14060" s="28">
        <v>0.60000</v>
      </c>
      <c r="F14060" s="29">
        <f ca="1">ROUND((G14057+G14058+G14059),3)</f>
        <v>0</v>
      </c>
      <c r="G14060" s="27">
        <f ca="1">ROUND(E14060*F14060,2)</f>
        <v>0</v>
      </c>
    </row>
    <row r="14061" spans="1:7" ht="15.12" thickBot="1" customHeight="1">
      <c r="A14061" s="24" t="s">
        <v>44453</v>
      </c>
      <c r="B14061" s="24"/>
      <c r="C14061" s="24" t="s">
        <v>44454</v>
      </c>
      <c r="D14061" s="25" t="s">
        <v>44455</v>
      </c>
      <c r="E14061" s="28">
        <v>3.00000</v>
      </c>
      <c r="F14061" s="29">
        <f ca="1">ROUND(26.280,3)</f>
        <v>0</v>
      </c>
      <c r="G14061" s="27">
        <f ca="1">ROUND((E14061*F14061)/100,2)</f>
        <v>0</v>
      </c>
    </row>
    <row r="14062" spans="1:7" ht="15.48" thickBot="1" customHeight="1">
      <c r="A14062" s="30"/>
      <c r="B14062" s="30"/>
      <c r="C14062" s="30"/>
      <c r="D14062" s="31" t="s">
        <v>44456</v>
      </c>
      <c r="E14062" s="30"/>
      <c r="F14062" s="33">
        <f ca="1">ROUND((G14050+G14051+G14052+G14053+G14054+G14055+G14056+G14061)*(1+G2/100),2)</f>
        <v>0</v>
      </c>
      <c r="G14062" s="30"/>
    </row>
    <row r="14063" spans="1:7" ht="39.84" thickBot="1" customHeight="1">
      <c r="A14063" s="34" t="s">
        <v>44457</v>
      </c>
      <c r="B14063" s="35" t="s">
        <v>44458</v>
      </c>
      <c r="C14063" s="35" t="s">
        <v>44459</v>
      </c>
      <c r="D14063" s="36" t="s">
        <v>44460</v>
      </c>
      <c r="E14063" s="37"/>
      <c r="F14063" s="38">
        <f ca="1">F14077</f>
        <v>0</v>
      </c>
      <c r="G14063" s="37"/>
    </row>
    <row r="14064" spans="1:7" ht="49.08" thickBot="1" customHeight="1">
      <c r="A14064" s="26"/>
      <c r="B14064" s="26"/>
      <c r="C14064" s="26"/>
      <c r="D14064" s="25" t="s">
        <v>44461</v>
      </c>
      <c r="E14064" s="25"/>
      <c r="F14064" s="25"/>
      <c r="G14064" s="25"/>
    </row>
    <row r="14065" spans="1:7" ht="30.60" thickBot="1" customHeight="1">
      <c r="A14065" s="24" t="s">
        <v>44462</v>
      </c>
      <c r="B14065" s="24" t="s">
        <v>44463</v>
      </c>
      <c r="C14065" s="24" t="s">
        <v>44464</v>
      </c>
      <c r="D14065" s="25" t="s">
        <v>44465</v>
      </c>
      <c r="E14065" s="28">
        <v>0.08000</v>
      </c>
      <c r="F14065" s="29">
        <f ca="1">ROUND(29.170,3)</f>
        <v>0</v>
      </c>
      <c r="G14065" s="27">
        <f ca="1">ROUND(E14065*F14065,2)</f>
        <v>0</v>
      </c>
    </row>
    <row r="14066" spans="1:7" ht="30.60" thickBot="1" customHeight="1">
      <c r="A14066" s="24" t="s">
        <v>44466</v>
      </c>
      <c r="B14066" s="24" t="s">
        <v>44467</v>
      </c>
      <c r="C14066" s="24" t="s">
        <v>44468</v>
      </c>
      <c r="D14066" s="25" t="s">
        <v>44469</v>
      </c>
      <c r="E14066" s="28">
        <v>0.80000</v>
      </c>
      <c r="F14066" s="29">
        <f ca="1">ROUND(8.330,3)</f>
        <v>0</v>
      </c>
      <c r="G14066" s="27">
        <f ca="1">ROUND(E14066*F14066,2)</f>
        <v>0</v>
      </c>
    </row>
    <row r="14067" spans="1:7" ht="21.36" thickBot="1" customHeight="1">
      <c r="A14067" s="24" t="s">
        <v>44470</v>
      </c>
      <c r="B14067" s="24" t="s">
        <v>44471</v>
      </c>
      <c r="C14067" s="24" t="s">
        <v>44472</v>
      </c>
      <c r="D14067" s="25" t="s">
        <v>44473</v>
      </c>
      <c r="E14067" s="28">
        <v>0.50000</v>
      </c>
      <c r="F14067" s="29">
        <f ca="1">ROUND(7.210,3)</f>
        <v>0</v>
      </c>
      <c r="G14067" s="27">
        <f ca="1">ROUND(E14067*F14067,2)</f>
        <v>0</v>
      </c>
    </row>
    <row r="14068" spans="1:7" ht="30.60" thickBot="1" customHeight="1">
      <c r="A14068" s="24" t="s">
        <v>44474</v>
      </c>
      <c r="B14068" s="24" t="s">
        <v>44475</v>
      </c>
      <c r="C14068" s="24" t="s">
        <v>44476</v>
      </c>
      <c r="D14068" s="25" t="s">
        <v>44477</v>
      </c>
      <c r="E14068" s="28">
        <v>0.02200</v>
      </c>
      <c r="F14068" s="29">
        <f ca="1">ROUND(27.500,3)</f>
        <v>0</v>
      </c>
      <c r="G14068" s="27">
        <f ca="1">ROUND(E14068*F14068,2)</f>
        <v>0</v>
      </c>
    </row>
    <row r="14069" spans="1:7" ht="21.36" thickBot="1" customHeight="1">
      <c r="A14069" s="24" t="s">
        <v>44478</v>
      </c>
      <c r="B14069" s="24" t="s">
        <v>44479</v>
      </c>
      <c r="C14069" s="24" t="s">
        <v>44480</v>
      </c>
      <c r="D14069" s="25" t="s">
        <v>44481</v>
      </c>
      <c r="E14069" s="28">
        <v>0.37500</v>
      </c>
      <c r="F14069" s="29">
        <f ca="1">ROUND(1.050,3)</f>
        <v>0</v>
      </c>
      <c r="G14069" s="27">
        <f ca="1">ROUND(E14069*F14069,2)</f>
        <v>0</v>
      </c>
    </row>
    <row r="14070" spans="1:7" ht="21.36" thickBot="1" customHeight="1">
      <c r="A14070" s="24" t="s">
        <v>44482</v>
      </c>
      <c r="B14070" s="24" t="s">
        <v>44483</v>
      </c>
      <c r="C14070" s="24" t="s">
        <v>44484</v>
      </c>
      <c r="D14070" s="25" t="s">
        <v>44485</v>
      </c>
      <c r="E14070" s="28">
        <v>0.50000</v>
      </c>
      <c r="F14070" s="29">
        <f ca="1">ROUND(1.760,3)</f>
        <v>0</v>
      </c>
      <c r="G14070" s="27">
        <f ca="1">ROUND(E14070*F14070,2)</f>
        <v>0</v>
      </c>
    </row>
    <row r="14071" spans="1:7" ht="24.36" thickBot="1" customHeight="1">
      <c r="A14071" s="24" t="s">
        <v>44486</v>
      </c>
      <c r="B14071" s="24" t="s">
        <v>44487</v>
      </c>
      <c r="C14071" s="24" t="s">
        <v>44488</v>
      </c>
      <c r="D14071" s="25" t="s">
        <v>44489</v>
      </c>
      <c r="E14071" s="28">
        <v>0.90000</v>
      </c>
      <c r="F14071" s="29">
        <f ca="1">F14075</f>
        <v>0</v>
      </c>
      <c r="G14071" s="27">
        <f ca="1">ROUND(E14071*F14071,2)</f>
        <v>0</v>
      </c>
    </row>
    <row r="14072" spans="1:7" ht="24.36" thickBot="1" customHeight="1">
      <c r="A14072" s="24" t="s">
        <v>44490</v>
      </c>
      <c r="B14072" s="24" t="s">
        <v>44491</v>
      </c>
      <c r="C14072" s="24" t="s">
        <v>44492</v>
      </c>
      <c r="D14072" s="25" t="s">
        <v>44493</v>
      </c>
      <c r="E14072" s="28">
        <v>1.00000</v>
      </c>
      <c r="F14072" s="29">
        <f ca="1">ROUND(21.000,3)</f>
        <v>0</v>
      </c>
      <c r="G14072" s="27">
        <f ca="1">ROUND(E14072*F14072,2)</f>
        <v>0</v>
      </c>
    </row>
    <row r="14073" spans="1:7" ht="24.36" thickBot="1" customHeight="1">
      <c r="A14073" s="24" t="s">
        <v>44494</v>
      </c>
      <c r="B14073" s="24" t="s">
        <v>44495</v>
      </c>
      <c r="C14073" s="24" t="s">
        <v>44496</v>
      </c>
      <c r="D14073" s="25" t="s">
        <v>44497</v>
      </c>
      <c r="E14073" s="28">
        <v>1.00000</v>
      </c>
      <c r="F14073" s="29">
        <f ca="1">ROUND(19.000,3)</f>
        <v>0</v>
      </c>
      <c r="G14073" s="27">
        <f ca="1">ROUND(E14073*F14073,2)</f>
        <v>0</v>
      </c>
    </row>
    <row r="14074" spans="1:7" ht="24.36" thickBot="1" customHeight="1">
      <c r="A14074" s="24" t="s">
        <v>44498</v>
      </c>
      <c r="B14074" s="24" t="s">
        <v>44499</v>
      </c>
      <c r="C14074" s="24" t="s">
        <v>44500</v>
      </c>
      <c r="D14074" s="25" t="s">
        <v>44501</v>
      </c>
      <c r="E14074" s="28">
        <v>0.50000</v>
      </c>
      <c r="F14074" s="29">
        <f ca="1">ROUND(19.000,3)</f>
        <v>0</v>
      </c>
      <c r="G14074" s="27">
        <f ca="1">ROUND(E14074*F14074,2)</f>
        <v>0</v>
      </c>
    </row>
    <row r="14075" spans="1:7" ht="15.12" thickBot="1" customHeight="1">
      <c r="A14075" s="26"/>
      <c r="B14075" s="26"/>
      <c r="C14075" s="26"/>
      <c r="D14075" s="24" t="s">
        <v>44502</v>
      </c>
      <c r="E14075" s="28">
        <v>0.90000</v>
      </c>
      <c r="F14075" s="29">
        <f ca="1">ROUND((G14072+G14073+G14074),3)</f>
        <v>0</v>
      </c>
      <c r="G14075" s="27">
        <f ca="1">ROUND(E14075*F14075,2)</f>
        <v>0</v>
      </c>
    </row>
    <row r="14076" spans="1:7" ht="15.12" thickBot="1" customHeight="1">
      <c r="A14076" s="24" t="s">
        <v>44503</v>
      </c>
      <c r="B14076" s="24"/>
      <c r="C14076" s="24" t="s">
        <v>44504</v>
      </c>
      <c r="D14076" s="25" t="s">
        <v>44505</v>
      </c>
      <c r="E14076" s="28">
        <v>3.00000</v>
      </c>
      <c r="F14076" s="29">
        <f ca="1">ROUND(44.550,3)</f>
        <v>0</v>
      </c>
      <c r="G14076" s="27">
        <f ca="1">ROUND((E14076*F14076)/100,2)</f>
        <v>0</v>
      </c>
    </row>
    <row r="14077" spans="1:7" ht="15.48" thickBot="1" customHeight="1">
      <c r="A14077" s="30"/>
      <c r="B14077" s="30"/>
      <c r="C14077" s="30"/>
      <c r="D14077" s="31" t="s">
        <v>44506</v>
      </c>
      <c r="E14077" s="30"/>
      <c r="F14077" s="33">
        <f ca="1">ROUND((G14065+G14066+G14067+G14068+G14069+G14070+G14071+G14076)*(1+G2/100),2)</f>
        <v>0</v>
      </c>
      <c r="G14077" s="30"/>
    </row>
    <row r="14078" spans="1:7" ht="30.60" thickBot="1" customHeight="1">
      <c r="A14078" s="34" t="s">
        <v>44507</v>
      </c>
      <c r="B14078" s="35" t="s">
        <v>44508</v>
      </c>
      <c r="C14078" s="35" t="s">
        <v>44509</v>
      </c>
      <c r="D14078" s="36" t="s">
        <v>44510</v>
      </c>
      <c r="E14078" s="37"/>
      <c r="F14078" s="38">
        <f ca="1">F14092</f>
        <v>0</v>
      </c>
      <c r="G14078" s="37"/>
    </row>
    <row r="14079" spans="1:7" ht="39.84" thickBot="1" customHeight="1">
      <c r="A14079" s="26"/>
      <c r="B14079" s="26"/>
      <c r="C14079" s="26"/>
      <c r="D14079" s="25" t="s">
        <v>44511</v>
      </c>
      <c r="E14079" s="25"/>
      <c r="F14079" s="25"/>
      <c r="G14079" s="25"/>
    </row>
    <row r="14080" spans="1:7" ht="30.60" thickBot="1" customHeight="1">
      <c r="A14080" s="24" t="s">
        <v>44512</v>
      </c>
      <c r="B14080" s="24" t="s">
        <v>44513</v>
      </c>
      <c r="C14080" s="24" t="s">
        <v>44514</v>
      </c>
      <c r="D14080" s="25" t="s">
        <v>44515</v>
      </c>
      <c r="E14080" s="28">
        <v>0.08000</v>
      </c>
      <c r="F14080" s="29">
        <f ca="1">ROUND(29.170,3)</f>
        <v>0</v>
      </c>
      <c r="G14080" s="27">
        <f ca="1">ROUND(E14080*F14080,2)</f>
        <v>0</v>
      </c>
    </row>
    <row r="14081" spans="1:7" ht="30.60" thickBot="1" customHeight="1">
      <c r="A14081" s="24" t="s">
        <v>44516</v>
      </c>
      <c r="B14081" s="24" t="s">
        <v>44517</v>
      </c>
      <c r="C14081" s="24" t="s">
        <v>44518</v>
      </c>
      <c r="D14081" s="25" t="s">
        <v>44519</v>
      </c>
      <c r="E14081" s="28">
        <v>0.80000</v>
      </c>
      <c r="F14081" s="29">
        <f ca="1">ROUND(11.740,3)</f>
        <v>0</v>
      </c>
      <c r="G14081" s="27">
        <f ca="1">ROUND(E14081*F14081,2)</f>
        <v>0</v>
      </c>
    </row>
    <row r="14082" spans="1:7" ht="30.60" thickBot="1" customHeight="1">
      <c r="A14082" s="24" t="s">
        <v>44520</v>
      </c>
      <c r="B14082" s="24" t="s">
        <v>44521</v>
      </c>
      <c r="C14082" s="24" t="s">
        <v>44522</v>
      </c>
      <c r="D14082" s="25" t="s">
        <v>44523</v>
      </c>
      <c r="E14082" s="28">
        <v>0.50000</v>
      </c>
      <c r="F14082" s="29">
        <f ca="1">ROUND(10.180,3)</f>
        <v>0</v>
      </c>
      <c r="G14082" s="27">
        <f ca="1">ROUND(E14082*F14082,2)</f>
        <v>0</v>
      </c>
    </row>
    <row r="14083" spans="1:7" ht="30.60" thickBot="1" customHeight="1">
      <c r="A14083" s="24" t="s">
        <v>44524</v>
      </c>
      <c r="B14083" s="24" t="s">
        <v>44525</v>
      </c>
      <c r="C14083" s="24" t="s">
        <v>44526</v>
      </c>
      <c r="D14083" s="25" t="s">
        <v>44527</v>
      </c>
      <c r="E14083" s="28">
        <v>0.02200</v>
      </c>
      <c r="F14083" s="29">
        <f ca="1">ROUND(27.500,3)</f>
        <v>0</v>
      </c>
      <c r="G14083" s="27">
        <f ca="1">ROUND(E14083*F14083,2)</f>
        <v>0</v>
      </c>
    </row>
    <row r="14084" spans="1:7" ht="21.36" thickBot="1" customHeight="1">
      <c r="A14084" s="24" t="s">
        <v>44528</v>
      </c>
      <c r="B14084" s="24" t="s">
        <v>44529</v>
      </c>
      <c r="C14084" s="24" t="s">
        <v>44530</v>
      </c>
      <c r="D14084" s="25" t="s">
        <v>44531</v>
      </c>
      <c r="E14084" s="28">
        <v>0.37500</v>
      </c>
      <c r="F14084" s="29">
        <f ca="1">ROUND(1.050,3)</f>
        <v>0</v>
      </c>
      <c r="G14084" s="27">
        <f ca="1">ROUND(E14084*F14084,2)</f>
        <v>0</v>
      </c>
    </row>
    <row r="14085" spans="1:7" ht="21.36" thickBot="1" customHeight="1">
      <c r="A14085" s="24" t="s">
        <v>44532</v>
      </c>
      <c r="B14085" s="24" t="s">
        <v>44533</v>
      </c>
      <c r="C14085" s="24" t="s">
        <v>44534</v>
      </c>
      <c r="D14085" s="25" t="s">
        <v>44535</v>
      </c>
      <c r="E14085" s="28">
        <v>0.50000</v>
      </c>
      <c r="F14085" s="29">
        <f ca="1">ROUND(1.760,3)</f>
        <v>0</v>
      </c>
      <c r="G14085" s="27">
        <f ca="1">ROUND(E14085*F14085,2)</f>
        <v>0</v>
      </c>
    </row>
    <row r="14086" spans="1:7" ht="21.36" thickBot="1" customHeight="1">
      <c r="A14086" s="24" t="s">
        <v>44536</v>
      </c>
      <c r="B14086" s="24" t="s">
        <v>44537</v>
      </c>
      <c r="C14086" s="24" t="s">
        <v>44538</v>
      </c>
      <c r="D14086" s="25" t="s">
        <v>44539</v>
      </c>
      <c r="E14086" s="28">
        <v>0.60000</v>
      </c>
      <c r="F14086" s="29">
        <f ca="1">F14090</f>
        <v>0</v>
      </c>
      <c r="G14086" s="27">
        <f ca="1">ROUND(E14086*F14086,2)</f>
        <v>0</v>
      </c>
    </row>
    <row r="14087" spans="1:7" ht="24.36" thickBot="1" customHeight="1">
      <c r="A14087" s="24" t="s">
        <v>44540</v>
      </c>
      <c r="B14087" s="24" t="s">
        <v>44541</v>
      </c>
      <c r="C14087" s="24" t="s">
        <v>44542</v>
      </c>
      <c r="D14087" s="25" t="s">
        <v>44543</v>
      </c>
      <c r="E14087" s="28">
        <v>1.00000</v>
      </c>
      <c r="F14087" s="29">
        <f ca="1">ROUND(21.000,3)</f>
        <v>0</v>
      </c>
      <c r="G14087" s="27">
        <f ca="1">ROUND(E14087*F14087,2)</f>
        <v>0</v>
      </c>
    </row>
    <row r="14088" spans="1:7" ht="24.36" thickBot="1" customHeight="1">
      <c r="A14088" s="24" t="s">
        <v>44544</v>
      </c>
      <c r="B14088" s="24" t="s">
        <v>44545</v>
      </c>
      <c r="C14088" s="24" t="s">
        <v>44546</v>
      </c>
      <c r="D14088" s="25" t="s">
        <v>44547</v>
      </c>
      <c r="E14088" s="28">
        <v>1.00000</v>
      </c>
      <c r="F14088" s="29">
        <f ca="1">ROUND(19.000,3)</f>
        <v>0</v>
      </c>
      <c r="G14088" s="27">
        <f ca="1">ROUND(E14088*F14088,2)</f>
        <v>0</v>
      </c>
    </row>
    <row r="14089" spans="1:7" ht="24.36" thickBot="1" customHeight="1">
      <c r="A14089" s="24" t="s">
        <v>44548</v>
      </c>
      <c r="B14089" s="24" t="s">
        <v>44549</v>
      </c>
      <c r="C14089" s="24" t="s">
        <v>44550</v>
      </c>
      <c r="D14089" s="25" t="s">
        <v>44551</v>
      </c>
      <c r="E14089" s="28">
        <v>0.20000</v>
      </c>
      <c r="F14089" s="29">
        <f ca="1">ROUND(19.000,3)</f>
        <v>0</v>
      </c>
      <c r="G14089" s="27">
        <f ca="1">ROUND(E14089*F14089,2)</f>
        <v>0</v>
      </c>
    </row>
    <row r="14090" spans="1:7" ht="15.12" thickBot="1" customHeight="1">
      <c r="A14090" s="26"/>
      <c r="B14090" s="26"/>
      <c r="C14090" s="26"/>
      <c r="D14090" s="24" t="s">
        <v>44552</v>
      </c>
      <c r="E14090" s="28">
        <v>0.60000</v>
      </c>
      <c r="F14090" s="29">
        <f ca="1">ROUND((G14087+G14088+G14089),3)</f>
        <v>0</v>
      </c>
      <c r="G14090" s="27">
        <f ca="1">ROUND(E14090*F14090,2)</f>
        <v>0</v>
      </c>
    </row>
    <row r="14091" spans="1:7" ht="15.12" thickBot="1" customHeight="1">
      <c r="A14091" s="24" t="s">
        <v>44553</v>
      </c>
      <c r="B14091" s="24"/>
      <c r="C14091" s="24" t="s">
        <v>44554</v>
      </c>
      <c r="D14091" s="25" t="s">
        <v>44555</v>
      </c>
      <c r="E14091" s="28">
        <v>3.00000</v>
      </c>
      <c r="F14091" s="29">
        <f ca="1">ROUND(26.280,3)</f>
        <v>0</v>
      </c>
      <c r="G14091" s="27">
        <f ca="1">ROUND((E14091*F14091)/100,2)</f>
        <v>0</v>
      </c>
    </row>
    <row r="14092" spans="1:7" ht="15.48" thickBot="1" customHeight="1">
      <c r="A14092" s="30"/>
      <c r="B14092" s="30"/>
      <c r="C14092" s="30"/>
      <c r="D14092" s="31" t="s">
        <v>44556</v>
      </c>
      <c r="E14092" s="30"/>
      <c r="F14092" s="33">
        <f ca="1">ROUND((G14080+G14081+G14082+G14083+G14084+G14085+G14086+G14091)*(1+G2/100),2)</f>
        <v>0</v>
      </c>
      <c r="G14092" s="30"/>
    </row>
    <row r="14093" spans="1:7" ht="39.84" thickBot="1" customHeight="1">
      <c r="A14093" s="34" t="s">
        <v>44557</v>
      </c>
      <c r="B14093" s="35" t="s">
        <v>44558</v>
      </c>
      <c r="C14093" s="35" t="s">
        <v>44559</v>
      </c>
      <c r="D14093" s="36" t="s">
        <v>44560</v>
      </c>
      <c r="E14093" s="37"/>
      <c r="F14093" s="38">
        <f ca="1">F14107</f>
        <v>0</v>
      </c>
      <c r="G14093" s="37"/>
    </row>
    <row r="14094" spans="1:7" ht="49.08" thickBot="1" customHeight="1">
      <c r="A14094" s="26"/>
      <c r="B14094" s="26"/>
      <c r="C14094" s="26"/>
      <c r="D14094" s="25" t="s">
        <v>44561</v>
      </c>
      <c r="E14094" s="25"/>
      <c r="F14094" s="25"/>
      <c r="G14094" s="25"/>
    </row>
    <row r="14095" spans="1:7" ht="30.60" thickBot="1" customHeight="1">
      <c r="A14095" s="24" t="s">
        <v>44562</v>
      </c>
      <c r="B14095" s="24" t="s">
        <v>44563</v>
      </c>
      <c r="C14095" s="24" t="s">
        <v>44564</v>
      </c>
      <c r="D14095" s="25" t="s">
        <v>44565</v>
      </c>
      <c r="E14095" s="28">
        <v>0.08000</v>
      </c>
      <c r="F14095" s="29">
        <f ca="1">ROUND(29.170,3)</f>
        <v>0</v>
      </c>
      <c r="G14095" s="27">
        <f ca="1">ROUND(E14095*F14095,2)</f>
        <v>0</v>
      </c>
    </row>
    <row r="14096" spans="1:7" ht="30.60" thickBot="1" customHeight="1">
      <c r="A14096" s="24" t="s">
        <v>44566</v>
      </c>
      <c r="B14096" s="24" t="s">
        <v>44567</v>
      </c>
      <c r="C14096" s="24" t="s">
        <v>44568</v>
      </c>
      <c r="D14096" s="25" t="s">
        <v>44569</v>
      </c>
      <c r="E14096" s="28">
        <v>0.80000</v>
      </c>
      <c r="F14096" s="29">
        <f ca="1">ROUND(11.740,3)</f>
        <v>0</v>
      </c>
      <c r="G14096" s="27">
        <f ca="1">ROUND(E14096*F14096,2)</f>
        <v>0</v>
      </c>
    </row>
    <row r="14097" spans="1:7" ht="30.60" thickBot="1" customHeight="1">
      <c r="A14097" s="24" t="s">
        <v>44570</v>
      </c>
      <c r="B14097" s="24" t="s">
        <v>44571</v>
      </c>
      <c r="C14097" s="24" t="s">
        <v>44572</v>
      </c>
      <c r="D14097" s="25" t="s">
        <v>44573</v>
      </c>
      <c r="E14097" s="28">
        <v>0.50000</v>
      </c>
      <c r="F14097" s="29">
        <f ca="1">ROUND(10.180,3)</f>
        <v>0</v>
      </c>
      <c r="G14097" s="27">
        <f ca="1">ROUND(E14097*F14097,2)</f>
        <v>0</v>
      </c>
    </row>
    <row r="14098" spans="1:7" ht="30.60" thickBot="1" customHeight="1">
      <c r="A14098" s="24" t="s">
        <v>44574</v>
      </c>
      <c r="B14098" s="24" t="s">
        <v>44575</v>
      </c>
      <c r="C14098" s="24" t="s">
        <v>44576</v>
      </c>
      <c r="D14098" s="25" t="s">
        <v>44577</v>
      </c>
      <c r="E14098" s="28">
        <v>0.02200</v>
      </c>
      <c r="F14098" s="29">
        <f ca="1">ROUND(27.500,3)</f>
        <v>0</v>
      </c>
      <c r="G14098" s="27">
        <f ca="1">ROUND(E14098*F14098,2)</f>
        <v>0</v>
      </c>
    </row>
    <row r="14099" spans="1:7" ht="21.36" thickBot="1" customHeight="1">
      <c r="A14099" s="24" t="s">
        <v>44578</v>
      </c>
      <c r="B14099" s="24" t="s">
        <v>44579</v>
      </c>
      <c r="C14099" s="24" t="s">
        <v>44580</v>
      </c>
      <c r="D14099" s="25" t="s">
        <v>44581</v>
      </c>
      <c r="E14099" s="28">
        <v>0.37500</v>
      </c>
      <c r="F14099" s="29">
        <f ca="1">ROUND(1.050,3)</f>
        <v>0</v>
      </c>
      <c r="G14099" s="27">
        <f ca="1">ROUND(E14099*F14099,2)</f>
        <v>0</v>
      </c>
    </row>
    <row r="14100" spans="1:7" ht="21.36" thickBot="1" customHeight="1">
      <c r="A14100" s="24" t="s">
        <v>44582</v>
      </c>
      <c r="B14100" s="24" t="s">
        <v>44583</v>
      </c>
      <c r="C14100" s="24" t="s">
        <v>44584</v>
      </c>
      <c r="D14100" s="25" t="s">
        <v>44585</v>
      </c>
      <c r="E14100" s="28">
        <v>0.50000</v>
      </c>
      <c r="F14100" s="29">
        <f ca="1">ROUND(1.760,3)</f>
        <v>0</v>
      </c>
      <c r="G14100" s="27">
        <f ca="1">ROUND(E14100*F14100,2)</f>
        <v>0</v>
      </c>
    </row>
    <row r="14101" spans="1:7" ht="24.36" thickBot="1" customHeight="1">
      <c r="A14101" s="24" t="s">
        <v>44586</v>
      </c>
      <c r="B14101" s="24" t="s">
        <v>44587</v>
      </c>
      <c r="C14101" s="24" t="s">
        <v>44588</v>
      </c>
      <c r="D14101" s="25" t="s">
        <v>44589</v>
      </c>
      <c r="E14101" s="28">
        <v>0.90000</v>
      </c>
      <c r="F14101" s="29">
        <f ca="1">F14105</f>
        <v>0</v>
      </c>
      <c r="G14101" s="27">
        <f ca="1">ROUND(E14101*F14101,2)</f>
        <v>0</v>
      </c>
    </row>
    <row r="14102" spans="1:7" ht="24.36" thickBot="1" customHeight="1">
      <c r="A14102" s="24" t="s">
        <v>44590</v>
      </c>
      <c r="B14102" s="24" t="s">
        <v>44591</v>
      </c>
      <c r="C14102" s="24" t="s">
        <v>44592</v>
      </c>
      <c r="D14102" s="25" t="s">
        <v>44593</v>
      </c>
      <c r="E14102" s="28">
        <v>1.00000</v>
      </c>
      <c r="F14102" s="29">
        <f ca="1">ROUND(21.000,3)</f>
        <v>0</v>
      </c>
      <c r="G14102" s="27">
        <f ca="1">ROUND(E14102*F14102,2)</f>
        <v>0</v>
      </c>
    </row>
    <row r="14103" spans="1:7" ht="24.36" thickBot="1" customHeight="1">
      <c r="A14103" s="24" t="s">
        <v>44594</v>
      </c>
      <c r="B14103" s="24" t="s">
        <v>44595</v>
      </c>
      <c r="C14103" s="24" t="s">
        <v>44596</v>
      </c>
      <c r="D14103" s="25" t="s">
        <v>44597</v>
      </c>
      <c r="E14103" s="28">
        <v>1.00000</v>
      </c>
      <c r="F14103" s="29">
        <f ca="1">ROUND(19.000,3)</f>
        <v>0</v>
      </c>
      <c r="G14103" s="27">
        <f ca="1">ROUND(E14103*F14103,2)</f>
        <v>0</v>
      </c>
    </row>
    <row r="14104" spans="1:7" ht="24.36" thickBot="1" customHeight="1">
      <c r="A14104" s="24" t="s">
        <v>44598</v>
      </c>
      <c r="B14104" s="24" t="s">
        <v>44599</v>
      </c>
      <c r="C14104" s="24" t="s">
        <v>44600</v>
      </c>
      <c r="D14104" s="25" t="s">
        <v>44601</v>
      </c>
      <c r="E14104" s="28">
        <v>0.50000</v>
      </c>
      <c r="F14104" s="29">
        <f ca="1">ROUND(19.000,3)</f>
        <v>0</v>
      </c>
      <c r="G14104" s="27">
        <f ca="1">ROUND(E14104*F14104,2)</f>
        <v>0</v>
      </c>
    </row>
    <row r="14105" spans="1:7" ht="15.12" thickBot="1" customHeight="1">
      <c r="A14105" s="26"/>
      <c r="B14105" s="26"/>
      <c r="C14105" s="26"/>
      <c r="D14105" s="24" t="s">
        <v>44602</v>
      </c>
      <c r="E14105" s="28">
        <v>0.90000</v>
      </c>
      <c r="F14105" s="29">
        <f ca="1">ROUND((G14102+G14103+G14104),3)</f>
        <v>0</v>
      </c>
      <c r="G14105" s="27">
        <f ca="1">ROUND(E14105*F14105,2)</f>
        <v>0</v>
      </c>
    </row>
    <row r="14106" spans="1:7" ht="15.12" thickBot="1" customHeight="1">
      <c r="A14106" s="24" t="s">
        <v>44603</v>
      </c>
      <c r="B14106" s="24"/>
      <c r="C14106" s="24" t="s">
        <v>44604</v>
      </c>
      <c r="D14106" s="25" t="s">
        <v>44605</v>
      </c>
      <c r="E14106" s="28">
        <v>3.00000</v>
      </c>
      <c r="F14106" s="29">
        <f ca="1">ROUND(44.550,3)</f>
        <v>0</v>
      </c>
      <c r="G14106" s="27">
        <f ca="1">ROUND((E14106*F14106)/100,2)</f>
        <v>0</v>
      </c>
    </row>
    <row r="14107" spans="1:7" ht="15.48" thickBot="1" customHeight="1">
      <c r="A14107" s="30"/>
      <c r="B14107" s="30"/>
      <c r="C14107" s="30"/>
      <c r="D14107" s="31" t="s">
        <v>44606</v>
      </c>
      <c r="E14107" s="30"/>
      <c r="F14107" s="33">
        <f ca="1">ROUND((G14095+G14096+G14097+G14098+G14099+G14100+G14101+G14106)*(1+G2/100),2)</f>
        <v>0</v>
      </c>
      <c r="G14107" s="30"/>
    </row>
    <row r="14108" spans="1:7" ht="30.60" thickBot="1" customHeight="1">
      <c r="A14108" s="34" t="s">
        <v>44607</v>
      </c>
      <c r="B14108" s="35" t="s">
        <v>44608</v>
      </c>
      <c r="C14108" s="35" t="s">
        <v>44609</v>
      </c>
      <c r="D14108" s="36" t="s">
        <v>44610</v>
      </c>
      <c r="E14108" s="37"/>
      <c r="F14108" s="38">
        <f ca="1">F14122</f>
        <v>0</v>
      </c>
      <c r="G14108" s="37"/>
    </row>
    <row r="14109" spans="1:7" ht="39.84" thickBot="1" customHeight="1">
      <c r="A14109" s="26"/>
      <c r="B14109" s="26"/>
      <c r="C14109" s="26"/>
      <c r="D14109" s="25" t="s">
        <v>44611</v>
      </c>
      <c r="E14109" s="25"/>
      <c r="F14109" s="25"/>
      <c r="G14109" s="25"/>
    </row>
    <row r="14110" spans="1:7" ht="30.60" thickBot="1" customHeight="1">
      <c r="A14110" s="24" t="s">
        <v>44612</v>
      </c>
      <c r="B14110" s="24" t="s">
        <v>44613</v>
      </c>
      <c r="C14110" s="24" t="s">
        <v>44614</v>
      </c>
      <c r="D14110" s="25" t="s">
        <v>44615</v>
      </c>
      <c r="E14110" s="28">
        <v>0.01500</v>
      </c>
      <c r="F14110" s="29">
        <f ca="1">ROUND(143.220,3)</f>
        <v>0</v>
      </c>
      <c r="G14110" s="27">
        <f ca="1">ROUND(E14110*F14110,2)</f>
        <v>0</v>
      </c>
    </row>
    <row r="14111" spans="1:7" ht="24.36" thickBot="1" customHeight="1">
      <c r="A14111" s="24" t="s">
        <v>44616</v>
      </c>
      <c r="B14111" s="24" t="s">
        <v>44617</v>
      </c>
      <c r="C14111" s="24" t="s">
        <v>44618</v>
      </c>
      <c r="D14111" s="25" t="s">
        <v>44619</v>
      </c>
      <c r="E14111" s="28">
        <v>0.78000</v>
      </c>
      <c r="F14111" s="29">
        <f ca="1">ROUND(14.950,3)</f>
        <v>0</v>
      </c>
      <c r="G14111" s="27">
        <f ca="1">ROUND(E14111*F14111,2)</f>
        <v>0</v>
      </c>
    </row>
    <row r="14112" spans="1:7" ht="21.36" thickBot="1" customHeight="1">
      <c r="A14112" s="24" t="s">
        <v>44620</v>
      </c>
      <c r="B14112" s="24" t="s">
        <v>44621</v>
      </c>
      <c r="C14112" s="24" t="s">
        <v>44622</v>
      </c>
      <c r="D14112" s="25" t="s">
        <v>44623</v>
      </c>
      <c r="E14112" s="28">
        <v>0.50000</v>
      </c>
      <c r="F14112" s="29">
        <f ca="1">ROUND(7.210,3)</f>
        <v>0</v>
      </c>
      <c r="G14112" s="27">
        <f ca="1">ROUND(E14112*F14112,2)</f>
        <v>0</v>
      </c>
    </row>
    <row r="14113" spans="1:7" ht="58.32" thickBot="1" customHeight="1">
      <c r="A14113" s="24" t="s">
        <v>44624</v>
      </c>
      <c r="B14113" s="24" t="s">
        <v>44625</v>
      </c>
      <c r="C14113" s="24" t="s">
        <v>44626</v>
      </c>
      <c r="D14113" s="25" t="s">
        <v>44627</v>
      </c>
      <c r="E14113" s="28">
        <v>1.26000</v>
      </c>
      <c r="F14113" s="29">
        <f ca="1">ROUND(1.680,3)</f>
        <v>0</v>
      </c>
      <c r="G14113" s="27">
        <f ca="1">ROUND(E14113*F14113,2)</f>
        <v>0</v>
      </c>
    </row>
    <row r="14114" spans="1:7" ht="21.36" thickBot="1" customHeight="1">
      <c r="A14114" s="24" t="s">
        <v>44628</v>
      </c>
      <c r="B14114" s="24" t="s">
        <v>44629</v>
      </c>
      <c r="C14114" s="24" t="s">
        <v>44630</v>
      </c>
      <c r="D14114" s="25" t="s">
        <v>44631</v>
      </c>
      <c r="E14114" s="28">
        <v>0.37500</v>
      </c>
      <c r="F14114" s="29">
        <f ca="1">ROUND(1.050,3)</f>
        <v>0</v>
      </c>
      <c r="G14114" s="27">
        <f ca="1">ROUND(E14114*F14114,2)</f>
        <v>0</v>
      </c>
    </row>
    <row r="14115" spans="1:7" ht="21.36" thickBot="1" customHeight="1">
      <c r="A14115" s="24" t="s">
        <v>44632</v>
      </c>
      <c r="B14115" s="24" t="s">
        <v>44633</v>
      </c>
      <c r="C14115" s="24" t="s">
        <v>44634</v>
      </c>
      <c r="D14115" s="25" t="s">
        <v>44635</v>
      </c>
      <c r="E14115" s="28">
        <v>0.50000</v>
      </c>
      <c r="F14115" s="29">
        <f ca="1">ROUND(1.760,3)</f>
        <v>0</v>
      </c>
      <c r="G14115" s="27">
        <f ca="1">ROUND(E14115*F14115,2)</f>
        <v>0</v>
      </c>
    </row>
    <row r="14116" spans="1:7" ht="21.36" thickBot="1" customHeight="1">
      <c r="A14116" s="24" t="s">
        <v>44636</v>
      </c>
      <c r="B14116" s="24" t="s">
        <v>44637</v>
      </c>
      <c r="C14116" s="24" t="s">
        <v>44638</v>
      </c>
      <c r="D14116" s="25" t="s">
        <v>44639</v>
      </c>
      <c r="E14116" s="28">
        <v>0.60000</v>
      </c>
      <c r="F14116" s="29">
        <f ca="1">F14120</f>
        <v>0</v>
      </c>
      <c r="G14116" s="27">
        <f ca="1">ROUND(E14116*F14116,2)</f>
        <v>0</v>
      </c>
    </row>
    <row r="14117" spans="1:7" ht="24.36" thickBot="1" customHeight="1">
      <c r="A14117" s="24" t="s">
        <v>44640</v>
      </c>
      <c r="B14117" s="24" t="s">
        <v>44641</v>
      </c>
      <c r="C14117" s="24" t="s">
        <v>44642</v>
      </c>
      <c r="D14117" s="25" t="s">
        <v>44643</v>
      </c>
      <c r="E14117" s="28">
        <v>1.00000</v>
      </c>
      <c r="F14117" s="29">
        <f ca="1">ROUND(21.000,3)</f>
        <v>0</v>
      </c>
      <c r="G14117" s="27">
        <f ca="1">ROUND(E14117*F14117,2)</f>
        <v>0</v>
      </c>
    </row>
    <row r="14118" spans="1:7" ht="24.36" thickBot="1" customHeight="1">
      <c r="A14118" s="24" t="s">
        <v>44644</v>
      </c>
      <c r="B14118" s="24" t="s">
        <v>44645</v>
      </c>
      <c r="C14118" s="24" t="s">
        <v>44646</v>
      </c>
      <c r="D14118" s="25" t="s">
        <v>44647</v>
      </c>
      <c r="E14118" s="28">
        <v>1.00000</v>
      </c>
      <c r="F14118" s="29">
        <f ca="1">ROUND(19.000,3)</f>
        <v>0</v>
      </c>
      <c r="G14118" s="27">
        <f ca="1">ROUND(E14118*F14118,2)</f>
        <v>0</v>
      </c>
    </row>
    <row r="14119" spans="1:7" ht="24.36" thickBot="1" customHeight="1">
      <c r="A14119" s="24" t="s">
        <v>44648</v>
      </c>
      <c r="B14119" s="24" t="s">
        <v>44649</v>
      </c>
      <c r="C14119" s="24" t="s">
        <v>44650</v>
      </c>
      <c r="D14119" s="25" t="s">
        <v>44651</v>
      </c>
      <c r="E14119" s="28">
        <v>0.20000</v>
      </c>
      <c r="F14119" s="29">
        <f ca="1">ROUND(19.000,3)</f>
        <v>0</v>
      </c>
      <c r="G14119" s="27">
        <f ca="1">ROUND(E14119*F14119,2)</f>
        <v>0</v>
      </c>
    </row>
    <row r="14120" spans="1:7" ht="15.12" thickBot="1" customHeight="1">
      <c r="A14120" s="26"/>
      <c r="B14120" s="26"/>
      <c r="C14120" s="26"/>
      <c r="D14120" s="24" t="s">
        <v>44652</v>
      </c>
      <c r="E14120" s="28">
        <v>0.60000</v>
      </c>
      <c r="F14120" s="29">
        <f ca="1">ROUND((G14117+G14118+G14119),3)</f>
        <v>0</v>
      </c>
      <c r="G14120" s="27">
        <f ca="1">ROUND(E14120*F14120,2)</f>
        <v>0</v>
      </c>
    </row>
    <row r="14121" spans="1:7" ht="15.12" thickBot="1" customHeight="1">
      <c r="A14121" s="24" t="s">
        <v>44653</v>
      </c>
      <c r="B14121" s="24"/>
      <c r="C14121" s="24" t="s">
        <v>44654</v>
      </c>
      <c r="D14121" s="25" t="s">
        <v>44655</v>
      </c>
      <c r="E14121" s="28">
        <v>3.00000</v>
      </c>
      <c r="F14121" s="29">
        <f ca="1">ROUND(26.280,3)</f>
        <v>0</v>
      </c>
      <c r="G14121" s="27">
        <f ca="1">ROUND((E14121*F14121)/100,2)</f>
        <v>0</v>
      </c>
    </row>
    <row r="14122" spans="1:7" ht="15.48" thickBot="1" customHeight="1">
      <c r="A14122" s="30"/>
      <c r="B14122" s="30"/>
      <c r="C14122" s="30"/>
      <c r="D14122" s="31" t="s">
        <v>44656</v>
      </c>
      <c r="E14122" s="30"/>
      <c r="F14122" s="33">
        <f ca="1">ROUND((G14110+G14111+G14112+G14113+G14114+G14115+G14116+G14121)*(1+G2/100),2)</f>
        <v>0</v>
      </c>
      <c r="G14122" s="30"/>
    </row>
    <row r="14123" spans="1:7" ht="49.08" thickBot="1" customHeight="1">
      <c r="A14123" s="34" t="s">
        <v>44657</v>
      </c>
      <c r="B14123" s="35" t="s">
        <v>44658</v>
      </c>
      <c r="C14123" s="35" t="s">
        <v>44659</v>
      </c>
      <c r="D14123" s="36" t="s">
        <v>44660</v>
      </c>
      <c r="E14123" s="37"/>
      <c r="F14123" s="38">
        <f ca="1">F14136</f>
        <v>0</v>
      </c>
      <c r="G14123" s="37"/>
    </row>
    <row r="14124" spans="1:7" ht="21.36" thickBot="1" customHeight="1">
      <c r="A14124" s="26"/>
      <c r="B14124" s="26"/>
      <c r="C14124" s="26"/>
      <c r="D14124" s="25" t="s">
        <v>44661</v>
      </c>
      <c r="E14124" s="25"/>
      <c r="F14124" s="25"/>
      <c r="G14124" s="25"/>
    </row>
    <row r="14125" spans="1:7" ht="30.60" thickBot="1" customHeight="1">
      <c r="A14125" s="24" t="s">
        <v>44662</v>
      </c>
      <c r="B14125" s="24" t="s">
        <v>44663</v>
      </c>
      <c r="C14125" s="24" t="s">
        <v>44664</v>
      </c>
      <c r="D14125" s="25" t="s">
        <v>44665</v>
      </c>
      <c r="E14125" s="28">
        <v>0.06000</v>
      </c>
      <c r="F14125" s="29">
        <f ca="1">ROUND(29.170,3)</f>
        <v>0</v>
      </c>
      <c r="G14125" s="27">
        <f ca="1">ROUND(E14125*F14125,2)</f>
        <v>0</v>
      </c>
    </row>
    <row r="14126" spans="1:7" ht="39.84" thickBot="1" customHeight="1">
      <c r="A14126" s="24" t="s">
        <v>44666</v>
      </c>
      <c r="B14126" s="24" t="s">
        <v>44667</v>
      </c>
      <c r="C14126" s="24" t="s">
        <v>44668</v>
      </c>
      <c r="D14126" s="25" t="s">
        <v>44669</v>
      </c>
      <c r="E14126" s="28">
        <v>0.80000</v>
      </c>
      <c r="F14126" s="29">
        <f ca="1">ROUND(24.840,3)</f>
        <v>0</v>
      </c>
      <c r="G14126" s="27">
        <f ca="1">ROUND(E14126*F14126,2)</f>
        <v>0</v>
      </c>
    </row>
    <row r="14127" spans="1:7" ht="30.60" thickBot="1" customHeight="1">
      <c r="A14127" s="24" t="s">
        <v>44670</v>
      </c>
      <c r="B14127" s="24" t="s">
        <v>44671</v>
      </c>
      <c r="C14127" s="24" t="s">
        <v>44672</v>
      </c>
      <c r="D14127" s="25" t="s">
        <v>44673</v>
      </c>
      <c r="E14127" s="28">
        <v>0.02100</v>
      </c>
      <c r="F14127" s="29">
        <f ca="1">ROUND(27.500,3)</f>
        <v>0</v>
      </c>
      <c r="G14127" s="27">
        <f ca="1">ROUND(E14127*F14127,2)</f>
        <v>0</v>
      </c>
    </row>
    <row r="14128" spans="1:7" ht="21.36" thickBot="1" customHeight="1">
      <c r="A14128" s="24" t="s">
        <v>44674</v>
      </c>
      <c r="B14128" s="24" t="s">
        <v>44675</v>
      </c>
      <c r="C14128" s="24" t="s">
        <v>44676</v>
      </c>
      <c r="D14128" s="25" t="s">
        <v>44677</v>
      </c>
      <c r="E14128" s="28">
        <v>0.40000</v>
      </c>
      <c r="F14128" s="29">
        <f ca="1">ROUND(1.050,3)</f>
        <v>0</v>
      </c>
      <c r="G14128" s="27">
        <f ca="1">ROUND(E14128*F14128,2)</f>
        <v>0</v>
      </c>
    </row>
    <row r="14129" spans="1:7" ht="30.60" thickBot="1" customHeight="1">
      <c r="A14129" s="24" t="s">
        <v>44678</v>
      </c>
      <c r="B14129" s="24" t="s">
        <v>44679</v>
      </c>
      <c r="C14129" s="24" t="s">
        <v>44680</v>
      </c>
      <c r="D14129" s="25" t="s">
        <v>44681</v>
      </c>
      <c r="E14129" s="28">
        <v>0.50000</v>
      </c>
      <c r="F14129" s="29">
        <f ca="1">ROUND(1.760,3)</f>
        <v>0</v>
      </c>
      <c r="G14129" s="27">
        <f ca="1">ROUND(E14129*F14129,2)</f>
        <v>0</v>
      </c>
    </row>
    <row r="14130" spans="1:7" ht="21.36" thickBot="1" customHeight="1">
      <c r="A14130" s="24" t="s">
        <v>44682</v>
      </c>
      <c r="B14130" s="24" t="s">
        <v>44683</v>
      </c>
      <c r="C14130" s="24" t="s">
        <v>44684</v>
      </c>
      <c r="D14130" s="25" t="s">
        <v>44685</v>
      </c>
      <c r="E14130" s="28">
        <v>0.66666</v>
      </c>
      <c r="F14130" s="29">
        <f ca="1">F14134</f>
        <v>0</v>
      </c>
      <c r="G14130" s="27">
        <f ca="1">ROUND(E14130*F14130,2)</f>
        <v>0</v>
      </c>
    </row>
    <row r="14131" spans="1:7" ht="24.36" thickBot="1" customHeight="1">
      <c r="A14131" s="24" t="s">
        <v>44686</v>
      </c>
      <c r="B14131" s="24" t="s">
        <v>44687</v>
      </c>
      <c r="C14131" s="24" t="s">
        <v>44688</v>
      </c>
      <c r="D14131" s="25" t="s">
        <v>44689</v>
      </c>
      <c r="E14131" s="28">
        <v>1.00000</v>
      </c>
      <c r="F14131" s="29">
        <f ca="1">ROUND(21.000,3)</f>
        <v>0</v>
      </c>
      <c r="G14131" s="27">
        <f ca="1">ROUND(E14131*F14131,2)</f>
        <v>0</v>
      </c>
    </row>
    <row r="14132" spans="1:7" ht="24.36" thickBot="1" customHeight="1">
      <c r="A14132" s="24" t="s">
        <v>44690</v>
      </c>
      <c r="B14132" s="24" t="s">
        <v>44691</v>
      </c>
      <c r="C14132" s="24" t="s">
        <v>44692</v>
      </c>
      <c r="D14132" s="25" t="s">
        <v>44693</v>
      </c>
      <c r="E14132" s="28">
        <v>1.00000</v>
      </c>
      <c r="F14132" s="29">
        <f ca="1">ROUND(19.000,3)</f>
        <v>0</v>
      </c>
      <c r="G14132" s="27">
        <f ca="1">ROUND(E14132*F14132,2)</f>
        <v>0</v>
      </c>
    </row>
    <row r="14133" spans="1:7" ht="24.36" thickBot="1" customHeight="1">
      <c r="A14133" s="24" t="s">
        <v>44694</v>
      </c>
      <c r="B14133" s="24" t="s">
        <v>44695</v>
      </c>
      <c r="C14133" s="24" t="s">
        <v>44696</v>
      </c>
      <c r="D14133" s="25" t="s">
        <v>44697</v>
      </c>
      <c r="E14133" s="28">
        <v>0.20000</v>
      </c>
      <c r="F14133" s="29">
        <f ca="1">ROUND(19.000,3)</f>
        <v>0</v>
      </c>
      <c r="G14133" s="27">
        <f ca="1">ROUND(E14133*F14133,2)</f>
        <v>0</v>
      </c>
    </row>
    <row r="14134" spans="1:7" ht="15.12" thickBot="1" customHeight="1">
      <c r="A14134" s="26"/>
      <c r="B14134" s="26"/>
      <c r="C14134" s="26"/>
      <c r="D14134" s="24" t="s">
        <v>44698</v>
      </c>
      <c r="E14134" s="28">
        <v>0.66666</v>
      </c>
      <c r="F14134" s="29">
        <f ca="1">ROUND((G14131+G14132+G14133),3)</f>
        <v>0</v>
      </c>
      <c r="G14134" s="27">
        <f ca="1">ROUND(E14134*F14134,2)</f>
        <v>0</v>
      </c>
    </row>
    <row r="14135" spans="1:7" ht="15.12" thickBot="1" customHeight="1">
      <c r="A14135" s="24" t="s">
        <v>44699</v>
      </c>
      <c r="B14135" s="24"/>
      <c r="C14135" s="24" t="s">
        <v>44700</v>
      </c>
      <c r="D14135" s="25" t="s">
        <v>44701</v>
      </c>
      <c r="E14135" s="28">
        <v>5.00000</v>
      </c>
      <c r="F14135" s="29">
        <f ca="1">ROUND(29.200,3)</f>
        <v>0</v>
      </c>
      <c r="G14135" s="27">
        <f ca="1">ROUND((E14135*F14135)/100,2)</f>
        <v>0</v>
      </c>
    </row>
    <row r="14136" spans="1:7" ht="15.48" thickBot="1" customHeight="1">
      <c r="A14136" s="30"/>
      <c r="B14136" s="30"/>
      <c r="C14136" s="30"/>
      <c r="D14136" s="31" t="s">
        <v>44702</v>
      </c>
      <c r="E14136" s="30"/>
      <c r="F14136" s="33">
        <f ca="1">ROUND((G14125+G14126+G14127+G14128+G14129+G14130+G14135)*(1+G2/100),2)</f>
        <v>0</v>
      </c>
      <c r="G14136" s="30"/>
    </row>
    <row r="14137" spans="1:7" ht="49.08" thickBot="1" customHeight="1">
      <c r="A14137" s="34" t="s">
        <v>44703</v>
      </c>
      <c r="B14137" s="35" t="s">
        <v>44704</v>
      </c>
      <c r="C14137" s="35" t="s">
        <v>44705</v>
      </c>
      <c r="D14137" s="36" t="s">
        <v>44706</v>
      </c>
      <c r="E14137" s="37"/>
      <c r="F14137" s="38">
        <f ca="1">F14151</f>
        <v>0</v>
      </c>
      <c r="G14137" s="37"/>
    </row>
    <row r="14138" spans="1:7" ht="21.36" thickBot="1" customHeight="1">
      <c r="A14138" s="26"/>
      <c r="B14138" s="26"/>
      <c r="C14138" s="26"/>
      <c r="D14138" s="25" t="s">
        <v>44707</v>
      </c>
      <c r="E14138" s="25"/>
      <c r="F14138" s="25"/>
      <c r="G14138" s="25"/>
    </row>
    <row r="14139" spans="1:7" ht="30.60" thickBot="1" customHeight="1">
      <c r="A14139" s="24" t="s">
        <v>44708</v>
      </c>
      <c r="B14139" s="24" t="s">
        <v>44709</v>
      </c>
      <c r="C14139" s="24" t="s">
        <v>44710</v>
      </c>
      <c r="D14139" s="25" t="s">
        <v>44711</v>
      </c>
      <c r="E14139" s="28">
        <v>0.06000</v>
      </c>
      <c r="F14139" s="29">
        <f ca="1">ROUND(29.170,3)</f>
        <v>0</v>
      </c>
      <c r="G14139" s="27">
        <f ca="1">ROUND(E14139*F14139,2)</f>
        <v>0</v>
      </c>
    </row>
    <row r="14140" spans="1:7" ht="39.84" thickBot="1" customHeight="1">
      <c r="A14140" s="24" t="s">
        <v>44712</v>
      </c>
      <c r="B14140" s="24" t="s">
        <v>44713</v>
      </c>
      <c r="C14140" s="24" t="s">
        <v>44714</v>
      </c>
      <c r="D14140" s="25" t="s">
        <v>44715</v>
      </c>
      <c r="E14140" s="28">
        <v>0.80000</v>
      </c>
      <c r="F14140" s="29">
        <f ca="1">ROUND(24.840,3)</f>
        <v>0</v>
      </c>
      <c r="G14140" s="27">
        <f ca="1">ROUND(E14140*F14140,2)</f>
        <v>0</v>
      </c>
    </row>
    <row r="14141" spans="1:7" ht="30.60" thickBot="1" customHeight="1">
      <c r="A14141" s="24" t="s">
        <v>44716</v>
      </c>
      <c r="B14141" s="24" t="s">
        <v>44717</v>
      </c>
      <c r="C14141" s="24" t="s">
        <v>44718</v>
      </c>
      <c r="D14141" s="25" t="s">
        <v>44719</v>
      </c>
      <c r="E14141" s="28">
        <v>0.02100</v>
      </c>
      <c r="F14141" s="29">
        <f ca="1">ROUND(27.500,3)</f>
        <v>0</v>
      </c>
      <c r="G14141" s="27">
        <f ca="1">ROUND(E14141*F14141,2)</f>
        <v>0</v>
      </c>
    </row>
    <row r="14142" spans="1:7" ht="21.36" thickBot="1" customHeight="1">
      <c r="A14142" s="24" t="s">
        <v>44720</v>
      </c>
      <c r="B14142" s="24" t="s">
        <v>44721</v>
      </c>
      <c r="C14142" s="24" t="s">
        <v>44722</v>
      </c>
      <c r="D14142" s="25" t="s">
        <v>44723</v>
      </c>
      <c r="E14142" s="28">
        <v>0.40000</v>
      </c>
      <c r="F14142" s="29">
        <f ca="1">ROUND(1.050,3)</f>
        <v>0</v>
      </c>
      <c r="G14142" s="27">
        <f ca="1">ROUND(E14142*F14142,2)</f>
        <v>0</v>
      </c>
    </row>
    <row r="14143" spans="1:7" ht="30.60" thickBot="1" customHeight="1">
      <c r="A14143" s="24" t="s">
        <v>44724</v>
      </c>
      <c r="B14143" s="24" t="s">
        <v>44725</v>
      </c>
      <c r="C14143" s="24" t="s">
        <v>44726</v>
      </c>
      <c r="D14143" s="25" t="s">
        <v>44727</v>
      </c>
      <c r="E14143" s="28">
        <v>0.50000</v>
      </c>
      <c r="F14143" s="29">
        <f ca="1">ROUND(1.760,3)</f>
        <v>0</v>
      </c>
      <c r="G14143" s="27">
        <f ca="1">ROUND(E14143*F14143,2)</f>
        <v>0</v>
      </c>
    </row>
    <row r="14144" spans="1:7" ht="21.36" thickBot="1" customHeight="1">
      <c r="A14144" s="24" t="s">
        <v>44728</v>
      </c>
      <c r="B14144" s="24" t="s">
        <v>44729</v>
      </c>
      <c r="C14144" s="24" t="s">
        <v>44730</v>
      </c>
      <c r="D14144" s="25" t="s">
        <v>44731</v>
      </c>
      <c r="E14144" s="28">
        <v>0.75000</v>
      </c>
      <c r="F14144" s="29">
        <f ca="1">F14148</f>
        <v>0</v>
      </c>
      <c r="G14144" s="27">
        <f ca="1">ROUND(E14144*F14144,2)</f>
        <v>0</v>
      </c>
    </row>
    <row r="14145" spans="1:7" ht="24.36" thickBot="1" customHeight="1">
      <c r="A14145" s="24" t="s">
        <v>44732</v>
      </c>
      <c r="B14145" s="24" t="s">
        <v>44733</v>
      </c>
      <c r="C14145" s="24" t="s">
        <v>44734</v>
      </c>
      <c r="D14145" s="25" t="s">
        <v>44735</v>
      </c>
      <c r="E14145" s="28">
        <v>1.00000</v>
      </c>
      <c r="F14145" s="29">
        <f ca="1">ROUND(21.000,3)</f>
        <v>0</v>
      </c>
      <c r="G14145" s="27">
        <f ca="1">ROUND(E14145*F14145,2)</f>
        <v>0</v>
      </c>
    </row>
    <row r="14146" spans="1:7" ht="24.36" thickBot="1" customHeight="1">
      <c r="A14146" s="24" t="s">
        <v>44736</v>
      </c>
      <c r="B14146" s="24" t="s">
        <v>44737</v>
      </c>
      <c r="C14146" s="24" t="s">
        <v>44738</v>
      </c>
      <c r="D14146" s="25" t="s">
        <v>44739</v>
      </c>
      <c r="E14146" s="28">
        <v>1.00000</v>
      </c>
      <c r="F14146" s="29">
        <f ca="1">ROUND(19.000,3)</f>
        <v>0</v>
      </c>
      <c r="G14146" s="27">
        <f ca="1">ROUND(E14146*F14146,2)</f>
        <v>0</v>
      </c>
    </row>
    <row r="14147" spans="1:7" ht="24.36" thickBot="1" customHeight="1">
      <c r="A14147" s="24" t="s">
        <v>44740</v>
      </c>
      <c r="B14147" s="24" t="s">
        <v>44741</v>
      </c>
      <c r="C14147" s="24" t="s">
        <v>44742</v>
      </c>
      <c r="D14147" s="25" t="s">
        <v>44743</v>
      </c>
      <c r="E14147" s="28">
        <v>0.20000</v>
      </c>
      <c r="F14147" s="29">
        <f ca="1">ROUND(19.000,3)</f>
        <v>0</v>
      </c>
      <c r="G14147" s="27">
        <f ca="1">ROUND(E14147*F14147,2)</f>
        <v>0</v>
      </c>
    </row>
    <row r="14148" spans="1:7" ht="15.12" thickBot="1" customHeight="1">
      <c r="A14148" s="26"/>
      <c r="B14148" s="26"/>
      <c r="C14148" s="26"/>
      <c r="D14148" s="24" t="s">
        <v>44744</v>
      </c>
      <c r="E14148" s="28">
        <v>0.75000</v>
      </c>
      <c r="F14148" s="29">
        <f ca="1">ROUND((G14145+G14146+G14147),3)</f>
        <v>0</v>
      </c>
      <c r="G14148" s="27">
        <f ca="1">ROUND(E14148*F14148,2)</f>
        <v>0</v>
      </c>
    </row>
    <row r="14149" spans="1:7" ht="15.12" thickBot="1" customHeight="1">
      <c r="A14149" s="24" t="s">
        <v>44745</v>
      </c>
      <c r="B14149" s="24"/>
      <c r="C14149" s="24" t="s">
        <v>44746</v>
      </c>
      <c r="D14149" s="25" t="s">
        <v>44747</v>
      </c>
      <c r="E14149" s="28">
        <v>5.00000</v>
      </c>
      <c r="F14149" s="29">
        <f ca="1">ROUND(32.850,3)</f>
        <v>0</v>
      </c>
      <c r="G14149" s="27">
        <f ca="1">ROUND((E14149*F14149)/100,2)</f>
        <v>0</v>
      </c>
    </row>
    <row r="14150" spans="1:7" ht="30.60" thickBot="1" customHeight="1">
      <c r="A14150" s="24" t="s">
        <v>44748</v>
      </c>
      <c r="B14150" s="24" t="s">
        <v>44749</v>
      </c>
      <c r="C14150" s="24" t="s">
        <v>44750</v>
      </c>
      <c r="D14150" s="25" t="s">
        <v>44751</v>
      </c>
      <c r="E14150" s="28">
        <v>0.66000</v>
      </c>
      <c r="F14150" s="29">
        <f ca="1">ROUND(73.890,3)</f>
        <v>0</v>
      </c>
      <c r="G14150" s="27">
        <f ca="1">ROUND(E14150*F14150,2)</f>
        <v>0</v>
      </c>
    </row>
    <row r="14151" spans="1:7" ht="15.48" thickBot="1" customHeight="1">
      <c r="A14151" s="30"/>
      <c r="B14151" s="30"/>
      <c r="C14151" s="30"/>
      <c r="D14151" s="31" t="s">
        <v>44752</v>
      </c>
      <c r="E14151" s="30"/>
      <c r="F14151" s="33">
        <f ca="1">ROUND((G14139+G14140+G14141+G14142+G14143+G14144+G14149+G14150)*(1+G2/100),2)</f>
        <v>0</v>
      </c>
      <c r="G14151" s="30"/>
    </row>
    <row r="14152" spans="1:7" ht="49.08" thickBot="1" customHeight="1">
      <c r="A14152" s="34" t="s">
        <v>44753</v>
      </c>
      <c r="B14152" s="35" t="s">
        <v>44754</v>
      </c>
      <c r="C14152" s="35" t="s">
        <v>44755</v>
      </c>
      <c r="D14152" s="36" t="s">
        <v>44756</v>
      </c>
      <c r="E14152" s="37"/>
      <c r="F14152" s="38">
        <f ca="1">F14165</f>
        <v>0</v>
      </c>
      <c r="G14152" s="37"/>
    </row>
    <row r="14153" spans="1:7" ht="21.36" thickBot="1" customHeight="1">
      <c r="A14153" s="26"/>
      <c r="B14153" s="26"/>
      <c r="C14153" s="26"/>
      <c r="D14153" s="25" t="s">
        <v>44757</v>
      </c>
      <c r="E14153" s="25"/>
      <c r="F14153" s="25"/>
      <c r="G14153" s="25"/>
    </row>
    <row r="14154" spans="1:7" ht="30.60" thickBot="1" customHeight="1">
      <c r="A14154" s="24" t="s">
        <v>44758</v>
      </c>
      <c r="B14154" s="24" t="s">
        <v>44759</v>
      </c>
      <c r="C14154" s="24" t="s">
        <v>44760</v>
      </c>
      <c r="D14154" s="25" t="s">
        <v>44761</v>
      </c>
      <c r="E14154" s="28">
        <v>0.06000</v>
      </c>
      <c r="F14154" s="29">
        <f ca="1">ROUND(29.170,3)</f>
        <v>0</v>
      </c>
      <c r="G14154" s="27">
        <f ca="1">ROUND(E14154*F14154,2)</f>
        <v>0</v>
      </c>
    </row>
    <row r="14155" spans="1:7" ht="39.84" thickBot="1" customHeight="1">
      <c r="A14155" s="24" t="s">
        <v>44762</v>
      </c>
      <c r="B14155" s="24" t="s">
        <v>44763</v>
      </c>
      <c r="C14155" s="24" t="s">
        <v>44764</v>
      </c>
      <c r="D14155" s="25" t="s">
        <v>44765</v>
      </c>
      <c r="E14155" s="28">
        <v>0.80000</v>
      </c>
      <c r="F14155" s="29">
        <f ca="1">ROUND(24.840,3)</f>
        <v>0</v>
      </c>
      <c r="G14155" s="27">
        <f ca="1">ROUND(E14155*F14155,2)</f>
        <v>0</v>
      </c>
    </row>
    <row r="14156" spans="1:7" ht="30.60" thickBot="1" customHeight="1">
      <c r="A14156" s="24" t="s">
        <v>44766</v>
      </c>
      <c r="B14156" s="24" t="s">
        <v>44767</v>
      </c>
      <c r="C14156" s="24" t="s">
        <v>44768</v>
      </c>
      <c r="D14156" s="25" t="s">
        <v>44769</v>
      </c>
      <c r="E14156" s="28">
        <v>0.02100</v>
      </c>
      <c r="F14156" s="29">
        <f ca="1">ROUND(27.500,3)</f>
        <v>0</v>
      </c>
      <c r="G14156" s="27">
        <f ca="1">ROUND(E14156*F14156,2)</f>
        <v>0</v>
      </c>
    </row>
    <row r="14157" spans="1:7" ht="21.36" thickBot="1" customHeight="1">
      <c r="A14157" s="24" t="s">
        <v>44770</v>
      </c>
      <c r="B14157" s="24" t="s">
        <v>44771</v>
      </c>
      <c r="C14157" s="24" t="s">
        <v>44772</v>
      </c>
      <c r="D14157" s="25" t="s">
        <v>44773</v>
      </c>
      <c r="E14157" s="28">
        <v>0.40000</v>
      </c>
      <c r="F14157" s="29">
        <f ca="1">ROUND(1.050,3)</f>
        <v>0</v>
      </c>
      <c r="G14157" s="27">
        <f ca="1">ROUND(E14157*F14157,2)</f>
        <v>0</v>
      </c>
    </row>
    <row r="14158" spans="1:7" ht="30.60" thickBot="1" customHeight="1">
      <c r="A14158" s="24" t="s">
        <v>44774</v>
      </c>
      <c r="B14158" s="24" t="s">
        <v>44775</v>
      </c>
      <c r="C14158" s="24" t="s">
        <v>44776</v>
      </c>
      <c r="D14158" s="25" t="s">
        <v>44777</v>
      </c>
      <c r="E14158" s="28">
        <v>0.50000</v>
      </c>
      <c r="F14158" s="29">
        <f ca="1">ROUND(1.760,3)</f>
        <v>0</v>
      </c>
      <c r="G14158" s="27">
        <f ca="1">ROUND(E14158*F14158,2)</f>
        <v>0</v>
      </c>
    </row>
    <row r="14159" spans="1:7" ht="21.36" thickBot="1" customHeight="1">
      <c r="A14159" s="24" t="s">
        <v>44778</v>
      </c>
      <c r="B14159" s="24" t="s">
        <v>44779</v>
      </c>
      <c r="C14159" s="24" t="s">
        <v>44780</v>
      </c>
      <c r="D14159" s="25" t="s">
        <v>44781</v>
      </c>
      <c r="E14159" s="28">
        <v>0.53333</v>
      </c>
      <c r="F14159" s="29">
        <f ca="1">F14163</f>
        <v>0</v>
      </c>
      <c r="G14159" s="27">
        <f ca="1">ROUND(E14159*F14159,2)</f>
        <v>0</v>
      </c>
    </row>
    <row r="14160" spans="1:7" ht="24.36" thickBot="1" customHeight="1">
      <c r="A14160" s="24" t="s">
        <v>44782</v>
      </c>
      <c r="B14160" s="24" t="s">
        <v>44783</v>
      </c>
      <c r="C14160" s="24" t="s">
        <v>44784</v>
      </c>
      <c r="D14160" s="25" t="s">
        <v>44785</v>
      </c>
      <c r="E14160" s="28">
        <v>1.00000</v>
      </c>
      <c r="F14160" s="29">
        <f ca="1">ROUND(21.000,3)</f>
        <v>0</v>
      </c>
      <c r="G14160" s="27">
        <f ca="1">ROUND(E14160*F14160,2)</f>
        <v>0</v>
      </c>
    </row>
    <row r="14161" spans="1:7" ht="24.36" thickBot="1" customHeight="1">
      <c r="A14161" s="24" t="s">
        <v>44786</v>
      </c>
      <c r="B14161" s="24" t="s">
        <v>44787</v>
      </c>
      <c r="C14161" s="24" t="s">
        <v>44788</v>
      </c>
      <c r="D14161" s="25" t="s">
        <v>44789</v>
      </c>
      <c r="E14161" s="28">
        <v>1.00000</v>
      </c>
      <c r="F14161" s="29">
        <f ca="1">ROUND(19.000,3)</f>
        <v>0</v>
      </c>
      <c r="G14161" s="27">
        <f ca="1">ROUND(E14161*F14161,2)</f>
        <v>0</v>
      </c>
    </row>
    <row r="14162" spans="1:7" ht="24.36" thickBot="1" customHeight="1">
      <c r="A14162" s="24" t="s">
        <v>44790</v>
      </c>
      <c r="B14162" s="24" t="s">
        <v>44791</v>
      </c>
      <c r="C14162" s="24" t="s">
        <v>44792</v>
      </c>
      <c r="D14162" s="25" t="s">
        <v>44793</v>
      </c>
      <c r="E14162" s="28">
        <v>0.20000</v>
      </c>
      <c r="F14162" s="29">
        <f ca="1">ROUND(19.000,3)</f>
        <v>0</v>
      </c>
      <c r="G14162" s="27">
        <f ca="1">ROUND(E14162*F14162,2)</f>
        <v>0</v>
      </c>
    </row>
    <row r="14163" spans="1:7" ht="15.12" thickBot="1" customHeight="1">
      <c r="A14163" s="26"/>
      <c r="B14163" s="26"/>
      <c r="C14163" s="26"/>
      <c r="D14163" s="24" t="s">
        <v>44794</v>
      </c>
      <c r="E14163" s="28">
        <v>0.53333</v>
      </c>
      <c r="F14163" s="29">
        <f ca="1">ROUND((G14160+G14161+G14162),3)</f>
        <v>0</v>
      </c>
      <c r="G14163" s="27">
        <f ca="1">ROUND(E14163*F14163,2)</f>
        <v>0</v>
      </c>
    </row>
    <row r="14164" spans="1:7" ht="15.12" thickBot="1" customHeight="1">
      <c r="A14164" s="24" t="s">
        <v>44795</v>
      </c>
      <c r="B14164" s="24"/>
      <c r="C14164" s="24" t="s">
        <v>44796</v>
      </c>
      <c r="D14164" s="25" t="s">
        <v>44797</v>
      </c>
      <c r="E14164" s="28">
        <v>5.00000</v>
      </c>
      <c r="F14164" s="29">
        <f ca="1">ROUND(23.360,3)</f>
        <v>0</v>
      </c>
      <c r="G14164" s="27">
        <f ca="1">ROUND((E14164*F14164)/100,2)</f>
        <v>0</v>
      </c>
    </row>
    <row r="14165" spans="1:7" ht="15.48" thickBot="1" customHeight="1">
      <c r="A14165" s="30"/>
      <c r="B14165" s="30"/>
      <c r="C14165" s="30"/>
      <c r="D14165" s="31" t="s">
        <v>44798</v>
      </c>
      <c r="E14165" s="30"/>
      <c r="F14165" s="33">
        <f ca="1">ROUND((G14154+G14155+G14156+G14157+G14158+G14159+G14164)*(1+G2/100),2)</f>
        <v>0</v>
      </c>
      <c r="G14165" s="30"/>
    </row>
    <row r="14166" spans="1:7" ht="49.08" thickBot="1" customHeight="1">
      <c r="A14166" s="34" t="s">
        <v>44799</v>
      </c>
      <c r="B14166" s="35" t="s">
        <v>44800</v>
      </c>
      <c r="C14166" s="35" t="s">
        <v>44801</v>
      </c>
      <c r="D14166" s="36" t="s">
        <v>44802</v>
      </c>
      <c r="E14166" s="37"/>
      <c r="F14166" s="38">
        <f ca="1">F14179</f>
        <v>0</v>
      </c>
      <c r="G14166" s="37"/>
    </row>
    <row r="14167" spans="1:7" ht="21.36" thickBot="1" customHeight="1">
      <c r="A14167" s="26"/>
      <c r="B14167" s="26"/>
      <c r="C14167" s="26"/>
      <c r="D14167" s="25" t="s">
        <v>44803</v>
      </c>
      <c r="E14167" s="25"/>
      <c r="F14167" s="25"/>
      <c r="G14167" s="25"/>
    </row>
    <row r="14168" spans="1:7" ht="30.60" thickBot="1" customHeight="1">
      <c r="A14168" s="24" t="s">
        <v>44804</v>
      </c>
      <c r="B14168" s="24" t="s">
        <v>44805</v>
      </c>
      <c r="C14168" s="24" t="s">
        <v>44806</v>
      </c>
      <c r="D14168" s="25" t="s">
        <v>44807</v>
      </c>
      <c r="E14168" s="28">
        <v>0.06000</v>
      </c>
      <c r="F14168" s="29">
        <f ca="1">ROUND(29.170,3)</f>
        <v>0</v>
      </c>
      <c r="G14168" s="27">
        <f ca="1">ROUND(E14168*F14168,2)</f>
        <v>0</v>
      </c>
    </row>
    <row r="14169" spans="1:7" ht="39.84" thickBot="1" customHeight="1">
      <c r="A14169" s="24" t="s">
        <v>44808</v>
      </c>
      <c r="B14169" s="24" t="s">
        <v>44809</v>
      </c>
      <c r="C14169" s="24" t="s">
        <v>44810</v>
      </c>
      <c r="D14169" s="25" t="s">
        <v>44811</v>
      </c>
      <c r="E14169" s="28">
        <v>0.80000</v>
      </c>
      <c r="F14169" s="29">
        <f ca="1">ROUND(24.840,3)</f>
        <v>0</v>
      </c>
      <c r="G14169" s="27">
        <f ca="1">ROUND(E14169*F14169,2)</f>
        <v>0</v>
      </c>
    </row>
    <row r="14170" spans="1:7" ht="30.60" thickBot="1" customHeight="1">
      <c r="A14170" s="24" t="s">
        <v>44812</v>
      </c>
      <c r="B14170" s="24" t="s">
        <v>44813</v>
      </c>
      <c r="C14170" s="24" t="s">
        <v>44814</v>
      </c>
      <c r="D14170" s="25" t="s">
        <v>44815</v>
      </c>
      <c r="E14170" s="28">
        <v>0.02100</v>
      </c>
      <c r="F14170" s="29">
        <f ca="1">ROUND(27.500,3)</f>
        <v>0</v>
      </c>
      <c r="G14170" s="27">
        <f ca="1">ROUND(E14170*F14170,2)</f>
        <v>0</v>
      </c>
    </row>
    <row r="14171" spans="1:7" ht="21.36" thickBot="1" customHeight="1">
      <c r="A14171" s="24" t="s">
        <v>44816</v>
      </c>
      <c r="B14171" s="24" t="s">
        <v>44817</v>
      </c>
      <c r="C14171" s="24" t="s">
        <v>44818</v>
      </c>
      <c r="D14171" s="25" t="s">
        <v>44819</v>
      </c>
      <c r="E14171" s="28">
        <v>0.40000</v>
      </c>
      <c r="F14171" s="29">
        <f ca="1">ROUND(1.050,3)</f>
        <v>0</v>
      </c>
      <c r="G14171" s="27">
        <f ca="1">ROUND(E14171*F14171,2)</f>
        <v>0</v>
      </c>
    </row>
    <row r="14172" spans="1:7" ht="30.60" thickBot="1" customHeight="1">
      <c r="A14172" s="24" t="s">
        <v>44820</v>
      </c>
      <c r="B14172" s="24" t="s">
        <v>44821</v>
      </c>
      <c r="C14172" s="24" t="s">
        <v>44822</v>
      </c>
      <c r="D14172" s="25" t="s">
        <v>44823</v>
      </c>
      <c r="E14172" s="28">
        <v>0.50000</v>
      </c>
      <c r="F14172" s="29">
        <f ca="1">ROUND(1.760,3)</f>
        <v>0</v>
      </c>
      <c r="G14172" s="27">
        <f ca="1">ROUND(E14172*F14172,2)</f>
        <v>0</v>
      </c>
    </row>
    <row r="14173" spans="1:7" ht="21.36" thickBot="1" customHeight="1">
      <c r="A14173" s="24" t="s">
        <v>44824</v>
      </c>
      <c r="B14173" s="24" t="s">
        <v>44825</v>
      </c>
      <c r="C14173" s="24" t="s">
        <v>44826</v>
      </c>
      <c r="D14173" s="25" t="s">
        <v>44827</v>
      </c>
      <c r="E14173" s="28">
        <v>0.90000</v>
      </c>
      <c r="F14173" s="29">
        <f ca="1">F14177</f>
        <v>0</v>
      </c>
      <c r="G14173" s="27">
        <f ca="1">ROUND(E14173*F14173,2)</f>
        <v>0</v>
      </c>
    </row>
    <row r="14174" spans="1:7" ht="24.36" thickBot="1" customHeight="1">
      <c r="A14174" s="24" t="s">
        <v>44828</v>
      </c>
      <c r="B14174" s="24" t="s">
        <v>44829</v>
      </c>
      <c r="C14174" s="24" t="s">
        <v>44830</v>
      </c>
      <c r="D14174" s="25" t="s">
        <v>44831</v>
      </c>
      <c r="E14174" s="28">
        <v>1.00000</v>
      </c>
      <c r="F14174" s="29">
        <f ca="1">ROUND(21.000,3)</f>
        <v>0</v>
      </c>
      <c r="G14174" s="27">
        <f ca="1">ROUND(E14174*F14174,2)</f>
        <v>0</v>
      </c>
    </row>
    <row r="14175" spans="1:7" ht="24.36" thickBot="1" customHeight="1">
      <c r="A14175" s="24" t="s">
        <v>44832</v>
      </c>
      <c r="B14175" s="24" t="s">
        <v>44833</v>
      </c>
      <c r="C14175" s="24" t="s">
        <v>44834</v>
      </c>
      <c r="D14175" s="25" t="s">
        <v>44835</v>
      </c>
      <c r="E14175" s="28">
        <v>1.00000</v>
      </c>
      <c r="F14175" s="29">
        <f ca="1">ROUND(19.000,3)</f>
        <v>0</v>
      </c>
      <c r="G14175" s="27">
        <f ca="1">ROUND(E14175*F14175,2)</f>
        <v>0</v>
      </c>
    </row>
    <row r="14176" spans="1:7" ht="24.36" thickBot="1" customHeight="1">
      <c r="A14176" s="24" t="s">
        <v>44836</v>
      </c>
      <c r="B14176" s="24" t="s">
        <v>44837</v>
      </c>
      <c r="C14176" s="24" t="s">
        <v>44838</v>
      </c>
      <c r="D14176" s="25" t="s">
        <v>44839</v>
      </c>
      <c r="E14176" s="28">
        <v>0.20000</v>
      </c>
      <c r="F14176" s="29">
        <f ca="1">ROUND(19.000,3)</f>
        <v>0</v>
      </c>
      <c r="G14176" s="27">
        <f ca="1">ROUND(E14176*F14176,2)</f>
        <v>0</v>
      </c>
    </row>
    <row r="14177" spans="1:7" ht="15.12" thickBot="1" customHeight="1">
      <c r="A14177" s="26"/>
      <c r="B14177" s="26"/>
      <c r="C14177" s="26"/>
      <c r="D14177" s="24" t="s">
        <v>44840</v>
      </c>
      <c r="E14177" s="28">
        <v>0.90000</v>
      </c>
      <c r="F14177" s="29">
        <f ca="1">ROUND((G14174+G14175+G14176),3)</f>
        <v>0</v>
      </c>
      <c r="G14177" s="27">
        <f ca="1">ROUND(E14177*F14177,2)</f>
        <v>0</v>
      </c>
    </row>
    <row r="14178" spans="1:7" ht="15.12" thickBot="1" customHeight="1">
      <c r="A14178" s="24" t="s">
        <v>44841</v>
      </c>
      <c r="B14178" s="24"/>
      <c r="C14178" s="24" t="s">
        <v>44842</v>
      </c>
      <c r="D14178" s="25" t="s">
        <v>44843</v>
      </c>
      <c r="E14178" s="28">
        <v>5.00000</v>
      </c>
      <c r="F14178" s="29">
        <f ca="1">ROUND(39.420,3)</f>
        <v>0</v>
      </c>
      <c r="G14178" s="27">
        <f ca="1">ROUND((E14178*F14178)/100,2)</f>
        <v>0</v>
      </c>
    </row>
    <row r="14179" spans="1:7" ht="15.48" thickBot="1" customHeight="1">
      <c r="A14179" s="30"/>
      <c r="B14179" s="30"/>
      <c r="C14179" s="30"/>
      <c r="D14179" s="31" t="s">
        <v>44844</v>
      </c>
      <c r="E14179" s="30"/>
      <c r="F14179" s="33">
        <f ca="1">ROUND((G14168+G14169+G14170+G14171+G14172+G14173+G14178)*(1+G2/100),2)</f>
        <v>0</v>
      </c>
      <c r="G14179" s="30"/>
    </row>
    <row r="14180" spans="1:7" ht="30.60" thickBot="1" customHeight="1">
      <c r="A14180" s="34" t="s">
        <v>44845</v>
      </c>
      <c r="B14180" s="35" t="s">
        <v>44846</v>
      </c>
      <c r="C14180" s="35" t="s">
        <v>44847</v>
      </c>
      <c r="D14180" s="36" t="s">
        <v>44848</v>
      </c>
      <c r="E14180" s="37"/>
      <c r="F14180" s="38">
        <f ca="1">F14192</f>
        <v>0</v>
      </c>
      <c r="G14180" s="37"/>
    </row>
    <row r="14181" spans="1:7" ht="21.36" thickBot="1" customHeight="1">
      <c r="A14181" s="26"/>
      <c r="B14181" s="26"/>
      <c r="C14181" s="26"/>
      <c r="D14181" s="25" t="s">
        <v>44849</v>
      </c>
      <c r="E14181" s="25"/>
      <c r="F14181" s="25"/>
      <c r="G14181" s="25"/>
    </row>
    <row r="14182" spans="1:7" ht="30.60" thickBot="1" customHeight="1">
      <c r="A14182" s="24" t="s">
        <v>44850</v>
      </c>
      <c r="B14182" s="24" t="s">
        <v>44851</v>
      </c>
      <c r="C14182" s="24" t="s">
        <v>44852</v>
      </c>
      <c r="D14182" s="25" t="s">
        <v>44853</v>
      </c>
      <c r="E14182" s="28">
        <v>1.00000</v>
      </c>
      <c r="F14182" s="29">
        <f ca="1">ROUND(3.850,3)</f>
        <v>0</v>
      </c>
      <c r="G14182" s="27">
        <f ca="1">ROUND(E14182*F14182,2)</f>
        <v>0</v>
      </c>
    </row>
    <row r="14183" spans="1:7" ht="30.60" thickBot="1" customHeight="1">
      <c r="A14183" s="24" t="s">
        <v>44854</v>
      </c>
      <c r="B14183" s="24" t="s">
        <v>44855</v>
      </c>
      <c r="C14183" s="24" t="s">
        <v>44856</v>
      </c>
      <c r="D14183" s="25" t="s">
        <v>44857</v>
      </c>
      <c r="E14183" s="28">
        <v>0.02200</v>
      </c>
      <c r="F14183" s="29">
        <f ca="1">ROUND(27.500,3)</f>
        <v>0</v>
      </c>
      <c r="G14183" s="27">
        <f ca="1">ROUND(E14183*F14183,2)</f>
        <v>0</v>
      </c>
    </row>
    <row r="14184" spans="1:7" ht="21.36" thickBot="1" customHeight="1">
      <c r="A14184" s="24" t="s">
        <v>44858</v>
      </c>
      <c r="B14184" s="24" t="s">
        <v>44859</v>
      </c>
      <c r="C14184" s="24" t="s">
        <v>44860</v>
      </c>
      <c r="D14184" s="25" t="s">
        <v>44861</v>
      </c>
      <c r="E14184" s="28">
        <v>0.40000</v>
      </c>
      <c r="F14184" s="29">
        <f ca="1">ROUND(1.050,3)</f>
        <v>0</v>
      </c>
      <c r="G14184" s="27">
        <f ca="1">ROUND(E14184*F14184,2)</f>
        <v>0</v>
      </c>
    </row>
    <row r="14185" spans="1:7" ht="30.60" thickBot="1" customHeight="1">
      <c r="A14185" s="24" t="s">
        <v>44862</v>
      </c>
      <c r="B14185" s="24" t="s">
        <v>44863</v>
      </c>
      <c r="C14185" s="24" t="s">
        <v>44864</v>
      </c>
      <c r="D14185" s="25" t="s">
        <v>44865</v>
      </c>
      <c r="E14185" s="28">
        <v>0.50000</v>
      </c>
      <c r="F14185" s="29">
        <f ca="1">ROUND(1.760,3)</f>
        <v>0</v>
      </c>
      <c r="G14185" s="27">
        <f ca="1">ROUND(E14185*F14185,2)</f>
        <v>0</v>
      </c>
    </row>
    <row r="14186" spans="1:7" ht="21.36" thickBot="1" customHeight="1">
      <c r="A14186" s="24" t="s">
        <v>44866</v>
      </c>
      <c r="B14186" s="24" t="s">
        <v>44867</v>
      </c>
      <c r="C14186" s="24" t="s">
        <v>44868</v>
      </c>
      <c r="D14186" s="25" t="s">
        <v>44869</v>
      </c>
      <c r="E14186" s="28">
        <v>0.53333</v>
      </c>
      <c r="F14186" s="29">
        <f ca="1">F14190</f>
        <v>0</v>
      </c>
      <c r="G14186" s="27">
        <f ca="1">ROUND(E14186*F14186,2)</f>
        <v>0</v>
      </c>
    </row>
    <row r="14187" spans="1:7" ht="24.36" thickBot="1" customHeight="1">
      <c r="A14187" s="24" t="s">
        <v>44870</v>
      </c>
      <c r="B14187" s="24" t="s">
        <v>44871</v>
      </c>
      <c r="C14187" s="24" t="s">
        <v>44872</v>
      </c>
      <c r="D14187" s="25" t="s">
        <v>44873</v>
      </c>
      <c r="E14187" s="28">
        <v>1.00000</v>
      </c>
      <c r="F14187" s="29">
        <f ca="1">ROUND(21.000,3)</f>
        <v>0</v>
      </c>
      <c r="G14187" s="27">
        <f ca="1">ROUND(E14187*F14187,2)</f>
        <v>0</v>
      </c>
    </row>
    <row r="14188" spans="1:7" ht="24.36" thickBot="1" customHeight="1">
      <c r="A14188" s="24" t="s">
        <v>44874</v>
      </c>
      <c r="B14188" s="24" t="s">
        <v>44875</v>
      </c>
      <c r="C14188" s="24" t="s">
        <v>44876</v>
      </c>
      <c r="D14188" s="25" t="s">
        <v>44877</v>
      </c>
      <c r="E14188" s="28">
        <v>1.00000</v>
      </c>
      <c r="F14188" s="29">
        <f ca="1">ROUND(19.000,3)</f>
        <v>0</v>
      </c>
      <c r="G14188" s="27">
        <f ca="1">ROUND(E14188*F14188,2)</f>
        <v>0</v>
      </c>
    </row>
    <row r="14189" spans="1:7" ht="24.36" thickBot="1" customHeight="1">
      <c r="A14189" s="24" t="s">
        <v>44878</v>
      </c>
      <c r="B14189" s="24" t="s">
        <v>44879</v>
      </c>
      <c r="C14189" s="24" t="s">
        <v>44880</v>
      </c>
      <c r="D14189" s="25" t="s">
        <v>44881</v>
      </c>
      <c r="E14189" s="28">
        <v>0.20000</v>
      </c>
      <c r="F14189" s="29">
        <f ca="1">ROUND(19.000,3)</f>
        <v>0</v>
      </c>
      <c r="G14189" s="27">
        <f ca="1">ROUND(E14189*F14189,2)</f>
        <v>0</v>
      </c>
    </row>
    <row r="14190" spans="1:7" ht="15.12" thickBot="1" customHeight="1">
      <c r="A14190" s="26"/>
      <c r="B14190" s="26"/>
      <c r="C14190" s="26"/>
      <c r="D14190" s="24" t="s">
        <v>44882</v>
      </c>
      <c r="E14190" s="28">
        <v>0.53333</v>
      </c>
      <c r="F14190" s="29">
        <f ca="1">ROUND((G14187+G14188+G14189),3)</f>
        <v>0</v>
      </c>
      <c r="G14190" s="27">
        <f ca="1">ROUND(E14190*F14190,2)</f>
        <v>0</v>
      </c>
    </row>
    <row r="14191" spans="1:7" ht="15.12" thickBot="1" customHeight="1">
      <c r="A14191" s="24" t="s">
        <v>44883</v>
      </c>
      <c r="B14191" s="24"/>
      <c r="C14191" s="24" t="s">
        <v>44884</v>
      </c>
      <c r="D14191" s="25" t="s">
        <v>44885</v>
      </c>
      <c r="E14191" s="28">
        <v>5.00000</v>
      </c>
      <c r="F14191" s="29">
        <f ca="1">ROUND(23.360,3)</f>
        <v>0</v>
      </c>
      <c r="G14191" s="27">
        <f ca="1">ROUND((E14191*F14191)/100,2)</f>
        <v>0</v>
      </c>
    </row>
    <row r="14192" spans="1:7" ht="15.48" thickBot="1" customHeight="1">
      <c r="A14192" s="30"/>
      <c r="B14192" s="30"/>
      <c r="C14192" s="30"/>
      <c r="D14192" s="31" t="s">
        <v>44886</v>
      </c>
      <c r="E14192" s="30"/>
      <c r="F14192" s="33">
        <f ca="1">ROUND((G14182+G14183+G14184+G14185+G14186+G14191)*(1+G2/100),2)</f>
        <v>0</v>
      </c>
      <c r="G14192" s="30"/>
    </row>
    <row r="14193" spans="1:7" ht="67.56" thickBot="1" customHeight="1">
      <c r="A14193" s="34" t="s">
        <v>44887</v>
      </c>
      <c r="B14193" s="35" t="s">
        <v>44888</v>
      </c>
      <c r="C14193" s="35" t="s">
        <v>44889</v>
      </c>
      <c r="D14193" s="36" t="s">
        <v>44890</v>
      </c>
      <c r="E14193" s="37"/>
      <c r="F14193" s="38">
        <f ca="1">F14207</f>
        <v>0</v>
      </c>
      <c r="G14193" s="37"/>
    </row>
    <row r="14194" spans="1:7" ht="39.84" thickBot="1" customHeight="1">
      <c r="A14194" s="26"/>
      <c r="B14194" s="26"/>
      <c r="C14194" s="26"/>
      <c r="D14194" s="25" t="s">
        <v>44891</v>
      </c>
      <c r="E14194" s="25"/>
      <c r="F14194" s="25"/>
      <c r="G14194" s="25"/>
    </row>
    <row r="14195" spans="1:7" ht="30.60" thickBot="1" customHeight="1">
      <c r="A14195" s="24" t="s">
        <v>44892</v>
      </c>
      <c r="B14195" s="24" t="s">
        <v>44893</v>
      </c>
      <c r="C14195" s="24" t="s">
        <v>44894</v>
      </c>
      <c r="D14195" s="25" t="s">
        <v>44895</v>
      </c>
      <c r="E14195" s="28">
        <v>1.00000</v>
      </c>
      <c r="F14195" s="29">
        <f ca="1">ROUND(11.740,3)</f>
        <v>0</v>
      </c>
      <c r="G14195" s="27">
        <f ca="1">ROUND(E14195*F14195,2)</f>
        <v>0</v>
      </c>
    </row>
    <row r="14196" spans="1:7" ht="30.60" thickBot="1" customHeight="1">
      <c r="A14196" s="24" t="s">
        <v>44896</v>
      </c>
      <c r="B14196" s="24" t="s">
        <v>44897</v>
      </c>
      <c r="C14196" s="24" t="s">
        <v>44898</v>
      </c>
      <c r="D14196" s="25" t="s">
        <v>44899</v>
      </c>
      <c r="E14196" s="28">
        <v>0.50000</v>
      </c>
      <c r="F14196" s="29">
        <f ca="1">ROUND(6.720,3)</f>
        <v>0</v>
      </c>
      <c r="G14196" s="27">
        <f ca="1">ROUND(E14196*F14196,2)</f>
        <v>0</v>
      </c>
    </row>
    <row r="14197" spans="1:7" ht="30.60" thickBot="1" customHeight="1">
      <c r="A14197" s="24" t="s">
        <v>44900</v>
      </c>
      <c r="B14197" s="24" t="s">
        <v>44901</v>
      </c>
      <c r="C14197" s="24" t="s">
        <v>44902</v>
      </c>
      <c r="D14197" s="25" t="s">
        <v>44903</v>
      </c>
      <c r="E14197" s="28">
        <v>0.02100</v>
      </c>
      <c r="F14197" s="29">
        <f ca="1">ROUND(27.500,3)</f>
        <v>0</v>
      </c>
      <c r="G14197" s="27">
        <f ca="1">ROUND(E14197*F14197,2)</f>
        <v>0</v>
      </c>
    </row>
    <row r="14198" spans="1:7" ht="21.36" thickBot="1" customHeight="1">
      <c r="A14198" s="24" t="s">
        <v>44904</v>
      </c>
      <c r="B14198" s="24" t="s">
        <v>44905</v>
      </c>
      <c r="C14198" s="24" t="s">
        <v>44906</v>
      </c>
      <c r="D14198" s="25" t="s">
        <v>44907</v>
      </c>
      <c r="E14198" s="28">
        <v>0.40000</v>
      </c>
      <c r="F14198" s="29">
        <f ca="1">ROUND(1.050,3)</f>
        <v>0</v>
      </c>
      <c r="G14198" s="27">
        <f ca="1">ROUND(E14198*F14198,2)</f>
        <v>0</v>
      </c>
    </row>
    <row r="14199" spans="1:7" ht="30.60" thickBot="1" customHeight="1">
      <c r="A14199" s="24" t="s">
        <v>44908</v>
      </c>
      <c r="B14199" s="24" t="s">
        <v>44909</v>
      </c>
      <c r="C14199" s="24" t="s">
        <v>44910</v>
      </c>
      <c r="D14199" s="25" t="s">
        <v>44911</v>
      </c>
      <c r="E14199" s="28">
        <v>0.50000</v>
      </c>
      <c r="F14199" s="29">
        <f ca="1">ROUND(1.760,3)</f>
        <v>0</v>
      </c>
      <c r="G14199" s="27">
        <f ca="1">ROUND(E14199*F14199,2)</f>
        <v>0</v>
      </c>
    </row>
    <row r="14200" spans="1:7" ht="21.36" thickBot="1" customHeight="1">
      <c r="A14200" s="24" t="s">
        <v>44912</v>
      </c>
      <c r="B14200" s="24" t="s">
        <v>44913</v>
      </c>
      <c r="C14200" s="24" t="s">
        <v>44914</v>
      </c>
      <c r="D14200" s="25" t="s">
        <v>44915</v>
      </c>
      <c r="E14200" s="28">
        <v>0.02444</v>
      </c>
      <c r="F14200" s="29">
        <f ca="1">ROUND(1.320,3)</f>
        <v>0</v>
      </c>
      <c r="G14200" s="27">
        <f ca="1">ROUND(E14200*F14200,2)</f>
        <v>0</v>
      </c>
    </row>
    <row r="14201" spans="1:7" ht="21.36" thickBot="1" customHeight="1">
      <c r="A14201" s="24" t="s">
        <v>44916</v>
      </c>
      <c r="B14201" s="24" t="s">
        <v>44917</v>
      </c>
      <c r="C14201" s="24" t="s">
        <v>44918</v>
      </c>
      <c r="D14201" s="25" t="s">
        <v>44919</v>
      </c>
      <c r="E14201" s="28">
        <v>0.61540</v>
      </c>
      <c r="F14201" s="29">
        <f ca="1">F14205</f>
        <v>0</v>
      </c>
      <c r="G14201" s="27">
        <f ca="1">ROUND(E14201*F14201,2)</f>
        <v>0</v>
      </c>
    </row>
    <row r="14202" spans="1:7" ht="24.36" thickBot="1" customHeight="1">
      <c r="A14202" s="24" t="s">
        <v>44920</v>
      </c>
      <c r="B14202" s="24" t="s">
        <v>44921</v>
      </c>
      <c r="C14202" s="24" t="s">
        <v>44922</v>
      </c>
      <c r="D14202" s="25" t="s">
        <v>44923</v>
      </c>
      <c r="E14202" s="28">
        <v>1.00000</v>
      </c>
      <c r="F14202" s="29">
        <f ca="1">ROUND(21.000,3)</f>
        <v>0</v>
      </c>
      <c r="G14202" s="27">
        <f ca="1">ROUND(E14202*F14202,2)</f>
        <v>0</v>
      </c>
    </row>
    <row r="14203" spans="1:7" ht="24.36" thickBot="1" customHeight="1">
      <c r="A14203" s="24" t="s">
        <v>44924</v>
      </c>
      <c r="B14203" s="24" t="s">
        <v>44925</v>
      </c>
      <c r="C14203" s="24" t="s">
        <v>44926</v>
      </c>
      <c r="D14203" s="25" t="s">
        <v>44927</v>
      </c>
      <c r="E14203" s="28">
        <v>1.00000</v>
      </c>
      <c r="F14203" s="29">
        <f ca="1">ROUND(19.000,3)</f>
        <v>0</v>
      </c>
      <c r="G14203" s="27">
        <f ca="1">ROUND(E14203*F14203,2)</f>
        <v>0</v>
      </c>
    </row>
    <row r="14204" spans="1:7" ht="24.36" thickBot="1" customHeight="1">
      <c r="A14204" s="24" t="s">
        <v>44928</v>
      </c>
      <c r="B14204" s="24" t="s">
        <v>44929</v>
      </c>
      <c r="C14204" s="24" t="s">
        <v>44930</v>
      </c>
      <c r="D14204" s="25" t="s">
        <v>44931</v>
      </c>
      <c r="E14204" s="28">
        <v>0.20000</v>
      </c>
      <c r="F14204" s="29">
        <f ca="1">ROUND(19.000,3)</f>
        <v>0</v>
      </c>
      <c r="G14204" s="27">
        <f ca="1">ROUND(E14204*F14204,2)</f>
        <v>0</v>
      </c>
    </row>
    <row r="14205" spans="1:7" ht="15.12" thickBot="1" customHeight="1">
      <c r="A14205" s="26"/>
      <c r="B14205" s="26"/>
      <c r="C14205" s="26"/>
      <c r="D14205" s="24" t="s">
        <v>44932</v>
      </c>
      <c r="E14205" s="28">
        <v>0.61540</v>
      </c>
      <c r="F14205" s="29">
        <f ca="1">ROUND((G14202+G14203+G14204),3)</f>
        <v>0</v>
      </c>
      <c r="G14205" s="27">
        <f ca="1">ROUND(E14205*F14205,2)</f>
        <v>0</v>
      </c>
    </row>
    <row r="14206" spans="1:7" ht="15.12" thickBot="1" customHeight="1">
      <c r="A14206" s="24" t="s">
        <v>44933</v>
      </c>
      <c r="B14206" s="24"/>
      <c r="C14206" s="24" t="s">
        <v>44934</v>
      </c>
      <c r="D14206" s="25" t="s">
        <v>44935</v>
      </c>
      <c r="E14206" s="28">
        <v>5.00000</v>
      </c>
      <c r="F14206" s="29">
        <f ca="1">ROUND(26.950,3)</f>
        <v>0</v>
      </c>
      <c r="G14206" s="27">
        <f ca="1">ROUND((E14206*F14206)/100,2)</f>
        <v>0</v>
      </c>
    </row>
    <row r="14207" spans="1:7" ht="25.08" thickBot="1" customHeight="1">
      <c r="A14207" s="30"/>
      <c r="B14207" s="30"/>
      <c r="C14207" s="30"/>
      <c r="D14207" s="31" t="s">
        <v>44936</v>
      </c>
      <c r="E14207" s="30"/>
      <c r="F14207" s="33">
        <f ca="1">ROUND((G14195+G14196+G14197+G14198+G14199+G14200+G14201+G14206)*(1+G2/100),2)</f>
        <v>0</v>
      </c>
      <c r="G14207" s="30"/>
    </row>
    <row r="14208" spans="1:7" ht="67.56" thickBot="1" customHeight="1">
      <c r="A14208" s="34" t="s">
        <v>44937</v>
      </c>
      <c r="B14208" s="35" t="s">
        <v>44938</v>
      </c>
      <c r="C14208" s="35" t="s">
        <v>44939</v>
      </c>
      <c r="D14208" s="36" t="s">
        <v>44940</v>
      </c>
      <c r="E14208" s="37"/>
      <c r="F14208" s="38">
        <f ca="1">F14222</f>
        <v>0</v>
      </c>
      <c r="G14208" s="37"/>
    </row>
    <row r="14209" spans="1:7" ht="39.84" thickBot="1" customHeight="1">
      <c r="A14209" s="26"/>
      <c r="B14209" s="26"/>
      <c r="C14209" s="26"/>
      <c r="D14209" s="25" t="s">
        <v>44941</v>
      </c>
      <c r="E14209" s="25"/>
      <c r="F14209" s="25"/>
      <c r="G14209" s="25"/>
    </row>
    <row r="14210" spans="1:7" ht="30.60" thickBot="1" customHeight="1">
      <c r="A14210" s="24" t="s">
        <v>44942</v>
      </c>
      <c r="B14210" s="24" t="s">
        <v>44943</v>
      </c>
      <c r="C14210" s="24" t="s">
        <v>44944</v>
      </c>
      <c r="D14210" s="25" t="s">
        <v>44945</v>
      </c>
      <c r="E14210" s="28">
        <v>1.00000</v>
      </c>
      <c r="F14210" s="29">
        <f ca="1">ROUND(11.740,3)</f>
        <v>0</v>
      </c>
      <c r="G14210" s="27">
        <f ca="1">ROUND(E14210*F14210,2)</f>
        <v>0</v>
      </c>
    </row>
    <row r="14211" spans="1:7" ht="30.60" thickBot="1" customHeight="1">
      <c r="A14211" s="24" t="s">
        <v>44946</v>
      </c>
      <c r="B14211" s="24" t="s">
        <v>44947</v>
      </c>
      <c r="C14211" s="24" t="s">
        <v>44948</v>
      </c>
      <c r="D14211" s="25" t="s">
        <v>44949</v>
      </c>
      <c r="E14211" s="28">
        <v>0.50000</v>
      </c>
      <c r="F14211" s="29">
        <f ca="1">ROUND(6.720,3)</f>
        <v>0</v>
      </c>
      <c r="G14211" s="27">
        <f ca="1">ROUND(E14211*F14211,2)</f>
        <v>0</v>
      </c>
    </row>
    <row r="14212" spans="1:7" ht="30.60" thickBot="1" customHeight="1">
      <c r="A14212" s="24" t="s">
        <v>44950</v>
      </c>
      <c r="B14212" s="24" t="s">
        <v>44951</v>
      </c>
      <c r="C14212" s="24" t="s">
        <v>44952</v>
      </c>
      <c r="D14212" s="25" t="s">
        <v>44953</v>
      </c>
      <c r="E14212" s="28">
        <v>0.02100</v>
      </c>
      <c r="F14212" s="29">
        <f ca="1">ROUND(27.500,3)</f>
        <v>0</v>
      </c>
      <c r="G14212" s="27">
        <f ca="1">ROUND(E14212*F14212,2)</f>
        <v>0</v>
      </c>
    </row>
    <row r="14213" spans="1:7" ht="21.36" thickBot="1" customHeight="1">
      <c r="A14213" s="24" t="s">
        <v>44954</v>
      </c>
      <c r="B14213" s="24" t="s">
        <v>44955</v>
      </c>
      <c r="C14213" s="24" t="s">
        <v>44956</v>
      </c>
      <c r="D14213" s="25" t="s">
        <v>44957</v>
      </c>
      <c r="E14213" s="28">
        <v>0.40000</v>
      </c>
      <c r="F14213" s="29">
        <f ca="1">ROUND(1.050,3)</f>
        <v>0</v>
      </c>
      <c r="G14213" s="27">
        <f ca="1">ROUND(E14213*F14213,2)</f>
        <v>0</v>
      </c>
    </row>
    <row r="14214" spans="1:7" ht="30.60" thickBot="1" customHeight="1">
      <c r="A14214" s="24" t="s">
        <v>44958</v>
      </c>
      <c r="B14214" s="24" t="s">
        <v>44959</v>
      </c>
      <c r="C14214" s="24" t="s">
        <v>44960</v>
      </c>
      <c r="D14214" s="25" t="s">
        <v>44961</v>
      </c>
      <c r="E14214" s="28">
        <v>0.50000</v>
      </c>
      <c r="F14214" s="29">
        <f ca="1">ROUND(1.760,3)</f>
        <v>0</v>
      </c>
      <c r="G14214" s="27">
        <f ca="1">ROUND(E14214*F14214,2)</f>
        <v>0</v>
      </c>
    </row>
    <row r="14215" spans="1:7" ht="21.36" thickBot="1" customHeight="1">
      <c r="A14215" s="24" t="s">
        <v>44962</v>
      </c>
      <c r="B14215" s="24" t="s">
        <v>44963</v>
      </c>
      <c r="C14215" s="24" t="s">
        <v>44964</v>
      </c>
      <c r="D14215" s="25" t="s">
        <v>44965</v>
      </c>
      <c r="E14215" s="28">
        <v>0.02444</v>
      </c>
      <c r="F14215" s="29">
        <f ca="1">ROUND(1.320,3)</f>
        <v>0</v>
      </c>
      <c r="G14215" s="27">
        <f ca="1">ROUND(E14215*F14215,2)</f>
        <v>0</v>
      </c>
    </row>
    <row r="14216" spans="1:7" ht="21.36" thickBot="1" customHeight="1">
      <c r="A14216" s="24" t="s">
        <v>44966</v>
      </c>
      <c r="B14216" s="24" t="s">
        <v>44967</v>
      </c>
      <c r="C14216" s="24" t="s">
        <v>44968</v>
      </c>
      <c r="D14216" s="25" t="s">
        <v>44969</v>
      </c>
      <c r="E14216" s="28">
        <v>0.47060</v>
      </c>
      <c r="F14216" s="29">
        <f ca="1">F14220</f>
        <v>0</v>
      </c>
      <c r="G14216" s="27">
        <f ca="1">ROUND(E14216*F14216,2)</f>
        <v>0</v>
      </c>
    </row>
    <row r="14217" spans="1:7" ht="24.36" thickBot="1" customHeight="1">
      <c r="A14217" s="24" t="s">
        <v>44970</v>
      </c>
      <c r="B14217" s="24" t="s">
        <v>44971</v>
      </c>
      <c r="C14217" s="24" t="s">
        <v>44972</v>
      </c>
      <c r="D14217" s="25" t="s">
        <v>44973</v>
      </c>
      <c r="E14217" s="28">
        <v>1.00000</v>
      </c>
      <c r="F14217" s="29">
        <f ca="1">ROUND(21.000,3)</f>
        <v>0</v>
      </c>
      <c r="G14217" s="27">
        <f ca="1">ROUND(E14217*F14217,2)</f>
        <v>0</v>
      </c>
    </row>
    <row r="14218" spans="1:7" ht="24.36" thickBot="1" customHeight="1">
      <c r="A14218" s="24" t="s">
        <v>44974</v>
      </c>
      <c r="B14218" s="24" t="s">
        <v>44975</v>
      </c>
      <c r="C14218" s="24" t="s">
        <v>44976</v>
      </c>
      <c r="D14218" s="25" t="s">
        <v>44977</v>
      </c>
      <c r="E14218" s="28">
        <v>1.00000</v>
      </c>
      <c r="F14218" s="29">
        <f ca="1">ROUND(19.000,3)</f>
        <v>0</v>
      </c>
      <c r="G14218" s="27">
        <f ca="1">ROUND(E14218*F14218,2)</f>
        <v>0</v>
      </c>
    </row>
    <row r="14219" spans="1:7" ht="24.36" thickBot="1" customHeight="1">
      <c r="A14219" s="24" t="s">
        <v>44978</v>
      </c>
      <c r="B14219" s="24" t="s">
        <v>44979</v>
      </c>
      <c r="C14219" s="24" t="s">
        <v>44980</v>
      </c>
      <c r="D14219" s="25" t="s">
        <v>44981</v>
      </c>
      <c r="E14219" s="28">
        <v>0.20000</v>
      </c>
      <c r="F14219" s="29">
        <f ca="1">ROUND(19.000,3)</f>
        <v>0</v>
      </c>
      <c r="G14219" s="27">
        <f ca="1">ROUND(E14219*F14219,2)</f>
        <v>0</v>
      </c>
    </row>
    <row r="14220" spans="1:7" ht="15.12" thickBot="1" customHeight="1">
      <c r="A14220" s="26"/>
      <c r="B14220" s="26"/>
      <c r="C14220" s="26"/>
      <c r="D14220" s="24" t="s">
        <v>44982</v>
      </c>
      <c r="E14220" s="28">
        <v>0.47060</v>
      </c>
      <c r="F14220" s="29">
        <f ca="1">ROUND((G14217+G14218+G14219),3)</f>
        <v>0</v>
      </c>
      <c r="G14220" s="27">
        <f ca="1">ROUND(E14220*F14220,2)</f>
        <v>0</v>
      </c>
    </row>
    <row r="14221" spans="1:7" ht="15.12" thickBot="1" customHeight="1">
      <c r="A14221" s="24" t="s">
        <v>44983</v>
      </c>
      <c r="B14221" s="24"/>
      <c r="C14221" s="24" t="s">
        <v>44984</v>
      </c>
      <c r="D14221" s="25" t="s">
        <v>44985</v>
      </c>
      <c r="E14221" s="28">
        <v>5.00000</v>
      </c>
      <c r="F14221" s="29">
        <f ca="1">ROUND(20.610,3)</f>
        <v>0</v>
      </c>
      <c r="G14221" s="27">
        <f ca="1">ROUND((E14221*F14221)/100,2)</f>
        <v>0</v>
      </c>
    </row>
    <row r="14222" spans="1:7" ht="25.08" thickBot="1" customHeight="1">
      <c r="A14222" s="30"/>
      <c r="B14222" s="30"/>
      <c r="C14222" s="30"/>
      <c r="D14222" s="31" t="s">
        <v>44986</v>
      </c>
      <c r="E14222" s="30"/>
      <c r="F14222" s="33">
        <f ca="1">ROUND((G14210+G14211+G14212+G14213+G14214+G14215+G14216+G14221)*(1+G2/100),2)</f>
        <v>0</v>
      </c>
      <c r="G14222" s="30"/>
    </row>
    <row r="14223" spans="1:7" ht="67.56" thickBot="1" customHeight="1">
      <c r="A14223" s="34" t="s">
        <v>44987</v>
      </c>
      <c r="B14223" s="35" t="s">
        <v>44988</v>
      </c>
      <c r="C14223" s="35" t="s">
        <v>44989</v>
      </c>
      <c r="D14223" s="36" t="s">
        <v>44990</v>
      </c>
      <c r="E14223" s="37"/>
      <c r="F14223" s="38">
        <f ca="1">F14237</f>
        <v>0</v>
      </c>
      <c r="G14223" s="37"/>
    </row>
    <row r="14224" spans="1:7" ht="39.84" thickBot="1" customHeight="1">
      <c r="A14224" s="26"/>
      <c r="B14224" s="26"/>
      <c r="C14224" s="26"/>
      <c r="D14224" s="25" t="s">
        <v>44991</v>
      </c>
      <c r="E14224" s="25"/>
      <c r="F14224" s="25"/>
      <c r="G14224" s="25"/>
    </row>
    <row r="14225" spans="1:7" ht="30.60" thickBot="1" customHeight="1">
      <c r="A14225" s="24" t="s">
        <v>44992</v>
      </c>
      <c r="B14225" s="24" t="s">
        <v>44993</v>
      </c>
      <c r="C14225" s="24" t="s">
        <v>44994</v>
      </c>
      <c r="D14225" s="25" t="s">
        <v>44995</v>
      </c>
      <c r="E14225" s="28">
        <v>1.00000</v>
      </c>
      <c r="F14225" s="29">
        <f ca="1">ROUND(7.890,3)</f>
        <v>0</v>
      </c>
      <c r="G14225" s="27">
        <f ca="1">ROUND(E14225*F14225,2)</f>
        <v>0</v>
      </c>
    </row>
    <row r="14226" spans="1:7" ht="21.36" thickBot="1" customHeight="1">
      <c r="A14226" s="24" t="s">
        <v>44996</v>
      </c>
      <c r="B14226" s="24" t="s">
        <v>44997</v>
      </c>
      <c r="C14226" s="24" t="s">
        <v>44998</v>
      </c>
      <c r="D14226" s="25" t="s">
        <v>44999</v>
      </c>
      <c r="E14226" s="28">
        <v>0.50000</v>
      </c>
      <c r="F14226" s="29">
        <f ca="1">ROUND(6.900,3)</f>
        <v>0</v>
      </c>
      <c r="G14226" s="27">
        <f ca="1">ROUND(E14226*F14226,2)</f>
        <v>0</v>
      </c>
    </row>
    <row r="14227" spans="1:7" ht="30.60" thickBot="1" customHeight="1">
      <c r="A14227" s="24" t="s">
        <v>45000</v>
      </c>
      <c r="B14227" s="24" t="s">
        <v>45001</v>
      </c>
      <c r="C14227" s="24" t="s">
        <v>45002</v>
      </c>
      <c r="D14227" s="25" t="s">
        <v>45003</v>
      </c>
      <c r="E14227" s="28">
        <v>0.02100</v>
      </c>
      <c r="F14227" s="29">
        <f ca="1">ROUND(27.500,3)</f>
        <v>0</v>
      </c>
      <c r="G14227" s="27">
        <f ca="1">ROUND(E14227*F14227,2)</f>
        <v>0</v>
      </c>
    </row>
    <row r="14228" spans="1:7" ht="21.36" thickBot="1" customHeight="1">
      <c r="A14228" s="24" t="s">
        <v>45004</v>
      </c>
      <c r="B14228" s="24" t="s">
        <v>45005</v>
      </c>
      <c r="C14228" s="24" t="s">
        <v>45006</v>
      </c>
      <c r="D14228" s="25" t="s">
        <v>45007</v>
      </c>
      <c r="E14228" s="28">
        <v>0.40000</v>
      </c>
      <c r="F14228" s="29">
        <f ca="1">ROUND(1.050,3)</f>
        <v>0</v>
      </c>
      <c r="G14228" s="27">
        <f ca="1">ROUND(E14228*F14228,2)</f>
        <v>0</v>
      </c>
    </row>
    <row r="14229" spans="1:7" ht="30.60" thickBot="1" customHeight="1">
      <c r="A14229" s="24" t="s">
        <v>45008</v>
      </c>
      <c r="B14229" s="24" t="s">
        <v>45009</v>
      </c>
      <c r="C14229" s="24" t="s">
        <v>45010</v>
      </c>
      <c r="D14229" s="25" t="s">
        <v>45011</v>
      </c>
      <c r="E14229" s="28">
        <v>0.50000</v>
      </c>
      <c r="F14229" s="29">
        <f ca="1">ROUND(1.760,3)</f>
        <v>0</v>
      </c>
      <c r="G14229" s="27">
        <f ca="1">ROUND(E14229*F14229,2)</f>
        <v>0</v>
      </c>
    </row>
    <row r="14230" spans="1:7" ht="21.36" thickBot="1" customHeight="1">
      <c r="A14230" s="24" t="s">
        <v>45012</v>
      </c>
      <c r="B14230" s="24" t="s">
        <v>45013</v>
      </c>
      <c r="C14230" s="24" t="s">
        <v>45014</v>
      </c>
      <c r="D14230" s="25" t="s">
        <v>45015</v>
      </c>
      <c r="E14230" s="28">
        <v>0.02444</v>
      </c>
      <c r="F14230" s="29">
        <f ca="1">ROUND(1.320,3)</f>
        <v>0</v>
      </c>
      <c r="G14230" s="27">
        <f ca="1">ROUND(E14230*F14230,2)</f>
        <v>0</v>
      </c>
    </row>
    <row r="14231" spans="1:7" ht="21.36" thickBot="1" customHeight="1">
      <c r="A14231" s="24" t="s">
        <v>45016</v>
      </c>
      <c r="B14231" s="24" t="s">
        <v>45017</v>
      </c>
      <c r="C14231" s="24" t="s">
        <v>45018</v>
      </c>
      <c r="D14231" s="25" t="s">
        <v>45019</v>
      </c>
      <c r="E14231" s="28">
        <v>0.61540</v>
      </c>
      <c r="F14231" s="29">
        <f ca="1">F14235</f>
        <v>0</v>
      </c>
      <c r="G14231" s="27">
        <f ca="1">ROUND(E14231*F14231,2)</f>
        <v>0</v>
      </c>
    </row>
    <row r="14232" spans="1:7" ht="24.36" thickBot="1" customHeight="1">
      <c r="A14232" s="24" t="s">
        <v>45020</v>
      </c>
      <c r="B14232" s="24" t="s">
        <v>45021</v>
      </c>
      <c r="C14232" s="24" t="s">
        <v>45022</v>
      </c>
      <c r="D14232" s="25" t="s">
        <v>45023</v>
      </c>
      <c r="E14232" s="28">
        <v>1.00000</v>
      </c>
      <c r="F14232" s="29">
        <f ca="1">ROUND(21.000,3)</f>
        <v>0</v>
      </c>
      <c r="G14232" s="27">
        <f ca="1">ROUND(E14232*F14232,2)</f>
        <v>0</v>
      </c>
    </row>
    <row r="14233" spans="1:7" ht="24.36" thickBot="1" customHeight="1">
      <c r="A14233" s="24" t="s">
        <v>45024</v>
      </c>
      <c r="B14233" s="24" t="s">
        <v>45025</v>
      </c>
      <c r="C14233" s="24" t="s">
        <v>45026</v>
      </c>
      <c r="D14233" s="25" t="s">
        <v>45027</v>
      </c>
      <c r="E14233" s="28">
        <v>1.00000</v>
      </c>
      <c r="F14233" s="29">
        <f ca="1">ROUND(19.000,3)</f>
        <v>0</v>
      </c>
      <c r="G14233" s="27">
        <f ca="1">ROUND(E14233*F14233,2)</f>
        <v>0</v>
      </c>
    </row>
    <row r="14234" spans="1:7" ht="24.36" thickBot="1" customHeight="1">
      <c r="A14234" s="24" t="s">
        <v>45028</v>
      </c>
      <c r="B14234" s="24" t="s">
        <v>45029</v>
      </c>
      <c r="C14234" s="24" t="s">
        <v>45030</v>
      </c>
      <c r="D14234" s="25" t="s">
        <v>45031</v>
      </c>
      <c r="E14234" s="28">
        <v>0.20000</v>
      </c>
      <c r="F14234" s="29">
        <f ca="1">ROUND(19.000,3)</f>
        <v>0</v>
      </c>
      <c r="G14234" s="27">
        <f ca="1">ROUND(E14234*F14234,2)</f>
        <v>0</v>
      </c>
    </row>
    <row r="14235" spans="1:7" ht="15.12" thickBot="1" customHeight="1">
      <c r="A14235" s="26"/>
      <c r="B14235" s="26"/>
      <c r="C14235" s="26"/>
      <c r="D14235" s="24" t="s">
        <v>45032</v>
      </c>
      <c r="E14235" s="28">
        <v>0.61540</v>
      </c>
      <c r="F14235" s="29">
        <f ca="1">ROUND((G14232+G14233+G14234),3)</f>
        <v>0</v>
      </c>
      <c r="G14235" s="27">
        <f ca="1">ROUND(E14235*F14235,2)</f>
        <v>0</v>
      </c>
    </row>
    <row r="14236" spans="1:7" ht="15.12" thickBot="1" customHeight="1">
      <c r="A14236" s="24" t="s">
        <v>45033</v>
      </c>
      <c r="B14236" s="24"/>
      <c r="C14236" s="24" t="s">
        <v>45034</v>
      </c>
      <c r="D14236" s="25" t="s">
        <v>45035</v>
      </c>
      <c r="E14236" s="28">
        <v>5.00000</v>
      </c>
      <c r="F14236" s="29">
        <f ca="1">ROUND(26.950,3)</f>
        <v>0</v>
      </c>
      <c r="G14236" s="27">
        <f ca="1">ROUND((E14236*F14236)/100,2)</f>
        <v>0</v>
      </c>
    </row>
    <row r="14237" spans="1:7" ht="25.08" thickBot="1" customHeight="1">
      <c r="A14237" s="30"/>
      <c r="B14237" s="30"/>
      <c r="C14237" s="30"/>
      <c r="D14237" s="31" t="s">
        <v>45036</v>
      </c>
      <c r="E14237" s="30"/>
      <c r="F14237" s="33">
        <f ca="1">ROUND((G14225+G14226+G14227+G14228+G14229+G14230+G14231+G14236)*(1+G2/100),2)</f>
        <v>0</v>
      </c>
      <c r="G14237" s="30"/>
    </row>
    <row r="14238" spans="1:7" ht="67.56" thickBot="1" customHeight="1">
      <c r="A14238" s="34" t="s">
        <v>45037</v>
      </c>
      <c r="B14238" s="35" t="s">
        <v>45038</v>
      </c>
      <c r="C14238" s="35" t="s">
        <v>45039</v>
      </c>
      <c r="D14238" s="36" t="s">
        <v>45040</v>
      </c>
      <c r="E14238" s="37"/>
      <c r="F14238" s="38">
        <f ca="1">F14252</f>
        <v>0</v>
      </c>
      <c r="G14238" s="37"/>
    </row>
    <row r="14239" spans="1:7" ht="39.84" thickBot="1" customHeight="1">
      <c r="A14239" s="26"/>
      <c r="B14239" s="26"/>
      <c r="C14239" s="26"/>
      <c r="D14239" s="25" t="s">
        <v>45041</v>
      </c>
      <c r="E14239" s="25"/>
      <c r="F14239" s="25"/>
      <c r="G14239" s="25"/>
    </row>
    <row r="14240" spans="1:7" ht="30.60" thickBot="1" customHeight="1">
      <c r="A14240" s="24" t="s">
        <v>45042</v>
      </c>
      <c r="B14240" s="24" t="s">
        <v>45043</v>
      </c>
      <c r="C14240" s="24" t="s">
        <v>45044</v>
      </c>
      <c r="D14240" s="25" t="s">
        <v>45045</v>
      </c>
      <c r="E14240" s="28">
        <v>1.00000</v>
      </c>
      <c r="F14240" s="29">
        <f ca="1">ROUND(7.890,3)</f>
        <v>0</v>
      </c>
      <c r="G14240" s="27">
        <f ca="1">ROUND(E14240*F14240,2)</f>
        <v>0</v>
      </c>
    </row>
    <row r="14241" spans="1:7" ht="21.36" thickBot="1" customHeight="1">
      <c r="A14241" s="24" t="s">
        <v>45046</v>
      </c>
      <c r="B14241" s="24" t="s">
        <v>45047</v>
      </c>
      <c r="C14241" s="24" t="s">
        <v>45048</v>
      </c>
      <c r="D14241" s="25" t="s">
        <v>45049</v>
      </c>
      <c r="E14241" s="28">
        <v>0.50000</v>
      </c>
      <c r="F14241" s="29">
        <f ca="1">ROUND(6.900,3)</f>
        <v>0</v>
      </c>
      <c r="G14241" s="27">
        <f ca="1">ROUND(E14241*F14241,2)</f>
        <v>0</v>
      </c>
    </row>
    <row r="14242" spans="1:7" ht="30.60" thickBot="1" customHeight="1">
      <c r="A14242" s="24" t="s">
        <v>45050</v>
      </c>
      <c r="B14242" s="24" t="s">
        <v>45051</v>
      </c>
      <c r="C14242" s="24" t="s">
        <v>45052</v>
      </c>
      <c r="D14242" s="25" t="s">
        <v>45053</v>
      </c>
      <c r="E14242" s="28">
        <v>0.02100</v>
      </c>
      <c r="F14242" s="29">
        <f ca="1">ROUND(27.500,3)</f>
        <v>0</v>
      </c>
      <c r="G14242" s="27">
        <f ca="1">ROUND(E14242*F14242,2)</f>
        <v>0</v>
      </c>
    </row>
    <row r="14243" spans="1:7" ht="21.36" thickBot="1" customHeight="1">
      <c r="A14243" s="24" t="s">
        <v>45054</v>
      </c>
      <c r="B14243" s="24" t="s">
        <v>45055</v>
      </c>
      <c r="C14243" s="24" t="s">
        <v>45056</v>
      </c>
      <c r="D14243" s="25" t="s">
        <v>45057</v>
      </c>
      <c r="E14243" s="28">
        <v>0.40000</v>
      </c>
      <c r="F14243" s="29">
        <f ca="1">ROUND(1.050,3)</f>
        <v>0</v>
      </c>
      <c r="G14243" s="27">
        <f ca="1">ROUND(E14243*F14243,2)</f>
        <v>0</v>
      </c>
    </row>
    <row r="14244" spans="1:7" ht="30.60" thickBot="1" customHeight="1">
      <c r="A14244" s="24" t="s">
        <v>45058</v>
      </c>
      <c r="B14244" s="24" t="s">
        <v>45059</v>
      </c>
      <c r="C14244" s="24" t="s">
        <v>45060</v>
      </c>
      <c r="D14244" s="25" t="s">
        <v>45061</v>
      </c>
      <c r="E14244" s="28">
        <v>0.50000</v>
      </c>
      <c r="F14244" s="29">
        <f ca="1">ROUND(1.760,3)</f>
        <v>0</v>
      </c>
      <c r="G14244" s="27">
        <f ca="1">ROUND(E14244*F14244,2)</f>
        <v>0</v>
      </c>
    </row>
    <row r="14245" spans="1:7" ht="21.36" thickBot="1" customHeight="1">
      <c r="A14245" s="24" t="s">
        <v>45062</v>
      </c>
      <c r="B14245" s="24" t="s">
        <v>45063</v>
      </c>
      <c r="C14245" s="24" t="s">
        <v>45064</v>
      </c>
      <c r="D14245" s="25" t="s">
        <v>45065</v>
      </c>
      <c r="E14245" s="28">
        <v>0.02444</v>
      </c>
      <c r="F14245" s="29">
        <f ca="1">ROUND(1.320,3)</f>
        <v>0</v>
      </c>
      <c r="G14245" s="27">
        <f ca="1">ROUND(E14245*F14245,2)</f>
        <v>0</v>
      </c>
    </row>
    <row r="14246" spans="1:7" ht="21.36" thickBot="1" customHeight="1">
      <c r="A14246" s="24" t="s">
        <v>45066</v>
      </c>
      <c r="B14246" s="24" t="s">
        <v>45067</v>
      </c>
      <c r="C14246" s="24" t="s">
        <v>45068</v>
      </c>
      <c r="D14246" s="25" t="s">
        <v>45069</v>
      </c>
      <c r="E14246" s="28">
        <v>0.47060</v>
      </c>
      <c r="F14246" s="29">
        <f ca="1">F14250</f>
        <v>0</v>
      </c>
      <c r="G14246" s="27">
        <f ca="1">ROUND(E14246*F14246,2)</f>
        <v>0</v>
      </c>
    </row>
    <row r="14247" spans="1:7" ht="24.36" thickBot="1" customHeight="1">
      <c r="A14247" s="24" t="s">
        <v>45070</v>
      </c>
      <c r="B14247" s="24" t="s">
        <v>45071</v>
      </c>
      <c r="C14247" s="24" t="s">
        <v>45072</v>
      </c>
      <c r="D14247" s="25" t="s">
        <v>45073</v>
      </c>
      <c r="E14247" s="28">
        <v>1.00000</v>
      </c>
      <c r="F14247" s="29">
        <f ca="1">ROUND(21.000,3)</f>
        <v>0</v>
      </c>
      <c r="G14247" s="27">
        <f ca="1">ROUND(E14247*F14247,2)</f>
        <v>0</v>
      </c>
    </row>
    <row r="14248" spans="1:7" ht="24.36" thickBot="1" customHeight="1">
      <c r="A14248" s="24" t="s">
        <v>45074</v>
      </c>
      <c r="B14248" s="24" t="s">
        <v>45075</v>
      </c>
      <c r="C14248" s="24" t="s">
        <v>45076</v>
      </c>
      <c r="D14248" s="25" t="s">
        <v>45077</v>
      </c>
      <c r="E14248" s="28">
        <v>1.00000</v>
      </c>
      <c r="F14248" s="29">
        <f ca="1">ROUND(19.000,3)</f>
        <v>0</v>
      </c>
      <c r="G14248" s="27">
        <f ca="1">ROUND(E14248*F14248,2)</f>
        <v>0</v>
      </c>
    </row>
    <row r="14249" spans="1:7" ht="24.36" thickBot="1" customHeight="1">
      <c r="A14249" s="24" t="s">
        <v>45078</v>
      </c>
      <c r="B14249" s="24" t="s">
        <v>45079</v>
      </c>
      <c r="C14249" s="24" t="s">
        <v>45080</v>
      </c>
      <c r="D14249" s="25" t="s">
        <v>45081</v>
      </c>
      <c r="E14249" s="28">
        <v>0.20000</v>
      </c>
      <c r="F14249" s="29">
        <f ca="1">ROUND(19.000,3)</f>
        <v>0</v>
      </c>
      <c r="G14249" s="27">
        <f ca="1">ROUND(E14249*F14249,2)</f>
        <v>0</v>
      </c>
    </row>
    <row r="14250" spans="1:7" ht="15.12" thickBot="1" customHeight="1">
      <c r="A14250" s="26"/>
      <c r="B14250" s="26"/>
      <c r="C14250" s="26"/>
      <c r="D14250" s="24" t="s">
        <v>45082</v>
      </c>
      <c r="E14250" s="28">
        <v>0.47060</v>
      </c>
      <c r="F14250" s="29">
        <f ca="1">ROUND((G14247+G14248+G14249),3)</f>
        <v>0</v>
      </c>
      <c r="G14250" s="27">
        <f ca="1">ROUND(E14250*F14250,2)</f>
        <v>0</v>
      </c>
    </row>
    <row r="14251" spans="1:7" ht="15.12" thickBot="1" customHeight="1">
      <c r="A14251" s="24" t="s">
        <v>45083</v>
      </c>
      <c r="B14251" s="24"/>
      <c r="C14251" s="24" t="s">
        <v>45084</v>
      </c>
      <c r="D14251" s="25" t="s">
        <v>45085</v>
      </c>
      <c r="E14251" s="28">
        <v>5.00000</v>
      </c>
      <c r="F14251" s="29">
        <f ca="1">ROUND(20.610,3)</f>
        <v>0</v>
      </c>
      <c r="G14251" s="27">
        <f ca="1">ROUND((E14251*F14251)/100,2)</f>
        <v>0</v>
      </c>
    </row>
    <row r="14252" spans="1:7" ht="25.08" thickBot="1" customHeight="1">
      <c r="A14252" s="30"/>
      <c r="B14252" s="30"/>
      <c r="C14252" s="30"/>
      <c r="D14252" s="31" t="s">
        <v>45086</v>
      </c>
      <c r="E14252" s="30"/>
      <c r="F14252" s="33">
        <f ca="1">ROUND((G14240+G14241+G14242+G14243+G14244+G14245+G14246+G14251)*(1+G2/100),2)</f>
        <v>0</v>
      </c>
      <c r="G14252" s="30"/>
    </row>
    <row r="14253" spans="1:7" ht="39.84" thickBot="1" customHeight="1">
      <c r="A14253" s="34" t="s">
        <v>45087</v>
      </c>
      <c r="B14253" s="35" t="s">
        <v>45088</v>
      </c>
      <c r="C14253" s="35" t="s">
        <v>45089</v>
      </c>
      <c r="D14253" s="36" t="s">
        <v>45090</v>
      </c>
      <c r="E14253" s="37"/>
      <c r="F14253" s="38">
        <f ca="1">F14265</f>
        <v>0</v>
      </c>
      <c r="G14253" s="37"/>
    </row>
    <row r="14254" spans="1:7" ht="21.36" thickBot="1" customHeight="1">
      <c r="A14254" s="26"/>
      <c r="B14254" s="26"/>
      <c r="C14254" s="26"/>
      <c r="D14254" s="25" t="s">
        <v>45091</v>
      </c>
      <c r="E14254" s="25"/>
      <c r="F14254" s="25"/>
      <c r="G14254" s="25"/>
    </row>
    <row r="14255" spans="1:7" ht="30.60" thickBot="1" customHeight="1">
      <c r="A14255" s="24" t="s">
        <v>45092</v>
      </c>
      <c r="B14255" s="24" t="s">
        <v>45093</v>
      </c>
      <c r="C14255" s="24" t="s">
        <v>45094</v>
      </c>
      <c r="D14255" s="25" t="s">
        <v>45095</v>
      </c>
      <c r="E14255" s="28">
        <v>1.00000</v>
      </c>
      <c r="F14255" s="29">
        <f ca="1">ROUND(3.850,3)</f>
        <v>0</v>
      </c>
      <c r="G14255" s="27">
        <f ca="1">ROUND(E14255*F14255,2)</f>
        <v>0</v>
      </c>
    </row>
    <row r="14256" spans="1:7" ht="30.60" thickBot="1" customHeight="1">
      <c r="A14256" s="24" t="s">
        <v>45096</v>
      </c>
      <c r="B14256" s="24" t="s">
        <v>45097</v>
      </c>
      <c r="C14256" s="24" t="s">
        <v>45098</v>
      </c>
      <c r="D14256" s="25" t="s">
        <v>45099</v>
      </c>
      <c r="E14256" s="28">
        <v>0.02200</v>
      </c>
      <c r="F14256" s="29">
        <f ca="1">ROUND(27.500,3)</f>
        <v>0</v>
      </c>
      <c r="G14256" s="27">
        <f ca="1">ROUND(E14256*F14256,2)</f>
        <v>0</v>
      </c>
    </row>
    <row r="14257" spans="1:7" ht="21.36" thickBot="1" customHeight="1">
      <c r="A14257" s="24" t="s">
        <v>45100</v>
      </c>
      <c r="B14257" s="24" t="s">
        <v>45101</v>
      </c>
      <c r="C14257" s="24" t="s">
        <v>45102</v>
      </c>
      <c r="D14257" s="25" t="s">
        <v>45103</v>
      </c>
      <c r="E14257" s="28">
        <v>0.40000</v>
      </c>
      <c r="F14257" s="29">
        <f ca="1">ROUND(1.050,3)</f>
        <v>0</v>
      </c>
      <c r="G14257" s="27">
        <f ca="1">ROUND(E14257*F14257,2)</f>
        <v>0</v>
      </c>
    </row>
    <row r="14258" spans="1:7" ht="30.60" thickBot="1" customHeight="1">
      <c r="A14258" s="24" t="s">
        <v>45104</v>
      </c>
      <c r="B14258" s="24" t="s">
        <v>45105</v>
      </c>
      <c r="C14258" s="24" t="s">
        <v>45106</v>
      </c>
      <c r="D14258" s="25" t="s">
        <v>45107</v>
      </c>
      <c r="E14258" s="28">
        <v>0.50000</v>
      </c>
      <c r="F14258" s="29">
        <f ca="1">ROUND(1.760,3)</f>
        <v>0</v>
      </c>
      <c r="G14258" s="27">
        <f ca="1">ROUND(E14258*F14258,2)</f>
        <v>0</v>
      </c>
    </row>
    <row r="14259" spans="1:7" ht="21.36" thickBot="1" customHeight="1">
      <c r="A14259" s="24" t="s">
        <v>45108</v>
      </c>
      <c r="B14259" s="24" t="s">
        <v>45109</v>
      </c>
      <c r="C14259" s="24" t="s">
        <v>45110</v>
      </c>
      <c r="D14259" s="25" t="s">
        <v>45111</v>
      </c>
      <c r="E14259" s="28">
        <v>0.66667</v>
      </c>
      <c r="F14259" s="29">
        <f ca="1">F14263</f>
        <v>0</v>
      </c>
      <c r="G14259" s="27">
        <f ca="1">ROUND(E14259*F14259,2)</f>
        <v>0</v>
      </c>
    </row>
    <row r="14260" spans="1:7" ht="24.36" thickBot="1" customHeight="1">
      <c r="A14260" s="24" t="s">
        <v>45112</v>
      </c>
      <c r="B14260" s="24" t="s">
        <v>45113</v>
      </c>
      <c r="C14260" s="24" t="s">
        <v>45114</v>
      </c>
      <c r="D14260" s="25" t="s">
        <v>45115</v>
      </c>
      <c r="E14260" s="28">
        <v>1.00000</v>
      </c>
      <c r="F14260" s="29">
        <f ca="1">ROUND(21.000,3)</f>
        <v>0</v>
      </c>
      <c r="G14260" s="27">
        <f ca="1">ROUND(E14260*F14260,2)</f>
        <v>0</v>
      </c>
    </row>
    <row r="14261" spans="1:7" ht="24.36" thickBot="1" customHeight="1">
      <c r="A14261" s="24" t="s">
        <v>45116</v>
      </c>
      <c r="B14261" s="24" t="s">
        <v>45117</v>
      </c>
      <c r="C14261" s="24" t="s">
        <v>45118</v>
      </c>
      <c r="D14261" s="25" t="s">
        <v>45119</v>
      </c>
      <c r="E14261" s="28">
        <v>1.00000</v>
      </c>
      <c r="F14261" s="29">
        <f ca="1">ROUND(19.000,3)</f>
        <v>0</v>
      </c>
      <c r="G14261" s="27">
        <f ca="1">ROUND(E14261*F14261,2)</f>
        <v>0</v>
      </c>
    </row>
    <row r="14262" spans="1:7" ht="24.36" thickBot="1" customHeight="1">
      <c r="A14262" s="24" t="s">
        <v>45120</v>
      </c>
      <c r="B14262" s="24" t="s">
        <v>45121</v>
      </c>
      <c r="C14262" s="24" t="s">
        <v>45122</v>
      </c>
      <c r="D14262" s="25" t="s">
        <v>45123</v>
      </c>
      <c r="E14262" s="28">
        <v>0.20000</v>
      </c>
      <c r="F14262" s="29">
        <f ca="1">ROUND(19.000,3)</f>
        <v>0</v>
      </c>
      <c r="G14262" s="27">
        <f ca="1">ROUND(E14262*F14262,2)</f>
        <v>0</v>
      </c>
    </row>
    <row r="14263" spans="1:7" ht="15.12" thickBot="1" customHeight="1">
      <c r="A14263" s="26"/>
      <c r="B14263" s="26"/>
      <c r="C14263" s="26"/>
      <c r="D14263" s="24" t="s">
        <v>45124</v>
      </c>
      <c r="E14263" s="28">
        <v>0.66667</v>
      </c>
      <c r="F14263" s="29">
        <f ca="1">ROUND((G14260+G14261+G14262),3)</f>
        <v>0</v>
      </c>
      <c r="G14263" s="27">
        <f ca="1">ROUND(E14263*F14263,2)</f>
        <v>0</v>
      </c>
    </row>
    <row r="14264" spans="1:7" ht="15.12" thickBot="1" customHeight="1">
      <c r="A14264" s="24" t="s">
        <v>45125</v>
      </c>
      <c r="B14264" s="24"/>
      <c r="C14264" s="24" t="s">
        <v>45126</v>
      </c>
      <c r="D14264" s="25" t="s">
        <v>45127</v>
      </c>
      <c r="E14264" s="28">
        <v>5.00000</v>
      </c>
      <c r="F14264" s="29">
        <f ca="1">ROUND(29.200,3)</f>
        <v>0</v>
      </c>
      <c r="G14264" s="27">
        <f ca="1">ROUND((E14264*F14264)/100,2)</f>
        <v>0</v>
      </c>
    </row>
    <row r="14265" spans="1:7" ht="15.48" thickBot="1" customHeight="1">
      <c r="A14265" s="30"/>
      <c r="B14265" s="30"/>
      <c r="C14265" s="30"/>
      <c r="D14265" s="31" t="s">
        <v>45128</v>
      </c>
      <c r="E14265" s="30"/>
      <c r="F14265" s="33">
        <f ca="1">ROUND((G14255+G14256+G14257+G14258+G14259+G14264)*(1+G2/100),2)</f>
        <v>0</v>
      </c>
      <c r="G14265" s="30"/>
    </row>
    <row r="14266" spans="1:7" ht="39.84" thickBot="1" customHeight="1">
      <c r="A14266" s="34" t="s">
        <v>45129</v>
      </c>
      <c r="B14266" s="35" t="s">
        <v>45130</v>
      </c>
      <c r="C14266" s="35" t="s">
        <v>45131</v>
      </c>
      <c r="D14266" s="36" t="s">
        <v>45132</v>
      </c>
      <c r="E14266" s="37"/>
      <c r="F14266" s="38">
        <f ca="1">F14279</f>
        <v>0</v>
      </c>
      <c r="G14266" s="37"/>
    </row>
    <row r="14267" spans="1:7" ht="21.36" thickBot="1" customHeight="1">
      <c r="A14267" s="26"/>
      <c r="B14267" s="26"/>
      <c r="C14267" s="26"/>
      <c r="D14267" s="25" t="s">
        <v>45133</v>
      </c>
      <c r="E14267" s="25"/>
      <c r="F14267" s="25"/>
      <c r="G14267" s="25"/>
    </row>
    <row r="14268" spans="1:7" ht="30.60" thickBot="1" customHeight="1">
      <c r="A14268" s="24" t="s">
        <v>45134</v>
      </c>
      <c r="B14268" s="24" t="s">
        <v>45135</v>
      </c>
      <c r="C14268" s="24" t="s">
        <v>45136</v>
      </c>
      <c r="D14268" s="25" t="s">
        <v>45137</v>
      </c>
      <c r="E14268" s="28">
        <v>0.06000</v>
      </c>
      <c r="F14268" s="29">
        <f ca="1">ROUND(29.170,3)</f>
        <v>0</v>
      </c>
      <c r="G14268" s="27">
        <f ca="1">ROUND(E14268*F14268,2)</f>
        <v>0</v>
      </c>
    </row>
    <row r="14269" spans="1:7" ht="30.60" thickBot="1" customHeight="1">
      <c r="A14269" s="24" t="s">
        <v>45138</v>
      </c>
      <c r="B14269" s="24" t="s">
        <v>45139</v>
      </c>
      <c r="C14269" s="24" t="s">
        <v>45140</v>
      </c>
      <c r="D14269" s="25" t="s">
        <v>45141</v>
      </c>
      <c r="E14269" s="28">
        <v>1.00800</v>
      </c>
      <c r="F14269" s="29">
        <f ca="1">ROUND(8.330,3)</f>
        <v>0</v>
      </c>
      <c r="G14269" s="27">
        <f ca="1">ROUND(E14269*F14269,2)</f>
        <v>0</v>
      </c>
    </row>
    <row r="14270" spans="1:7" ht="30.60" thickBot="1" customHeight="1">
      <c r="A14270" s="24" t="s">
        <v>45142</v>
      </c>
      <c r="B14270" s="24" t="s">
        <v>45143</v>
      </c>
      <c r="C14270" s="24" t="s">
        <v>45144</v>
      </c>
      <c r="D14270" s="25" t="s">
        <v>45145</v>
      </c>
      <c r="E14270" s="28">
        <v>0.02100</v>
      </c>
      <c r="F14270" s="29">
        <f ca="1">ROUND(27.500,3)</f>
        <v>0</v>
      </c>
      <c r="G14270" s="27">
        <f ca="1">ROUND(E14270*F14270,2)</f>
        <v>0</v>
      </c>
    </row>
    <row r="14271" spans="1:7" ht="21.36" thickBot="1" customHeight="1">
      <c r="A14271" s="24" t="s">
        <v>45146</v>
      </c>
      <c r="B14271" s="24" t="s">
        <v>45147</v>
      </c>
      <c r="C14271" s="24" t="s">
        <v>45148</v>
      </c>
      <c r="D14271" s="25" t="s">
        <v>45149</v>
      </c>
      <c r="E14271" s="28">
        <v>0.40000</v>
      </c>
      <c r="F14271" s="29">
        <f ca="1">ROUND(1.050,3)</f>
        <v>0</v>
      </c>
      <c r="G14271" s="27">
        <f ca="1">ROUND(E14271*F14271,2)</f>
        <v>0</v>
      </c>
    </row>
    <row r="14272" spans="1:7" ht="30.60" thickBot="1" customHeight="1">
      <c r="A14272" s="24" t="s">
        <v>45150</v>
      </c>
      <c r="B14272" s="24" t="s">
        <v>45151</v>
      </c>
      <c r="C14272" s="24" t="s">
        <v>45152</v>
      </c>
      <c r="D14272" s="25" t="s">
        <v>45153</v>
      </c>
      <c r="E14272" s="28">
        <v>0.50000</v>
      </c>
      <c r="F14272" s="29">
        <f ca="1">ROUND(1.760,3)</f>
        <v>0</v>
      </c>
      <c r="G14272" s="27">
        <f ca="1">ROUND(E14272*F14272,2)</f>
        <v>0</v>
      </c>
    </row>
    <row r="14273" spans="1:7" ht="21.36" thickBot="1" customHeight="1">
      <c r="A14273" s="24" t="s">
        <v>45154</v>
      </c>
      <c r="B14273" s="24" t="s">
        <v>45155</v>
      </c>
      <c r="C14273" s="24" t="s">
        <v>45156</v>
      </c>
      <c r="D14273" s="25" t="s">
        <v>45157</v>
      </c>
      <c r="E14273" s="28">
        <v>0.66666</v>
      </c>
      <c r="F14273" s="29">
        <f ca="1">F14277</f>
        <v>0</v>
      </c>
      <c r="G14273" s="27">
        <f ca="1">ROUND(E14273*F14273,2)</f>
        <v>0</v>
      </c>
    </row>
    <row r="14274" spans="1:7" ht="24.36" thickBot="1" customHeight="1">
      <c r="A14274" s="24" t="s">
        <v>45158</v>
      </c>
      <c r="B14274" s="24" t="s">
        <v>45159</v>
      </c>
      <c r="C14274" s="24" t="s">
        <v>45160</v>
      </c>
      <c r="D14274" s="25" t="s">
        <v>45161</v>
      </c>
      <c r="E14274" s="28">
        <v>1.00000</v>
      </c>
      <c r="F14274" s="29">
        <f ca="1">ROUND(21.000,3)</f>
        <v>0</v>
      </c>
      <c r="G14274" s="27">
        <f ca="1">ROUND(E14274*F14274,2)</f>
        <v>0</v>
      </c>
    </row>
    <row r="14275" spans="1:7" ht="24.36" thickBot="1" customHeight="1">
      <c r="A14275" s="24" t="s">
        <v>45162</v>
      </c>
      <c r="B14275" s="24" t="s">
        <v>45163</v>
      </c>
      <c r="C14275" s="24" t="s">
        <v>45164</v>
      </c>
      <c r="D14275" s="25" t="s">
        <v>45165</v>
      </c>
      <c r="E14275" s="28">
        <v>1.00000</v>
      </c>
      <c r="F14275" s="29">
        <f ca="1">ROUND(19.000,3)</f>
        <v>0</v>
      </c>
      <c r="G14275" s="27">
        <f ca="1">ROUND(E14275*F14275,2)</f>
        <v>0</v>
      </c>
    </row>
    <row r="14276" spans="1:7" ht="24.36" thickBot="1" customHeight="1">
      <c r="A14276" s="24" t="s">
        <v>45166</v>
      </c>
      <c r="B14276" s="24" t="s">
        <v>45167</v>
      </c>
      <c r="C14276" s="24" t="s">
        <v>45168</v>
      </c>
      <c r="D14276" s="25" t="s">
        <v>45169</v>
      </c>
      <c r="E14276" s="28">
        <v>0.20000</v>
      </c>
      <c r="F14276" s="29">
        <f ca="1">ROUND(19.000,3)</f>
        <v>0</v>
      </c>
      <c r="G14276" s="27">
        <f ca="1">ROUND(E14276*F14276,2)</f>
        <v>0</v>
      </c>
    </row>
    <row r="14277" spans="1:7" ht="15.12" thickBot="1" customHeight="1">
      <c r="A14277" s="26"/>
      <c r="B14277" s="26"/>
      <c r="C14277" s="26"/>
      <c r="D14277" s="24" t="s">
        <v>45170</v>
      </c>
      <c r="E14277" s="28">
        <v>0.66666</v>
      </c>
      <c r="F14277" s="29">
        <f ca="1">ROUND((G14274+G14275+G14276),3)</f>
        <v>0</v>
      </c>
      <c r="G14277" s="27">
        <f ca="1">ROUND(E14277*F14277,2)</f>
        <v>0</v>
      </c>
    </row>
    <row r="14278" spans="1:7" ht="15.12" thickBot="1" customHeight="1">
      <c r="A14278" s="24" t="s">
        <v>45171</v>
      </c>
      <c r="B14278" s="24"/>
      <c r="C14278" s="24" t="s">
        <v>45172</v>
      </c>
      <c r="D14278" s="25" t="s">
        <v>45173</v>
      </c>
      <c r="E14278" s="28">
        <v>5.00000</v>
      </c>
      <c r="F14278" s="29">
        <f ca="1">ROUND(29.200,3)</f>
        <v>0</v>
      </c>
      <c r="G14278" s="27">
        <f ca="1">ROUND((E14278*F14278)/100,2)</f>
        <v>0</v>
      </c>
    </row>
    <row r="14279" spans="1:7" ht="15.48" thickBot="1" customHeight="1">
      <c r="A14279" s="30"/>
      <c r="B14279" s="30"/>
      <c r="C14279" s="30"/>
      <c r="D14279" s="31" t="s">
        <v>45174</v>
      </c>
      <c r="E14279" s="30"/>
      <c r="F14279" s="33">
        <f ca="1">ROUND((G14268+G14269+G14270+G14271+G14272+G14273+G14278)*(1+G2/100),2)</f>
        <v>0</v>
      </c>
      <c r="G14279" s="30"/>
    </row>
    <row r="14280" spans="1:7" ht="39.84" thickBot="1" customHeight="1">
      <c r="A14280" s="34" t="s">
        <v>45175</v>
      </c>
      <c r="B14280" s="35" t="s">
        <v>45176</v>
      </c>
      <c r="C14280" s="35" t="s">
        <v>45177</v>
      </c>
      <c r="D14280" s="36" t="s">
        <v>45178</v>
      </c>
      <c r="E14280" s="37"/>
      <c r="F14280" s="38">
        <f ca="1">F14293</f>
        <v>0</v>
      </c>
      <c r="G14280" s="37"/>
    </row>
    <row r="14281" spans="1:7" ht="21.36" thickBot="1" customHeight="1">
      <c r="A14281" s="26"/>
      <c r="B14281" s="26"/>
      <c r="C14281" s="26"/>
      <c r="D14281" s="25" t="s">
        <v>45179</v>
      </c>
      <c r="E14281" s="25"/>
      <c r="F14281" s="25"/>
      <c r="G14281" s="25"/>
    </row>
    <row r="14282" spans="1:7" ht="30.60" thickBot="1" customHeight="1">
      <c r="A14282" s="24" t="s">
        <v>45180</v>
      </c>
      <c r="B14282" s="24" t="s">
        <v>45181</v>
      </c>
      <c r="C14282" s="24" t="s">
        <v>45182</v>
      </c>
      <c r="D14282" s="25" t="s">
        <v>45183</v>
      </c>
      <c r="E14282" s="28">
        <v>0.06000</v>
      </c>
      <c r="F14282" s="29">
        <f ca="1">ROUND(29.170,3)</f>
        <v>0</v>
      </c>
      <c r="G14282" s="27">
        <f ca="1">ROUND(E14282*F14282,2)</f>
        <v>0</v>
      </c>
    </row>
    <row r="14283" spans="1:7" ht="30.60" thickBot="1" customHeight="1">
      <c r="A14283" s="24" t="s">
        <v>45184</v>
      </c>
      <c r="B14283" s="24" t="s">
        <v>45185</v>
      </c>
      <c r="C14283" s="24" t="s">
        <v>45186</v>
      </c>
      <c r="D14283" s="25" t="s">
        <v>45187</v>
      </c>
      <c r="E14283" s="28">
        <v>1.00800</v>
      </c>
      <c r="F14283" s="29">
        <f ca="1">ROUND(8.330,3)</f>
        <v>0</v>
      </c>
      <c r="G14283" s="27">
        <f ca="1">ROUND(E14283*F14283,2)</f>
        <v>0</v>
      </c>
    </row>
    <row r="14284" spans="1:7" ht="30.60" thickBot="1" customHeight="1">
      <c r="A14284" s="24" t="s">
        <v>45188</v>
      </c>
      <c r="B14284" s="24" t="s">
        <v>45189</v>
      </c>
      <c r="C14284" s="24" t="s">
        <v>45190</v>
      </c>
      <c r="D14284" s="25" t="s">
        <v>45191</v>
      </c>
      <c r="E14284" s="28">
        <v>0.02100</v>
      </c>
      <c r="F14284" s="29">
        <f ca="1">ROUND(27.500,3)</f>
        <v>0</v>
      </c>
      <c r="G14284" s="27">
        <f ca="1">ROUND(E14284*F14284,2)</f>
        <v>0</v>
      </c>
    </row>
    <row r="14285" spans="1:7" ht="21.36" thickBot="1" customHeight="1">
      <c r="A14285" s="24" t="s">
        <v>45192</v>
      </c>
      <c r="B14285" s="24" t="s">
        <v>45193</v>
      </c>
      <c r="C14285" s="24" t="s">
        <v>45194</v>
      </c>
      <c r="D14285" s="25" t="s">
        <v>45195</v>
      </c>
      <c r="E14285" s="28">
        <v>0.40000</v>
      </c>
      <c r="F14285" s="29">
        <f ca="1">ROUND(1.050,3)</f>
        <v>0</v>
      </c>
      <c r="G14285" s="27">
        <f ca="1">ROUND(E14285*F14285,2)</f>
        <v>0</v>
      </c>
    </row>
    <row r="14286" spans="1:7" ht="30.60" thickBot="1" customHeight="1">
      <c r="A14286" s="24" t="s">
        <v>45196</v>
      </c>
      <c r="B14286" s="24" t="s">
        <v>45197</v>
      </c>
      <c r="C14286" s="24" t="s">
        <v>45198</v>
      </c>
      <c r="D14286" s="25" t="s">
        <v>45199</v>
      </c>
      <c r="E14286" s="28">
        <v>0.50000</v>
      </c>
      <c r="F14286" s="29">
        <f ca="1">ROUND(1.760,3)</f>
        <v>0</v>
      </c>
      <c r="G14286" s="27">
        <f ca="1">ROUND(E14286*F14286,2)</f>
        <v>0</v>
      </c>
    </row>
    <row r="14287" spans="1:7" ht="21.36" thickBot="1" customHeight="1">
      <c r="A14287" s="24" t="s">
        <v>45200</v>
      </c>
      <c r="B14287" s="24" t="s">
        <v>45201</v>
      </c>
      <c r="C14287" s="24" t="s">
        <v>45202</v>
      </c>
      <c r="D14287" s="25" t="s">
        <v>45203</v>
      </c>
      <c r="E14287" s="28">
        <v>0.53333</v>
      </c>
      <c r="F14287" s="29">
        <f ca="1">F14291</f>
        <v>0</v>
      </c>
      <c r="G14287" s="27">
        <f ca="1">ROUND(E14287*F14287,2)</f>
        <v>0</v>
      </c>
    </row>
    <row r="14288" spans="1:7" ht="24.36" thickBot="1" customHeight="1">
      <c r="A14288" s="24" t="s">
        <v>45204</v>
      </c>
      <c r="B14288" s="24" t="s">
        <v>45205</v>
      </c>
      <c r="C14288" s="24" t="s">
        <v>45206</v>
      </c>
      <c r="D14288" s="25" t="s">
        <v>45207</v>
      </c>
      <c r="E14288" s="28">
        <v>1.00000</v>
      </c>
      <c r="F14288" s="29">
        <f ca="1">ROUND(21.000,3)</f>
        <v>0</v>
      </c>
      <c r="G14288" s="27">
        <f ca="1">ROUND(E14288*F14288,2)</f>
        <v>0</v>
      </c>
    </row>
    <row r="14289" spans="1:7" ht="24.36" thickBot="1" customHeight="1">
      <c r="A14289" s="24" t="s">
        <v>45208</v>
      </c>
      <c r="B14289" s="24" t="s">
        <v>45209</v>
      </c>
      <c r="C14289" s="24" t="s">
        <v>45210</v>
      </c>
      <c r="D14289" s="25" t="s">
        <v>45211</v>
      </c>
      <c r="E14289" s="28">
        <v>1.00000</v>
      </c>
      <c r="F14289" s="29">
        <f ca="1">ROUND(19.000,3)</f>
        <v>0</v>
      </c>
      <c r="G14289" s="27">
        <f ca="1">ROUND(E14289*F14289,2)</f>
        <v>0</v>
      </c>
    </row>
    <row r="14290" spans="1:7" ht="24.36" thickBot="1" customHeight="1">
      <c r="A14290" s="24" t="s">
        <v>45212</v>
      </c>
      <c r="B14290" s="24" t="s">
        <v>45213</v>
      </c>
      <c r="C14290" s="24" t="s">
        <v>45214</v>
      </c>
      <c r="D14290" s="25" t="s">
        <v>45215</v>
      </c>
      <c r="E14290" s="28">
        <v>0.20000</v>
      </c>
      <c r="F14290" s="29">
        <f ca="1">ROUND(19.000,3)</f>
        <v>0</v>
      </c>
      <c r="G14290" s="27">
        <f ca="1">ROUND(E14290*F14290,2)</f>
        <v>0</v>
      </c>
    </row>
    <row r="14291" spans="1:7" ht="15.12" thickBot="1" customHeight="1">
      <c r="A14291" s="26"/>
      <c r="B14291" s="26"/>
      <c r="C14291" s="26"/>
      <c r="D14291" s="24" t="s">
        <v>45216</v>
      </c>
      <c r="E14291" s="28">
        <v>0.53333</v>
      </c>
      <c r="F14291" s="29">
        <f ca="1">ROUND((G14288+G14289+G14290),3)</f>
        <v>0</v>
      </c>
      <c r="G14291" s="27">
        <f ca="1">ROUND(E14291*F14291,2)</f>
        <v>0</v>
      </c>
    </row>
    <row r="14292" spans="1:7" ht="15.12" thickBot="1" customHeight="1">
      <c r="A14292" s="24" t="s">
        <v>45217</v>
      </c>
      <c r="B14292" s="24"/>
      <c r="C14292" s="24" t="s">
        <v>45218</v>
      </c>
      <c r="D14292" s="25" t="s">
        <v>45219</v>
      </c>
      <c r="E14292" s="28">
        <v>5.00000</v>
      </c>
      <c r="F14292" s="29">
        <f ca="1">ROUND(23.360,3)</f>
        <v>0</v>
      </c>
      <c r="G14292" s="27">
        <f ca="1">ROUND((E14292*F14292)/100,2)</f>
        <v>0</v>
      </c>
    </row>
    <row r="14293" spans="1:7" ht="15.48" thickBot="1" customHeight="1">
      <c r="A14293" s="30"/>
      <c r="B14293" s="30"/>
      <c r="C14293" s="30"/>
      <c r="D14293" s="31" t="s">
        <v>45220</v>
      </c>
      <c r="E14293" s="30"/>
      <c r="F14293" s="33">
        <f ca="1">ROUND((G14282+G14283+G14284+G14285+G14286+G14287+G14292)*(1+G2/100),2)</f>
        <v>0</v>
      </c>
      <c r="G14293" s="30"/>
    </row>
    <row r="14294" spans="1:7" ht="67.56" thickBot="1" customHeight="1">
      <c r="A14294" s="34" t="s">
        <v>45221</v>
      </c>
      <c r="B14294" s="35" t="s">
        <v>45222</v>
      </c>
      <c r="C14294" s="35" t="s">
        <v>45223</v>
      </c>
      <c r="D14294" s="36" t="s">
        <v>45224</v>
      </c>
      <c r="E14294" s="37"/>
      <c r="F14294" s="38">
        <f ca="1">F14308</f>
        <v>0</v>
      </c>
      <c r="G14294" s="37"/>
    </row>
    <row r="14295" spans="1:7" ht="39.84" thickBot="1" customHeight="1">
      <c r="A14295" s="26"/>
      <c r="B14295" s="26"/>
      <c r="C14295" s="26"/>
      <c r="D14295" s="25" t="s">
        <v>45225</v>
      </c>
      <c r="E14295" s="25"/>
      <c r="F14295" s="25"/>
      <c r="G14295" s="25"/>
    </row>
    <row r="14296" spans="1:7" ht="30.60" thickBot="1" customHeight="1">
      <c r="A14296" s="24" t="s">
        <v>45226</v>
      </c>
      <c r="B14296" s="24" t="s">
        <v>45227</v>
      </c>
      <c r="C14296" s="24" t="s">
        <v>45228</v>
      </c>
      <c r="D14296" s="25" t="s">
        <v>45229</v>
      </c>
      <c r="E14296" s="28">
        <v>1.00000</v>
      </c>
      <c r="F14296" s="29">
        <f ca="1">ROUND(11.740,3)</f>
        <v>0</v>
      </c>
      <c r="G14296" s="27">
        <f ca="1">ROUND(E14296*F14296,2)</f>
        <v>0</v>
      </c>
    </row>
    <row r="14297" spans="1:7" ht="30.60" thickBot="1" customHeight="1">
      <c r="A14297" s="24" t="s">
        <v>45230</v>
      </c>
      <c r="B14297" s="24" t="s">
        <v>45231</v>
      </c>
      <c r="C14297" s="24" t="s">
        <v>45232</v>
      </c>
      <c r="D14297" s="25" t="s">
        <v>45233</v>
      </c>
      <c r="E14297" s="28">
        <v>0.50000</v>
      </c>
      <c r="F14297" s="29">
        <f ca="1">ROUND(10.180,3)</f>
        <v>0</v>
      </c>
      <c r="G14297" s="27">
        <f ca="1">ROUND(E14297*F14297,2)</f>
        <v>0</v>
      </c>
    </row>
    <row r="14298" spans="1:7" ht="30.60" thickBot="1" customHeight="1">
      <c r="A14298" s="24" t="s">
        <v>45234</v>
      </c>
      <c r="B14298" s="24" t="s">
        <v>45235</v>
      </c>
      <c r="C14298" s="24" t="s">
        <v>45236</v>
      </c>
      <c r="D14298" s="25" t="s">
        <v>45237</v>
      </c>
      <c r="E14298" s="28">
        <v>0.02100</v>
      </c>
      <c r="F14298" s="29">
        <f ca="1">ROUND(27.500,3)</f>
        <v>0</v>
      </c>
      <c r="G14298" s="27">
        <f ca="1">ROUND(E14298*F14298,2)</f>
        <v>0</v>
      </c>
    </row>
    <row r="14299" spans="1:7" ht="21.36" thickBot="1" customHeight="1">
      <c r="A14299" s="24" t="s">
        <v>45238</v>
      </c>
      <c r="B14299" s="24" t="s">
        <v>45239</v>
      </c>
      <c r="C14299" s="24" t="s">
        <v>45240</v>
      </c>
      <c r="D14299" s="25" t="s">
        <v>45241</v>
      </c>
      <c r="E14299" s="28">
        <v>0.40000</v>
      </c>
      <c r="F14299" s="29">
        <f ca="1">ROUND(1.050,3)</f>
        <v>0</v>
      </c>
      <c r="G14299" s="27">
        <f ca="1">ROUND(E14299*F14299,2)</f>
        <v>0</v>
      </c>
    </row>
    <row r="14300" spans="1:7" ht="30.60" thickBot="1" customHeight="1">
      <c r="A14300" s="24" t="s">
        <v>45242</v>
      </c>
      <c r="B14300" s="24" t="s">
        <v>45243</v>
      </c>
      <c r="C14300" s="24" t="s">
        <v>45244</v>
      </c>
      <c r="D14300" s="25" t="s">
        <v>45245</v>
      </c>
      <c r="E14300" s="28">
        <v>0.50000</v>
      </c>
      <c r="F14300" s="29">
        <f ca="1">ROUND(1.760,3)</f>
        <v>0</v>
      </c>
      <c r="G14300" s="27">
        <f ca="1">ROUND(E14300*F14300,2)</f>
        <v>0</v>
      </c>
    </row>
    <row r="14301" spans="1:7" ht="21.36" thickBot="1" customHeight="1">
      <c r="A14301" s="24" t="s">
        <v>45246</v>
      </c>
      <c r="B14301" s="24" t="s">
        <v>45247</v>
      </c>
      <c r="C14301" s="24" t="s">
        <v>45248</v>
      </c>
      <c r="D14301" s="25" t="s">
        <v>45249</v>
      </c>
      <c r="E14301" s="28">
        <v>0.02444</v>
      </c>
      <c r="F14301" s="29">
        <f ca="1">ROUND(1.320,3)</f>
        <v>0</v>
      </c>
      <c r="G14301" s="27">
        <f ca="1">ROUND(E14301*F14301,2)</f>
        <v>0</v>
      </c>
    </row>
    <row r="14302" spans="1:7" ht="21.36" thickBot="1" customHeight="1">
      <c r="A14302" s="24" t="s">
        <v>45250</v>
      </c>
      <c r="B14302" s="24" t="s">
        <v>45251</v>
      </c>
      <c r="C14302" s="24" t="s">
        <v>45252</v>
      </c>
      <c r="D14302" s="25" t="s">
        <v>45253</v>
      </c>
      <c r="E14302" s="28">
        <v>0.61540</v>
      </c>
      <c r="F14302" s="29">
        <f ca="1">F14306</f>
        <v>0</v>
      </c>
      <c r="G14302" s="27">
        <f ca="1">ROUND(E14302*F14302,2)</f>
        <v>0</v>
      </c>
    </row>
    <row r="14303" spans="1:7" ht="24.36" thickBot="1" customHeight="1">
      <c r="A14303" s="24" t="s">
        <v>45254</v>
      </c>
      <c r="B14303" s="24" t="s">
        <v>45255</v>
      </c>
      <c r="C14303" s="24" t="s">
        <v>45256</v>
      </c>
      <c r="D14303" s="25" t="s">
        <v>45257</v>
      </c>
      <c r="E14303" s="28">
        <v>1.00000</v>
      </c>
      <c r="F14303" s="29">
        <f ca="1">ROUND(21.000,3)</f>
        <v>0</v>
      </c>
      <c r="G14303" s="27">
        <f ca="1">ROUND(E14303*F14303,2)</f>
        <v>0</v>
      </c>
    </row>
    <row r="14304" spans="1:7" ht="24.36" thickBot="1" customHeight="1">
      <c r="A14304" s="24" t="s">
        <v>45258</v>
      </c>
      <c r="B14304" s="24" t="s">
        <v>45259</v>
      </c>
      <c r="C14304" s="24" t="s">
        <v>45260</v>
      </c>
      <c r="D14304" s="25" t="s">
        <v>45261</v>
      </c>
      <c r="E14304" s="28">
        <v>1.00000</v>
      </c>
      <c r="F14304" s="29">
        <f ca="1">ROUND(19.000,3)</f>
        <v>0</v>
      </c>
      <c r="G14304" s="27">
        <f ca="1">ROUND(E14304*F14304,2)</f>
        <v>0</v>
      </c>
    </row>
    <row r="14305" spans="1:7" ht="24.36" thickBot="1" customHeight="1">
      <c r="A14305" s="24" t="s">
        <v>45262</v>
      </c>
      <c r="B14305" s="24" t="s">
        <v>45263</v>
      </c>
      <c r="C14305" s="24" t="s">
        <v>45264</v>
      </c>
      <c r="D14305" s="25" t="s">
        <v>45265</v>
      </c>
      <c r="E14305" s="28">
        <v>0.20000</v>
      </c>
      <c r="F14305" s="29">
        <f ca="1">ROUND(19.000,3)</f>
        <v>0</v>
      </c>
      <c r="G14305" s="27">
        <f ca="1">ROUND(E14305*F14305,2)</f>
        <v>0</v>
      </c>
    </row>
    <row r="14306" spans="1:7" ht="15.12" thickBot="1" customHeight="1">
      <c r="A14306" s="26"/>
      <c r="B14306" s="26"/>
      <c r="C14306" s="26"/>
      <c r="D14306" s="24" t="s">
        <v>45266</v>
      </c>
      <c r="E14306" s="28">
        <v>0.61540</v>
      </c>
      <c r="F14306" s="29">
        <f ca="1">ROUND((G14303+G14304+G14305),3)</f>
        <v>0</v>
      </c>
      <c r="G14306" s="27">
        <f ca="1">ROUND(E14306*F14306,2)</f>
        <v>0</v>
      </c>
    </row>
    <row r="14307" spans="1:7" ht="15.12" thickBot="1" customHeight="1">
      <c r="A14307" s="24" t="s">
        <v>45267</v>
      </c>
      <c r="B14307" s="24"/>
      <c r="C14307" s="24" t="s">
        <v>45268</v>
      </c>
      <c r="D14307" s="25" t="s">
        <v>45269</v>
      </c>
      <c r="E14307" s="28">
        <v>5.00000</v>
      </c>
      <c r="F14307" s="29">
        <f ca="1">ROUND(26.950,3)</f>
        <v>0</v>
      </c>
      <c r="G14307" s="27">
        <f ca="1">ROUND((E14307*F14307)/100,2)</f>
        <v>0</v>
      </c>
    </row>
    <row r="14308" spans="1:7" ht="15.48" thickBot="1" customHeight="1">
      <c r="A14308" s="30"/>
      <c r="B14308" s="30"/>
      <c r="C14308" s="30"/>
      <c r="D14308" s="31" t="s">
        <v>45270</v>
      </c>
      <c r="E14308" s="30"/>
      <c r="F14308" s="33">
        <f ca="1">ROUND((G14296+G14297+G14298+G14299+G14300+G14301+G14302+G14307)*(1+G2/100),2)</f>
        <v>0</v>
      </c>
      <c r="G14308" s="30"/>
    </row>
    <row r="14309" spans="1:7" ht="76.80" thickBot="1" customHeight="1">
      <c r="A14309" s="34" t="s">
        <v>45271</v>
      </c>
      <c r="B14309" s="35" t="s">
        <v>45272</v>
      </c>
      <c r="C14309" s="35" t="s">
        <v>45273</v>
      </c>
      <c r="D14309" s="36" t="s">
        <v>45274</v>
      </c>
      <c r="E14309" s="37"/>
      <c r="F14309" s="38">
        <f ca="1">F14323</f>
        <v>0</v>
      </c>
      <c r="G14309" s="37"/>
    </row>
    <row r="14310" spans="1:7" ht="39.84" thickBot="1" customHeight="1">
      <c r="A14310" s="26"/>
      <c r="B14310" s="26"/>
      <c r="C14310" s="26"/>
      <c r="D14310" s="25" t="s">
        <v>45275</v>
      </c>
      <c r="E14310" s="25"/>
      <c r="F14310" s="25"/>
      <c r="G14310" s="25"/>
    </row>
    <row r="14311" spans="1:7" ht="30.60" thickBot="1" customHeight="1">
      <c r="A14311" s="24" t="s">
        <v>45276</v>
      </c>
      <c r="B14311" s="24" t="s">
        <v>45277</v>
      </c>
      <c r="C14311" s="24" t="s">
        <v>45278</v>
      </c>
      <c r="D14311" s="25" t="s">
        <v>45279</v>
      </c>
      <c r="E14311" s="28">
        <v>1.00000</v>
      </c>
      <c r="F14311" s="29">
        <f ca="1">ROUND(11.740,3)</f>
        <v>0</v>
      </c>
      <c r="G14311" s="27">
        <f ca="1">ROUND(E14311*F14311,2)</f>
        <v>0</v>
      </c>
    </row>
    <row r="14312" spans="1:7" ht="30.60" thickBot="1" customHeight="1">
      <c r="A14312" s="24" t="s">
        <v>45280</v>
      </c>
      <c r="B14312" s="24" t="s">
        <v>45281</v>
      </c>
      <c r="C14312" s="24" t="s">
        <v>45282</v>
      </c>
      <c r="D14312" s="25" t="s">
        <v>45283</v>
      </c>
      <c r="E14312" s="28">
        <v>0.50000</v>
      </c>
      <c r="F14312" s="29">
        <f ca="1">ROUND(10.180,3)</f>
        <v>0</v>
      </c>
      <c r="G14312" s="27">
        <f ca="1">ROUND(E14312*F14312,2)</f>
        <v>0</v>
      </c>
    </row>
    <row r="14313" spans="1:7" ht="30.60" thickBot="1" customHeight="1">
      <c r="A14313" s="24" t="s">
        <v>45284</v>
      </c>
      <c r="B14313" s="24" t="s">
        <v>45285</v>
      </c>
      <c r="C14313" s="24" t="s">
        <v>45286</v>
      </c>
      <c r="D14313" s="25" t="s">
        <v>45287</v>
      </c>
      <c r="E14313" s="28">
        <v>0.02100</v>
      </c>
      <c r="F14313" s="29">
        <f ca="1">ROUND(27.500,3)</f>
        <v>0</v>
      </c>
      <c r="G14313" s="27">
        <f ca="1">ROUND(E14313*F14313,2)</f>
        <v>0</v>
      </c>
    </row>
    <row r="14314" spans="1:7" ht="21.36" thickBot="1" customHeight="1">
      <c r="A14314" s="24" t="s">
        <v>45288</v>
      </c>
      <c r="B14314" s="24" t="s">
        <v>45289</v>
      </c>
      <c r="C14314" s="24" t="s">
        <v>45290</v>
      </c>
      <c r="D14314" s="25" t="s">
        <v>45291</v>
      </c>
      <c r="E14314" s="28">
        <v>0.40000</v>
      </c>
      <c r="F14314" s="29">
        <f ca="1">ROUND(1.050,3)</f>
        <v>0</v>
      </c>
      <c r="G14314" s="27">
        <f ca="1">ROUND(E14314*F14314,2)</f>
        <v>0</v>
      </c>
    </row>
    <row r="14315" spans="1:7" ht="30.60" thickBot="1" customHeight="1">
      <c r="A14315" s="24" t="s">
        <v>45292</v>
      </c>
      <c r="B14315" s="24" t="s">
        <v>45293</v>
      </c>
      <c r="C14315" s="24" t="s">
        <v>45294</v>
      </c>
      <c r="D14315" s="25" t="s">
        <v>45295</v>
      </c>
      <c r="E14315" s="28">
        <v>0.50000</v>
      </c>
      <c r="F14315" s="29">
        <f ca="1">ROUND(1.760,3)</f>
        <v>0</v>
      </c>
      <c r="G14315" s="27">
        <f ca="1">ROUND(E14315*F14315,2)</f>
        <v>0</v>
      </c>
    </row>
    <row r="14316" spans="1:7" ht="21.36" thickBot="1" customHeight="1">
      <c r="A14316" s="24" t="s">
        <v>45296</v>
      </c>
      <c r="B14316" s="24" t="s">
        <v>45297</v>
      </c>
      <c r="C14316" s="24" t="s">
        <v>45298</v>
      </c>
      <c r="D14316" s="25" t="s">
        <v>45299</v>
      </c>
      <c r="E14316" s="28">
        <v>0.02444</v>
      </c>
      <c r="F14316" s="29">
        <f ca="1">ROUND(1.320,3)</f>
        <v>0</v>
      </c>
      <c r="G14316" s="27">
        <f ca="1">ROUND(E14316*F14316,2)</f>
        <v>0</v>
      </c>
    </row>
    <row r="14317" spans="1:7" ht="21.36" thickBot="1" customHeight="1">
      <c r="A14317" s="24" t="s">
        <v>45300</v>
      </c>
      <c r="B14317" s="24" t="s">
        <v>45301</v>
      </c>
      <c r="C14317" s="24" t="s">
        <v>45302</v>
      </c>
      <c r="D14317" s="25" t="s">
        <v>45303</v>
      </c>
      <c r="E14317" s="28">
        <v>0.47060</v>
      </c>
      <c r="F14317" s="29">
        <f ca="1">F14321</f>
        <v>0</v>
      </c>
      <c r="G14317" s="27">
        <f ca="1">ROUND(E14317*F14317,2)</f>
        <v>0</v>
      </c>
    </row>
    <row r="14318" spans="1:7" ht="24.36" thickBot="1" customHeight="1">
      <c r="A14318" s="24" t="s">
        <v>45304</v>
      </c>
      <c r="B14318" s="24" t="s">
        <v>45305</v>
      </c>
      <c r="C14318" s="24" t="s">
        <v>45306</v>
      </c>
      <c r="D14318" s="25" t="s">
        <v>45307</v>
      </c>
      <c r="E14318" s="28">
        <v>1.00000</v>
      </c>
      <c r="F14318" s="29">
        <f ca="1">ROUND(21.000,3)</f>
        <v>0</v>
      </c>
      <c r="G14318" s="27">
        <f ca="1">ROUND(E14318*F14318,2)</f>
        <v>0</v>
      </c>
    </row>
    <row r="14319" spans="1:7" ht="24.36" thickBot="1" customHeight="1">
      <c r="A14319" s="24" t="s">
        <v>45308</v>
      </c>
      <c r="B14319" s="24" t="s">
        <v>45309</v>
      </c>
      <c r="C14319" s="24" t="s">
        <v>45310</v>
      </c>
      <c r="D14319" s="25" t="s">
        <v>45311</v>
      </c>
      <c r="E14319" s="28">
        <v>1.00000</v>
      </c>
      <c r="F14319" s="29">
        <f ca="1">ROUND(19.000,3)</f>
        <v>0</v>
      </c>
      <c r="G14319" s="27">
        <f ca="1">ROUND(E14319*F14319,2)</f>
        <v>0</v>
      </c>
    </row>
    <row r="14320" spans="1:7" ht="24.36" thickBot="1" customHeight="1">
      <c r="A14320" s="24" t="s">
        <v>45312</v>
      </c>
      <c r="B14320" s="24" t="s">
        <v>45313</v>
      </c>
      <c r="C14320" s="24" t="s">
        <v>45314</v>
      </c>
      <c r="D14320" s="25" t="s">
        <v>45315</v>
      </c>
      <c r="E14320" s="28">
        <v>0.20000</v>
      </c>
      <c r="F14320" s="29">
        <f ca="1">ROUND(19.000,3)</f>
        <v>0</v>
      </c>
      <c r="G14320" s="27">
        <f ca="1">ROUND(E14320*F14320,2)</f>
        <v>0</v>
      </c>
    </row>
    <row r="14321" spans="1:7" ht="15.12" thickBot="1" customHeight="1">
      <c r="A14321" s="26"/>
      <c r="B14321" s="26"/>
      <c r="C14321" s="26"/>
      <c r="D14321" s="24" t="s">
        <v>45316</v>
      </c>
      <c r="E14321" s="28">
        <v>0.47060</v>
      </c>
      <c r="F14321" s="29">
        <f ca="1">ROUND((G14318+G14319+G14320),3)</f>
        <v>0</v>
      </c>
      <c r="G14321" s="27">
        <f ca="1">ROUND(E14321*F14321,2)</f>
        <v>0</v>
      </c>
    </row>
    <row r="14322" spans="1:7" ht="15.12" thickBot="1" customHeight="1">
      <c r="A14322" s="24" t="s">
        <v>45317</v>
      </c>
      <c r="B14322" s="24"/>
      <c r="C14322" s="24" t="s">
        <v>45318</v>
      </c>
      <c r="D14322" s="25" t="s">
        <v>45319</v>
      </c>
      <c r="E14322" s="28">
        <v>5.00000</v>
      </c>
      <c r="F14322" s="29">
        <f ca="1">ROUND(20.610,3)</f>
        <v>0</v>
      </c>
      <c r="G14322" s="27">
        <f ca="1">ROUND((E14322*F14322)/100,2)</f>
        <v>0</v>
      </c>
    </row>
    <row r="14323" spans="1:7" ht="15.48" thickBot="1" customHeight="1">
      <c r="A14323" s="30"/>
      <c r="B14323" s="30"/>
      <c r="C14323" s="30"/>
      <c r="D14323" s="31" t="s">
        <v>45320</v>
      </c>
      <c r="E14323" s="30"/>
      <c r="F14323" s="33">
        <f ca="1">ROUND((G14311+G14312+G14313+G14314+G14315+G14316+G14317+G14322)*(1+G2/100),2)</f>
        <v>0</v>
      </c>
      <c r="G14323" s="30"/>
    </row>
    <row r="14324" spans="1:7" ht="86.04" thickBot="1" customHeight="1">
      <c r="A14324" s="34" t="s">
        <v>45321</v>
      </c>
      <c r="B14324" s="35" t="s">
        <v>45322</v>
      </c>
      <c r="C14324" s="35" t="s">
        <v>45323</v>
      </c>
      <c r="D14324" s="36" t="s">
        <v>45324</v>
      </c>
      <c r="E14324" s="37"/>
      <c r="F14324" s="38">
        <f ca="1">F14338</f>
        <v>0</v>
      </c>
      <c r="G14324" s="37"/>
    </row>
    <row r="14325" spans="1:7" ht="49.08" thickBot="1" customHeight="1">
      <c r="A14325" s="26"/>
      <c r="B14325" s="26"/>
      <c r="C14325" s="26"/>
      <c r="D14325" s="25" t="s">
        <v>45325</v>
      </c>
      <c r="E14325" s="25"/>
      <c r="F14325" s="25"/>
      <c r="G14325" s="25"/>
    </row>
    <row r="14326" spans="1:7" ht="30.60" thickBot="1" customHeight="1">
      <c r="A14326" s="24" t="s">
        <v>45326</v>
      </c>
      <c r="B14326" s="24" t="s">
        <v>45327</v>
      </c>
      <c r="C14326" s="24" t="s">
        <v>45328</v>
      </c>
      <c r="D14326" s="25" t="s">
        <v>45329</v>
      </c>
      <c r="E14326" s="28">
        <v>1.00000</v>
      </c>
      <c r="F14326" s="29">
        <f ca="1">ROUND(11.740,3)</f>
        <v>0</v>
      </c>
      <c r="G14326" s="27">
        <f ca="1">ROUND(E14326*F14326,2)</f>
        <v>0</v>
      </c>
    </row>
    <row r="14327" spans="1:7" ht="30.60" thickBot="1" customHeight="1">
      <c r="A14327" s="24" t="s">
        <v>45330</v>
      </c>
      <c r="B14327" s="24" t="s">
        <v>45331</v>
      </c>
      <c r="C14327" s="24" t="s">
        <v>45332</v>
      </c>
      <c r="D14327" s="25" t="s">
        <v>45333</v>
      </c>
      <c r="E14327" s="28">
        <v>0.50000</v>
      </c>
      <c r="F14327" s="29">
        <f ca="1">ROUND(10.180,3)</f>
        <v>0</v>
      </c>
      <c r="G14327" s="27">
        <f ca="1">ROUND(E14327*F14327,2)</f>
        <v>0</v>
      </c>
    </row>
    <row r="14328" spans="1:7" ht="30.60" thickBot="1" customHeight="1">
      <c r="A14328" s="24" t="s">
        <v>45334</v>
      </c>
      <c r="B14328" s="24" t="s">
        <v>45335</v>
      </c>
      <c r="C14328" s="24" t="s">
        <v>45336</v>
      </c>
      <c r="D14328" s="25" t="s">
        <v>45337</v>
      </c>
      <c r="E14328" s="28">
        <v>0.02100</v>
      </c>
      <c r="F14328" s="29">
        <f ca="1">ROUND(27.500,3)</f>
        <v>0</v>
      </c>
      <c r="G14328" s="27">
        <f ca="1">ROUND(E14328*F14328,2)</f>
        <v>0</v>
      </c>
    </row>
    <row r="14329" spans="1:7" ht="21.36" thickBot="1" customHeight="1">
      <c r="A14329" s="24" t="s">
        <v>45338</v>
      </c>
      <c r="B14329" s="24" t="s">
        <v>45339</v>
      </c>
      <c r="C14329" s="24" t="s">
        <v>45340</v>
      </c>
      <c r="D14329" s="25" t="s">
        <v>45341</v>
      </c>
      <c r="E14329" s="28">
        <v>0.40000</v>
      </c>
      <c r="F14329" s="29">
        <f ca="1">ROUND(1.050,3)</f>
        <v>0</v>
      </c>
      <c r="G14329" s="27">
        <f ca="1">ROUND(E14329*F14329,2)</f>
        <v>0</v>
      </c>
    </row>
    <row r="14330" spans="1:7" ht="30.60" thickBot="1" customHeight="1">
      <c r="A14330" s="24" t="s">
        <v>45342</v>
      </c>
      <c r="B14330" s="24" t="s">
        <v>45343</v>
      </c>
      <c r="C14330" s="24" t="s">
        <v>45344</v>
      </c>
      <c r="D14330" s="25" t="s">
        <v>45345</v>
      </c>
      <c r="E14330" s="28">
        <v>0.50000</v>
      </c>
      <c r="F14330" s="29">
        <f ca="1">ROUND(1.760,3)</f>
        <v>0</v>
      </c>
      <c r="G14330" s="27">
        <f ca="1">ROUND(E14330*F14330,2)</f>
        <v>0</v>
      </c>
    </row>
    <row r="14331" spans="1:7" ht="21.36" thickBot="1" customHeight="1">
      <c r="A14331" s="24" t="s">
        <v>45346</v>
      </c>
      <c r="B14331" s="24" t="s">
        <v>45347</v>
      </c>
      <c r="C14331" s="24" t="s">
        <v>45348</v>
      </c>
      <c r="D14331" s="25" t="s">
        <v>45349</v>
      </c>
      <c r="E14331" s="28">
        <v>0.02444</v>
      </c>
      <c r="F14331" s="29">
        <f ca="1">ROUND(1.320,3)</f>
        <v>0</v>
      </c>
      <c r="G14331" s="27">
        <f ca="1">ROUND(E14331*F14331,2)</f>
        <v>0</v>
      </c>
    </row>
    <row r="14332" spans="1:7" ht="21.36" thickBot="1" customHeight="1">
      <c r="A14332" s="24" t="s">
        <v>45350</v>
      </c>
      <c r="B14332" s="24" t="s">
        <v>45351</v>
      </c>
      <c r="C14332" s="24" t="s">
        <v>45352</v>
      </c>
      <c r="D14332" s="25" t="s">
        <v>45353</v>
      </c>
      <c r="E14332" s="28">
        <v>0.66660</v>
      </c>
      <c r="F14332" s="29">
        <f ca="1">F14336</f>
        <v>0</v>
      </c>
      <c r="G14332" s="27">
        <f ca="1">ROUND(E14332*F14332,2)</f>
        <v>0</v>
      </c>
    </row>
    <row r="14333" spans="1:7" ht="24.36" thickBot="1" customHeight="1">
      <c r="A14333" s="24" t="s">
        <v>45354</v>
      </c>
      <c r="B14333" s="24" t="s">
        <v>45355</v>
      </c>
      <c r="C14333" s="24" t="s">
        <v>45356</v>
      </c>
      <c r="D14333" s="25" t="s">
        <v>45357</v>
      </c>
      <c r="E14333" s="28">
        <v>1.00000</v>
      </c>
      <c r="F14333" s="29">
        <f ca="1">ROUND(21.000,3)</f>
        <v>0</v>
      </c>
      <c r="G14333" s="27">
        <f ca="1">ROUND(E14333*F14333,2)</f>
        <v>0</v>
      </c>
    </row>
    <row r="14334" spans="1:7" ht="24.36" thickBot="1" customHeight="1">
      <c r="A14334" s="24" t="s">
        <v>45358</v>
      </c>
      <c r="B14334" s="24" t="s">
        <v>45359</v>
      </c>
      <c r="C14334" s="24" t="s">
        <v>45360</v>
      </c>
      <c r="D14334" s="25" t="s">
        <v>45361</v>
      </c>
      <c r="E14334" s="28">
        <v>1.00000</v>
      </c>
      <c r="F14334" s="29">
        <f ca="1">ROUND(19.000,3)</f>
        <v>0</v>
      </c>
      <c r="G14334" s="27">
        <f ca="1">ROUND(E14334*F14334,2)</f>
        <v>0</v>
      </c>
    </row>
    <row r="14335" spans="1:7" ht="24.36" thickBot="1" customHeight="1">
      <c r="A14335" s="24" t="s">
        <v>45362</v>
      </c>
      <c r="B14335" s="24" t="s">
        <v>45363</v>
      </c>
      <c r="C14335" s="24" t="s">
        <v>45364</v>
      </c>
      <c r="D14335" s="25" t="s">
        <v>45365</v>
      </c>
      <c r="E14335" s="28">
        <v>0.20000</v>
      </c>
      <c r="F14335" s="29">
        <f ca="1">ROUND(19.000,3)</f>
        <v>0</v>
      </c>
      <c r="G14335" s="27">
        <f ca="1">ROUND(E14335*F14335,2)</f>
        <v>0</v>
      </c>
    </row>
    <row r="14336" spans="1:7" ht="15.12" thickBot="1" customHeight="1">
      <c r="A14336" s="26"/>
      <c r="B14336" s="26"/>
      <c r="C14336" s="26"/>
      <c r="D14336" s="24" t="s">
        <v>45366</v>
      </c>
      <c r="E14336" s="28">
        <v>0.66660</v>
      </c>
      <c r="F14336" s="29">
        <f ca="1">ROUND((G14333+G14334+G14335),3)</f>
        <v>0</v>
      </c>
      <c r="G14336" s="27">
        <f ca="1">ROUND(E14336*F14336,2)</f>
        <v>0</v>
      </c>
    </row>
    <row r="14337" spans="1:7" ht="15.12" thickBot="1" customHeight="1">
      <c r="A14337" s="24" t="s">
        <v>45367</v>
      </c>
      <c r="B14337" s="24"/>
      <c r="C14337" s="24" t="s">
        <v>45368</v>
      </c>
      <c r="D14337" s="25" t="s">
        <v>45369</v>
      </c>
      <c r="E14337" s="28">
        <v>5.00000</v>
      </c>
      <c r="F14337" s="29">
        <f ca="1">ROUND(29.200,3)</f>
        <v>0</v>
      </c>
      <c r="G14337" s="27">
        <f ca="1">ROUND((E14337*F14337)/100,2)</f>
        <v>0</v>
      </c>
    </row>
    <row r="14338" spans="1:7" ht="15.48" thickBot="1" customHeight="1">
      <c r="A14338" s="30"/>
      <c r="B14338" s="30"/>
      <c r="C14338" s="30"/>
      <c r="D14338" s="31" t="s">
        <v>45370</v>
      </c>
      <c r="E14338" s="30"/>
      <c r="F14338" s="33">
        <f ca="1">ROUND((G14326+G14327+G14328+G14329+G14330+G14331+G14332+G14337)*(1+G2/100),2)</f>
        <v>0</v>
      </c>
      <c r="G14338" s="30"/>
    </row>
    <row r="14339" spans="1:7" ht="67.56" thickBot="1" customHeight="1">
      <c r="A14339" s="34" t="s">
        <v>45371</v>
      </c>
      <c r="B14339" s="35" t="s">
        <v>45372</v>
      </c>
      <c r="C14339" s="35" t="s">
        <v>45373</v>
      </c>
      <c r="D14339" s="36" t="s">
        <v>45374</v>
      </c>
      <c r="E14339" s="37"/>
      <c r="F14339" s="38">
        <f ca="1">F14353</f>
        <v>0</v>
      </c>
      <c r="G14339" s="37"/>
    </row>
    <row r="14340" spans="1:7" ht="39.84" thickBot="1" customHeight="1">
      <c r="A14340" s="26"/>
      <c r="B14340" s="26"/>
      <c r="C14340" s="26"/>
      <c r="D14340" s="25" t="s">
        <v>45375</v>
      </c>
      <c r="E14340" s="25"/>
      <c r="F14340" s="25"/>
      <c r="G14340" s="25"/>
    </row>
    <row r="14341" spans="1:7" ht="30.60" thickBot="1" customHeight="1">
      <c r="A14341" s="24" t="s">
        <v>45376</v>
      </c>
      <c r="B14341" s="24" t="s">
        <v>45377</v>
      </c>
      <c r="C14341" s="24" t="s">
        <v>45378</v>
      </c>
      <c r="D14341" s="25" t="s">
        <v>45379</v>
      </c>
      <c r="E14341" s="28">
        <v>1.00000</v>
      </c>
      <c r="F14341" s="29">
        <f ca="1">ROUND(7.890,3)</f>
        <v>0</v>
      </c>
      <c r="G14341" s="27">
        <f ca="1">ROUND(E14341*F14341,2)</f>
        <v>0</v>
      </c>
    </row>
    <row r="14342" spans="1:7" ht="21.36" thickBot="1" customHeight="1">
      <c r="A14342" s="24" t="s">
        <v>45380</v>
      </c>
      <c r="B14342" s="24" t="s">
        <v>45381</v>
      </c>
      <c r="C14342" s="24" t="s">
        <v>45382</v>
      </c>
      <c r="D14342" s="25" t="s">
        <v>45383</v>
      </c>
      <c r="E14342" s="28">
        <v>0.50000</v>
      </c>
      <c r="F14342" s="29">
        <f ca="1">ROUND(10.180,3)</f>
        <v>0</v>
      </c>
      <c r="G14342" s="27">
        <f ca="1">ROUND(E14342*F14342,2)</f>
        <v>0</v>
      </c>
    </row>
    <row r="14343" spans="1:7" ht="30.60" thickBot="1" customHeight="1">
      <c r="A14343" s="24" t="s">
        <v>45384</v>
      </c>
      <c r="B14343" s="24" t="s">
        <v>45385</v>
      </c>
      <c r="C14343" s="24" t="s">
        <v>45386</v>
      </c>
      <c r="D14343" s="25" t="s">
        <v>45387</v>
      </c>
      <c r="E14343" s="28">
        <v>0.02100</v>
      </c>
      <c r="F14343" s="29">
        <f ca="1">ROUND(27.500,3)</f>
        <v>0</v>
      </c>
      <c r="G14343" s="27">
        <f ca="1">ROUND(E14343*F14343,2)</f>
        <v>0</v>
      </c>
    </row>
    <row r="14344" spans="1:7" ht="21.36" thickBot="1" customHeight="1">
      <c r="A14344" s="24" t="s">
        <v>45388</v>
      </c>
      <c r="B14344" s="24" t="s">
        <v>45389</v>
      </c>
      <c r="C14344" s="24" t="s">
        <v>45390</v>
      </c>
      <c r="D14344" s="25" t="s">
        <v>45391</v>
      </c>
      <c r="E14344" s="28">
        <v>0.40000</v>
      </c>
      <c r="F14344" s="29">
        <f ca="1">ROUND(1.050,3)</f>
        <v>0</v>
      </c>
      <c r="G14344" s="27">
        <f ca="1">ROUND(E14344*F14344,2)</f>
        <v>0</v>
      </c>
    </row>
    <row r="14345" spans="1:7" ht="30.60" thickBot="1" customHeight="1">
      <c r="A14345" s="24" t="s">
        <v>45392</v>
      </c>
      <c r="B14345" s="24" t="s">
        <v>45393</v>
      </c>
      <c r="C14345" s="24" t="s">
        <v>45394</v>
      </c>
      <c r="D14345" s="25" t="s">
        <v>45395</v>
      </c>
      <c r="E14345" s="28">
        <v>0.50000</v>
      </c>
      <c r="F14345" s="29">
        <f ca="1">ROUND(1.760,3)</f>
        <v>0</v>
      </c>
      <c r="G14345" s="27">
        <f ca="1">ROUND(E14345*F14345,2)</f>
        <v>0</v>
      </c>
    </row>
    <row r="14346" spans="1:7" ht="21.36" thickBot="1" customHeight="1">
      <c r="A14346" s="24" t="s">
        <v>45396</v>
      </c>
      <c r="B14346" s="24" t="s">
        <v>45397</v>
      </c>
      <c r="C14346" s="24" t="s">
        <v>45398</v>
      </c>
      <c r="D14346" s="25" t="s">
        <v>45399</v>
      </c>
      <c r="E14346" s="28">
        <v>0.02444</v>
      </c>
      <c r="F14346" s="29">
        <f ca="1">ROUND(1.320,3)</f>
        <v>0</v>
      </c>
      <c r="G14346" s="27">
        <f ca="1">ROUND(E14346*F14346,2)</f>
        <v>0</v>
      </c>
    </row>
    <row r="14347" spans="1:7" ht="21.36" thickBot="1" customHeight="1">
      <c r="A14347" s="24" t="s">
        <v>45400</v>
      </c>
      <c r="B14347" s="24" t="s">
        <v>45401</v>
      </c>
      <c r="C14347" s="24" t="s">
        <v>45402</v>
      </c>
      <c r="D14347" s="25" t="s">
        <v>45403</v>
      </c>
      <c r="E14347" s="28">
        <v>0.61540</v>
      </c>
      <c r="F14347" s="29">
        <f ca="1">F14351</f>
        <v>0</v>
      </c>
      <c r="G14347" s="27">
        <f ca="1">ROUND(E14347*F14347,2)</f>
        <v>0</v>
      </c>
    </row>
    <row r="14348" spans="1:7" ht="24.36" thickBot="1" customHeight="1">
      <c r="A14348" s="24" t="s">
        <v>45404</v>
      </c>
      <c r="B14348" s="24" t="s">
        <v>45405</v>
      </c>
      <c r="C14348" s="24" t="s">
        <v>45406</v>
      </c>
      <c r="D14348" s="25" t="s">
        <v>45407</v>
      </c>
      <c r="E14348" s="28">
        <v>1.00000</v>
      </c>
      <c r="F14348" s="29">
        <f ca="1">ROUND(21.000,3)</f>
        <v>0</v>
      </c>
      <c r="G14348" s="27">
        <f ca="1">ROUND(E14348*F14348,2)</f>
        <v>0</v>
      </c>
    </row>
    <row r="14349" spans="1:7" ht="24.36" thickBot="1" customHeight="1">
      <c r="A14349" s="24" t="s">
        <v>45408</v>
      </c>
      <c r="B14349" s="24" t="s">
        <v>45409</v>
      </c>
      <c r="C14349" s="24" t="s">
        <v>45410</v>
      </c>
      <c r="D14349" s="25" t="s">
        <v>45411</v>
      </c>
      <c r="E14349" s="28">
        <v>1.00000</v>
      </c>
      <c r="F14349" s="29">
        <f ca="1">ROUND(19.000,3)</f>
        <v>0</v>
      </c>
      <c r="G14349" s="27">
        <f ca="1">ROUND(E14349*F14349,2)</f>
        <v>0</v>
      </c>
    </row>
    <row r="14350" spans="1:7" ht="24.36" thickBot="1" customHeight="1">
      <c r="A14350" s="24" t="s">
        <v>45412</v>
      </c>
      <c r="B14350" s="24" t="s">
        <v>45413</v>
      </c>
      <c r="C14350" s="24" t="s">
        <v>45414</v>
      </c>
      <c r="D14350" s="25" t="s">
        <v>45415</v>
      </c>
      <c r="E14350" s="28">
        <v>0.20000</v>
      </c>
      <c r="F14350" s="29">
        <f ca="1">ROUND(19.000,3)</f>
        <v>0</v>
      </c>
      <c r="G14350" s="27">
        <f ca="1">ROUND(E14350*F14350,2)</f>
        <v>0</v>
      </c>
    </row>
    <row r="14351" spans="1:7" ht="15.12" thickBot="1" customHeight="1">
      <c r="A14351" s="26"/>
      <c r="B14351" s="26"/>
      <c r="C14351" s="26"/>
      <c r="D14351" s="24" t="s">
        <v>45416</v>
      </c>
      <c r="E14351" s="28">
        <v>0.61540</v>
      </c>
      <c r="F14351" s="29">
        <f ca="1">ROUND((G14348+G14349+G14350),3)</f>
        <v>0</v>
      </c>
      <c r="G14351" s="27">
        <f ca="1">ROUND(E14351*F14351,2)</f>
        <v>0</v>
      </c>
    </row>
    <row r="14352" spans="1:7" ht="15.12" thickBot="1" customHeight="1">
      <c r="A14352" s="24" t="s">
        <v>45417</v>
      </c>
      <c r="B14352" s="24"/>
      <c r="C14352" s="24" t="s">
        <v>45418</v>
      </c>
      <c r="D14352" s="25" t="s">
        <v>45419</v>
      </c>
      <c r="E14352" s="28">
        <v>5.00000</v>
      </c>
      <c r="F14352" s="29">
        <f ca="1">ROUND(26.950,3)</f>
        <v>0</v>
      </c>
      <c r="G14352" s="27">
        <f ca="1">ROUND((E14352*F14352)/100,2)</f>
        <v>0</v>
      </c>
    </row>
    <row r="14353" spans="1:7" ht="15.48" thickBot="1" customHeight="1">
      <c r="A14353" s="30"/>
      <c r="B14353" s="30"/>
      <c r="C14353" s="30"/>
      <c r="D14353" s="31" t="s">
        <v>45420</v>
      </c>
      <c r="E14353" s="30"/>
      <c r="F14353" s="33">
        <f ca="1">ROUND((G14341+G14342+G14343+G14344+G14345+G14346+G14347+G14352)*(1+G2/100),2)</f>
        <v>0</v>
      </c>
      <c r="G14353" s="30"/>
    </row>
    <row r="14354" spans="1:7" ht="67.56" thickBot="1" customHeight="1">
      <c r="A14354" s="34" t="s">
        <v>45421</v>
      </c>
      <c r="B14354" s="35" t="s">
        <v>45422</v>
      </c>
      <c r="C14354" s="35" t="s">
        <v>45423</v>
      </c>
      <c r="D14354" s="36" t="s">
        <v>45424</v>
      </c>
      <c r="E14354" s="37"/>
      <c r="F14354" s="38">
        <f ca="1">F14368</f>
        <v>0</v>
      </c>
      <c r="G14354" s="37"/>
    </row>
    <row r="14355" spans="1:7" ht="39.84" thickBot="1" customHeight="1">
      <c r="A14355" s="26"/>
      <c r="B14355" s="26"/>
      <c r="C14355" s="26"/>
      <c r="D14355" s="25" t="s">
        <v>45425</v>
      </c>
      <c r="E14355" s="25"/>
      <c r="F14355" s="25"/>
      <c r="G14355" s="25"/>
    </row>
    <row r="14356" spans="1:7" ht="30.60" thickBot="1" customHeight="1">
      <c r="A14356" s="24" t="s">
        <v>45426</v>
      </c>
      <c r="B14356" s="24" t="s">
        <v>45427</v>
      </c>
      <c r="C14356" s="24" t="s">
        <v>45428</v>
      </c>
      <c r="D14356" s="25" t="s">
        <v>45429</v>
      </c>
      <c r="E14356" s="28">
        <v>1.00000</v>
      </c>
      <c r="F14356" s="29">
        <f ca="1">ROUND(7.890,3)</f>
        <v>0</v>
      </c>
      <c r="G14356" s="27">
        <f ca="1">ROUND(E14356*F14356,2)</f>
        <v>0</v>
      </c>
    </row>
    <row r="14357" spans="1:7" ht="21.36" thickBot="1" customHeight="1">
      <c r="A14357" s="24" t="s">
        <v>45430</v>
      </c>
      <c r="B14357" s="24" t="s">
        <v>45431</v>
      </c>
      <c r="C14357" s="24" t="s">
        <v>45432</v>
      </c>
      <c r="D14357" s="25" t="s">
        <v>45433</v>
      </c>
      <c r="E14357" s="28">
        <v>0.50000</v>
      </c>
      <c r="F14357" s="29">
        <f ca="1">ROUND(10.180,3)</f>
        <v>0</v>
      </c>
      <c r="G14357" s="27">
        <f ca="1">ROUND(E14357*F14357,2)</f>
        <v>0</v>
      </c>
    </row>
    <row r="14358" spans="1:7" ht="30.60" thickBot="1" customHeight="1">
      <c r="A14358" s="24" t="s">
        <v>45434</v>
      </c>
      <c r="B14358" s="24" t="s">
        <v>45435</v>
      </c>
      <c r="C14358" s="24" t="s">
        <v>45436</v>
      </c>
      <c r="D14358" s="25" t="s">
        <v>45437</v>
      </c>
      <c r="E14358" s="28">
        <v>0.02100</v>
      </c>
      <c r="F14358" s="29">
        <f ca="1">ROUND(27.500,3)</f>
        <v>0</v>
      </c>
      <c r="G14358" s="27">
        <f ca="1">ROUND(E14358*F14358,2)</f>
        <v>0</v>
      </c>
    </row>
    <row r="14359" spans="1:7" ht="21.36" thickBot="1" customHeight="1">
      <c r="A14359" s="24" t="s">
        <v>45438</v>
      </c>
      <c r="B14359" s="24" t="s">
        <v>45439</v>
      </c>
      <c r="C14359" s="24" t="s">
        <v>45440</v>
      </c>
      <c r="D14359" s="25" t="s">
        <v>45441</v>
      </c>
      <c r="E14359" s="28">
        <v>0.40000</v>
      </c>
      <c r="F14359" s="29">
        <f ca="1">ROUND(1.050,3)</f>
        <v>0</v>
      </c>
      <c r="G14359" s="27">
        <f ca="1">ROUND(E14359*F14359,2)</f>
        <v>0</v>
      </c>
    </row>
    <row r="14360" spans="1:7" ht="30.60" thickBot="1" customHeight="1">
      <c r="A14360" s="24" t="s">
        <v>45442</v>
      </c>
      <c r="B14360" s="24" t="s">
        <v>45443</v>
      </c>
      <c r="C14360" s="24" t="s">
        <v>45444</v>
      </c>
      <c r="D14360" s="25" t="s">
        <v>45445</v>
      </c>
      <c r="E14360" s="28">
        <v>0.50000</v>
      </c>
      <c r="F14360" s="29">
        <f ca="1">ROUND(1.760,3)</f>
        <v>0</v>
      </c>
      <c r="G14360" s="27">
        <f ca="1">ROUND(E14360*F14360,2)</f>
        <v>0</v>
      </c>
    </row>
    <row r="14361" spans="1:7" ht="21.36" thickBot="1" customHeight="1">
      <c r="A14361" s="24" t="s">
        <v>45446</v>
      </c>
      <c r="B14361" s="24" t="s">
        <v>45447</v>
      </c>
      <c r="C14361" s="24" t="s">
        <v>45448</v>
      </c>
      <c r="D14361" s="25" t="s">
        <v>45449</v>
      </c>
      <c r="E14361" s="28">
        <v>0.02444</v>
      </c>
      <c r="F14361" s="29">
        <f ca="1">ROUND(1.320,3)</f>
        <v>0</v>
      </c>
      <c r="G14361" s="27">
        <f ca="1">ROUND(E14361*F14361,2)</f>
        <v>0</v>
      </c>
    </row>
    <row r="14362" spans="1:7" ht="21.36" thickBot="1" customHeight="1">
      <c r="A14362" s="24" t="s">
        <v>45450</v>
      </c>
      <c r="B14362" s="24" t="s">
        <v>45451</v>
      </c>
      <c r="C14362" s="24" t="s">
        <v>45452</v>
      </c>
      <c r="D14362" s="25" t="s">
        <v>45453</v>
      </c>
      <c r="E14362" s="28">
        <v>0.47060</v>
      </c>
      <c r="F14362" s="29">
        <f ca="1">F14366</f>
        <v>0</v>
      </c>
      <c r="G14362" s="27">
        <f ca="1">ROUND(E14362*F14362,2)</f>
        <v>0</v>
      </c>
    </row>
    <row r="14363" spans="1:7" ht="24.36" thickBot="1" customHeight="1">
      <c r="A14363" s="24" t="s">
        <v>45454</v>
      </c>
      <c r="B14363" s="24" t="s">
        <v>45455</v>
      </c>
      <c r="C14363" s="24" t="s">
        <v>45456</v>
      </c>
      <c r="D14363" s="25" t="s">
        <v>45457</v>
      </c>
      <c r="E14363" s="28">
        <v>1.00000</v>
      </c>
      <c r="F14363" s="29">
        <f ca="1">ROUND(21.000,3)</f>
        <v>0</v>
      </c>
      <c r="G14363" s="27">
        <f ca="1">ROUND(E14363*F14363,2)</f>
        <v>0</v>
      </c>
    </row>
    <row r="14364" spans="1:7" ht="24.36" thickBot="1" customHeight="1">
      <c r="A14364" s="24" t="s">
        <v>45458</v>
      </c>
      <c r="B14364" s="24" t="s">
        <v>45459</v>
      </c>
      <c r="C14364" s="24" t="s">
        <v>45460</v>
      </c>
      <c r="D14364" s="25" t="s">
        <v>45461</v>
      </c>
      <c r="E14364" s="28">
        <v>1.00000</v>
      </c>
      <c r="F14364" s="29">
        <f ca="1">ROUND(19.000,3)</f>
        <v>0</v>
      </c>
      <c r="G14364" s="27">
        <f ca="1">ROUND(E14364*F14364,2)</f>
        <v>0</v>
      </c>
    </row>
    <row r="14365" spans="1:7" ht="24.36" thickBot="1" customHeight="1">
      <c r="A14365" s="24" t="s">
        <v>45462</v>
      </c>
      <c r="B14365" s="24" t="s">
        <v>45463</v>
      </c>
      <c r="C14365" s="24" t="s">
        <v>45464</v>
      </c>
      <c r="D14365" s="25" t="s">
        <v>45465</v>
      </c>
      <c r="E14365" s="28">
        <v>0.20000</v>
      </c>
      <c r="F14365" s="29">
        <f ca="1">ROUND(19.000,3)</f>
        <v>0</v>
      </c>
      <c r="G14365" s="27">
        <f ca="1">ROUND(E14365*F14365,2)</f>
        <v>0</v>
      </c>
    </row>
    <row r="14366" spans="1:7" ht="15.12" thickBot="1" customHeight="1">
      <c r="A14366" s="26"/>
      <c r="B14366" s="26"/>
      <c r="C14366" s="26"/>
      <c r="D14366" s="24" t="s">
        <v>45466</v>
      </c>
      <c r="E14366" s="28">
        <v>0.47060</v>
      </c>
      <c r="F14366" s="29">
        <f ca="1">ROUND((G14363+G14364+G14365),3)</f>
        <v>0</v>
      </c>
      <c r="G14366" s="27">
        <f ca="1">ROUND(E14366*F14366,2)</f>
        <v>0</v>
      </c>
    </row>
    <row r="14367" spans="1:7" ht="15.12" thickBot="1" customHeight="1">
      <c r="A14367" s="24" t="s">
        <v>45467</v>
      </c>
      <c r="B14367" s="24"/>
      <c r="C14367" s="24" t="s">
        <v>45468</v>
      </c>
      <c r="D14367" s="25" t="s">
        <v>45469</v>
      </c>
      <c r="E14367" s="28">
        <v>5.00000</v>
      </c>
      <c r="F14367" s="29">
        <f ca="1">ROUND(20.610,3)</f>
        <v>0</v>
      </c>
      <c r="G14367" s="27">
        <f ca="1">ROUND((E14367*F14367)/100,2)</f>
        <v>0</v>
      </c>
    </row>
    <row r="14368" spans="1:7" ht="15.48" thickBot="1" customHeight="1">
      <c r="A14368" s="30"/>
      <c r="B14368" s="30"/>
      <c r="C14368" s="30"/>
      <c r="D14368" s="31" t="s">
        <v>45470</v>
      </c>
      <c r="E14368" s="30"/>
      <c r="F14368" s="33">
        <f ca="1">ROUND((G14356+G14357+G14358+G14359+G14360+G14361+G14362+G14367)*(1+G2/100),2)</f>
        <v>0</v>
      </c>
      <c r="G14368" s="30"/>
    </row>
    <row r="14369" spans="1:7" ht="67.56" thickBot="1" customHeight="1">
      <c r="A14369" s="34" t="s">
        <v>45471</v>
      </c>
      <c r="B14369" s="35" t="s">
        <v>45472</v>
      </c>
      <c r="C14369" s="35" t="s">
        <v>45473</v>
      </c>
      <c r="D14369" s="36" t="s">
        <v>45474</v>
      </c>
      <c r="E14369" s="37"/>
      <c r="F14369" s="38">
        <f ca="1">F14382</f>
        <v>0</v>
      </c>
      <c r="G14369" s="37"/>
    </row>
    <row r="14370" spans="1:7" ht="39.84" thickBot="1" customHeight="1">
      <c r="A14370" s="26"/>
      <c r="B14370" s="26"/>
      <c r="C14370" s="26"/>
      <c r="D14370" s="25" t="s">
        <v>45475</v>
      </c>
      <c r="E14370" s="25"/>
      <c r="F14370" s="25"/>
      <c r="G14370" s="25"/>
    </row>
    <row r="14371" spans="1:7" ht="30.60" thickBot="1" customHeight="1">
      <c r="A14371" s="24" t="s">
        <v>45476</v>
      </c>
      <c r="B14371" s="24" t="s">
        <v>45477</v>
      </c>
      <c r="C14371" s="24" t="s">
        <v>45478</v>
      </c>
      <c r="D14371" s="25" t="s">
        <v>45479</v>
      </c>
      <c r="E14371" s="28">
        <v>1.32300</v>
      </c>
      <c r="F14371" s="29">
        <f ca="1">ROUND(6.150,3)</f>
        <v>0</v>
      </c>
      <c r="G14371" s="27">
        <f ca="1">ROUND(E14371*F14371,2)</f>
        <v>0</v>
      </c>
    </row>
    <row r="14372" spans="1:7" ht="30.60" thickBot="1" customHeight="1">
      <c r="A14372" s="24" t="s">
        <v>45480</v>
      </c>
      <c r="B14372" s="24" t="s">
        <v>45481</v>
      </c>
      <c r="C14372" s="24" t="s">
        <v>45482</v>
      </c>
      <c r="D14372" s="25" t="s">
        <v>45483</v>
      </c>
      <c r="E14372" s="28">
        <v>0.02100</v>
      </c>
      <c r="F14372" s="29">
        <f ca="1">ROUND(27.500,3)</f>
        <v>0</v>
      </c>
      <c r="G14372" s="27">
        <f ca="1">ROUND(E14372*F14372,2)</f>
        <v>0</v>
      </c>
    </row>
    <row r="14373" spans="1:7" ht="21.36" thickBot="1" customHeight="1">
      <c r="A14373" s="24" t="s">
        <v>45484</v>
      </c>
      <c r="B14373" s="24" t="s">
        <v>45485</v>
      </c>
      <c r="C14373" s="24" t="s">
        <v>45486</v>
      </c>
      <c r="D14373" s="25" t="s">
        <v>45487</v>
      </c>
      <c r="E14373" s="28">
        <v>0.40000</v>
      </c>
      <c r="F14373" s="29">
        <f ca="1">ROUND(1.050,3)</f>
        <v>0</v>
      </c>
      <c r="G14373" s="27">
        <f ca="1">ROUND(E14373*F14373,2)</f>
        <v>0</v>
      </c>
    </row>
    <row r="14374" spans="1:7" ht="30.60" thickBot="1" customHeight="1">
      <c r="A14374" s="24" t="s">
        <v>45488</v>
      </c>
      <c r="B14374" s="24" t="s">
        <v>45489</v>
      </c>
      <c r="C14374" s="24" t="s">
        <v>45490</v>
      </c>
      <c r="D14374" s="25" t="s">
        <v>45491</v>
      </c>
      <c r="E14374" s="28">
        <v>0.50000</v>
      </c>
      <c r="F14374" s="29">
        <f ca="1">ROUND(1.760,3)</f>
        <v>0</v>
      </c>
      <c r="G14374" s="27">
        <f ca="1">ROUND(E14374*F14374,2)</f>
        <v>0</v>
      </c>
    </row>
    <row r="14375" spans="1:7" ht="21.36" thickBot="1" customHeight="1">
      <c r="A14375" s="24" t="s">
        <v>45492</v>
      </c>
      <c r="B14375" s="24" t="s">
        <v>45493</v>
      </c>
      <c r="C14375" s="24" t="s">
        <v>45494</v>
      </c>
      <c r="D14375" s="25" t="s">
        <v>45495</v>
      </c>
      <c r="E14375" s="28">
        <v>0.02444</v>
      </c>
      <c r="F14375" s="29">
        <f ca="1">ROUND(1.320,3)</f>
        <v>0</v>
      </c>
      <c r="G14375" s="27">
        <f ca="1">ROUND(E14375*F14375,2)</f>
        <v>0</v>
      </c>
    </row>
    <row r="14376" spans="1:7" ht="21.36" thickBot="1" customHeight="1">
      <c r="A14376" s="24" t="s">
        <v>45496</v>
      </c>
      <c r="B14376" s="24" t="s">
        <v>45497</v>
      </c>
      <c r="C14376" s="24" t="s">
        <v>45498</v>
      </c>
      <c r="D14376" s="25" t="s">
        <v>45499</v>
      </c>
      <c r="E14376" s="28">
        <v>0.57140</v>
      </c>
      <c r="F14376" s="29">
        <f ca="1">F14380</f>
        <v>0</v>
      </c>
      <c r="G14376" s="27">
        <f ca="1">ROUND(E14376*F14376,2)</f>
        <v>0</v>
      </c>
    </row>
    <row r="14377" spans="1:7" ht="24.36" thickBot="1" customHeight="1">
      <c r="A14377" s="24" t="s">
        <v>45500</v>
      </c>
      <c r="B14377" s="24" t="s">
        <v>45501</v>
      </c>
      <c r="C14377" s="24" t="s">
        <v>45502</v>
      </c>
      <c r="D14377" s="25" t="s">
        <v>45503</v>
      </c>
      <c r="E14377" s="28">
        <v>1.00000</v>
      </c>
      <c r="F14377" s="29">
        <f ca="1">ROUND(21.000,3)</f>
        <v>0</v>
      </c>
      <c r="G14377" s="27">
        <f ca="1">ROUND(E14377*F14377,2)</f>
        <v>0</v>
      </c>
    </row>
    <row r="14378" spans="1:7" ht="24.36" thickBot="1" customHeight="1">
      <c r="A14378" s="24" t="s">
        <v>45504</v>
      </c>
      <c r="B14378" s="24" t="s">
        <v>45505</v>
      </c>
      <c r="C14378" s="24" t="s">
        <v>45506</v>
      </c>
      <c r="D14378" s="25" t="s">
        <v>45507</v>
      </c>
      <c r="E14378" s="28">
        <v>1.00000</v>
      </c>
      <c r="F14378" s="29">
        <f ca="1">ROUND(19.000,3)</f>
        <v>0</v>
      </c>
      <c r="G14378" s="27">
        <f ca="1">ROUND(E14378*F14378,2)</f>
        <v>0</v>
      </c>
    </row>
    <row r="14379" spans="1:7" ht="24.36" thickBot="1" customHeight="1">
      <c r="A14379" s="24" t="s">
        <v>45508</v>
      </c>
      <c r="B14379" s="24" t="s">
        <v>45509</v>
      </c>
      <c r="C14379" s="24" t="s">
        <v>45510</v>
      </c>
      <c r="D14379" s="25" t="s">
        <v>45511</v>
      </c>
      <c r="E14379" s="28">
        <v>0.20000</v>
      </c>
      <c r="F14379" s="29">
        <f ca="1">ROUND(19.000,3)</f>
        <v>0</v>
      </c>
      <c r="G14379" s="27">
        <f ca="1">ROUND(E14379*F14379,2)</f>
        <v>0</v>
      </c>
    </row>
    <row r="14380" spans="1:7" ht="15.12" thickBot="1" customHeight="1">
      <c r="A14380" s="26"/>
      <c r="B14380" s="26"/>
      <c r="C14380" s="26"/>
      <c r="D14380" s="24" t="s">
        <v>45512</v>
      </c>
      <c r="E14380" s="28">
        <v>0.57140</v>
      </c>
      <c r="F14380" s="29">
        <f ca="1">ROUND((G14377+G14378+G14379),3)</f>
        <v>0</v>
      </c>
      <c r="G14380" s="27">
        <f ca="1">ROUND(E14380*F14380,2)</f>
        <v>0</v>
      </c>
    </row>
    <row r="14381" spans="1:7" ht="15.12" thickBot="1" customHeight="1">
      <c r="A14381" s="24" t="s">
        <v>45513</v>
      </c>
      <c r="B14381" s="24"/>
      <c r="C14381" s="24" t="s">
        <v>45514</v>
      </c>
      <c r="D14381" s="25" t="s">
        <v>45515</v>
      </c>
      <c r="E14381" s="28">
        <v>5.00000</v>
      </c>
      <c r="F14381" s="29">
        <f ca="1">ROUND(25.030,3)</f>
        <v>0</v>
      </c>
      <c r="G14381" s="27">
        <f ca="1">ROUND((E14381*F14381)/100,2)</f>
        <v>0</v>
      </c>
    </row>
    <row r="14382" spans="1:7" ht="15.48" thickBot="1" customHeight="1">
      <c r="A14382" s="30"/>
      <c r="B14382" s="30"/>
      <c r="C14382" s="30"/>
      <c r="D14382" s="31" t="s">
        <v>45516</v>
      </c>
      <c r="E14382" s="30"/>
      <c r="F14382" s="33">
        <f ca="1">ROUND((G14371+G14372+G14373+G14374+G14375+G14376+G14381)*(1+G2/100),2)</f>
        <v>0</v>
      </c>
      <c r="G14382" s="30"/>
    </row>
    <row r="14383" spans="1:7" ht="67.56" thickBot="1" customHeight="1">
      <c r="A14383" s="34" t="s">
        <v>45517</v>
      </c>
      <c r="B14383" s="35" t="s">
        <v>45518</v>
      </c>
      <c r="C14383" s="35" t="s">
        <v>45519</v>
      </c>
      <c r="D14383" s="36" t="s">
        <v>45520</v>
      </c>
      <c r="E14383" s="37"/>
      <c r="F14383" s="38">
        <f ca="1">F14396</f>
        <v>0</v>
      </c>
      <c r="G14383" s="37"/>
    </row>
    <row r="14384" spans="1:7" ht="39.84" thickBot="1" customHeight="1">
      <c r="A14384" s="26"/>
      <c r="B14384" s="26"/>
      <c r="C14384" s="26"/>
      <c r="D14384" s="25" t="s">
        <v>45521</v>
      </c>
      <c r="E14384" s="25"/>
      <c r="F14384" s="25"/>
      <c r="G14384" s="25"/>
    </row>
    <row r="14385" spans="1:7" ht="30.60" thickBot="1" customHeight="1">
      <c r="A14385" s="24" t="s">
        <v>45522</v>
      </c>
      <c r="B14385" s="24" t="s">
        <v>45523</v>
      </c>
      <c r="C14385" s="24" t="s">
        <v>45524</v>
      </c>
      <c r="D14385" s="25" t="s">
        <v>45525</v>
      </c>
      <c r="E14385" s="28">
        <v>1.32300</v>
      </c>
      <c r="F14385" s="29">
        <f ca="1">ROUND(6.150,3)</f>
        <v>0</v>
      </c>
      <c r="G14385" s="27">
        <f ca="1">ROUND(E14385*F14385,2)</f>
        <v>0</v>
      </c>
    </row>
    <row r="14386" spans="1:7" ht="30.60" thickBot="1" customHeight="1">
      <c r="A14386" s="24" t="s">
        <v>45526</v>
      </c>
      <c r="B14386" s="24" t="s">
        <v>45527</v>
      </c>
      <c r="C14386" s="24" t="s">
        <v>45528</v>
      </c>
      <c r="D14386" s="25" t="s">
        <v>45529</v>
      </c>
      <c r="E14386" s="28">
        <v>0.02100</v>
      </c>
      <c r="F14386" s="29">
        <f ca="1">ROUND(27.500,3)</f>
        <v>0</v>
      </c>
      <c r="G14386" s="27">
        <f ca="1">ROUND(E14386*F14386,2)</f>
        <v>0</v>
      </c>
    </row>
    <row r="14387" spans="1:7" ht="21.36" thickBot="1" customHeight="1">
      <c r="A14387" s="24" t="s">
        <v>45530</v>
      </c>
      <c r="B14387" s="24" t="s">
        <v>45531</v>
      </c>
      <c r="C14387" s="24" t="s">
        <v>45532</v>
      </c>
      <c r="D14387" s="25" t="s">
        <v>45533</v>
      </c>
      <c r="E14387" s="28">
        <v>0.40000</v>
      </c>
      <c r="F14387" s="29">
        <f ca="1">ROUND(1.050,3)</f>
        <v>0</v>
      </c>
      <c r="G14387" s="27">
        <f ca="1">ROUND(E14387*F14387,2)</f>
        <v>0</v>
      </c>
    </row>
    <row r="14388" spans="1:7" ht="30.60" thickBot="1" customHeight="1">
      <c r="A14388" s="24" t="s">
        <v>45534</v>
      </c>
      <c r="B14388" s="24" t="s">
        <v>45535</v>
      </c>
      <c r="C14388" s="24" t="s">
        <v>45536</v>
      </c>
      <c r="D14388" s="25" t="s">
        <v>45537</v>
      </c>
      <c r="E14388" s="28">
        <v>0.50000</v>
      </c>
      <c r="F14388" s="29">
        <f ca="1">ROUND(1.760,3)</f>
        <v>0</v>
      </c>
      <c r="G14388" s="27">
        <f ca="1">ROUND(E14388*F14388,2)</f>
        <v>0</v>
      </c>
    </row>
    <row r="14389" spans="1:7" ht="21.36" thickBot="1" customHeight="1">
      <c r="A14389" s="24" t="s">
        <v>45538</v>
      </c>
      <c r="B14389" s="24" t="s">
        <v>45539</v>
      </c>
      <c r="C14389" s="24" t="s">
        <v>45540</v>
      </c>
      <c r="D14389" s="25" t="s">
        <v>45541</v>
      </c>
      <c r="E14389" s="28">
        <v>0.02444</v>
      </c>
      <c r="F14389" s="29">
        <f ca="1">ROUND(1.320,3)</f>
        <v>0</v>
      </c>
      <c r="G14389" s="27">
        <f ca="1">ROUND(E14389*F14389,2)</f>
        <v>0</v>
      </c>
    </row>
    <row r="14390" spans="1:7" ht="21.36" thickBot="1" customHeight="1">
      <c r="A14390" s="24" t="s">
        <v>45542</v>
      </c>
      <c r="B14390" s="24" t="s">
        <v>45543</v>
      </c>
      <c r="C14390" s="24" t="s">
        <v>45544</v>
      </c>
      <c r="D14390" s="25" t="s">
        <v>45545</v>
      </c>
      <c r="E14390" s="28">
        <v>0.44444</v>
      </c>
      <c r="F14390" s="29">
        <f ca="1">F14394</f>
        <v>0</v>
      </c>
      <c r="G14390" s="27">
        <f ca="1">ROUND(E14390*F14390,2)</f>
        <v>0</v>
      </c>
    </row>
    <row r="14391" spans="1:7" ht="24.36" thickBot="1" customHeight="1">
      <c r="A14391" s="24" t="s">
        <v>45546</v>
      </c>
      <c r="B14391" s="24" t="s">
        <v>45547</v>
      </c>
      <c r="C14391" s="24" t="s">
        <v>45548</v>
      </c>
      <c r="D14391" s="25" t="s">
        <v>45549</v>
      </c>
      <c r="E14391" s="28">
        <v>1.00000</v>
      </c>
      <c r="F14391" s="29">
        <f ca="1">ROUND(21.000,3)</f>
        <v>0</v>
      </c>
      <c r="G14391" s="27">
        <f ca="1">ROUND(E14391*F14391,2)</f>
        <v>0</v>
      </c>
    </row>
    <row r="14392" spans="1:7" ht="24.36" thickBot="1" customHeight="1">
      <c r="A14392" s="24" t="s">
        <v>45550</v>
      </c>
      <c r="B14392" s="24" t="s">
        <v>45551</v>
      </c>
      <c r="C14392" s="24" t="s">
        <v>45552</v>
      </c>
      <c r="D14392" s="25" t="s">
        <v>45553</v>
      </c>
      <c r="E14392" s="28">
        <v>1.00000</v>
      </c>
      <c r="F14392" s="29">
        <f ca="1">ROUND(19.000,3)</f>
        <v>0</v>
      </c>
      <c r="G14392" s="27">
        <f ca="1">ROUND(E14392*F14392,2)</f>
        <v>0</v>
      </c>
    </row>
    <row r="14393" spans="1:7" ht="24.36" thickBot="1" customHeight="1">
      <c r="A14393" s="24" t="s">
        <v>45554</v>
      </c>
      <c r="B14393" s="24" t="s">
        <v>45555</v>
      </c>
      <c r="C14393" s="24" t="s">
        <v>45556</v>
      </c>
      <c r="D14393" s="25" t="s">
        <v>45557</v>
      </c>
      <c r="E14393" s="28">
        <v>0.20000</v>
      </c>
      <c r="F14393" s="29">
        <f ca="1">ROUND(19.000,3)</f>
        <v>0</v>
      </c>
      <c r="G14393" s="27">
        <f ca="1">ROUND(E14393*F14393,2)</f>
        <v>0</v>
      </c>
    </row>
    <row r="14394" spans="1:7" ht="15.12" thickBot="1" customHeight="1">
      <c r="A14394" s="26"/>
      <c r="B14394" s="26"/>
      <c r="C14394" s="26"/>
      <c r="D14394" s="24" t="s">
        <v>45558</v>
      </c>
      <c r="E14394" s="28">
        <v>0.44444</v>
      </c>
      <c r="F14394" s="29">
        <f ca="1">ROUND((G14391+G14392+G14393),3)</f>
        <v>0</v>
      </c>
      <c r="G14394" s="27">
        <f ca="1">ROUND(E14394*F14394,2)</f>
        <v>0</v>
      </c>
    </row>
    <row r="14395" spans="1:7" ht="15.12" thickBot="1" customHeight="1">
      <c r="A14395" s="24" t="s">
        <v>45559</v>
      </c>
      <c r="B14395" s="24"/>
      <c r="C14395" s="24" t="s">
        <v>45560</v>
      </c>
      <c r="D14395" s="25" t="s">
        <v>45561</v>
      </c>
      <c r="E14395" s="28">
        <v>5.00000</v>
      </c>
      <c r="F14395" s="29">
        <f ca="1">ROUND(19.470,3)</f>
        <v>0</v>
      </c>
      <c r="G14395" s="27">
        <f ca="1">ROUND((E14395*F14395)/100,2)</f>
        <v>0</v>
      </c>
    </row>
    <row r="14396" spans="1:7" ht="15.48" thickBot="1" customHeight="1">
      <c r="A14396" s="30"/>
      <c r="B14396" s="30"/>
      <c r="C14396" s="30"/>
      <c r="D14396" s="31" t="s">
        <v>45562</v>
      </c>
      <c r="E14396" s="30"/>
      <c r="F14396" s="33">
        <f ca="1">ROUND((G14385+G14386+G14387+G14388+G14389+G14390+G14395)*(1+G2/100),2)</f>
        <v>0</v>
      </c>
      <c r="G14396" s="30"/>
    </row>
    <row r="14397" spans="1:7" ht="76.80" thickBot="1" customHeight="1">
      <c r="A14397" s="34" t="s">
        <v>45563</v>
      </c>
      <c r="B14397" s="35" t="s">
        <v>45564</v>
      </c>
      <c r="C14397" s="35" t="s">
        <v>45565</v>
      </c>
      <c r="D14397" s="36" t="s">
        <v>45566</v>
      </c>
      <c r="E14397" s="37"/>
      <c r="F14397" s="38">
        <f ca="1">F14412</f>
        <v>0</v>
      </c>
      <c r="G14397" s="37"/>
    </row>
    <row r="14398" spans="1:7" ht="39.84" thickBot="1" customHeight="1">
      <c r="A14398" s="26"/>
      <c r="B14398" s="26"/>
      <c r="C14398" s="26"/>
      <c r="D14398" s="25" t="s">
        <v>45567</v>
      </c>
      <c r="E14398" s="25"/>
      <c r="F14398" s="25"/>
      <c r="G14398" s="25"/>
    </row>
    <row r="14399" spans="1:7" ht="30.60" thickBot="1" customHeight="1">
      <c r="A14399" s="24" t="s">
        <v>45568</v>
      </c>
      <c r="B14399" s="24" t="s">
        <v>45569</v>
      </c>
      <c r="C14399" s="24" t="s">
        <v>45570</v>
      </c>
      <c r="D14399" s="25" t="s">
        <v>45571</v>
      </c>
      <c r="E14399" s="28">
        <v>1.00000</v>
      </c>
      <c r="F14399" s="29">
        <f ca="1">ROUND(11.740,3)</f>
        <v>0</v>
      </c>
      <c r="G14399" s="27">
        <f ca="1">ROUND(E14399*F14399,2)</f>
        <v>0</v>
      </c>
    </row>
    <row r="14400" spans="1:7" ht="30.60" thickBot="1" customHeight="1">
      <c r="A14400" s="24" t="s">
        <v>45572</v>
      </c>
      <c r="B14400" s="24" t="s">
        <v>45573</v>
      </c>
      <c r="C14400" s="24" t="s">
        <v>45574</v>
      </c>
      <c r="D14400" s="25" t="s">
        <v>45575</v>
      </c>
      <c r="E14400" s="28">
        <v>0.50000</v>
      </c>
      <c r="F14400" s="29">
        <f ca="1">ROUND(6.720,3)</f>
        <v>0</v>
      </c>
      <c r="G14400" s="27">
        <f ca="1">ROUND(E14400*F14400,2)</f>
        <v>0</v>
      </c>
    </row>
    <row r="14401" spans="1:7" ht="30.60" thickBot="1" customHeight="1">
      <c r="A14401" s="24" t="s">
        <v>45576</v>
      </c>
      <c r="B14401" s="24" t="s">
        <v>45577</v>
      </c>
      <c r="C14401" s="24" t="s">
        <v>45578</v>
      </c>
      <c r="D14401" s="25" t="s">
        <v>45579</v>
      </c>
      <c r="E14401" s="28">
        <v>0.02100</v>
      </c>
      <c r="F14401" s="29">
        <f ca="1">ROUND(27.500,3)</f>
        <v>0</v>
      </c>
      <c r="G14401" s="27">
        <f ca="1">ROUND(E14401*F14401,2)</f>
        <v>0</v>
      </c>
    </row>
    <row r="14402" spans="1:7" ht="21.36" thickBot="1" customHeight="1">
      <c r="A14402" s="24" t="s">
        <v>45580</v>
      </c>
      <c r="B14402" s="24" t="s">
        <v>45581</v>
      </c>
      <c r="C14402" s="24" t="s">
        <v>45582</v>
      </c>
      <c r="D14402" s="25" t="s">
        <v>45583</v>
      </c>
      <c r="E14402" s="28">
        <v>0.40000</v>
      </c>
      <c r="F14402" s="29">
        <f ca="1">ROUND(1.050,3)</f>
        <v>0</v>
      </c>
      <c r="G14402" s="27">
        <f ca="1">ROUND(E14402*F14402,2)</f>
        <v>0</v>
      </c>
    </row>
    <row r="14403" spans="1:7" ht="30.60" thickBot="1" customHeight="1">
      <c r="A14403" s="24" t="s">
        <v>45584</v>
      </c>
      <c r="B14403" s="24" t="s">
        <v>45585</v>
      </c>
      <c r="C14403" s="24" t="s">
        <v>45586</v>
      </c>
      <c r="D14403" s="25" t="s">
        <v>45587</v>
      </c>
      <c r="E14403" s="28">
        <v>0.50000</v>
      </c>
      <c r="F14403" s="29">
        <f ca="1">ROUND(1.760,3)</f>
        <v>0</v>
      </c>
      <c r="G14403" s="27">
        <f ca="1">ROUND(E14403*F14403,2)</f>
        <v>0</v>
      </c>
    </row>
    <row r="14404" spans="1:7" ht="21.36" thickBot="1" customHeight="1">
      <c r="A14404" s="24" t="s">
        <v>45588</v>
      </c>
      <c r="B14404" s="24" t="s">
        <v>45589</v>
      </c>
      <c r="C14404" s="24" t="s">
        <v>45590</v>
      </c>
      <c r="D14404" s="25" t="s">
        <v>45591</v>
      </c>
      <c r="E14404" s="28">
        <v>0.02444</v>
      </c>
      <c r="F14404" s="29">
        <f ca="1">ROUND(1.320,3)</f>
        <v>0</v>
      </c>
      <c r="G14404" s="27">
        <f ca="1">ROUND(E14404*F14404,2)</f>
        <v>0</v>
      </c>
    </row>
    <row r="14405" spans="1:7" ht="21.36" thickBot="1" customHeight="1">
      <c r="A14405" s="24" t="s">
        <v>45592</v>
      </c>
      <c r="B14405" s="24" t="s">
        <v>45593</v>
      </c>
      <c r="C14405" s="24" t="s">
        <v>45594</v>
      </c>
      <c r="D14405" s="25" t="s">
        <v>45595</v>
      </c>
      <c r="E14405" s="28">
        <v>0.20000</v>
      </c>
      <c r="F14405" s="29">
        <f ca="1">ROUND(11.500,3)</f>
        <v>0</v>
      </c>
      <c r="G14405" s="27">
        <f ca="1">ROUND(E14405*F14405,2)</f>
        <v>0</v>
      </c>
    </row>
    <row r="14406" spans="1:7" ht="21.36" thickBot="1" customHeight="1">
      <c r="A14406" s="24" t="s">
        <v>45596</v>
      </c>
      <c r="B14406" s="24" t="s">
        <v>45597</v>
      </c>
      <c r="C14406" s="24" t="s">
        <v>45598</v>
      </c>
      <c r="D14406" s="25" t="s">
        <v>45599</v>
      </c>
      <c r="E14406" s="28">
        <v>0.40000</v>
      </c>
      <c r="F14406" s="29">
        <f ca="1">F14410</f>
        <v>0</v>
      </c>
      <c r="G14406" s="27">
        <f ca="1">ROUND(E14406*F14406,2)</f>
        <v>0</v>
      </c>
    </row>
    <row r="14407" spans="1:7" ht="24.36" thickBot="1" customHeight="1">
      <c r="A14407" s="24" t="s">
        <v>45600</v>
      </c>
      <c r="B14407" s="24" t="s">
        <v>45601</v>
      </c>
      <c r="C14407" s="24" t="s">
        <v>45602</v>
      </c>
      <c r="D14407" s="25" t="s">
        <v>45603</v>
      </c>
      <c r="E14407" s="28">
        <v>1.00000</v>
      </c>
      <c r="F14407" s="29">
        <f ca="1">ROUND(21.000,3)</f>
        <v>0</v>
      </c>
      <c r="G14407" s="27">
        <f ca="1">ROUND(E14407*F14407,2)</f>
        <v>0</v>
      </c>
    </row>
    <row r="14408" spans="1:7" ht="24.36" thickBot="1" customHeight="1">
      <c r="A14408" s="24" t="s">
        <v>45604</v>
      </c>
      <c r="B14408" s="24" t="s">
        <v>45605</v>
      </c>
      <c r="C14408" s="24" t="s">
        <v>45606</v>
      </c>
      <c r="D14408" s="25" t="s">
        <v>45607</v>
      </c>
      <c r="E14408" s="28">
        <v>1.00000</v>
      </c>
      <c r="F14408" s="29">
        <f ca="1">ROUND(19.000,3)</f>
        <v>0</v>
      </c>
      <c r="G14408" s="27">
        <f ca="1">ROUND(E14408*F14408,2)</f>
        <v>0</v>
      </c>
    </row>
    <row r="14409" spans="1:7" ht="24.36" thickBot="1" customHeight="1">
      <c r="A14409" s="24" t="s">
        <v>45608</v>
      </c>
      <c r="B14409" s="24" t="s">
        <v>45609</v>
      </c>
      <c r="C14409" s="24" t="s">
        <v>45610</v>
      </c>
      <c r="D14409" s="25" t="s">
        <v>45611</v>
      </c>
      <c r="E14409" s="28">
        <v>0.20000</v>
      </c>
      <c r="F14409" s="29">
        <f ca="1">ROUND(19.000,3)</f>
        <v>0</v>
      </c>
      <c r="G14409" s="27">
        <f ca="1">ROUND(E14409*F14409,2)</f>
        <v>0</v>
      </c>
    </row>
    <row r="14410" spans="1:7" ht="15.12" thickBot="1" customHeight="1">
      <c r="A14410" s="26"/>
      <c r="B14410" s="26"/>
      <c r="C14410" s="26"/>
      <c r="D14410" s="24" t="s">
        <v>45612</v>
      </c>
      <c r="E14410" s="28">
        <v>0.40000</v>
      </c>
      <c r="F14410" s="29">
        <f ca="1">ROUND((G14407+G14408+G14409),3)</f>
        <v>0</v>
      </c>
      <c r="G14410" s="27">
        <f ca="1">ROUND(E14410*F14410,2)</f>
        <v>0</v>
      </c>
    </row>
    <row r="14411" spans="1:7" ht="15.12" thickBot="1" customHeight="1">
      <c r="A14411" s="24" t="s">
        <v>45613</v>
      </c>
      <c r="B14411" s="24"/>
      <c r="C14411" s="24" t="s">
        <v>45614</v>
      </c>
      <c r="D14411" s="25" t="s">
        <v>45615</v>
      </c>
      <c r="E14411" s="28">
        <v>3.00000</v>
      </c>
      <c r="F14411" s="29">
        <f ca="1">ROUND(17.520,3)</f>
        <v>0</v>
      </c>
      <c r="G14411" s="27">
        <f ca="1">ROUND((E14411*F14411)/100,2)</f>
        <v>0</v>
      </c>
    </row>
    <row r="14412" spans="1:7" ht="25.08" thickBot="1" customHeight="1">
      <c r="A14412" s="30"/>
      <c r="B14412" s="30"/>
      <c r="C14412" s="30"/>
      <c r="D14412" s="31" t="s">
        <v>45616</v>
      </c>
      <c r="E14412" s="30"/>
      <c r="F14412" s="33">
        <f ca="1">ROUND((G14399+G14400+G14401+G14402+G14403+G14404+G14405+G14406+G14411)*(1+G2/100),2)</f>
        <v>0</v>
      </c>
      <c r="G14412" s="30"/>
    </row>
    <row r="14413" spans="1:7" ht="67.56" thickBot="1" customHeight="1">
      <c r="A14413" s="34" t="s">
        <v>45617</v>
      </c>
      <c r="B14413" s="35" t="s">
        <v>45618</v>
      </c>
      <c r="C14413" s="35" t="s">
        <v>45619</v>
      </c>
      <c r="D14413" s="36" t="s">
        <v>45620</v>
      </c>
      <c r="E14413" s="37"/>
      <c r="F14413" s="38">
        <f ca="1">F14428</f>
        <v>0</v>
      </c>
      <c r="G14413" s="37"/>
    </row>
    <row r="14414" spans="1:7" ht="39.84" thickBot="1" customHeight="1">
      <c r="A14414" s="26"/>
      <c r="B14414" s="26"/>
      <c r="C14414" s="26"/>
      <c r="D14414" s="25" t="s">
        <v>45621</v>
      </c>
      <c r="E14414" s="25"/>
      <c r="F14414" s="25"/>
      <c r="G14414" s="25"/>
    </row>
    <row r="14415" spans="1:7" ht="30.60" thickBot="1" customHeight="1">
      <c r="A14415" s="24" t="s">
        <v>45622</v>
      </c>
      <c r="B14415" s="24" t="s">
        <v>45623</v>
      </c>
      <c r="C14415" s="24" t="s">
        <v>45624</v>
      </c>
      <c r="D14415" s="25" t="s">
        <v>45625</v>
      </c>
      <c r="E14415" s="28">
        <v>1.00000</v>
      </c>
      <c r="F14415" s="29">
        <f ca="1">ROUND(11.740,3)</f>
        <v>0</v>
      </c>
      <c r="G14415" s="27">
        <f ca="1">ROUND(E14415*F14415,2)</f>
        <v>0</v>
      </c>
    </row>
    <row r="14416" spans="1:7" ht="30.60" thickBot="1" customHeight="1">
      <c r="A14416" s="24" t="s">
        <v>45626</v>
      </c>
      <c r="B14416" s="24" t="s">
        <v>45627</v>
      </c>
      <c r="C14416" s="24" t="s">
        <v>45628</v>
      </c>
      <c r="D14416" s="25" t="s">
        <v>45629</v>
      </c>
      <c r="E14416" s="28">
        <v>0.50000</v>
      </c>
      <c r="F14416" s="29">
        <f ca="1">ROUND(6.720,3)</f>
        <v>0</v>
      </c>
      <c r="G14416" s="27">
        <f ca="1">ROUND(E14416*F14416,2)</f>
        <v>0</v>
      </c>
    </row>
    <row r="14417" spans="1:7" ht="30.60" thickBot="1" customHeight="1">
      <c r="A14417" s="24" t="s">
        <v>45630</v>
      </c>
      <c r="B14417" s="24" t="s">
        <v>45631</v>
      </c>
      <c r="C14417" s="24" t="s">
        <v>45632</v>
      </c>
      <c r="D14417" s="25" t="s">
        <v>45633</v>
      </c>
      <c r="E14417" s="28">
        <v>0.02100</v>
      </c>
      <c r="F14417" s="29">
        <f ca="1">ROUND(27.500,3)</f>
        <v>0</v>
      </c>
      <c r="G14417" s="27">
        <f ca="1">ROUND(E14417*F14417,2)</f>
        <v>0</v>
      </c>
    </row>
    <row r="14418" spans="1:7" ht="21.36" thickBot="1" customHeight="1">
      <c r="A14418" s="24" t="s">
        <v>45634</v>
      </c>
      <c r="B14418" s="24" t="s">
        <v>45635</v>
      </c>
      <c r="C14418" s="24" t="s">
        <v>45636</v>
      </c>
      <c r="D14418" s="25" t="s">
        <v>45637</v>
      </c>
      <c r="E14418" s="28">
        <v>0.40000</v>
      </c>
      <c r="F14418" s="29">
        <f ca="1">ROUND(1.050,3)</f>
        <v>0</v>
      </c>
      <c r="G14418" s="27">
        <f ca="1">ROUND(E14418*F14418,2)</f>
        <v>0</v>
      </c>
    </row>
    <row r="14419" spans="1:7" ht="30.60" thickBot="1" customHeight="1">
      <c r="A14419" s="24" t="s">
        <v>45638</v>
      </c>
      <c r="B14419" s="24" t="s">
        <v>45639</v>
      </c>
      <c r="C14419" s="24" t="s">
        <v>45640</v>
      </c>
      <c r="D14419" s="25" t="s">
        <v>45641</v>
      </c>
      <c r="E14419" s="28">
        <v>0.50000</v>
      </c>
      <c r="F14419" s="29">
        <f ca="1">ROUND(1.760,3)</f>
        <v>0</v>
      </c>
      <c r="G14419" s="27">
        <f ca="1">ROUND(E14419*F14419,2)</f>
        <v>0</v>
      </c>
    </row>
    <row r="14420" spans="1:7" ht="21.36" thickBot="1" customHeight="1">
      <c r="A14420" s="24" t="s">
        <v>45642</v>
      </c>
      <c r="B14420" s="24" t="s">
        <v>45643</v>
      </c>
      <c r="C14420" s="24" t="s">
        <v>45644</v>
      </c>
      <c r="D14420" s="25" t="s">
        <v>45645</v>
      </c>
      <c r="E14420" s="28">
        <v>0.02444</v>
      </c>
      <c r="F14420" s="29">
        <f ca="1">ROUND(1.320,3)</f>
        <v>0</v>
      </c>
      <c r="G14420" s="27">
        <f ca="1">ROUND(E14420*F14420,2)</f>
        <v>0</v>
      </c>
    </row>
    <row r="14421" spans="1:7" ht="21.36" thickBot="1" customHeight="1">
      <c r="A14421" s="24" t="s">
        <v>45646</v>
      </c>
      <c r="B14421" s="24" t="s">
        <v>45647</v>
      </c>
      <c r="C14421" s="24" t="s">
        <v>45648</v>
      </c>
      <c r="D14421" s="25" t="s">
        <v>45649</v>
      </c>
      <c r="E14421" s="28">
        <v>0.20000</v>
      </c>
      <c r="F14421" s="29">
        <f ca="1">ROUND(11.500,3)</f>
        <v>0</v>
      </c>
      <c r="G14421" s="27">
        <f ca="1">ROUND(E14421*F14421,2)</f>
        <v>0</v>
      </c>
    </row>
    <row r="14422" spans="1:7" ht="21.36" thickBot="1" customHeight="1">
      <c r="A14422" s="24" t="s">
        <v>45650</v>
      </c>
      <c r="B14422" s="24" t="s">
        <v>45651</v>
      </c>
      <c r="C14422" s="24" t="s">
        <v>45652</v>
      </c>
      <c r="D14422" s="25" t="s">
        <v>45653</v>
      </c>
      <c r="E14422" s="28">
        <v>0.32000</v>
      </c>
      <c r="F14422" s="29">
        <f ca="1">F14426</f>
        <v>0</v>
      </c>
      <c r="G14422" s="27">
        <f ca="1">ROUND(E14422*F14422,2)</f>
        <v>0</v>
      </c>
    </row>
    <row r="14423" spans="1:7" ht="24.36" thickBot="1" customHeight="1">
      <c r="A14423" s="24" t="s">
        <v>45654</v>
      </c>
      <c r="B14423" s="24" t="s">
        <v>45655</v>
      </c>
      <c r="C14423" s="24" t="s">
        <v>45656</v>
      </c>
      <c r="D14423" s="25" t="s">
        <v>45657</v>
      </c>
      <c r="E14423" s="28">
        <v>1.00000</v>
      </c>
      <c r="F14423" s="29">
        <f ca="1">ROUND(21.000,3)</f>
        <v>0</v>
      </c>
      <c r="G14423" s="27">
        <f ca="1">ROUND(E14423*F14423,2)</f>
        <v>0</v>
      </c>
    </row>
    <row r="14424" spans="1:7" ht="24.36" thickBot="1" customHeight="1">
      <c r="A14424" s="24" t="s">
        <v>45658</v>
      </c>
      <c r="B14424" s="24" t="s">
        <v>45659</v>
      </c>
      <c r="C14424" s="24" t="s">
        <v>45660</v>
      </c>
      <c r="D14424" s="25" t="s">
        <v>45661</v>
      </c>
      <c r="E14424" s="28">
        <v>1.00000</v>
      </c>
      <c r="F14424" s="29">
        <f ca="1">ROUND(19.000,3)</f>
        <v>0</v>
      </c>
      <c r="G14424" s="27">
        <f ca="1">ROUND(E14424*F14424,2)</f>
        <v>0</v>
      </c>
    </row>
    <row r="14425" spans="1:7" ht="24.36" thickBot="1" customHeight="1">
      <c r="A14425" s="24" t="s">
        <v>45662</v>
      </c>
      <c r="B14425" s="24" t="s">
        <v>45663</v>
      </c>
      <c r="C14425" s="24" t="s">
        <v>45664</v>
      </c>
      <c r="D14425" s="25" t="s">
        <v>45665</v>
      </c>
      <c r="E14425" s="28">
        <v>0.20000</v>
      </c>
      <c r="F14425" s="29">
        <f ca="1">ROUND(19.000,3)</f>
        <v>0</v>
      </c>
      <c r="G14425" s="27">
        <f ca="1">ROUND(E14425*F14425,2)</f>
        <v>0</v>
      </c>
    </row>
    <row r="14426" spans="1:7" ht="15.12" thickBot="1" customHeight="1">
      <c r="A14426" s="26"/>
      <c r="B14426" s="26"/>
      <c r="C14426" s="26"/>
      <c r="D14426" s="24" t="s">
        <v>45666</v>
      </c>
      <c r="E14426" s="28">
        <v>0.32000</v>
      </c>
      <c r="F14426" s="29">
        <f ca="1">ROUND((G14423+G14424+G14425),3)</f>
        <v>0</v>
      </c>
      <c r="G14426" s="27">
        <f ca="1">ROUND(E14426*F14426,2)</f>
        <v>0</v>
      </c>
    </row>
    <row r="14427" spans="1:7" ht="15.12" thickBot="1" customHeight="1">
      <c r="A14427" s="24" t="s">
        <v>45667</v>
      </c>
      <c r="B14427" s="24"/>
      <c r="C14427" s="24" t="s">
        <v>45668</v>
      </c>
      <c r="D14427" s="25" t="s">
        <v>45669</v>
      </c>
      <c r="E14427" s="28">
        <v>3.00000</v>
      </c>
      <c r="F14427" s="29">
        <f ca="1">ROUND(14.020,3)</f>
        <v>0</v>
      </c>
      <c r="G14427" s="27">
        <f ca="1">ROUND((E14427*F14427)/100,2)</f>
        <v>0</v>
      </c>
    </row>
    <row r="14428" spans="1:7" ht="25.08" thickBot="1" customHeight="1">
      <c r="A14428" s="30"/>
      <c r="B14428" s="30"/>
      <c r="C14428" s="30"/>
      <c r="D14428" s="31" t="s">
        <v>45670</v>
      </c>
      <c r="E14428" s="30"/>
      <c r="F14428" s="33">
        <f ca="1">ROUND((G14415+G14416+G14417+G14418+G14419+G14420+G14421+G14422+G14427)*(1+G2/100),2)</f>
        <v>0</v>
      </c>
      <c r="G14428" s="30"/>
    </row>
    <row r="14429" spans="1:7" ht="76.80" thickBot="1" customHeight="1">
      <c r="A14429" s="34" t="s">
        <v>45671</v>
      </c>
      <c r="B14429" s="35" t="s">
        <v>45672</v>
      </c>
      <c r="C14429" s="35" t="s">
        <v>45673</v>
      </c>
      <c r="D14429" s="36" t="s">
        <v>45674</v>
      </c>
      <c r="E14429" s="37"/>
      <c r="F14429" s="38">
        <f ca="1">F14444</f>
        <v>0</v>
      </c>
      <c r="G14429" s="37"/>
    </row>
    <row r="14430" spans="1:7" ht="39.84" thickBot="1" customHeight="1">
      <c r="A14430" s="26"/>
      <c r="B14430" s="26"/>
      <c r="C14430" s="26"/>
      <c r="D14430" s="25" t="s">
        <v>45675</v>
      </c>
      <c r="E14430" s="25"/>
      <c r="F14430" s="25"/>
      <c r="G14430" s="25"/>
    </row>
    <row r="14431" spans="1:7" ht="30.60" thickBot="1" customHeight="1">
      <c r="A14431" s="24" t="s">
        <v>45676</v>
      </c>
      <c r="B14431" s="24" t="s">
        <v>45677</v>
      </c>
      <c r="C14431" s="24" t="s">
        <v>45678</v>
      </c>
      <c r="D14431" s="25" t="s">
        <v>45679</v>
      </c>
      <c r="E14431" s="28">
        <v>1.00000</v>
      </c>
      <c r="F14431" s="29">
        <f ca="1">ROUND(7.890,3)</f>
        <v>0</v>
      </c>
      <c r="G14431" s="27">
        <f ca="1">ROUND(E14431*F14431,2)</f>
        <v>0</v>
      </c>
    </row>
    <row r="14432" spans="1:7" ht="21.36" thickBot="1" customHeight="1">
      <c r="A14432" s="24" t="s">
        <v>45680</v>
      </c>
      <c r="B14432" s="24" t="s">
        <v>45681</v>
      </c>
      <c r="C14432" s="24" t="s">
        <v>45682</v>
      </c>
      <c r="D14432" s="25" t="s">
        <v>45683</v>
      </c>
      <c r="E14432" s="28">
        <v>0.50000</v>
      </c>
      <c r="F14432" s="29">
        <f ca="1">ROUND(6.900,3)</f>
        <v>0</v>
      </c>
      <c r="G14432" s="27">
        <f ca="1">ROUND(E14432*F14432,2)</f>
        <v>0</v>
      </c>
    </row>
    <row r="14433" spans="1:7" ht="30.60" thickBot="1" customHeight="1">
      <c r="A14433" s="24" t="s">
        <v>45684</v>
      </c>
      <c r="B14433" s="24" t="s">
        <v>45685</v>
      </c>
      <c r="C14433" s="24" t="s">
        <v>45686</v>
      </c>
      <c r="D14433" s="25" t="s">
        <v>45687</v>
      </c>
      <c r="E14433" s="28">
        <v>0.02100</v>
      </c>
      <c r="F14433" s="29">
        <f ca="1">ROUND(27.500,3)</f>
        <v>0</v>
      </c>
      <c r="G14433" s="27">
        <f ca="1">ROUND(E14433*F14433,2)</f>
        <v>0</v>
      </c>
    </row>
    <row r="14434" spans="1:7" ht="21.36" thickBot="1" customHeight="1">
      <c r="A14434" s="24" t="s">
        <v>45688</v>
      </c>
      <c r="B14434" s="24" t="s">
        <v>45689</v>
      </c>
      <c r="C14434" s="24" t="s">
        <v>45690</v>
      </c>
      <c r="D14434" s="25" t="s">
        <v>45691</v>
      </c>
      <c r="E14434" s="28">
        <v>0.40000</v>
      </c>
      <c r="F14434" s="29">
        <f ca="1">ROUND(1.050,3)</f>
        <v>0</v>
      </c>
      <c r="G14434" s="27">
        <f ca="1">ROUND(E14434*F14434,2)</f>
        <v>0</v>
      </c>
    </row>
    <row r="14435" spans="1:7" ht="30.60" thickBot="1" customHeight="1">
      <c r="A14435" s="24" t="s">
        <v>45692</v>
      </c>
      <c r="B14435" s="24" t="s">
        <v>45693</v>
      </c>
      <c r="C14435" s="24" t="s">
        <v>45694</v>
      </c>
      <c r="D14435" s="25" t="s">
        <v>45695</v>
      </c>
      <c r="E14435" s="28">
        <v>0.50000</v>
      </c>
      <c r="F14435" s="29">
        <f ca="1">ROUND(1.760,3)</f>
        <v>0</v>
      </c>
      <c r="G14435" s="27">
        <f ca="1">ROUND(E14435*F14435,2)</f>
        <v>0</v>
      </c>
    </row>
    <row r="14436" spans="1:7" ht="21.36" thickBot="1" customHeight="1">
      <c r="A14436" s="24" t="s">
        <v>45696</v>
      </c>
      <c r="B14436" s="24" t="s">
        <v>45697</v>
      </c>
      <c r="C14436" s="24" t="s">
        <v>45698</v>
      </c>
      <c r="D14436" s="25" t="s">
        <v>45699</v>
      </c>
      <c r="E14436" s="28">
        <v>0.02444</v>
      </c>
      <c r="F14436" s="29">
        <f ca="1">ROUND(1.320,3)</f>
        <v>0</v>
      </c>
      <c r="G14436" s="27">
        <f ca="1">ROUND(E14436*F14436,2)</f>
        <v>0</v>
      </c>
    </row>
    <row r="14437" spans="1:7" ht="21.36" thickBot="1" customHeight="1">
      <c r="A14437" s="24" t="s">
        <v>45700</v>
      </c>
      <c r="B14437" s="24" t="s">
        <v>45701</v>
      </c>
      <c r="C14437" s="24" t="s">
        <v>45702</v>
      </c>
      <c r="D14437" s="25" t="s">
        <v>45703</v>
      </c>
      <c r="E14437" s="28">
        <v>0.20000</v>
      </c>
      <c r="F14437" s="29">
        <f ca="1">ROUND(11.500,3)</f>
        <v>0</v>
      </c>
      <c r="G14437" s="27">
        <f ca="1">ROUND(E14437*F14437,2)</f>
        <v>0</v>
      </c>
    </row>
    <row r="14438" spans="1:7" ht="21.36" thickBot="1" customHeight="1">
      <c r="A14438" s="24" t="s">
        <v>45704</v>
      </c>
      <c r="B14438" s="24" t="s">
        <v>45705</v>
      </c>
      <c r="C14438" s="24" t="s">
        <v>45706</v>
      </c>
      <c r="D14438" s="25" t="s">
        <v>45707</v>
      </c>
      <c r="E14438" s="28">
        <v>0.40000</v>
      </c>
      <c r="F14438" s="29">
        <f ca="1">F14442</f>
        <v>0</v>
      </c>
      <c r="G14438" s="27">
        <f ca="1">ROUND(E14438*F14438,2)</f>
        <v>0</v>
      </c>
    </row>
    <row r="14439" spans="1:7" ht="24.36" thickBot="1" customHeight="1">
      <c r="A14439" s="24" t="s">
        <v>45708</v>
      </c>
      <c r="B14439" s="24" t="s">
        <v>45709</v>
      </c>
      <c r="C14439" s="24" t="s">
        <v>45710</v>
      </c>
      <c r="D14439" s="25" t="s">
        <v>45711</v>
      </c>
      <c r="E14439" s="28">
        <v>1.00000</v>
      </c>
      <c r="F14439" s="29">
        <f ca="1">ROUND(21.000,3)</f>
        <v>0</v>
      </c>
      <c r="G14439" s="27">
        <f ca="1">ROUND(E14439*F14439,2)</f>
        <v>0</v>
      </c>
    </row>
    <row r="14440" spans="1:7" ht="24.36" thickBot="1" customHeight="1">
      <c r="A14440" s="24" t="s">
        <v>45712</v>
      </c>
      <c r="B14440" s="24" t="s">
        <v>45713</v>
      </c>
      <c r="C14440" s="24" t="s">
        <v>45714</v>
      </c>
      <c r="D14440" s="25" t="s">
        <v>45715</v>
      </c>
      <c r="E14440" s="28">
        <v>1.00000</v>
      </c>
      <c r="F14440" s="29">
        <f ca="1">ROUND(19.000,3)</f>
        <v>0</v>
      </c>
      <c r="G14440" s="27">
        <f ca="1">ROUND(E14440*F14440,2)</f>
        <v>0</v>
      </c>
    </row>
    <row r="14441" spans="1:7" ht="24.36" thickBot="1" customHeight="1">
      <c r="A14441" s="24" t="s">
        <v>45716</v>
      </c>
      <c r="B14441" s="24" t="s">
        <v>45717</v>
      </c>
      <c r="C14441" s="24" t="s">
        <v>45718</v>
      </c>
      <c r="D14441" s="25" t="s">
        <v>45719</v>
      </c>
      <c r="E14441" s="28">
        <v>0.20000</v>
      </c>
      <c r="F14441" s="29">
        <f ca="1">ROUND(19.000,3)</f>
        <v>0</v>
      </c>
      <c r="G14441" s="27">
        <f ca="1">ROUND(E14441*F14441,2)</f>
        <v>0</v>
      </c>
    </row>
    <row r="14442" spans="1:7" ht="15.12" thickBot="1" customHeight="1">
      <c r="A14442" s="26"/>
      <c r="B14442" s="26"/>
      <c r="C14442" s="26"/>
      <c r="D14442" s="24" t="s">
        <v>45720</v>
      </c>
      <c r="E14442" s="28">
        <v>0.40000</v>
      </c>
      <c r="F14442" s="29">
        <f ca="1">ROUND((G14439+G14440+G14441),3)</f>
        <v>0</v>
      </c>
      <c r="G14442" s="27">
        <f ca="1">ROUND(E14442*F14442,2)</f>
        <v>0</v>
      </c>
    </row>
    <row r="14443" spans="1:7" ht="15.12" thickBot="1" customHeight="1">
      <c r="A14443" s="24" t="s">
        <v>45721</v>
      </c>
      <c r="B14443" s="24"/>
      <c r="C14443" s="24" t="s">
        <v>45722</v>
      </c>
      <c r="D14443" s="25" t="s">
        <v>45723</v>
      </c>
      <c r="E14443" s="28">
        <v>3.00000</v>
      </c>
      <c r="F14443" s="29">
        <f ca="1">ROUND(17.520,3)</f>
        <v>0</v>
      </c>
      <c r="G14443" s="27">
        <f ca="1">ROUND((E14443*F14443)/100,2)</f>
        <v>0</v>
      </c>
    </row>
    <row r="14444" spans="1:7" ht="25.08" thickBot="1" customHeight="1">
      <c r="A14444" s="30"/>
      <c r="B14444" s="30"/>
      <c r="C14444" s="30"/>
      <c r="D14444" s="31" t="s">
        <v>45724</v>
      </c>
      <c r="E14444" s="30"/>
      <c r="F14444" s="33">
        <f ca="1">ROUND((G14431+G14432+G14433+G14434+G14435+G14436+G14437+G14438+G14443)*(1+G2/100),2)</f>
        <v>0</v>
      </c>
      <c r="G14444" s="30"/>
    </row>
    <row r="14445" spans="1:7" ht="67.56" thickBot="1" customHeight="1">
      <c r="A14445" s="34" t="s">
        <v>45725</v>
      </c>
      <c r="B14445" s="35" t="s">
        <v>45726</v>
      </c>
      <c r="C14445" s="35" t="s">
        <v>45727</v>
      </c>
      <c r="D14445" s="36" t="s">
        <v>45728</v>
      </c>
      <c r="E14445" s="37"/>
      <c r="F14445" s="38">
        <f ca="1">F14460</f>
        <v>0</v>
      </c>
      <c r="G14445" s="37"/>
    </row>
    <row r="14446" spans="1:7" ht="39.84" thickBot="1" customHeight="1">
      <c r="A14446" s="26"/>
      <c r="B14446" s="26"/>
      <c r="C14446" s="26"/>
      <c r="D14446" s="25" t="s">
        <v>45729</v>
      </c>
      <c r="E14446" s="25"/>
      <c r="F14446" s="25"/>
      <c r="G14446" s="25"/>
    </row>
    <row r="14447" spans="1:7" ht="30.60" thickBot="1" customHeight="1">
      <c r="A14447" s="24" t="s">
        <v>45730</v>
      </c>
      <c r="B14447" s="24" t="s">
        <v>45731</v>
      </c>
      <c r="C14447" s="24" t="s">
        <v>45732</v>
      </c>
      <c r="D14447" s="25" t="s">
        <v>45733</v>
      </c>
      <c r="E14447" s="28">
        <v>1.00000</v>
      </c>
      <c r="F14447" s="29">
        <f ca="1">ROUND(7.890,3)</f>
        <v>0</v>
      </c>
      <c r="G14447" s="27">
        <f ca="1">ROUND(E14447*F14447,2)</f>
        <v>0</v>
      </c>
    </row>
    <row r="14448" spans="1:7" ht="21.36" thickBot="1" customHeight="1">
      <c r="A14448" s="24" t="s">
        <v>45734</v>
      </c>
      <c r="B14448" s="24" t="s">
        <v>45735</v>
      </c>
      <c r="C14448" s="24" t="s">
        <v>45736</v>
      </c>
      <c r="D14448" s="25" t="s">
        <v>45737</v>
      </c>
      <c r="E14448" s="28">
        <v>0.50000</v>
      </c>
      <c r="F14448" s="29">
        <f ca="1">ROUND(6.900,3)</f>
        <v>0</v>
      </c>
      <c r="G14448" s="27">
        <f ca="1">ROUND(E14448*F14448,2)</f>
        <v>0</v>
      </c>
    </row>
    <row r="14449" spans="1:7" ht="30.60" thickBot="1" customHeight="1">
      <c r="A14449" s="24" t="s">
        <v>45738</v>
      </c>
      <c r="B14449" s="24" t="s">
        <v>45739</v>
      </c>
      <c r="C14449" s="24" t="s">
        <v>45740</v>
      </c>
      <c r="D14449" s="25" t="s">
        <v>45741</v>
      </c>
      <c r="E14449" s="28">
        <v>0.02100</v>
      </c>
      <c r="F14449" s="29">
        <f ca="1">ROUND(27.500,3)</f>
        <v>0</v>
      </c>
      <c r="G14449" s="27">
        <f ca="1">ROUND(E14449*F14449,2)</f>
        <v>0</v>
      </c>
    </row>
    <row r="14450" spans="1:7" ht="21.36" thickBot="1" customHeight="1">
      <c r="A14450" s="24" t="s">
        <v>45742</v>
      </c>
      <c r="B14450" s="24" t="s">
        <v>45743</v>
      </c>
      <c r="C14450" s="24" t="s">
        <v>45744</v>
      </c>
      <c r="D14450" s="25" t="s">
        <v>45745</v>
      </c>
      <c r="E14450" s="28">
        <v>0.40000</v>
      </c>
      <c r="F14450" s="29">
        <f ca="1">ROUND(1.050,3)</f>
        <v>0</v>
      </c>
      <c r="G14450" s="27">
        <f ca="1">ROUND(E14450*F14450,2)</f>
        <v>0</v>
      </c>
    </row>
    <row r="14451" spans="1:7" ht="30.60" thickBot="1" customHeight="1">
      <c r="A14451" s="24" t="s">
        <v>45746</v>
      </c>
      <c r="B14451" s="24" t="s">
        <v>45747</v>
      </c>
      <c r="C14451" s="24" t="s">
        <v>45748</v>
      </c>
      <c r="D14451" s="25" t="s">
        <v>45749</v>
      </c>
      <c r="E14451" s="28">
        <v>0.50000</v>
      </c>
      <c r="F14451" s="29">
        <f ca="1">ROUND(1.760,3)</f>
        <v>0</v>
      </c>
      <c r="G14451" s="27">
        <f ca="1">ROUND(E14451*F14451,2)</f>
        <v>0</v>
      </c>
    </row>
    <row r="14452" spans="1:7" ht="21.36" thickBot="1" customHeight="1">
      <c r="A14452" s="24" t="s">
        <v>45750</v>
      </c>
      <c r="B14452" s="24" t="s">
        <v>45751</v>
      </c>
      <c r="C14452" s="24" t="s">
        <v>45752</v>
      </c>
      <c r="D14452" s="25" t="s">
        <v>45753</v>
      </c>
      <c r="E14452" s="28">
        <v>0.02444</v>
      </c>
      <c r="F14452" s="29">
        <f ca="1">ROUND(1.320,3)</f>
        <v>0</v>
      </c>
      <c r="G14452" s="27">
        <f ca="1">ROUND(E14452*F14452,2)</f>
        <v>0</v>
      </c>
    </row>
    <row r="14453" spans="1:7" ht="21.36" thickBot="1" customHeight="1">
      <c r="A14453" s="24" t="s">
        <v>45754</v>
      </c>
      <c r="B14453" s="24" t="s">
        <v>45755</v>
      </c>
      <c r="C14453" s="24" t="s">
        <v>45756</v>
      </c>
      <c r="D14453" s="25" t="s">
        <v>45757</v>
      </c>
      <c r="E14453" s="28">
        <v>0.20000</v>
      </c>
      <c r="F14453" s="29">
        <f ca="1">ROUND(11.500,3)</f>
        <v>0</v>
      </c>
      <c r="G14453" s="27">
        <f ca="1">ROUND(E14453*F14453,2)</f>
        <v>0</v>
      </c>
    </row>
    <row r="14454" spans="1:7" ht="21.36" thickBot="1" customHeight="1">
      <c r="A14454" s="24" t="s">
        <v>45758</v>
      </c>
      <c r="B14454" s="24" t="s">
        <v>45759</v>
      </c>
      <c r="C14454" s="24" t="s">
        <v>45760</v>
      </c>
      <c r="D14454" s="25" t="s">
        <v>45761</v>
      </c>
      <c r="E14454" s="28">
        <v>0.32000</v>
      </c>
      <c r="F14454" s="29">
        <f ca="1">F14458</f>
        <v>0</v>
      </c>
      <c r="G14454" s="27">
        <f ca="1">ROUND(E14454*F14454,2)</f>
        <v>0</v>
      </c>
    </row>
    <row r="14455" spans="1:7" ht="24.36" thickBot="1" customHeight="1">
      <c r="A14455" s="24" t="s">
        <v>45762</v>
      </c>
      <c r="B14455" s="24" t="s">
        <v>45763</v>
      </c>
      <c r="C14455" s="24" t="s">
        <v>45764</v>
      </c>
      <c r="D14455" s="25" t="s">
        <v>45765</v>
      </c>
      <c r="E14455" s="28">
        <v>1.00000</v>
      </c>
      <c r="F14455" s="29">
        <f ca="1">ROUND(21.000,3)</f>
        <v>0</v>
      </c>
      <c r="G14455" s="27">
        <f ca="1">ROUND(E14455*F14455,2)</f>
        <v>0</v>
      </c>
    </row>
    <row r="14456" spans="1:7" ht="24.36" thickBot="1" customHeight="1">
      <c r="A14456" s="24" t="s">
        <v>45766</v>
      </c>
      <c r="B14456" s="24" t="s">
        <v>45767</v>
      </c>
      <c r="C14456" s="24" t="s">
        <v>45768</v>
      </c>
      <c r="D14456" s="25" t="s">
        <v>45769</v>
      </c>
      <c r="E14456" s="28">
        <v>1.00000</v>
      </c>
      <c r="F14456" s="29">
        <f ca="1">ROUND(19.000,3)</f>
        <v>0</v>
      </c>
      <c r="G14456" s="27">
        <f ca="1">ROUND(E14456*F14456,2)</f>
        <v>0</v>
      </c>
    </row>
    <row r="14457" spans="1:7" ht="24.36" thickBot="1" customHeight="1">
      <c r="A14457" s="24" t="s">
        <v>45770</v>
      </c>
      <c r="B14457" s="24" t="s">
        <v>45771</v>
      </c>
      <c r="C14457" s="24" t="s">
        <v>45772</v>
      </c>
      <c r="D14457" s="25" t="s">
        <v>45773</v>
      </c>
      <c r="E14457" s="28">
        <v>0.20000</v>
      </c>
      <c r="F14457" s="29">
        <f ca="1">ROUND(19.000,3)</f>
        <v>0</v>
      </c>
      <c r="G14457" s="27">
        <f ca="1">ROUND(E14457*F14457,2)</f>
        <v>0</v>
      </c>
    </row>
    <row r="14458" spans="1:7" ht="15.12" thickBot="1" customHeight="1">
      <c r="A14458" s="26"/>
      <c r="B14458" s="26"/>
      <c r="C14458" s="26"/>
      <c r="D14458" s="24" t="s">
        <v>45774</v>
      </c>
      <c r="E14458" s="28">
        <v>0.32000</v>
      </c>
      <c r="F14458" s="29">
        <f ca="1">ROUND((G14455+G14456+G14457),3)</f>
        <v>0</v>
      </c>
      <c r="G14458" s="27">
        <f ca="1">ROUND(E14458*F14458,2)</f>
        <v>0</v>
      </c>
    </row>
    <row r="14459" spans="1:7" ht="15.12" thickBot="1" customHeight="1">
      <c r="A14459" s="24" t="s">
        <v>45775</v>
      </c>
      <c r="B14459" s="24"/>
      <c r="C14459" s="24" t="s">
        <v>45776</v>
      </c>
      <c r="D14459" s="25" t="s">
        <v>45777</v>
      </c>
      <c r="E14459" s="28">
        <v>3.00000</v>
      </c>
      <c r="F14459" s="29">
        <f ca="1">ROUND(14.020,3)</f>
        <v>0</v>
      </c>
      <c r="G14459" s="27">
        <f ca="1">ROUND((E14459*F14459)/100,2)</f>
        <v>0</v>
      </c>
    </row>
    <row r="14460" spans="1:7" ht="25.08" thickBot="1" customHeight="1">
      <c r="A14460" s="30"/>
      <c r="B14460" s="30"/>
      <c r="C14460" s="30"/>
      <c r="D14460" s="31" t="s">
        <v>45778</v>
      </c>
      <c r="E14460" s="30"/>
      <c r="F14460" s="33">
        <f ca="1">ROUND((G14447+G14448+G14449+G14450+G14451+G14452+G14453+G14454+G14459)*(1+G2/100),2)</f>
        <v>0</v>
      </c>
      <c r="G14460" s="30"/>
    </row>
    <row r="14461" spans="1:7" ht="76.80" thickBot="1" customHeight="1">
      <c r="A14461" s="34" t="s">
        <v>45779</v>
      </c>
      <c r="B14461" s="35" t="s">
        <v>45780</v>
      </c>
      <c r="C14461" s="35" t="s">
        <v>45781</v>
      </c>
      <c r="D14461" s="36" t="s">
        <v>45782</v>
      </c>
      <c r="E14461" s="37"/>
      <c r="F14461" s="38">
        <f ca="1">F14476</f>
        <v>0</v>
      </c>
      <c r="G14461" s="37"/>
    </row>
    <row r="14462" spans="1:7" ht="39.84" thickBot="1" customHeight="1">
      <c r="A14462" s="26"/>
      <c r="B14462" s="26"/>
      <c r="C14462" s="26"/>
      <c r="D14462" s="25" t="s">
        <v>45783</v>
      </c>
      <c r="E14462" s="25"/>
      <c r="F14462" s="25"/>
      <c r="G14462" s="25"/>
    </row>
    <row r="14463" spans="1:7" ht="30.60" thickBot="1" customHeight="1">
      <c r="A14463" s="24" t="s">
        <v>45784</v>
      </c>
      <c r="B14463" s="24" t="s">
        <v>45785</v>
      </c>
      <c r="C14463" s="24" t="s">
        <v>45786</v>
      </c>
      <c r="D14463" s="25" t="s">
        <v>45787</v>
      </c>
      <c r="E14463" s="28">
        <v>1.00000</v>
      </c>
      <c r="F14463" s="29">
        <f ca="1">ROUND(11.740,3)</f>
        <v>0</v>
      </c>
      <c r="G14463" s="27">
        <f ca="1">ROUND(E14463*F14463,2)</f>
        <v>0</v>
      </c>
    </row>
    <row r="14464" spans="1:7" ht="30.60" thickBot="1" customHeight="1">
      <c r="A14464" s="24" t="s">
        <v>45788</v>
      </c>
      <c r="B14464" s="24" t="s">
        <v>45789</v>
      </c>
      <c r="C14464" s="24" t="s">
        <v>45790</v>
      </c>
      <c r="D14464" s="25" t="s">
        <v>45791</v>
      </c>
      <c r="E14464" s="28">
        <v>0.50000</v>
      </c>
      <c r="F14464" s="29">
        <f ca="1">ROUND(10.180,3)</f>
        <v>0</v>
      </c>
      <c r="G14464" s="27">
        <f ca="1">ROUND(E14464*F14464,2)</f>
        <v>0</v>
      </c>
    </row>
    <row r="14465" spans="1:7" ht="30.60" thickBot="1" customHeight="1">
      <c r="A14465" s="24" t="s">
        <v>45792</v>
      </c>
      <c r="B14465" s="24" t="s">
        <v>45793</v>
      </c>
      <c r="C14465" s="24" t="s">
        <v>45794</v>
      </c>
      <c r="D14465" s="25" t="s">
        <v>45795</v>
      </c>
      <c r="E14465" s="28">
        <v>0.02100</v>
      </c>
      <c r="F14465" s="29">
        <f ca="1">ROUND(27.500,3)</f>
        <v>0</v>
      </c>
      <c r="G14465" s="27">
        <f ca="1">ROUND(E14465*F14465,2)</f>
        <v>0</v>
      </c>
    </row>
    <row r="14466" spans="1:7" ht="21.36" thickBot="1" customHeight="1">
      <c r="A14466" s="24" t="s">
        <v>45796</v>
      </c>
      <c r="B14466" s="24" t="s">
        <v>45797</v>
      </c>
      <c r="C14466" s="24" t="s">
        <v>45798</v>
      </c>
      <c r="D14466" s="25" t="s">
        <v>45799</v>
      </c>
      <c r="E14466" s="28">
        <v>0.40000</v>
      </c>
      <c r="F14466" s="29">
        <f ca="1">ROUND(1.050,3)</f>
        <v>0</v>
      </c>
      <c r="G14466" s="27">
        <f ca="1">ROUND(E14466*F14466,2)</f>
        <v>0</v>
      </c>
    </row>
    <row r="14467" spans="1:7" ht="30.60" thickBot="1" customHeight="1">
      <c r="A14467" s="24" t="s">
        <v>45800</v>
      </c>
      <c r="B14467" s="24" t="s">
        <v>45801</v>
      </c>
      <c r="C14467" s="24" t="s">
        <v>45802</v>
      </c>
      <c r="D14467" s="25" t="s">
        <v>45803</v>
      </c>
      <c r="E14467" s="28">
        <v>0.50000</v>
      </c>
      <c r="F14467" s="29">
        <f ca="1">ROUND(1.760,3)</f>
        <v>0</v>
      </c>
      <c r="G14467" s="27">
        <f ca="1">ROUND(E14467*F14467,2)</f>
        <v>0</v>
      </c>
    </row>
    <row r="14468" spans="1:7" ht="21.36" thickBot="1" customHeight="1">
      <c r="A14468" s="24" t="s">
        <v>45804</v>
      </c>
      <c r="B14468" s="24" t="s">
        <v>45805</v>
      </c>
      <c r="C14468" s="24" t="s">
        <v>45806</v>
      </c>
      <c r="D14468" s="25" t="s">
        <v>45807</v>
      </c>
      <c r="E14468" s="28">
        <v>0.02444</v>
      </c>
      <c r="F14468" s="29">
        <f ca="1">ROUND(1.320,3)</f>
        <v>0</v>
      </c>
      <c r="G14468" s="27">
        <f ca="1">ROUND(E14468*F14468,2)</f>
        <v>0</v>
      </c>
    </row>
    <row r="14469" spans="1:7" ht="21.36" thickBot="1" customHeight="1">
      <c r="A14469" s="24" t="s">
        <v>45808</v>
      </c>
      <c r="B14469" s="24" t="s">
        <v>45809</v>
      </c>
      <c r="C14469" s="24" t="s">
        <v>45810</v>
      </c>
      <c r="D14469" s="25" t="s">
        <v>45811</v>
      </c>
      <c r="E14469" s="28">
        <v>0.20000</v>
      </c>
      <c r="F14469" s="29">
        <f ca="1">ROUND(11.500,3)</f>
        <v>0</v>
      </c>
      <c r="G14469" s="27">
        <f ca="1">ROUND(E14469*F14469,2)</f>
        <v>0</v>
      </c>
    </row>
    <row r="14470" spans="1:7" ht="21.36" thickBot="1" customHeight="1">
      <c r="A14470" s="24" t="s">
        <v>45812</v>
      </c>
      <c r="B14470" s="24" t="s">
        <v>45813</v>
      </c>
      <c r="C14470" s="24" t="s">
        <v>45814</v>
      </c>
      <c r="D14470" s="25" t="s">
        <v>45815</v>
      </c>
      <c r="E14470" s="28">
        <v>0.40000</v>
      </c>
      <c r="F14470" s="29">
        <f ca="1">F14474</f>
        <v>0</v>
      </c>
      <c r="G14470" s="27">
        <f ca="1">ROUND(E14470*F14470,2)</f>
        <v>0</v>
      </c>
    </row>
    <row r="14471" spans="1:7" ht="24.36" thickBot="1" customHeight="1">
      <c r="A14471" s="24" t="s">
        <v>45816</v>
      </c>
      <c r="B14471" s="24" t="s">
        <v>45817</v>
      </c>
      <c r="C14471" s="24" t="s">
        <v>45818</v>
      </c>
      <c r="D14471" s="25" t="s">
        <v>45819</v>
      </c>
      <c r="E14471" s="28">
        <v>1.00000</v>
      </c>
      <c r="F14471" s="29">
        <f ca="1">ROUND(21.000,3)</f>
        <v>0</v>
      </c>
      <c r="G14471" s="27">
        <f ca="1">ROUND(E14471*F14471,2)</f>
        <v>0</v>
      </c>
    </row>
    <row r="14472" spans="1:7" ht="24.36" thickBot="1" customHeight="1">
      <c r="A14472" s="24" t="s">
        <v>45820</v>
      </c>
      <c r="B14472" s="24" t="s">
        <v>45821</v>
      </c>
      <c r="C14472" s="24" t="s">
        <v>45822</v>
      </c>
      <c r="D14472" s="25" t="s">
        <v>45823</v>
      </c>
      <c r="E14472" s="28">
        <v>1.00000</v>
      </c>
      <c r="F14472" s="29">
        <f ca="1">ROUND(19.000,3)</f>
        <v>0</v>
      </c>
      <c r="G14472" s="27">
        <f ca="1">ROUND(E14472*F14472,2)</f>
        <v>0</v>
      </c>
    </row>
    <row r="14473" spans="1:7" ht="24.36" thickBot="1" customHeight="1">
      <c r="A14473" s="24" t="s">
        <v>45824</v>
      </c>
      <c r="B14473" s="24" t="s">
        <v>45825</v>
      </c>
      <c r="C14473" s="24" t="s">
        <v>45826</v>
      </c>
      <c r="D14473" s="25" t="s">
        <v>45827</v>
      </c>
      <c r="E14473" s="28">
        <v>0.20000</v>
      </c>
      <c r="F14473" s="29">
        <f ca="1">ROUND(19.000,3)</f>
        <v>0</v>
      </c>
      <c r="G14473" s="27">
        <f ca="1">ROUND(E14473*F14473,2)</f>
        <v>0</v>
      </c>
    </row>
    <row r="14474" spans="1:7" ht="15.12" thickBot="1" customHeight="1">
      <c r="A14474" s="26"/>
      <c r="B14474" s="26"/>
      <c r="C14474" s="26"/>
      <c r="D14474" s="24" t="s">
        <v>45828</v>
      </c>
      <c r="E14474" s="28">
        <v>0.40000</v>
      </c>
      <c r="F14474" s="29">
        <f ca="1">ROUND((G14471+G14472+G14473),3)</f>
        <v>0</v>
      </c>
      <c r="G14474" s="27">
        <f ca="1">ROUND(E14474*F14474,2)</f>
        <v>0</v>
      </c>
    </row>
    <row r="14475" spans="1:7" ht="15.12" thickBot="1" customHeight="1">
      <c r="A14475" s="24" t="s">
        <v>45829</v>
      </c>
      <c r="B14475" s="24"/>
      <c r="C14475" s="24" t="s">
        <v>45830</v>
      </c>
      <c r="D14475" s="25" t="s">
        <v>45831</v>
      </c>
      <c r="E14475" s="28">
        <v>3.00000</v>
      </c>
      <c r="F14475" s="29">
        <f ca="1">ROUND(17.520,3)</f>
        <v>0</v>
      </c>
      <c r="G14475" s="27">
        <f ca="1">ROUND((E14475*F14475)/100,2)</f>
        <v>0</v>
      </c>
    </row>
    <row r="14476" spans="1:7" ht="15.48" thickBot="1" customHeight="1">
      <c r="A14476" s="30"/>
      <c r="B14476" s="30"/>
      <c r="C14476" s="30"/>
      <c r="D14476" s="31" t="s">
        <v>45832</v>
      </c>
      <c r="E14476" s="30"/>
      <c r="F14476" s="33">
        <f ca="1">ROUND((G14463+G14464+G14465+G14466+G14467+G14468+G14469+G14470+G14475)*(1+G2/100),2)</f>
        <v>0</v>
      </c>
      <c r="G14476" s="30"/>
    </row>
    <row r="14477" spans="1:7" ht="67.56" thickBot="1" customHeight="1">
      <c r="A14477" s="34" t="s">
        <v>45833</v>
      </c>
      <c r="B14477" s="35" t="s">
        <v>45834</v>
      </c>
      <c r="C14477" s="35" t="s">
        <v>45835</v>
      </c>
      <c r="D14477" s="36" t="s">
        <v>45836</v>
      </c>
      <c r="E14477" s="37"/>
      <c r="F14477" s="38">
        <f ca="1">F14492</f>
        <v>0</v>
      </c>
      <c r="G14477" s="37"/>
    </row>
    <row r="14478" spans="1:7" ht="39.84" thickBot="1" customHeight="1">
      <c r="A14478" s="26"/>
      <c r="B14478" s="26"/>
      <c r="C14478" s="26"/>
      <c r="D14478" s="25" t="s">
        <v>45837</v>
      </c>
      <c r="E14478" s="25"/>
      <c r="F14478" s="25"/>
      <c r="G14478" s="25"/>
    </row>
    <row r="14479" spans="1:7" ht="30.60" thickBot="1" customHeight="1">
      <c r="A14479" s="24" t="s">
        <v>45838</v>
      </c>
      <c r="B14479" s="24" t="s">
        <v>45839</v>
      </c>
      <c r="C14479" s="24" t="s">
        <v>45840</v>
      </c>
      <c r="D14479" s="25" t="s">
        <v>45841</v>
      </c>
      <c r="E14479" s="28">
        <v>1.00000</v>
      </c>
      <c r="F14479" s="29">
        <f ca="1">ROUND(11.740,3)</f>
        <v>0</v>
      </c>
      <c r="G14479" s="27">
        <f ca="1">ROUND(E14479*F14479,2)</f>
        <v>0</v>
      </c>
    </row>
    <row r="14480" spans="1:7" ht="30.60" thickBot="1" customHeight="1">
      <c r="A14480" s="24" t="s">
        <v>45842</v>
      </c>
      <c r="B14480" s="24" t="s">
        <v>45843</v>
      </c>
      <c r="C14480" s="24" t="s">
        <v>45844</v>
      </c>
      <c r="D14480" s="25" t="s">
        <v>45845</v>
      </c>
      <c r="E14480" s="28">
        <v>0.50000</v>
      </c>
      <c r="F14480" s="29">
        <f ca="1">ROUND(10.180,3)</f>
        <v>0</v>
      </c>
      <c r="G14480" s="27">
        <f ca="1">ROUND(E14480*F14480,2)</f>
        <v>0</v>
      </c>
    </row>
    <row r="14481" spans="1:7" ht="30.60" thickBot="1" customHeight="1">
      <c r="A14481" s="24" t="s">
        <v>45846</v>
      </c>
      <c r="B14481" s="24" t="s">
        <v>45847</v>
      </c>
      <c r="C14481" s="24" t="s">
        <v>45848</v>
      </c>
      <c r="D14481" s="25" t="s">
        <v>45849</v>
      </c>
      <c r="E14481" s="28">
        <v>0.02100</v>
      </c>
      <c r="F14481" s="29">
        <f ca="1">ROUND(27.500,3)</f>
        <v>0</v>
      </c>
      <c r="G14481" s="27">
        <f ca="1">ROUND(E14481*F14481,2)</f>
        <v>0</v>
      </c>
    </row>
    <row r="14482" spans="1:7" ht="21.36" thickBot="1" customHeight="1">
      <c r="A14482" s="24" t="s">
        <v>45850</v>
      </c>
      <c r="B14482" s="24" t="s">
        <v>45851</v>
      </c>
      <c r="C14482" s="24" t="s">
        <v>45852</v>
      </c>
      <c r="D14482" s="25" t="s">
        <v>45853</v>
      </c>
      <c r="E14482" s="28">
        <v>0.40000</v>
      </c>
      <c r="F14482" s="29">
        <f ca="1">ROUND(1.050,3)</f>
        <v>0</v>
      </c>
      <c r="G14482" s="27">
        <f ca="1">ROUND(E14482*F14482,2)</f>
        <v>0</v>
      </c>
    </row>
    <row r="14483" spans="1:7" ht="30.60" thickBot="1" customHeight="1">
      <c r="A14483" s="24" t="s">
        <v>45854</v>
      </c>
      <c r="B14483" s="24" t="s">
        <v>45855</v>
      </c>
      <c r="C14483" s="24" t="s">
        <v>45856</v>
      </c>
      <c r="D14483" s="25" t="s">
        <v>45857</v>
      </c>
      <c r="E14483" s="28">
        <v>0.50000</v>
      </c>
      <c r="F14483" s="29">
        <f ca="1">ROUND(1.760,3)</f>
        <v>0</v>
      </c>
      <c r="G14483" s="27">
        <f ca="1">ROUND(E14483*F14483,2)</f>
        <v>0</v>
      </c>
    </row>
    <row r="14484" spans="1:7" ht="21.36" thickBot="1" customHeight="1">
      <c r="A14484" s="24" t="s">
        <v>45858</v>
      </c>
      <c r="B14484" s="24" t="s">
        <v>45859</v>
      </c>
      <c r="C14484" s="24" t="s">
        <v>45860</v>
      </c>
      <c r="D14484" s="25" t="s">
        <v>45861</v>
      </c>
      <c r="E14484" s="28">
        <v>0.02444</v>
      </c>
      <c r="F14484" s="29">
        <f ca="1">ROUND(1.320,3)</f>
        <v>0</v>
      </c>
      <c r="G14484" s="27">
        <f ca="1">ROUND(E14484*F14484,2)</f>
        <v>0</v>
      </c>
    </row>
    <row r="14485" spans="1:7" ht="21.36" thickBot="1" customHeight="1">
      <c r="A14485" s="24" t="s">
        <v>45862</v>
      </c>
      <c r="B14485" s="24" t="s">
        <v>45863</v>
      </c>
      <c r="C14485" s="24" t="s">
        <v>45864</v>
      </c>
      <c r="D14485" s="25" t="s">
        <v>45865</v>
      </c>
      <c r="E14485" s="28">
        <v>0.20000</v>
      </c>
      <c r="F14485" s="29">
        <f ca="1">ROUND(11.500,3)</f>
        <v>0</v>
      </c>
      <c r="G14485" s="27">
        <f ca="1">ROUND(E14485*F14485,2)</f>
        <v>0</v>
      </c>
    </row>
    <row r="14486" spans="1:7" ht="21.36" thickBot="1" customHeight="1">
      <c r="A14486" s="24" t="s">
        <v>45866</v>
      </c>
      <c r="B14486" s="24" t="s">
        <v>45867</v>
      </c>
      <c r="C14486" s="24" t="s">
        <v>45868</v>
      </c>
      <c r="D14486" s="25" t="s">
        <v>45869</v>
      </c>
      <c r="E14486" s="28">
        <v>0.32000</v>
      </c>
      <c r="F14486" s="29">
        <f ca="1">F14490</f>
        <v>0</v>
      </c>
      <c r="G14486" s="27">
        <f ca="1">ROUND(E14486*F14486,2)</f>
        <v>0</v>
      </c>
    </row>
    <row r="14487" spans="1:7" ht="24.36" thickBot="1" customHeight="1">
      <c r="A14487" s="24" t="s">
        <v>45870</v>
      </c>
      <c r="B14487" s="24" t="s">
        <v>45871</v>
      </c>
      <c r="C14487" s="24" t="s">
        <v>45872</v>
      </c>
      <c r="D14487" s="25" t="s">
        <v>45873</v>
      </c>
      <c r="E14487" s="28">
        <v>1.00000</v>
      </c>
      <c r="F14487" s="29">
        <f ca="1">ROUND(21.000,3)</f>
        <v>0</v>
      </c>
      <c r="G14487" s="27">
        <f ca="1">ROUND(E14487*F14487,2)</f>
        <v>0</v>
      </c>
    </row>
    <row r="14488" spans="1:7" ht="24.36" thickBot="1" customHeight="1">
      <c r="A14488" s="24" t="s">
        <v>45874</v>
      </c>
      <c r="B14488" s="24" t="s">
        <v>45875</v>
      </c>
      <c r="C14488" s="24" t="s">
        <v>45876</v>
      </c>
      <c r="D14488" s="25" t="s">
        <v>45877</v>
      </c>
      <c r="E14488" s="28">
        <v>1.00000</v>
      </c>
      <c r="F14488" s="29">
        <f ca="1">ROUND(19.000,3)</f>
        <v>0</v>
      </c>
      <c r="G14488" s="27">
        <f ca="1">ROUND(E14488*F14488,2)</f>
        <v>0</v>
      </c>
    </row>
    <row r="14489" spans="1:7" ht="24.36" thickBot="1" customHeight="1">
      <c r="A14489" s="24" t="s">
        <v>45878</v>
      </c>
      <c r="B14489" s="24" t="s">
        <v>45879</v>
      </c>
      <c r="C14489" s="24" t="s">
        <v>45880</v>
      </c>
      <c r="D14489" s="25" t="s">
        <v>45881</v>
      </c>
      <c r="E14489" s="28">
        <v>0.20000</v>
      </c>
      <c r="F14489" s="29">
        <f ca="1">ROUND(19.000,3)</f>
        <v>0</v>
      </c>
      <c r="G14489" s="27">
        <f ca="1">ROUND(E14489*F14489,2)</f>
        <v>0</v>
      </c>
    </row>
    <row r="14490" spans="1:7" ht="15.12" thickBot="1" customHeight="1">
      <c r="A14490" s="26"/>
      <c r="B14490" s="26"/>
      <c r="C14490" s="26"/>
      <c r="D14490" s="24" t="s">
        <v>45882</v>
      </c>
      <c r="E14490" s="28">
        <v>0.32000</v>
      </c>
      <c r="F14490" s="29">
        <f ca="1">ROUND((G14487+G14488+G14489),3)</f>
        <v>0</v>
      </c>
      <c r="G14490" s="27">
        <f ca="1">ROUND(E14490*F14490,2)</f>
        <v>0</v>
      </c>
    </row>
    <row r="14491" spans="1:7" ht="15.12" thickBot="1" customHeight="1">
      <c r="A14491" s="24" t="s">
        <v>45883</v>
      </c>
      <c r="B14491" s="24"/>
      <c r="C14491" s="24" t="s">
        <v>45884</v>
      </c>
      <c r="D14491" s="25" t="s">
        <v>45885</v>
      </c>
      <c r="E14491" s="28">
        <v>3.00000</v>
      </c>
      <c r="F14491" s="29">
        <f ca="1">ROUND(14.020,3)</f>
        <v>0</v>
      </c>
      <c r="G14491" s="27">
        <f ca="1">ROUND((E14491*F14491)/100,2)</f>
        <v>0</v>
      </c>
    </row>
    <row r="14492" spans="1:7" ht="15.48" thickBot="1" customHeight="1">
      <c r="A14492" s="30"/>
      <c r="B14492" s="30"/>
      <c r="C14492" s="30"/>
      <c r="D14492" s="31" t="s">
        <v>45886</v>
      </c>
      <c r="E14492" s="30"/>
      <c r="F14492" s="33">
        <f ca="1">ROUND((G14479+G14480+G14481+G14482+G14483+G14484+G14485+G14486+G14491)*(1+G2/100),2)</f>
        <v>0</v>
      </c>
      <c r="G14492" s="30"/>
    </row>
    <row r="14493" spans="1:7" ht="76.80" thickBot="1" customHeight="1">
      <c r="A14493" s="34" t="s">
        <v>45887</v>
      </c>
      <c r="B14493" s="35" t="s">
        <v>45888</v>
      </c>
      <c r="C14493" s="35" t="s">
        <v>45889</v>
      </c>
      <c r="D14493" s="36" t="s">
        <v>45890</v>
      </c>
      <c r="E14493" s="37"/>
      <c r="F14493" s="38">
        <f ca="1">F14508</f>
        <v>0</v>
      </c>
      <c r="G14493" s="37"/>
    </row>
    <row r="14494" spans="1:7" ht="30.60" thickBot="1" customHeight="1">
      <c r="A14494" s="26"/>
      <c r="B14494" s="26"/>
      <c r="C14494" s="26"/>
      <c r="D14494" s="25" t="s">
        <v>45891</v>
      </c>
      <c r="E14494" s="25"/>
      <c r="F14494" s="25"/>
      <c r="G14494" s="25"/>
    </row>
    <row r="14495" spans="1:7" ht="30.60" thickBot="1" customHeight="1">
      <c r="A14495" s="24" t="s">
        <v>45892</v>
      </c>
      <c r="B14495" s="24" t="s">
        <v>45893</v>
      </c>
      <c r="C14495" s="24" t="s">
        <v>45894</v>
      </c>
      <c r="D14495" s="25" t="s">
        <v>45895</v>
      </c>
      <c r="E14495" s="28">
        <v>1.00000</v>
      </c>
      <c r="F14495" s="29">
        <f ca="1">ROUND(7.890,3)</f>
        <v>0</v>
      </c>
      <c r="G14495" s="27">
        <f ca="1">ROUND(E14495*F14495,2)</f>
        <v>0</v>
      </c>
    </row>
    <row r="14496" spans="1:7" ht="21.36" thickBot="1" customHeight="1">
      <c r="A14496" s="24" t="s">
        <v>45896</v>
      </c>
      <c r="B14496" s="24" t="s">
        <v>45897</v>
      </c>
      <c r="C14496" s="24" t="s">
        <v>45898</v>
      </c>
      <c r="D14496" s="25" t="s">
        <v>45899</v>
      </c>
      <c r="E14496" s="28">
        <v>0.50000</v>
      </c>
      <c r="F14496" s="29">
        <f ca="1">ROUND(10.180,3)</f>
        <v>0</v>
      </c>
      <c r="G14496" s="27">
        <f ca="1">ROUND(E14496*F14496,2)</f>
        <v>0</v>
      </c>
    </row>
    <row r="14497" spans="1:7" ht="30.60" thickBot="1" customHeight="1">
      <c r="A14497" s="24" t="s">
        <v>45900</v>
      </c>
      <c r="B14497" s="24" t="s">
        <v>45901</v>
      </c>
      <c r="C14497" s="24" t="s">
        <v>45902</v>
      </c>
      <c r="D14497" s="25" t="s">
        <v>45903</v>
      </c>
      <c r="E14497" s="28">
        <v>0.02100</v>
      </c>
      <c r="F14497" s="29">
        <f ca="1">ROUND(27.500,3)</f>
        <v>0</v>
      </c>
      <c r="G14497" s="27">
        <f ca="1">ROUND(E14497*F14497,2)</f>
        <v>0</v>
      </c>
    </row>
    <row r="14498" spans="1:7" ht="21.36" thickBot="1" customHeight="1">
      <c r="A14498" s="24" t="s">
        <v>45904</v>
      </c>
      <c r="B14498" s="24" t="s">
        <v>45905</v>
      </c>
      <c r="C14498" s="24" t="s">
        <v>45906</v>
      </c>
      <c r="D14498" s="25" t="s">
        <v>45907</v>
      </c>
      <c r="E14498" s="28">
        <v>0.40000</v>
      </c>
      <c r="F14498" s="29">
        <f ca="1">ROUND(1.050,3)</f>
        <v>0</v>
      </c>
      <c r="G14498" s="27">
        <f ca="1">ROUND(E14498*F14498,2)</f>
        <v>0</v>
      </c>
    </row>
    <row r="14499" spans="1:7" ht="30.60" thickBot="1" customHeight="1">
      <c r="A14499" s="24" t="s">
        <v>45908</v>
      </c>
      <c r="B14499" s="24" t="s">
        <v>45909</v>
      </c>
      <c r="C14499" s="24" t="s">
        <v>45910</v>
      </c>
      <c r="D14499" s="25" t="s">
        <v>45911</v>
      </c>
      <c r="E14499" s="28">
        <v>0.50000</v>
      </c>
      <c r="F14499" s="29">
        <f ca="1">ROUND(1.760,3)</f>
        <v>0</v>
      </c>
      <c r="G14499" s="27">
        <f ca="1">ROUND(E14499*F14499,2)</f>
        <v>0</v>
      </c>
    </row>
    <row r="14500" spans="1:7" ht="21.36" thickBot="1" customHeight="1">
      <c r="A14500" s="24" t="s">
        <v>45912</v>
      </c>
      <c r="B14500" s="24" t="s">
        <v>45913</v>
      </c>
      <c r="C14500" s="24" t="s">
        <v>45914</v>
      </c>
      <c r="D14500" s="25" t="s">
        <v>45915</v>
      </c>
      <c r="E14500" s="28">
        <v>0.02444</v>
      </c>
      <c r="F14500" s="29">
        <f ca="1">ROUND(1.320,3)</f>
        <v>0</v>
      </c>
      <c r="G14500" s="27">
        <f ca="1">ROUND(E14500*F14500,2)</f>
        <v>0</v>
      </c>
    </row>
    <row r="14501" spans="1:7" ht="21.36" thickBot="1" customHeight="1">
      <c r="A14501" s="24" t="s">
        <v>45916</v>
      </c>
      <c r="B14501" s="24" t="s">
        <v>45917</v>
      </c>
      <c r="C14501" s="24" t="s">
        <v>45918</v>
      </c>
      <c r="D14501" s="25" t="s">
        <v>45919</v>
      </c>
      <c r="E14501" s="28">
        <v>0.20000</v>
      </c>
      <c r="F14501" s="29">
        <f ca="1">ROUND(11.500,3)</f>
        <v>0</v>
      </c>
      <c r="G14501" s="27">
        <f ca="1">ROUND(E14501*F14501,2)</f>
        <v>0</v>
      </c>
    </row>
    <row r="14502" spans="1:7" ht="21.36" thickBot="1" customHeight="1">
      <c r="A14502" s="24" t="s">
        <v>45920</v>
      </c>
      <c r="B14502" s="24" t="s">
        <v>45921</v>
      </c>
      <c r="C14502" s="24" t="s">
        <v>45922</v>
      </c>
      <c r="D14502" s="25" t="s">
        <v>45923</v>
      </c>
      <c r="E14502" s="28">
        <v>0.40000</v>
      </c>
      <c r="F14502" s="29">
        <f ca="1">F14506</f>
        <v>0</v>
      </c>
      <c r="G14502" s="27">
        <f ca="1">ROUND(E14502*F14502,2)</f>
        <v>0</v>
      </c>
    </row>
    <row r="14503" spans="1:7" ht="24.36" thickBot="1" customHeight="1">
      <c r="A14503" s="24" t="s">
        <v>45924</v>
      </c>
      <c r="B14503" s="24" t="s">
        <v>45925</v>
      </c>
      <c r="C14503" s="24" t="s">
        <v>45926</v>
      </c>
      <c r="D14503" s="25" t="s">
        <v>45927</v>
      </c>
      <c r="E14503" s="28">
        <v>1.00000</v>
      </c>
      <c r="F14503" s="29">
        <f ca="1">ROUND(21.000,3)</f>
        <v>0</v>
      </c>
      <c r="G14503" s="27">
        <f ca="1">ROUND(E14503*F14503,2)</f>
        <v>0</v>
      </c>
    </row>
    <row r="14504" spans="1:7" ht="24.36" thickBot="1" customHeight="1">
      <c r="A14504" s="24" t="s">
        <v>45928</v>
      </c>
      <c r="B14504" s="24" t="s">
        <v>45929</v>
      </c>
      <c r="C14504" s="24" t="s">
        <v>45930</v>
      </c>
      <c r="D14504" s="25" t="s">
        <v>45931</v>
      </c>
      <c r="E14504" s="28">
        <v>1.00000</v>
      </c>
      <c r="F14504" s="29">
        <f ca="1">ROUND(19.000,3)</f>
        <v>0</v>
      </c>
      <c r="G14504" s="27">
        <f ca="1">ROUND(E14504*F14504,2)</f>
        <v>0</v>
      </c>
    </row>
    <row r="14505" spans="1:7" ht="24.36" thickBot="1" customHeight="1">
      <c r="A14505" s="24" t="s">
        <v>45932</v>
      </c>
      <c r="B14505" s="24" t="s">
        <v>45933</v>
      </c>
      <c r="C14505" s="24" t="s">
        <v>45934</v>
      </c>
      <c r="D14505" s="25" t="s">
        <v>45935</v>
      </c>
      <c r="E14505" s="28">
        <v>0.20000</v>
      </c>
      <c r="F14505" s="29">
        <f ca="1">ROUND(19.000,3)</f>
        <v>0</v>
      </c>
      <c r="G14505" s="27">
        <f ca="1">ROUND(E14505*F14505,2)</f>
        <v>0</v>
      </c>
    </row>
    <row r="14506" spans="1:7" ht="15.12" thickBot="1" customHeight="1">
      <c r="A14506" s="26"/>
      <c r="B14506" s="26"/>
      <c r="C14506" s="26"/>
      <c r="D14506" s="24" t="s">
        <v>45936</v>
      </c>
      <c r="E14506" s="28">
        <v>0.40000</v>
      </c>
      <c r="F14506" s="29">
        <f ca="1">ROUND((G14503+G14504+G14505),3)</f>
        <v>0</v>
      </c>
      <c r="G14506" s="27">
        <f ca="1">ROUND(E14506*F14506,2)</f>
        <v>0</v>
      </c>
    </row>
    <row r="14507" spans="1:7" ht="15.12" thickBot="1" customHeight="1">
      <c r="A14507" s="24" t="s">
        <v>45937</v>
      </c>
      <c r="B14507" s="24"/>
      <c r="C14507" s="24" t="s">
        <v>45938</v>
      </c>
      <c r="D14507" s="25" t="s">
        <v>45939</v>
      </c>
      <c r="E14507" s="28">
        <v>3.00000</v>
      </c>
      <c r="F14507" s="29">
        <f ca="1">ROUND(17.520,3)</f>
        <v>0</v>
      </c>
      <c r="G14507" s="27">
        <f ca="1">ROUND((E14507*F14507)/100,2)</f>
        <v>0</v>
      </c>
    </row>
    <row r="14508" spans="1:7" ht="15.48" thickBot="1" customHeight="1">
      <c r="A14508" s="30"/>
      <c r="B14508" s="30"/>
      <c r="C14508" s="30"/>
      <c r="D14508" s="31" t="s">
        <v>45940</v>
      </c>
      <c r="E14508" s="30"/>
      <c r="F14508" s="33">
        <f ca="1">ROUND((G14495+G14496+G14497+G14498+G14499+G14500+G14501+G14502+G14507)*(1+G2/100),2)</f>
        <v>0</v>
      </c>
      <c r="G14508" s="30"/>
    </row>
    <row r="14509" spans="1:7" ht="67.56" thickBot="1" customHeight="1">
      <c r="A14509" s="34" t="s">
        <v>45941</v>
      </c>
      <c r="B14509" s="35" t="s">
        <v>45942</v>
      </c>
      <c r="C14509" s="35" t="s">
        <v>45943</v>
      </c>
      <c r="D14509" s="36" t="s">
        <v>45944</v>
      </c>
      <c r="E14509" s="37"/>
      <c r="F14509" s="38">
        <f ca="1">F14524</f>
        <v>0</v>
      </c>
      <c r="G14509" s="37"/>
    </row>
    <row r="14510" spans="1:7" ht="39.84" thickBot="1" customHeight="1">
      <c r="A14510" s="26"/>
      <c r="B14510" s="26"/>
      <c r="C14510" s="26"/>
      <c r="D14510" s="25" t="s">
        <v>45945</v>
      </c>
      <c r="E14510" s="25"/>
      <c r="F14510" s="25"/>
      <c r="G14510" s="25"/>
    </row>
    <row r="14511" spans="1:7" ht="30.60" thickBot="1" customHeight="1">
      <c r="A14511" s="24" t="s">
        <v>45946</v>
      </c>
      <c r="B14511" s="24" t="s">
        <v>45947</v>
      </c>
      <c r="C14511" s="24" t="s">
        <v>45948</v>
      </c>
      <c r="D14511" s="25" t="s">
        <v>45949</v>
      </c>
      <c r="E14511" s="28">
        <v>1.00000</v>
      </c>
      <c r="F14511" s="29">
        <f ca="1">ROUND(7.890,3)</f>
        <v>0</v>
      </c>
      <c r="G14511" s="27">
        <f ca="1">ROUND(E14511*F14511,2)</f>
        <v>0</v>
      </c>
    </row>
    <row r="14512" spans="1:7" ht="21.36" thickBot="1" customHeight="1">
      <c r="A14512" s="24" t="s">
        <v>45950</v>
      </c>
      <c r="B14512" s="24" t="s">
        <v>45951</v>
      </c>
      <c r="C14512" s="24" t="s">
        <v>45952</v>
      </c>
      <c r="D14512" s="25" t="s">
        <v>45953</v>
      </c>
      <c r="E14512" s="28">
        <v>0.50000</v>
      </c>
      <c r="F14512" s="29">
        <f ca="1">ROUND(10.180,3)</f>
        <v>0</v>
      </c>
      <c r="G14512" s="27">
        <f ca="1">ROUND(E14512*F14512,2)</f>
        <v>0</v>
      </c>
    </row>
    <row r="14513" spans="1:7" ht="30.60" thickBot="1" customHeight="1">
      <c r="A14513" s="24" t="s">
        <v>45954</v>
      </c>
      <c r="B14513" s="24" t="s">
        <v>45955</v>
      </c>
      <c r="C14513" s="24" t="s">
        <v>45956</v>
      </c>
      <c r="D14513" s="25" t="s">
        <v>45957</v>
      </c>
      <c r="E14513" s="28">
        <v>0.02100</v>
      </c>
      <c r="F14513" s="29">
        <f ca="1">ROUND(27.500,3)</f>
        <v>0</v>
      </c>
      <c r="G14513" s="27">
        <f ca="1">ROUND(E14513*F14513,2)</f>
        <v>0</v>
      </c>
    </row>
    <row r="14514" spans="1:7" ht="21.36" thickBot="1" customHeight="1">
      <c r="A14514" s="24" t="s">
        <v>45958</v>
      </c>
      <c r="B14514" s="24" t="s">
        <v>45959</v>
      </c>
      <c r="C14514" s="24" t="s">
        <v>45960</v>
      </c>
      <c r="D14514" s="25" t="s">
        <v>45961</v>
      </c>
      <c r="E14514" s="28">
        <v>0.40000</v>
      </c>
      <c r="F14514" s="29">
        <f ca="1">ROUND(1.050,3)</f>
        <v>0</v>
      </c>
      <c r="G14514" s="27">
        <f ca="1">ROUND(E14514*F14514,2)</f>
        <v>0</v>
      </c>
    </row>
    <row r="14515" spans="1:7" ht="30.60" thickBot="1" customHeight="1">
      <c r="A14515" s="24" t="s">
        <v>45962</v>
      </c>
      <c r="B14515" s="24" t="s">
        <v>45963</v>
      </c>
      <c r="C14515" s="24" t="s">
        <v>45964</v>
      </c>
      <c r="D14515" s="25" t="s">
        <v>45965</v>
      </c>
      <c r="E14515" s="28">
        <v>0.50000</v>
      </c>
      <c r="F14515" s="29">
        <f ca="1">ROUND(1.760,3)</f>
        <v>0</v>
      </c>
      <c r="G14515" s="27">
        <f ca="1">ROUND(E14515*F14515,2)</f>
        <v>0</v>
      </c>
    </row>
    <row r="14516" spans="1:7" ht="21.36" thickBot="1" customHeight="1">
      <c r="A14516" s="24" t="s">
        <v>45966</v>
      </c>
      <c r="B14516" s="24" t="s">
        <v>45967</v>
      </c>
      <c r="C14516" s="24" t="s">
        <v>45968</v>
      </c>
      <c r="D14516" s="25" t="s">
        <v>45969</v>
      </c>
      <c r="E14516" s="28">
        <v>0.02444</v>
      </c>
      <c r="F14516" s="29">
        <f ca="1">ROUND(1.320,3)</f>
        <v>0</v>
      </c>
      <c r="G14516" s="27">
        <f ca="1">ROUND(E14516*F14516,2)</f>
        <v>0</v>
      </c>
    </row>
    <row r="14517" spans="1:7" ht="21.36" thickBot="1" customHeight="1">
      <c r="A14517" s="24" t="s">
        <v>45970</v>
      </c>
      <c r="B14517" s="24" t="s">
        <v>45971</v>
      </c>
      <c r="C14517" s="24" t="s">
        <v>45972</v>
      </c>
      <c r="D14517" s="25" t="s">
        <v>45973</v>
      </c>
      <c r="E14517" s="28">
        <v>0.20000</v>
      </c>
      <c r="F14517" s="29">
        <f ca="1">ROUND(11.500,3)</f>
        <v>0</v>
      </c>
      <c r="G14517" s="27">
        <f ca="1">ROUND(E14517*F14517,2)</f>
        <v>0</v>
      </c>
    </row>
    <row r="14518" spans="1:7" ht="21.36" thickBot="1" customHeight="1">
      <c r="A14518" s="24" t="s">
        <v>45974</v>
      </c>
      <c r="B14518" s="24" t="s">
        <v>45975</v>
      </c>
      <c r="C14518" s="24" t="s">
        <v>45976</v>
      </c>
      <c r="D14518" s="25" t="s">
        <v>45977</v>
      </c>
      <c r="E14518" s="28">
        <v>0.32000</v>
      </c>
      <c r="F14518" s="29">
        <f ca="1">F14522</f>
        <v>0</v>
      </c>
      <c r="G14518" s="27">
        <f ca="1">ROUND(E14518*F14518,2)</f>
        <v>0</v>
      </c>
    </row>
    <row r="14519" spans="1:7" ht="24.36" thickBot="1" customHeight="1">
      <c r="A14519" s="24" t="s">
        <v>45978</v>
      </c>
      <c r="B14519" s="24" t="s">
        <v>45979</v>
      </c>
      <c r="C14519" s="24" t="s">
        <v>45980</v>
      </c>
      <c r="D14519" s="25" t="s">
        <v>45981</v>
      </c>
      <c r="E14519" s="28">
        <v>1.00000</v>
      </c>
      <c r="F14519" s="29">
        <f ca="1">ROUND(21.000,3)</f>
        <v>0</v>
      </c>
      <c r="G14519" s="27">
        <f ca="1">ROUND(E14519*F14519,2)</f>
        <v>0</v>
      </c>
    </row>
    <row r="14520" spans="1:7" ht="24.36" thickBot="1" customHeight="1">
      <c r="A14520" s="24" t="s">
        <v>45982</v>
      </c>
      <c r="B14520" s="24" t="s">
        <v>45983</v>
      </c>
      <c r="C14520" s="24" t="s">
        <v>45984</v>
      </c>
      <c r="D14520" s="25" t="s">
        <v>45985</v>
      </c>
      <c r="E14520" s="28">
        <v>1.00000</v>
      </c>
      <c r="F14520" s="29">
        <f ca="1">ROUND(19.000,3)</f>
        <v>0</v>
      </c>
      <c r="G14520" s="27">
        <f ca="1">ROUND(E14520*F14520,2)</f>
        <v>0</v>
      </c>
    </row>
    <row r="14521" spans="1:7" ht="24.36" thickBot="1" customHeight="1">
      <c r="A14521" s="24" t="s">
        <v>45986</v>
      </c>
      <c r="B14521" s="24" t="s">
        <v>45987</v>
      </c>
      <c r="C14521" s="24" t="s">
        <v>45988</v>
      </c>
      <c r="D14521" s="25" t="s">
        <v>45989</v>
      </c>
      <c r="E14521" s="28">
        <v>0.20000</v>
      </c>
      <c r="F14521" s="29">
        <f ca="1">ROUND(19.000,3)</f>
        <v>0</v>
      </c>
      <c r="G14521" s="27">
        <f ca="1">ROUND(E14521*F14521,2)</f>
        <v>0</v>
      </c>
    </row>
    <row r="14522" spans="1:7" ht="15.12" thickBot="1" customHeight="1">
      <c r="A14522" s="26"/>
      <c r="B14522" s="26"/>
      <c r="C14522" s="26"/>
      <c r="D14522" s="24" t="s">
        <v>45990</v>
      </c>
      <c r="E14522" s="28">
        <v>0.32000</v>
      </c>
      <c r="F14522" s="29">
        <f ca="1">ROUND((G14519+G14520+G14521),3)</f>
        <v>0</v>
      </c>
      <c r="G14522" s="27">
        <f ca="1">ROUND(E14522*F14522,2)</f>
        <v>0</v>
      </c>
    </row>
    <row r="14523" spans="1:7" ht="15.12" thickBot="1" customHeight="1">
      <c r="A14523" s="24" t="s">
        <v>45991</v>
      </c>
      <c r="B14523" s="24"/>
      <c r="C14523" s="24" t="s">
        <v>45992</v>
      </c>
      <c r="D14523" s="25" t="s">
        <v>45993</v>
      </c>
      <c r="E14523" s="28">
        <v>3.00000</v>
      </c>
      <c r="F14523" s="29">
        <f ca="1">ROUND(14.020,3)</f>
        <v>0</v>
      </c>
      <c r="G14523" s="27">
        <f ca="1">ROUND((E14523*F14523)/100,2)</f>
        <v>0</v>
      </c>
    </row>
    <row r="14524" spans="1:7" ht="15.48" thickBot="1" customHeight="1">
      <c r="A14524" s="30"/>
      <c r="B14524" s="30"/>
      <c r="C14524" s="30"/>
      <c r="D14524" s="31" t="s">
        <v>45994</v>
      </c>
      <c r="E14524" s="30"/>
      <c r="F14524" s="33">
        <f ca="1">ROUND((G14511+G14512+G14513+G14514+G14515+G14516+G14517+G14518+G14523)*(1+G2/100),2)</f>
        <v>0</v>
      </c>
      <c r="G14524" s="30"/>
    </row>
    <row r="14525" spans="1:7" ht="67.56" thickBot="1" customHeight="1">
      <c r="A14525" s="34" t="s">
        <v>45995</v>
      </c>
      <c r="B14525" s="35" t="s">
        <v>45996</v>
      </c>
      <c r="C14525" s="35" t="s">
        <v>45997</v>
      </c>
      <c r="D14525" s="36" t="s">
        <v>45998</v>
      </c>
      <c r="E14525" s="37"/>
      <c r="F14525" s="38">
        <f ca="1">F14539</f>
        <v>0</v>
      </c>
      <c r="G14525" s="37"/>
    </row>
    <row r="14526" spans="1:7" ht="39.84" thickBot="1" customHeight="1">
      <c r="A14526" s="26"/>
      <c r="B14526" s="26"/>
      <c r="C14526" s="26"/>
      <c r="D14526" s="25" t="s">
        <v>45999</v>
      </c>
      <c r="E14526" s="25"/>
      <c r="F14526" s="25"/>
      <c r="G14526" s="25"/>
    </row>
    <row r="14527" spans="1:7" ht="30.60" thickBot="1" customHeight="1">
      <c r="A14527" s="24" t="s">
        <v>46000</v>
      </c>
      <c r="B14527" s="24" t="s">
        <v>46001</v>
      </c>
      <c r="C14527" s="24" t="s">
        <v>46002</v>
      </c>
      <c r="D14527" s="25" t="s">
        <v>46003</v>
      </c>
      <c r="E14527" s="28">
        <v>1.32300</v>
      </c>
      <c r="F14527" s="29">
        <f ca="1">ROUND(6.150,3)</f>
        <v>0</v>
      </c>
      <c r="G14527" s="27">
        <f ca="1">ROUND(E14527*F14527,2)</f>
        <v>0</v>
      </c>
    </row>
    <row r="14528" spans="1:7" ht="30.60" thickBot="1" customHeight="1">
      <c r="A14528" s="24" t="s">
        <v>46004</v>
      </c>
      <c r="B14528" s="24" t="s">
        <v>46005</v>
      </c>
      <c r="C14528" s="24" t="s">
        <v>46006</v>
      </c>
      <c r="D14528" s="25" t="s">
        <v>46007</v>
      </c>
      <c r="E14528" s="28">
        <v>0.02100</v>
      </c>
      <c r="F14528" s="29">
        <f ca="1">ROUND(27.500,3)</f>
        <v>0</v>
      </c>
      <c r="G14528" s="27">
        <f ca="1">ROUND(E14528*F14528,2)</f>
        <v>0</v>
      </c>
    </row>
    <row r="14529" spans="1:7" ht="21.36" thickBot="1" customHeight="1">
      <c r="A14529" s="24" t="s">
        <v>46008</v>
      </c>
      <c r="B14529" s="24" t="s">
        <v>46009</v>
      </c>
      <c r="C14529" s="24" t="s">
        <v>46010</v>
      </c>
      <c r="D14529" s="25" t="s">
        <v>46011</v>
      </c>
      <c r="E14529" s="28">
        <v>0.40000</v>
      </c>
      <c r="F14529" s="29">
        <f ca="1">ROUND(1.050,3)</f>
        <v>0</v>
      </c>
      <c r="G14529" s="27">
        <f ca="1">ROUND(E14529*F14529,2)</f>
        <v>0</v>
      </c>
    </row>
    <row r="14530" spans="1:7" ht="30.60" thickBot="1" customHeight="1">
      <c r="A14530" s="24" t="s">
        <v>46012</v>
      </c>
      <c r="B14530" s="24" t="s">
        <v>46013</v>
      </c>
      <c r="C14530" s="24" t="s">
        <v>46014</v>
      </c>
      <c r="D14530" s="25" t="s">
        <v>46015</v>
      </c>
      <c r="E14530" s="28">
        <v>0.50000</v>
      </c>
      <c r="F14530" s="29">
        <f ca="1">ROUND(1.760,3)</f>
        <v>0</v>
      </c>
      <c r="G14530" s="27">
        <f ca="1">ROUND(E14530*F14530,2)</f>
        <v>0</v>
      </c>
    </row>
    <row r="14531" spans="1:7" ht="21.36" thickBot="1" customHeight="1">
      <c r="A14531" s="24" t="s">
        <v>46016</v>
      </c>
      <c r="B14531" s="24" t="s">
        <v>46017</v>
      </c>
      <c r="C14531" s="24" t="s">
        <v>46018</v>
      </c>
      <c r="D14531" s="25" t="s">
        <v>46019</v>
      </c>
      <c r="E14531" s="28">
        <v>0.02444</v>
      </c>
      <c r="F14531" s="29">
        <f ca="1">ROUND(1.320,3)</f>
        <v>0</v>
      </c>
      <c r="G14531" s="27">
        <f ca="1">ROUND(E14531*F14531,2)</f>
        <v>0</v>
      </c>
    </row>
    <row r="14532" spans="1:7" ht="21.36" thickBot="1" customHeight="1">
      <c r="A14532" s="24" t="s">
        <v>46020</v>
      </c>
      <c r="B14532" s="24" t="s">
        <v>46021</v>
      </c>
      <c r="C14532" s="24" t="s">
        <v>46022</v>
      </c>
      <c r="D14532" s="25" t="s">
        <v>46023</v>
      </c>
      <c r="E14532" s="28">
        <v>0.20000</v>
      </c>
      <c r="F14532" s="29">
        <f ca="1">ROUND(11.500,3)</f>
        <v>0</v>
      </c>
      <c r="G14532" s="27">
        <f ca="1">ROUND(E14532*F14532,2)</f>
        <v>0</v>
      </c>
    </row>
    <row r="14533" spans="1:7" ht="21.36" thickBot="1" customHeight="1">
      <c r="A14533" s="24" t="s">
        <v>46024</v>
      </c>
      <c r="B14533" s="24" t="s">
        <v>46025</v>
      </c>
      <c r="C14533" s="24" t="s">
        <v>46026</v>
      </c>
      <c r="D14533" s="25" t="s">
        <v>46027</v>
      </c>
      <c r="E14533" s="28">
        <v>0.40000</v>
      </c>
      <c r="F14533" s="29">
        <f ca="1">F14537</f>
        <v>0</v>
      </c>
      <c r="G14533" s="27">
        <f ca="1">ROUND(E14533*F14533,2)</f>
        <v>0</v>
      </c>
    </row>
    <row r="14534" spans="1:7" ht="24.36" thickBot="1" customHeight="1">
      <c r="A14534" s="24" t="s">
        <v>46028</v>
      </c>
      <c r="B14534" s="24" t="s">
        <v>46029</v>
      </c>
      <c r="C14534" s="24" t="s">
        <v>46030</v>
      </c>
      <c r="D14534" s="25" t="s">
        <v>46031</v>
      </c>
      <c r="E14534" s="28">
        <v>1.00000</v>
      </c>
      <c r="F14534" s="29">
        <f ca="1">ROUND(21.000,3)</f>
        <v>0</v>
      </c>
      <c r="G14534" s="27">
        <f ca="1">ROUND(E14534*F14534,2)</f>
        <v>0</v>
      </c>
    </row>
    <row r="14535" spans="1:7" ht="24.36" thickBot="1" customHeight="1">
      <c r="A14535" s="24" t="s">
        <v>46032</v>
      </c>
      <c r="B14535" s="24" t="s">
        <v>46033</v>
      </c>
      <c r="C14535" s="24" t="s">
        <v>46034</v>
      </c>
      <c r="D14535" s="25" t="s">
        <v>46035</v>
      </c>
      <c r="E14535" s="28">
        <v>1.00000</v>
      </c>
      <c r="F14535" s="29">
        <f ca="1">ROUND(19.000,3)</f>
        <v>0</v>
      </c>
      <c r="G14535" s="27">
        <f ca="1">ROUND(E14535*F14535,2)</f>
        <v>0</v>
      </c>
    </row>
    <row r="14536" spans="1:7" ht="24.36" thickBot="1" customHeight="1">
      <c r="A14536" s="24" t="s">
        <v>46036</v>
      </c>
      <c r="B14536" s="24" t="s">
        <v>46037</v>
      </c>
      <c r="C14536" s="24" t="s">
        <v>46038</v>
      </c>
      <c r="D14536" s="25" t="s">
        <v>46039</v>
      </c>
      <c r="E14536" s="28">
        <v>0.20000</v>
      </c>
      <c r="F14536" s="29">
        <f ca="1">ROUND(19.000,3)</f>
        <v>0</v>
      </c>
      <c r="G14536" s="27">
        <f ca="1">ROUND(E14536*F14536,2)</f>
        <v>0</v>
      </c>
    </row>
    <row r="14537" spans="1:7" ht="15.12" thickBot="1" customHeight="1">
      <c r="A14537" s="26"/>
      <c r="B14537" s="26"/>
      <c r="C14537" s="26"/>
      <c r="D14537" s="24" t="s">
        <v>46040</v>
      </c>
      <c r="E14537" s="28">
        <v>0.40000</v>
      </c>
      <c r="F14537" s="29">
        <f ca="1">ROUND((G14534+G14535+G14536),3)</f>
        <v>0</v>
      </c>
      <c r="G14537" s="27">
        <f ca="1">ROUND(E14537*F14537,2)</f>
        <v>0</v>
      </c>
    </row>
    <row r="14538" spans="1:7" ht="15.12" thickBot="1" customHeight="1">
      <c r="A14538" s="24" t="s">
        <v>46041</v>
      </c>
      <c r="B14538" s="24"/>
      <c r="C14538" s="24" t="s">
        <v>46042</v>
      </c>
      <c r="D14538" s="25" t="s">
        <v>46043</v>
      </c>
      <c r="E14538" s="28">
        <v>3.00000</v>
      </c>
      <c r="F14538" s="29">
        <f ca="1">ROUND(17.520,3)</f>
        <v>0</v>
      </c>
      <c r="G14538" s="27">
        <f ca="1">ROUND((E14538*F14538)/100,2)</f>
        <v>0</v>
      </c>
    </row>
    <row r="14539" spans="1:7" ht="15.48" thickBot="1" customHeight="1">
      <c r="A14539" s="30"/>
      <c r="B14539" s="30"/>
      <c r="C14539" s="30"/>
      <c r="D14539" s="31" t="s">
        <v>46044</v>
      </c>
      <c r="E14539" s="30"/>
      <c r="F14539" s="33">
        <f ca="1">ROUND((G14527+G14528+G14529+G14530+G14531+G14532+G14533+G14538)*(1+G2/100),2)</f>
        <v>0</v>
      </c>
      <c r="G14539" s="30"/>
    </row>
    <row r="14540" spans="1:7" ht="67.56" thickBot="1" customHeight="1">
      <c r="A14540" s="34" t="s">
        <v>46045</v>
      </c>
      <c r="B14540" s="35" t="s">
        <v>46046</v>
      </c>
      <c r="C14540" s="35" t="s">
        <v>46047</v>
      </c>
      <c r="D14540" s="36" t="s">
        <v>46048</v>
      </c>
      <c r="E14540" s="37"/>
      <c r="F14540" s="38">
        <f ca="1">F14554</f>
        <v>0</v>
      </c>
      <c r="G14540" s="37"/>
    </row>
    <row r="14541" spans="1:7" ht="39.84" thickBot="1" customHeight="1">
      <c r="A14541" s="26"/>
      <c r="B14541" s="26"/>
      <c r="C14541" s="26"/>
      <c r="D14541" s="25" t="s">
        <v>46049</v>
      </c>
      <c r="E14541" s="25"/>
      <c r="F14541" s="25"/>
      <c r="G14541" s="25"/>
    </row>
    <row r="14542" spans="1:7" ht="30.60" thickBot="1" customHeight="1">
      <c r="A14542" s="24" t="s">
        <v>46050</v>
      </c>
      <c r="B14542" s="24" t="s">
        <v>46051</v>
      </c>
      <c r="C14542" s="24" t="s">
        <v>46052</v>
      </c>
      <c r="D14542" s="25" t="s">
        <v>46053</v>
      </c>
      <c r="E14542" s="28">
        <v>1.32300</v>
      </c>
      <c r="F14542" s="29">
        <f ca="1">ROUND(6.150,3)</f>
        <v>0</v>
      </c>
      <c r="G14542" s="27">
        <f ca="1">ROUND(E14542*F14542,2)</f>
        <v>0</v>
      </c>
    </row>
    <row r="14543" spans="1:7" ht="30.60" thickBot="1" customHeight="1">
      <c r="A14543" s="24" t="s">
        <v>46054</v>
      </c>
      <c r="B14543" s="24" t="s">
        <v>46055</v>
      </c>
      <c r="C14543" s="24" t="s">
        <v>46056</v>
      </c>
      <c r="D14543" s="25" t="s">
        <v>46057</v>
      </c>
      <c r="E14543" s="28">
        <v>0.02100</v>
      </c>
      <c r="F14543" s="29">
        <f ca="1">ROUND(27.500,3)</f>
        <v>0</v>
      </c>
      <c r="G14543" s="27">
        <f ca="1">ROUND(E14543*F14543,2)</f>
        <v>0</v>
      </c>
    </row>
    <row r="14544" spans="1:7" ht="21.36" thickBot="1" customHeight="1">
      <c r="A14544" s="24" t="s">
        <v>46058</v>
      </c>
      <c r="B14544" s="24" t="s">
        <v>46059</v>
      </c>
      <c r="C14544" s="24" t="s">
        <v>46060</v>
      </c>
      <c r="D14544" s="25" t="s">
        <v>46061</v>
      </c>
      <c r="E14544" s="28">
        <v>0.40000</v>
      </c>
      <c r="F14544" s="29">
        <f ca="1">ROUND(1.050,3)</f>
        <v>0</v>
      </c>
      <c r="G14544" s="27">
        <f ca="1">ROUND(E14544*F14544,2)</f>
        <v>0</v>
      </c>
    </row>
    <row r="14545" spans="1:7" ht="30.60" thickBot="1" customHeight="1">
      <c r="A14545" s="24" t="s">
        <v>46062</v>
      </c>
      <c r="B14545" s="24" t="s">
        <v>46063</v>
      </c>
      <c r="C14545" s="24" t="s">
        <v>46064</v>
      </c>
      <c r="D14545" s="25" t="s">
        <v>46065</v>
      </c>
      <c r="E14545" s="28">
        <v>0.50000</v>
      </c>
      <c r="F14545" s="29">
        <f ca="1">ROUND(1.760,3)</f>
        <v>0</v>
      </c>
      <c r="G14545" s="27">
        <f ca="1">ROUND(E14545*F14545,2)</f>
        <v>0</v>
      </c>
    </row>
    <row r="14546" spans="1:7" ht="21.36" thickBot="1" customHeight="1">
      <c r="A14546" s="24" t="s">
        <v>46066</v>
      </c>
      <c r="B14546" s="24" t="s">
        <v>46067</v>
      </c>
      <c r="C14546" s="24" t="s">
        <v>46068</v>
      </c>
      <c r="D14546" s="25" t="s">
        <v>46069</v>
      </c>
      <c r="E14546" s="28">
        <v>0.02444</v>
      </c>
      <c r="F14546" s="29">
        <f ca="1">ROUND(1.320,3)</f>
        <v>0</v>
      </c>
      <c r="G14546" s="27">
        <f ca="1">ROUND(E14546*F14546,2)</f>
        <v>0</v>
      </c>
    </row>
    <row r="14547" spans="1:7" ht="21.36" thickBot="1" customHeight="1">
      <c r="A14547" s="24" t="s">
        <v>46070</v>
      </c>
      <c r="B14547" s="24" t="s">
        <v>46071</v>
      </c>
      <c r="C14547" s="24" t="s">
        <v>46072</v>
      </c>
      <c r="D14547" s="25" t="s">
        <v>46073</v>
      </c>
      <c r="E14547" s="28">
        <v>0.20000</v>
      </c>
      <c r="F14547" s="29">
        <f ca="1">ROUND(11.500,3)</f>
        <v>0</v>
      </c>
      <c r="G14547" s="27">
        <f ca="1">ROUND(E14547*F14547,2)</f>
        <v>0</v>
      </c>
    </row>
    <row r="14548" spans="1:7" ht="21.36" thickBot="1" customHeight="1">
      <c r="A14548" s="24" t="s">
        <v>46074</v>
      </c>
      <c r="B14548" s="24" t="s">
        <v>46075</v>
      </c>
      <c r="C14548" s="24" t="s">
        <v>46076</v>
      </c>
      <c r="D14548" s="25" t="s">
        <v>46077</v>
      </c>
      <c r="E14548" s="28">
        <v>0.33333</v>
      </c>
      <c r="F14548" s="29">
        <f ca="1">F14552</f>
        <v>0</v>
      </c>
      <c r="G14548" s="27">
        <f ca="1">ROUND(E14548*F14548,2)</f>
        <v>0</v>
      </c>
    </row>
    <row r="14549" spans="1:7" ht="24.36" thickBot="1" customHeight="1">
      <c r="A14549" s="24" t="s">
        <v>46078</v>
      </c>
      <c r="B14549" s="24" t="s">
        <v>46079</v>
      </c>
      <c r="C14549" s="24" t="s">
        <v>46080</v>
      </c>
      <c r="D14549" s="25" t="s">
        <v>46081</v>
      </c>
      <c r="E14549" s="28">
        <v>1.00000</v>
      </c>
      <c r="F14549" s="29">
        <f ca="1">ROUND(21.000,3)</f>
        <v>0</v>
      </c>
      <c r="G14549" s="27">
        <f ca="1">ROUND(E14549*F14549,2)</f>
        <v>0</v>
      </c>
    </row>
    <row r="14550" spans="1:7" ht="24.36" thickBot="1" customHeight="1">
      <c r="A14550" s="24" t="s">
        <v>46082</v>
      </c>
      <c r="B14550" s="24" t="s">
        <v>46083</v>
      </c>
      <c r="C14550" s="24" t="s">
        <v>46084</v>
      </c>
      <c r="D14550" s="25" t="s">
        <v>46085</v>
      </c>
      <c r="E14550" s="28">
        <v>1.00000</v>
      </c>
      <c r="F14550" s="29">
        <f ca="1">ROUND(19.000,3)</f>
        <v>0</v>
      </c>
      <c r="G14550" s="27">
        <f ca="1">ROUND(E14550*F14550,2)</f>
        <v>0</v>
      </c>
    </row>
    <row r="14551" spans="1:7" ht="24.36" thickBot="1" customHeight="1">
      <c r="A14551" s="24" t="s">
        <v>46086</v>
      </c>
      <c r="B14551" s="24" t="s">
        <v>46087</v>
      </c>
      <c r="C14551" s="24" t="s">
        <v>46088</v>
      </c>
      <c r="D14551" s="25" t="s">
        <v>46089</v>
      </c>
      <c r="E14551" s="28">
        <v>0.20000</v>
      </c>
      <c r="F14551" s="29">
        <f ca="1">ROUND(19.000,3)</f>
        <v>0</v>
      </c>
      <c r="G14551" s="27">
        <f ca="1">ROUND(E14551*F14551,2)</f>
        <v>0</v>
      </c>
    </row>
    <row r="14552" spans="1:7" ht="15.12" thickBot="1" customHeight="1">
      <c r="A14552" s="26"/>
      <c r="B14552" s="26"/>
      <c r="C14552" s="26"/>
      <c r="D14552" s="24" t="s">
        <v>46090</v>
      </c>
      <c r="E14552" s="28">
        <v>0.33333</v>
      </c>
      <c r="F14552" s="29">
        <f ca="1">ROUND((G14549+G14550+G14551),3)</f>
        <v>0</v>
      </c>
      <c r="G14552" s="27">
        <f ca="1">ROUND(E14552*F14552,2)</f>
        <v>0</v>
      </c>
    </row>
    <row r="14553" spans="1:7" ht="15.12" thickBot="1" customHeight="1">
      <c r="A14553" s="24" t="s">
        <v>46091</v>
      </c>
      <c r="B14553" s="24"/>
      <c r="C14553" s="24" t="s">
        <v>46092</v>
      </c>
      <c r="D14553" s="25" t="s">
        <v>46093</v>
      </c>
      <c r="E14553" s="28">
        <v>3.00000</v>
      </c>
      <c r="F14553" s="29">
        <f ca="1">ROUND(14.600,3)</f>
        <v>0</v>
      </c>
      <c r="G14553" s="27">
        <f ca="1">ROUND((E14553*F14553)/100,2)</f>
        <v>0</v>
      </c>
    </row>
    <row r="14554" spans="1:7" ht="15.48" thickBot="1" customHeight="1">
      <c r="A14554" s="30"/>
      <c r="B14554" s="30"/>
      <c r="C14554" s="30"/>
      <c r="D14554" s="31" t="s">
        <v>46094</v>
      </c>
      <c r="E14554" s="30"/>
      <c r="F14554" s="33">
        <f ca="1">ROUND((G14542+G14543+G14544+G14545+G14546+G14547+G14548+G14553)*(1+G2/100),2)</f>
        <v>0</v>
      </c>
      <c r="G14554" s="30"/>
    </row>
    <row r="14555" spans="1:7" ht="67.56" thickBot="1" customHeight="1">
      <c r="A14555" s="34" t="s">
        <v>46095</v>
      </c>
      <c r="B14555" s="35" t="s">
        <v>46096</v>
      </c>
      <c r="C14555" s="35" t="s">
        <v>46097</v>
      </c>
      <c r="D14555" s="36" t="s">
        <v>46098</v>
      </c>
      <c r="E14555" s="37"/>
      <c r="F14555" s="38">
        <f ca="1">F14570</f>
        <v>0</v>
      </c>
      <c r="G14555" s="37"/>
    </row>
    <row r="14556" spans="1:7" ht="30.60" thickBot="1" customHeight="1">
      <c r="A14556" s="26"/>
      <c r="B14556" s="26"/>
      <c r="C14556" s="26"/>
      <c r="D14556" s="25" t="s">
        <v>46099</v>
      </c>
      <c r="E14556" s="25"/>
      <c r="F14556" s="25"/>
      <c r="G14556" s="25"/>
    </row>
    <row r="14557" spans="1:7" ht="30.60" thickBot="1" customHeight="1">
      <c r="A14557" s="24" t="s">
        <v>46100</v>
      </c>
      <c r="B14557" s="24" t="s">
        <v>46101</v>
      </c>
      <c r="C14557" s="24" t="s">
        <v>46102</v>
      </c>
      <c r="D14557" s="25" t="s">
        <v>46103</v>
      </c>
      <c r="E14557" s="28">
        <v>0.06000</v>
      </c>
      <c r="F14557" s="29">
        <f ca="1">ROUND(29.170,3)</f>
        <v>0</v>
      </c>
      <c r="G14557" s="27">
        <f ca="1">ROUND(E14557*F14557,2)</f>
        <v>0</v>
      </c>
    </row>
    <row r="14558" spans="1:7" ht="30.60" thickBot="1" customHeight="1">
      <c r="A14558" s="24" t="s">
        <v>46104</v>
      </c>
      <c r="B14558" s="24" t="s">
        <v>46105</v>
      </c>
      <c r="C14558" s="24" t="s">
        <v>46106</v>
      </c>
      <c r="D14558" s="25" t="s">
        <v>46107</v>
      </c>
      <c r="E14558" s="28">
        <v>1.00000</v>
      </c>
      <c r="F14558" s="29">
        <f ca="1">ROUND(11.740,3)</f>
        <v>0</v>
      </c>
      <c r="G14558" s="27">
        <f ca="1">ROUND(E14558*F14558,2)</f>
        <v>0</v>
      </c>
    </row>
    <row r="14559" spans="1:7" ht="30.60" thickBot="1" customHeight="1">
      <c r="A14559" s="24" t="s">
        <v>46108</v>
      </c>
      <c r="B14559" s="24" t="s">
        <v>46109</v>
      </c>
      <c r="C14559" s="24" t="s">
        <v>46110</v>
      </c>
      <c r="D14559" s="25" t="s">
        <v>46111</v>
      </c>
      <c r="E14559" s="28">
        <v>0.50000</v>
      </c>
      <c r="F14559" s="29">
        <f ca="1">ROUND(6.720,3)</f>
        <v>0</v>
      </c>
      <c r="G14559" s="27">
        <f ca="1">ROUND(E14559*F14559,2)</f>
        <v>0</v>
      </c>
    </row>
    <row r="14560" spans="1:7" ht="30.60" thickBot="1" customHeight="1">
      <c r="A14560" s="24" t="s">
        <v>46112</v>
      </c>
      <c r="B14560" s="24" t="s">
        <v>46113</v>
      </c>
      <c r="C14560" s="24" t="s">
        <v>46114</v>
      </c>
      <c r="D14560" s="25" t="s">
        <v>46115</v>
      </c>
      <c r="E14560" s="28">
        <v>0.02100</v>
      </c>
      <c r="F14560" s="29">
        <f ca="1">ROUND(27.500,3)</f>
        <v>0</v>
      </c>
      <c r="G14560" s="27">
        <f ca="1">ROUND(E14560*F14560,2)</f>
        <v>0</v>
      </c>
    </row>
    <row r="14561" spans="1:7" ht="21.36" thickBot="1" customHeight="1">
      <c r="A14561" s="24" t="s">
        <v>46116</v>
      </c>
      <c r="B14561" s="24" t="s">
        <v>46117</v>
      </c>
      <c r="C14561" s="24" t="s">
        <v>46118</v>
      </c>
      <c r="D14561" s="25" t="s">
        <v>46119</v>
      </c>
      <c r="E14561" s="28">
        <v>0.40000</v>
      </c>
      <c r="F14561" s="29">
        <f ca="1">ROUND(1.050,3)</f>
        <v>0</v>
      </c>
      <c r="G14561" s="27">
        <f ca="1">ROUND(E14561*F14561,2)</f>
        <v>0</v>
      </c>
    </row>
    <row r="14562" spans="1:7" ht="30.60" thickBot="1" customHeight="1">
      <c r="A14562" s="24" t="s">
        <v>46120</v>
      </c>
      <c r="B14562" s="24" t="s">
        <v>46121</v>
      </c>
      <c r="C14562" s="24" t="s">
        <v>46122</v>
      </c>
      <c r="D14562" s="25" t="s">
        <v>46123</v>
      </c>
      <c r="E14562" s="28">
        <v>0.50000</v>
      </c>
      <c r="F14562" s="29">
        <f ca="1">ROUND(1.760,3)</f>
        <v>0</v>
      </c>
      <c r="G14562" s="27">
        <f ca="1">ROUND(E14562*F14562,2)</f>
        <v>0</v>
      </c>
    </row>
    <row r="14563" spans="1:7" ht="21.36" thickBot="1" customHeight="1">
      <c r="A14563" s="24" t="s">
        <v>46124</v>
      </c>
      <c r="B14563" s="24" t="s">
        <v>46125</v>
      </c>
      <c r="C14563" s="24" t="s">
        <v>46126</v>
      </c>
      <c r="D14563" s="25" t="s">
        <v>46127</v>
      </c>
      <c r="E14563" s="28">
        <v>0.02444</v>
      </c>
      <c r="F14563" s="29">
        <f ca="1">ROUND(1.320,3)</f>
        <v>0</v>
      </c>
      <c r="G14563" s="27">
        <f ca="1">ROUND(E14563*F14563,2)</f>
        <v>0</v>
      </c>
    </row>
    <row r="14564" spans="1:7" ht="21.36" thickBot="1" customHeight="1">
      <c r="A14564" s="24" t="s">
        <v>46128</v>
      </c>
      <c r="B14564" s="24" t="s">
        <v>46129</v>
      </c>
      <c r="C14564" s="24" t="s">
        <v>46130</v>
      </c>
      <c r="D14564" s="25" t="s">
        <v>46131</v>
      </c>
      <c r="E14564" s="28">
        <v>0.80000</v>
      </c>
      <c r="F14564" s="29">
        <f ca="1">F14568</f>
        <v>0</v>
      </c>
      <c r="G14564" s="27">
        <f ca="1">ROUND(E14564*F14564,2)</f>
        <v>0</v>
      </c>
    </row>
    <row r="14565" spans="1:7" ht="24.36" thickBot="1" customHeight="1">
      <c r="A14565" s="24" t="s">
        <v>46132</v>
      </c>
      <c r="B14565" s="24" t="s">
        <v>46133</v>
      </c>
      <c r="C14565" s="24" t="s">
        <v>46134</v>
      </c>
      <c r="D14565" s="25" t="s">
        <v>46135</v>
      </c>
      <c r="E14565" s="28">
        <v>1.00000</v>
      </c>
      <c r="F14565" s="29">
        <f ca="1">ROUND(21.000,3)</f>
        <v>0</v>
      </c>
      <c r="G14565" s="27">
        <f ca="1">ROUND(E14565*F14565,2)</f>
        <v>0</v>
      </c>
    </row>
    <row r="14566" spans="1:7" ht="24.36" thickBot="1" customHeight="1">
      <c r="A14566" s="24" t="s">
        <v>46136</v>
      </c>
      <c r="B14566" s="24" t="s">
        <v>46137</v>
      </c>
      <c r="C14566" s="24" t="s">
        <v>46138</v>
      </c>
      <c r="D14566" s="25" t="s">
        <v>46139</v>
      </c>
      <c r="E14566" s="28">
        <v>1.00000</v>
      </c>
      <c r="F14566" s="29">
        <f ca="1">ROUND(19.000,3)</f>
        <v>0</v>
      </c>
      <c r="G14566" s="27">
        <f ca="1">ROUND(E14566*F14566,2)</f>
        <v>0</v>
      </c>
    </row>
    <row r="14567" spans="1:7" ht="24.36" thickBot="1" customHeight="1">
      <c r="A14567" s="24" t="s">
        <v>46140</v>
      </c>
      <c r="B14567" s="24" t="s">
        <v>46141</v>
      </c>
      <c r="C14567" s="24" t="s">
        <v>46142</v>
      </c>
      <c r="D14567" s="25" t="s">
        <v>46143</v>
      </c>
      <c r="E14567" s="28">
        <v>0.20000</v>
      </c>
      <c r="F14567" s="29">
        <f ca="1">ROUND(19.000,3)</f>
        <v>0</v>
      </c>
      <c r="G14567" s="27">
        <f ca="1">ROUND(E14567*F14567,2)</f>
        <v>0</v>
      </c>
    </row>
    <row r="14568" spans="1:7" ht="15.12" thickBot="1" customHeight="1">
      <c r="A14568" s="26"/>
      <c r="B14568" s="26"/>
      <c r="C14568" s="26"/>
      <c r="D14568" s="24" t="s">
        <v>46144</v>
      </c>
      <c r="E14568" s="28">
        <v>0.80000</v>
      </c>
      <c r="F14568" s="29">
        <f ca="1">ROUND((G14565+G14566+G14567),3)</f>
        <v>0</v>
      </c>
      <c r="G14568" s="27">
        <f ca="1">ROUND(E14568*F14568,2)</f>
        <v>0</v>
      </c>
    </row>
    <row r="14569" spans="1:7" ht="15.12" thickBot="1" customHeight="1">
      <c r="A14569" s="24" t="s">
        <v>46145</v>
      </c>
      <c r="B14569" s="24"/>
      <c r="C14569" s="24" t="s">
        <v>46146</v>
      </c>
      <c r="D14569" s="25" t="s">
        <v>46147</v>
      </c>
      <c r="E14569" s="28">
        <v>5.00000</v>
      </c>
      <c r="F14569" s="29">
        <f ca="1">ROUND(35.040,3)</f>
        <v>0</v>
      </c>
      <c r="G14569" s="27">
        <f ca="1">ROUND((E14569*F14569)/100,2)</f>
        <v>0</v>
      </c>
    </row>
    <row r="14570" spans="1:7" ht="15.48" thickBot="1" customHeight="1">
      <c r="A14570" s="30"/>
      <c r="B14570" s="30"/>
      <c r="C14570" s="30"/>
      <c r="D14570" s="31" t="s">
        <v>46148</v>
      </c>
      <c r="E14570" s="30"/>
      <c r="F14570" s="33">
        <f ca="1">ROUND((G14557+G14558+G14559+G14560+G14561+G14562+G14563+G14564+G14569)*(1+G2/100),2)</f>
        <v>0</v>
      </c>
      <c r="G14570" s="30"/>
    </row>
    <row r="14571" spans="1:7" ht="67.56" thickBot="1" customHeight="1">
      <c r="A14571" s="34" t="s">
        <v>46149</v>
      </c>
      <c r="B14571" s="35" t="s">
        <v>46150</v>
      </c>
      <c r="C14571" s="35" t="s">
        <v>46151</v>
      </c>
      <c r="D14571" s="36" t="s">
        <v>46152</v>
      </c>
      <c r="E14571" s="37"/>
      <c r="F14571" s="38">
        <f ca="1">F14586</f>
        <v>0</v>
      </c>
      <c r="G14571" s="37"/>
    </row>
    <row r="14572" spans="1:7" ht="30.60" thickBot="1" customHeight="1">
      <c r="A14572" s="26"/>
      <c r="B14572" s="26"/>
      <c r="C14572" s="26"/>
      <c r="D14572" s="25" t="s">
        <v>46153</v>
      </c>
      <c r="E14572" s="25"/>
      <c r="F14572" s="25"/>
      <c r="G14572" s="25"/>
    </row>
    <row r="14573" spans="1:7" ht="30.60" thickBot="1" customHeight="1">
      <c r="A14573" s="24" t="s">
        <v>46154</v>
      </c>
      <c r="B14573" s="24" t="s">
        <v>46155</v>
      </c>
      <c r="C14573" s="24" t="s">
        <v>46156</v>
      </c>
      <c r="D14573" s="25" t="s">
        <v>46157</v>
      </c>
      <c r="E14573" s="28">
        <v>0.06000</v>
      </c>
      <c r="F14573" s="29">
        <f ca="1">ROUND(29.170,3)</f>
        <v>0</v>
      </c>
      <c r="G14573" s="27">
        <f ca="1">ROUND(E14573*F14573,2)</f>
        <v>0</v>
      </c>
    </row>
    <row r="14574" spans="1:7" ht="30.60" thickBot="1" customHeight="1">
      <c r="A14574" s="24" t="s">
        <v>46158</v>
      </c>
      <c r="B14574" s="24" t="s">
        <v>46159</v>
      </c>
      <c r="C14574" s="24" t="s">
        <v>46160</v>
      </c>
      <c r="D14574" s="25" t="s">
        <v>46161</v>
      </c>
      <c r="E14574" s="28">
        <v>1.00000</v>
      </c>
      <c r="F14574" s="29">
        <f ca="1">ROUND(11.740,3)</f>
        <v>0</v>
      </c>
      <c r="G14574" s="27">
        <f ca="1">ROUND(E14574*F14574,2)</f>
        <v>0</v>
      </c>
    </row>
    <row r="14575" spans="1:7" ht="30.60" thickBot="1" customHeight="1">
      <c r="A14575" s="24" t="s">
        <v>46162</v>
      </c>
      <c r="B14575" s="24" t="s">
        <v>46163</v>
      </c>
      <c r="C14575" s="24" t="s">
        <v>46164</v>
      </c>
      <c r="D14575" s="25" t="s">
        <v>46165</v>
      </c>
      <c r="E14575" s="28">
        <v>0.50000</v>
      </c>
      <c r="F14575" s="29">
        <f ca="1">ROUND(6.720,3)</f>
        <v>0</v>
      </c>
      <c r="G14575" s="27">
        <f ca="1">ROUND(E14575*F14575,2)</f>
        <v>0</v>
      </c>
    </row>
    <row r="14576" spans="1:7" ht="30.60" thickBot="1" customHeight="1">
      <c r="A14576" s="24" t="s">
        <v>46166</v>
      </c>
      <c r="B14576" s="24" t="s">
        <v>46167</v>
      </c>
      <c r="C14576" s="24" t="s">
        <v>46168</v>
      </c>
      <c r="D14576" s="25" t="s">
        <v>46169</v>
      </c>
      <c r="E14576" s="28">
        <v>0.02100</v>
      </c>
      <c r="F14576" s="29">
        <f ca="1">ROUND(27.500,3)</f>
        <v>0</v>
      </c>
      <c r="G14576" s="27">
        <f ca="1">ROUND(E14576*F14576,2)</f>
        <v>0</v>
      </c>
    </row>
    <row r="14577" spans="1:7" ht="21.36" thickBot="1" customHeight="1">
      <c r="A14577" s="24" t="s">
        <v>46170</v>
      </c>
      <c r="B14577" s="24" t="s">
        <v>46171</v>
      </c>
      <c r="C14577" s="24" t="s">
        <v>46172</v>
      </c>
      <c r="D14577" s="25" t="s">
        <v>46173</v>
      </c>
      <c r="E14577" s="28">
        <v>0.40000</v>
      </c>
      <c r="F14577" s="29">
        <f ca="1">ROUND(1.050,3)</f>
        <v>0</v>
      </c>
      <c r="G14577" s="27">
        <f ca="1">ROUND(E14577*F14577,2)</f>
        <v>0</v>
      </c>
    </row>
    <row r="14578" spans="1:7" ht="30.60" thickBot="1" customHeight="1">
      <c r="A14578" s="24" t="s">
        <v>46174</v>
      </c>
      <c r="B14578" s="24" t="s">
        <v>46175</v>
      </c>
      <c r="C14578" s="24" t="s">
        <v>46176</v>
      </c>
      <c r="D14578" s="25" t="s">
        <v>46177</v>
      </c>
      <c r="E14578" s="28">
        <v>0.50000</v>
      </c>
      <c r="F14578" s="29">
        <f ca="1">ROUND(1.760,3)</f>
        <v>0</v>
      </c>
      <c r="G14578" s="27">
        <f ca="1">ROUND(E14578*F14578,2)</f>
        <v>0</v>
      </c>
    </row>
    <row r="14579" spans="1:7" ht="21.36" thickBot="1" customHeight="1">
      <c r="A14579" s="24" t="s">
        <v>46178</v>
      </c>
      <c r="B14579" s="24" t="s">
        <v>46179</v>
      </c>
      <c r="C14579" s="24" t="s">
        <v>46180</v>
      </c>
      <c r="D14579" s="25" t="s">
        <v>46181</v>
      </c>
      <c r="E14579" s="28">
        <v>0.02444</v>
      </c>
      <c r="F14579" s="29">
        <f ca="1">ROUND(1.320,3)</f>
        <v>0</v>
      </c>
      <c r="G14579" s="27">
        <f ca="1">ROUND(E14579*F14579,2)</f>
        <v>0</v>
      </c>
    </row>
    <row r="14580" spans="1:7" ht="21.36" thickBot="1" customHeight="1">
      <c r="A14580" s="24" t="s">
        <v>46182</v>
      </c>
      <c r="B14580" s="24" t="s">
        <v>46183</v>
      </c>
      <c r="C14580" s="24" t="s">
        <v>46184</v>
      </c>
      <c r="D14580" s="25" t="s">
        <v>46185</v>
      </c>
      <c r="E14580" s="28">
        <v>0.57140</v>
      </c>
      <c r="F14580" s="29">
        <f ca="1">F14584</f>
        <v>0</v>
      </c>
      <c r="G14580" s="27">
        <f ca="1">ROUND(E14580*F14580,2)</f>
        <v>0</v>
      </c>
    </row>
    <row r="14581" spans="1:7" ht="24.36" thickBot="1" customHeight="1">
      <c r="A14581" s="24" t="s">
        <v>46186</v>
      </c>
      <c r="B14581" s="24" t="s">
        <v>46187</v>
      </c>
      <c r="C14581" s="24" t="s">
        <v>46188</v>
      </c>
      <c r="D14581" s="25" t="s">
        <v>46189</v>
      </c>
      <c r="E14581" s="28">
        <v>1.00000</v>
      </c>
      <c r="F14581" s="29">
        <f ca="1">ROUND(21.000,3)</f>
        <v>0</v>
      </c>
      <c r="G14581" s="27">
        <f ca="1">ROUND(E14581*F14581,2)</f>
        <v>0</v>
      </c>
    </row>
    <row r="14582" spans="1:7" ht="24.36" thickBot="1" customHeight="1">
      <c r="A14582" s="24" t="s">
        <v>46190</v>
      </c>
      <c r="B14582" s="24" t="s">
        <v>46191</v>
      </c>
      <c r="C14582" s="24" t="s">
        <v>46192</v>
      </c>
      <c r="D14582" s="25" t="s">
        <v>46193</v>
      </c>
      <c r="E14582" s="28">
        <v>1.00000</v>
      </c>
      <c r="F14582" s="29">
        <f ca="1">ROUND(19.000,3)</f>
        <v>0</v>
      </c>
      <c r="G14582" s="27">
        <f ca="1">ROUND(E14582*F14582,2)</f>
        <v>0</v>
      </c>
    </row>
    <row r="14583" spans="1:7" ht="24.36" thickBot="1" customHeight="1">
      <c r="A14583" s="24" t="s">
        <v>46194</v>
      </c>
      <c r="B14583" s="24" t="s">
        <v>46195</v>
      </c>
      <c r="C14583" s="24" t="s">
        <v>46196</v>
      </c>
      <c r="D14583" s="25" t="s">
        <v>46197</v>
      </c>
      <c r="E14583" s="28">
        <v>0.20000</v>
      </c>
      <c r="F14583" s="29">
        <f ca="1">ROUND(19.000,3)</f>
        <v>0</v>
      </c>
      <c r="G14583" s="27">
        <f ca="1">ROUND(E14583*F14583,2)</f>
        <v>0</v>
      </c>
    </row>
    <row r="14584" spans="1:7" ht="15.12" thickBot="1" customHeight="1">
      <c r="A14584" s="26"/>
      <c r="B14584" s="26"/>
      <c r="C14584" s="26"/>
      <c r="D14584" s="24" t="s">
        <v>46198</v>
      </c>
      <c r="E14584" s="28">
        <v>0.57140</v>
      </c>
      <c r="F14584" s="29">
        <f ca="1">ROUND((G14581+G14582+G14583),3)</f>
        <v>0</v>
      </c>
      <c r="G14584" s="27">
        <f ca="1">ROUND(E14584*F14584,2)</f>
        <v>0</v>
      </c>
    </row>
    <row r="14585" spans="1:7" ht="15.12" thickBot="1" customHeight="1">
      <c r="A14585" s="24" t="s">
        <v>46199</v>
      </c>
      <c r="B14585" s="24"/>
      <c r="C14585" s="24" t="s">
        <v>46200</v>
      </c>
      <c r="D14585" s="25" t="s">
        <v>46201</v>
      </c>
      <c r="E14585" s="28">
        <v>5.00000</v>
      </c>
      <c r="F14585" s="29">
        <f ca="1">ROUND(25.030,3)</f>
        <v>0</v>
      </c>
      <c r="G14585" s="27">
        <f ca="1">ROUND((E14585*F14585)/100,2)</f>
        <v>0</v>
      </c>
    </row>
    <row r="14586" spans="1:7" ht="15.48" thickBot="1" customHeight="1">
      <c r="A14586" s="30"/>
      <c r="B14586" s="30"/>
      <c r="C14586" s="30"/>
      <c r="D14586" s="31" t="s">
        <v>46202</v>
      </c>
      <c r="E14586" s="30"/>
      <c r="F14586" s="33">
        <f ca="1">ROUND((G14573+G14574+G14575+G14576+G14577+G14578+G14579+G14580+G14585)*(1+G2/100),2)</f>
        <v>0</v>
      </c>
      <c r="G14586" s="30"/>
    </row>
    <row r="14587" spans="1:7" ht="58.32" thickBot="1" customHeight="1">
      <c r="A14587" s="34" t="s">
        <v>46203</v>
      </c>
      <c r="B14587" s="35" t="s">
        <v>46204</v>
      </c>
      <c r="C14587" s="35" t="s">
        <v>46205</v>
      </c>
      <c r="D14587" s="36" t="s">
        <v>46206</v>
      </c>
      <c r="E14587" s="37"/>
      <c r="F14587" s="38">
        <f ca="1">F14602</f>
        <v>0</v>
      </c>
      <c r="G14587" s="37"/>
    </row>
    <row r="14588" spans="1:7" ht="30.60" thickBot="1" customHeight="1">
      <c r="A14588" s="26"/>
      <c r="B14588" s="26"/>
      <c r="C14588" s="26"/>
      <c r="D14588" s="25" t="s">
        <v>46207</v>
      </c>
      <c r="E14588" s="25"/>
      <c r="F14588" s="25"/>
      <c r="G14588" s="25"/>
    </row>
    <row r="14589" spans="1:7" ht="30.60" thickBot="1" customHeight="1">
      <c r="A14589" s="24" t="s">
        <v>46208</v>
      </c>
      <c r="B14589" s="24" t="s">
        <v>46209</v>
      </c>
      <c r="C14589" s="24" t="s">
        <v>46210</v>
      </c>
      <c r="D14589" s="25" t="s">
        <v>46211</v>
      </c>
      <c r="E14589" s="28">
        <v>0.06000</v>
      </c>
      <c r="F14589" s="29">
        <f ca="1">ROUND(29.170,3)</f>
        <v>0</v>
      </c>
      <c r="G14589" s="27">
        <f ca="1">ROUND(E14589*F14589,2)</f>
        <v>0</v>
      </c>
    </row>
    <row r="14590" spans="1:7" ht="30.60" thickBot="1" customHeight="1">
      <c r="A14590" s="24" t="s">
        <v>46212</v>
      </c>
      <c r="B14590" s="24" t="s">
        <v>46213</v>
      </c>
      <c r="C14590" s="24" t="s">
        <v>46214</v>
      </c>
      <c r="D14590" s="25" t="s">
        <v>46215</v>
      </c>
      <c r="E14590" s="28">
        <v>1.00000</v>
      </c>
      <c r="F14590" s="29">
        <f ca="1">ROUND(7.890,3)</f>
        <v>0</v>
      </c>
      <c r="G14590" s="27">
        <f ca="1">ROUND(E14590*F14590,2)</f>
        <v>0</v>
      </c>
    </row>
    <row r="14591" spans="1:7" ht="21.36" thickBot="1" customHeight="1">
      <c r="A14591" s="24" t="s">
        <v>46216</v>
      </c>
      <c r="B14591" s="24" t="s">
        <v>46217</v>
      </c>
      <c r="C14591" s="24" t="s">
        <v>46218</v>
      </c>
      <c r="D14591" s="25" t="s">
        <v>46219</v>
      </c>
      <c r="E14591" s="28">
        <v>0.50000</v>
      </c>
      <c r="F14591" s="29">
        <f ca="1">ROUND(6.900,3)</f>
        <v>0</v>
      </c>
      <c r="G14591" s="27">
        <f ca="1">ROUND(E14591*F14591,2)</f>
        <v>0</v>
      </c>
    </row>
    <row r="14592" spans="1:7" ht="30.60" thickBot="1" customHeight="1">
      <c r="A14592" s="24" t="s">
        <v>46220</v>
      </c>
      <c r="B14592" s="24" t="s">
        <v>46221</v>
      </c>
      <c r="C14592" s="24" t="s">
        <v>46222</v>
      </c>
      <c r="D14592" s="25" t="s">
        <v>46223</v>
      </c>
      <c r="E14592" s="28">
        <v>0.02100</v>
      </c>
      <c r="F14592" s="29">
        <f ca="1">ROUND(27.500,3)</f>
        <v>0</v>
      </c>
      <c r="G14592" s="27">
        <f ca="1">ROUND(E14592*F14592,2)</f>
        <v>0</v>
      </c>
    </row>
    <row r="14593" spans="1:7" ht="21.36" thickBot="1" customHeight="1">
      <c r="A14593" s="24" t="s">
        <v>46224</v>
      </c>
      <c r="B14593" s="24" t="s">
        <v>46225</v>
      </c>
      <c r="C14593" s="24" t="s">
        <v>46226</v>
      </c>
      <c r="D14593" s="25" t="s">
        <v>46227</v>
      </c>
      <c r="E14593" s="28">
        <v>0.40000</v>
      </c>
      <c r="F14593" s="29">
        <f ca="1">ROUND(1.050,3)</f>
        <v>0</v>
      </c>
      <c r="G14593" s="27">
        <f ca="1">ROUND(E14593*F14593,2)</f>
        <v>0</v>
      </c>
    </row>
    <row r="14594" spans="1:7" ht="30.60" thickBot="1" customHeight="1">
      <c r="A14594" s="24" t="s">
        <v>46228</v>
      </c>
      <c r="B14594" s="24" t="s">
        <v>46229</v>
      </c>
      <c r="C14594" s="24" t="s">
        <v>46230</v>
      </c>
      <c r="D14594" s="25" t="s">
        <v>46231</v>
      </c>
      <c r="E14594" s="28">
        <v>0.50000</v>
      </c>
      <c r="F14594" s="29">
        <f ca="1">ROUND(1.760,3)</f>
        <v>0</v>
      </c>
      <c r="G14594" s="27">
        <f ca="1">ROUND(E14594*F14594,2)</f>
        <v>0</v>
      </c>
    </row>
    <row r="14595" spans="1:7" ht="21.36" thickBot="1" customHeight="1">
      <c r="A14595" s="24" t="s">
        <v>46232</v>
      </c>
      <c r="B14595" s="24" t="s">
        <v>46233</v>
      </c>
      <c r="C14595" s="24" t="s">
        <v>46234</v>
      </c>
      <c r="D14595" s="25" t="s">
        <v>46235</v>
      </c>
      <c r="E14595" s="28">
        <v>0.02444</v>
      </c>
      <c r="F14595" s="29">
        <f ca="1">ROUND(1.320,3)</f>
        <v>0</v>
      </c>
      <c r="G14595" s="27">
        <f ca="1">ROUND(E14595*F14595,2)</f>
        <v>0</v>
      </c>
    </row>
    <row r="14596" spans="1:7" ht="21.36" thickBot="1" customHeight="1">
      <c r="A14596" s="24" t="s">
        <v>46236</v>
      </c>
      <c r="B14596" s="24" t="s">
        <v>46237</v>
      </c>
      <c r="C14596" s="24" t="s">
        <v>46238</v>
      </c>
      <c r="D14596" s="25" t="s">
        <v>46239</v>
      </c>
      <c r="E14596" s="28">
        <v>0.80000</v>
      </c>
      <c r="F14596" s="29">
        <f ca="1">F14600</f>
        <v>0</v>
      </c>
      <c r="G14596" s="27">
        <f ca="1">ROUND(E14596*F14596,2)</f>
        <v>0</v>
      </c>
    </row>
    <row r="14597" spans="1:7" ht="24.36" thickBot="1" customHeight="1">
      <c r="A14597" s="24" t="s">
        <v>46240</v>
      </c>
      <c r="B14597" s="24" t="s">
        <v>46241</v>
      </c>
      <c r="C14597" s="24" t="s">
        <v>46242</v>
      </c>
      <c r="D14597" s="25" t="s">
        <v>46243</v>
      </c>
      <c r="E14597" s="28">
        <v>1.00000</v>
      </c>
      <c r="F14597" s="29">
        <f ca="1">ROUND(21.000,3)</f>
        <v>0</v>
      </c>
      <c r="G14597" s="27">
        <f ca="1">ROUND(E14597*F14597,2)</f>
        <v>0</v>
      </c>
    </row>
    <row r="14598" spans="1:7" ht="24.36" thickBot="1" customHeight="1">
      <c r="A14598" s="24" t="s">
        <v>46244</v>
      </c>
      <c r="B14598" s="24" t="s">
        <v>46245</v>
      </c>
      <c r="C14598" s="24" t="s">
        <v>46246</v>
      </c>
      <c r="D14598" s="25" t="s">
        <v>46247</v>
      </c>
      <c r="E14598" s="28">
        <v>1.00000</v>
      </c>
      <c r="F14598" s="29">
        <f ca="1">ROUND(19.000,3)</f>
        <v>0</v>
      </c>
      <c r="G14598" s="27">
        <f ca="1">ROUND(E14598*F14598,2)</f>
        <v>0</v>
      </c>
    </row>
    <row r="14599" spans="1:7" ht="24.36" thickBot="1" customHeight="1">
      <c r="A14599" s="24" t="s">
        <v>46248</v>
      </c>
      <c r="B14599" s="24" t="s">
        <v>46249</v>
      </c>
      <c r="C14599" s="24" t="s">
        <v>46250</v>
      </c>
      <c r="D14599" s="25" t="s">
        <v>46251</v>
      </c>
      <c r="E14599" s="28">
        <v>0.20000</v>
      </c>
      <c r="F14599" s="29">
        <f ca="1">ROUND(19.000,3)</f>
        <v>0</v>
      </c>
      <c r="G14599" s="27">
        <f ca="1">ROUND(E14599*F14599,2)</f>
        <v>0</v>
      </c>
    </row>
    <row r="14600" spans="1:7" ht="15.12" thickBot="1" customHeight="1">
      <c r="A14600" s="26"/>
      <c r="B14600" s="26"/>
      <c r="C14600" s="26"/>
      <c r="D14600" s="24" t="s">
        <v>46252</v>
      </c>
      <c r="E14600" s="28">
        <v>0.80000</v>
      </c>
      <c r="F14600" s="29">
        <f ca="1">ROUND((G14597+G14598+G14599),3)</f>
        <v>0</v>
      </c>
      <c r="G14600" s="27">
        <f ca="1">ROUND(E14600*F14600,2)</f>
        <v>0</v>
      </c>
    </row>
    <row r="14601" spans="1:7" ht="15.12" thickBot="1" customHeight="1">
      <c r="A14601" s="24" t="s">
        <v>46253</v>
      </c>
      <c r="B14601" s="24"/>
      <c r="C14601" s="24" t="s">
        <v>46254</v>
      </c>
      <c r="D14601" s="25" t="s">
        <v>46255</v>
      </c>
      <c r="E14601" s="28">
        <v>5.00000</v>
      </c>
      <c r="F14601" s="29">
        <f ca="1">ROUND(35.040,3)</f>
        <v>0</v>
      </c>
      <c r="G14601" s="27">
        <f ca="1">ROUND((E14601*F14601)/100,2)</f>
        <v>0</v>
      </c>
    </row>
    <row r="14602" spans="1:7" ht="15.48" thickBot="1" customHeight="1">
      <c r="A14602" s="30"/>
      <c r="B14602" s="30"/>
      <c r="C14602" s="30"/>
      <c r="D14602" s="31" t="s">
        <v>46256</v>
      </c>
      <c r="E14602" s="30"/>
      <c r="F14602" s="33">
        <f ca="1">ROUND((G14589+G14590+G14591+G14592+G14593+G14594+G14595+G14596+G14601)*(1+G2/100),2)</f>
        <v>0</v>
      </c>
      <c r="G14602" s="30"/>
    </row>
    <row r="14603" spans="1:7" ht="58.32" thickBot="1" customHeight="1">
      <c r="A14603" s="34" t="s">
        <v>46257</v>
      </c>
      <c r="B14603" s="35" t="s">
        <v>46258</v>
      </c>
      <c r="C14603" s="35" t="s">
        <v>46259</v>
      </c>
      <c r="D14603" s="36" t="s">
        <v>46260</v>
      </c>
      <c r="E14603" s="37"/>
      <c r="F14603" s="38">
        <f ca="1">F14618</f>
        <v>0</v>
      </c>
      <c r="G14603" s="37"/>
    </row>
    <row r="14604" spans="1:7" ht="30.60" thickBot="1" customHeight="1">
      <c r="A14604" s="26"/>
      <c r="B14604" s="26"/>
      <c r="C14604" s="26"/>
      <c r="D14604" s="25" t="s">
        <v>46261</v>
      </c>
      <c r="E14604" s="25"/>
      <c r="F14604" s="25"/>
      <c r="G14604" s="25"/>
    </row>
    <row r="14605" spans="1:7" ht="30.60" thickBot="1" customHeight="1">
      <c r="A14605" s="24" t="s">
        <v>46262</v>
      </c>
      <c r="B14605" s="24" t="s">
        <v>46263</v>
      </c>
      <c r="C14605" s="24" t="s">
        <v>46264</v>
      </c>
      <c r="D14605" s="25" t="s">
        <v>46265</v>
      </c>
      <c r="E14605" s="28">
        <v>0.06000</v>
      </c>
      <c r="F14605" s="29">
        <f ca="1">ROUND(29.170,3)</f>
        <v>0</v>
      </c>
      <c r="G14605" s="27">
        <f ca="1">ROUND(E14605*F14605,2)</f>
        <v>0</v>
      </c>
    </row>
    <row r="14606" spans="1:7" ht="30.60" thickBot="1" customHeight="1">
      <c r="A14606" s="24" t="s">
        <v>46266</v>
      </c>
      <c r="B14606" s="24" t="s">
        <v>46267</v>
      </c>
      <c r="C14606" s="24" t="s">
        <v>46268</v>
      </c>
      <c r="D14606" s="25" t="s">
        <v>46269</v>
      </c>
      <c r="E14606" s="28">
        <v>1.00000</v>
      </c>
      <c r="F14606" s="29">
        <f ca="1">ROUND(7.890,3)</f>
        <v>0</v>
      </c>
      <c r="G14606" s="27">
        <f ca="1">ROUND(E14606*F14606,2)</f>
        <v>0</v>
      </c>
    </row>
    <row r="14607" spans="1:7" ht="21.36" thickBot="1" customHeight="1">
      <c r="A14607" s="24" t="s">
        <v>46270</v>
      </c>
      <c r="B14607" s="24" t="s">
        <v>46271</v>
      </c>
      <c r="C14607" s="24" t="s">
        <v>46272</v>
      </c>
      <c r="D14607" s="25" t="s">
        <v>46273</v>
      </c>
      <c r="E14607" s="28">
        <v>0.50000</v>
      </c>
      <c r="F14607" s="29">
        <f ca="1">ROUND(6.900,3)</f>
        <v>0</v>
      </c>
      <c r="G14607" s="27">
        <f ca="1">ROUND(E14607*F14607,2)</f>
        <v>0</v>
      </c>
    </row>
    <row r="14608" spans="1:7" ht="30.60" thickBot="1" customHeight="1">
      <c r="A14608" s="24" t="s">
        <v>46274</v>
      </c>
      <c r="B14608" s="24" t="s">
        <v>46275</v>
      </c>
      <c r="C14608" s="24" t="s">
        <v>46276</v>
      </c>
      <c r="D14608" s="25" t="s">
        <v>46277</v>
      </c>
      <c r="E14608" s="28">
        <v>0.02100</v>
      </c>
      <c r="F14608" s="29">
        <f ca="1">ROUND(27.500,3)</f>
        <v>0</v>
      </c>
      <c r="G14608" s="27">
        <f ca="1">ROUND(E14608*F14608,2)</f>
        <v>0</v>
      </c>
    </row>
    <row r="14609" spans="1:7" ht="21.36" thickBot="1" customHeight="1">
      <c r="A14609" s="24" t="s">
        <v>46278</v>
      </c>
      <c r="B14609" s="24" t="s">
        <v>46279</v>
      </c>
      <c r="C14609" s="24" t="s">
        <v>46280</v>
      </c>
      <c r="D14609" s="25" t="s">
        <v>46281</v>
      </c>
      <c r="E14609" s="28">
        <v>0.40000</v>
      </c>
      <c r="F14609" s="29">
        <f ca="1">ROUND(1.050,3)</f>
        <v>0</v>
      </c>
      <c r="G14609" s="27">
        <f ca="1">ROUND(E14609*F14609,2)</f>
        <v>0</v>
      </c>
    </row>
    <row r="14610" spans="1:7" ht="30.60" thickBot="1" customHeight="1">
      <c r="A14610" s="24" t="s">
        <v>46282</v>
      </c>
      <c r="B14610" s="24" t="s">
        <v>46283</v>
      </c>
      <c r="C14610" s="24" t="s">
        <v>46284</v>
      </c>
      <c r="D14610" s="25" t="s">
        <v>46285</v>
      </c>
      <c r="E14610" s="28">
        <v>0.50000</v>
      </c>
      <c r="F14610" s="29">
        <f ca="1">ROUND(1.760,3)</f>
        <v>0</v>
      </c>
      <c r="G14610" s="27">
        <f ca="1">ROUND(E14610*F14610,2)</f>
        <v>0</v>
      </c>
    </row>
    <row r="14611" spans="1:7" ht="21.36" thickBot="1" customHeight="1">
      <c r="A14611" s="24" t="s">
        <v>46286</v>
      </c>
      <c r="B14611" s="24" t="s">
        <v>46287</v>
      </c>
      <c r="C14611" s="24" t="s">
        <v>46288</v>
      </c>
      <c r="D14611" s="25" t="s">
        <v>46289</v>
      </c>
      <c r="E14611" s="28">
        <v>0.02444</v>
      </c>
      <c r="F14611" s="29">
        <f ca="1">ROUND(1.320,3)</f>
        <v>0</v>
      </c>
      <c r="G14611" s="27">
        <f ca="1">ROUND(E14611*F14611,2)</f>
        <v>0</v>
      </c>
    </row>
    <row r="14612" spans="1:7" ht="21.36" thickBot="1" customHeight="1">
      <c r="A14612" s="24" t="s">
        <v>46290</v>
      </c>
      <c r="B14612" s="24" t="s">
        <v>46291</v>
      </c>
      <c r="C14612" s="24" t="s">
        <v>46292</v>
      </c>
      <c r="D14612" s="25" t="s">
        <v>46293</v>
      </c>
      <c r="E14612" s="28">
        <v>0.57140</v>
      </c>
      <c r="F14612" s="29">
        <f ca="1">F14616</f>
        <v>0</v>
      </c>
      <c r="G14612" s="27">
        <f ca="1">ROUND(E14612*F14612,2)</f>
        <v>0</v>
      </c>
    </row>
    <row r="14613" spans="1:7" ht="24.36" thickBot="1" customHeight="1">
      <c r="A14613" s="24" t="s">
        <v>46294</v>
      </c>
      <c r="B14613" s="24" t="s">
        <v>46295</v>
      </c>
      <c r="C14613" s="24" t="s">
        <v>46296</v>
      </c>
      <c r="D14613" s="25" t="s">
        <v>46297</v>
      </c>
      <c r="E14613" s="28">
        <v>1.00000</v>
      </c>
      <c r="F14613" s="29">
        <f ca="1">ROUND(21.000,3)</f>
        <v>0</v>
      </c>
      <c r="G14613" s="27">
        <f ca="1">ROUND(E14613*F14613,2)</f>
        <v>0</v>
      </c>
    </row>
    <row r="14614" spans="1:7" ht="24.36" thickBot="1" customHeight="1">
      <c r="A14614" s="24" t="s">
        <v>46298</v>
      </c>
      <c r="B14614" s="24" t="s">
        <v>46299</v>
      </c>
      <c r="C14614" s="24" t="s">
        <v>46300</v>
      </c>
      <c r="D14614" s="25" t="s">
        <v>46301</v>
      </c>
      <c r="E14614" s="28">
        <v>1.00000</v>
      </c>
      <c r="F14614" s="29">
        <f ca="1">ROUND(19.000,3)</f>
        <v>0</v>
      </c>
      <c r="G14614" s="27">
        <f ca="1">ROUND(E14614*F14614,2)</f>
        <v>0</v>
      </c>
    </row>
    <row r="14615" spans="1:7" ht="24.36" thickBot="1" customHeight="1">
      <c r="A14615" s="24" t="s">
        <v>46302</v>
      </c>
      <c r="B14615" s="24" t="s">
        <v>46303</v>
      </c>
      <c r="C14615" s="24" t="s">
        <v>46304</v>
      </c>
      <c r="D14615" s="25" t="s">
        <v>46305</v>
      </c>
      <c r="E14615" s="28">
        <v>0.20000</v>
      </c>
      <c r="F14615" s="29">
        <f ca="1">ROUND(19.000,3)</f>
        <v>0</v>
      </c>
      <c r="G14615" s="27">
        <f ca="1">ROUND(E14615*F14615,2)</f>
        <v>0</v>
      </c>
    </row>
    <row r="14616" spans="1:7" ht="15.12" thickBot="1" customHeight="1">
      <c r="A14616" s="26"/>
      <c r="B14616" s="26"/>
      <c r="C14616" s="26"/>
      <c r="D14616" s="24" t="s">
        <v>46306</v>
      </c>
      <c r="E14616" s="28">
        <v>0.57140</v>
      </c>
      <c r="F14616" s="29">
        <f ca="1">ROUND((G14613+G14614+G14615),3)</f>
        <v>0</v>
      </c>
      <c r="G14616" s="27">
        <f ca="1">ROUND(E14616*F14616,2)</f>
        <v>0</v>
      </c>
    </row>
    <row r="14617" spans="1:7" ht="15.12" thickBot="1" customHeight="1">
      <c r="A14617" s="24" t="s">
        <v>46307</v>
      </c>
      <c r="B14617" s="24"/>
      <c r="C14617" s="24" t="s">
        <v>46308</v>
      </c>
      <c r="D14617" s="25" t="s">
        <v>46309</v>
      </c>
      <c r="E14617" s="28">
        <v>5.00000</v>
      </c>
      <c r="F14617" s="29">
        <f ca="1">ROUND(25.030,3)</f>
        <v>0</v>
      </c>
      <c r="G14617" s="27">
        <f ca="1">ROUND((E14617*F14617)/100,2)</f>
        <v>0</v>
      </c>
    </row>
    <row r="14618" spans="1:7" ht="15.48" thickBot="1" customHeight="1">
      <c r="A14618" s="30"/>
      <c r="B14618" s="30"/>
      <c r="C14618" s="30"/>
      <c r="D14618" s="31" t="s">
        <v>46310</v>
      </c>
      <c r="E14618" s="30"/>
      <c r="F14618" s="33">
        <f ca="1">ROUND((G14605+G14606+G14607+G14608+G14609+G14610+G14611+G14612+G14617)*(1+G2/100),2)</f>
        <v>0</v>
      </c>
      <c r="G14618" s="30"/>
    </row>
    <row r="14619" spans="1:7" ht="67.56" thickBot="1" customHeight="1">
      <c r="A14619" s="34" t="s">
        <v>46311</v>
      </c>
      <c r="B14619" s="35" t="s">
        <v>46312</v>
      </c>
      <c r="C14619" s="35" t="s">
        <v>46313</v>
      </c>
      <c r="D14619" s="36" t="s">
        <v>46314</v>
      </c>
      <c r="E14619" s="37"/>
      <c r="F14619" s="38">
        <f ca="1">F14634</f>
        <v>0</v>
      </c>
      <c r="G14619" s="37"/>
    </row>
    <row r="14620" spans="1:7" ht="30.60" thickBot="1" customHeight="1">
      <c r="A14620" s="26"/>
      <c r="B14620" s="26"/>
      <c r="C14620" s="26"/>
      <c r="D14620" s="25" t="s">
        <v>46315</v>
      </c>
      <c r="E14620" s="25"/>
      <c r="F14620" s="25"/>
      <c r="G14620" s="25"/>
    </row>
    <row r="14621" spans="1:7" ht="30.60" thickBot="1" customHeight="1">
      <c r="A14621" s="24" t="s">
        <v>46316</v>
      </c>
      <c r="B14621" s="24" t="s">
        <v>46317</v>
      </c>
      <c r="C14621" s="24" t="s">
        <v>46318</v>
      </c>
      <c r="D14621" s="25" t="s">
        <v>46319</v>
      </c>
      <c r="E14621" s="28">
        <v>0.06000</v>
      </c>
      <c r="F14621" s="29">
        <f ca="1">ROUND(29.170,3)</f>
        <v>0</v>
      </c>
      <c r="G14621" s="27">
        <f ca="1">ROUND(E14621*F14621,2)</f>
        <v>0</v>
      </c>
    </row>
    <row r="14622" spans="1:7" ht="30.60" thickBot="1" customHeight="1">
      <c r="A14622" s="24" t="s">
        <v>46320</v>
      </c>
      <c r="B14622" s="24" t="s">
        <v>46321</v>
      </c>
      <c r="C14622" s="24" t="s">
        <v>46322</v>
      </c>
      <c r="D14622" s="25" t="s">
        <v>46323</v>
      </c>
      <c r="E14622" s="28">
        <v>1.00000</v>
      </c>
      <c r="F14622" s="29">
        <f ca="1">ROUND(11.740,3)</f>
        <v>0</v>
      </c>
      <c r="G14622" s="27">
        <f ca="1">ROUND(E14622*F14622,2)</f>
        <v>0</v>
      </c>
    </row>
    <row r="14623" spans="1:7" ht="30.60" thickBot="1" customHeight="1">
      <c r="A14623" s="24" t="s">
        <v>46324</v>
      </c>
      <c r="B14623" s="24" t="s">
        <v>46325</v>
      </c>
      <c r="C14623" s="24" t="s">
        <v>46326</v>
      </c>
      <c r="D14623" s="25" t="s">
        <v>46327</v>
      </c>
      <c r="E14623" s="28">
        <v>0.50000</v>
      </c>
      <c r="F14623" s="29">
        <f ca="1">ROUND(10.180,3)</f>
        <v>0</v>
      </c>
      <c r="G14623" s="27">
        <f ca="1">ROUND(E14623*F14623,2)</f>
        <v>0</v>
      </c>
    </row>
    <row r="14624" spans="1:7" ht="30.60" thickBot="1" customHeight="1">
      <c r="A14624" s="24" t="s">
        <v>46328</v>
      </c>
      <c r="B14624" s="24" t="s">
        <v>46329</v>
      </c>
      <c r="C14624" s="24" t="s">
        <v>46330</v>
      </c>
      <c r="D14624" s="25" t="s">
        <v>46331</v>
      </c>
      <c r="E14624" s="28">
        <v>0.02100</v>
      </c>
      <c r="F14624" s="29">
        <f ca="1">ROUND(27.500,3)</f>
        <v>0</v>
      </c>
      <c r="G14624" s="27">
        <f ca="1">ROUND(E14624*F14624,2)</f>
        <v>0</v>
      </c>
    </row>
    <row r="14625" spans="1:7" ht="21.36" thickBot="1" customHeight="1">
      <c r="A14625" s="24" t="s">
        <v>46332</v>
      </c>
      <c r="B14625" s="24" t="s">
        <v>46333</v>
      </c>
      <c r="C14625" s="24" t="s">
        <v>46334</v>
      </c>
      <c r="D14625" s="25" t="s">
        <v>46335</v>
      </c>
      <c r="E14625" s="28">
        <v>0.40000</v>
      </c>
      <c r="F14625" s="29">
        <f ca="1">ROUND(1.050,3)</f>
        <v>0</v>
      </c>
      <c r="G14625" s="27">
        <f ca="1">ROUND(E14625*F14625,2)</f>
        <v>0</v>
      </c>
    </row>
    <row r="14626" spans="1:7" ht="30.60" thickBot="1" customHeight="1">
      <c r="A14626" s="24" t="s">
        <v>46336</v>
      </c>
      <c r="B14626" s="24" t="s">
        <v>46337</v>
      </c>
      <c r="C14626" s="24" t="s">
        <v>46338</v>
      </c>
      <c r="D14626" s="25" t="s">
        <v>46339</v>
      </c>
      <c r="E14626" s="28">
        <v>0.50000</v>
      </c>
      <c r="F14626" s="29">
        <f ca="1">ROUND(1.760,3)</f>
        <v>0</v>
      </c>
      <c r="G14626" s="27">
        <f ca="1">ROUND(E14626*F14626,2)</f>
        <v>0</v>
      </c>
    </row>
    <row r="14627" spans="1:7" ht="21.36" thickBot="1" customHeight="1">
      <c r="A14627" s="24" t="s">
        <v>46340</v>
      </c>
      <c r="B14627" s="24" t="s">
        <v>46341</v>
      </c>
      <c r="C14627" s="24" t="s">
        <v>46342</v>
      </c>
      <c r="D14627" s="25" t="s">
        <v>46343</v>
      </c>
      <c r="E14627" s="28">
        <v>0.02444</v>
      </c>
      <c r="F14627" s="29">
        <f ca="1">ROUND(1.320,3)</f>
        <v>0</v>
      </c>
      <c r="G14627" s="27">
        <f ca="1">ROUND(E14627*F14627,2)</f>
        <v>0</v>
      </c>
    </row>
    <row r="14628" spans="1:7" ht="21.36" thickBot="1" customHeight="1">
      <c r="A14628" s="24" t="s">
        <v>46344</v>
      </c>
      <c r="B14628" s="24" t="s">
        <v>46345</v>
      </c>
      <c r="C14628" s="24" t="s">
        <v>46346</v>
      </c>
      <c r="D14628" s="25" t="s">
        <v>46347</v>
      </c>
      <c r="E14628" s="28">
        <v>0.80000</v>
      </c>
      <c r="F14628" s="29">
        <f ca="1">F14632</f>
        <v>0</v>
      </c>
      <c r="G14628" s="27">
        <f ca="1">ROUND(E14628*F14628,2)</f>
        <v>0</v>
      </c>
    </row>
    <row r="14629" spans="1:7" ht="24.36" thickBot="1" customHeight="1">
      <c r="A14629" s="24" t="s">
        <v>46348</v>
      </c>
      <c r="B14629" s="24" t="s">
        <v>46349</v>
      </c>
      <c r="C14629" s="24" t="s">
        <v>46350</v>
      </c>
      <c r="D14629" s="25" t="s">
        <v>46351</v>
      </c>
      <c r="E14629" s="28">
        <v>1.00000</v>
      </c>
      <c r="F14629" s="29">
        <f ca="1">ROUND(21.000,3)</f>
        <v>0</v>
      </c>
      <c r="G14629" s="27">
        <f ca="1">ROUND(E14629*F14629,2)</f>
        <v>0</v>
      </c>
    </row>
    <row r="14630" spans="1:7" ht="24.36" thickBot="1" customHeight="1">
      <c r="A14630" s="24" t="s">
        <v>46352</v>
      </c>
      <c r="B14630" s="24" t="s">
        <v>46353</v>
      </c>
      <c r="C14630" s="24" t="s">
        <v>46354</v>
      </c>
      <c r="D14630" s="25" t="s">
        <v>46355</v>
      </c>
      <c r="E14630" s="28">
        <v>1.00000</v>
      </c>
      <c r="F14630" s="29">
        <f ca="1">ROUND(19.000,3)</f>
        <v>0</v>
      </c>
      <c r="G14630" s="27">
        <f ca="1">ROUND(E14630*F14630,2)</f>
        <v>0</v>
      </c>
    </row>
    <row r="14631" spans="1:7" ht="24.36" thickBot="1" customHeight="1">
      <c r="A14631" s="24" t="s">
        <v>46356</v>
      </c>
      <c r="B14631" s="24" t="s">
        <v>46357</v>
      </c>
      <c r="C14631" s="24" t="s">
        <v>46358</v>
      </c>
      <c r="D14631" s="25" t="s">
        <v>46359</v>
      </c>
      <c r="E14631" s="28">
        <v>0.20000</v>
      </c>
      <c r="F14631" s="29">
        <f ca="1">ROUND(19.000,3)</f>
        <v>0</v>
      </c>
      <c r="G14631" s="27">
        <f ca="1">ROUND(E14631*F14631,2)</f>
        <v>0</v>
      </c>
    </row>
    <row r="14632" spans="1:7" ht="15.12" thickBot="1" customHeight="1">
      <c r="A14632" s="26"/>
      <c r="B14632" s="26"/>
      <c r="C14632" s="26"/>
      <c r="D14632" s="24" t="s">
        <v>46360</v>
      </c>
      <c r="E14632" s="28">
        <v>0.80000</v>
      </c>
      <c r="F14632" s="29">
        <f ca="1">ROUND((G14629+G14630+G14631),3)</f>
        <v>0</v>
      </c>
      <c r="G14632" s="27">
        <f ca="1">ROUND(E14632*F14632,2)</f>
        <v>0</v>
      </c>
    </row>
    <row r="14633" spans="1:7" ht="15.12" thickBot="1" customHeight="1">
      <c r="A14633" s="24" t="s">
        <v>46361</v>
      </c>
      <c r="B14633" s="24"/>
      <c r="C14633" s="24" t="s">
        <v>46362</v>
      </c>
      <c r="D14633" s="25" t="s">
        <v>46363</v>
      </c>
      <c r="E14633" s="28">
        <v>5.00000</v>
      </c>
      <c r="F14633" s="29">
        <f ca="1">ROUND(35.040,3)</f>
        <v>0</v>
      </c>
      <c r="G14633" s="27">
        <f ca="1">ROUND((E14633*F14633)/100,2)</f>
        <v>0</v>
      </c>
    </row>
    <row r="14634" spans="1:7" ht="15.48" thickBot="1" customHeight="1">
      <c r="A14634" s="30"/>
      <c r="B14634" s="30"/>
      <c r="C14634" s="30"/>
      <c r="D14634" s="31" t="s">
        <v>46364</v>
      </c>
      <c r="E14634" s="30"/>
      <c r="F14634" s="33">
        <f ca="1">ROUND((G14621+G14622+G14623+G14624+G14625+G14626+G14627+G14628+G14633)*(1+G2/100),2)</f>
        <v>0</v>
      </c>
      <c r="G14634" s="30"/>
    </row>
    <row r="14635" spans="1:7" ht="67.56" thickBot="1" customHeight="1">
      <c r="A14635" s="34" t="s">
        <v>46365</v>
      </c>
      <c r="B14635" s="35" t="s">
        <v>46366</v>
      </c>
      <c r="C14635" s="35" t="s">
        <v>46367</v>
      </c>
      <c r="D14635" s="36" t="s">
        <v>46368</v>
      </c>
      <c r="E14635" s="37"/>
      <c r="F14635" s="38">
        <f ca="1">F14650</f>
        <v>0</v>
      </c>
      <c r="G14635" s="37"/>
    </row>
    <row r="14636" spans="1:7" ht="30.60" thickBot="1" customHeight="1">
      <c r="A14636" s="26"/>
      <c r="B14636" s="26"/>
      <c r="C14636" s="26"/>
      <c r="D14636" s="25" t="s">
        <v>46369</v>
      </c>
      <c r="E14636" s="25"/>
      <c r="F14636" s="25"/>
      <c r="G14636" s="25"/>
    </row>
    <row r="14637" spans="1:7" ht="30.60" thickBot="1" customHeight="1">
      <c r="A14637" s="24" t="s">
        <v>46370</v>
      </c>
      <c r="B14637" s="24" t="s">
        <v>46371</v>
      </c>
      <c r="C14637" s="24" t="s">
        <v>46372</v>
      </c>
      <c r="D14637" s="25" t="s">
        <v>46373</v>
      </c>
      <c r="E14637" s="28">
        <v>0.06000</v>
      </c>
      <c r="F14637" s="29">
        <f ca="1">ROUND(29.170,3)</f>
        <v>0</v>
      </c>
      <c r="G14637" s="27">
        <f ca="1">ROUND(E14637*F14637,2)</f>
        <v>0</v>
      </c>
    </row>
    <row r="14638" spans="1:7" ht="30.60" thickBot="1" customHeight="1">
      <c r="A14638" s="24" t="s">
        <v>46374</v>
      </c>
      <c r="B14638" s="24" t="s">
        <v>46375</v>
      </c>
      <c r="C14638" s="24" t="s">
        <v>46376</v>
      </c>
      <c r="D14638" s="25" t="s">
        <v>46377</v>
      </c>
      <c r="E14638" s="28">
        <v>1.00000</v>
      </c>
      <c r="F14638" s="29">
        <f ca="1">ROUND(11.740,3)</f>
        <v>0</v>
      </c>
      <c r="G14638" s="27">
        <f ca="1">ROUND(E14638*F14638,2)</f>
        <v>0</v>
      </c>
    </row>
    <row r="14639" spans="1:7" ht="30.60" thickBot="1" customHeight="1">
      <c r="A14639" s="24" t="s">
        <v>46378</v>
      </c>
      <c r="B14639" s="24" t="s">
        <v>46379</v>
      </c>
      <c r="C14639" s="24" t="s">
        <v>46380</v>
      </c>
      <c r="D14639" s="25" t="s">
        <v>46381</v>
      </c>
      <c r="E14639" s="28">
        <v>0.50000</v>
      </c>
      <c r="F14639" s="29">
        <f ca="1">ROUND(10.180,3)</f>
        <v>0</v>
      </c>
      <c r="G14639" s="27">
        <f ca="1">ROUND(E14639*F14639,2)</f>
        <v>0</v>
      </c>
    </row>
    <row r="14640" spans="1:7" ht="30.60" thickBot="1" customHeight="1">
      <c r="A14640" s="24" t="s">
        <v>46382</v>
      </c>
      <c r="B14640" s="24" t="s">
        <v>46383</v>
      </c>
      <c r="C14640" s="24" t="s">
        <v>46384</v>
      </c>
      <c r="D14640" s="25" t="s">
        <v>46385</v>
      </c>
      <c r="E14640" s="28">
        <v>0.02100</v>
      </c>
      <c r="F14640" s="29">
        <f ca="1">ROUND(27.500,3)</f>
        <v>0</v>
      </c>
      <c r="G14640" s="27">
        <f ca="1">ROUND(E14640*F14640,2)</f>
        <v>0</v>
      </c>
    </row>
    <row r="14641" spans="1:7" ht="21.36" thickBot="1" customHeight="1">
      <c r="A14641" s="24" t="s">
        <v>46386</v>
      </c>
      <c r="B14641" s="24" t="s">
        <v>46387</v>
      </c>
      <c r="C14641" s="24" t="s">
        <v>46388</v>
      </c>
      <c r="D14641" s="25" t="s">
        <v>46389</v>
      </c>
      <c r="E14641" s="28">
        <v>0.40000</v>
      </c>
      <c r="F14641" s="29">
        <f ca="1">ROUND(1.050,3)</f>
        <v>0</v>
      </c>
      <c r="G14641" s="27">
        <f ca="1">ROUND(E14641*F14641,2)</f>
        <v>0</v>
      </c>
    </row>
    <row r="14642" spans="1:7" ht="30.60" thickBot="1" customHeight="1">
      <c r="A14642" s="24" t="s">
        <v>46390</v>
      </c>
      <c r="B14642" s="24" t="s">
        <v>46391</v>
      </c>
      <c r="C14642" s="24" t="s">
        <v>46392</v>
      </c>
      <c r="D14642" s="25" t="s">
        <v>46393</v>
      </c>
      <c r="E14642" s="28">
        <v>0.50000</v>
      </c>
      <c r="F14642" s="29">
        <f ca="1">ROUND(1.760,3)</f>
        <v>0</v>
      </c>
      <c r="G14642" s="27">
        <f ca="1">ROUND(E14642*F14642,2)</f>
        <v>0</v>
      </c>
    </row>
    <row r="14643" spans="1:7" ht="21.36" thickBot="1" customHeight="1">
      <c r="A14643" s="24" t="s">
        <v>46394</v>
      </c>
      <c r="B14643" s="24" t="s">
        <v>46395</v>
      </c>
      <c r="C14643" s="24" t="s">
        <v>46396</v>
      </c>
      <c r="D14643" s="25" t="s">
        <v>46397</v>
      </c>
      <c r="E14643" s="28">
        <v>0.02444</v>
      </c>
      <c r="F14643" s="29">
        <f ca="1">ROUND(1.320,3)</f>
        <v>0</v>
      </c>
      <c r="G14643" s="27">
        <f ca="1">ROUND(E14643*F14643,2)</f>
        <v>0</v>
      </c>
    </row>
    <row r="14644" spans="1:7" ht="21.36" thickBot="1" customHeight="1">
      <c r="A14644" s="24" t="s">
        <v>46398</v>
      </c>
      <c r="B14644" s="24" t="s">
        <v>46399</v>
      </c>
      <c r="C14644" s="24" t="s">
        <v>46400</v>
      </c>
      <c r="D14644" s="25" t="s">
        <v>46401</v>
      </c>
      <c r="E14644" s="28">
        <v>0.57140</v>
      </c>
      <c r="F14644" s="29">
        <f ca="1">F14648</f>
        <v>0</v>
      </c>
      <c r="G14644" s="27">
        <f ca="1">ROUND(E14644*F14644,2)</f>
        <v>0</v>
      </c>
    </row>
    <row r="14645" spans="1:7" ht="24.36" thickBot="1" customHeight="1">
      <c r="A14645" s="24" t="s">
        <v>46402</v>
      </c>
      <c r="B14645" s="24" t="s">
        <v>46403</v>
      </c>
      <c r="C14645" s="24" t="s">
        <v>46404</v>
      </c>
      <c r="D14645" s="25" t="s">
        <v>46405</v>
      </c>
      <c r="E14645" s="28">
        <v>1.00000</v>
      </c>
      <c r="F14645" s="29">
        <f ca="1">ROUND(21.000,3)</f>
        <v>0</v>
      </c>
      <c r="G14645" s="27">
        <f ca="1">ROUND(E14645*F14645,2)</f>
        <v>0</v>
      </c>
    </row>
    <row r="14646" spans="1:7" ht="24.36" thickBot="1" customHeight="1">
      <c r="A14646" s="24" t="s">
        <v>46406</v>
      </c>
      <c r="B14646" s="24" t="s">
        <v>46407</v>
      </c>
      <c r="C14646" s="24" t="s">
        <v>46408</v>
      </c>
      <c r="D14646" s="25" t="s">
        <v>46409</v>
      </c>
      <c r="E14646" s="28">
        <v>1.00000</v>
      </c>
      <c r="F14646" s="29">
        <f ca="1">ROUND(19.000,3)</f>
        <v>0</v>
      </c>
      <c r="G14646" s="27">
        <f ca="1">ROUND(E14646*F14646,2)</f>
        <v>0</v>
      </c>
    </row>
    <row r="14647" spans="1:7" ht="24.36" thickBot="1" customHeight="1">
      <c r="A14647" s="24" t="s">
        <v>46410</v>
      </c>
      <c r="B14647" s="24" t="s">
        <v>46411</v>
      </c>
      <c r="C14647" s="24" t="s">
        <v>46412</v>
      </c>
      <c r="D14647" s="25" t="s">
        <v>46413</v>
      </c>
      <c r="E14647" s="28">
        <v>0.20000</v>
      </c>
      <c r="F14647" s="29">
        <f ca="1">ROUND(19.000,3)</f>
        <v>0</v>
      </c>
      <c r="G14647" s="27">
        <f ca="1">ROUND(E14647*F14647,2)</f>
        <v>0</v>
      </c>
    </row>
    <row r="14648" spans="1:7" ht="15.12" thickBot="1" customHeight="1">
      <c r="A14648" s="26"/>
      <c r="B14648" s="26"/>
      <c r="C14648" s="26"/>
      <c r="D14648" s="24" t="s">
        <v>46414</v>
      </c>
      <c r="E14648" s="28">
        <v>0.57140</v>
      </c>
      <c r="F14648" s="29">
        <f ca="1">ROUND((G14645+G14646+G14647),3)</f>
        <v>0</v>
      </c>
      <c r="G14648" s="27">
        <f ca="1">ROUND(E14648*F14648,2)</f>
        <v>0</v>
      </c>
    </row>
    <row r="14649" spans="1:7" ht="15.12" thickBot="1" customHeight="1">
      <c r="A14649" s="24" t="s">
        <v>46415</v>
      </c>
      <c r="B14649" s="24"/>
      <c r="C14649" s="24" t="s">
        <v>46416</v>
      </c>
      <c r="D14649" s="25" t="s">
        <v>46417</v>
      </c>
      <c r="E14649" s="28">
        <v>5.00000</v>
      </c>
      <c r="F14649" s="29">
        <f ca="1">ROUND(25.030,3)</f>
        <v>0</v>
      </c>
      <c r="G14649" s="27">
        <f ca="1">ROUND((E14649*F14649)/100,2)</f>
        <v>0</v>
      </c>
    </row>
    <row r="14650" spans="1:7" ht="15.48" thickBot="1" customHeight="1">
      <c r="A14650" s="30"/>
      <c r="B14650" s="30"/>
      <c r="C14650" s="30"/>
      <c r="D14650" s="31" t="s">
        <v>46418</v>
      </c>
      <c r="E14650" s="30"/>
      <c r="F14650" s="33">
        <f ca="1">ROUND((G14637+G14638+G14639+G14640+G14641+G14642+G14643+G14644+G14649)*(1+G2/100),2)</f>
        <v>0</v>
      </c>
      <c r="G14650" s="30"/>
    </row>
    <row r="14651" spans="1:7" ht="58.32" thickBot="1" customHeight="1">
      <c r="A14651" s="34" t="s">
        <v>46419</v>
      </c>
      <c r="B14651" s="35" t="s">
        <v>46420</v>
      </c>
      <c r="C14651" s="35" t="s">
        <v>46421</v>
      </c>
      <c r="D14651" s="36" t="s">
        <v>46422</v>
      </c>
      <c r="E14651" s="37"/>
      <c r="F14651" s="38">
        <f ca="1">F14666</f>
        <v>0</v>
      </c>
      <c r="G14651" s="37"/>
    </row>
    <row r="14652" spans="1:7" ht="30.60" thickBot="1" customHeight="1">
      <c r="A14652" s="26"/>
      <c r="B14652" s="26"/>
      <c r="C14652" s="26"/>
      <c r="D14652" s="25" t="s">
        <v>46423</v>
      </c>
      <c r="E14652" s="25"/>
      <c r="F14652" s="25"/>
      <c r="G14652" s="25"/>
    </row>
    <row r="14653" spans="1:7" ht="30.60" thickBot="1" customHeight="1">
      <c r="A14653" s="24" t="s">
        <v>46424</v>
      </c>
      <c r="B14653" s="24" t="s">
        <v>46425</v>
      </c>
      <c r="C14653" s="24" t="s">
        <v>46426</v>
      </c>
      <c r="D14653" s="25" t="s">
        <v>46427</v>
      </c>
      <c r="E14653" s="28">
        <v>0.06000</v>
      </c>
      <c r="F14653" s="29">
        <f ca="1">ROUND(29.170,3)</f>
        <v>0</v>
      </c>
      <c r="G14653" s="27">
        <f ca="1">ROUND(E14653*F14653,2)</f>
        <v>0</v>
      </c>
    </row>
    <row r="14654" spans="1:7" ht="30.60" thickBot="1" customHeight="1">
      <c r="A14654" s="24" t="s">
        <v>46428</v>
      </c>
      <c r="B14654" s="24" t="s">
        <v>46429</v>
      </c>
      <c r="C14654" s="24" t="s">
        <v>46430</v>
      </c>
      <c r="D14654" s="25" t="s">
        <v>46431</v>
      </c>
      <c r="E14654" s="28">
        <v>1.00000</v>
      </c>
      <c r="F14654" s="29">
        <f ca="1">ROUND(7.890,3)</f>
        <v>0</v>
      </c>
      <c r="G14654" s="27">
        <f ca="1">ROUND(E14654*F14654,2)</f>
        <v>0</v>
      </c>
    </row>
    <row r="14655" spans="1:7" ht="21.36" thickBot="1" customHeight="1">
      <c r="A14655" s="24" t="s">
        <v>46432</v>
      </c>
      <c r="B14655" s="24" t="s">
        <v>46433</v>
      </c>
      <c r="C14655" s="24" t="s">
        <v>46434</v>
      </c>
      <c r="D14655" s="25" t="s">
        <v>46435</v>
      </c>
      <c r="E14655" s="28">
        <v>0.50000</v>
      </c>
      <c r="F14655" s="29">
        <f ca="1">ROUND(10.180,3)</f>
        <v>0</v>
      </c>
      <c r="G14655" s="27">
        <f ca="1">ROUND(E14655*F14655,2)</f>
        <v>0</v>
      </c>
    </row>
    <row r="14656" spans="1:7" ht="30.60" thickBot="1" customHeight="1">
      <c r="A14656" s="24" t="s">
        <v>46436</v>
      </c>
      <c r="B14656" s="24" t="s">
        <v>46437</v>
      </c>
      <c r="C14656" s="24" t="s">
        <v>46438</v>
      </c>
      <c r="D14656" s="25" t="s">
        <v>46439</v>
      </c>
      <c r="E14656" s="28">
        <v>0.02100</v>
      </c>
      <c r="F14656" s="29">
        <f ca="1">ROUND(27.500,3)</f>
        <v>0</v>
      </c>
      <c r="G14656" s="27">
        <f ca="1">ROUND(E14656*F14656,2)</f>
        <v>0</v>
      </c>
    </row>
    <row r="14657" spans="1:7" ht="21.36" thickBot="1" customHeight="1">
      <c r="A14657" s="24" t="s">
        <v>46440</v>
      </c>
      <c r="B14657" s="24" t="s">
        <v>46441</v>
      </c>
      <c r="C14657" s="24" t="s">
        <v>46442</v>
      </c>
      <c r="D14657" s="25" t="s">
        <v>46443</v>
      </c>
      <c r="E14657" s="28">
        <v>0.40000</v>
      </c>
      <c r="F14657" s="29">
        <f ca="1">ROUND(1.050,3)</f>
        <v>0</v>
      </c>
      <c r="G14657" s="27">
        <f ca="1">ROUND(E14657*F14657,2)</f>
        <v>0</v>
      </c>
    </row>
    <row r="14658" spans="1:7" ht="30.60" thickBot="1" customHeight="1">
      <c r="A14658" s="24" t="s">
        <v>46444</v>
      </c>
      <c r="B14658" s="24" t="s">
        <v>46445</v>
      </c>
      <c r="C14658" s="24" t="s">
        <v>46446</v>
      </c>
      <c r="D14658" s="25" t="s">
        <v>46447</v>
      </c>
      <c r="E14658" s="28">
        <v>0.50000</v>
      </c>
      <c r="F14658" s="29">
        <f ca="1">ROUND(1.760,3)</f>
        <v>0</v>
      </c>
      <c r="G14658" s="27">
        <f ca="1">ROUND(E14658*F14658,2)</f>
        <v>0</v>
      </c>
    </row>
    <row r="14659" spans="1:7" ht="21.36" thickBot="1" customHeight="1">
      <c r="A14659" s="24" t="s">
        <v>46448</v>
      </c>
      <c r="B14659" s="24" t="s">
        <v>46449</v>
      </c>
      <c r="C14659" s="24" t="s">
        <v>46450</v>
      </c>
      <c r="D14659" s="25" t="s">
        <v>46451</v>
      </c>
      <c r="E14659" s="28">
        <v>0.02444</v>
      </c>
      <c r="F14659" s="29">
        <f ca="1">ROUND(1.320,3)</f>
        <v>0</v>
      </c>
      <c r="G14659" s="27">
        <f ca="1">ROUND(E14659*F14659,2)</f>
        <v>0</v>
      </c>
    </row>
    <row r="14660" spans="1:7" ht="21.36" thickBot="1" customHeight="1">
      <c r="A14660" s="24" t="s">
        <v>46452</v>
      </c>
      <c r="B14660" s="24" t="s">
        <v>46453</v>
      </c>
      <c r="C14660" s="24" t="s">
        <v>46454</v>
      </c>
      <c r="D14660" s="25" t="s">
        <v>46455</v>
      </c>
      <c r="E14660" s="28">
        <v>0.80000</v>
      </c>
      <c r="F14660" s="29">
        <f ca="1">F14664</f>
        <v>0</v>
      </c>
      <c r="G14660" s="27">
        <f ca="1">ROUND(E14660*F14660,2)</f>
        <v>0</v>
      </c>
    </row>
    <row r="14661" spans="1:7" ht="24.36" thickBot="1" customHeight="1">
      <c r="A14661" s="24" t="s">
        <v>46456</v>
      </c>
      <c r="B14661" s="24" t="s">
        <v>46457</v>
      </c>
      <c r="C14661" s="24" t="s">
        <v>46458</v>
      </c>
      <c r="D14661" s="25" t="s">
        <v>46459</v>
      </c>
      <c r="E14661" s="28">
        <v>1.00000</v>
      </c>
      <c r="F14661" s="29">
        <f ca="1">ROUND(21.000,3)</f>
        <v>0</v>
      </c>
      <c r="G14661" s="27">
        <f ca="1">ROUND(E14661*F14661,2)</f>
        <v>0</v>
      </c>
    </row>
    <row r="14662" spans="1:7" ht="24.36" thickBot="1" customHeight="1">
      <c r="A14662" s="24" t="s">
        <v>46460</v>
      </c>
      <c r="B14662" s="24" t="s">
        <v>46461</v>
      </c>
      <c r="C14662" s="24" t="s">
        <v>46462</v>
      </c>
      <c r="D14662" s="25" t="s">
        <v>46463</v>
      </c>
      <c r="E14662" s="28">
        <v>1.00000</v>
      </c>
      <c r="F14662" s="29">
        <f ca="1">ROUND(19.000,3)</f>
        <v>0</v>
      </c>
      <c r="G14662" s="27">
        <f ca="1">ROUND(E14662*F14662,2)</f>
        <v>0</v>
      </c>
    </row>
    <row r="14663" spans="1:7" ht="24.36" thickBot="1" customHeight="1">
      <c r="A14663" s="24" t="s">
        <v>46464</v>
      </c>
      <c r="B14663" s="24" t="s">
        <v>46465</v>
      </c>
      <c r="C14663" s="24" t="s">
        <v>46466</v>
      </c>
      <c r="D14663" s="25" t="s">
        <v>46467</v>
      </c>
      <c r="E14663" s="28">
        <v>0.20000</v>
      </c>
      <c r="F14663" s="29">
        <f ca="1">ROUND(19.000,3)</f>
        <v>0</v>
      </c>
      <c r="G14663" s="27">
        <f ca="1">ROUND(E14663*F14663,2)</f>
        <v>0</v>
      </c>
    </row>
    <row r="14664" spans="1:7" ht="15.12" thickBot="1" customHeight="1">
      <c r="A14664" s="26"/>
      <c r="B14664" s="26"/>
      <c r="C14664" s="26"/>
      <c r="D14664" s="24" t="s">
        <v>46468</v>
      </c>
      <c r="E14664" s="28">
        <v>0.80000</v>
      </c>
      <c r="F14664" s="29">
        <f ca="1">ROUND((G14661+G14662+G14663),3)</f>
        <v>0</v>
      </c>
      <c r="G14664" s="27">
        <f ca="1">ROUND(E14664*F14664,2)</f>
        <v>0</v>
      </c>
    </row>
    <row r="14665" spans="1:7" ht="15.12" thickBot="1" customHeight="1">
      <c r="A14665" s="24" t="s">
        <v>46469</v>
      </c>
      <c r="B14665" s="24"/>
      <c r="C14665" s="24" t="s">
        <v>46470</v>
      </c>
      <c r="D14665" s="25" t="s">
        <v>46471</v>
      </c>
      <c r="E14665" s="28">
        <v>5.00000</v>
      </c>
      <c r="F14665" s="29">
        <f ca="1">ROUND(35.040,3)</f>
        <v>0</v>
      </c>
      <c r="G14665" s="27">
        <f ca="1">ROUND((E14665*F14665)/100,2)</f>
        <v>0</v>
      </c>
    </row>
    <row r="14666" spans="1:7" ht="15.48" thickBot="1" customHeight="1">
      <c r="A14666" s="30"/>
      <c r="B14666" s="30"/>
      <c r="C14666" s="30"/>
      <c r="D14666" s="31" t="s">
        <v>46472</v>
      </c>
      <c r="E14666" s="30"/>
      <c r="F14666" s="33">
        <f ca="1">ROUND((G14653+G14654+G14655+G14656+G14657+G14658+G14659+G14660+G14665)*(1+G2/100),2)</f>
        <v>0</v>
      </c>
      <c r="G14666" s="30"/>
    </row>
    <row r="14667" spans="1:7" ht="58.32" thickBot="1" customHeight="1">
      <c r="A14667" s="34" t="s">
        <v>46473</v>
      </c>
      <c r="B14667" s="35" t="s">
        <v>46474</v>
      </c>
      <c r="C14667" s="35" t="s">
        <v>46475</v>
      </c>
      <c r="D14667" s="36" t="s">
        <v>46476</v>
      </c>
      <c r="E14667" s="37"/>
      <c r="F14667" s="38">
        <f ca="1">F14682</f>
        <v>0</v>
      </c>
      <c r="G14667" s="37"/>
    </row>
    <row r="14668" spans="1:7" ht="30.60" thickBot="1" customHeight="1">
      <c r="A14668" s="26"/>
      <c r="B14668" s="26"/>
      <c r="C14668" s="26"/>
      <c r="D14668" s="25" t="s">
        <v>46477</v>
      </c>
      <c r="E14668" s="25"/>
      <c r="F14668" s="25"/>
      <c r="G14668" s="25"/>
    </row>
    <row r="14669" spans="1:7" ht="30.60" thickBot="1" customHeight="1">
      <c r="A14669" s="24" t="s">
        <v>46478</v>
      </c>
      <c r="B14669" s="24" t="s">
        <v>46479</v>
      </c>
      <c r="C14669" s="24" t="s">
        <v>46480</v>
      </c>
      <c r="D14669" s="25" t="s">
        <v>46481</v>
      </c>
      <c r="E14669" s="28">
        <v>0.06000</v>
      </c>
      <c r="F14669" s="29">
        <f ca="1">ROUND(29.170,3)</f>
        <v>0</v>
      </c>
      <c r="G14669" s="27">
        <f ca="1">ROUND(E14669*F14669,2)</f>
        <v>0</v>
      </c>
    </row>
    <row r="14670" spans="1:7" ht="30.60" thickBot="1" customHeight="1">
      <c r="A14670" s="24" t="s">
        <v>46482</v>
      </c>
      <c r="B14670" s="24" t="s">
        <v>46483</v>
      </c>
      <c r="C14670" s="24" t="s">
        <v>46484</v>
      </c>
      <c r="D14670" s="25" t="s">
        <v>46485</v>
      </c>
      <c r="E14670" s="28">
        <v>1.00000</v>
      </c>
      <c r="F14670" s="29">
        <f ca="1">ROUND(7.890,3)</f>
        <v>0</v>
      </c>
      <c r="G14670" s="27">
        <f ca="1">ROUND(E14670*F14670,2)</f>
        <v>0</v>
      </c>
    </row>
    <row r="14671" spans="1:7" ht="21.36" thickBot="1" customHeight="1">
      <c r="A14671" s="24" t="s">
        <v>46486</v>
      </c>
      <c r="B14671" s="24" t="s">
        <v>46487</v>
      </c>
      <c r="C14671" s="24" t="s">
        <v>46488</v>
      </c>
      <c r="D14671" s="25" t="s">
        <v>46489</v>
      </c>
      <c r="E14671" s="28">
        <v>0.50000</v>
      </c>
      <c r="F14671" s="29">
        <f ca="1">ROUND(10.180,3)</f>
        <v>0</v>
      </c>
      <c r="G14671" s="27">
        <f ca="1">ROUND(E14671*F14671,2)</f>
        <v>0</v>
      </c>
    </row>
    <row r="14672" spans="1:7" ht="30.60" thickBot="1" customHeight="1">
      <c r="A14672" s="24" t="s">
        <v>46490</v>
      </c>
      <c r="B14672" s="24" t="s">
        <v>46491</v>
      </c>
      <c r="C14672" s="24" t="s">
        <v>46492</v>
      </c>
      <c r="D14672" s="25" t="s">
        <v>46493</v>
      </c>
      <c r="E14672" s="28">
        <v>0.02100</v>
      </c>
      <c r="F14672" s="29">
        <f ca="1">ROUND(27.500,3)</f>
        <v>0</v>
      </c>
      <c r="G14672" s="27">
        <f ca="1">ROUND(E14672*F14672,2)</f>
        <v>0</v>
      </c>
    </row>
    <row r="14673" spans="1:7" ht="21.36" thickBot="1" customHeight="1">
      <c r="A14673" s="24" t="s">
        <v>46494</v>
      </c>
      <c r="B14673" s="24" t="s">
        <v>46495</v>
      </c>
      <c r="C14673" s="24" t="s">
        <v>46496</v>
      </c>
      <c r="D14673" s="25" t="s">
        <v>46497</v>
      </c>
      <c r="E14673" s="28">
        <v>0.40000</v>
      </c>
      <c r="F14673" s="29">
        <f ca="1">ROUND(1.050,3)</f>
        <v>0</v>
      </c>
      <c r="G14673" s="27">
        <f ca="1">ROUND(E14673*F14673,2)</f>
        <v>0</v>
      </c>
    </row>
    <row r="14674" spans="1:7" ht="30.60" thickBot="1" customHeight="1">
      <c r="A14674" s="24" t="s">
        <v>46498</v>
      </c>
      <c r="B14674" s="24" t="s">
        <v>46499</v>
      </c>
      <c r="C14674" s="24" t="s">
        <v>46500</v>
      </c>
      <c r="D14674" s="25" t="s">
        <v>46501</v>
      </c>
      <c r="E14674" s="28">
        <v>0.50000</v>
      </c>
      <c r="F14674" s="29">
        <f ca="1">ROUND(1.760,3)</f>
        <v>0</v>
      </c>
      <c r="G14674" s="27">
        <f ca="1">ROUND(E14674*F14674,2)</f>
        <v>0</v>
      </c>
    </row>
    <row r="14675" spans="1:7" ht="21.36" thickBot="1" customHeight="1">
      <c r="A14675" s="24" t="s">
        <v>46502</v>
      </c>
      <c r="B14675" s="24" t="s">
        <v>46503</v>
      </c>
      <c r="C14675" s="24" t="s">
        <v>46504</v>
      </c>
      <c r="D14675" s="25" t="s">
        <v>46505</v>
      </c>
      <c r="E14675" s="28">
        <v>0.02444</v>
      </c>
      <c r="F14675" s="29">
        <f ca="1">ROUND(1.320,3)</f>
        <v>0</v>
      </c>
      <c r="G14675" s="27">
        <f ca="1">ROUND(E14675*F14675,2)</f>
        <v>0</v>
      </c>
    </row>
    <row r="14676" spans="1:7" ht="21.36" thickBot="1" customHeight="1">
      <c r="A14676" s="24" t="s">
        <v>46506</v>
      </c>
      <c r="B14676" s="24" t="s">
        <v>46507</v>
      </c>
      <c r="C14676" s="24" t="s">
        <v>46508</v>
      </c>
      <c r="D14676" s="25" t="s">
        <v>46509</v>
      </c>
      <c r="E14676" s="28">
        <v>0.57140</v>
      </c>
      <c r="F14676" s="29">
        <f ca="1">F14680</f>
        <v>0</v>
      </c>
      <c r="G14676" s="27">
        <f ca="1">ROUND(E14676*F14676,2)</f>
        <v>0</v>
      </c>
    </row>
    <row r="14677" spans="1:7" ht="24.36" thickBot="1" customHeight="1">
      <c r="A14677" s="24" t="s">
        <v>46510</v>
      </c>
      <c r="B14677" s="24" t="s">
        <v>46511</v>
      </c>
      <c r="C14677" s="24" t="s">
        <v>46512</v>
      </c>
      <c r="D14677" s="25" t="s">
        <v>46513</v>
      </c>
      <c r="E14677" s="28">
        <v>1.00000</v>
      </c>
      <c r="F14677" s="29">
        <f ca="1">ROUND(21.000,3)</f>
        <v>0</v>
      </c>
      <c r="G14677" s="27">
        <f ca="1">ROUND(E14677*F14677,2)</f>
        <v>0</v>
      </c>
    </row>
    <row r="14678" spans="1:7" ht="24.36" thickBot="1" customHeight="1">
      <c r="A14678" s="24" t="s">
        <v>46514</v>
      </c>
      <c r="B14678" s="24" t="s">
        <v>46515</v>
      </c>
      <c r="C14678" s="24" t="s">
        <v>46516</v>
      </c>
      <c r="D14678" s="25" t="s">
        <v>46517</v>
      </c>
      <c r="E14678" s="28">
        <v>1.00000</v>
      </c>
      <c r="F14678" s="29">
        <f ca="1">ROUND(19.000,3)</f>
        <v>0</v>
      </c>
      <c r="G14678" s="27">
        <f ca="1">ROUND(E14678*F14678,2)</f>
        <v>0</v>
      </c>
    </row>
    <row r="14679" spans="1:7" ht="24.36" thickBot="1" customHeight="1">
      <c r="A14679" s="24" t="s">
        <v>46518</v>
      </c>
      <c r="B14679" s="24" t="s">
        <v>46519</v>
      </c>
      <c r="C14679" s="24" t="s">
        <v>46520</v>
      </c>
      <c r="D14679" s="25" t="s">
        <v>46521</v>
      </c>
      <c r="E14679" s="28">
        <v>0.20000</v>
      </c>
      <c r="F14679" s="29">
        <f ca="1">ROUND(19.000,3)</f>
        <v>0</v>
      </c>
      <c r="G14679" s="27">
        <f ca="1">ROUND(E14679*F14679,2)</f>
        <v>0</v>
      </c>
    </row>
    <row r="14680" spans="1:7" ht="15.12" thickBot="1" customHeight="1">
      <c r="A14680" s="26"/>
      <c r="B14680" s="26"/>
      <c r="C14680" s="26"/>
      <c r="D14680" s="24" t="s">
        <v>46522</v>
      </c>
      <c r="E14680" s="28">
        <v>0.57140</v>
      </c>
      <c r="F14680" s="29">
        <f ca="1">ROUND((G14677+G14678+G14679),3)</f>
        <v>0</v>
      </c>
      <c r="G14680" s="27">
        <f ca="1">ROUND(E14680*F14680,2)</f>
        <v>0</v>
      </c>
    </row>
    <row r="14681" spans="1:7" ht="15.12" thickBot="1" customHeight="1">
      <c r="A14681" s="24" t="s">
        <v>46523</v>
      </c>
      <c r="B14681" s="24"/>
      <c r="C14681" s="24" t="s">
        <v>46524</v>
      </c>
      <c r="D14681" s="25" t="s">
        <v>46525</v>
      </c>
      <c r="E14681" s="28">
        <v>5.00000</v>
      </c>
      <c r="F14681" s="29">
        <f ca="1">ROUND(25.030,3)</f>
        <v>0</v>
      </c>
      <c r="G14681" s="27">
        <f ca="1">ROUND((E14681*F14681)/100,2)</f>
        <v>0</v>
      </c>
    </row>
    <row r="14682" spans="1:7" ht="15.48" thickBot="1" customHeight="1">
      <c r="A14682" s="30"/>
      <c r="B14682" s="30"/>
      <c r="C14682" s="30"/>
      <c r="D14682" s="31" t="s">
        <v>46526</v>
      </c>
      <c r="E14682" s="30"/>
      <c r="F14682" s="33">
        <f ca="1">ROUND((G14669+G14670+G14671+G14672+G14673+G14674+G14675+G14676+G14681)*(1+G2/100),2)</f>
        <v>0</v>
      </c>
      <c r="G14682" s="30"/>
    </row>
    <row r="14683" spans="1:7" ht="58.32" thickBot="1" customHeight="1">
      <c r="A14683" s="34" t="s">
        <v>46527</v>
      </c>
      <c r="B14683" s="35" t="s">
        <v>46528</v>
      </c>
      <c r="C14683" s="35" t="s">
        <v>46529</v>
      </c>
      <c r="D14683" s="36" t="s">
        <v>46530</v>
      </c>
      <c r="E14683" s="37"/>
      <c r="F14683" s="38">
        <f ca="1">F14697</f>
        <v>0</v>
      </c>
      <c r="G14683" s="37"/>
    </row>
    <row r="14684" spans="1:7" ht="30.60" thickBot="1" customHeight="1">
      <c r="A14684" s="26"/>
      <c r="B14684" s="26"/>
      <c r="C14684" s="26"/>
      <c r="D14684" s="25" t="s">
        <v>46531</v>
      </c>
      <c r="E14684" s="25"/>
      <c r="F14684" s="25"/>
      <c r="G14684" s="25"/>
    </row>
    <row r="14685" spans="1:7" ht="30.60" thickBot="1" customHeight="1">
      <c r="A14685" s="24" t="s">
        <v>46532</v>
      </c>
      <c r="B14685" s="24" t="s">
        <v>46533</v>
      </c>
      <c r="C14685" s="24" t="s">
        <v>46534</v>
      </c>
      <c r="D14685" s="25" t="s">
        <v>46535</v>
      </c>
      <c r="E14685" s="28">
        <v>0.06000</v>
      </c>
      <c r="F14685" s="29">
        <f ca="1">ROUND(29.170,3)</f>
        <v>0</v>
      </c>
      <c r="G14685" s="27">
        <f ca="1">ROUND(E14685*F14685,2)</f>
        <v>0</v>
      </c>
    </row>
    <row r="14686" spans="1:7" ht="30.60" thickBot="1" customHeight="1">
      <c r="A14686" s="24" t="s">
        <v>46536</v>
      </c>
      <c r="B14686" s="24" t="s">
        <v>46537</v>
      </c>
      <c r="C14686" s="24" t="s">
        <v>46538</v>
      </c>
      <c r="D14686" s="25" t="s">
        <v>46539</v>
      </c>
      <c r="E14686" s="28">
        <v>1.32300</v>
      </c>
      <c r="F14686" s="29">
        <f ca="1">ROUND(6.150,3)</f>
        <v>0</v>
      </c>
      <c r="G14686" s="27">
        <f ca="1">ROUND(E14686*F14686,2)</f>
        <v>0</v>
      </c>
    </row>
    <row r="14687" spans="1:7" ht="30.60" thickBot="1" customHeight="1">
      <c r="A14687" s="24" t="s">
        <v>46540</v>
      </c>
      <c r="B14687" s="24" t="s">
        <v>46541</v>
      </c>
      <c r="C14687" s="24" t="s">
        <v>46542</v>
      </c>
      <c r="D14687" s="25" t="s">
        <v>46543</v>
      </c>
      <c r="E14687" s="28">
        <v>0.02100</v>
      </c>
      <c r="F14687" s="29">
        <f ca="1">ROUND(27.500,3)</f>
        <v>0</v>
      </c>
      <c r="G14687" s="27">
        <f ca="1">ROUND(E14687*F14687,2)</f>
        <v>0</v>
      </c>
    </row>
    <row r="14688" spans="1:7" ht="21.36" thickBot="1" customHeight="1">
      <c r="A14688" s="24" t="s">
        <v>46544</v>
      </c>
      <c r="B14688" s="24" t="s">
        <v>46545</v>
      </c>
      <c r="C14688" s="24" t="s">
        <v>46546</v>
      </c>
      <c r="D14688" s="25" t="s">
        <v>46547</v>
      </c>
      <c r="E14688" s="28">
        <v>0.40000</v>
      </c>
      <c r="F14688" s="29">
        <f ca="1">ROUND(1.050,3)</f>
        <v>0</v>
      </c>
      <c r="G14688" s="27">
        <f ca="1">ROUND(E14688*F14688,2)</f>
        <v>0</v>
      </c>
    </row>
    <row r="14689" spans="1:7" ht="30.60" thickBot="1" customHeight="1">
      <c r="A14689" s="24" t="s">
        <v>46548</v>
      </c>
      <c r="B14689" s="24" t="s">
        <v>46549</v>
      </c>
      <c r="C14689" s="24" t="s">
        <v>46550</v>
      </c>
      <c r="D14689" s="25" t="s">
        <v>46551</v>
      </c>
      <c r="E14689" s="28">
        <v>0.50000</v>
      </c>
      <c r="F14689" s="29">
        <f ca="1">ROUND(1.760,3)</f>
        <v>0</v>
      </c>
      <c r="G14689" s="27">
        <f ca="1">ROUND(E14689*F14689,2)</f>
        <v>0</v>
      </c>
    </row>
    <row r="14690" spans="1:7" ht="21.36" thickBot="1" customHeight="1">
      <c r="A14690" s="24" t="s">
        <v>46552</v>
      </c>
      <c r="B14690" s="24" t="s">
        <v>46553</v>
      </c>
      <c r="C14690" s="24" t="s">
        <v>46554</v>
      </c>
      <c r="D14690" s="25" t="s">
        <v>46555</v>
      </c>
      <c r="E14690" s="28">
        <v>0.02444</v>
      </c>
      <c r="F14690" s="29">
        <f ca="1">ROUND(1.320,3)</f>
        <v>0</v>
      </c>
      <c r="G14690" s="27">
        <f ca="1">ROUND(E14690*F14690,2)</f>
        <v>0</v>
      </c>
    </row>
    <row r="14691" spans="1:7" ht="21.36" thickBot="1" customHeight="1">
      <c r="A14691" s="24" t="s">
        <v>46556</v>
      </c>
      <c r="B14691" s="24" t="s">
        <v>46557</v>
      </c>
      <c r="C14691" s="24" t="s">
        <v>46558</v>
      </c>
      <c r="D14691" s="25" t="s">
        <v>46559</v>
      </c>
      <c r="E14691" s="28">
        <v>0.72730</v>
      </c>
      <c r="F14691" s="29">
        <f ca="1">F14695</f>
        <v>0</v>
      </c>
      <c r="G14691" s="27">
        <f ca="1">ROUND(E14691*F14691,2)</f>
        <v>0</v>
      </c>
    </row>
    <row r="14692" spans="1:7" ht="24.36" thickBot="1" customHeight="1">
      <c r="A14692" s="24" t="s">
        <v>46560</v>
      </c>
      <c r="B14692" s="24" t="s">
        <v>46561</v>
      </c>
      <c r="C14692" s="24" t="s">
        <v>46562</v>
      </c>
      <c r="D14692" s="25" t="s">
        <v>46563</v>
      </c>
      <c r="E14692" s="28">
        <v>1.00000</v>
      </c>
      <c r="F14692" s="29">
        <f ca="1">ROUND(21.000,3)</f>
        <v>0</v>
      </c>
      <c r="G14692" s="27">
        <f ca="1">ROUND(E14692*F14692,2)</f>
        <v>0</v>
      </c>
    </row>
    <row r="14693" spans="1:7" ht="24.36" thickBot="1" customHeight="1">
      <c r="A14693" s="24" t="s">
        <v>46564</v>
      </c>
      <c r="B14693" s="24" t="s">
        <v>46565</v>
      </c>
      <c r="C14693" s="24" t="s">
        <v>46566</v>
      </c>
      <c r="D14693" s="25" t="s">
        <v>46567</v>
      </c>
      <c r="E14693" s="28">
        <v>1.00000</v>
      </c>
      <c r="F14693" s="29">
        <f ca="1">ROUND(19.000,3)</f>
        <v>0</v>
      </c>
      <c r="G14693" s="27">
        <f ca="1">ROUND(E14693*F14693,2)</f>
        <v>0</v>
      </c>
    </row>
    <row r="14694" spans="1:7" ht="24.36" thickBot="1" customHeight="1">
      <c r="A14694" s="24" t="s">
        <v>46568</v>
      </c>
      <c r="B14694" s="24" t="s">
        <v>46569</v>
      </c>
      <c r="C14694" s="24" t="s">
        <v>46570</v>
      </c>
      <c r="D14694" s="25" t="s">
        <v>46571</v>
      </c>
      <c r="E14694" s="28">
        <v>0.20000</v>
      </c>
      <c r="F14694" s="29">
        <f ca="1">ROUND(19.000,3)</f>
        <v>0</v>
      </c>
      <c r="G14694" s="27">
        <f ca="1">ROUND(E14694*F14694,2)</f>
        <v>0</v>
      </c>
    </row>
    <row r="14695" spans="1:7" ht="15.12" thickBot="1" customHeight="1">
      <c r="A14695" s="26"/>
      <c r="B14695" s="26"/>
      <c r="C14695" s="26"/>
      <c r="D14695" s="24" t="s">
        <v>46572</v>
      </c>
      <c r="E14695" s="28">
        <v>0.72730</v>
      </c>
      <c r="F14695" s="29">
        <f ca="1">ROUND((G14692+G14693+G14694),3)</f>
        <v>0</v>
      </c>
      <c r="G14695" s="27">
        <f ca="1">ROUND(E14695*F14695,2)</f>
        <v>0</v>
      </c>
    </row>
    <row r="14696" spans="1:7" ht="15.12" thickBot="1" customHeight="1">
      <c r="A14696" s="24" t="s">
        <v>46573</v>
      </c>
      <c r="B14696" s="24"/>
      <c r="C14696" s="24" t="s">
        <v>46574</v>
      </c>
      <c r="D14696" s="25" t="s">
        <v>46575</v>
      </c>
      <c r="E14696" s="28">
        <v>5.00000</v>
      </c>
      <c r="F14696" s="29">
        <f ca="1">ROUND(31.860,3)</f>
        <v>0</v>
      </c>
      <c r="G14696" s="27">
        <f ca="1">ROUND((E14696*F14696)/100,2)</f>
        <v>0</v>
      </c>
    </row>
    <row r="14697" spans="1:7" ht="15.48" thickBot="1" customHeight="1">
      <c r="A14697" s="30"/>
      <c r="B14697" s="30"/>
      <c r="C14697" s="30"/>
      <c r="D14697" s="31" t="s">
        <v>46576</v>
      </c>
      <c r="E14697" s="30"/>
      <c r="F14697" s="33">
        <f ca="1">ROUND((G14685+G14686+G14687+G14688+G14689+G14690+G14691+G14696)*(1+G2/100),2)</f>
        <v>0</v>
      </c>
      <c r="G14697" s="30"/>
    </row>
    <row r="14698" spans="1:7" ht="58.32" thickBot="1" customHeight="1">
      <c r="A14698" s="34" t="s">
        <v>46577</v>
      </c>
      <c r="B14698" s="35" t="s">
        <v>46578</v>
      </c>
      <c r="C14698" s="35" t="s">
        <v>46579</v>
      </c>
      <c r="D14698" s="36" t="s">
        <v>46580</v>
      </c>
      <c r="E14698" s="37"/>
      <c r="F14698" s="38">
        <f ca="1">F14712</f>
        <v>0</v>
      </c>
      <c r="G14698" s="37"/>
    </row>
    <row r="14699" spans="1:7" ht="30.60" thickBot="1" customHeight="1">
      <c r="A14699" s="26"/>
      <c r="B14699" s="26"/>
      <c r="C14699" s="26"/>
      <c r="D14699" s="25" t="s">
        <v>46581</v>
      </c>
      <c r="E14699" s="25"/>
      <c r="F14699" s="25"/>
      <c r="G14699" s="25"/>
    </row>
    <row r="14700" spans="1:7" ht="30.60" thickBot="1" customHeight="1">
      <c r="A14700" s="24" t="s">
        <v>46582</v>
      </c>
      <c r="B14700" s="24" t="s">
        <v>46583</v>
      </c>
      <c r="C14700" s="24" t="s">
        <v>46584</v>
      </c>
      <c r="D14700" s="25" t="s">
        <v>46585</v>
      </c>
      <c r="E14700" s="28">
        <v>0.06000</v>
      </c>
      <c r="F14700" s="29">
        <f ca="1">ROUND(29.170,3)</f>
        <v>0</v>
      </c>
      <c r="G14700" s="27">
        <f ca="1">ROUND(E14700*F14700,2)</f>
        <v>0</v>
      </c>
    </row>
    <row r="14701" spans="1:7" ht="30.60" thickBot="1" customHeight="1">
      <c r="A14701" s="24" t="s">
        <v>46586</v>
      </c>
      <c r="B14701" s="24" t="s">
        <v>46587</v>
      </c>
      <c r="C14701" s="24" t="s">
        <v>46588</v>
      </c>
      <c r="D14701" s="25" t="s">
        <v>46589</v>
      </c>
      <c r="E14701" s="28">
        <v>1.32300</v>
      </c>
      <c r="F14701" s="29">
        <f ca="1">ROUND(6.150,3)</f>
        <v>0</v>
      </c>
      <c r="G14701" s="27">
        <f ca="1">ROUND(E14701*F14701,2)</f>
        <v>0</v>
      </c>
    </row>
    <row r="14702" spans="1:7" ht="30.60" thickBot="1" customHeight="1">
      <c r="A14702" s="24" t="s">
        <v>46590</v>
      </c>
      <c r="B14702" s="24" t="s">
        <v>46591</v>
      </c>
      <c r="C14702" s="24" t="s">
        <v>46592</v>
      </c>
      <c r="D14702" s="25" t="s">
        <v>46593</v>
      </c>
      <c r="E14702" s="28">
        <v>0.02100</v>
      </c>
      <c r="F14702" s="29">
        <f ca="1">ROUND(27.500,3)</f>
        <v>0</v>
      </c>
      <c r="G14702" s="27">
        <f ca="1">ROUND(E14702*F14702,2)</f>
        <v>0</v>
      </c>
    </row>
    <row r="14703" spans="1:7" ht="21.36" thickBot="1" customHeight="1">
      <c r="A14703" s="24" t="s">
        <v>46594</v>
      </c>
      <c r="B14703" s="24" t="s">
        <v>46595</v>
      </c>
      <c r="C14703" s="24" t="s">
        <v>46596</v>
      </c>
      <c r="D14703" s="25" t="s">
        <v>46597</v>
      </c>
      <c r="E14703" s="28">
        <v>0.40000</v>
      </c>
      <c r="F14703" s="29">
        <f ca="1">ROUND(1.050,3)</f>
        <v>0</v>
      </c>
      <c r="G14703" s="27">
        <f ca="1">ROUND(E14703*F14703,2)</f>
        <v>0</v>
      </c>
    </row>
    <row r="14704" spans="1:7" ht="30.60" thickBot="1" customHeight="1">
      <c r="A14704" s="24" t="s">
        <v>46598</v>
      </c>
      <c r="B14704" s="24" t="s">
        <v>46599</v>
      </c>
      <c r="C14704" s="24" t="s">
        <v>46600</v>
      </c>
      <c r="D14704" s="25" t="s">
        <v>46601</v>
      </c>
      <c r="E14704" s="28">
        <v>0.50000</v>
      </c>
      <c r="F14704" s="29">
        <f ca="1">ROUND(1.760,3)</f>
        <v>0</v>
      </c>
      <c r="G14704" s="27">
        <f ca="1">ROUND(E14704*F14704,2)</f>
        <v>0</v>
      </c>
    </row>
    <row r="14705" spans="1:7" ht="21.36" thickBot="1" customHeight="1">
      <c r="A14705" s="24" t="s">
        <v>46602</v>
      </c>
      <c r="B14705" s="24" t="s">
        <v>46603</v>
      </c>
      <c r="C14705" s="24" t="s">
        <v>46604</v>
      </c>
      <c r="D14705" s="25" t="s">
        <v>46605</v>
      </c>
      <c r="E14705" s="28">
        <v>0.02444</v>
      </c>
      <c r="F14705" s="29">
        <f ca="1">ROUND(1.320,3)</f>
        <v>0</v>
      </c>
      <c r="G14705" s="27">
        <f ca="1">ROUND(E14705*F14705,2)</f>
        <v>0</v>
      </c>
    </row>
    <row r="14706" spans="1:7" ht="21.36" thickBot="1" customHeight="1">
      <c r="A14706" s="24" t="s">
        <v>46606</v>
      </c>
      <c r="B14706" s="24" t="s">
        <v>46607</v>
      </c>
      <c r="C14706" s="24" t="s">
        <v>46608</v>
      </c>
      <c r="D14706" s="25" t="s">
        <v>46609</v>
      </c>
      <c r="E14706" s="28">
        <v>0.53333</v>
      </c>
      <c r="F14706" s="29">
        <f ca="1">F14710</f>
        <v>0</v>
      </c>
      <c r="G14706" s="27">
        <f ca="1">ROUND(E14706*F14706,2)</f>
        <v>0</v>
      </c>
    </row>
    <row r="14707" spans="1:7" ht="24.36" thickBot="1" customHeight="1">
      <c r="A14707" s="24" t="s">
        <v>46610</v>
      </c>
      <c r="B14707" s="24" t="s">
        <v>46611</v>
      </c>
      <c r="C14707" s="24" t="s">
        <v>46612</v>
      </c>
      <c r="D14707" s="25" t="s">
        <v>46613</v>
      </c>
      <c r="E14707" s="28">
        <v>1.00000</v>
      </c>
      <c r="F14707" s="29">
        <f ca="1">ROUND(21.000,3)</f>
        <v>0</v>
      </c>
      <c r="G14707" s="27">
        <f ca="1">ROUND(E14707*F14707,2)</f>
        <v>0</v>
      </c>
    </row>
    <row r="14708" spans="1:7" ht="24.36" thickBot="1" customHeight="1">
      <c r="A14708" s="24" t="s">
        <v>46614</v>
      </c>
      <c r="B14708" s="24" t="s">
        <v>46615</v>
      </c>
      <c r="C14708" s="24" t="s">
        <v>46616</v>
      </c>
      <c r="D14708" s="25" t="s">
        <v>46617</v>
      </c>
      <c r="E14708" s="28">
        <v>1.00000</v>
      </c>
      <c r="F14708" s="29">
        <f ca="1">ROUND(19.000,3)</f>
        <v>0</v>
      </c>
      <c r="G14708" s="27">
        <f ca="1">ROUND(E14708*F14708,2)</f>
        <v>0</v>
      </c>
    </row>
    <row r="14709" spans="1:7" ht="24.36" thickBot="1" customHeight="1">
      <c r="A14709" s="24" t="s">
        <v>46618</v>
      </c>
      <c r="B14709" s="24" t="s">
        <v>46619</v>
      </c>
      <c r="C14709" s="24" t="s">
        <v>46620</v>
      </c>
      <c r="D14709" s="25" t="s">
        <v>46621</v>
      </c>
      <c r="E14709" s="28">
        <v>0.20000</v>
      </c>
      <c r="F14709" s="29">
        <f ca="1">ROUND(19.000,3)</f>
        <v>0</v>
      </c>
      <c r="G14709" s="27">
        <f ca="1">ROUND(E14709*F14709,2)</f>
        <v>0</v>
      </c>
    </row>
    <row r="14710" spans="1:7" ht="15.12" thickBot="1" customHeight="1">
      <c r="A14710" s="26"/>
      <c r="B14710" s="26"/>
      <c r="C14710" s="26"/>
      <c r="D14710" s="24" t="s">
        <v>46622</v>
      </c>
      <c r="E14710" s="28">
        <v>0.53333</v>
      </c>
      <c r="F14710" s="29">
        <f ca="1">ROUND((G14707+G14708+G14709),3)</f>
        <v>0</v>
      </c>
      <c r="G14710" s="27">
        <f ca="1">ROUND(E14710*F14710,2)</f>
        <v>0</v>
      </c>
    </row>
    <row r="14711" spans="1:7" ht="15.12" thickBot="1" customHeight="1">
      <c r="A14711" s="24" t="s">
        <v>46623</v>
      </c>
      <c r="B14711" s="24"/>
      <c r="C14711" s="24" t="s">
        <v>46624</v>
      </c>
      <c r="D14711" s="25" t="s">
        <v>46625</v>
      </c>
      <c r="E14711" s="28">
        <v>5.00000</v>
      </c>
      <c r="F14711" s="29">
        <f ca="1">ROUND(23.360,3)</f>
        <v>0</v>
      </c>
      <c r="G14711" s="27">
        <f ca="1">ROUND((E14711*F14711)/100,2)</f>
        <v>0</v>
      </c>
    </row>
    <row r="14712" spans="1:7" ht="15.48" thickBot="1" customHeight="1">
      <c r="A14712" s="30"/>
      <c r="B14712" s="30"/>
      <c r="C14712" s="30"/>
      <c r="D14712" s="31" t="s">
        <v>46626</v>
      </c>
      <c r="E14712" s="30"/>
      <c r="F14712" s="33">
        <f ca="1">ROUND((G14700+G14701+G14702+G14703+G14704+G14705+G14706+G14711)*(1+G2/100),2)</f>
        <v>0</v>
      </c>
      <c r="G14712" s="30"/>
    </row>
    <row r="14713" spans="1:7" ht="67.56" thickBot="1" customHeight="1">
      <c r="A14713" s="34" t="s">
        <v>46627</v>
      </c>
      <c r="B14713" s="35" t="s">
        <v>46628</v>
      </c>
      <c r="C14713" s="35" t="s">
        <v>46629</v>
      </c>
      <c r="D14713" s="36" t="s">
        <v>46630</v>
      </c>
      <c r="E14713" s="37"/>
      <c r="F14713" s="38">
        <f ca="1">F14729</f>
        <v>0</v>
      </c>
      <c r="G14713" s="37"/>
    </row>
    <row r="14714" spans="1:7" ht="30.60" thickBot="1" customHeight="1">
      <c r="A14714" s="26"/>
      <c r="B14714" s="26"/>
      <c r="C14714" s="26"/>
      <c r="D14714" s="25" t="s">
        <v>46631</v>
      </c>
      <c r="E14714" s="25"/>
      <c r="F14714" s="25"/>
      <c r="G14714" s="25"/>
    </row>
    <row r="14715" spans="1:7" ht="30.60" thickBot="1" customHeight="1">
      <c r="A14715" s="24" t="s">
        <v>46632</v>
      </c>
      <c r="B14715" s="24" t="s">
        <v>46633</v>
      </c>
      <c r="C14715" s="24" t="s">
        <v>46634</v>
      </c>
      <c r="D14715" s="25" t="s">
        <v>46635</v>
      </c>
      <c r="E14715" s="28">
        <v>0.06000</v>
      </c>
      <c r="F14715" s="29">
        <f ca="1">ROUND(29.170,3)</f>
        <v>0</v>
      </c>
      <c r="G14715" s="27">
        <f ca="1">ROUND(E14715*F14715,2)</f>
        <v>0</v>
      </c>
    </row>
    <row r="14716" spans="1:7" ht="30.60" thickBot="1" customHeight="1">
      <c r="A14716" s="24" t="s">
        <v>46636</v>
      </c>
      <c r="B14716" s="24" t="s">
        <v>46637</v>
      </c>
      <c r="C14716" s="24" t="s">
        <v>46638</v>
      </c>
      <c r="D14716" s="25" t="s">
        <v>46639</v>
      </c>
      <c r="E14716" s="28">
        <v>1.00000</v>
      </c>
      <c r="F14716" s="29">
        <f ca="1">ROUND(11.740,3)</f>
        <v>0</v>
      </c>
      <c r="G14716" s="27">
        <f ca="1">ROUND(E14716*F14716,2)</f>
        <v>0</v>
      </c>
    </row>
    <row r="14717" spans="1:7" ht="30.60" thickBot="1" customHeight="1">
      <c r="A14717" s="24" t="s">
        <v>46640</v>
      </c>
      <c r="B14717" s="24" t="s">
        <v>46641</v>
      </c>
      <c r="C14717" s="24" t="s">
        <v>46642</v>
      </c>
      <c r="D14717" s="25" t="s">
        <v>46643</v>
      </c>
      <c r="E14717" s="28">
        <v>0.50000</v>
      </c>
      <c r="F14717" s="29">
        <f ca="1">ROUND(6.720,3)</f>
        <v>0</v>
      </c>
      <c r="G14717" s="27">
        <f ca="1">ROUND(E14717*F14717,2)</f>
        <v>0</v>
      </c>
    </row>
    <row r="14718" spans="1:7" ht="30.60" thickBot="1" customHeight="1">
      <c r="A14718" s="24" t="s">
        <v>46644</v>
      </c>
      <c r="B14718" s="24" t="s">
        <v>46645</v>
      </c>
      <c r="C14718" s="24" t="s">
        <v>46646</v>
      </c>
      <c r="D14718" s="25" t="s">
        <v>46647</v>
      </c>
      <c r="E14718" s="28">
        <v>0.02100</v>
      </c>
      <c r="F14718" s="29">
        <f ca="1">ROUND(27.500,3)</f>
        <v>0</v>
      </c>
      <c r="G14718" s="27">
        <f ca="1">ROUND(E14718*F14718,2)</f>
        <v>0</v>
      </c>
    </row>
    <row r="14719" spans="1:7" ht="21.36" thickBot="1" customHeight="1">
      <c r="A14719" s="24" t="s">
        <v>46648</v>
      </c>
      <c r="B14719" s="24" t="s">
        <v>46649</v>
      </c>
      <c r="C14719" s="24" t="s">
        <v>46650</v>
      </c>
      <c r="D14719" s="25" t="s">
        <v>46651</v>
      </c>
      <c r="E14719" s="28">
        <v>0.40000</v>
      </c>
      <c r="F14719" s="29">
        <f ca="1">ROUND(1.050,3)</f>
        <v>0</v>
      </c>
      <c r="G14719" s="27">
        <f ca="1">ROUND(E14719*F14719,2)</f>
        <v>0</v>
      </c>
    </row>
    <row r="14720" spans="1:7" ht="30.60" thickBot="1" customHeight="1">
      <c r="A14720" s="24" t="s">
        <v>46652</v>
      </c>
      <c r="B14720" s="24" t="s">
        <v>46653</v>
      </c>
      <c r="C14720" s="24" t="s">
        <v>46654</v>
      </c>
      <c r="D14720" s="25" t="s">
        <v>46655</v>
      </c>
      <c r="E14720" s="28">
        <v>0.50000</v>
      </c>
      <c r="F14720" s="29">
        <f ca="1">ROUND(1.760,3)</f>
        <v>0</v>
      </c>
      <c r="G14720" s="27">
        <f ca="1">ROUND(E14720*F14720,2)</f>
        <v>0</v>
      </c>
    </row>
    <row r="14721" spans="1:7" ht="21.36" thickBot="1" customHeight="1">
      <c r="A14721" s="24" t="s">
        <v>46656</v>
      </c>
      <c r="B14721" s="24" t="s">
        <v>46657</v>
      </c>
      <c r="C14721" s="24" t="s">
        <v>46658</v>
      </c>
      <c r="D14721" s="25" t="s">
        <v>46659</v>
      </c>
      <c r="E14721" s="28">
        <v>0.02444</v>
      </c>
      <c r="F14721" s="29">
        <f ca="1">ROUND(1.320,3)</f>
        <v>0</v>
      </c>
      <c r="G14721" s="27">
        <f ca="1">ROUND(E14721*F14721,2)</f>
        <v>0</v>
      </c>
    </row>
    <row r="14722" spans="1:7" ht="21.36" thickBot="1" customHeight="1">
      <c r="A14722" s="24" t="s">
        <v>46660</v>
      </c>
      <c r="B14722" s="24" t="s">
        <v>46661</v>
      </c>
      <c r="C14722" s="24" t="s">
        <v>46662</v>
      </c>
      <c r="D14722" s="25" t="s">
        <v>46663</v>
      </c>
      <c r="E14722" s="28">
        <v>0.20000</v>
      </c>
      <c r="F14722" s="29">
        <f ca="1">ROUND(11.500,3)</f>
        <v>0</v>
      </c>
      <c r="G14722" s="27">
        <f ca="1">ROUND(E14722*F14722,2)</f>
        <v>0</v>
      </c>
    </row>
    <row r="14723" spans="1:7" ht="21.36" thickBot="1" customHeight="1">
      <c r="A14723" s="24" t="s">
        <v>46664</v>
      </c>
      <c r="B14723" s="24" t="s">
        <v>46665</v>
      </c>
      <c r="C14723" s="24" t="s">
        <v>46666</v>
      </c>
      <c r="D14723" s="25" t="s">
        <v>46667</v>
      </c>
      <c r="E14723" s="28">
        <v>0.47060</v>
      </c>
      <c r="F14723" s="29">
        <f ca="1">F14727</f>
        <v>0</v>
      </c>
      <c r="G14723" s="27">
        <f ca="1">ROUND(E14723*F14723,2)</f>
        <v>0</v>
      </c>
    </row>
    <row r="14724" spans="1:7" ht="24.36" thickBot="1" customHeight="1">
      <c r="A14724" s="24" t="s">
        <v>46668</v>
      </c>
      <c r="B14724" s="24" t="s">
        <v>46669</v>
      </c>
      <c r="C14724" s="24" t="s">
        <v>46670</v>
      </c>
      <c r="D14724" s="25" t="s">
        <v>46671</v>
      </c>
      <c r="E14724" s="28">
        <v>1.00000</v>
      </c>
      <c r="F14724" s="29">
        <f ca="1">ROUND(21.000,3)</f>
        <v>0</v>
      </c>
      <c r="G14724" s="27">
        <f ca="1">ROUND(E14724*F14724,2)</f>
        <v>0</v>
      </c>
    </row>
    <row r="14725" spans="1:7" ht="24.36" thickBot="1" customHeight="1">
      <c r="A14725" s="24" t="s">
        <v>46672</v>
      </c>
      <c r="B14725" s="24" t="s">
        <v>46673</v>
      </c>
      <c r="C14725" s="24" t="s">
        <v>46674</v>
      </c>
      <c r="D14725" s="25" t="s">
        <v>46675</v>
      </c>
      <c r="E14725" s="28">
        <v>1.00000</v>
      </c>
      <c r="F14725" s="29">
        <f ca="1">ROUND(19.000,3)</f>
        <v>0</v>
      </c>
      <c r="G14725" s="27">
        <f ca="1">ROUND(E14725*F14725,2)</f>
        <v>0</v>
      </c>
    </row>
    <row r="14726" spans="1:7" ht="24.36" thickBot="1" customHeight="1">
      <c r="A14726" s="24" t="s">
        <v>46676</v>
      </c>
      <c r="B14726" s="24" t="s">
        <v>46677</v>
      </c>
      <c r="C14726" s="24" t="s">
        <v>46678</v>
      </c>
      <c r="D14726" s="25" t="s">
        <v>46679</v>
      </c>
      <c r="E14726" s="28">
        <v>0.20000</v>
      </c>
      <c r="F14726" s="29">
        <f ca="1">ROUND(19.000,3)</f>
        <v>0</v>
      </c>
      <c r="G14726" s="27">
        <f ca="1">ROUND(E14726*F14726,2)</f>
        <v>0</v>
      </c>
    </row>
    <row r="14727" spans="1:7" ht="15.12" thickBot="1" customHeight="1">
      <c r="A14727" s="26"/>
      <c r="B14727" s="26"/>
      <c r="C14727" s="26"/>
      <c r="D14727" s="24" t="s">
        <v>46680</v>
      </c>
      <c r="E14727" s="28">
        <v>0.47060</v>
      </c>
      <c r="F14727" s="29">
        <f ca="1">ROUND((G14724+G14725+G14726),3)</f>
        <v>0</v>
      </c>
      <c r="G14727" s="27">
        <f ca="1">ROUND(E14727*F14727,2)</f>
        <v>0</v>
      </c>
    </row>
    <row r="14728" spans="1:7" ht="15.12" thickBot="1" customHeight="1">
      <c r="A14728" s="24" t="s">
        <v>46681</v>
      </c>
      <c r="B14728" s="24"/>
      <c r="C14728" s="24" t="s">
        <v>46682</v>
      </c>
      <c r="D14728" s="25" t="s">
        <v>46683</v>
      </c>
      <c r="E14728" s="28">
        <v>3.00000</v>
      </c>
      <c r="F14728" s="29">
        <f ca="1">ROUND(20.610,3)</f>
        <v>0</v>
      </c>
      <c r="G14728" s="27">
        <f ca="1">ROUND((E14728*F14728)/100,2)</f>
        <v>0</v>
      </c>
    </row>
    <row r="14729" spans="1:7" ht="15.48" thickBot="1" customHeight="1">
      <c r="A14729" s="30"/>
      <c r="B14729" s="30"/>
      <c r="C14729" s="30"/>
      <c r="D14729" s="31" t="s">
        <v>46684</v>
      </c>
      <c r="E14729" s="30"/>
      <c r="F14729" s="33">
        <f ca="1">ROUND((G14715+G14716+G14717+G14718+G14719+G14720+G14721+G14722+G14723+G14728)*(1+G2/100),2)</f>
        <v>0</v>
      </c>
      <c r="G14729" s="30"/>
    </row>
    <row r="14730" spans="1:7" ht="67.56" thickBot="1" customHeight="1">
      <c r="A14730" s="34" t="s">
        <v>46685</v>
      </c>
      <c r="B14730" s="35" t="s">
        <v>46686</v>
      </c>
      <c r="C14730" s="35" t="s">
        <v>46687</v>
      </c>
      <c r="D14730" s="36" t="s">
        <v>46688</v>
      </c>
      <c r="E14730" s="37"/>
      <c r="F14730" s="38">
        <f ca="1">F14746</f>
        <v>0</v>
      </c>
      <c r="G14730" s="37"/>
    </row>
    <row r="14731" spans="1:7" ht="30.60" thickBot="1" customHeight="1">
      <c r="A14731" s="26"/>
      <c r="B14731" s="26"/>
      <c r="C14731" s="26"/>
      <c r="D14731" s="25" t="s">
        <v>46689</v>
      </c>
      <c r="E14731" s="25"/>
      <c r="F14731" s="25"/>
      <c r="G14731" s="25"/>
    </row>
    <row r="14732" spans="1:7" ht="30.60" thickBot="1" customHeight="1">
      <c r="A14732" s="24" t="s">
        <v>46690</v>
      </c>
      <c r="B14732" s="24" t="s">
        <v>46691</v>
      </c>
      <c r="C14732" s="24" t="s">
        <v>46692</v>
      </c>
      <c r="D14732" s="25" t="s">
        <v>46693</v>
      </c>
      <c r="E14732" s="28">
        <v>0.06000</v>
      </c>
      <c r="F14732" s="29">
        <f ca="1">ROUND(29.170,3)</f>
        <v>0</v>
      </c>
      <c r="G14732" s="27">
        <f ca="1">ROUND(E14732*F14732,2)</f>
        <v>0</v>
      </c>
    </row>
    <row r="14733" spans="1:7" ht="30.60" thickBot="1" customHeight="1">
      <c r="A14733" s="24" t="s">
        <v>46694</v>
      </c>
      <c r="B14733" s="24" t="s">
        <v>46695</v>
      </c>
      <c r="C14733" s="24" t="s">
        <v>46696</v>
      </c>
      <c r="D14733" s="25" t="s">
        <v>46697</v>
      </c>
      <c r="E14733" s="28">
        <v>1.00000</v>
      </c>
      <c r="F14733" s="29">
        <f ca="1">ROUND(11.740,3)</f>
        <v>0</v>
      </c>
      <c r="G14733" s="27">
        <f ca="1">ROUND(E14733*F14733,2)</f>
        <v>0</v>
      </c>
    </row>
    <row r="14734" spans="1:7" ht="30.60" thickBot="1" customHeight="1">
      <c r="A14734" s="24" t="s">
        <v>46698</v>
      </c>
      <c r="B14734" s="24" t="s">
        <v>46699</v>
      </c>
      <c r="C14734" s="24" t="s">
        <v>46700</v>
      </c>
      <c r="D14734" s="25" t="s">
        <v>46701</v>
      </c>
      <c r="E14734" s="28">
        <v>0.50000</v>
      </c>
      <c r="F14734" s="29">
        <f ca="1">ROUND(6.720,3)</f>
        <v>0</v>
      </c>
      <c r="G14734" s="27">
        <f ca="1">ROUND(E14734*F14734,2)</f>
        <v>0</v>
      </c>
    </row>
    <row r="14735" spans="1:7" ht="30.60" thickBot="1" customHeight="1">
      <c r="A14735" s="24" t="s">
        <v>46702</v>
      </c>
      <c r="B14735" s="24" t="s">
        <v>46703</v>
      </c>
      <c r="C14735" s="24" t="s">
        <v>46704</v>
      </c>
      <c r="D14735" s="25" t="s">
        <v>46705</v>
      </c>
      <c r="E14735" s="28">
        <v>0.02100</v>
      </c>
      <c r="F14735" s="29">
        <f ca="1">ROUND(27.500,3)</f>
        <v>0</v>
      </c>
      <c r="G14735" s="27">
        <f ca="1">ROUND(E14735*F14735,2)</f>
        <v>0</v>
      </c>
    </row>
    <row r="14736" spans="1:7" ht="21.36" thickBot="1" customHeight="1">
      <c r="A14736" s="24" t="s">
        <v>46706</v>
      </c>
      <c r="B14736" s="24" t="s">
        <v>46707</v>
      </c>
      <c r="C14736" s="24" t="s">
        <v>46708</v>
      </c>
      <c r="D14736" s="25" t="s">
        <v>46709</v>
      </c>
      <c r="E14736" s="28">
        <v>0.40000</v>
      </c>
      <c r="F14736" s="29">
        <f ca="1">ROUND(1.050,3)</f>
        <v>0</v>
      </c>
      <c r="G14736" s="27">
        <f ca="1">ROUND(E14736*F14736,2)</f>
        <v>0</v>
      </c>
    </row>
    <row r="14737" spans="1:7" ht="30.60" thickBot="1" customHeight="1">
      <c r="A14737" s="24" t="s">
        <v>46710</v>
      </c>
      <c r="B14737" s="24" t="s">
        <v>46711</v>
      </c>
      <c r="C14737" s="24" t="s">
        <v>46712</v>
      </c>
      <c r="D14737" s="25" t="s">
        <v>46713</v>
      </c>
      <c r="E14737" s="28">
        <v>0.50000</v>
      </c>
      <c r="F14737" s="29">
        <f ca="1">ROUND(1.760,3)</f>
        <v>0</v>
      </c>
      <c r="G14737" s="27">
        <f ca="1">ROUND(E14737*F14737,2)</f>
        <v>0</v>
      </c>
    </row>
    <row r="14738" spans="1:7" ht="21.36" thickBot="1" customHeight="1">
      <c r="A14738" s="24" t="s">
        <v>46714</v>
      </c>
      <c r="B14738" s="24" t="s">
        <v>46715</v>
      </c>
      <c r="C14738" s="24" t="s">
        <v>46716</v>
      </c>
      <c r="D14738" s="25" t="s">
        <v>46717</v>
      </c>
      <c r="E14738" s="28">
        <v>0.02444</v>
      </c>
      <c r="F14738" s="29">
        <f ca="1">ROUND(1.320,3)</f>
        <v>0</v>
      </c>
      <c r="G14738" s="27">
        <f ca="1">ROUND(E14738*F14738,2)</f>
        <v>0</v>
      </c>
    </row>
    <row r="14739" spans="1:7" ht="21.36" thickBot="1" customHeight="1">
      <c r="A14739" s="24" t="s">
        <v>46718</v>
      </c>
      <c r="B14739" s="24" t="s">
        <v>46719</v>
      </c>
      <c r="C14739" s="24" t="s">
        <v>46720</v>
      </c>
      <c r="D14739" s="25" t="s">
        <v>46721</v>
      </c>
      <c r="E14739" s="28">
        <v>0.20000</v>
      </c>
      <c r="F14739" s="29">
        <f ca="1">ROUND(11.500,3)</f>
        <v>0</v>
      </c>
      <c r="G14739" s="27">
        <f ca="1">ROUND(E14739*F14739,2)</f>
        <v>0</v>
      </c>
    </row>
    <row r="14740" spans="1:7" ht="21.36" thickBot="1" customHeight="1">
      <c r="A14740" s="24" t="s">
        <v>46722</v>
      </c>
      <c r="B14740" s="24" t="s">
        <v>46723</v>
      </c>
      <c r="C14740" s="24" t="s">
        <v>46724</v>
      </c>
      <c r="D14740" s="25" t="s">
        <v>46725</v>
      </c>
      <c r="E14740" s="28">
        <v>0.36360</v>
      </c>
      <c r="F14740" s="29">
        <f ca="1">F14744</f>
        <v>0</v>
      </c>
      <c r="G14740" s="27">
        <f ca="1">ROUND(E14740*F14740,2)</f>
        <v>0</v>
      </c>
    </row>
    <row r="14741" spans="1:7" ht="24.36" thickBot="1" customHeight="1">
      <c r="A14741" s="24" t="s">
        <v>46726</v>
      </c>
      <c r="B14741" s="24" t="s">
        <v>46727</v>
      </c>
      <c r="C14741" s="24" t="s">
        <v>46728</v>
      </c>
      <c r="D14741" s="25" t="s">
        <v>46729</v>
      </c>
      <c r="E14741" s="28">
        <v>1.00000</v>
      </c>
      <c r="F14741" s="29">
        <f ca="1">ROUND(21.000,3)</f>
        <v>0</v>
      </c>
      <c r="G14741" s="27">
        <f ca="1">ROUND(E14741*F14741,2)</f>
        <v>0</v>
      </c>
    </row>
    <row r="14742" spans="1:7" ht="24.36" thickBot="1" customHeight="1">
      <c r="A14742" s="24" t="s">
        <v>46730</v>
      </c>
      <c r="B14742" s="24" t="s">
        <v>46731</v>
      </c>
      <c r="C14742" s="24" t="s">
        <v>46732</v>
      </c>
      <c r="D14742" s="25" t="s">
        <v>46733</v>
      </c>
      <c r="E14742" s="28">
        <v>1.00000</v>
      </c>
      <c r="F14742" s="29">
        <f ca="1">ROUND(19.000,3)</f>
        <v>0</v>
      </c>
      <c r="G14742" s="27">
        <f ca="1">ROUND(E14742*F14742,2)</f>
        <v>0</v>
      </c>
    </row>
    <row r="14743" spans="1:7" ht="24.36" thickBot="1" customHeight="1">
      <c r="A14743" s="24" t="s">
        <v>46734</v>
      </c>
      <c r="B14743" s="24" t="s">
        <v>46735</v>
      </c>
      <c r="C14743" s="24" t="s">
        <v>46736</v>
      </c>
      <c r="D14743" s="25" t="s">
        <v>46737</v>
      </c>
      <c r="E14743" s="28">
        <v>0.20000</v>
      </c>
      <c r="F14743" s="29">
        <f ca="1">ROUND(19.000,3)</f>
        <v>0</v>
      </c>
      <c r="G14743" s="27">
        <f ca="1">ROUND(E14743*F14743,2)</f>
        <v>0</v>
      </c>
    </row>
    <row r="14744" spans="1:7" ht="15.12" thickBot="1" customHeight="1">
      <c r="A14744" s="26"/>
      <c r="B14744" s="26"/>
      <c r="C14744" s="26"/>
      <c r="D14744" s="24" t="s">
        <v>46738</v>
      </c>
      <c r="E14744" s="28">
        <v>0.36360</v>
      </c>
      <c r="F14744" s="29">
        <f ca="1">ROUND((G14741+G14742+G14743),3)</f>
        <v>0</v>
      </c>
      <c r="G14744" s="27">
        <f ca="1">ROUND(E14744*F14744,2)</f>
        <v>0</v>
      </c>
    </row>
    <row r="14745" spans="1:7" ht="15.12" thickBot="1" customHeight="1">
      <c r="A14745" s="24" t="s">
        <v>46739</v>
      </c>
      <c r="B14745" s="24"/>
      <c r="C14745" s="24" t="s">
        <v>46740</v>
      </c>
      <c r="D14745" s="25" t="s">
        <v>46741</v>
      </c>
      <c r="E14745" s="28">
        <v>3.00000</v>
      </c>
      <c r="F14745" s="29">
        <f ca="1">ROUND(15.930,3)</f>
        <v>0</v>
      </c>
      <c r="G14745" s="27">
        <f ca="1">ROUND((E14745*F14745)/100,2)</f>
        <v>0</v>
      </c>
    </row>
    <row r="14746" spans="1:7" ht="15.48" thickBot="1" customHeight="1">
      <c r="A14746" s="30"/>
      <c r="B14746" s="30"/>
      <c r="C14746" s="30"/>
      <c r="D14746" s="31" t="s">
        <v>46742</v>
      </c>
      <c r="E14746" s="30"/>
      <c r="F14746" s="33">
        <f ca="1">ROUND((G14732+G14733+G14734+G14735+G14736+G14737+G14738+G14739+G14740+G14745)*(1+G2/100),2)</f>
        <v>0</v>
      </c>
      <c r="G14746" s="30"/>
    </row>
    <row r="14747" spans="1:7" ht="67.56" thickBot="1" customHeight="1">
      <c r="A14747" s="34" t="s">
        <v>46743</v>
      </c>
      <c r="B14747" s="35" t="s">
        <v>46744</v>
      </c>
      <c r="C14747" s="35" t="s">
        <v>46745</v>
      </c>
      <c r="D14747" s="36" t="s">
        <v>46746</v>
      </c>
      <c r="E14747" s="37"/>
      <c r="F14747" s="38">
        <f ca="1">F14763</f>
        <v>0</v>
      </c>
      <c r="G14747" s="37"/>
    </row>
    <row r="14748" spans="1:7" ht="30.60" thickBot="1" customHeight="1">
      <c r="A14748" s="26"/>
      <c r="B14748" s="26"/>
      <c r="C14748" s="26"/>
      <c r="D14748" s="25" t="s">
        <v>46747</v>
      </c>
      <c r="E14748" s="25"/>
      <c r="F14748" s="25"/>
      <c r="G14748" s="25"/>
    </row>
    <row r="14749" spans="1:7" ht="30.60" thickBot="1" customHeight="1">
      <c r="A14749" s="24" t="s">
        <v>46748</v>
      </c>
      <c r="B14749" s="24" t="s">
        <v>46749</v>
      </c>
      <c r="C14749" s="24" t="s">
        <v>46750</v>
      </c>
      <c r="D14749" s="25" t="s">
        <v>46751</v>
      </c>
      <c r="E14749" s="28">
        <v>0.06000</v>
      </c>
      <c r="F14749" s="29">
        <f ca="1">ROUND(29.170,3)</f>
        <v>0</v>
      </c>
      <c r="G14749" s="27">
        <f ca="1">ROUND(E14749*F14749,2)</f>
        <v>0</v>
      </c>
    </row>
    <row r="14750" spans="1:7" ht="30.60" thickBot="1" customHeight="1">
      <c r="A14750" s="24" t="s">
        <v>46752</v>
      </c>
      <c r="B14750" s="24" t="s">
        <v>46753</v>
      </c>
      <c r="C14750" s="24" t="s">
        <v>46754</v>
      </c>
      <c r="D14750" s="25" t="s">
        <v>46755</v>
      </c>
      <c r="E14750" s="28">
        <v>1.00000</v>
      </c>
      <c r="F14750" s="29">
        <f ca="1">ROUND(7.890,3)</f>
        <v>0</v>
      </c>
      <c r="G14750" s="27">
        <f ca="1">ROUND(E14750*F14750,2)</f>
        <v>0</v>
      </c>
    </row>
    <row r="14751" spans="1:7" ht="21.36" thickBot="1" customHeight="1">
      <c r="A14751" s="24" t="s">
        <v>46756</v>
      </c>
      <c r="B14751" s="24" t="s">
        <v>46757</v>
      </c>
      <c r="C14751" s="24" t="s">
        <v>46758</v>
      </c>
      <c r="D14751" s="25" t="s">
        <v>46759</v>
      </c>
      <c r="E14751" s="28">
        <v>0.50000</v>
      </c>
      <c r="F14751" s="29">
        <f ca="1">ROUND(6.900,3)</f>
        <v>0</v>
      </c>
      <c r="G14751" s="27">
        <f ca="1">ROUND(E14751*F14751,2)</f>
        <v>0</v>
      </c>
    </row>
    <row r="14752" spans="1:7" ht="30.60" thickBot="1" customHeight="1">
      <c r="A14752" s="24" t="s">
        <v>46760</v>
      </c>
      <c r="B14752" s="24" t="s">
        <v>46761</v>
      </c>
      <c r="C14752" s="24" t="s">
        <v>46762</v>
      </c>
      <c r="D14752" s="25" t="s">
        <v>46763</v>
      </c>
      <c r="E14752" s="28">
        <v>0.02100</v>
      </c>
      <c r="F14752" s="29">
        <f ca="1">ROUND(27.500,3)</f>
        <v>0</v>
      </c>
      <c r="G14752" s="27">
        <f ca="1">ROUND(E14752*F14752,2)</f>
        <v>0</v>
      </c>
    </row>
    <row r="14753" spans="1:7" ht="21.36" thickBot="1" customHeight="1">
      <c r="A14753" s="24" t="s">
        <v>46764</v>
      </c>
      <c r="B14753" s="24" t="s">
        <v>46765</v>
      </c>
      <c r="C14753" s="24" t="s">
        <v>46766</v>
      </c>
      <c r="D14753" s="25" t="s">
        <v>46767</v>
      </c>
      <c r="E14753" s="28">
        <v>0.40000</v>
      </c>
      <c r="F14753" s="29">
        <f ca="1">ROUND(1.050,3)</f>
        <v>0</v>
      </c>
      <c r="G14753" s="27">
        <f ca="1">ROUND(E14753*F14753,2)</f>
        <v>0</v>
      </c>
    </row>
    <row r="14754" spans="1:7" ht="30.60" thickBot="1" customHeight="1">
      <c r="A14754" s="24" t="s">
        <v>46768</v>
      </c>
      <c r="B14754" s="24" t="s">
        <v>46769</v>
      </c>
      <c r="C14754" s="24" t="s">
        <v>46770</v>
      </c>
      <c r="D14754" s="25" t="s">
        <v>46771</v>
      </c>
      <c r="E14754" s="28">
        <v>0.50000</v>
      </c>
      <c r="F14754" s="29">
        <f ca="1">ROUND(1.760,3)</f>
        <v>0</v>
      </c>
      <c r="G14754" s="27">
        <f ca="1">ROUND(E14754*F14754,2)</f>
        <v>0</v>
      </c>
    </row>
    <row r="14755" spans="1:7" ht="21.36" thickBot="1" customHeight="1">
      <c r="A14755" s="24" t="s">
        <v>46772</v>
      </c>
      <c r="B14755" s="24" t="s">
        <v>46773</v>
      </c>
      <c r="C14755" s="24" t="s">
        <v>46774</v>
      </c>
      <c r="D14755" s="25" t="s">
        <v>46775</v>
      </c>
      <c r="E14755" s="28">
        <v>0.02444</v>
      </c>
      <c r="F14755" s="29">
        <f ca="1">ROUND(1.320,3)</f>
        <v>0</v>
      </c>
      <c r="G14755" s="27">
        <f ca="1">ROUND(E14755*F14755,2)</f>
        <v>0</v>
      </c>
    </row>
    <row r="14756" spans="1:7" ht="21.36" thickBot="1" customHeight="1">
      <c r="A14756" s="24" t="s">
        <v>46776</v>
      </c>
      <c r="B14756" s="24" t="s">
        <v>46777</v>
      </c>
      <c r="C14756" s="24" t="s">
        <v>46778</v>
      </c>
      <c r="D14756" s="25" t="s">
        <v>46779</v>
      </c>
      <c r="E14756" s="28">
        <v>0.20000</v>
      </c>
      <c r="F14756" s="29">
        <f ca="1">ROUND(11.500,3)</f>
        <v>0</v>
      </c>
      <c r="G14756" s="27">
        <f ca="1">ROUND(E14756*F14756,2)</f>
        <v>0</v>
      </c>
    </row>
    <row r="14757" spans="1:7" ht="21.36" thickBot="1" customHeight="1">
      <c r="A14757" s="24" t="s">
        <v>46780</v>
      </c>
      <c r="B14757" s="24" t="s">
        <v>46781</v>
      </c>
      <c r="C14757" s="24" t="s">
        <v>46782</v>
      </c>
      <c r="D14757" s="25" t="s">
        <v>46783</v>
      </c>
      <c r="E14757" s="28">
        <v>0.47060</v>
      </c>
      <c r="F14757" s="29">
        <f ca="1">F14761</f>
        <v>0</v>
      </c>
      <c r="G14757" s="27">
        <f ca="1">ROUND(E14757*F14757,2)</f>
        <v>0</v>
      </c>
    </row>
    <row r="14758" spans="1:7" ht="24.36" thickBot="1" customHeight="1">
      <c r="A14758" s="24" t="s">
        <v>46784</v>
      </c>
      <c r="B14758" s="24" t="s">
        <v>46785</v>
      </c>
      <c r="C14758" s="24" t="s">
        <v>46786</v>
      </c>
      <c r="D14758" s="25" t="s">
        <v>46787</v>
      </c>
      <c r="E14758" s="28">
        <v>1.00000</v>
      </c>
      <c r="F14758" s="29">
        <f ca="1">ROUND(21.000,3)</f>
        <v>0</v>
      </c>
      <c r="G14758" s="27">
        <f ca="1">ROUND(E14758*F14758,2)</f>
        <v>0</v>
      </c>
    </row>
    <row r="14759" spans="1:7" ht="24.36" thickBot="1" customHeight="1">
      <c r="A14759" s="24" t="s">
        <v>46788</v>
      </c>
      <c r="B14759" s="24" t="s">
        <v>46789</v>
      </c>
      <c r="C14759" s="24" t="s">
        <v>46790</v>
      </c>
      <c r="D14759" s="25" t="s">
        <v>46791</v>
      </c>
      <c r="E14759" s="28">
        <v>1.00000</v>
      </c>
      <c r="F14759" s="29">
        <f ca="1">ROUND(19.000,3)</f>
        <v>0</v>
      </c>
      <c r="G14759" s="27">
        <f ca="1">ROUND(E14759*F14759,2)</f>
        <v>0</v>
      </c>
    </row>
    <row r="14760" spans="1:7" ht="24.36" thickBot="1" customHeight="1">
      <c r="A14760" s="24" t="s">
        <v>46792</v>
      </c>
      <c r="B14760" s="24" t="s">
        <v>46793</v>
      </c>
      <c r="C14760" s="24" t="s">
        <v>46794</v>
      </c>
      <c r="D14760" s="25" t="s">
        <v>46795</v>
      </c>
      <c r="E14760" s="28">
        <v>0.20000</v>
      </c>
      <c r="F14760" s="29">
        <f ca="1">ROUND(19.000,3)</f>
        <v>0</v>
      </c>
      <c r="G14760" s="27">
        <f ca="1">ROUND(E14760*F14760,2)</f>
        <v>0</v>
      </c>
    </row>
    <row r="14761" spans="1:7" ht="15.12" thickBot="1" customHeight="1">
      <c r="A14761" s="26"/>
      <c r="B14761" s="26"/>
      <c r="C14761" s="26"/>
      <c r="D14761" s="24" t="s">
        <v>46796</v>
      </c>
      <c r="E14761" s="28">
        <v>0.47060</v>
      </c>
      <c r="F14761" s="29">
        <f ca="1">ROUND((G14758+G14759+G14760),3)</f>
        <v>0</v>
      </c>
      <c r="G14761" s="27">
        <f ca="1">ROUND(E14761*F14761,2)</f>
        <v>0</v>
      </c>
    </row>
    <row r="14762" spans="1:7" ht="15.12" thickBot="1" customHeight="1">
      <c r="A14762" s="24" t="s">
        <v>46797</v>
      </c>
      <c r="B14762" s="24"/>
      <c r="C14762" s="24" t="s">
        <v>46798</v>
      </c>
      <c r="D14762" s="25" t="s">
        <v>46799</v>
      </c>
      <c r="E14762" s="28">
        <v>3.00000</v>
      </c>
      <c r="F14762" s="29">
        <f ca="1">ROUND(20.610,3)</f>
        <v>0</v>
      </c>
      <c r="G14762" s="27">
        <f ca="1">ROUND((E14762*F14762)/100,2)</f>
        <v>0</v>
      </c>
    </row>
    <row r="14763" spans="1:7" ht="15.48" thickBot="1" customHeight="1">
      <c r="A14763" s="30"/>
      <c r="B14763" s="30"/>
      <c r="C14763" s="30"/>
      <c r="D14763" s="31" t="s">
        <v>46800</v>
      </c>
      <c r="E14763" s="30"/>
      <c r="F14763" s="33">
        <f ca="1">ROUND((G14749+G14750+G14751+G14752+G14753+G14754+G14755+G14756+G14757+G14762)*(1+G2/100),2)</f>
        <v>0</v>
      </c>
      <c r="G14763" s="30"/>
    </row>
    <row r="14764" spans="1:7" ht="67.56" thickBot="1" customHeight="1">
      <c r="A14764" s="34" t="s">
        <v>46801</v>
      </c>
      <c r="B14764" s="35" t="s">
        <v>46802</v>
      </c>
      <c r="C14764" s="35" t="s">
        <v>46803</v>
      </c>
      <c r="D14764" s="36" t="s">
        <v>46804</v>
      </c>
      <c r="E14764" s="37"/>
      <c r="F14764" s="38">
        <f ca="1">F14780</f>
        <v>0</v>
      </c>
      <c r="G14764" s="37"/>
    </row>
    <row r="14765" spans="1:7" ht="30.60" thickBot="1" customHeight="1">
      <c r="A14765" s="26"/>
      <c r="B14765" s="26"/>
      <c r="C14765" s="26"/>
      <c r="D14765" s="25" t="s">
        <v>46805</v>
      </c>
      <c r="E14765" s="25"/>
      <c r="F14765" s="25"/>
      <c r="G14765" s="25"/>
    </row>
    <row r="14766" spans="1:7" ht="30.60" thickBot="1" customHeight="1">
      <c r="A14766" s="24" t="s">
        <v>46806</v>
      </c>
      <c r="B14766" s="24" t="s">
        <v>46807</v>
      </c>
      <c r="C14766" s="24" t="s">
        <v>46808</v>
      </c>
      <c r="D14766" s="25" t="s">
        <v>46809</v>
      </c>
      <c r="E14766" s="28">
        <v>0.06000</v>
      </c>
      <c r="F14766" s="29">
        <f ca="1">ROUND(29.170,3)</f>
        <v>0</v>
      </c>
      <c r="G14766" s="27">
        <f ca="1">ROUND(E14766*F14766,2)</f>
        <v>0</v>
      </c>
    </row>
    <row r="14767" spans="1:7" ht="30.60" thickBot="1" customHeight="1">
      <c r="A14767" s="24" t="s">
        <v>46810</v>
      </c>
      <c r="B14767" s="24" t="s">
        <v>46811</v>
      </c>
      <c r="C14767" s="24" t="s">
        <v>46812</v>
      </c>
      <c r="D14767" s="25" t="s">
        <v>46813</v>
      </c>
      <c r="E14767" s="28">
        <v>1.00000</v>
      </c>
      <c r="F14767" s="29">
        <f ca="1">ROUND(7.890,3)</f>
        <v>0</v>
      </c>
      <c r="G14767" s="27">
        <f ca="1">ROUND(E14767*F14767,2)</f>
        <v>0</v>
      </c>
    </row>
    <row r="14768" spans="1:7" ht="21.36" thickBot="1" customHeight="1">
      <c r="A14768" s="24" t="s">
        <v>46814</v>
      </c>
      <c r="B14768" s="24" t="s">
        <v>46815</v>
      </c>
      <c r="C14768" s="24" t="s">
        <v>46816</v>
      </c>
      <c r="D14768" s="25" t="s">
        <v>46817</v>
      </c>
      <c r="E14768" s="28">
        <v>0.50000</v>
      </c>
      <c r="F14768" s="29">
        <f ca="1">ROUND(6.900,3)</f>
        <v>0</v>
      </c>
      <c r="G14768" s="27">
        <f ca="1">ROUND(E14768*F14768,2)</f>
        <v>0</v>
      </c>
    </row>
    <row r="14769" spans="1:7" ht="30.60" thickBot="1" customHeight="1">
      <c r="A14769" s="24" t="s">
        <v>46818</v>
      </c>
      <c r="B14769" s="24" t="s">
        <v>46819</v>
      </c>
      <c r="C14769" s="24" t="s">
        <v>46820</v>
      </c>
      <c r="D14769" s="25" t="s">
        <v>46821</v>
      </c>
      <c r="E14769" s="28">
        <v>0.02100</v>
      </c>
      <c r="F14769" s="29">
        <f ca="1">ROUND(27.500,3)</f>
        <v>0</v>
      </c>
      <c r="G14769" s="27">
        <f ca="1">ROUND(E14769*F14769,2)</f>
        <v>0</v>
      </c>
    </row>
    <row r="14770" spans="1:7" ht="21.36" thickBot="1" customHeight="1">
      <c r="A14770" s="24" t="s">
        <v>46822</v>
      </c>
      <c r="B14770" s="24" t="s">
        <v>46823</v>
      </c>
      <c r="C14770" s="24" t="s">
        <v>46824</v>
      </c>
      <c r="D14770" s="25" t="s">
        <v>46825</v>
      </c>
      <c r="E14770" s="28">
        <v>0.40000</v>
      </c>
      <c r="F14770" s="29">
        <f ca="1">ROUND(1.050,3)</f>
        <v>0</v>
      </c>
      <c r="G14770" s="27">
        <f ca="1">ROUND(E14770*F14770,2)</f>
        <v>0</v>
      </c>
    </row>
    <row r="14771" spans="1:7" ht="30.60" thickBot="1" customHeight="1">
      <c r="A14771" s="24" t="s">
        <v>46826</v>
      </c>
      <c r="B14771" s="24" t="s">
        <v>46827</v>
      </c>
      <c r="C14771" s="24" t="s">
        <v>46828</v>
      </c>
      <c r="D14771" s="25" t="s">
        <v>46829</v>
      </c>
      <c r="E14771" s="28">
        <v>0.50000</v>
      </c>
      <c r="F14771" s="29">
        <f ca="1">ROUND(1.760,3)</f>
        <v>0</v>
      </c>
      <c r="G14771" s="27">
        <f ca="1">ROUND(E14771*F14771,2)</f>
        <v>0</v>
      </c>
    </row>
    <row r="14772" spans="1:7" ht="21.36" thickBot="1" customHeight="1">
      <c r="A14772" s="24" t="s">
        <v>46830</v>
      </c>
      <c r="B14772" s="24" t="s">
        <v>46831</v>
      </c>
      <c r="C14772" s="24" t="s">
        <v>46832</v>
      </c>
      <c r="D14772" s="25" t="s">
        <v>46833</v>
      </c>
      <c r="E14772" s="28">
        <v>0.02444</v>
      </c>
      <c r="F14772" s="29">
        <f ca="1">ROUND(1.320,3)</f>
        <v>0</v>
      </c>
      <c r="G14772" s="27">
        <f ca="1">ROUND(E14772*F14772,2)</f>
        <v>0</v>
      </c>
    </row>
    <row r="14773" spans="1:7" ht="21.36" thickBot="1" customHeight="1">
      <c r="A14773" s="24" t="s">
        <v>46834</v>
      </c>
      <c r="B14773" s="24" t="s">
        <v>46835</v>
      </c>
      <c r="C14773" s="24" t="s">
        <v>46836</v>
      </c>
      <c r="D14773" s="25" t="s">
        <v>46837</v>
      </c>
      <c r="E14773" s="28">
        <v>0.20000</v>
      </c>
      <c r="F14773" s="29">
        <f ca="1">ROUND(11.500,3)</f>
        <v>0</v>
      </c>
      <c r="G14773" s="27">
        <f ca="1">ROUND(E14773*F14773,2)</f>
        <v>0</v>
      </c>
    </row>
    <row r="14774" spans="1:7" ht="21.36" thickBot="1" customHeight="1">
      <c r="A14774" s="24" t="s">
        <v>46838</v>
      </c>
      <c r="B14774" s="24" t="s">
        <v>46839</v>
      </c>
      <c r="C14774" s="24" t="s">
        <v>46840</v>
      </c>
      <c r="D14774" s="25" t="s">
        <v>46841</v>
      </c>
      <c r="E14774" s="28">
        <v>0.36360</v>
      </c>
      <c r="F14774" s="29">
        <f ca="1">F14778</f>
        <v>0</v>
      </c>
      <c r="G14774" s="27">
        <f ca="1">ROUND(E14774*F14774,2)</f>
        <v>0</v>
      </c>
    </row>
    <row r="14775" spans="1:7" ht="24.36" thickBot="1" customHeight="1">
      <c r="A14775" s="24" t="s">
        <v>46842</v>
      </c>
      <c r="B14775" s="24" t="s">
        <v>46843</v>
      </c>
      <c r="C14775" s="24" t="s">
        <v>46844</v>
      </c>
      <c r="D14775" s="25" t="s">
        <v>46845</v>
      </c>
      <c r="E14775" s="28">
        <v>1.00000</v>
      </c>
      <c r="F14775" s="29">
        <f ca="1">ROUND(21.000,3)</f>
        <v>0</v>
      </c>
      <c r="G14775" s="27">
        <f ca="1">ROUND(E14775*F14775,2)</f>
        <v>0</v>
      </c>
    </row>
    <row r="14776" spans="1:7" ht="24.36" thickBot="1" customHeight="1">
      <c r="A14776" s="24" t="s">
        <v>46846</v>
      </c>
      <c r="B14776" s="24" t="s">
        <v>46847</v>
      </c>
      <c r="C14776" s="24" t="s">
        <v>46848</v>
      </c>
      <c r="D14776" s="25" t="s">
        <v>46849</v>
      </c>
      <c r="E14776" s="28">
        <v>1.00000</v>
      </c>
      <c r="F14776" s="29">
        <f ca="1">ROUND(19.000,3)</f>
        <v>0</v>
      </c>
      <c r="G14776" s="27">
        <f ca="1">ROUND(E14776*F14776,2)</f>
        <v>0</v>
      </c>
    </row>
    <row r="14777" spans="1:7" ht="24.36" thickBot="1" customHeight="1">
      <c r="A14777" s="24" t="s">
        <v>46850</v>
      </c>
      <c r="B14777" s="24" t="s">
        <v>46851</v>
      </c>
      <c r="C14777" s="24" t="s">
        <v>46852</v>
      </c>
      <c r="D14777" s="25" t="s">
        <v>46853</v>
      </c>
      <c r="E14777" s="28">
        <v>0.20000</v>
      </c>
      <c r="F14777" s="29">
        <f ca="1">ROUND(19.000,3)</f>
        <v>0</v>
      </c>
      <c r="G14777" s="27">
        <f ca="1">ROUND(E14777*F14777,2)</f>
        <v>0</v>
      </c>
    </row>
    <row r="14778" spans="1:7" ht="15.12" thickBot="1" customHeight="1">
      <c r="A14778" s="26"/>
      <c r="B14778" s="26"/>
      <c r="C14778" s="26"/>
      <c r="D14778" s="24" t="s">
        <v>46854</v>
      </c>
      <c r="E14778" s="28">
        <v>0.36360</v>
      </c>
      <c r="F14778" s="29">
        <f ca="1">ROUND((G14775+G14776+G14777),3)</f>
        <v>0</v>
      </c>
      <c r="G14778" s="27">
        <f ca="1">ROUND(E14778*F14778,2)</f>
        <v>0</v>
      </c>
    </row>
    <row r="14779" spans="1:7" ht="15.12" thickBot="1" customHeight="1">
      <c r="A14779" s="24" t="s">
        <v>46855</v>
      </c>
      <c r="B14779" s="24"/>
      <c r="C14779" s="24" t="s">
        <v>46856</v>
      </c>
      <c r="D14779" s="25" t="s">
        <v>46857</v>
      </c>
      <c r="E14779" s="28">
        <v>3.00000</v>
      </c>
      <c r="F14779" s="29">
        <f ca="1">ROUND(15.930,3)</f>
        <v>0</v>
      </c>
      <c r="G14779" s="27">
        <f ca="1">ROUND((E14779*F14779)/100,2)</f>
        <v>0</v>
      </c>
    </row>
    <row r="14780" spans="1:7" ht="15.48" thickBot="1" customHeight="1">
      <c r="A14780" s="30"/>
      <c r="B14780" s="30"/>
      <c r="C14780" s="30"/>
      <c r="D14780" s="31" t="s">
        <v>46858</v>
      </c>
      <c r="E14780" s="30"/>
      <c r="F14780" s="33">
        <f ca="1">ROUND((G14766+G14767+G14768+G14769+G14770+G14771+G14772+G14773+G14774+G14779)*(1+G2/100),2)</f>
        <v>0</v>
      </c>
      <c r="G14780" s="30"/>
    </row>
    <row r="14781" spans="1:7" ht="67.56" thickBot="1" customHeight="1">
      <c r="A14781" s="34" t="s">
        <v>46859</v>
      </c>
      <c r="B14781" s="35" t="s">
        <v>46860</v>
      </c>
      <c r="C14781" s="35" t="s">
        <v>46861</v>
      </c>
      <c r="D14781" s="36" t="s">
        <v>46862</v>
      </c>
      <c r="E14781" s="37"/>
      <c r="F14781" s="38">
        <f ca="1">F14797</f>
        <v>0</v>
      </c>
      <c r="G14781" s="37"/>
    </row>
    <row r="14782" spans="1:7" ht="30.60" thickBot="1" customHeight="1">
      <c r="A14782" s="26"/>
      <c r="B14782" s="26"/>
      <c r="C14782" s="26"/>
      <c r="D14782" s="25" t="s">
        <v>46863</v>
      </c>
      <c r="E14782" s="25"/>
      <c r="F14782" s="25"/>
      <c r="G14782" s="25"/>
    </row>
    <row r="14783" spans="1:7" ht="30.60" thickBot="1" customHeight="1">
      <c r="A14783" s="24" t="s">
        <v>46864</v>
      </c>
      <c r="B14783" s="24" t="s">
        <v>46865</v>
      </c>
      <c r="C14783" s="24" t="s">
        <v>46866</v>
      </c>
      <c r="D14783" s="25" t="s">
        <v>46867</v>
      </c>
      <c r="E14783" s="28">
        <v>0.06000</v>
      </c>
      <c r="F14783" s="29">
        <f ca="1">ROUND(29.170,3)</f>
        <v>0</v>
      </c>
      <c r="G14783" s="27">
        <f ca="1">ROUND(E14783*F14783,2)</f>
        <v>0</v>
      </c>
    </row>
    <row r="14784" spans="1:7" ht="30.60" thickBot="1" customHeight="1">
      <c r="A14784" s="24" t="s">
        <v>46868</v>
      </c>
      <c r="B14784" s="24" t="s">
        <v>46869</v>
      </c>
      <c r="C14784" s="24" t="s">
        <v>46870</v>
      </c>
      <c r="D14784" s="25" t="s">
        <v>46871</v>
      </c>
      <c r="E14784" s="28">
        <v>1.00000</v>
      </c>
      <c r="F14784" s="29">
        <f ca="1">ROUND(11.740,3)</f>
        <v>0</v>
      </c>
      <c r="G14784" s="27">
        <f ca="1">ROUND(E14784*F14784,2)</f>
        <v>0</v>
      </c>
    </row>
    <row r="14785" spans="1:7" ht="30.60" thickBot="1" customHeight="1">
      <c r="A14785" s="24" t="s">
        <v>46872</v>
      </c>
      <c r="B14785" s="24" t="s">
        <v>46873</v>
      </c>
      <c r="C14785" s="24" t="s">
        <v>46874</v>
      </c>
      <c r="D14785" s="25" t="s">
        <v>46875</v>
      </c>
      <c r="E14785" s="28">
        <v>0.50000</v>
      </c>
      <c r="F14785" s="29">
        <f ca="1">ROUND(10.180,3)</f>
        <v>0</v>
      </c>
      <c r="G14785" s="27">
        <f ca="1">ROUND(E14785*F14785,2)</f>
        <v>0</v>
      </c>
    </row>
    <row r="14786" spans="1:7" ht="30.60" thickBot="1" customHeight="1">
      <c r="A14786" s="24" t="s">
        <v>46876</v>
      </c>
      <c r="B14786" s="24" t="s">
        <v>46877</v>
      </c>
      <c r="C14786" s="24" t="s">
        <v>46878</v>
      </c>
      <c r="D14786" s="25" t="s">
        <v>46879</v>
      </c>
      <c r="E14786" s="28">
        <v>0.02100</v>
      </c>
      <c r="F14786" s="29">
        <f ca="1">ROUND(27.500,3)</f>
        <v>0</v>
      </c>
      <c r="G14786" s="27">
        <f ca="1">ROUND(E14786*F14786,2)</f>
        <v>0</v>
      </c>
    </row>
    <row r="14787" spans="1:7" ht="21.36" thickBot="1" customHeight="1">
      <c r="A14787" s="24" t="s">
        <v>46880</v>
      </c>
      <c r="B14787" s="24" t="s">
        <v>46881</v>
      </c>
      <c r="C14787" s="24" t="s">
        <v>46882</v>
      </c>
      <c r="D14787" s="25" t="s">
        <v>46883</v>
      </c>
      <c r="E14787" s="28">
        <v>0.40000</v>
      </c>
      <c r="F14787" s="29">
        <f ca="1">ROUND(1.050,3)</f>
        <v>0</v>
      </c>
      <c r="G14787" s="27">
        <f ca="1">ROUND(E14787*F14787,2)</f>
        <v>0</v>
      </c>
    </row>
    <row r="14788" spans="1:7" ht="30.60" thickBot="1" customHeight="1">
      <c r="A14788" s="24" t="s">
        <v>46884</v>
      </c>
      <c r="B14788" s="24" t="s">
        <v>46885</v>
      </c>
      <c r="C14788" s="24" t="s">
        <v>46886</v>
      </c>
      <c r="D14788" s="25" t="s">
        <v>46887</v>
      </c>
      <c r="E14788" s="28">
        <v>0.50000</v>
      </c>
      <c r="F14788" s="29">
        <f ca="1">ROUND(1.760,3)</f>
        <v>0</v>
      </c>
      <c r="G14788" s="27">
        <f ca="1">ROUND(E14788*F14788,2)</f>
        <v>0</v>
      </c>
    </row>
    <row r="14789" spans="1:7" ht="21.36" thickBot="1" customHeight="1">
      <c r="A14789" s="24" t="s">
        <v>46888</v>
      </c>
      <c r="B14789" s="24" t="s">
        <v>46889</v>
      </c>
      <c r="C14789" s="24" t="s">
        <v>46890</v>
      </c>
      <c r="D14789" s="25" t="s">
        <v>46891</v>
      </c>
      <c r="E14789" s="28">
        <v>0.02444</v>
      </c>
      <c r="F14789" s="29">
        <f ca="1">ROUND(1.320,3)</f>
        <v>0</v>
      </c>
      <c r="G14789" s="27">
        <f ca="1">ROUND(E14789*F14789,2)</f>
        <v>0</v>
      </c>
    </row>
    <row r="14790" spans="1:7" ht="21.36" thickBot="1" customHeight="1">
      <c r="A14790" s="24" t="s">
        <v>46892</v>
      </c>
      <c r="B14790" s="24" t="s">
        <v>46893</v>
      </c>
      <c r="C14790" s="24" t="s">
        <v>46894</v>
      </c>
      <c r="D14790" s="25" t="s">
        <v>46895</v>
      </c>
      <c r="E14790" s="28">
        <v>0.20000</v>
      </c>
      <c r="F14790" s="29">
        <f ca="1">ROUND(11.500,3)</f>
        <v>0</v>
      </c>
      <c r="G14790" s="27">
        <f ca="1">ROUND(E14790*F14790,2)</f>
        <v>0</v>
      </c>
    </row>
    <row r="14791" spans="1:7" ht="21.36" thickBot="1" customHeight="1">
      <c r="A14791" s="24" t="s">
        <v>46896</v>
      </c>
      <c r="B14791" s="24" t="s">
        <v>46897</v>
      </c>
      <c r="C14791" s="24" t="s">
        <v>46898</v>
      </c>
      <c r="D14791" s="25" t="s">
        <v>46899</v>
      </c>
      <c r="E14791" s="28">
        <v>0.47060</v>
      </c>
      <c r="F14791" s="29">
        <f ca="1">F14795</f>
        <v>0</v>
      </c>
      <c r="G14791" s="27">
        <f ca="1">ROUND(E14791*F14791,2)</f>
        <v>0</v>
      </c>
    </row>
    <row r="14792" spans="1:7" ht="24.36" thickBot="1" customHeight="1">
      <c r="A14792" s="24" t="s">
        <v>46900</v>
      </c>
      <c r="B14792" s="24" t="s">
        <v>46901</v>
      </c>
      <c r="C14792" s="24" t="s">
        <v>46902</v>
      </c>
      <c r="D14792" s="25" t="s">
        <v>46903</v>
      </c>
      <c r="E14792" s="28">
        <v>1.00000</v>
      </c>
      <c r="F14792" s="29">
        <f ca="1">ROUND(21.000,3)</f>
        <v>0</v>
      </c>
      <c r="G14792" s="27">
        <f ca="1">ROUND(E14792*F14792,2)</f>
        <v>0</v>
      </c>
    </row>
    <row r="14793" spans="1:7" ht="24.36" thickBot="1" customHeight="1">
      <c r="A14793" s="24" t="s">
        <v>46904</v>
      </c>
      <c r="B14793" s="24" t="s">
        <v>46905</v>
      </c>
      <c r="C14793" s="24" t="s">
        <v>46906</v>
      </c>
      <c r="D14793" s="25" t="s">
        <v>46907</v>
      </c>
      <c r="E14793" s="28">
        <v>1.00000</v>
      </c>
      <c r="F14793" s="29">
        <f ca="1">ROUND(19.000,3)</f>
        <v>0</v>
      </c>
      <c r="G14793" s="27">
        <f ca="1">ROUND(E14793*F14793,2)</f>
        <v>0</v>
      </c>
    </row>
    <row r="14794" spans="1:7" ht="24.36" thickBot="1" customHeight="1">
      <c r="A14794" s="24" t="s">
        <v>46908</v>
      </c>
      <c r="B14794" s="24" t="s">
        <v>46909</v>
      </c>
      <c r="C14794" s="24" t="s">
        <v>46910</v>
      </c>
      <c r="D14794" s="25" t="s">
        <v>46911</v>
      </c>
      <c r="E14794" s="28">
        <v>0.20000</v>
      </c>
      <c r="F14794" s="29">
        <f ca="1">ROUND(19.000,3)</f>
        <v>0</v>
      </c>
      <c r="G14794" s="27">
        <f ca="1">ROUND(E14794*F14794,2)</f>
        <v>0</v>
      </c>
    </row>
    <row r="14795" spans="1:7" ht="15.12" thickBot="1" customHeight="1">
      <c r="A14795" s="26"/>
      <c r="B14795" s="26"/>
      <c r="C14795" s="26"/>
      <c r="D14795" s="24" t="s">
        <v>46912</v>
      </c>
      <c r="E14795" s="28">
        <v>0.47060</v>
      </c>
      <c r="F14795" s="29">
        <f ca="1">ROUND((G14792+G14793+G14794),3)</f>
        <v>0</v>
      </c>
      <c r="G14795" s="27">
        <f ca="1">ROUND(E14795*F14795,2)</f>
        <v>0</v>
      </c>
    </row>
    <row r="14796" spans="1:7" ht="15.12" thickBot="1" customHeight="1">
      <c r="A14796" s="24" t="s">
        <v>46913</v>
      </c>
      <c r="B14796" s="24"/>
      <c r="C14796" s="24" t="s">
        <v>46914</v>
      </c>
      <c r="D14796" s="25" t="s">
        <v>46915</v>
      </c>
      <c r="E14796" s="28">
        <v>3.00000</v>
      </c>
      <c r="F14796" s="29">
        <f ca="1">ROUND(20.610,3)</f>
        <v>0</v>
      </c>
      <c r="G14796" s="27">
        <f ca="1">ROUND((E14796*F14796)/100,2)</f>
        <v>0</v>
      </c>
    </row>
    <row r="14797" spans="1:7" ht="15.48" thickBot="1" customHeight="1">
      <c r="A14797" s="30"/>
      <c r="B14797" s="30"/>
      <c r="C14797" s="30"/>
      <c r="D14797" s="31" t="s">
        <v>46916</v>
      </c>
      <c r="E14797" s="30"/>
      <c r="F14797" s="33">
        <f ca="1">ROUND((G14783+G14784+G14785+G14786+G14787+G14788+G14789+G14790+G14791+G14796)*(1+G2/100),2)</f>
        <v>0</v>
      </c>
      <c r="G14797" s="30"/>
    </row>
    <row r="14798" spans="1:7" ht="67.56" thickBot="1" customHeight="1">
      <c r="A14798" s="34" t="s">
        <v>46917</v>
      </c>
      <c r="B14798" s="35" t="s">
        <v>46918</v>
      </c>
      <c r="C14798" s="35" t="s">
        <v>46919</v>
      </c>
      <c r="D14798" s="36" t="s">
        <v>46920</v>
      </c>
      <c r="E14798" s="37"/>
      <c r="F14798" s="38">
        <f ca="1">F14814</f>
        <v>0</v>
      </c>
      <c r="G14798" s="37"/>
    </row>
    <row r="14799" spans="1:7" ht="30.60" thickBot="1" customHeight="1">
      <c r="A14799" s="26"/>
      <c r="B14799" s="26"/>
      <c r="C14799" s="26"/>
      <c r="D14799" s="25" t="s">
        <v>46921</v>
      </c>
      <c r="E14799" s="25"/>
      <c r="F14799" s="25"/>
      <c r="G14799" s="25"/>
    </row>
    <row r="14800" spans="1:7" ht="30.60" thickBot="1" customHeight="1">
      <c r="A14800" s="24" t="s">
        <v>46922</v>
      </c>
      <c r="B14800" s="24" t="s">
        <v>46923</v>
      </c>
      <c r="C14800" s="24" t="s">
        <v>46924</v>
      </c>
      <c r="D14800" s="25" t="s">
        <v>46925</v>
      </c>
      <c r="E14800" s="28">
        <v>0.06000</v>
      </c>
      <c r="F14800" s="29">
        <f ca="1">ROUND(29.170,3)</f>
        <v>0</v>
      </c>
      <c r="G14800" s="27">
        <f ca="1">ROUND(E14800*F14800,2)</f>
        <v>0</v>
      </c>
    </row>
    <row r="14801" spans="1:7" ht="30.60" thickBot="1" customHeight="1">
      <c r="A14801" s="24" t="s">
        <v>46926</v>
      </c>
      <c r="B14801" s="24" t="s">
        <v>46927</v>
      </c>
      <c r="C14801" s="24" t="s">
        <v>46928</v>
      </c>
      <c r="D14801" s="25" t="s">
        <v>46929</v>
      </c>
      <c r="E14801" s="28">
        <v>1.00000</v>
      </c>
      <c r="F14801" s="29">
        <f ca="1">ROUND(11.740,3)</f>
        <v>0</v>
      </c>
      <c r="G14801" s="27">
        <f ca="1">ROUND(E14801*F14801,2)</f>
        <v>0</v>
      </c>
    </row>
    <row r="14802" spans="1:7" ht="30.60" thickBot="1" customHeight="1">
      <c r="A14802" s="24" t="s">
        <v>46930</v>
      </c>
      <c r="B14802" s="24" t="s">
        <v>46931</v>
      </c>
      <c r="C14802" s="24" t="s">
        <v>46932</v>
      </c>
      <c r="D14802" s="25" t="s">
        <v>46933</v>
      </c>
      <c r="E14802" s="28">
        <v>0.50000</v>
      </c>
      <c r="F14802" s="29">
        <f ca="1">ROUND(10.180,3)</f>
        <v>0</v>
      </c>
      <c r="G14802" s="27">
        <f ca="1">ROUND(E14802*F14802,2)</f>
        <v>0</v>
      </c>
    </row>
    <row r="14803" spans="1:7" ht="30.60" thickBot="1" customHeight="1">
      <c r="A14803" s="24" t="s">
        <v>46934</v>
      </c>
      <c r="B14803" s="24" t="s">
        <v>46935</v>
      </c>
      <c r="C14803" s="24" t="s">
        <v>46936</v>
      </c>
      <c r="D14803" s="25" t="s">
        <v>46937</v>
      </c>
      <c r="E14803" s="28">
        <v>0.02100</v>
      </c>
      <c r="F14803" s="29">
        <f ca="1">ROUND(27.500,3)</f>
        <v>0</v>
      </c>
      <c r="G14803" s="27">
        <f ca="1">ROUND(E14803*F14803,2)</f>
        <v>0</v>
      </c>
    </row>
    <row r="14804" spans="1:7" ht="21.36" thickBot="1" customHeight="1">
      <c r="A14804" s="24" t="s">
        <v>46938</v>
      </c>
      <c r="B14804" s="24" t="s">
        <v>46939</v>
      </c>
      <c r="C14804" s="24" t="s">
        <v>46940</v>
      </c>
      <c r="D14804" s="25" t="s">
        <v>46941</v>
      </c>
      <c r="E14804" s="28">
        <v>0.40000</v>
      </c>
      <c r="F14804" s="29">
        <f ca="1">ROUND(1.050,3)</f>
        <v>0</v>
      </c>
      <c r="G14804" s="27">
        <f ca="1">ROUND(E14804*F14804,2)</f>
        <v>0</v>
      </c>
    </row>
    <row r="14805" spans="1:7" ht="30.60" thickBot="1" customHeight="1">
      <c r="A14805" s="24" t="s">
        <v>46942</v>
      </c>
      <c r="B14805" s="24" t="s">
        <v>46943</v>
      </c>
      <c r="C14805" s="24" t="s">
        <v>46944</v>
      </c>
      <c r="D14805" s="25" t="s">
        <v>46945</v>
      </c>
      <c r="E14805" s="28">
        <v>0.50000</v>
      </c>
      <c r="F14805" s="29">
        <f ca="1">ROUND(1.760,3)</f>
        <v>0</v>
      </c>
      <c r="G14805" s="27">
        <f ca="1">ROUND(E14805*F14805,2)</f>
        <v>0</v>
      </c>
    </row>
    <row r="14806" spans="1:7" ht="21.36" thickBot="1" customHeight="1">
      <c r="A14806" s="24" t="s">
        <v>46946</v>
      </c>
      <c r="B14806" s="24" t="s">
        <v>46947</v>
      </c>
      <c r="C14806" s="24" t="s">
        <v>46948</v>
      </c>
      <c r="D14806" s="25" t="s">
        <v>46949</v>
      </c>
      <c r="E14806" s="28">
        <v>0.02444</v>
      </c>
      <c r="F14806" s="29">
        <f ca="1">ROUND(1.320,3)</f>
        <v>0</v>
      </c>
      <c r="G14806" s="27">
        <f ca="1">ROUND(E14806*F14806,2)</f>
        <v>0</v>
      </c>
    </row>
    <row r="14807" spans="1:7" ht="21.36" thickBot="1" customHeight="1">
      <c r="A14807" s="24" t="s">
        <v>46950</v>
      </c>
      <c r="B14807" s="24" t="s">
        <v>46951</v>
      </c>
      <c r="C14807" s="24" t="s">
        <v>46952</v>
      </c>
      <c r="D14807" s="25" t="s">
        <v>46953</v>
      </c>
      <c r="E14807" s="28">
        <v>0.20000</v>
      </c>
      <c r="F14807" s="29">
        <f ca="1">ROUND(11.500,3)</f>
        <v>0</v>
      </c>
      <c r="G14807" s="27">
        <f ca="1">ROUND(E14807*F14807,2)</f>
        <v>0</v>
      </c>
    </row>
    <row r="14808" spans="1:7" ht="21.36" thickBot="1" customHeight="1">
      <c r="A14808" s="24" t="s">
        <v>46954</v>
      </c>
      <c r="B14808" s="24" t="s">
        <v>46955</v>
      </c>
      <c r="C14808" s="24" t="s">
        <v>46956</v>
      </c>
      <c r="D14808" s="25" t="s">
        <v>46957</v>
      </c>
      <c r="E14808" s="28">
        <v>0.36360</v>
      </c>
      <c r="F14808" s="29">
        <f ca="1">F14812</f>
        <v>0</v>
      </c>
      <c r="G14808" s="27">
        <f ca="1">ROUND(E14808*F14808,2)</f>
        <v>0</v>
      </c>
    </row>
    <row r="14809" spans="1:7" ht="24.36" thickBot="1" customHeight="1">
      <c r="A14809" s="24" t="s">
        <v>46958</v>
      </c>
      <c r="B14809" s="24" t="s">
        <v>46959</v>
      </c>
      <c r="C14809" s="24" t="s">
        <v>46960</v>
      </c>
      <c r="D14809" s="25" t="s">
        <v>46961</v>
      </c>
      <c r="E14809" s="28">
        <v>1.00000</v>
      </c>
      <c r="F14809" s="29">
        <f ca="1">ROUND(21.000,3)</f>
        <v>0</v>
      </c>
      <c r="G14809" s="27">
        <f ca="1">ROUND(E14809*F14809,2)</f>
        <v>0</v>
      </c>
    </row>
    <row r="14810" spans="1:7" ht="24.36" thickBot="1" customHeight="1">
      <c r="A14810" s="24" t="s">
        <v>46962</v>
      </c>
      <c r="B14810" s="24" t="s">
        <v>46963</v>
      </c>
      <c r="C14810" s="24" t="s">
        <v>46964</v>
      </c>
      <c r="D14810" s="25" t="s">
        <v>46965</v>
      </c>
      <c r="E14810" s="28">
        <v>1.00000</v>
      </c>
      <c r="F14810" s="29">
        <f ca="1">ROUND(19.000,3)</f>
        <v>0</v>
      </c>
      <c r="G14810" s="27">
        <f ca="1">ROUND(E14810*F14810,2)</f>
        <v>0</v>
      </c>
    </row>
    <row r="14811" spans="1:7" ht="24.36" thickBot="1" customHeight="1">
      <c r="A14811" s="24" t="s">
        <v>46966</v>
      </c>
      <c r="B14811" s="24" t="s">
        <v>46967</v>
      </c>
      <c r="C14811" s="24" t="s">
        <v>46968</v>
      </c>
      <c r="D14811" s="25" t="s">
        <v>46969</v>
      </c>
      <c r="E14811" s="28">
        <v>0.20000</v>
      </c>
      <c r="F14811" s="29">
        <f ca="1">ROUND(19.000,3)</f>
        <v>0</v>
      </c>
      <c r="G14811" s="27">
        <f ca="1">ROUND(E14811*F14811,2)</f>
        <v>0</v>
      </c>
    </row>
    <row r="14812" spans="1:7" ht="15.12" thickBot="1" customHeight="1">
      <c r="A14812" s="26"/>
      <c r="B14812" s="26"/>
      <c r="C14812" s="26"/>
      <c r="D14812" s="24" t="s">
        <v>46970</v>
      </c>
      <c r="E14812" s="28">
        <v>0.36360</v>
      </c>
      <c r="F14812" s="29">
        <f ca="1">ROUND((G14809+G14810+G14811),3)</f>
        <v>0</v>
      </c>
      <c r="G14812" s="27">
        <f ca="1">ROUND(E14812*F14812,2)</f>
        <v>0</v>
      </c>
    </row>
    <row r="14813" spans="1:7" ht="15.12" thickBot="1" customHeight="1">
      <c r="A14813" s="24" t="s">
        <v>46971</v>
      </c>
      <c r="B14813" s="24"/>
      <c r="C14813" s="24" t="s">
        <v>46972</v>
      </c>
      <c r="D14813" s="25" t="s">
        <v>46973</v>
      </c>
      <c r="E14813" s="28">
        <v>3.00000</v>
      </c>
      <c r="F14813" s="29">
        <f ca="1">ROUND(15.930,3)</f>
        <v>0</v>
      </c>
      <c r="G14813" s="27">
        <f ca="1">ROUND((E14813*F14813)/100,2)</f>
        <v>0</v>
      </c>
    </row>
    <row r="14814" spans="1:7" ht="15.48" thickBot="1" customHeight="1">
      <c r="A14814" s="30"/>
      <c r="B14814" s="30"/>
      <c r="C14814" s="30"/>
      <c r="D14814" s="31" t="s">
        <v>46974</v>
      </c>
      <c r="E14814" s="30"/>
      <c r="F14814" s="33">
        <f ca="1">ROUND((G14800+G14801+G14802+G14803+G14804+G14805+G14806+G14807+G14808+G14813)*(1+G2/100),2)</f>
        <v>0</v>
      </c>
      <c r="G14814" s="30"/>
    </row>
    <row r="14815" spans="1:7" ht="67.56" thickBot="1" customHeight="1">
      <c r="A14815" s="34" t="s">
        <v>46975</v>
      </c>
      <c r="B14815" s="35" t="s">
        <v>46976</v>
      </c>
      <c r="C14815" s="35" t="s">
        <v>46977</v>
      </c>
      <c r="D14815" s="36" t="s">
        <v>46978</v>
      </c>
      <c r="E14815" s="37"/>
      <c r="F14815" s="38">
        <f ca="1">F14831</f>
        <v>0</v>
      </c>
      <c r="G14815" s="37"/>
    </row>
    <row r="14816" spans="1:7" ht="30.60" thickBot="1" customHeight="1">
      <c r="A14816" s="26"/>
      <c r="B14816" s="26"/>
      <c r="C14816" s="26"/>
      <c r="D14816" s="25" t="s">
        <v>46979</v>
      </c>
      <c r="E14816" s="25"/>
      <c r="F14816" s="25"/>
      <c r="G14816" s="25"/>
    </row>
    <row r="14817" spans="1:7" ht="30.60" thickBot="1" customHeight="1">
      <c r="A14817" s="24" t="s">
        <v>46980</v>
      </c>
      <c r="B14817" s="24" t="s">
        <v>46981</v>
      </c>
      <c r="C14817" s="24" t="s">
        <v>46982</v>
      </c>
      <c r="D14817" s="25" t="s">
        <v>46983</v>
      </c>
      <c r="E14817" s="28">
        <v>0.06000</v>
      </c>
      <c r="F14817" s="29">
        <f ca="1">ROUND(29.170,3)</f>
        <v>0</v>
      </c>
      <c r="G14817" s="27">
        <f ca="1">ROUND(E14817*F14817,2)</f>
        <v>0</v>
      </c>
    </row>
    <row r="14818" spans="1:7" ht="30.60" thickBot="1" customHeight="1">
      <c r="A14818" s="24" t="s">
        <v>46984</v>
      </c>
      <c r="B14818" s="24" t="s">
        <v>46985</v>
      </c>
      <c r="C14818" s="24" t="s">
        <v>46986</v>
      </c>
      <c r="D14818" s="25" t="s">
        <v>46987</v>
      </c>
      <c r="E14818" s="28">
        <v>1.00000</v>
      </c>
      <c r="F14818" s="29">
        <f ca="1">ROUND(7.890,3)</f>
        <v>0</v>
      </c>
      <c r="G14818" s="27">
        <f ca="1">ROUND(E14818*F14818,2)</f>
        <v>0</v>
      </c>
    </row>
    <row r="14819" spans="1:7" ht="21.36" thickBot="1" customHeight="1">
      <c r="A14819" s="24" t="s">
        <v>46988</v>
      </c>
      <c r="B14819" s="24" t="s">
        <v>46989</v>
      </c>
      <c r="C14819" s="24" t="s">
        <v>46990</v>
      </c>
      <c r="D14819" s="25" t="s">
        <v>46991</v>
      </c>
      <c r="E14819" s="28">
        <v>0.50000</v>
      </c>
      <c r="F14819" s="29">
        <f ca="1">ROUND(10.180,3)</f>
        <v>0</v>
      </c>
      <c r="G14819" s="27">
        <f ca="1">ROUND(E14819*F14819,2)</f>
        <v>0</v>
      </c>
    </row>
    <row r="14820" spans="1:7" ht="30.60" thickBot="1" customHeight="1">
      <c r="A14820" s="24" t="s">
        <v>46992</v>
      </c>
      <c r="B14820" s="24" t="s">
        <v>46993</v>
      </c>
      <c r="C14820" s="24" t="s">
        <v>46994</v>
      </c>
      <c r="D14820" s="25" t="s">
        <v>46995</v>
      </c>
      <c r="E14820" s="28">
        <v>0.02100</v>
      </c>
      <c r="F14820" s="29">
        <f ca="1">ROUND(27.500,3)</f>
        <v>0</v>
      </c>
      <c r="G14820" s="27">
        <f ca="1">ROUND(E14820*F14820,2)</f>
        <v>0</v>
      </c>
    </row>
    <row r="14821" spans="1:7" ht="21.36" thickBot="1" customHeight="1">
      <c r="A14821" s="24" t="s">
        <v>46996</v>
      </c>
      <c r="B14821" s="24" t="s">
        <v>46997</v>
      </c>
      <c r="C14821" s="24" t="s">
        <v>46998</v>
      </c>
      <c r="D14821" s="25" t="s">
        <v>46999</v>
      </c>
      <c r="E14821" s="28">
        <v>0.40000</v>
      </c>
      <c r="F14821" s="29">
        <f ca="1">ROUND(1.050,3)</f>
        <v>0</v>
      </c>
      <c r="G14821" s="27">
        <f ca="1">ROUND(E14821*F14821,2)</f>
        <v>0</v>
      </c>
    </row>
    <row r="14822" spans="1:7" ht="30.60" thickBot="1" customHeight="1">
      <c r="A14822" s="24" t="s">
        <v>47000</v>
      </c>
      <c r="B14822" s="24" t="s">
        <v>47001</v>
      </c>
      <c r="C14822" s="24" t="s">
        <v>47002</v>
      </c>
      <c r="D14822" s="25" t="s">
        <v>47003</v>
      </c>
      <c r="E14822" s="28">
        <v>0.50000</v>
      </c>
      <c r="F14822" s="29">
        <f ca="1">ROUND(1.760,3)</f>
        <v>0</v>
      </c>
      <c r="G14822" s="27">
        <f ca="1">ROUND(E14822*F14822,2)</f>
        <v>0</v>
      </c>
    </row>
    <row r="14823" spans="1:7" ht="21.36" thickBot="1" customHeight="1">
      <c r="A14823" s="24" t="s">
        <v>47004</v>
      </c>
      <c r="B14823" s="24" t="s">
        <v>47005</v>
      </c>
      <c r="C14823" s="24" t="s">
        <v>47006</v>
      </c>
      <c r="D14823" s="25" t="s">
        <v>47007</v>
      </c>
      <c r="E14823" s="28">
        <v>0.02444</v>
      </c>
      <c r="F14823" s="29">
        <f ca="1">ROUND(1.320,3)</f>
        <v>0</v>
      </c>
      <c r="G14823" s="27">
        <f ca="1">ROUND(E14823*F14823,2)</f>
        <v>0</v>
      </c>
    </row>
    <row r="14824" spans="1:7" ht="21.36" thickBot="1" customHeight="1">
      <c r="A14824" s="24" t="s">
        <v>47008</v>
      </c>
      <c r="B14824" s="24" t="s">
        <v>47009</v>
      </c>
      <c r="C14824" s="24" t="s">
        <v>47010</v>
      </c>
      <c r="D14824" s="25" t="s">
        <v>47011</v>
      </c>
      <c r="E14824" s="28">
        <v>0.20000</v>
      </c>
      <c r="F14824" s="29">
        <f ca="1">ROUND(11.500,3)</f>
        <v>0</v>
      </c>
      <c r="G14824" s="27">
        <f ca="1">ROUND(E14824*F14824,2)</f>
        <v>0</v>
      </c>
    </row>
    <row r="14825" spans="1:7" ht="21.36" thickBot="1" customHeight="1">
      <c r="A14825" s="24" t="s">
        <v>47012</v>
      </c>
      <c r="B14825" s="24" t="s">
        <v>47013</v>
      </c>
      <c r="C14825" s="24" t="s">
        <v>47014</v>
      </c>
      <c r="D14825" s="25" t="s">
        <v>47015</v>
      </c>
      <c r="E14825" s="28">
        <v>0.36360</v>
      </c>
      <c r="F14825" s="29">
        <f ca="1">F14829</f>
        <v>0</v>
      </c>
      <c r="G14825" s="27">
        <f ca="1">ROUND(E14825*F14825,2)</f>
        <v>0</v>
      </c>
    </row>
    <row r="14826" spans="1:7" ht="24.36" thickBot="1" customHeight="1">
      <c r="A14826" s="24" t="s">
        <v>47016</v>
      </c>
      <c r="B14826" s="24" t="s">
        <v>47017</v>
      </c>
      <c r="C14826" s="24" t="s">
        <v>47018</v>
      </c>
      <c r="D14826" s="25" t="s">
        <v>47019</v>
      </c>
      <c r="E14826" s="28">
        <v>1.00000</v>
      </c>
      <c r="F14826" s="29">
        <f ca="1">ROUND(21.000,3)</f>
        <v>0</v>
      </c>
      <c r="G14826" s="27">
        <f ca="1">ROUND(E14826*F14826,2)</f>
        <v>0</v>
      </c>
    </row>
    <row r="14827" spans="1:7" ht="24.36" thickBot="1" customHeight="1">
      <c r="A14827" s="24" t="s">
        <v>47020</v>
      </c>
      <c r="B14827" s="24" t="s">
        <v>47021</v>
      </c>
      <c r="C14827" s="24" t="s">
        <v>47022</v>
      </c>
      <c r="D14827" s="25" t="s">
        <v>47023</v>
      </c>
      <c r="E14827" s="28">
        <v>1.00000</v>
      </c>
      <c r="F14827" s="29">
        <f ca="1">ROUND(19.000,3)</f>
        <v>0</v>
      </c>
      <c r="G14827" s="27">
        <f ca="1">ROUND(E14827*F14827,2)</f>
        <v>0</v>
      </c>
    </row>
    <row r="14828" spans="1:7" ht="24.36" thickBot="1" customHeight="1">
      <c r="A14828" s="24" t="s">
        <v>47024</v>
      </c>
      <c r="B14828" s="24" t="s">
        <v>47025</v>
      </c>
      <c r="C14828" s="24" t="s">
        <v>47026</v>
      </c>
      <c r="D14828" s="25" t="s">
        <v>47027</v>
      </c>
      <c r="E14828" s="28">
        <v>0.20000</v>
      </c>
      <c r="F14828" s="29">
        <f ca="1">ROUND(19.000,3)</f>
        <v>0</v>
      </c>
      <c r="G14828" s="27">
        <f ca="1">ROUND(E14828*F14828,2)</f>
        <v>0</v>
      </c>
    </row>
    <row r="14829" spans="1:7" ht="15.12" thickBot="1" customHeight="1">
      <c r="A14829" s="26"/>
      <c r="B14829" s="26"/>
      <c r="C14829" s="26"/>
      <c r="D14829" s="24" t="s">
        <v>47028</v>
      </c>
      <c r="E14829" s="28">
        <v>0.36360</v>
      </c>
      <c r="F14829" s="29">
        <f ca="1">ROUND((G14826+G14827+G14828),3)</f>
        <v>0</v>
      </c>
      <c r="G14829" s="27">
        <f ca="1">ROUND(E14829*F14829,2)</f>
        <v>0</v>
      </c>
    </row>
    <row r="14830" spans="1:7" ht="15.12" thickBot="1" customHeight="1">
      <c r="A14830" s="24" t="s">
        <v>47029</v>
      </c>
      <c r="B14830" s="24"/>
      <c r="C14830" s="24" t="s">
        <v>47030</v>
      </c>
      <c r="D14830" s="25" t="s">
        <v>47031</v>
      </c>
      <c r="E14830" s="28">
        <v>3.00000</v>
      </c>
      <c r="F14830" s="29">
        <f ca="1">ROUND(15.930,3)</f>
        <v>0</v>
      </c>
      <c r="G14830" s="27">
        <f ca="1">ROUND((E14830*F14830)/100,2)</f>
        <v>0</v>
      </c>
    </row>
    <row r="14831" spans="1:7" ht="15.48" thickBot="1" customHeight="1">
      <c r="A14831" s="30"/>
      <c r="B14831" s="30"/>
      <c r="C14831" s="30"/>
      <c r="D14831" s="31" t="s">
        <v>47032</v>
      </c>
      <c r="E14831" s="30"/>
      <c r="F14831" s="33">
        <f ca="1">ROUND((G14817+G14818+G14819+G14820+G14821+G14822+G14823+G14824+G14825+G14830)*(1+G2/100),2)</f>
        <v>0</v>
      </c>
      <c r="G14831" s="30"/>
    </row>
    <row r="14832" spans="1:7" ht="67.56" thickBot="1" customHeight="1">
      <c r="A14832" s="34" t="s">
        <v>47033</v>
      </c>
      <c r="B14832" s="35" t="s">
        <v>47034</v>
      </c>
      <c r="C14832" s="35" t="s">
        <v>47035</v>
      </c>
      <c r="D14832" s="36" t="s">
        <v>47036</v>
      </c>
      <c r="E14832" s="37"/>
      <c r="F14832" s="38">
        <f ca="1">F14848</f>
        <v>0</v>
      </c>
      <c r="G14832" s="37"/>
    </row>
    <row r="14833" spans="1:7" ht="30.60" thickBot="1" customHeight="1">
      <c r="A14833" s="26"/>
      <c r="B14833" s="26"/>
      <c r="C14833" s="26"/>
      <c r="D14833" s="25" t="s">
        <v>47037</v>
      </c>
      <c r="E14833" s="25"/>
      <c r="F14833" s="25"/>
      <c r="G14833" s="25"/>
    </row>
    <row r="14834" spans="1:7" ht="30.60" thickBot="1" customHeight="1">
      <c r="A14834" s="24" t="s">
        <v>47038</v>
      </c>
      <c r="B14834" s="24" t="s">
        <v>47039</v>
      </c>
      <c r="C14834" s="24" t="s">
        <v>47040</v>
      </c>
      <c r="D14834" s="25" t="s">
        <v>47041</v>
      </c>
      <c r="E14834" s="28">
        <v>0.06000</v>
      </c>
      <c r="F14834" s="29">
        <f ca="1">ROUND(29.170,3)</f>
        <v>0</v>
      </c>
      <c r="G14834" s="27">
        <f ca="1">ROUND(E14834*F14834,2)</f>
        <v>0</v>
      </c>
    </row>
    <row r="14835" spans="1:7" ht="30.60" thickBot="1" customHeight="1">
      <c r="A14835" s="24" t="s">
        <v>47042</v>
      </c>
      <c r="B14835" s="24" t="s">
        <v>47043</v>
      </c>
      <c r="C14835" s="24" t="s">
        <v>47044</v>
      </c>
      <c r="D14835" s="25" t="s">
        <v>47045</v>
      </c>
      <c r="E14835" s="28">
        <v>1.00000</v>
      </c>
      <c r="F14835" s="29">
        <f ca="1">ROUND(7.890,3)</f>
        <v>0</v>
      </c>
      <c r="G14835" s="27">
        <f ca="1">ROUND(E14835*F14835,2)</f>
        <v>0</v>
      </c>
    </row>
    <row r="14836" spans="1:7" ht="21.36" thickBot="1" customHeight="1">
      <c r="A14836" s="24" t="s">
        <v>47046</v>
      </c>
      <c r="B14836" s="24" t="s">
        <v>47047</v>
      </c>
      <c r="C14836" s="24" t="s">
        <v>47048</v>
      </c>
      <c r="D14836" s="25" t="s">
        <v>47049</v>
      </c>
      <c r="E14836" s="28">
        <v>0.50000</v>
      </c>
      <c r="F14836" s="29">
        <f ca="1">ROUND(10.180,3)</f>
        <v>0</v>
      </c>
      <c r="G14836" s="27">
        <f ca="1">ROUND(E14836*F14836,2)</f>
        <v>0</v>
      </c>
    </row>
    <row r="14837" spans="1:7" ht="30.60" thickBot="1" customHeight="1">
      <c r="A14837" s="24" t="s">
        <v>47050</v>
      </c>
      <c r="B14837" s="24" t="s">
        <v>47051</v>
      </c>
      <c r="C14837" s="24" t="s">
        <v>47052</v>
      </c>
      <c r="D14837" s="25" t="s">
        <v>47053</v>
      </c>
      <c r="E14837" s="28">
        <v>0.02100</v>
      </c>
      <c r="F14837" s="29">
        <f ca="1">ROUND(27.500,3)</f>
        <v>0</v>
      </c>
      <c r="G14837" s="27">
        <f ca="1">ROUND(E14837*F14837,2)</f>
        <v>0</v>
      </c>
    </row>
    <row r="14838" spans="1:7" ht="21.36" thickBot="1" customHeight="1">
      <c r="A14838" s="24" t="s">
        <v>47054</v>
      </c>
      <c r="B14838" s="24" t="s">
        <v>47055</v>
      </c>
      <c r="C14838" s="24" t="s">
        <v>47056</v>
      </c>
      <c r="D14838" s="25" t="s">
        <v>47057</v>
      </c>
      <c r="E14838" s="28">
        <v>0.40000</v>
      </c>
      <c r="F14838" s="29">
        <f ca="1">ROUND(1.050,3)</f>
        <v>0</v>
      </c>
      <c r="G14838" s="27">
        <f ca="1">ROUND(E14838*F14838,2)</f>
        <v>0</v>
      </c>
    </row>
    <row r="14839" spans="1:7" ht="30.60" thickBot="1" customHeight="1">
      <c r="A14839" s="24" t="s">
        <v>47058</v>
      </c>
      <c r="B14839" s="24" t="s">
        <v>47059</v>
      </c>
      <c r="C14839" s="24" t="s">
        <v>47060</v>
      </c>
      <c r="D14839" s="25" t="s">
        <v>47061</v>
      </c>
      <c r="E14839" s="28">
        <v>0.50000</v>
      </c>
      <c r="F14839" s="29">
        <f ca="1">ROUND(1.760,3)</f>
        <v>0</v>
      </c>
      <c r="G14839" s="27">
        <f ca="1">ROUND(E14839*F14839,2)</f>
        <v>0</v>
      </c>
    </row>
    <row r="14840" spans="1:7" ht="21.36" thickBot="1" customHeight="1">
      <c r="A14840" s="24" t="s">
        <v>47062</v>
      </c>
      <c r="B14840" s="24" t="s">
        <v>47063</v>
      </c>
      <c r="C14840" s="24" t="s">
        <v>47064</v>
      </c>
      <c r="D14840" s="25" t="s">
        <v>47065</v>
      </c>
      <c r="E14840" s="28">
        <v>0.02444</v>
      </c>
      <c r="F14840" s="29">
        <f ca="1">ROUND(1.320,3)</f>
        <v>0</v>
      </c>
      <c r="G14840" s="27">
        <f ca="1">ROUND(E14840*F14840,2)</f>
        <v>0</v>
      </c>
    </row>
    <row r="14841" spans="1:7" ht="21.36" thickBot="1" customHeight="1">
      <c r="A14841" s="24" t="s">
        <v>47066</v>
      </c>
      <c r="B14841" s="24" t="s">
        <v>47067</v>
      </c>
      <c r="C14841" s="24" t="s">
        <v>47068</v>
      </c>
      <c r="D14841" s="25" t="s">
        <v>47069</v>
      </c>
      <c r="E14841" s="28">
        <v>0.20000</v>
      </c>
      <c r="F14841" s="29">
        <f ca="1">ROUND(11.500,3)</f>
        <v>0</v>
      </c>
      <c r="G14841" s="27">
        <f ca="1">ROUND(E14841*F14841,2)</f>
        <v>0</v>
      </c>
    </row>
    <row r="14842" spans="1:7" ht="21.36" thickBot="1" customHeight="1">
      <c r="A14842" s="24" t="s">
        <v>47070</v>
      </c>
      <c r="B14842" s="24" t="s">
        <v>47071</v>
      </c>
      <c r="C14842" s="24" t="s">
        <v>47072</v>
      </c>
      <c r="D14842" s="25" t="s">
        <v>47073</v>
      </c>
      <c r="E14842" s="28">
        <v>0.36360</v>
      </c>
      <c r="F14842" s="29">
        <f ca="1">F14846</f>
        <v>0</v>
      </c>
      <c r="G14842" s="27">
        <f ca="1">ROUND(E14842*F14842,2)</f>
        <v>0</v>
      </c>
    </row>
    <row r="14843" spans="1:7" ht="24.36" thickBot="1" customHeight="1">
      <c r="A14843" s="24" t="s">
        <v>47074</v>
      </c>
      <c r="B14843" s="24" t="s">
        <v>47075</v>
      </c>
      <c r="C14843" s="24" t="s">
        <v>47076</v>
      </c>
      <c r="D14843" s="25" t="s">
        <v>47077</v>
      </c>
      <c r="E14843" s="28">
        <v>1.00000</v>
      </c>
      <c r="F14843" s="29">
        <f ca="1">ROUND(21.000,3)</f>
        <v>0</v>
      </c>
      <c r="G14843" s="27">
        <f ca="1">ROUND(E14843*F14843,2)</f>
        <v>0</v>
      </c>
    </row>
    <row r="14844" spans="1:7" ht="24.36" thickBot="1" customHeight="1">
      <c r="A14844" s="24" t="s">
        <v>47078</v>
      </c>
      <c r="B14844" s="24" t="s">
        <v>47079</v>
      </c>
      <c r="C14844" s="24" t="s">
        <v>47080</v>
      </c>
      <c r="D14844" s="25" t="s">
        <v>47081</v>
      </c>
      <c r="E14844" s="28">
        <v>1.00000</v>
      </c>
      <c r="F14844" s="29">
        <f ca="1">ROUND(19.000,3)</f>
        <v>0</v>
      </c>
      <c r="G14844" s="27">
        <f ca="1">ROUND(E14844*F14844,2)</f>
        <v>0</v>
      </c>
    </row>
    <row r="14845" spans="1:7" ht="24.36" thickBot="1" customHeight="1">
      <c r="A14845" s="24" t="s">
        <v>47082</v>
      </c>
      <c r="B14845" s="24" t="s">
        <v>47083</v>
      </c>
      <c r="C14845" s="24" t="s">
        <v>47084</v>
      </c>
      <c r="D14845" s="25" t="s">
        <v>47085</v>
      </c>
      <c r="E14845" s="28">
        <v>0.20000</v>
      </c>
      <c r="F14845" s="29">
        <f ca="1">ROUND(19.000,3)</f>
        <v>0</v>
      </c>
      <c r="G14845" s="27">
        <f ca="1">ROUND(E14845*F14845,2)</f>
        <v>0</v>
      </c>
    </row>
    <row r="14846" spans="1:7" ht="15.12" thickBot="1" customHeight="1">
      <c r="A14846" s="26"/>
      <c r="B14846" s="26"/>
      <c r="C14846" s="26"/>
      <c r="D14846" s="24" t="s">
        <v>47086</v>
      </c>
      <c r="E14846" s="28">
        <v>0.36360</v>
      </c>
      <c r="F14846" s="29">
        <f ca="1">ROUND((G14843+G14844+G14845),3)</f>
        <v>0</v>
      </c>
      <c r="G14846" s="27">
        <f ca="1">ROUND(E14846*F14846,2)</f>
        <v>0</v>
      </c>
    </row>
    <row r="14847" spans="1:7" ht="15.12" thickBot="1" customHeight="1">
      <c r="A14847" s="24" t="s">
        <v>47087</v>
      </c>
      <c r="B14847" s="24"/>
      <c r="C14847" s="24" t="s">
        <v>47088</v>
      </c>
      <c r="D14847" s="25" t="s">
        <v>47089</v>
      </c>
      <c r="E14847" s="28">
        <v>3.00000</v>
      </c>
      <c r="F14847" s="29">
        <f ca="1">ROUND(15.930,3)</f>
        <v>0</v>
      </c>
      <c r="G14847" s="27">
        <f ca="1">ROUND((E14847*F14847)/100,2)</f>
        <v>0</v>
      </c>
    </row>
    <row r="14848" spans="1:7" ht="15.48" thickBot="1" customHeight="1">
      <c r="A14848" s="30"/>
      <c r="B14848" s="30"/>
      <c r="C14848" s="30"/>
      <c r="D14848" s="31" t="s">
        <v>47090</v>
      </c>
      <c r="E14848" s="30"/>
      <c r="F14848" s="33">
        <f ca="1">ROUND((G14834+G14835+G14836+G14837+G14838+G14839+G14840+G14841+G14842+G14847)*(1+G2/100),2)</f>
        <v>0</v>
      </c>
      <c r="G14848" s="30"/>
    </row>
    <row r="14849" spans="1:7" ht="67.56" thickBot="1" customHeight="1">
      <c r="A14849" s="34" t="s">
        <v>47091</v>
      </c>
      <c r="B14849" s="35" t="s">
        <v>47092</v>
      </c>
      <c r="C14849" s="35" t="s">
        <v>47093</v>
      </c>
      <c r="D14849" s="36" t="s">
        <v>47094</v>
      </c>
      <c r="E14849" s="37"/>
      <c r="F14849" s="38">
        <f ca="1">F14864</f>
        <v>0</v>
      </c>
      <c r="G14849" s="37"/>
    </row>
    <row r="14850" spans="1:7" ht="30.60" thickBot="1" customHeight="1">
      <c r="A14850" s="26"/>
      <c r="B14850" s="26"/>
      <c r="C14850" s="26"/>
      <c r="D14850" s="25" t="s">
        <v>47095</v>
      </c>
      <c r="E14850" s="25"/>
      <c r="F14850" s="25"/>
      <c r="G14850" s="25"/>
    </row>
    <row r="14851" spans="1:7" ht="30.60" thickBot="1" customHeight="1">
      <c r="A14851" s="24" t="s">
        <v>47096</v>
      </c>
      <c r="B14851" s="24" t="s">
        <v>47097</v>
      </c>
      <c r="C14851" s="24" t="s">
        <v>47098</v>
      </c>
      <c r="D14851" s="25" t="s">
        <v>47099</v>
      </c>
      <c r="E14851" s="28">
        <v>0.06000</v>
      </c>
      <c r="F14851" s="29">
        <f ca="1">ROUND(29.170,3)</f>
        <v>0</v>
      </c>
      <c r="G14851" s="27">
        <f ca="1">ROUND(E14851*F14851,2)</f>
        <v>0</v>
      </c>
    </row>
    <row r="14852" spans="1:7" ht="30.60" thickBot="1" customHeight="1">
      <c r="A14852" s="24" t="s">
        <v>47100</v>
      </c>
      <c r="B14852" s="24" t="s">
        <v>47101</v>
      </c>
      <c r="C14852" s="24" t="s">
        <v>47102</v>
      </c>
      <c r="D14852" s="25" t="s">
        <v>47103</v>
      </c>
      <c r="E14852" s="28">
        <v>1.32300</v>
      </c>
      <c r="F14852" s="29">
        <f ca="1">ROUND(6.150,3)</f>
        <v>0</v>
      </c>
      <c r="G14852" s="27">
        <f ca="1">ROUND(E14852*F14852,2)</f>
        <v>0</v>
      </c>
    </row>
    <row r="14853" spans="1:7" ht="30.60" thickBot="1" customHeight="1">
      <c r="A14853" s="24" t="s">
        <v>47104</v>
      </c>
      <c r="B14853" s="24" t="s">
        <v>47105</v>
      </c>
      <c r="C14853" s="24" t="s">
        <v>47106</v>
      </c>
      <c r="D14853" s="25" t="s">
        <v>47107</v>
      </c>
      <c r="E14853" s="28">
        <v>0.02100</v>
      </c>
      <c r="F14853" s="29">
        <f ca="1">ROUND(27.500,3)</f>
        <v>0</v>
      </c>
      <c r="G14853" s="27">
        <f ca="1">ROUND(E14853*F14853,2)</f>
        <v>0</v>
      </c>
    </row>
    <row r="14854" spans="1:7" ht="21.36" thickBot="1" customHeight="1">
      <c r="A14854" s="24" t="s">
        <v>47108</v>
      </c>
      <c r="B14854" s="24" t="s">
        <v>47109</v>
      </c>
      <c r="C14854" s="24" t="s">
        <v>47110</v>
      </c>
      <c r="D14854" s="25" t="s">
        <v>47111</v>
      </c>
      <c r="E14854" s="28">
        <v>0.40000</v>
      </c>
      <c r="F14854" s="29">
        <f ca="1">ROUND(1.050,3)</f>
        <v>0</v>
      </c>
      <c r="G14854" s="27">
        <f ca="1">ROUND(E14854*F14854,2)</f>
        <v>0</v>
      </c>
    </row>
    <row r="14855" spans="1:7" ht="30.60" thickBot="1" customHeight="1">
      <c r="A14855" s="24" t="s">
        <v>47112</v>
      </c>
      <c r="B14855" s="24" t="s">
        <v>47113</v>
      </c>
      <c r="C14855" s="24" t="s">
        <v>47114</v>
      </c>
      <c r="D14855" s="25" t="s">
        <v>47115</v>
      </c>
      <c r="E14855" s="28">
        <v>0.50000</v>
      </c>
      <c r="F14855" s="29">
        <f ca="1">ROUND(1.760,3)</f>
        <v>0</v>
      </c>
      <c r="G14855" s="27">
        <f ca="1">ROUND(E14855*F14855,2)</f>
        <v>0</v>
      </c>
    </row>
    <row r="14856" spans="1:7" ht="21.36" thickBot="1" customHeight="1">
      <c r="A14856" s="24" t="s">
        <v>47116</v>
      </c>
      <c r="B14856" s="24" t="s">
        <v>47117</v>
      </c>
      <c r="C14856" s="24" t="s">
        <v>47118</v>
      </c>
      <c r="D14856" s="25" t="s">
        <v>47119</v>
      </c>
      <c r="E14856" s="28">
        <v>0.02444</v>
      </c>
      <c r="F14856" s="29">
        <f ca="1">ROUND(1.320,3)</f>
        <v>0</v>
      </c>
      <c r="G14856" s="27">
        <f ca="1">ROUND(E14856*F14856,2)</f>
        <v>0</v>
      </c>
    </row>
    <row r="14857" spans="1:7" ht="21.36" thickBot="1" customHeight="1">
      <c r="A14857" s="24" t="s">
        <v>47120</v>
      </c>
      <c r="B14857" s="24" t="s">
        <v>47121</v>
      </c>
      <c r="C14857" s="24" t="s">
        <v>47122</v>
      </c>
      <c r="D14857" s="25" t="s">
        <v>47123</v>
      </c>
      <c r="E14857" s="28">
        <v>0.20000</v>
      </c>
      <c r="F14857" s="29">
        <f ca="1">ROUND(11.500,3)</f>
        <v>0</v>
      </c>
      <c r="G14857" s="27">
        <f ca="1">ROUND(E14857*F14857,2)</f>
        <v>0</v>
      </c>
    </row>
    <row r="14858" spans="1:7" ht="21.36" thickBot="1" customHeight="1">
      <c r="A14858" s="24" t="s">
        <v>47124</v>
      </c>
      <c r="B14858" s="24" t="s">
        <v>47125</v>
      </c>
      <c r="C14858" s="24" t="s">
        <v>47126</v>
      </c>
      <c r="D14858" s="25" t="s">
        <v>47127</v>
      </c>
      <c r="E14858" s="28">
        <v>0.50000</v>
      </c>
      <c r="F14858" s="29">
        <f ca="1">F14862</f>
        <v>0</v>
      </c>
      <c r="G14858" s="27">
        <f ca="1">ROUND(E14858*F14858,2)</f>
        <v>0</v>
      </c>
    </row>
    <row r="14859" spans="1:7" ht="24.36" thickBot="1" customHeight="1">
      <c r="A14859" s="24" t="s">
        <v>47128</v>
      </c>
      <c r="B14859" s="24" t="s">
        <v>47129</v>
      </c>
      <c r="C14859" s="24" t="s">
        <v>47130</v>
      </c>
      <c r="D14859" s="25" t="s">
        <v>47131</v>
      </c>
      <c r="E14859" s="28">
        <v>1.00000</v>
      </c>
      <c r="F14859" s="29">
        <f ca="1">ROUND(21.000,3)</f>
        <v>0</v>
      </c>
      <c r="G14859" s="27">
        <f ca="1">ROUND(E14859*F14859,2)</f>
        <v>0</v>
      </c>
    </row>
    <row r="14860" spans="1:7" ht="24.36" thickBot="1" customHeight="1">
      <c r="A14860" s="24" t="s">
        <v>47132</v>
      </c>
      <c r="B14860" s="24" t="s">
        <v>47133</v>
      </c>
      <c r="C14860" s="24" t="s">
        <v>47134</v>
      </c>
      <c r="D14860" s="25" t="s">
        <v>47135</v>
      </c>
      <c r="E14860" s="28">
        <v>1.00000</v>
      </c>
      <c r="F14860" s="29">
        <f ca="1">ROUND(19.000,3)</f>
        <v>0</v>
      </c>
      <c r="G14860" s="27">
        <f ca="1">ROUND(E14860*F14860,2)</f>
        <v>0</v>
      </c>
    </row>
    <row r="14861" spans="1:7" ht="24.36" thickBot="1" customHeight="1">
      <c r="A14861" s="24" t="s">
        <v>47136</v>
      </c>
      <c r="B14861" s="24" t="s">
        <v>47137</v>
      </c>
      <c r="C14861" s="24" t="s">
        <v>47138</v>
      </c>
      <c r="D14861" s="25" t="s">
        <v>47139</v>
      </c>
      <c r="E14861" s="28">
        <v>0.20000</v>
      </c>
      <c r="F14861" s="29">
        <f ca="1">ROUND(19.000,3)</f>
        <v>0</v>
      </c>
      <c r="G14861" s="27">
        <f ca="1">ROUND(E14861*F14861,2)</f>
        <v>0</v>
      </c>
    </row>
    <row r="14862" spans="1:7" ht="15.12" thickBot="1" customHeight="1">
      <c r="A14862" s="26"/>
      <c r="B14862" s="26"/>
      <c r="C14862" s="26"/>
      <c r="D14862" s="24" t="s">
        <v>47140</v>
      </c>
      <c r="E14862" s="28">
        <v>0.50000</v>
      </c>
      <c r="F14862" s="29">
        <f ca="1">ROUND((G14859+G14860+G14861),3)</f>
        <v>0</v>
      </c>
      <c r="G14862" s="27">
        <f ca="1">ROUND(E14862*F14862,2)</f>
        <v>0</v>
      </c>
    </row>
    <row r="14863" spans="1:7" ht="15.12" thickBot="1" customHeight="1">
      <c r="A14863" s="24" t="s">
        <v>47141</v>
      </c>
      <c r="B14863" s="24"/>
      <c r="C14863" s="24" t="s">
        <v>47142</v>
      </c>
      <c r="D14863" s="25" t="s">
        <v>47143</v>
      </c>
      <c r="E14863" s="28">
        <v>3.00000</v>
      </c>
      <c r="F14863" s="29">
        <f ca="1">ROUND(21.900,3)</f>
        <v>0</v>
      </c>
      <c r="G14863" s="27">
        <f ca="1">ROUND((E14863*F14863)/100,2)</f>
        <v>0</v>
      </c>
    </row>
    <row r="14864" spans="1:7" ht="15.48" thickBot="1" customHeight="1">
      <c r="A14864" s="30"/>
      <c r="B14864" s="30"/>
      <c r="C14864" s="30"/>
      <c r="D14864" s="31" t="s">
        <v>47144</v>
      </c>
      <c r="E14864" s="30"/>
      <c r="F14864" s="33">
        <f ca="1">ROUND((G14851+G14852+G14853+G14854+G14855+G14856+G14857+G14858+G14863)*(1+G2/100),2)</f>
        <v>0</v>
      </c>
      <c r="G14864" s="30"/>
    </row>
    <row r="14865" spans="1:7" ht="67.56" thickBot="1" customHeight="1">
      <c r="A14865" s="34" t="s">
        <v>47145</v>
      </c>
      <c r="B14865" s="35" t="s">
        <v>47146</v>
      </c>
      <c r="C14865" s="35" t="s">
        <v>47147</v>
      </c>
      <c r="D14865" s="36" t="s">
        <v>47148</v>
      </c>
      <c r="E14865" s="37"/>
      <c r="F14865" s="38">
        <f ca="1">F14880</f>
        <v>0</v>
      </c>
      <c r="G14865" s="37"/>
    </row>
    <row r="14866" spans="1:7" ht="30.60" thickBot="1" customHeight="1">
      <c r="A14866" s="26"/>
      <c r="B14866" s="26"/>
      <c r="C14866" s="26"/>
      <c r="D14866" s="25" t="s">
        <v>47149</v>
      </c>
      <c r="E14866" s="25"/>
      <c r="F14866" s="25"/>
      <c r="G14866" s="25"/>
    </row>
    <row r="14867" spans="1:7" ht="30.60" thickBot="1" customHeight="1">
      <c r="A14867" s="24" t="s">
        <v>47150</v>
      </c>
      <c r="B14867" s="24" t="s">
        <v>47151</v>
      </c>
      <c r="C14867" s="24" t="s">
        <v>47152</v>
      </c>
      <c r="D14867" s="25" t="s">
        <v>47153</v>
      </c>
      <c r="E14867" s="28">
        <v>0.06000</v>
      </c>
      <c r="F14867" s="29">
        <f ca="1">ROUND(29.170,3)</f>
        <v>0</v>
      </c>
      <c r="G14867" s="27">
        <f ca="1">ROUND(E14867*F14867,2)</f>
        <v>0</v>
      </c>
    </row>
    <row r="14868" spans="1:7" ht="30.60" thickBot="1" customHeight="1">
      <c r="A14868" s="24" t="s">
        <v>47154</v>
      </c>
      <c r="B14868" s="24" t="s">
        <v>47155</v>
      </c>
      <c r="C14868" s="24" t="s">
        <v>47156</v>
      </c>
      <c r="D14868" s="25" t="s">
        <v>47157</v>
      </c>
      <c r="E14868" s="28">
        <v>1.32300</v>
      </c>
      <c r="F14868" s="29">
        <f ca="1">ROUND(6.150,3)</f>
        <v>0</v>
      </c>
      <c r="G14868" s="27">
        <f ca="1">ROUND(E14868*F14868,2)</f>
        <v>0</v>
      </c>
    </row>
    <row r="14869" spans="1:7" ht="30.60" thickBot="1" customHeight="1">
      <c r="A14869" s="24" t="s">
        <v>47158</v>
      </c>
      <c r="B14869" s="24" t="s">
        <v>47159</v>
      </c>
      <c r="C14869" s="24" t="s">
        <v>47160</v>
      </c>
      <c r="D14869" s="25" t="s">
        <v>47161</v>
      </c>
      <c r="E14869" s="28">
        <v>0.02100</v>
      </c>
      <c r="F14869" s="29">
        <f ca="1">ROUND(27.500,3)</f>
        <v>0</v>
      </c>
      <c r="G14869" s="27">
        <f ca="1">ROUND(E14869*F14869,2)</f>
        <v>0</v>
      </c>
    </row>
    <row r="14870" spans="1:7" ht="21.36" thickBot="1" customHeight="1">
      <c r="A14870" s="24" t="s">
        <v>47162</v>
      </c>
      <c r="B14870" s="24" t="s">
        <v>47163</v>
      </c>
      <c r="C14870" s="24" t="s">
        <v>47164</v>
      </c>
      <c r="D14870" s="25" t="s">
        <v>47165</v>
      </c>
      <c r="E14870" s="28">
        <v>0.40000</v>
      </c>
      <c r="F14870" s="29">
        <f ca="1">ROUND(1.050,3)</f>
        <v>0</v>
      </c>
      <c r="G14870" s="27">
        <f ca="1">ROUND(E14870*F14870,2)</f>
        <v>0</v>
      </c>
    </row>
    <row r="14871" spans="1:7" ht="30.60" thickBot="1" customHeight="1">
      <c r="A14871" s="24" t="s">
        <v>47166</v>
      </c>
      <c r="B14871" s="24" t="s">
        <v>47167</v>
      </c>
      <c r="C14871" s="24" t="s">
        <v>47168</v>
      </c>
      <c r="D14871" s="25" t="s">
        <v>47169</v>
      </c>
      <c r="E14871" s="28">
        <v>0.50000</v>
      </c>
      <c r="F14871" s="29">
        <f ca="1">ROUND(1.760,3)</f>
        <v>0</v>
      </c>
      <c r="G14871" s="27">
        <f ca="1">ROUND(E14871*F14871,2)</f>
        <v>0</v>
      </c>
    </row>
    <row r="14872" spans="1:7" ht="21.36" thickBot="1" customHeight="1">
      <c r="A14872" s="24" t="s">
        <v>47170</v>
      </c>
      <c r="B14872" s="24" t="s">
        <v>47171</v>
      </c>
      <c r="C14872" s="24" t="s">
        <v>47172</v>
      </c>
      <c r="D14872" s="25" t="s">
        <v>47173</v>
      </c>
      <c r="E14872" s="28">
        <v>0.02444</v>
      </c>
      <c r="F14872" s="29">
        <f ca="1">ROUND(1.320,3)</f>
        <v>0</v>
      </c>
      <c r="G14872" s="27">
        <f ca="1">ROUND(E14872*F14872,2)</f>
        <v>0</v>
      </c>
    </row>
    <row r="14873" spans="1:7" ht="21.36" thickBot="1" customHeight="1">
      <c r="A14873" s="24" t="s">
        <v>47174</v>
      </c>
      <c r="B14873" s="24" t="s">
        <v>47175</v>
      </c>
      <c r="C14873" s="24" t="s">
        <v>47176</v>
      </c>
      <c r="D14873" s="25" t="s">
        <v>47177</v>
      </c>
      <c r="E14873" s="28">
        <v>0.20000</v>
      </c>
      <c r="F14873" s="29">
        <f ca="1">ROUND(11.500,3)</f>
        <v>0</v>
      </c>
      <c r="G14873" s="27">
        <f ca="1">ROUND(E14873*F14873,2)</f>
        <v>0</v>
      </c>
    </row>
    <row r="14874" spans="1:7" ht="21.36" thickBot="1" customHeight="1">
      <c r="A14874" s="24" t="s">
        <v>47178</v>
      </c>
      <c r="B14874" s="24" t="s">
        <v>47179</v>
      </c>
      <c r="C14874" s="24" t="s">
        <v>47180</v>
      </c>
      <c r="D14874" s="25" t="s">
        <v>47181</v>
      </c>
      <c r="E14874" s="28">
        <v>0.40000</v>
      </c>
      <c r="F14874" s="29">
        <f ca="1">F14878</f>
        <v>0</v>
      </c>
      <c r="G14874" s="27">
        <f ca="1">ROUND(E14874*F14874,2)</f>
        <v>0</v>
      </c>
    </row>
    <row r="14875" spans="1:7" ht="24.36" thickBot="1" customHeight="1">
      <c r="A14875" s="24" t="s">
        <v>47182</v>
      </c>
      <c r="B14875" s="24" t="s">
        <v>47183</v>
      </c>
      <c r="C14875" s="24" t="s">
        <v>47184</v>
      </c>
      <c r="D14875" s="25" t="s">
        <v>47185</v>
      </c>
      <c r="E14875" s="28">
        <v>1.00000</v>
      </c>
      <c r="F14875" s="29">
        <f ca="1">ROUND(21.000,3)</f>
        <v>0</v>
      </c>
      <c r="G14875" s="27">
        <f ca="1">ROUND(E14875*F14875,2)</f>
        <v>0</v>
      </c>
    </row>
    <row r="14876" spans="1:7" ht="24.36" thickBot="1" customHeight="1">
      <c r="A14876" s="24" t="s">
        <v>47186</v>
      </c>
      <c r="B14876" s="24" t="s">
        <v>47187</v>
      </c>
      <c r="C14876" s="24" t="s">
        <v>47188</v>
      </c>
      <c r="D14876" s="25" t="s">
        <v>47189</v>
      </c>
      <c r="E14876" s="28">
        <v>1.00000</v>
      </c>
      <c r="F14876" s="29">
        <f ca="1">ROUND(19.000,3)</f>
        <v>0</v>
      </c>
      <c r="G14876" s="27">
        <f ca="1">ROUND(E14876*F14876,2)</f>
        <v>0</v>
      </c>
    </row>
    <row r="14877" spans="1:7" ht="24.36" thickBot="1" customHeight="1">
      <c r="A14877" s="24" t="s">
        <v>47190</v>
      </c>
      <c r="B14877" s="24" t="s">
        <v>47191</v>
      </c>
      <c r="C14877" s="24" t="s">
        <v>47192</v>
      </c>
      <c r="D14877" s="25" t="s">
        <v>47193</v>
      </c>
      <c r="E14877" s="28">
        <v>0.20000</v>
      </c>
      <c r="F14877" s="29">
        <f ca="1">ROUND(19.000,3)</f>
        <v>0</v>
      </c>
      <c r="G14877" s="27">
        <f ca="1">ROUND(E14877*F14877,2)</f>
        <v>0</v>
      </c>
    </row>
    <row r="14878" spans="1:7" ht="15.12" thickBot="1" customHeight="1">
      <c r="A14878" s="26"/>
      <c r="B14878" s="26"/>
      <c r="C14878" s="26"/>
      <c r="D14878" s="24" t="s">
        <v>47194</v>
      </c>
      <c r="E14878" s="28">
        <v>0.40000</v>
      </c>
      <c r="F14878" s="29">
        <f ca="1">ROUND((G14875+G14876+G14877),3)</f>
        <v>0</v>
      </c>
      <c r="G14878" s="27">
        <f ca="1">ROUND(E14878*F14878,2)</f>
        <v>0</v>
      </c>
    </row>
    <row r="14879" spans="1:7" ht="15.12" thickBot="1" customHeight="1">
      <c r="A14879" s="24" t="s">
        <v>47195</v>
      </c>
      <c r="B14879" s="24"/>
      <c r="C14879" s="24" t="s">
        <v>47196</v>
      </c>
      <c r="D14879" s="25" t="s">
        <v>47197</v>
      </c>
      <c r="E14879" s="28">
        <v>3.00000</v>
      </c>
      <c r="F14879" s="29">
        <f ca="1">ROUND(17.520,3)</f>
        <v>0</v>
      </c>
      <c r="G14879" s="27">
        <f ca="1">ROUND((E14879*F14879)/100,2)</f>
        <v>0</v>
      </c>
    </row>
    <row r="14880" spans="1:7" ht="15.48" thickBot="1" customHeight="1">
      <c r="A14880" s="30"/>
      <c r="B14880" s="30"/>
      <c r="C14880" s="30"/>
      <c r="D14880" s="31" t="s">
        <v>47198</v>
      </c>
      <c r="E14880" s="30"/>
      <c r="F14880" s="33">
        <f ca="1">ROUND((G14867+G14868+G14869+G14870+G14871+G14872+G14873+G14874+G14879)*(1+G2/100),2)</f>
        <v>0</v>
      </c>
      <c r="G14880" s="30"/>
    </row>
    <row r="14881" spans="1:7" ht="15.48" thickBot="1" customHeight="1">
      <c r="A14881" s="39"/>
      <c r="B14881" s="39"/>
      <c r="C14881" s="39"/>
      <c r="D14881" s="50" t="s">
        <v>47199</v>
      </c>
      <c r="E14881" s="51"/>
      <c r="F14881" s="51"/>
      <c r="G14881" s="51"/>
    </row>
    <row r="14882" spans="1:7" ht="15.48" thickBot="1" customHeight="1">
      <c r="A14882" s="39"/>
      <c r="B14882" s="39"/>
      <c r="C14882" s="39"/>
      <c r="D14882" s="55" t="s">
        <v>47200</v>
      </c>
      <c r="E14882" s="56"/>
      <c r="F14882" s="56"/>
      <c r="G14882" s="56"/>
    </row>
    <row r="14883" spans="1:7" ht="15.48" thickBot="1" customHeight="1">
      <c r="A14883" s="57" t="s">
        <v>47201</v>
      </c>
      <c r="B14883" s="57" t="s">
        <v>47202</v>
      </c>
      <c r="C14883" s="58"/>
      <c r="D14883" s="59" t="s">
        <v>47203</v>
      </c>
      <c r="E14883" s="58"/>
      <c r="F14883" s="58"/>
      <c r="G14883" s="58"/>
    </row>
    <row r="14884" spans="1:7" ht="31.68" thickBot="1" customHeight="1">
      <c r="A14884" s="18" t="s">
        <v>47204</v>
      </c>
      <c r="B14884" s="18" t="s">
        <v>47205</v>
      </c>
      <c r="C14884" s="19"/>
      <c r="D14884" s="20" t="s">
        <v>47206</v>
      </c>
      <c r="E14884" s="19"/>
      <c r="F14884" s="19"/>
      <c r="G14884" s="19"/>
    </row>
    <row r="14885" spans="1:7" ht="25.08" thickBot="1" customHeight="1">
      <c r="A14885" s="21" t="s">
        <v>47207</v>
      </c>
      <c r="B14885" s="21" t="s">
        <v>47208</v>
      </c>
      <c r="C14885" s="22"/>
      <c r="D14885" s="23" t="s">
        <v>47209</v>
      </c>
      <c r="E14885" s="22"/>
      <c r="F14885" s="22"/>
      <c r="G14885" s="22"/>
    </row>
    <row r="14886" spans="1:7" ht="25.08" thickBot="1" customHeight="1">
      <c r="A14886" s="10" t="s">
        <v>47210</v>
      </c>
      <c r="B14886" s="24" t="s">
        <v>47211</v>
      </c>
      <c r="C14886" s="24" t="s">
        <v>47212</v>
      </c>
      <c r="D14886" s="25" t="s">
        <v>47213</v>
      </c>
      <c r="E14886" s="26"/>
      <c r="F14886" s="27">
        <f ca="1">F14899</f>
        <v>0</v>
      </c>
      <c r="G14886" s="26"/>
    </row>
    <row r="14887" spans="1:7" ht="12.12" thickBot="1" customHeight="1">
      <c r="A14887" s="26"/>
      <c r="B14887" s="26"/>
      <c r="C14887" s="26"/>
      <c r="D14887" s="25" t="s">
        <v>47214</v>
      </c>
      <c r="E14887" s="25"/>
      <c r="F14887" s="25"/>
      <c r="G14887" s="25"/>
    </row>
    <row r="14888" spans="1:7" ht="30.60" thickBot="1" customHeight="1">
      <c r="A14888" s="24" t="s">
        <v>47215</v>
      </c>
      <c r="B14888" s="24" t="s">
        <v>47216</v>
      </c>
      <c r="C14888" s="24" t="s">
        <v>47217</v>
      </c>
      <c r="D14888" s="25" t="s">
        <v>47218</v>
      </c>
      <c r="E14888" s="28">
        <v>1.00000</v>
      </c>
      <c r="F14888" s="29">
        <f ca="1">ROUND(39.500,3)</f>
        <v>0</v>
      </c>
      <c r="G14888" s="27">
        <f ca="1">ROUND(E14888*F14888,2)</f>
        <v>0</v>
      </c>
    </row>
    <row r="14889" spans="1:7" ht="30.60" thickBot="1" customHeight="1">
      <c r="A14889" s="24" t="s">
        <v>47219</v>
      </c>
      <c r="B14889" s="24" t="s">
        <v>47220</v>
      </c>
      <c r="C14889" s="24" t="s">
        <v>47221</v>
      </c>
      <c r="D14889" s="25" t="s">
        <v>47222</v>
      </c>
      <c r="E14889" s="28">
        <v>1.00000</v>
      </c>
      <c r="F14889" s="29">
        <f ca="1">ROUND(1.570,3)</f>
        <v>0</v>
      </c>
      <c r="G14889" s="27">
        <f ca="1">ROUND(E14889*F14889,2)</f>
        <v>0</v>
      </c>
    </row>
    <row r="14890" spans="1:7" ht="21.36" thickBot="1" customHeight="1">
      <c r="A14890" s="24" t="s">
        <v>47223</v>
      </c>
      <c r="B14890" s="24" t="s">
        <v>47224</v>
      </c>
      <c r="C14890" s="24" t="s">
        <v>47225</v>
      </c>
      <c r="D14890" s="25" t="s">
        <v>47226</v>
      </c>
      <c r="E14890" s="28">
        <v>3.00000</v>
      </c>
      <c r="F14890" s="29">
        <f ca="1">ROUND(6.490,3)</f>
        <v>0</v>
      </c>
      <c r="G14890" s="27">
        <f ca="1">ROUND(E14890*F14890,2)</f>
        <v>0</v>
      </c>
    </row>
    <row r="14891" spans="1:7" ht="21.36" thickBot="1" customHeight="1">
      <c r="A14891" s="24" t="s">
        <v>47227</v>
      </c>
      <c r="B14891" s="24" t="s">
        <v>47228</v>
      </c>
      <c r="C14891" s="24" t="s">
        <v>47229</v>
      </c>
      <c r="D14891" s="25" t="s">
        <v>47230</v>
      </c>
      <c r="E14891" s="28">
        <v>0.20000</v>
      </c>
      <c r="F14891" s="29">
        <f ca="1">ROUND(2.000,3)</f>
        <v>0</v>
      </c>
      <c r="G14891" s="27">
        <f ca="1">ROUND(E14891*F14891,2)</f>
        <v>0</v>
      </c>
    </row>
    <row r="14892" spans="1:7" ht="30.60" thickBot="1" customHeight="1">
      <c r="A14892" s="24" t="s">
        <v>47231</v>
      </c>
      <c r="B14892" s="24" t="s">
        <v>47232</v>
      </c>
      <c r="C14892" s="24" t="s">
        <v>47233</v>
      </c>
      <c r="D14892" s="25" t="s">
        <v>47234</v>
      </c>
      <c r="E14892" s="28">
        <v>0.07500</v>
      </c>
      <c r="F14892" s="29">
        <f ca="1">ROUND(4.920,3)</f>
        <v>0</v>
      </c>
      <c r="G14892" s="27">
        <f ca="1">ROUND(E14892*F14892,2)</f>
        <v>0</v>
      </c>
    </row>
    <row r="14893" spans="1:7" ht="21.36" thickBot="1" customHeight="1">
      <c r="A14893" s="24" t="s">
        <v>47235</v>
      </c>
      <c r="B14893" s="24" t="s">
        <v>47236</v>
      </c>
      <c r="C14893" s="24" t="s">
        <v>47237</v>
      </c>
      <c r="D14893" s="25" t="s">
        <v>47238</v>
      </c>
      <c r="E14893" s="28">
        <v>0.40000</v>
      </c>
      <c r="F14893" s="29">
        <f ca="1">F14897</f>
        <v>0</v>
      </c>
      <c r="G14893" s="27">
        <f ca="1">ROUND(E14893*F14893,2)</f>
        <v>0</v>
      </c>
    </row>
    <row r="14894" spans="1:7" ht="24.36" thickBot="1" customHeight="1">
      <c r="A14894" s="24" t="s">
        <v>47239</v>
      </c>
      <c r="B14894" s="24" t="s">
        <v>47240</v>
      </c>
      <c r="C14894" s="24" t="s">
        <v>47241</v>
      </c>
      <c r="D14894" s="25" t="s">
        <v>47242</v>
      </c>
      <c r="E14894" s="28">
        <v>1.00000</v>
      </c>
      <c r="F14894" s="29">
        <f ca="1">ROUND(21.000,3)</f>
        <v>0</v>
      </c>
      <c r="G14894" s="27">
        <f ca="1">ROUND(E14894*F14894,2)</f>
        <v>0</v>
      </c>
    </row>
    <row r="14895" spans="1:7" ht="24.36" thickBot="1" customHeight="1">
      <c r="A14895" s="24" t="s">
        <v>47243</v>
      </c>
      <c r="B14895" s="24" t="s">
        <v>47244</v>
      </c>
      <c r="C14895" s="24" t="s">
        <v>47245</v>
      </c>
      <c r="D14895" s="25" t="s">
        <v>47246</v>
      </c>
      <c r="E14895" s="28">
        <v>1.00000</v>
      </c>
      <c r="F14895" s="29">
        <f ca="1">ROUND(19.000,3)</f>
        <v>0</v>
      </c>
      <c r="G14895" s="27">
        <f ca="1">ROUND(E14895*F14895,2)</f>
        <v>0</v>
      </c>
    </row>
    <row r="14896" spans="1:7" ht="24.36" thickBot="1" customHeight="1">
      <c r="A14896" s="24" t="s">
        <v>47247</v>
      </c>
      <c r="B14896" s="24" t="s">
        <v>47248</v>
      </c>
      <c r="C14896" s="24" t="s">
        <v>47249</v>
      </c>
      <c r="D14896" s="25" t="s">
        <v>47250</v>
      </c>
      <c r="E14896" s="28">
        <v>0.20000</v>
      </c>
      <c r="F14896" s="29">
        <f ca="1">ROUND(19.000,3)</f>
        <v>0</v>
      </c>
      <c r="G14896" s="27">
        <f ca="1">ROUND(E14896*F14896,2)</f>
        <v>0</v>
      </c>
    </row>
    <row r="14897" spans="1:7" ht="15.12" thickBot="1" customHeight="1">
      <c r="A14897" s="26"/>
      <c r="B14897" s="26"/>
      <c r="C14897" s="26"/>
      <c r="D14897" s="24" t="s">
        <v>47251</v>
      </c>
      <c r="E14897" s="28">
        <v>0.40000</v>
      </c>
      <c r="F14897" s="29">
        <f ca="1">ROUND((G14894+G14895+G14896),3)</f>
        <v>0</v>
      </c>
      <c r="G14897" s="27">
        <f ca="1">ROUND(E14897*F14897,2)</f>
        <v>0</v>
      </c>
    </row>
    <row r="14898" spans="1:7" ht="15.12" thickBot="1" customHeight="1">
      <c r="A14898" s="24" t="s">
        <v>47252</v>
      </c>
      <c r="B14898" s="24"/>
      <c r="C14898" s="24" t="s">
        <v>47253</v>
      </c>
      <c r="D14898" s="25" t="s">
        <v>47254</v>
      </c>
      <c r="E14898" s="28">
        <v>3.00000</v>
      </c>
      <c r="F14898" s="29">
        <f ca="1">ROUND(17.520,3)</f>
        <v>0</v>
      </c>
      <c r="G14898" s="27">
        <f ca="1">ROUND((E14898*F14898)/100,2)</f>
        <v>0</v>
      </c>
    </row>
    <row r="14899" spans="1:7" ht="15.48" thickBot="1" customHeight="1">
      <c r="A14899" s="30"/>
      <c r="B14899" s="30"/>
      <c r="C14899" s="30"/>
      <c r="D14899" s="31" t="s">
        <v>47255</v>
      </c>
      <c r="E14899" s="30"/>
      <c r="F14899" s="33">
        <f ca="1">ROUND((G14888+G14889+G14890+G14891+G14892+G14893+G14898)*(1+G2/100),2)</f>
        <v>0</v>
      </c>
      <c r="G14899" s="30"/>
    </row>
    <row r="14900" spans="1:7" ht="15.48" thickBot="1" customHeight="1">
      <c r="A14900" s="39"/>
      <c r="B14900" s="39"/>
      <c r="C14900" s="39"/>
      <c r="D14900" s="40" t="s">
        <v>47256</v>
      </c>
      <c r="E14900" s="41"/>
      <c r="F14900" s="41"/>
      <c r="G14900" s="41"/>
    </row>
    <row r="14901" spans="1:7" ht="15.48" thickBot="1" customHeight="1">
      <c r="A14901" s="39"/>
      <c r="B14901" s="39"/>
      <c r="C14901" s="39"/>
      <c r="D14901" s="50" t="s">
        <v>47257</v>
      </c>
      <c r="E14901" s="51"/>
      <c r="F14901" s="51"/>
      <c r="G14901" s="51"/>
    </row>
    <row r="14902" spans="1:7" ht="15.48" thickBot="1" customHeight="1">
      <c r="A14902" s="34" t="s">
        <v>47258</v>
      </c>
      <c r="B14902" s="35" t="s">
        <v>47259</v>
      </c>
      <c r="C14902" s="35" t="s">
        <v>47260</v>
      </c>
      <c r="D14902" s="36" t="s">
        <v>47261</v>
      </c>
      <c r="E14902" s="37"/>
      <c r="F14902" s="38">
        <f ca="1">F14940</f>
        <v>0</v>
      </c>
      <c r="G14902" s="37"/>
    </row>
    <row r="14903" spans="1:7" ht="12.12" thickBot="1" customHeight="1">
      <c r="A14903" s="26"/>
      <c r="B14903" s="26"/>
      <c r="C14903" s="26"/>
      <c r="D14903" s="25" t="s">
        <v>47262</v>
      </c>
      <c r="E14903" s="25"/>
      <c r="F14903" s="25"/>
      <c r="G14903" s="25"/>
    </row>
    <row r="14904" spans="1:7" ht="15.12" thickBot="1" customHeight="1">
      <c r="A14904" s="24" t="s">
        <v>47263</v>
      </c>
      <c r="B14904" s="24" t="s">
        <v>47264</v>
      </c>
      <c r="C14904" s="24" t="s">
        <v>47265</v>
      </c>
      <c r="D14904" s="25" t="s">
        <v>47266</v>
      </c>
      <c r="E14904" s="28">
        <v>0.00000</v>
      </c>
      <c r="F14904" s="29">
        <f ca="1">F14912</f>
        <v>0</v>
      </c>
      <c r="G14904" s="27">
        <f ca="1">ROUND(E14904*F14904,2)</f>
        <v>0</v>
      </c>
    </row>
    <row r="14905" spans="1:7" ht="30.60" thickBot="1" customHeight="1">
      <c r="A14905" s="24" t="s">
        <v>47267</v>
      </c>
      <c r="B14905" s="24" t="s">
        <v>47268</v>
      </c>
      <c r="C14905" s="24" t="s">
        <v>47269</v>
      </c>
      <c r="D14905" s="25" t="s">
        <v>47270</v>
      </c>
      <c r="E14905" s="28">
        <v>1.00000</v>
      </c>
      <c r="F14905" s="29">
        <f ca="1">ROUND(146.900,3)</f>
        <v>0</v>
      </c>
      <c r="G14905" s="27">
        <f ca="1">ROUND(E14905*F14905,2)</f>
        <v>0</v>
      </c>
    </row>
    <row r="14906" spans="1:7" ht="39.84" thickBot="1" customHeight="1">
      <c r="A14906" s="24" t="s">
        <v>47271</v>
      </c>
      <c r="B14906" s="24" t="s">
        <v>47272</v>
      </c>
      <c r="C14906" s="24" t="s">
        <v>47273</v>
      </c>
      <c r="D14906" s="25" t="s">
        <v>47274</v>
      </c>
      <c r="E14906" s="28">
        <v>1.00000</v>
      </c>
      <c r="F14906" s="29">
        <f ca="1">ROUND(135.850,3)</f>
        <v>0</v>
      </c>
      <c r="G14906" s="27">
        <f ca="1">ROUND(E14906*F14906,2)</f>
        <v>0</v>
      </c>
    </row>
    <row r="14907" spans="1:7" ht="39.84" thickBot="1" customHeight="1">
      <c r="A14907" s="24" t="s">
        <v>47275</v>
      </c>
      <c r="B14907" s="24" t="s">
        <v>47276</v>
      </c>
      <c r="C14907" s="24" t="s">
        <v>47277</v>
      </c>
      <c r="D14907" s="25" t="s">
        <v>47278</v>
      </c>
      <c r="E14907" s="28">
        <v>1.00000</v>
      </c>
      <c r="F14907" s="29">
        <f ca="1">ROUND(82.600,3)</f>
        <v>0</v>
      </c>
      <c r="G14907" s="27">
        <f ca="1">ROUND(E14907*F14907,2)</f>
        <v>0</v>
      </c>
    </row>
    <row r="14908" spans="1:7" ht="15.12" thickBot="1" customHeight="1">
      <c r="A14908" s="24" t="s">
        <v>47279</v>
      </c>
      <c r="B14908" s="24" t="s">
        <v>47280</v>
      </c>
      <c r="C14908" s="24" t="s">
        <v>47281</v>
      </c>
      <c r="D14908" s="25" t="s">
        <v>47282</v>
      </c>
      <c r="E14908" s="28">
        <v>1.00000</v>
      </c>
      <c r="F14908" s="29">
        <f ca="1">ROUND(11.110,3)</f>
        <v>0</v>
      </c>
      <c r="G14908" s="27">
        <f ca="1">ROUND(E14908*F14908,2)</f>
        <v>0</v>
      </c>
    </row>
    <row r="14909" spans="1:7" ht="15.12" thickBot="1" customHeight="1">
      <c r="A14909" s="24" t="s">
        <v>47283</v>
      </c>
      <c r="B14909" s="24" t="s">
        <v>47284</v>
      </c>
      <c r="C14909" s="24" t="s">
        <v>47285</v>
      </c>
      <c r="D14909" s="25" t="s">
        <v>47286</v>
      </c>
      <c r="E14909" s="28">
        <v>1.00000</v>
      </c>
      <c r="F14909" s="29">
        <f ca="1">ROUND(15.000,3)</f>
        <v>0</v>
      </c>
      <c r="G14909" s="27">
        <f ca="1">ROUND(E14909*F14909,2)</f>
        <v>0</v>
      </c>
    </row>
    <row r="14910" spans="1:7" ht="30.60" thickBot="1" customHeight="1">
      <c r="A14910" s="24" t="s">
        <v>47287</v>
      </c>
      <c r="B14910" s="24" t="s">
        <v>47288</v>
      </c>
      <c r="C14910" s="24" t="s">
        <v>47289</v>
      </c>
      <c r="D14910" s="25" t="s">
        <v>47290</v>
      </c>
      <c r="E14910" s="28">
        <v>1.00000</v>
      </c>
      <c r="F14910" s="29">
        <f ca="1">ROUND(2.720,3)</f>
        <v>0</v>
      </c>
      <c r="G14910" s="27">
        <f ca="1">ROUND(E14910*F14910,2)</f>
        <v>0</v>
      </c>
    </row>
    <row r="14911" spans="1:7" ht="24.36" thickBot="1" customHeight="1">
      <c r="A14911" s="24" t="s">
        <v>47291</v>
      </c>
      <c r="B14911" s="24" t="s">
        <v>47292</v>
      </c>
      <c r="C14911" s="24" t="s">
        <v>47293</v>
      </c>
      <c r="D14911" s="25" t="s">
        <v>47294</v>
      </c>
      <c r="E14911" s="28">
        <v>1.20000</v>
      </c>
      <c r="F14911" s="29">
        <f ca="1">ROUND(49.500,3)</f>
        <v>0</v>
      </c>
      <c r="G14911" s="27">
        <f ca="1">ROUND(E14911*F14911,2)</f>
        <v>0</v>
      </c>
    </row>
    <row r="14912" spans="1:7" ht="15.12" thickBot="1" customHeight="1">
      <c r="A14912" s="26"/>
      <c r="B14912" s="26"/>
      <c r="C14912" s="26"/>
      <c r="D14912" s="24" t="s">
        <v>47295</v>
      </c>
      <c r="E14912" s="28">
        <v>0.00000</v>
      </c>
      <c r="F14912" s="29">
        <f ca="1">ROUND((G14905+G14906+G14907+G14908+G14909+G14910+G14911),3)</f>
        <v>0</v>
      </c>
      <c r="G14912" s="27">
        <f ca="1">ROUND(E14912*F14912,2)</f>
        <v>0</v>
      </c>
    </row>
    <row r="14913" spans="1:7" ht="21.36" thickBot="1" customHeight="1">
      <c r="A14913" s="24" t="s">
        <v>47296</v>
      </c>
      <c r="B14913" s="24" t="s">
        <v>47297</v>
      </c>
      <c r="C14913" s="24" t="s">
        <v>47298</v>
      </c>
      <c r="D14913" s="25" t="s">
        <v>47299</v>
      </c>
      <c r="E14913" s="28">
        <v>0.00000</v>
      </c>
      <c r="F14913" s="29">
        <f ca="1">F14916</f>
        <v>0</v>
      </c>
      <c r="G14913" s="27">
        <f ca="1">ROUND(E14913*F14913,2)</f>
        <v>0</v>
      </c>
    </row>
    <row r="14914" spans="1:7" ht="30.60" thickBot="1" customHeight="1">
      <c r="A14914" s="24" t="s">
        <v>47300</v>
      </c>
      <c r="B14914" s="24" t="s">
        <v>47301</v>
      </c>
      <c r="C14914" s="24" t="s">
        <v>47302</v>
      </c>
      <c r="D14914" s="25" t="s">
        <v>47303</v>
      </c>
      <c r="E14914" s="28">
        <v>1.00000</v>
      </c>
      <c r="F14914" s="29">
        <f ca="1">ROUND(270.000,3)</f>
        <v>0</v>
      </c>
      <c r="G14914" s="27">
        <f ca="1">ROUND(E14914*F14914,2)</f>
        <v>0</v>
      </c>
    </row>
    <row r="14915" spans="1:7" ht="24.36" thickBot="1" customHeight="1">
      <c r="A14915" s="24" t="s">
        <v>47304</v>
      </c>
      <c r="B14915" s="24" t="s">
        <v>47305</v>
      </c>
      <c r="C14915" s="24" t="s">
        <v>47306</v>
      </c>
      <c r="D14915" s="25" t="s">
        <v>47307</v>
      </c>
      <c r="E14915" s="28">
        <v>2.00000</v>
      </c>
      <c r="F14915" s="29">
        <f ca="1">ROUND(49.500,3)</f>
        <v>0</v>
      </c>
      <c r="G14915" s="27">
        <f ca="1">ROUND(E14915*F14915,2)</f>
        <v>0</v>
      </c>
    </row>
    <row r="14916" spans="1:7" ht="15.12" thickBot="1" customHeight="1">
      <c r="A14916" s="26"/>
      <c r="B14916" s="26"/>
      <c r="C14916" s="26"/>
      <c r="D14916" s="24" t="s">
        <v>47308</v>
      </c>
      <c r="E14916" s="28">
        <v>0.00000</v>
      </c>
      <c r="F14916" s="29">
        <f ca="1">ROUND((G14914+G14915),3)</f>
        <v>0</v>
      </c>
      <c r="G14916" s="27">
        <f ca="1">ROUND(E14916*F14916,2)</f>
        <v>0</v>
      </c>
    </row>
    <row r="14917" spans="1:7" ht="21.36" thickBot="1" customHeight="1">
      <c r="A14917" s="24" t="s">
        <v>47309</v>
      </c>
      <c r="B14917" s="24" t="s">
        <v>47310</v>
      </c>
      <c r="C14917" s="24" t="s">
        <v>47311</v>
      </c>
      <c r="D14917" s="25" t="s">
        <v>47312</v>
      </c>
      <c r="E14917" s="28">
        <v>0.00000</v>
      </c>
      <c r="F14917" s="29">
        <f ca="1">F14920</f>
        <v>0</v>
      </c>
      <c r="G14917" s="27">
        <f ca="1">ROUND(E14917*F14917,2)</f>
        <v>0</v>
      </c>
    </row>
    <row r="14918" spans="1:7" ht="30.60" thickBot="1" customHeight="1">
      <c r="A14918" s="24" t="s">
        <v>47313</v>
      </c>
      <c r="B14918" s="24" t="s">
        <v>47314</v>
      </c>
      <c r="C14918" s="24" t="s">
        <v>47315</v>
      </c>
      <c r="D14918" s="25" t="s">
        <v>47316</v>
      </c>
      <c r="E14918" s="28">
        <v>1.00000</v>
      </c>
      <c r="F14918" s="29">
        <f ca="1">ROUND(416.900,3)</f>
        <v>0</v>
      </c>
      <c r="G14918" s="27">
        <f ca="1">ROUND(E14918*F14918,2)</f>
        <v>0</v>
      </c>
    </row>
    <row r="14919" spans="1:7" ht="24.36" thickBot="1" customHeight="1">
      <c r="A14919" s="24" t="s">
        <v>47317</v>
      </c>
      <c r="B14919" s="24" t="s">
        <v>47318</v>
      </c>
      <c r="C14919" s="24" t="s">
        <v>47319</v>
      </c>
      <c r="D14919" s="25" t="s">
        <v>47320</v>
      </c>
      <c r="E14919" s="28">
        <v>4.00000</v>
      </c>
      <c r="F14919" s="29">
        <f ca="1">ROUND(49.500,3)</f>
        <v>0</v>
      </c>
      <c r="G14919" s="27">
        <f ca="1">ROUND(E14919*F14919,2)</f>
        <v>0</v>
      </c>
    </row>
    <row r="14920" spans="1:7" ht="15.12" thickBot="1" customHeight="1">
      <c r="A14920" s="26"/>
      <c r="B14920" s="26"/>
      <c r="C14920" s="26"/>
      <c r="D14920" s="24" t="s">
        <v>47321</v>
      </c>
      <c r="E14920" s="28">
        <v>0.00000</v>
      </c>
      <c r="F14920" s="29">
        <f ca="1">ROUND((G14918+G14919),3)</f>
        <v>0</v>
      </c>
      <c r="G14920" s="27">
        <f ca="1">ROUND(E14920*F14920,2)</f>
        <v>0</v>
      </c>
    </row>
    <row r="14921" spans="1:7" ht="15.12" thickBot="1" customHeight="1">
      <c r="A14921" s="24" t="s">
        <v>47322</v>
      </c>
      <c r="B14921" s="24" t="s">
        <v>47323</v>
      </c>
      <c r="C14921" s="24" t="s">
        <v>47324</v>
      </c>
      <c r="D14921" s="25" t="s">
        <v>47325</v>
      </c>
      <c r="E14921" s="28">
        <v>0.00000</v>
      </c>
      <c r="F14921" s="29">
        <f ca="1">F14924</f>
        <v>0</v>
      </c>
      <c r="G14921" s="27">
        <f ca="1">ROUND(E14921*F14921,2)</f>
        <v>0</v>
      </c>
    </row>
    <row r="14922" spans="1:7" ht="15.12" thickBot="1" customHeight="1">
      <c r="A14922" s="24" t="s">
        <v>47326</v>
      </c>
      <c r="B14922" s="24" t="s">
        <v>47327</v>
      </c>
      <c r="C14922" s="24" t="s">
        <v>47328</v>
      </c>
      <c r="D14922" s="25" t="s">
        <v>47329</v>
      </c>
      <c r="E14922" s="28">
        <v>1.00000</v>
      </c>
      <c r="F14922" s="29">
        <f ca="1">ROUND(375.000,3)</f>
        <v>0</v>
      </c>
      <c r="G14922" s="27">
        <f ca="1">ROUND(E14922*F14922,2)</f>
        <v>0</v>
      </c>
    </row>
    <row r="14923" spans="1:7" ht="24.36" thickBot="1" customHeight="1">
      <c r="A14923" s="24" t="s">
        <v>47330</v>
      </c>
      <c r="B14923" s="24" t="s">
        <v>47331</v>
      </c>
      <c r="C14923" s="24" t="s">
        <v>47332</v>
      </c>
      <c r="D14923" s="25" t="s">
        <v>47333</v>
      </c>
      <c r="E14923" s="28">
        <v>6.00000</v>
      </c>
      <c r="F14923" s="29">
        <f ca="1">ROUND(49.500,3)</f>
        <v>0</v>
      </c>
      <c r="G14923" s="27">
        <f ca="1">ROUND(E14923*F14923,2)</f>
        <v>0</v>
      </c>
    </row>
    <row r="14924" spans="1:7" ht="15.12" thickBot="1" customHeight="1">
      <c r="A14924" s="26"/>
      <c r="B14924" s="26"/>
      <c r="C14924" s="26"/>
      <c r="D14924" s="24" t="s">
        <v>47334</v>
      </c>
      <c r="E14924" s="28">
        <v>0.00000</v>
      </c>
      <c r="F14924" s="29">
        <f ca="1">ROUND((G14922+G14923),3)</f>
        <v>0</v>
      </c>
      <c r="G14924" s="27">
        <f ca="1">ROUND(E14924*F14924,2)</f>
        <v>0</v>
      </c>
    </row>
    <row r="14925" spans="1:7" ht="15.12" thickBot="1" customHeight="1">
      <c r="A14925" s="24" t="s">
        <v>47335</v>
      </c>
      <c r="B14925" s="24" t="s">
        <v>47336</v>
      </c>
      <c r="C14925" s="24" t="s">
        <v>47337</v>
      </c>
      <c r="D14925" s="25" t="s">
        <v>47338</v>
      </c>
      <c r="E14925" s="28">
        <v>0.00000</v>
      </c>
      <c r="F14925" s="29">
        <f ca="1">F14928</f>
        <v>0</v>
      </c>
      <c r="G14925" s="27">
        <f ca="1">ROUND(E14925*F14925,2)</f>
        <v>0</v>
      </c>
    </row>
    <row r="14926" spans="1:7" ht="21.36" thickBot="1" customHeight="1">
      <c r="A14926" s="24" t="s">
        <v>47339</v>
      </c>
      <c r="B14926" s="24" t="s">
        <v>47340</v>
      </c>
      <c r="C14926" s="24" t="s">
        <v>47341</v>
      </c>
      <c r="D14926" s="25" t="s">
        <v>47342</v>
      </c>
      <c r="E14926" s="28">
        <v>1.00000</v>
      </c>
      <c r="F14926" s="29">
        <f ca="1">ROUND(53.040,3)</f>
        <v>0</v>
      </c>
      <c r="G14926" s="27">
        <f ca="1">ROUND(E14926*F14926,2)</f>
        <v>0</v>
      </c>
    </row>
    <row r="14927" spans="1:7" ht="24.36" thickBot="1" customHeight="1">
      <c r="A14927" s="24" t="s">
        <v>47343</v>
      </c>
      <c r="B14927" s="24" t="s">
        <v>47344</v>
      </c>
      <c r="C14927" s="24" t="s">
        <v>47345</v>
      </c>
      <c r="D14927" s="25" t="s">
        <v>47346</v>
      </c>
      <c r="E14927" s="28">
        <v>0.62000</v>
      </c>
      <c r="F14927" s="29">
        <f ca="1">ROUND(49.500,3)</f>
        <v>0</v>
      </c>
      <c r="G14927" s="27">
        <f ca="1">ROUND(E14927*F14927,2)</f>
        <v>0</v>
      </c>
    </row>
    <row r="14928" spans="1:7" ht="15.12" thickBot="1" customHeight="1">
      <c r="A14928" s="26"/>
      <c r="B14928" s="26"/>
      <c r="C14928" s="26"/>
      <c r="D14928" s="24" t="s">
        <v>47347</v>
      </c>
      <c r="E14928" s="28">
        <v>0.00000</v>
      </c>
      <c r="F14928" s="29">
        <f ca="1">ROUND((G14926+G14927),3)</f>
        <v>0</v>
      </c>
      <c r="G14928" s="27">
        <f ca="1">ROUND(E14928*F14928,2)</f>
        <v>0</v>
      </c>
    </row>
    <row r="14929" spans="1:7" ht="15.12" thickBot="1" customHeight="1">
      <c r="A14929" s="24" t="s">
        <v>47348</v>
      </c>
      <c r="B14929" s="24" t="s">
        <v>47349</v>
      </c>
      <c r="C14929" s="24" t="s">
        <v>47350</v>
      </c>
      <c r="D14929" s="25" t="s">
        <v>47351</v>
      </c>
      <c r="E14929" s="28">
        <v>0.00000</v>
      </c>
      <c r="F14929" s="29">
        <f ca="1">F14932</f>
        <v>0</v>
      </c>
      <c r="G14929" s="27">
        <f ca="1">ROUND(E14929*F14929,2)</f>
        <v>0</v>
      </c>
    </row>
    <row r="14930" spans="1:7" ht="21.36" thickBot="1" customHeight="1">
      <c r="A14930" s="24" t="s">
        <v>47352</v>
      </c>
      <c r="B14930" s="24" t="s">
        <v>47353</v>
      </c>
      <c r="C14930" s="24" t="s">
        <v>47354</v>
      </c>
      <c r="D14930" s="25" t="s">
        <v>47355</v>
      </c>
      <c r="E14930" s="28">
        <v>1.00000</v>
      </c>
      <c r="F14930" s="29">
        <f ca="1">ROUND(310.000,3)</f>
        <v>0</v>
      </c>
      <c r="G14930" s="27">
        <f ca="1">ROUND(E14930*F14930,2)</f>
        <v>0</v>
      </c>
    </row>
    <row r="14931" spans="1:7" ht="24.36" thickBot="1" customHeight="1">
      <c r="A14931" s="24" t="s">
        <v>47356</v>
      </c>
      <c r="B14931" s="24" t="s">
        <v>47357</v>
      </c>
      <c r="C14931" s="24" t="s">
        <v>47358</v>
      </c>
      <c r="D14931" s="25" t="s">
        <v>47359</v>
      </c>
      <c r="E14931" s="28">
        <v>0.62000</v>
      </c>
      <c r="F14931" s="29">
        <f ca="1">ROUND(49.500,3)</f>
        <v>0</v>
      </c>
      <c r="G14931" s="27">
        <f ca="1">ROUND(E14931*F14931,2)</f>
        <v>0</v>
      </c>
    </row>
    <row r="14932" spans="1:7" ht="15.12" thickBot="1" customHeight="1">
      <c r="A14932" s="26"/>
      <c r="B14932" s="26"/>
      <c r="C14932" s="26"/>
      <c r="D14932" s="24" t="s">
        <v>47360</v>
      </c>
      <c r="E14932" s="28">
        <v>0.00000</v>
      </c>
      <c r="F14932" s="29">
        <f ca="1">ROUND((G14930+G14931),3)</f>
        <v>0</v>
      </c>
      <c r="G14932" s="27">
        <f ca="1">ROUND(E14932*F14932,2)</f>
        <v>0</v>
      </c>
    </row>
    <row r="14933" spans="1:7" ht="15.12" thickBot="1" customHeight="1">
      <c r="A14933" s="24" t="s">
        <v>47361</v>
      </c>
      <c r="B14933" s="24" t="s">
        <v>47362</v>
      </c>
      <c r="C14933" s="24" t="s">
        <v>47363</v>
      </c>
      <c r="D14933" s="25" t="s">
        <v>47364</v>
      </c>
      <c r="E14933" s="28">
        <v>0.00000</v>
      </c>
      <c r="F14933" s="29">
        <f ca="1">F14936</f>
        <v>0</v>
      </c>
      <c r="G14933" s="27">
        <f ca="1">ROUND(E14933*F14933,2)</f>
        <v>0</v>
      </c>
    </row>
    <row r="14934" spans="1:7" ht="15.12" thickBot="1" customHeight="1">
      <c r="A14934" s="24" t="s">
        <v>47365</v>
      </c>
      <c r="B14934" s="24" t="s">
        <v>47366</v>
      </c>
      <c r="C14934" s="24" t="s">
        <v>47367</v>
      </c>
      <c r="D14934" s="25" t="s">
        <v>47368</v>
      </c>
      <c r="E14934" s="28">
        <v>1.00000</v>
      </c>
      <c r="F14934" s="29">
        <f ca="1">ROUND(362.000,3)</f>
        <v>0</v>
      </c>
      <c r="G14934" s="27">
        <f ca="1">ROUND(E14934*F14934,2)</f>
        <v>0</v>
      </c>
    </row>
    <row r="14935" spans="1:7" ht="24.36" thickBot="1" customHeight="1">
      <c r="A14935" s="24" t="s">
        <v>47369</v>
      </c>
      <c r="B14935" s="24" t="s">
        <v>47370</v>
      </c>
      <c r="C14935" s="24" t="s">
        <v>47371</v>
      </c>
      <c r="D14935" s="25" t="s">
        <v>47372</v>
      </c>
      <c r="E14935" s="28">
        <v>3.00000</v>
      </c>
      <c r="F14935" s="29">
        <f ca="1">ROUND(49.500,3)</f>
        <v>0</v>
      </c>
      <c r="G14935" s="27">
        <f ca="1">ROUND(E14935*F14935,2)</f>
        <v>0</v>
      </c>
    </row>
    <row r="14936" spans="1:7" ht="15.12" thickBot="1" customHeight="1">
      <c r="A14936" s="26"/>
      <c r="B14936" s="26"/>
      <c r="C14936" s="26"/>
      <c r="D14936" s="24" t="s">
        <v>47373</v>
      </c>
      <c r="E14936" s="28">
        <v>0.00000</v>
      </c>
      <c r="F14936" s="29">
        <f ca="1">ROUND((G14934+G14935),3)</f>
        <v>0</v>
      </c>
      <c r="G14936" s="27">
        <f ca="1">ROUND(E14936*F14936,2)</f>
        <v>0</v>
      </c>
    </row>
    <row r="14937" spans="1:7" ht="15.12" thickBot="1" customHeight="1">
      <c r="A14937" s="24" t="s">
        <v>47374</v>
      </c>
      <c r="B14937" s="24" t="s">
        <v>47375</v>
      </c>
      <c r="C14937" s="24" t="s">
        <v>47376</v>
      </c>
      <c r="D14937" s="25" t="s">
        <v>47377</v>
      </c>
      <c r="E14937" s="28">
        <v>0.00000</v>
      </c>
      <c r="F14937" s="29">
        <f ca="1">F14939</f>
        <v>0</v>
      </c>
      <c r="G14937" s="27">
        <f ca="1">ROUND(E14937*F14937,2)</f>
        <v>0</v>
      </c>
    </row>
    <row r="14938" spans="1:7" ht="21.36" thickBot="1" customHeight="1">
      <c r="A14938" s="24" t="s">
        <v>47378</v>
      </c>
      <c r="B14938" s="24" t="s">
        <v>47379</v>
      </c>
      <c r="C14938" s="24" t="s">
        <v>47380</v>
      </c>
      <c r="D14938" s="25" t="s">
        <v>47381</v>
      </c>
      <c r="E14938" s="28">
        <v>0.00100</v>
      </c>
      <c r="F14938" s="29">
        <f ca="1">ROUND(2.400,3)</f>
        <v>0</v>
      </c>
      <c r="G14938" s="27">
        <f ca="1">ROUND(E14938*F14938,2)</f>
        <v>0</v>
      </c>
    </row>
    <row r="14939" spans="1:7" ht="15.12" thickBot="1" customHeight="1">
      <c r="A14939" s="26"/>
      <c r="B14939" s="26"/>
      <c r="C14939" s="26"/>
      <c r="D14939" s="24" t="s">
        <v>47382</v>
      </c>
      <c r="E14939" s="28">
        <v>0.00000</v>
      </c>
      <c r="F14939" s="29">
        <f ca="1">ROUND((G14938),3)</f>
        <v>0</v>
      </c>
      <c r="G14939" s="27">
        <f ca="1">ROUND(E14939*F14939,2)</f>
        <v>0</v>
      </c>
    </row>
    <row r="14940" spans="1:7" ht="15.48" thickBot="1" customHeight="1">
      <c r="A14940" s="30"/>
      <c r="B14940" s="30"/>
      <c r="C14940" s="30"/>
      <c r="D14940" s="31" t="s">
        <v>47383</v>
      </c>
      <c r="E14940" s="30"/>
      <c r="F14940" s="33">
        <f ca="1">ROUND((G14904+G14913+G14917+G14921+G14925+G14929+G14933+G14937)*(1+G2/100),2)</f>
        <v>0</v>
      </c>
      <c r="G14940" s="30"/>
    </row>
    <row r="14941" spans="1:7" ht="15.48" thickBot="1" customHeight="1">
      <c r="A14941" s="34" t="s">
        <v>47384</v>
      </c>
      <c r="B14941" s="35" t="s">
        <v>47385</v>
      </c>
      <c r="C14941" s="35" t="s">
        <v>47386</v>
      </c>
      <c r="D14941" s="36" t="s">
        <v>47387</v>
      </c>
      <c r="E14941" s="37"/>
      <c r="F14941" s="38">
        <f ca="1">F14947</f>
        <v>0</v>
      </c>
      <c r="G14941" s="37"/>
    </row>
    <row r="14942" spans="1:7" ht="12.12" thickBot="1" customHeight="1">
      <c r="A14942" s="26"/>
      <c r="B14942" s="26"/>
      <c r="C14942" s="26"/>
      <c r="D14942" s="25" t="s">
        <v>47388</v>
      </c>
      <c r="E14942" s="25"/>
      <c r="F14942" s="25"/>
      <c r="G14942" s="25"/>
    </row>
    <row r="14943" spans="1:7" ht="30.60" thickBot="1" customHeight="1">
      <c r="A14943" s="24" t="s">
        <v>47389</v>
      </c>
      <c r="B14943" s="24" t="s">
        <v>47390</v>
      </c>
      <c r="C14943" s="24" t="s">
        <v>47391</v>
      </c>
      <c r="D14943" s="25" t="s">
        <v>47392</v>
      </c>
      <c r="E14943" s="28">
        <v>0.00000</v>
      </c>
      <c r="F14943" s="29">
        <f ca="1">F14946</f>
        <v>0</v>
      </c>
      <c r="G14943" s="27">
        <f ca="1">ROUND(E14943*F14943,2)</f>
        <v>0</v>
      </c>
    </row>
    <row r="14944" spans="1:7" ht="21.36" thickBot="1" customHeight="1">
      <c r="A14944" s="24" t="s">
        <v>47393</v>
      </c>
      <c r="B14944" s="24" t="s">
        <v>47394</v>
      </c>
      <c r="C14944" s="24" t="s">
        <v>47395</v>
      </c>
      <c r="D14944" s="25" t="s">
        <v>47396</v>
      </c>
      <c r="E14944" s="28">
        <v>1.00000</v>
      </c>
      <c r="F14944" s="29">
        <f ca="1">ROUND(98.000,3)</f>
        <v>0</v>
      </c>
      <c r="G14944" s="27">
        <f ca="1">ROUND(E14944*F14944,2)</f>
        <v>0</v>
      </c>
    </row>
    <row r="14945" spans="1:7" ht="24.36" thickBot="1" customHeight="1">
      <c r="A14945" s="24" t="s">
        <v>47397</v>
      </c>
      <c r="B14945" s="24" t="s">
        <v>47398</v>
      </c>
      <c r="C14945" s="24" t="s">
        <v>47399</v>
      </c>
      <c r="D14945" s="25" t="s">
        <v>47400</v>
      </c>
      <c r="E14945" s="28">
        <v>1.10000</v>
      </c>
      <c r="F14945" s="29">
        <f ca="1">ROUND(49.500,3)</f>
        <v>0</v>
      </c>
      <c r="G14945" s="27">
        <f ca="1">ROUND(E14945*F14945,2)</f>
        <v>0</v>
      </c>
    </row>
    <row r="14946" spans="1:7" ht="15.12" thickBot="1" customHeight="1">
      <c r="A14946" s="26"/>
      <c r="B14946" s="26"/>
      <c r="C14946" s="26"/>
      <c r="D14946" s="24" t="s">
        <v>47401</v>
      </c>
      <c r="E14946" s="28">
        <v>0.00000</v>
      </c>
      <c r="F14946" s="29">
        <f ca="1">ROUND((G14944+G14945),3)</f>
        <v>0</v>
      </c>
      <c r="G14946" s="27">
        <f ca="1">ROUND(E14946*F14946,2)</f>
        <v>0</v>
      </c>
    </row>
    <row r="14947" spans="1:7" ht="15.48" thickBot="1" customHeight="1">
      <c r="A14947" s="30"/>
      <c r="B14947" s="30"/>
      <c r="C14947" s="30"/>
      <c r="D14947" s="31" t="s">
        <v>47402</v>
      </c>
      <c r="E14947" s="30"/>
      <c r="F14947" s="33">
        <f ca="1">ROUND((G14943)*(1+G2/100),2)</f>
        <v>0</v>
      </c>
      <c r="G14947" s="30"/>
    </row>
    <row r="14948" spans="1:7" ht="15.48" thickBot="1" customHeight="1">
      <c r="A14948" s="39"/>
      <c r="B14948" s="39"/>
      <c r="C14948" s="39"/>
      <c r="D14948" s="55" t="s">
        <v>47403</v>
      </c>
      <c r="E14948" s="56"/>
      <c r="F14948" s="56"/>
      <c r="G14948" s="56"/>
    </row>
    <row r="14949" spans="1:7" ht="15.48" thickBot="1" customHeight="1">
      <c r="A14949" s="57" t="s">
        <v>47404</v>
      </c>
      <c r="B14949" s="57" t="s">
        <v>47405</v>
      </c>
      <c r="C14949" s="58"/>
      <c r="D14949" s="59" t="s">
        <v>47406</v>
      </c>
      <c r="E14949" s="58"/>
      <c r="F14949" s="58"/>
      <c r="G14949" s="58"/>
    </row>
    <row r="14950" spans="1:7" ht="15.48" thickBot="1" customHeight="1">
      <c r="A14950" s="10" t="s">
        <v>47407</v>
      </c>
      <c r="B14950" s="24" t="s">
        <v>47408</v>
      </c>
      <c r="C14950" s="24" t="s">
        <v>47409</v>
      </c>
      <c r="D14950" s="25" t="s">
        <v>47410</v>
      </c>
      <c r="E14950" s="26"/>
      <c r="F14950" s="27">
        <f ca="1">F14960</f>
        <v>0</v>
      </c>
      <c r="G14950" s="26"/>
    </row>
    <row r="14951" spans="1:7" ht="39.84" thickBot="1" customHeight="1">
      <c r="A14951" s="26"/>
      <c r="B14951" s="26"/>
      <c r="C14951" s="26"/>
      <c r="D14951" s="25" t="s">
        <v>47411</v>
      </c>
      <c r="E14951" s="25"/>
      <c r="F14951" s="25"/>
      <c r="G14951" s="25"/>
    </row>
    <row r="14952" spans="1:7" ht="15.12" thickBot="1" customHeight="1">
      <c r="A14952" s="24" t="s">
        <v>47412</v>
      </c>
      <c r="B14952" s="24" t="s">
        <v>47413</v>
      </c>
      <c r="C14952" s="24" t="s">
        <v>47414</v>
      </c>
      <c r="D14952" s="25" t="s">
        <v>47415</v>
      </c>
      <c r="E14952" s="28">
        <v>1.00000</v>
      </c>
      <c r="F14952" s="29">
        <f ca="1">ROUND(32.000,3)</f>
        <v>0</v>
      </c>
      <c r="G14952" s="27">
        <f ca="1">ROUND(E14952*F14952,2)</f>
        <v>0</v>
      </c>
    </row>
    <row r="14953" spans="1:7" ht="30.60" thickBot="1" customHeight="1">
      <c r="A14953" s="24" t="s">
        <v>47416</v>
      </c>
      <c r="B14953" s="24" t="s">
        <v>47417</v>
      </c>
      <c r="C14953" s="24" t="s">
        <v>47418</v>
      </c>
      <c r="D14953" s="25" t="s">
        <v>47419</v>
      </c>
      <c r="E14953" s="28">
        <v>5.00000</v>
      </c>
      <c r="F14953" s="29">
        <f ca="1">ROUND(0.170,3)</f>
        <v>0</v>
      </c>
      <c r="G14953" s="27">
        <f ca="1">ROUND(E14953*F14953,2)</f>
        <v>0</v>
      </c>
    </row>
    <row r="14954" spans="1:7" ht="15.12" thickBot="1" customHeight="1">
      <c r="A14954" s="24" t="s">
        <v>47420</v>
      </c>
      <c r="B14954" s="24" t="s">
        <v>47421</v>
      </c>
      <c r="C14954" s="24" t="s">
        <v>47422</v>
      </c>
      <c r="D14954" s="25" t="s">
        <v>47423</v>
      </c>
      <c r="E14954" s="28">
        <v>0.00100</v>
      </c>
      <c r="F14954" s="29">
        <f ca="1">ROUND(88.000,3)</f>
        <v>0</v>
      </c>
      <c r="G14954" s="27">
        <f ca="1">ROUND(E14954*F14954,2)</f>
        <v>0</v>
      </c>
    </row>
    <row r="14955" spans="1:7" ht="21.36" thickBot="1" customHeight="1">
      <c r="A14955" s="24" t="s">
        <v>47424</v>
      </c>
      <c r="B14955" s="24" t="s">
        <v>47425</v>
      </c>
      <c r="C14955" s="24" t="s">
        <v>47426</v>
      </c>
      <c r="D14955" s="25" t="s">
        <v>47427</v>
      </c>
      <c r="E14955" s="28">
        <v>0.45000</v>
      </c>
      <c r="F14955" s="29">
        <f ca="1">F14959</f>
        <v>0</v>
      </c>
      <c r="G14955" s="27">
        <f ca="1">ROUND(E14955*F14955,2)</f>
        <v>0</v>
      </c>
    </row>
    <row r="14956" spans="1:7" ht="24.36" thickBot="1" customHeight="1">
      <c r="A14956" s="24" t="s">
        <v>47428</v>
      </c>
      <c r="B14956" s="24" t="s">
        <v>47429</v>
      </c>
      <c r="C14956" s="24" t="s">
        <v>47430</v>
      </c>
      <c r="D14956" s="25" t="s">
        <v>47431</v>
      </c>
      <c r="E14956" s="28">
        <v>1.00000</v>
      </c>
      <c r="F14956" s="29">
        <f ca="1">ROUND(21.000,3)</f>
        <v>0</v>
      </c>
      <c r="G14956" s="27">
        <f ca="1">ROUND(E14956*F14956,2)</f>
        <v>0</v>
      </c>
    </row>
    <row r="14957" spans="1:7" ht="24.36" thickBot="1" customHeight="1">
      <c r="A14957" s="24" t="s">
        <v>47432</v>
      </c>
      <c r="B14957" s="24" t="s">
        <v>47433</v>
      </c>
      <c r="C14957" s="24" t="s">
        <v>47434</v>
      </c>
      <c r="D14957" s="25" t="s">
        <v>47435</v>
      </c>
      <c r="E14957" s="28">
        <v>1.00000</v>
      </c>
      <c r="F14957" s="29">
        <f ca="1">ROUND(19.000,3)</f>
        <v>0</v>
      </c>
      <c r="G14957" s="27">
        <f ca="1">ROUND(E14957*F14957,2)</f>
        <v>0</v>
      </c>
    </row>
    <row r="14958" spans="1:7" ht="24.36" thickBot="1" customHeight="1">
      <c r="A14958" s="24" t="s">
        <v>47436</v>
      </c>
      <c r="B14958" s="24" t="s">
        <v>47437</v>
      </c>
      <c r="C14958" s="24" t="s">
        <v>47438</v>
      </c>
      <c r="D14958" s="25" t="s">
        <v>47439</v>
      </c>
      <c r="E14958" s="28">
        <v>0.20000</v>
      </c>
      <c r="F14958" s="29">
        <f ca="1">ROUND(19.000,3)</f>
        <v>0</v>
      </c>
      <c r="G14958" s="27">
        <f ca="1">ROUND(E14958*F14958,2)</f>
        <v>0</v>
      </c>
    </row>
    <row r="14959" spans="1:7" ht="15.12" thickBot="1" customHeight="1">
      <c r="A14959" s="26"/>
      <c r="B14959" s="26"/>
      <c r="C14959" s="26"/>
      <c r="D14959" s="24" t="s">
        <v>47440</v>
      </c>
      <c r="E14959" s="28">
        <v>0.45000</v>
      </c>
      <c r="F14959" s="29">
        <f ca="1">ROUND((G14956+G14957+G14958),3)</f>
        <v>0</v>
      </c>
      <c r="G14959" s="27">
        <f ca="1">ROUND(E14959*F14959,2)</f>
        <v>0</v>
      </c>
    </row>
    <row r="14960" spans="1:7" ht="15.48" thickBot="1" customHeight="1">
      <c r="A14960" s="30"/>
      <c r="B14960" s="30"/>
      <c r="C14960" s="30"/>
      <c r="D14960" s="31" t="s">
        <v>47441</v>
      </c>
      <c r="E14960" s="30"/>
      <c r="F14960" s="33">
        <f ca="1">ROUND((G14952+G14953+G14954+G14955)*(1+G2/100),2)</f>
        <v>0</v>
      </c>
      <c r="G14960" s="30"/>
    </row>
    <row r="14961" spans="1:7" ht="21.36" thickBot="1" customHeight="1">
      <c r="A14961" s="34" t="s">
        <v>47442</v>
      </c>
      <c r="B14961" s="35" t="s">
        <v>47443</v>
      </c>
      <c r="C14961" s="35" t="s">
        <v>47444</v>
      </c>
      <c r="D14961" s="36" t="s">
        <v>47445</v>
      </c>
      <c r="E14961" s="37"/>
      <c r="F14961" s="38">
        <f ca="1">F14966</f>
        <v>0</v>
      </c>
      <c r="G14961" s="37"/>
    </row>
    <row r="14962" spans="1:7" ht="12.12" thickBot="1" customHeight="1">
      <c r="A14962" s="26"/>
      <c r="B14962" s="26"/>
      <c r="C14962" s="26"/>
      <c r="D14962" s="25" t="s">
        <v>47446</v>
      </c>
      <c r="E14962" s="25"/>
      <c r="F14962" s="25"/>
      <c r="G14962" s="25"/>
    </row>
    <row r="14963" spans="1:7" ht="15.12" thickBot="1" customHeight="1">
      <c r="A14963" s="24" t="s">
        <v>47447</v>
      </c>
      <c r="B14963" s="24" t="s">
        <v>47448</v>
      </c>
      <c r="C14963" s="24" t="s">
        <v>47449</v>
      </c>
      <c r="D14963" s="25" t="s">
        <v>47450</v>
      </c>
      <c r="E14963" s="28">
        <v>1.00000</v>
      </c>
      <c r="F14963" s="29">
        <f ca="1">ROUND(275.000,3)</f>
        <v>0</v>
      </c>
      <c r="G14963" s="27">
        <f ca="1">ROUND(E14963*F14963,2)</f>
        <v>0</v>
      </c>
    </row>
    <row r="14964" spans="1:7" ht="21.36" thickBot="1" customHeight="1">
      <c r="A14964" s="24" t="s">
        <v>47451</v>
      </c>
      <c r="B14964" s="24" t="s">
        <v>47452</v>
      </c>
      <c r="C14964" s="24" t="s">
        <v>47453</v>
      </c>
      <c r="D14964" s="25" t="s">
        <v>47454</v>
      </c>
      <c r="E14964" s="28">
        <v>1.00000</v>
      </c>
      <c r="F14964" s="29">
        <f ca="1">ROUND(10.500,3)</f>
        <v>0</v>
      </c>
      <c r="G14964" s="27">
        <f ca="1">ROUND(E14964*F14964,2)</f>
        <v>0</v>
      </c>
    </row>
    <row r="14965" spans="1:7" ht="15.12" thickBot="1" customHeight="1">
      <c r="A14965" s="24" t="s">
        <v>47455</v>
      </c>
      <c r="B14965" s="24" t="s">
        <v>47456</v>
      </c>
      <c r="C14965" s="24" t="s">
        <v>47457</v>
      </c>
      <c r="D14965" s="25" t="s">
        <v>47458</v>
      </c>
      <c r="E14965" s="28">
        <v>0.00000</v>
      </c>
      <c r="F14965" s="29">
        <f ca="1">ROUND(165.500,3)</f>
        <v>0</v>
      </c>
      <c r="G14965" s="27">
        <f ca="1">ROUND(E14965*F14965,2)</f>
        <v>0</v>
      </c>
    </row>
    <row r="14966" spans="1:7" ht="15.48" thickBot="1" customHeight="1">
      <c r="A14966" s="30"/>
      <c r="B14966" s="30"/>
      <c r="C14966" s="30"/>
      <c r="D14966" s="31" t="s">
        <v>47459</v>
      </c>
      <c r="E14966" s="30"/>
      <c r="F14966" s="33">
        <f ca="1">ROUND((G14963+G14964+G14965)*(1+G2/100),2)</f>
        <v>0</v>
      </c>
      <c r="G14966" s="30"/>
    </row>
    <row r="14967" spans="1:7" ht="21.36" thickBot="1" customHeight="1">
      <c r="A14967" s="34" t="s">
        <v>47460</v>
      </c>
      <c r="B14967" s="35" t="s">
        <v>47461</v>
      </c>
      <c r="C14967" s="35" t="s">
        <v>47462</v>
      </c>
      <c r="D14967" s="36" t="s">
        <v>47463</v>
      </c>
      <c r="E14967" s="37"/>
      <c r="F14967" s="38">
        <f ca="1">F14978</f>
        <v>0</v>
      </c>
      <c r="G14967" s="37"/>
    </row>
    <row r="14968" spans="1:7" ht="67.56" thickBot="1" customHeight="1">
      <c r="A14968" s="26"/>
      <c r="B14968" s="26"/>
      <c r="C14968" s="26"/>
      <c r="D14968" s="25" t="s">
        <v>47464</v>
      </c>
      <c r="E14968" s="25"/>
      <c r="F14968" s="25"/>
      <c r="G14968" s="25"/>
    </row>
    <row r="14969" spans="1:7" ht="21.36" thickBot="1" customHeight="1">
      <c r="A14969" s="24" t="s">
        <v>47465</v>
      </c>
      <c r="B14969" s="24" t="s">
        <v>47466</v>
      </c>
      <c r="C14969" s="24" t="s">
        <v>47467</v>
      </c>
      <c r="D14969" s="25" t="s">
        <v>47468</v>
      </c>
      <c r="E14969" s="28">
        <v>0.00000</v>
      </c>
      <c r="F14969" s="29">
        <f ca="1">ROUND(12.000,3)</f>
        <v>0</v>
      </c>
      <c r="G14969" s="27">
        <f ca="1">ROUND(E14969*F14969,2)</f>
        <v>0</v>
      </c>
    </row>
    <row r="14970" spans="1:7" ht="21.36" thickBot="1" customHeight="1">
      <c r="A14970" s="24" t="s">
        <v>47469</v>
      </c>
      <c r="B14970" s="24" t="s">
        <v>47470</v>
      </c>
      <c r="C14970" s="24" t="s">
        <v>47471</v>
      </c>
      <c r="D14970" s="25" t="s">
        <v>47472</v>
      </c>
      <c r="E14970" s="28">
        <v>0.00000</v>
      </c>
      <c r="F14970" s="29">
        <f ca="1">ROUND(19.900,3)</f>
        <v>0</v>
      </c>
      <c r="G14970" s="27">
        <f ca="1">ROUND(E14970*F14970,2)</f>
        <v>0</v>
      </c>
    </row>
    <row r="14971" spans="1:7" ht="21.36" thickBot="1" customHeight="1">
      <c r="A14971" s="24" t="s">
        <v>47473</v>
      </c>
      <c r="B14971" s="24" t="s">
        <v>47474</v>
      </c>
      <c r="C14971" s="24" t="s">
        <v>47475</v>
      </c>
      <c r="D14971" s="25" t="s">
        <v>47476</v>
      </c>
      <c r="E14971" s="28">
        <v>1.00000</v>
      </c>
      <c r="F14971" s="29">
        <f ca="1">ROUND(20.000,3)</f>
        <v>0</v>
      </c>
      <c r="G14971" s="27">
        <f ca="1">ROUND(E14971*F14971,2)</f>
        <v>0</v>
      </c>
    </row>
    <row r="14972" spans="1:7" ht="21.36" thickBot="1" customHeight="1">
      <c r="A14972" s="24" t="s">
        <v>47477</v>
      </c>
      <c r="B14972" s="24" t="s">
        <v>47478</v>
      </c>
      <c r="C14972" s="24" t="s">
        <v>47479</v>
      </c>
      <c r="D14972" s="25" t="s">
        <v>47480</v>
      </c>
      <c r="E14972" s="28">
        <v>0.00000</v>
      </c>
      <c r="F14972" s="29">
        <f ca="1">ROUND(22.500,3)</f>
        <v>0</v>
      </c>
      <c r="G14972" s="27">
        <f ca="1">ROUND(E14972*F14972,2)</f>
        <v>0</v>
      </c>
    </row>
    <row r="14973" spans="1:7" ht="15.12" thickBot="1" customHeight="1">
      <c r="A14973" s="24" t="s">
        <v>47481</v>
      </c>
      <c r="B14973" s="24" t="s">
        <v>47482</v>
      </c>
      <c r="C14973" s="24" t="s">
        <v>47483</v>
      </c>
      <c r="D14973" s="25" t="s">
        <v>47484</v>
      </c>
      <c r="E14973" s="28">
        <v>1.00000</v>
      </c>
      <c r="F14973" s="29">
        <f ca="1">ROUND(20.000,3)</f>
        <v>0</v>
      </c>
      <c r="G14973" s="27">
        <f ca="1">ROUND(E14973*F14973,2)</f>
        <v>0</v>
      </c>
    </row>
    <row r="14974" spans="1:7" ht="30.60" thickBot="1" customHeight="1">
      <c r="A14974" s="24" t="s">
        <v>47485</v>
      </c>
      <c r="B14974" s="24" t="s">
        <v>47486</v>
      </c>
      <c r="C14974" s="24" t="s">
        <v>47487</v>
      </c>
      <c r="D14974" s="25" t="s">
        <v>47488</v>
      </c>
      <c r="E14974" s="28">
        <v>1.00000</v>
      </c>
      <c r="F14974" s="29">
        <f ca="1">ROUND(260.000,3)</f>
        <v>0</v>
      </c>
      <c r="G14974" s="27">
        <f ca="1">ROUND(E14974*F14974,2)</f>
        <v>0</v>
      </c>
    </row>
    <row r="14975" spans="1:7" ht="21.36" thickBot="1" customHeight="1">
      <c r="A14975" s="24" t="s">
        <v>47489</v>
      </c>
      <c r="B14975" s="24" t="s">
        <v>47490</v>
      </c>
      <c r="C14975" s="24" t="s">
        <v>47491</v>
      </c>
      <c r="D14975" s="25" t="s">
        <v>47492</v>
      </c>
      <c r="E14975" s="28">
        <v>1.00000</v>
      </c>
      <c r="F14975" s="29">
        <f ca="1">ROUND(11.520,3)</f>
        <v>0</v>
      </c>
      <c r="G14975" s="27">
        <f ca="1">ROUND(E14975*F14975,2)</f>
        <v>0</v>
      </c>
    </row>
    <row r="14976" spans="1:7" ht="15.12" thickBot="1" customHeight="1">
      <c r="A14976" s="24" t="s">
        <v>47493</v>
      </c>
      <c r="B14976" s="24" t="s">
        <v>47494</v>
      </c>
      <c r="C14976" s="24" t="s">
        <v>47495</v>
      </c>
      <c r="D14976" s="25" t="s">
        <v>47496</v>
      </c>
      <c r="E14976" s="28">
        <v>1.00000</v>
      </c>
      <c r="F14976" s="29">
        <f ca="1">ROUND(6.240,3)</f>
        <v>0</v>
      </c>
      <c r="G14976" s="27">
        <f ca="1">ROUND(E14976*F14976,2)</f>
        <v>0</v>
      </c>
    </row>
    <row r="14977" spans="1:7" ht="21.36" thickBot="1" customHeight="1">
      <c r="A14977" s="24" t="s">
        <v>47497</v>
      </c>
      <c r="B14977" s="24" t="s">
        <v>47498</v>
      </c>
      <c r="C14977" s="24" t="s">
        <v>47499</v>
      </c>
      <c r="D14977" s="25" t="s">
        <v>47500</v>
      </c>
      <c r="E14977" s="28">
        <v>1.00000</v>
      </c>
      <c r="F14977" s="29">
        <f ca="1">ROUND(260.000,3)</f>
        <v>0</v>
      </c>
      <c r="G14977" s="27">
        <f ca="1">ROUND(E14977*F14977,2)</f>
        <v>0</v>
      </c>
    </row>
    <row r="14978" spans="1:7" ht="15.48" thickBot="1" customHeight="1">
      <c r="A14978" s="30"/>
      <c r="B14978" s="30"/>
      <c r="C14978" s="30"/>
      <c r="D14978" s="31" t="s">
        <v>47501</v>
      </c>
      <c r="E14978" s="30"/>
      <c r="F14978" s="33">
        <f ca="1">ROUND((G14969+G14970+G14971+G14972+G14973+G14974+G14975+G14976+G14977)*(1+G2/100),2)</f>
        <v>0</v>
      </c>
      <c r="G14978" s="30"/>
    </row>
    <row r="14979" spans="1:7" ht="15.48" thickBot="1" customHeight="1">
      <c r="A14979" s="39"/>
      <c r="B14979" s="39"/>
      <c r="C14979" s="39"/>
      <c r="D14979" s="55" t="s">
        <v>47502</v>
      </c>
      <c r="E14979" s="56"/>
      <c r="F14979" s="56"/>
      <c r="G14979" s="56"/>
    </row>
    <row r="14980" spans="1:7" ht="15.48" thickBot="1" customHeight="1">
      <c r="A14980" s="57" t="s">
        <v>47503</v>
      </c>
      <c r="B14980" s="57" t="s">
        <v>47504</v>
      </c>
      <c r="C14980" s="58"/>
      <c r="D14980" s="59" t="s">
        <v>47505</v>
      </c>
      <c r="E14980" s="58"/>
      <c r="F14980" s="58"/>
      <c r="G14980" s="58"/>
    </row>
    <row r="14981" spans="1:7" ht="15.48" thickBot="1" customHeight="1">
      <c r="A14981" s="10" t="s">
        <v>47506</v>
      </c>
      <c r="B14981" s="24" t="s">
        <v>47507</v>
      </c>
      <c r="C14981" s="24" t="s">
        <v>47508</v>
      </c>
      <c r="D14981" s="25" t="s">
        <v>47509</v>
      </c>
      <c r="E14981" s="26"/>
      <c r="F14981" s="27">
        <f ca="1">F14992</f>
        <v>0</v>
      </c>
      <c r="G14981" s="26"/>
    </row>
    <row r="14982" spans="1:7" ht="30.60" thickBot="1" customHeight="1">
      <c r="A14982" s="26"/>
      <c r="B14982" s="26"/>
      <c r="C14982" s="26"/>
      <c r="D14982" s="25" t="s">
        <v>47510</v>
      </c>
      <c r="E14982" s="25"/>
      <c r="F14982" s="25"/>
      <c r="G14982" s="25"/>
    </row>
    <row r="14983" spans="1:7" ht="30.60" thickBot="1" customHeight="1">
      <c r="A14983" s="24" t="s">
        <v>47511</v>
      </c>
      <c r="B14983" s="24" t="s">
        <v>47512</v>
      </c>
      <c r="C14983" s="24" t="s">
        <v>47513</v>
      </c>
      <c r="D14983" s="25" t="s">
        <v>47514</v>
      </c>
      <c r="E14983" s="28">
        <v>1.00000</v>
      </c>
      <c r="F14983" s="29">
        <f ca="1">ROUND(0.300,3)</f>
        <v>0</v>
      </c>
      <c r="G14983" s="27">
        <f ca="1">ROUND(E14983*F14983,2)</f>
        <v>0</v>
      </c>
    </row>
    <row r="14984" spans="1:7" ht="30.60" thickBot="1" customHeight="1">
      <c r="A14984" s="24" t="s">
        <v>47515</v>
      </c>
      <c r="B14984" s="24" t="s">
        <v>47516</v>
      </c>
      <c r="C14984" s="24" t="s">
        <v>47517</v>
      </c>
      <c r="D14984" s="25" t="s">
        <v>47518</v>
      </c>
      <c r="E14984" s="28">
        <v>4.00000</v>
      </c>
      <c r="F14984" s="29">
        <f ca="1">ROUND(1.470,3)</f>
        <v>0</v>
      </c>
      <c r="G14984" s="27">
        <f ca="1">ROUND(E14984*F14984,2)</f>
        <v>0</v>
      </c>
    </row>
    <row r="14985" spans="1:7" ht="39.84" thickBot="1" customHeight="1">
      <c r="A14985" s="24" t="s">
        <v>47519</v>
      </c>
      <c r="B14985" s="24" t="s">
        <v>47520</v>
      </c>
      <c r="C14985" s="24" t="s">
        <v>47521</v>
      </c>
      <c r="D14985" s="25" t="s">
        <v>47522</v>
      </c>
      <c r="E14985" s="28">
        <v>0.15000</v>
      </c>
      <c r="F14985" s="29">
        <f ca="1">ROUND(20.130,3)</f>
        <v>0</v>
      </c>
      <c r="G14985" s="27">
        <f ca="1">ROUND(E14985*F14985,2)</f>
        <v>0</v>
      </c>
    </row>
    <row r="14986" spans="1:7" ht="21.36" thickBot="1" customHeight="1">
      <c r="A14986" s="24" t="s">
        <v>47523</v>
      </c>
      <c r="B14986" s="24" t="s">
        <v>47524</v>
      </c>
      <c r="C14986" s="24" t="s">
        <v>47525</v>
      </c>
      <c r="D14986" s="25" t="s">
        <v>47526</v>
      </c>
      <c r="E14986" s="28">
        <v>0.30000</v>
      </c>
      <c r="F14986" s="29">
        <f ca="1">F14990</f>
        <v>0</v>
      </c>
      <c r="G14986" s="27">
        <f ca="1">ROUND(E14986*F14986,2)</f>
        <v>0</v>
      </c>
    </row>
    <row r="14987" spans="1:7" ht="24.36" thickBot="1" customHeight="1">
      <c r="A14987" s="24" t="s">
        <v>47527</v>
      </c>
      <c r="B14987" s="24" t="s">
        <v>47528</v>
      </c>
      <c r="C14987" s="24" t="s">
        <v>47529</v>
      </c>
      <c r="D14987" s="25" t="s">
        <v>47530</v>
      </c>
      <c r="E14987" s="28">
        <v>1.00000</v>
      </c>
      <c r="F14987" s="29">
        <f ca="1">ROUND(21.000,3)</f>
        <v>0</v>
      </c>
      <c r="G14987" s="27">
        <f ca="1">ROUND(E14987*F14987,2)</f>
        <v>0</v>
      </c>
    </row>
    <row r="14988" spans="1:7" ht="24.36" thickBot="1" customHeight="1">
      <c r="A14988" s="24" t="s">
        <v>47531</v>
      </c>
      <c r="B14988" s="24" t="s">
        <v>47532</v>
      </c>
      <c r="C14988" s="24" t="s">
        <v>47533</v>
      </c>
      <c r="D14988" s="25" t="s">
        <v>47534</v>
      </c>
      <c r="E14988" s="28">
        <v>1.00000</v>
      </c>
      <c r="F14988" s="29">
        <f ca="1">ROUND(19.000,3)</f>
        <v>0</v>
      </c>
      <c r="G14988" s="27">
        <f ca="1">ROUND(E14988*F14988,2)</f>
        <v>0</v>
      </c>
    </row>
    <row r="14989" spans="1:7" ht="24.36" thickBot="1" customHeight="1">
      <c r="A14989" s="24" t="s">
        <v>47535</v>
      </c>
      <c r="B14989" s="24" t="s">
        <v>47536</v>
      </c>
      <c r="C14989" s="24" t="s">
        <v>47537</v>
      </c>
      <c r="D14989" s="25" t="s">
        <v>47538</v>
      </c>
      <c r="E14989" s="28">
        <v>0.20000</v>
      </c>
      <c r="F14989" s="29">
        <f ca="1">ROUND(19.000,3)</f>
        <v>0</v>
      </c>
      <c r="G14989" s="27">
        <f ca="1">ROUND(E14989*F14989,2)</f>
        <v>0</v>
      </c>
    </row>
    <row r="14990" spans="1:7" ht="15.12" thickBot="1" customHeight="1">
      <c r="A14990" s="26"/>
      <c r="B14990" s="26"/>
      <c r="C14990" s="26"/>
      <c r="D14990" s="24" t="s">
        <v>47539</v>
      </c>
      <c r="E14990" s="28">
        <v>0.30000</v>
      </c>
      <c r="F14990" s="29">
        <f ca="1">ROUND((G14987+G14988+G14989),3)</f>
        <v>0</v>
      </c>
      <c r="G14990" s="27">
        <f ca="1">ROUND(E14990*F14990,2)</f>
        <v>0</v>
      </c>
    </row>
    <row r="14991" spans="1:7" ht="15.12" thickBot="1" customHeight="1">
      <c r="A14991" s="24" t="s">
        <v>47540</v>
      </c>
      <c r="B14991" s="24"/>
      <c r="C14991" s="24" t="s">
        <v>47541</v>
      </c>
      <c r="D14991" s="25" t="s">
        <v>47542</v>
      </c>
      <c r="E14991" s="28">
        <v>3.00000</v>
      </c>
      <c r="F14991" s="29">
        <f ca="1">ROUND(13.140,3)</f>
        <v>0</v>
      </c>
      <c r="G14991" s="27">
        <f ca="1">ROUND((E14991*F14991)/100,2)</f>
        <v>0</v>
      </c>
    </row>
    <row r="14992" spans="1:7" ht="15.48" thickBot="1" customHeight="1">
      <c r="A14992" s="30"/>
      <c r="B14992" s="30"/>
      <c r="C14992" s="30"/>
      <c r="D14992" s="31" t="s">
        <v>47543</v>
      </c>
      <c r="E14992" s="30"/>
      <c r="F14992" s="33">
        <f ca="1">ROUND((G14983+G14984+G14985+G14986+G14991)*(1+G2/100),2)</f>
        <v>0</v>
      </c>
      <c r="G14992" s="30"/>
    </row>
    <row r="14993" spans="1:7" ht="21.36" thickBot="1" customHeight="1">
      <c r="A14993" s="34" t="s">
        <v>47544</v>
      </c>
      <c r="B14993" s="35" t="s">
        <v>47545</v>
      </c>
      <c r="C14993" s="35" t="s">
        <v>47546</v>
      </c>
      <c r="D14993" s="36" t="s">
        <v>47547</v>
      </c>
      <c r="E14993" s="37"/>
      <c r="F14993" s="38">
        <f ca="1">F14996</f>
        <v>0</v>
      </c>
      <c r="G14993" s="37"/>
    </row>
    <row r="14994" spans="1:7" ht="49.08" thickBot="1" customHeight="1">
      <c r="A14994" s="26"/>
      <c r="B14994" s="26"/>
      <c r="C14994" s="26"/>
      <c r="D14994" s="25" t="s">
        <v>47548</v>
      </c>
      <c r="E14994" s="25"/>
      <c r="F14994" s="25"/>
      <c r="G14994" s="25"/>
    </row>
    <row r="14995" spans="1:7" ht="24.36" thickBot="1" customHeight="1">
      <c r="A14995" s="24" t="s">
        <v>47549</v>
      </c>
      <c r="B14995" s="24" t="s">
        <v>47550</v>
      </c>
      <c r="C14995" s="24" t="s">
        <v>47551</v>
      </c>
      <c r="D14995" s="25" t="s">
        <v>47552</v>
      </c>
      <c r="E14995" s="28">
        <v>16.00000</v>
      </c>
      <c r="F14995" s="29">
        <f ca="1">ROUND(49.500,3)</f>
        <v>0</v>
      </c>
      <c r="G14995" s="27">
        <f ca="1">ROUND(E14995*F14995,2)</f>
        <v>0</v>
      </c>
    </row>
    <row r="14996" spans="1:7" ht="15.48" thickBot="1" customHeight="1">
      <c r="A14996" s="30"/>
      <c r="B14996" s="30"/>
      <c r="C14996" s="30"/>
      <c r="D14996" s="31" t="s">
        <v>47553</v>
      </c>
      <c r="E14996" s="30"/>
      <c r="F14996" s="33">
        <f ca="1">ROUND((G14995)*(1+G2/100),2)</f>
        <v>0</v>
      </c>
      <c r="G14996" s="30"/>
    </row>
    <row r="14997" spans="1:7" ht="39.84" thickBot="1" customHeight="1">
      <c r="A14997" s="34" t="s">
        <v>47554</v>
      </c>
      <c r="B14997" s="35" t="s">
        <v>47555</v>
      </c>
      <c r="C14997" s="35" t="s">
        <v>47556</v>
      </c>
      <c r="D14997" s="36" t="s">
        <v>47557</v>
      </c>
      <c r="E14997" s="37"/>
      <c r="F14997" s="38">
        <f ca="1">F15023</f>
        <v>0</v>
      </c>
      <c r="G14997" s="37"/>
    </row>
    <row r="14998" spans="1:7" ht="30.60" thickBot="1" customHeight="1">
      <c r="A14998" s="26"/>
      <c r="B14998" s="26"/>
      <c r="C14998" s="26"/>
      <c r="D14998" s="25" t="s">
        <v>47558</v>
      </c>
      <c r="E14998" s="25"/>
      <c r="F14998" s="25"/>
      <c r="G14998" s="25"/>
    </row>
    <row r="14999" spans="1:7" ht="30.60" thickBot="1" customHeight="1">
      <c r="A14999" s="24" t="s">
        <v>47559</v>
      </c>
      <c r="B14999" s="24" t="s">
        <v>47560</v>
      </c>
      <c r="C14999" s="24" t="s">
        <v>47561</v>
      </c>
      <c r="D14999" s="25" t="s">
        <v>47562</v>
      </c>
      <c r="E14999" s="28">
        <v>10.00000</v>
      </c>
      <c r="F14999" s="29">
        <f ca="1">ROUND(1.470,3)</f>
        <v>0</v>
      </c>
      <c r="G14999" s="27">
        <f ca="1">ROUND(E14999*F14999,2)</f>
        <v>0</v>
      </c>
    </row>
    <row r="15000" spans="1:7" ht="30.60" thickBot="1" customHeight="1">
      <c r="A15000" s="24" t="s">
        <v>47563</v>
      </c>
      <c r="B15000" s="24" t="s">
        <v>47564</v>
      </c>
      <c r="C15000" s="24" t="s">
        <v>47565</v>
      </c>
      <c r="D15000" s="25" t="s">
        <v>47566</v>
      </c>
      <c r="E15000" s="28">
        <v>1.50000</v>
      </c>
      <c r="F15000" s="29">
        <f ca="1">ROUND(23.460,3)</f>
        <v>0</v>
      </c>
      <c r="G15000" s="27">
        <f ca="1">ROUND(E15000*F15000,2)</f>
        <v>0</v>
      </c>
    </row>
    <row r="15001" spans="1:7" ht="39.84" thickBot="1" customHeight="1">
      <c r="A15001" s="24" t="s">
        <v>47567</v>
      </c>
      <c r="B15001" s="24" t="s">
        <v>47568</v>
      </c>
      <c r="C15001" s="24" t="s">
        <v>47569</v>
      </c>
      <c r="D15001" s="25" t="s">
        <v>47570</v>
      </c>
      <c r="E15001" s="28">
        <v>0.23000</v>
      </c>
      <c r="F15001" s="29">
        <f ca="1">ROUND(27.050,3)</f>
        <v>0</v>
      </c>
      <c r="G15001" s="27">
        <f ca="1">ROUND(E15001*F15001,2)</f>
        <v>0</v>
      </c>
    </row>
    <row r="15002" spans="1:7" ht="39.84" thickBot="1" customHeight="1">
      <c r="A15002" s="24" t="s">
        <v>47571</v>
      </c>
      <c r="B15002" s="24" t="s">
        <v>47572</v>
      </c>
      <c r="C15002" s="24" t="s">
        <v>47573</v>
      </c>
      <c r="D15002" s="25" t="s">
        <v>47574</v>
      </c>
      <c r="E15002" s="28">
        <v>0.50000</v>
      </c>
      <c r="F15002" s="29">
        <f ca="1">ROUND(8.530,3)</f>
        <v>0</v>
      </c>
      <c r="G15002" s="27">
        <f ca="1">ROUND(E15002*F15002,2)</f>
        <v>0</v>
      </c>
    </row>
    <row r="15003" spans="1:7" ht="30.60" thickBot="1" customHeight="1">
      <c r="A15003" s="24" t="s">
        <v>47575</v>
      </c>
      <c r="B15003" s="24" t="s">
        <v>47576</v>
      </c>
      <c r="C15003" s="24" t="s">
        <v>47577</v>
      </c>
      <c r="D15003" s="25" t="s">
        <v>47578</v>
      </c>
      <c r="E15003" s="28">
        <v>4.00000</v>
      </c>
      <c r="F15003" s="29">
        <f ca="1">F15005</f>
        <v>0</v>
      </c>
      <c r="G15003" s="27">
        <f ca="1">ROUND(E15003*F15003,2)</f>
        <v>0</v>
      </c>
    </row>
    <row r="15004" spans="1:7" ht="30.60" thickBot="1" customHeight="1">
      <c r="A15004" s="24" t="s">
        <v>47579</v>
      </c>
      <c r="B15004" s="24" t="s">
        <v>47580</v>
      </c>
      <c r="C15004" s="24" t="s">
        <v>47581</v>
      </c>
      <c r="D15004" s="25" t="s">
        <v>47582</v>
      </c>
      <c r="E15004" s="28">
        <v>0.00417</v>
      </c>
      <c r="F15004" s="29">
        <f ca="1">ROUND(1366.230,3)</f>
        <v>0</v>
      </c>
      <c r="G15004" s="27">
        <f ca="1">ROUND(E15004*F15004,2)</f>
        <v>0</v>
      </c>
    </row>
    <row r="15005" spans="1:7" ht="15.12" thickBot="1" customHeight="1">
      <c r="A15005" s="26"/>
      <c r="B15005" s="26"/>
      <c r="C15005" s="26"/>
      <c r="D15005" s="24" t="s">
        <v>47583</v>
      </c>
      <c r="E15005" s="28">
        <v>4.00000</v>
      </c>
      <c r="F15005" s="29">
        <f ca="1">ROUND((G15004),3)</f>
        <v>0</v>
      </c>
      <c r="G15005" s="27">
        <f ca="1">ROUND(E15005*F15005,2)</f>
        <v>0</v>
      </c>
    </row>
    <row r="15006" spans="1:7" ht="21.36" thickBot="1" customHeight="1">
      <c r="A15006" s="24" t="s">
        <v>47584</v>
      </c>
      <c r="B15006" s="24" t="s">
        <v>47585</v>
      </c>
      <c r="C15006" s="24" t="s">
        <v>47586</v>
      </c>
      <c r="D15006" s="25" t="s">
        <v>47587</v>
      </c>
      <c r="E15006" s="28">
        <v>8.00000</v>
      </c>
      <c r="F15006" s="29">
        <f ca="1">F15010</f>
        <v>0</v>
      </c>
      <c r="G15006" s="27">
        <f ca="1">ROUND(E15006*F15006,2)</f>
        <v>0</v>
      </c>
    </row>
    <row r="15007" spans="1:7" ht="24.36" thickBot="1" customHeight="1">
      <c r="A15007" s="24" t="s">
        <v>47588</v>
      </c>
      <c r="B15007" s="24" t="s">
        <v>47589</v>
      </c>
      <c r="C15007" s="24" t="s">
        <v>47590</v>
      </c>
      <c r="D15007" s="25" t="s">
        <v>47591</v>
      </c>
      <c r="E15007" s="28">
        <v>1.00000</v>
      </c>
      <c r="F15007" s="29">
        <f ca="1">ROUND(21.000,3)</f>
        <v>0</v>
      </c>
      <c r="G15007" s="27">
        <f ca="1">ROUND(E15007*F15007,2)</f>
        <v>0</v>
      </c>
    </row>
    <row r="15008" spans="1:7" ht="24.36" thickBot="1" customHeight="1">
      <c r="A15008" s="24" t="s">
        <v>47592</v>
      </c>
      <c r="B15008" s="24" t="s">
        <v>47593</v>
      </c>
      <c r="C15008" s="24" t="s">
        <v>47594</v>
      </c>
      <c r="D15008" s="25" t="s">
        <v>47595</v>
      </c>
      <c r="E15008" s="28">
        <v>1.00000</v>
      </c>
      <c r="F15008" s="29">
        <f ca="1">ROUND(19.000,3)</f>
        <v>0</v>
      </c>
      <c r="G15008" s="27">
        <f ca="1">ROUND(E15008*F15008,2)</f>
        <v>0</v>
      </c>
    </row>
    <row r="15009" spans="1:7" ht="24.36" thickBot="1" customHeight="1">
      <c r="A15009" s="24" t="s">
        <v>47596</v>
      </c>
      <c r="B15009" s="24" t="s">
        <v>47597</v>
      </c>
      <c r="C15009" s="24" t="s">
        <v>47598</v>
      </c>
      <c r="D15009" s="25" t="s">
        <v>47599</v>
      </c>
      <c r="E15009" s="28">
        <v>0.20000</v>
      </c>
      <c r="F15009" s="29">
        <f ca="1">ROUND(19.000,3)</f>
        <v>0</v>
      </c>
      <c r="G15009" s="27">
        <f ca="1">ROUND(E15009*F15009,2)</f>
        <v>0</v>
      </c>
    </row>
    <row r="15010" spans="1:7" ht="15.12" thickBot="1" customHeight="1">
      <c r="A15010" s="26"/>
      <c r="B15010" s="26"/>
      <c r="C15010" s="26"/>
      <c r="D15010" s="24" t="s">
        <v>47600</v>
      </c>
      <c r="E15010" s="28">
        <v>8.00000</v>
      </c>
      <c r="F15010" s="29">
        <f ca="1">ROUND((G15007+G15008+G15009),3)</f>
        <v>0</v>
      </c>
      <c r="G15010" s="27">
        <f ca="1">ROUND(E15010*F15010,2)</f>
        <v>0</v>
      </c>
    </row>
    <row r="15011" spans="1:7" ht="21.36" thickBot="1" customHeight="1">
      <c r="A15011" s="24" t="s">
        <v>47601</v>
      </c>
      <c r="B15011" s="24" t="s">
        <v>47602</v>
      </c>
      <c r="C15011" s="24" t="s">
        <v>47603</v>
      </c>
      <c r="D15011" s="25" t="s">
        <v>47604</v>
      </c>
      <c r="E15011" s="28">
        <v>0.25000</v>
      </c>
      <c r="F15011" s="29">
        <f ca="1">F15015</f>
        <v>0</v>
      </c>
      <c r="G15011" s="27">
        <f ca="1">ROUND(E15011*F15011,2)</f>
        <v>0</v>
      </c>
    </row>
    <row r="15012" spans="1:7" ht="24.36" thickBot="1" customHeight="1">
      <c r="A15012" s="24" t="s">
        <v>47605</v>
      </c>
      <c r="B15012" s="24" t="s">
        <v>47606</v>
      </c>
      <c r="C15012" s="24" t="s">
        <v>47607</v>
      </c>
      <c r="D15012" s="25" t="s">
        <v>47608</v>
      </c>
      <c r="E15012" s="28">
        <v>1.00000</v>
      </c>
      <c r="F15012" s="29">
        <f ca="1">ROUND(21.000,3)</f>
        <v>0</v>
      </c>
      <c r="G15012" s="27">
        <f ca="1">ROUND(E15012*F15012,2)</f>
        <v>0</v>
      </c>
    </row>
    <row r="15013" spans="1:7" ht="24.36" thickBot="1" customHeight="1">
      <c r="A15013" s="24" t="s">
        <v>47609</v>
      </c>
      <c r="B15013" s="24" t="s">
        <v>47610</v>
      </c>
      <c r="C15013" s="24" t="s">
        <v>47611</v>
      </c>
      <c r="D15013" s="25" t="s">
        <v>47612</v>
      </c>
      <c r="E15013" s="28">
        <v>1.00000</v>
      </c>
      <c r="F15013" s="29">
        <f ca="1">ROUND(19.000,3)</f>
        <v>0</v>
      </c>
      <c r="G15013" s="27">
        <f ca="1">ROUND(E15013*F15013,2)</f>
        <v>0</v>
      </c>
    </row>
    <row r="15014" spans="1:7" ht="24.36" thickBot="1" customHeight="1">
      <c r="A15014" s="24" t="s">
        <v>47613</v>
      </c>
      <c r="B15014" s="24" t="s">
        <v>47614</v>
      </c>
      <c r="C15014" s="24" t="s">
        <v>47615</v>
      </c>
      <c r="D15014" s="25" t="s">
        <v>47616</v>
      </c>
      <c r="E15014" s="28">
        <v>0.20000</v>
      </c>
      <c r="F15014" s="29">
        <f ca="1">ROUND(19.000,3)</f>
        <v>0</v>
      </c>
      <c r="G15014" s="27">
        <f ca="1">ROUND(E15014*F15014,2)</f>
        <v>0</v>
      </c>
    </row>
    <row r="15015" spans="1:7" ht="15.12" thickBot="1" customHeight="1">
      <c r="A15015" s="26"/>
      <c r="B15015" s="26"/>
      <c r="C15015" s="26"/>
      <c r="D15015" s="24" t="s">
        <v>47617</v>
      </c>
      <c r="E15015" s="28">
        <v>0.25000</v>
      </c>
      <c r="F15015" s="29">
        <f ca="1">ROUND((G15012+G15013+G15014),3)</f>
        <v>0</v>
      </c>
      <c r="G15015" s="27">
        <f ca="1">ROUND(E15015*F15015,2)</f>
        <v>0</v>
      </c>
    </row>
    <row r="15016" spans="1:7" ht="15.12" thickBot="1" customHeight="1">
      <c r="A15016" s="24" t="s">
        <v>47618</v>
      </c>
      <c r="B15016" s="24"/>
      <c r="C15016" s="24" t="s">
        <v>47619</v>
      </c>
      <c r="D15016" s="25" t="s">
        <v>47620</v>
      </c>
      <c r="E15016" s="28">
        <v>3.00000</v>
      </c>
      <c r="F15016" s="29">
        <f ca="1">ROUND(361.350,3)</f>
        <v>0</v>
      </c>
      <c r="G15016" s="27">
        <f ca="1">ROUND((E15016*F15016)/100,2)</f>
        <v>0</v>
      </c>
    </row>
    <row r="15017" spans="1:7" ht="24.36" thickBot="1" customHeight="1">
      <c r="A15017" s="24" t="s">
        <v>47621</v>
      </c>
      <c r="B15017" s="24" t="s">
        <v>47622</v>
      </c>
      <c r="C15017" s="24" t="s">
        <v>47623</v>
      </c>
      <c r="D15017" s="25" t="s">
        <v>47624</v>
      </c>
      <c r="E15017" s="28">
        <v>0.21825</v>
      </c>
      <c r="F15017" s="29">
        <f ca="1">F15022</f>
        <v>0</v>
      </c>
      <c r="G15017" s="27">
        <f ca="1">ROUND(E15017*F15017,2)</f>
        <v>0</v>
      </c>
    </row>
    <row r="15018" spans="1:7" ht="15.12" thickBot="1" customHeight="1">
      <c r="A15018" s="24" t="s">
        <v>47625</v>
      </c>
      <c r="B15018" s="24" t="s">
        <v>47626</v>
      </c>
      <c r="C15018" s="24" t="s">
        <v>47627</v>
      </c>
      <c r="D15018" s="25" t="s">
        <v>47628</v>
      </c>
      <c r="E15018" s="28">
        <v>1.00000</v>
      </c>
      <c r="F15018" s="29">
        <f ca="1">ROUND(32.000,3)</f>
        <v>0</v>
      </c>
      <c r="G15018" s="27">
        <f ca="1">ROUND(E15018*F15018,2)</f>
        <v>0</v>
      </c>
    </row>
    <row r="15019" spans="1:7" ht="30.60" thickBot="1" customHeight="1">
      <c r="A15019" s="24" t="s">
        <v>47629</v>
      </c>
      <c r="B15019" s="24" t="s">
        <v>47630</v>
      </c>
      <c r="C15019" s="24" t="s">
        <v>47631</v>
      </c>
      <c r="D15019" s="25" t="s">
        <v>47632</v>
      </c>
      <c r="E15019" s="28">
        <v>10.66667</v>
      </c>
      <c r="F15019" s="29">
        <f ca="1">ROUND(0.170,3)</f>
        <v>0</v>
      </c>
      <c r="G15019" s="27">
        <f ca="1">ROUND(E15019*F15019,2)</f>
        <v>0</v>
      </c>
    </row>
    <row r="15020" spans="1:7" ht="21.36" thickBot="1" customHeight="1">
      <c r="A15020" s="24" t="s">
        <v>47633</v>
      </c>
      <c r="B15020" s="24" t="s">
        <v>47634</v>
      </c>
      <c r="C15020" s="24" t="s">
        <v>47635</v>
      </c>
      <c r="D15020" s="25" t="s">
        <v>47636</v>
      </c>
      <c r="E15020" s="28">
        <v>0.50000</v>
      </c>
      <c r="F15020" s="29">
        <f ca="1">ROUND(43.800,3)</f>
        <v>0</v>
      </c>
      <c r="G15020" s="27">
        <f ca="1">ROUND(E15020*F15020,2)</f>
        <v>0</v>
      </c>
    </row>
    <row r="15021" spans="1:7" ht="15.12" thickBot="1" customHeight="1">
      <c r="A15021" s="24" t="s">
        <v>47637</v>
      </c>
      <c r="B15021" s="24"/>
      <c r="C15021" s="24" t="s">
        <v>47638</v>
      </c>
      <c r="D15021" s="25" t="s">
        <v>47639</v>
      </c>
      <c r="E15021" s="28">
        <v>1.00000</v>
      </c>
      <c r="F15021" s="29">
        <f ca="1">ROUND(32.000,3)</f>
        <v>0</v>
      </c>
      <c r="G15021" s="27">
        <f ca="1">ROUND((E15021*F15021)/100,2)</f>
        <v>0</v>
      </c>
    </row>
    <row r="15022" spans="1:7" ht="15.12" thickBot="1" customHeight="1">
      <c r="A15022" s="26"/>
      <c r="B15022" s="26"/>
      <c r="C15022" s="26"/>
      <c r="D15022" s="24" t="s">
        <v>47640</v>
      </c>
      <c r="E15022" s="28">
        <v>0.21825</v>
      </c>
      <c r="F15022" s="29">
        <f ca="1">ROUND((G15018+G15019+G15020+G15021),3)</f>
        <v>0</v>
      </c>
      <c r="G15022" s="27">
        <f ca="1">ROUND(E15022*F15022,2)</f>
        <v>0</v>
      </c>
    </row>
    <row r="15023" spans="1:7" ht="15.48" thickBot="1" customHeight="1">
      <c r="A15023" s="30"/>
      <c r="B15023" s="30"/>
      <c r="C15023" s="30"/>
      <c r="D15023" s="31" t="s">
        <v>47641</v>
      </c>
      <c r="E15023" s="30"/>
      <c r="F15023" s="33">
        <f ca="1">ROUND((G14999+G15000+G15001+G15002+G15003+G15006+G15011+G15016+G15017)*(1+G2/100),2)</f>
        <v>0</v>
      </c>
      <c r="G15023" s="30"/>
    </row>
    <row r="15024" spans="1:7" ht="21.36" thickBot="1" customHeight="1">
      <c r="A15024" s="34" t="s">
        <v>47642</v>
      </c>
      <c r="B15024" s="35" t="s">
        <v>47643</v>
      </c>
      <c r="C15024" s="35" t="s">
        <v>47644</v>
      </c>
      <c r="D15024" s="36" t="s">
        <v>47645</v>
      </c>
      <c r="E15024" s="37"/>
      <c r="F15024" s="38">
        <f ca="1">F15027</f>
        <v>0</v>
      </c>
      <c r="G15024" s="37"/>
    </row>
    <row r="15025" spans="1:7" ht="30.60" thickBot="1" customHeight="1">
      <c r="A15025" s="26"/>
      <c r="B15025" s="26"/>
      <c r="C15025" s="26"/>
      <c r="D15025" s="25" t="s">
        <v>47646</v>
      </c>
      <c r="E15025" s="25"/>
      <c r="F15025" s="25"/>
      <c r="G15025" s="25"/>
    </row>
    <row r="15026" spans="1:7" ht="24.36" thickBot="1" customHeight="1">
      <c r="A15026" s="24" t="s">
        <v>47647</v>
      </c>
      <c r="B15026" s="24" t="s">
        <v>47648</v>
      </c>
      <c r="C15026" s="24" t="s">
        <v>47649</v>
      </c>
      <c r="D15026" s="25" t="s">
        <v>47650</v>
      </c>
      <c r="E15026" s="28">
        <v>3.00000</v>
      </c>
      <c r="F15026" s="29">
        <f ca="1">ROUND(49.500,3)</f>
        <v>0</v>
      </c>
      <c r="G15026" s="27">
        <f ca="1">ROUND(E15026*F15026,2)</f>
        <v>0</v>
      </c>
    </row>
    <row r="15027" spans="1:7" ht="15.48" thickBot="1" customHeight="1">
      <c r="A15027" s="30"/>
      <c r="B15027" s="30"/>
      <c r="C15027" s="30"/>
      <c r="D15027" s="31" t="s">
        <v>47651</v>
      </c>
      <c r="E15027" s="30"/>
      <c r="F15027" s="33">
        <f ca="1">ROUND((G15026)*(1+G2/100),2)</f>
        <v>0</v>
      </c>
      <c r="G15027" s="30"/>
    </row>
    <row r="15028" spans="1:7" ht="21.36" thickBot="1" customHeight="1">
      <c r="A15028" s="34" t="s">
        <v>47652</v>
      </c>
      <c r="B15028" s="35" t="s">
        <v>47653</v>
      </c>
      <c r="C15028" s="35" t="s">
        <v>47654</v>
      </c>
      <c r="D15028" s="36" t="s">
        <v>47655</v>
      </c>
      <c r="E15028" s="37"/>
      <c r="F15028" s="38">
        <f ca="1">F15033</f>
        <v>0</v>
      </c>
      <c r="G15028" s="37"/>
    </row>
    <row r="15029" spans="1:7" ht="30.60" thickBot="1" customHeight="1">
      <c r="A15029" s="26"/>
      <c r="B15029" s="26"/>
      <c r="C15029" s="26"/>
      <c r="D15029" s="25" t="s">
        <v>47656</v>
      </c>
      <c r="E15029" s="25"/>
      <c r="F15029" s="25"/>
      <c r="G15029" s="25"/>
    </row>
    <row r="15030" spans="1:7" ht="21.36" thickBot="1" customHeight="1">
      <c r="A15030" s="24" t="s">
        <v>47657</v>
      </c>
      <c r="B15030" s="24" t="s">
        <v>47658</v>
      </c>
      <c r="C15030" s="24" t="s">
        <v>47659</v>
      </c>
      <c r="D15030" s="25" t="s">
        <v>47660</v>
      </c>
      <c r="E15030" s="28">
        <v>1.00000</v>
      </c>
      <c r="F15030" s="29">
        <f ca="1">ROUND(11.720,3)</f>
        <v>0</v>
      </c>
      <c r="G15030" s="27">
        <f ca="1">ROUND(E15030*F15030,2)</f>
        <v>0</v>
      </c>
    </row>
    <row r="15031" spans="1:7" ht="21.36" thickBot="1" customHeight="1">
      <c r="A15031" s="24" t="s">
        <v>47661</v>
      </c>
      <c r="B15031" s="24" t="s">
        <v>47662</v>
      </c>
      <c r="C15031" s="24" t="s">
        <v>47663</v>
      </c>
      <c r="D15031" s="25" t="s">
        <v>47664</v>
      </c>
      <c r="E15031" s="28">
        <v>50.00000</v>
      </c>
      <c r="F15031" s="29">
        <f ca="1">ROUND(0.130,3)</f>
        <v>0</v>
      </c>
      <c r="G15031" s="27">
        <f ca="1">ROUND(E15031*F15031,2)</f>
        <v>0</v>
      </c>
    </row>
    <row r="15032" spans="1:7" ht="24.36" thickBot="1" customHeight="1">
      <c r="A15032" s="24" t="s">
        <v>47665</v>
      </c>
      <c r="B15032" s="24" t="s">
        <v>47666</v>
      </c>
      <c r="C15032" s="24" t="s">
        <v>47667</v>
      </c>
      <c r="D15032" s="25" t="s">
        <v>47668</v>
      </c>
      <c r="E15032" s="28">
        <v>2.00000</v>
      </c>
      <c r="F15032" s="29">
        <f ca="1">ROUND(49.500,3)</f>
        <v>0</v>
      </c>
      <c r="G15032" s="27">
        <f ca="1">ROUND(E15032*F15032,2)</f>
        <v>0</v>
      </c>
    </row>
    <row r="15033" spans="1:7" ht="15.48" thickBot="1" customHeight="1">
      <c r="A15033" s="30"/>
      <c r="B15033" s="30"/>
      <c r="C15033" s="30"/>
      <c r="D15033" s="31" t="s">
        <v>47669</v>
      </c>
      <c r="E15033" s="30"/>
      <c r="F15033" s="33">
        <f ca="1">ROUND((G15030+G15031+G15032)*(1+G2/100),2)</f>
        <v>0</v>
      </c>
      <c r="G15033" s="30"/>
    </row>
    <row r="15034" spans="1:7" ht="39.84" thickBot="1" customHeight="1">
      <c r="A15034" s="34" t="s">
        <v>47670</v>
      </c>
      <c r="B15034" s="35" t="s">
        <v>47671</v>
      </c>
      <c r="C15034" s="35" t="s">
        <v>47672</v>
      </c>
      <c r="D15034" s="36" t="s">
        <v>47673</v>
      </c>
      <c r="E15034" s="37"/>
      <c r="F15034" s="38">
        <f ca="1">F15045</f>
        <v>0</v>
      </c>
      <c r="G15034" s="37"/>
    </row>
    <row r="15035" spans="1:7" ht="21.36" thickBot="1" customHeight="1">
      <c r="A15035" s="26"/>
      <c r="B15035" s="26"/>
      <c r="C15035" s="26"/>
      <c r="D15035" s="25" t="s">
        <v>47674</v>
      </c>
      <c r="E15035" s="25"/>
      <c r="F15035" s="25"/>
      <c r="G15035" s="25"/>
    </row>
    <row r="15036" spans="1:7" ht="39.84" thickBot="1" customHeight="1">
      <c r="A15036" s="24" t="s">
        <v>47675</v>
      </c>
      <c r="B15036" s="24" t="s">
        <v>47676</v>
      </c>
      <c r="C15036" s="24" t="s">
        <v>47677</v>
      </c>
      <c r="D15036" s="25" t="s">
        <v>47678</v>
      </c>
      <c r="E15036" s="28">
        <v>1.44000</v>
      </c>
      <c r="F15036" s="29">
        <f ca="1">ROUND(2.600,3)</f>
        <v>0</v>
      </c>
      <c r="G15036" s="27">
        <f ca="1">ROUND(E15036*F15036,2)</f>
        <v>0</v>
      </c>
    </row>
    <row r="15037" spans="1:7" ht="30.60" thickBot="1" customHeight="1">
      <c r="A15037" s="24" t="s">
        <v>47679</v>
      </c>
      <c r="B15037" s="24" t="s">
        <v>47680</v>
      </c>
      <c r="C15037" s="24" t="s">
        <v>47681</v>
      </c>
      <c r="D15037" s="25" t="s">
        <v>47682</v>
      </c>
      <c r="E15037" s="28">
        <v>0.42000</v>
      </c>
      <c r="F15037" s="29">
        <f ca="1">ROUND(41.600,3)</f>
        <v>0</v>
      </c>
      <c r="G15037" s="27">
        <f ca="1">ROUND(E15037*F15037,2)</f>
        <v>0</v>
      </c>
    </row>
    <row r="15038" spans="1:7" ht="30.60" thickBot="1" customHeight="1">
      <c r="A15038" s="24" t="s">
        <v>47683</v>
      </c>
      <c r="B15038" s="24" t="s">
        <v>47684</v>
      </c>
      <c r="C15038" s="24" t="s">
        <v>47685</v>
      </c>
      <c r="D15038" s="25" t="s">
        <v>47686</v>
      </c>
      <c r="E15038" s="28">
        <v>0.02200</v>
      </c>
      <c r="F15038" s="29">
        <f ca="1">ROUND(27.500,3)</f>
        <v>0</v>
      </c>
      <c r="G15038" s="27">
        <f ca="1">ROUND(E15038*F15038,2)</f>
        <v>0</v>
      </c>
    </row>
    <row r="15039" spans="1:7" ht="21.36" thickBot="1" customHeight="1">
      <c r="A15039" s="24" t="s">
        <v>47687</v>
      </c>
      <c r="B15039" s="24" t="s">
        <v>47688</v>
      </c>
      <c r="C15039" s="24" t="s">
        <v>47689</v>
      </c>
      <c r="D15039" s="25" t="s">
        <v>47690</v>
      </c>
      <c r="E15039" s="28">
        <v>0.25000</v>
      </c>
      <c r="F15039" s="29">
        <f ca="1">F15043</f>
        <v>0</v>
      </c>
      <c r="G15039" s="27">
        <f ca="1">ROUND(E15039*F15039,2)</f>
        <v>0</v>
      </c>
    </row>
    <row r="15040" spans="1:7" ht="24.36" thickBot="1" customHeight="1">
      <c r="A15040" s="24" t="s">
        <v>47691</v>
      </c>
      <c r="B15040" s="24" t="s">
        <v>47692</v>
      </c>
      <c r="C15040" s="24" t="s">
        <v>47693</v>
      </c>
      <c r="D15040" s="25" t="s">
        <v>47694</v>
      </c>
      <c r="E15040" s="28">
        <v>1.00000</v>
      </c>
      <c r="F15040" s="29">
        <f ca="1">ROUND(21.000,3)</f>
        <v>0</v>
      </c>
      <c r="G15040" s="27">
        <f ca="1">ROUND(E15040*F15040,2)</f>
        <v>0</v>
      </c>
    </row>
    <row r="15041" spans="1:7" ht="24.36" thickBot="1" customHeight="1">
      <c r="A15041" s="24" t="s">
        <v>47695</v>
      </c>
      <c r="B15041" s="24" t="s">
        <v>47696</v>
      </c>
      <c r="C15041" s="24" t="s">
        <v>47697</v>
      </c>
      <c r="D15041" s="25" t="s">
        <v>47698</v>
      </c>
      <c r="E15041" s="28">
        <v>1.00000</v>
      </c>
      <c r="F15041" s="29">
        <f ca="1">ROUND(19.000,3)</f>
        <v>0</v>
      </c>
      <c r="G15041" s="27">
        <f ca="1">ROUND(E15041*F15041,2)</f>
        <v>0</v>
      </c>
    </row>
    <row r="15042" spans="1:7" ht="24.36" thickBot="1" customHeight="1">
      <c r="A15042" s="24" t="s">
        <v>47699</v>
      </c>
      <c r="B15042" s="24" t="s">
        <v>47700</v>
      </c>
      <c r="C15042" s="24" t="s">
        <v>47701</v>
      </c>
      <c r="D15042" s="25" t="s">
        <v>47702</v>
      </c>
      <c r="E15042" s="28">
        <v>0.20000</v>
      </c>
      <c r="F15042" s="29">
        <f ca="1">ROUND(19.000,3)</f>
        <v>0</v>
      </c>
      <c r="G15042" s="27">
        <f ca="1">ROUND(E15042*F15042,2)</f>
        <v>0</v>
      </c>
    </row>
    <row r="15043" spans="1:7" ht="15.12" thickBot="1" customHeight="1">
      <c r="A15043" s="26"/>
      <c r="B15043" s="26"/>
      <c r="C15043" s="26"/>
      <c r="D15043" s="24" t="s">
        <v>47703</v>
      </c>
      <c r="E15043" s="28">
        <v>0.25000</v>
      </c>
      <c r="F15043" s="29">
        <f ca="1">ROUND((G15040+G15041+G15042),3)</f>
        <v>0</v>
      </c>
      <c r="G15043" s="27">
        <f ca="1">ROUND(E15043*F15043,2)</f>
        <v>0</v>
      </c>
    </row>
    <row r="15044" spans="1:7" ht="15.12" thickBot="1" customHeight="1">
      <c r="A15044" s="24" t="s">
        <v>47704</v>
      </c>
      <c r="B15044" s="24"/>
      <c r="C15044" s="24" t="s">
        <v>47705</v>
      </c>
      <c r="D15044" s="25" t="s">
        <v>47706</v>
      </c>
      <c r="E15044" s="28">
        <v>5.00000</v>
      </c>
      <c r="F15044" s="29">
        <f ca="1">ROUND(10.950,3)</f>
        <v>0</v>
      </c>
      <c r="G15044" s="27">
        <f ca="1">ROUND((E15044*F15044)/100,2)</f>
        <v>0</v>
      </c>
    </row>
    <row r="15045" spans="1:7" ht="15.48" thickBot="1" customHeight="1">
      <c r="A15045" s="30"/>
      <c r="B15045" s="30"/>
      <c r="C15045" s="30"/>
      <c r="D15045" s="31" t="s">
        <v>47707</v>
      </c>
      <c r="E15045" s="30"/>
      <c r="F15045" s="33">
        <f ca="1">ROUND((G15036+G15037+G15038+G15039+G15044)*(1+G2/100),2)</f>
        <v>0</v>
      </c>
      <c r="G15045" s="30"/>
    </row>
    <row r="15046" spans="1:7" ht="30.60" thickBot="1" customHeight="1">
      <c r="A15046" s="34" t="s">
        <v>47708</v>
      </c>
      <c r="B15046" s="35" t="s">
        <v>47709</v>
      </c>
      <c r="C15046" s="35" t="s">
        <v>47710</v>
      </c>
      <c r="D15046" s="36" t="s">
        <v>47711</v>
      </c>
      <c r="E15046" s="37"/>
      <c r="F15046" s="38">
        <f ca="1">F15056</f>
        <v>0</v>
      </c>
      <c r="G15046" s="37"/>
    </row>
    <row r="15047" spans="1:7" ht="21.36" thickBot="1" customHeight="1">
      <c r="A15047" s="26"/>
      <c r="B15047" s="26"/>
      <c r="C15047" s="26"/>
      <c r="D15047" s="25" t="s">
        <v>47712</v>
      </c>
      <c r="E15047" s="25"/>
      <c r="F15047" s="25"/>
      <c r="G15047" s="25"/>
    </row>
    <row r="15048" spans="1:7" ht="21.36" thickBot="1" customHeight="1">
      <c r="A15048" s="24" t="s">
        <v>47713</v>
      </c>
      <c r="B15048" s="24" t="s">
        <v>47714</v>
      </c>
      <c r="C15048" s="24" t="s">
        <v>47715</v>
      </c>
      <c r="D15048" s="25" t="s">
        <v>47716</v>
      </c>
      <c r="E15048" s="28">
        <v>7.50000</v>
      </c>
      <c r="F15048" s="29">
        <f ca="1">ROUND(0.590,3)</f>
        <v>0</v>
      </c>
      <c r="G15048" s="27">
        <f ca="1">ROUND(E15048*F15048,2)</f>
        <v>0</v>
      </c>
    </row>
    <row r="15049" spans="1:7" ht="39.84" thickBot="1" customHeight="1">
      <c r="A15049" s="24" t="s">
        <v>47717</v>
      </c>
      <c r="B15049" s="24" t="s">
        <v>47718</v>
      </c>
      <c r="C15049" s="24" t="s">
        <v>47719</v>
      </c>
      <c r="D15049" s="25" t="s">
        <v>47720</v>
      </c>
      <c r="E15049" s="28">
        <v>0.35784</v>
      </c>
      <c r="F15049" s="29">
        <f ca="1">ROUND(2.600,3)</f>
        <v>0</v>
      </c>
      <c r="G15049" s="27">
        <f ca="1">ROUND(E15049*F15049,2)</f>
        <v>0</v>
      </c>
    </row>
    <row r="15050" spans="1:7" ht="21.36" thickBot="1" customHeight="1">
      <c r="A15050" s="24" t="s">
        <v>47721</v>
      </c>
      <c r="B15050" s="24" t="s">
        <v>47722</v>
      </c>
      <c r="C15050" s="24" t="s">
        <v>47723</v>
      </c>
      <c r="D15050" s="25" t="s">
        <v>47724</v>
      </c>
      <c r="E15050" s="28">
        <v>0.50000</v>
      </c>
      <c r="F15050" s="29">
        <f ca="1">F15054</f>
        <v>0</v>
      </c>
      <c r="G15050" s="27">
        <f ca="1">ROUND(E15050*F15050,2)</f>
        <v>0</v>
      </c>
    </row>
    <row r="15051" spans="1:7" ht="24.36" thickBot="1" customHeight="1">
      <c r="A15051" s="24" t="s">
        <v>47725</v>
      </c>
      <c r="B15051" s="24" t="s">
        <v>47726</v>
      </c>
      <c r="C15051" s="24" t="s">
        <v>47727</v>
      </c>
      <c r="D15051" s="25" t="s">
        <v>47728</v>
      </c>
      <c r="E15051" s="28">
        <v>1.00000</v>
      </c>
      <c r="F15051" s="29">
        <f ca="1">ROUND(21.000,3)</f>
        <v>0</v>
      </c>
      <c r="G15051" s="27">
        <f ca="1">ROUND(E15051*F15051,2)</f>
        <v>0</v>
      </c>
    </row>
    <row r="15052" spans="1:7" ht="24.36" thickBot="1" customHeight="1">
      <c r="A15052" s="24" t="s">
        <v>47729</v>
      </c>
      <c r="B15052" s="24" t="s">
        <v>47730</v>
      </c>
      <c r="C15052" s="24" t="s">
        <v>47731</v>
      </c>
      <c r="D15052" s="25" t="s">
        <v>47732</v>
      </c>
      <c r="E15052" s="28">
        <v>1.00000</v>
      </c>
      <c r="F15052" s="29">
        <f ca="1">ROUND(19.000,3)</f>
        <v>0</v>
      </c>
      <c r="G15052" s="27">
        <f ca="1">ROUND(E15052*F15052,2)</f>
        <v>0</v>
      </c>
    </row>
    <row r="15053" spans="1:7" ht="24.36" thickBot="1" customHeight="1">
      <c r="A15053" s="24" t="s">
        <v>47733</v>
      </c>
      <c r="B15053" s="24" t="s">
        <v>47734</v>
      </c>
      <c r="C15053" s="24" t="s">
        <v>47735</v>
      </c>
      <c r="D15053" s="25" t="s">
        <v>47736</v>
      </c>
      <c r="E15053" s="28">
        <v>0.20000</v>
      </c>
      <c r="F15053" s="29">
        <f ca="1">ROUND(19.000,3)</f>
        <v>0</v>
      </c>
      <c r="G15053" s="27">
        <f ca="1">ROUND(E15053*F15053,2)</f>
        <v>0</v>
      </c>
    </row>
    <row r="15054" spans="1:7" ht="15.12" thickBot="1" customHeight="1">
      <c r="A15054" s="26"/>
      <c r="B15054" s="26"/>
      <c r="C15054" s="26"/>
      <c r="D15054" s="24" t="s">
        <v>47737</v>
      </c>
      <c r="E15054" s="28">
        <v>0.50000</v>
      </c>
      <c r="F15054" s="29">
        <f ca="1">ROUND((G15051+G15052+G15053),3)</f>
        <v>0</v>
      </c>
      <c r="G15054" s="27">
        <f ca="1">ROUND(E15054*F15054,2)</f>
        <v>0</v>
      </c>
    </row>
    <row r="15055" spans="1:7" ht="15.12" thickBot="1" customHeight="1">
      <c r="A15055" s="24" t="s">
        <v>47738</v>
      </c>
      <c r="B15055" s="24"/>
      <c r="C15055" s="24" t="s">
        <v>47739</v>
      </c>
      <c r="D15055" s="25" t="s">
        <v>47740</v>
      </c>
      <c r="E15055" s="28">
        <v>5.00000</v>
      </c>
      <c r="F15055" s="29">
        <f ca="1">ROUND(21.900,3)</f>
        <v>0</v>
      </c>
      <c r="G15055" s="27">
        <f ca="1">ROUND((E15055*F15055)/100,2)</f>
        <v>0</v>
      </c>
    </row>
    <row r="15056" spans="1:7" ht="15.48" thickBot="1" customHeight="1">
      <c r="A15056" s="30"/>
      <c r="B15056" s="30"/>
      <c r="C15056" s="30"/>
      <c r="D15056" s="31" t="s">
        <v>47741</v>
      </c>
      <c r="E15056" s="30"/>
      <c r="F15056" s="33">
        <f ca="1">ROUND((G15048+G15049+G15050+G15055)*(1+G2/100),2)</f>
        <v>0</v>
      </c>
      <c r="G15056" s="30"/>
    </row>
    <row r="15057" spans="1:7" ht="30.60" thickBot="1" customHeight="1">
      <c r="A15057" s="34" t="s">
        <v>47742</v>
      </c>
      <c r="B15057" s="35" t="s">
        <v>47743</v>
      </c>
      <c r="C15057" s="35" t="s">
        <v>47744</v>
      </c>
      <c r="D15057" s="36" t="s">
        <v>47745</v>
      </c>
      <c r="E15057" s="37"/>
      <c r="F15057" s="38">
        <f ca="1">ROUND(0.000*(1+G2/100),2)</f>
        <v>0</v>
      </c>
      <c r="G15057" s="37"/>
    </row>
    <row r="15058" spans="1:7" ht="21.36" thickBot="1" customHeight="1">
      <c r="A15058" s="26"/>
      <c r="B15058" s="26"/>
      <c r="C15058" s="26"/>
      <c r="D15058" s="25" t="s">
        <v>47746</v>
      </c>
      <c r="E15058" s="25"/>
      <c r="F15058" s="25"/>
      <c r="G15058" s="25"/>
    </row>
    <row r="15059" spans="1:7" ht="25.08" thickBot="1" customHeight="1">
      <c r="A15059" s="10" t="s">
        <v>47747</v>
      </c>
      <c r="B15059" s="24" t="s">
        <v>47748</v>
      </c>
      <c r="C15059" s="24" t="s">
        <v>47749</v>
      </c>
      <c r="D15059" s="25" t="s">
        <v>47750</v>
      </c>
      <c r="E15059" s="26"/>
      <c r="F15059" s="27">
        <f ca="1">F15073</f>
        <v>0</v>
      </c>
      <c r="G15059" s="26"/>
    </row>
    <row r="15060" spans="1:7" ht="12.12" thickBot="1" customHeight="1">
      <c r="A15060" s="26"/>
      <c r="B15060" s="26"/>
      <c r="C15060" s="26"/>
      <c r="D15060" s="25" t="s">
        <v>47751</v>
      </c>
      <c r="E15060" s="25"/>
      <c r="F15060" s="25"/>
      <c r="G15060" s="25"/>
    </row>
    <row r="15061" spans="1:7" ht="30.60" thickBot="1" customHeight="1">
      <c r="A15061" s="24" t="s">
        <v>47752</v>
      </c>
      <c r="B15061" s="24" t="s">
        <v>47753</v>
      </c>
      <c r="C15061" s="24" t="s">
        <v>47754</v>
      </c>
      <c r="D15061" s="25" t="s">
        <v>47755</v>
      </c>
      <c r="E15061" s="28">
        <v>2.00000</v>
      </c>
      <c r="F15061" s="29">
        <f ca="1">ROUND(3.740,3)</f>
        <v>0</v>
      </c>
      <c r="G15061" s="27">
        <f ca="1">ROUND(E15061*F15061,2)</f>
        <v>0</v>
      </c>
    </row>
    <row r="15062" spans="1:7" ht="39.84" thickBot="1" customHeight="1">
      <c r="A15062" s="24" t="s">
        <v>47756</v>
      </c>
      <c r="B15062" s="24" t="s">
        <v>47757</v>
      </c>
      <c r="C15062" s="24" t="s">
        <v>47758</v>
      </c>
      <c r="D15062" s="25" t="s">
        <v>47759</v>
      </c>
      <c r="E15062" s="28">
        <v>2.00000</v>
      </c>
      <c r="F15062" s="29">
        <f ca="1">ROUND(1.750,3)</f>
        <v>0</v>
      </c>
      <c r="G15062" s="27">
        <f ca="1">ROUND(E15062*F15062,2)</f>
        <v>0</v>
      </c>
    </row>
    <row r="15063" spans="1:7" ht="30.60" thickBot="1" customHeight="1">
      <c r="A15063" s="24" t="s">
        <v>47760</v>
      </c>
      <c r="B15063" s="24" t="s">
        <v>47761</v>
      </c>
      <c r="C15063" s="24" t="s">
        <v>47762</v>
      </c>
      <c r="D15063" s="25" t="s">
        <v>47763</v>
      </c>
      <c r="E15063" s="28">
        <v>1.00000</v>
      </c>
      <c r="F15063" s="29">
        <f ca="1">ROUND(8.810,3)</f>
        <v>0</v>
      </c>
      <c r="G15063" s="27">
        <f ca="1">ROUND(E15063*F15063,2)</f>
        <v>0</v>
      </c>
    </row>
    <row r="15064" spans="1:7" ht="39.84" thickBot="1" customHeight="1">
      <c r="A15064" s="24" t="s">
        <v>47764</v>
      </c>
      <c r="B15064" s="24" t="s">
        <v>47765</v>
      </c>
      <c r="C15064" s="24" t="s">
        <v>47766</v>
      </c>
      <c r="D15064" s="25" t="s">
        <v>47767</v>
      </c>
      <c r="E15064" s="28">
        <v>7.00000</v>
      </c>
      <c r="F15064" s="29">
        <f ca="1">ROUND(10.700,3)</f>
        <v>0</v>
      </c>
      <c r="G15064" s="27">
        <f ca="1">ROUND(E15064*F15064,2)</f>
        <v>0</v>
      </c>
    </row>
    <row r="15065" spans="1:7" ht="30.60" thickBot="1" customHeight="1">
      <c r="A15065" s="24" t="s">
        <v>47768</v>
      </c>
      <c r="B15065" s="24" t="s">
        <v>47769</v>
      </c>
      <c r="C15065" s="24" t="s">
        <v>47770</v>
      </c>
      <c r="D15065" s="25" t="s">
        <v>47771</v>
      </c>
      <c r="E15065" s="28">
        <v>0.40000</v>
      </c>
      <c r="F15065" s="29">
        <f ca="1">ROUND(8.350,3)</f>
        <v>0</v>
      </c>
      <c r="G15065" s="27">
        <f ca="1">ROUND(E15065*F15065,2)</f>
        <v>0</v>
      </c>
    </row>
    <row r="15066" spans="1:7" ht="30.60" thickBot="1" customHeight="1">
      <c r="A15066" s="24" t="s">
        <v>47772</v>
      </c>
      <c r="B15066" s="24" t="s">
        <v>47773</v>
      </c>
      <c r="C15066" s="24" t="s">
        <v>47774</v>
      </c>
      <c r="D15066" s="25" t="s">
        <v>47775</v>
      </c>
      <c r="E15066" s="28">
        <v>0.22000</v>
      </c>
      <c r="F15066" s="29">
        <f ca="1">ROUND(11.740,3)</f>
        <v>0</v>
      </c>
      <c r="G15066" s="27">
        <f ca="1">ROUND(E15066*F15066,2)</f>
        <v>0</v>
      </c>
    </row>
    <row r="15067" spans="1:7" ht="21.36" thickBot="1" customHeight="1">
      <c r="A15067" s="24" t="s">
        <v>47776</v>
      </c>
      <c r="B15067" s="24" t="s">
        <v>47777</v>
      </c>
      <c r="C15067" s="24" t="s">
        <v>47778</v>
      </c>
      <c r="D15067" s="25" t="s">
        <v>47779</v>
      </c>
      <c r="E15067" s="28">
        <v>4.00000</v>
      </c>
      <c r="F15067" s="29">
        <f ca="1">F15071</f>
        <v>0</v>
      </c>
      <c r="G15067" s="27">
        <f ca="1">ROUND(E15067*F15067,2)</f>
        <v>0</v>
      </c>
    </row>
    <row r="15068" spans="1:7" ht="24.36" thickBot="1" customHeight="1">
      <c r="A15068" s="24" t="s">
        <v>47780</v>
      </c>
      <c r="B15068" s="24" t="s">
        <v>47781</v>
      </c>
      <c r="C15068" s="24" t="s">
        <v>47782</v>
      </c>
      <c r="D15068" s="25" t="s">
        <v>47783</v>
      </c>
      <c r="E15068" s="28">
        <v>1.00000</v>
      </c>
      <c r="F15068" s="29">
        <f ca="1">ROUND(21.000,3)</f>
        <v>0</v>
      </c>
      <c r="G15068" s="27">
        <f ca="1">ROUND(E15068*F15068,2)</f>
        <v>0</v>
      </c>
    </row>
    <row r="15069" spans="1:7" ht="24.36" thickBot="1" customHeight="1">
      <c r="A15069" s="24" t="s">
        <v>47784</v>
      </c>
      <c r="B15069" s="24" t="s">
        <v>47785</v>
      </c>
      <c r="C15069" s="24" t="s">
        <v>47786</v>
      </c>
      <c r="D15069" s="25" t="s">
        <v>47787</v>
      </c>
      <c r="E15069" s="28">
        <v>1.00000</v>
      </c>
      <c r="F15069" s="29">
        <f ca="1">ROUND(19.000,3)</f>
        <v>0</v>
      </c>
      <c r="G15069" s="27">
        <f ca="1">ROUND(E15069*F15069,2)</f>
        <v>0</v>
      </c>
    </row>
    <row r="15070" spans="1:7" ht="24.36" thickBot="1" customHeight="1">
      <c r="A15070" s="24" t="s">
        <v>47788</v>
      </c>
      <c r="B15070" s="24" t="s">
        <v>47789</v>
      </c>
      <c r="C15070" s="24" t="s">
        <v>47790</v>
      </c>
      <c r="D15070" s="25" t="s">
        <v>47791</v>
      </c>
      <c r="E15070" s="28">
        <v>0.20000</v>
      </c>
      <c r="F15070" s="29">
        <f ca="1">ROUND(19.000,3)</f>
        <v>0</v>
      </c>
      <c r="G15070" s="27">
        <f ca="1">ROUND(E15070*F15070,2)</f>
        <v>0</v>
      </c>
    </row>
    <row r="15071" spans="1:7" ht="15.12" thickBot="1" customHeight="1">
      <c r="A15071" s="26"/>
      <c r="B15071" s="26"/>
      <c r="C15071" s="26"/>
      <c r="D15071" s="24" t="s">
        <v>47792</v>
      </c>
      <c r="E15071" s="28">
        <v>4.00000</v>
      </c>
      <c r="F15071" s="29">
        <f ca="1">ROUND((G15068+G15069+G15070),3)</f>
        <v>0</v>
      </c>
      <c r="G15071" s="27">
        <f ca="1">ROUND(E15071*F15071,2)</f>
        <v>0</v>
      </c>
    </row>
    <row r="15072" spans="1:7" ht="15.12" thickBot="1" customHeight="1">
      <c r="A15072" s="24" t="s">
        <v>47793</v>
      </c>
      <c r="B15072" s="24"/>
      <c r="C15072" s="24" t="s">
        <v>47794</v>
      </c>
      <c r="D15072" s="25" t="s">
        <v>47795</v>
      </c>
      <c r="E15072" s="28">
        <v>5.00000</v>
      </c>
      <c r="F15072" s="29">
        <f ca="1">ROUND(175.200,3)</f>
        <v>0</v>
      </c>
      <c r="G15072" s="27">
        <f ca="1">ROUND((E15072*F15072)/100,2)</f>
        <v>0</v>
      </c>
    </row>
    <row r="15073" spans="1:7" ht="15.48" thickBot="1" customHeight="1">
      <c r="A15073" s="30"/>
      <c r="B15073" s="30"/>
      <c r="C15073" s="30"/>
      <c r="D15073" s="31" t="s">
        <v>47796</v>
      </c>
      <c r="E15073" s="30"/>
      <c r="F15073" s="33">
        <f ca="1">ROUND((G15061+G15062+G15063+G15064+G15065+G15066+G15067+G15072)*(1+G2/100),2)</f>
        <v>0</v>
      </c>
      <c r="G15073" s="30"/>
    </row>
    <row r="15074" spans="1:7" ht="21.36" thickBot="1" customHeight="1">
      <c r="A15074" s="34" t="s">
        <v>47797</v>
      </c>
      <c r="B15074" s="35" t="s">
        <v>47798</v>
      </c>
      <c r="C15074" s="35" t="s">
        <v>47799</v>
      </c>
      <c r="D15074" s="36" t="s">
        <v>47800</v>
      </c>
      <c r="E15074" s="37"/>
      <c r="F15074" s="38">
        <f ca="1">F15080</f>
        <v>0</v>
      </c>
      <c r="G15074" s="37"/>
    </row>
    <row r="15075" spans="1:7" ht="39.84" thickBot="1" customHeight="1">
      <c r="A15075" s="26"/>
      <c r="B15075" s="26"/>
      <c r="C15075" s="26"/>
      <c r="D15075" s="25" t="s">
        <v>47801</v>
      </c>
      <c r="E15075" s="25"/>
      <c r="F15075" s="25"/>
      <c r="G15075" s="25"/>
    </row>
    <row r="15076" spans="1:7" ht="21.36" thickBot="1" customHeight="1">
      <c r="A15076" s="24" t="s">
        <v>47802</v>
      </c>
      <c r="B15076" s="24" t="s">
        <v>47803</v>
      </c>
      <c r="C15076" s="24" t="s">
        <v>47804</v>
      </c>
      <c r="D15076" s="25" t="s">
        <v>47805</v>
      </c>
      <c r="E15076" s="28">
        <v>0.05000</v>
      </c>
      <c r="F15076" s="29">
        <f ca="1">ROUND(5.160,3)</f>
        <v>0</v>
      </c>
      <c r="G15076" s="27">
        <f ca="1">ROUND(E15076*F15076,2)</f>
        <v>0</v>
      </c>
    </row>
    <row r="15077" spans="1:7" ht="21.36" thickBot="1" customHeight="1">
      <c r="A15077" s="24" t="s">
        <v>47806</v>
      </c>
      <c r="B15077" s="24" t="s">
        <v>47807</v>
      </c>
      <c r="C15077" s="24" t="s">
        <v>47808</v>
      </c>
      <c r="D15077" s="25" t="s">
        <v>47809</v>
      </c>
      <c r="E15077" s="28">
        <v>0.02220</v>
      </c>
      <c r="F15077" s="29">
        <f ca="1">ROUND(6.270,3)</f>
        <v>0</v>
      </c>
      <c r="G15077" s="27">
        <f ca="1">ROUND(E15077*F15077,2)</f>
        <v>0</v>
      </c>
    </row>
    <row r="15078" spans="1:7" ht="21.36" thickBot="1" customHeight="1">
      <c r="A15078" s="24" t="s">
        <v>47810</v>
      </c>
      <c r="B15078" s="24" t="s">
        <v>47811</v>
      </c>
      <c r="C15078" s="24" t="s">
        <v>47812</v>
      </c>
      <c r="D15078" s="25" t="s">
        <v>47813</v>
      </c>
      <c r="E15078" s="28">
        <v>126.00000</v>
      </c>
      <c r="F15078" s="29">
        <f ca="1">ROUND(0.250,3)</f>
        <v>0</v>
      </c>
      <c r="G15078" s="27">
        <f ca="1">ROUND(E15078*F15078,2)</f>
        <v>0</v>
      </c>
    </row>
    <row r="15079" spans="1:7" ht="24.36" thickBot="1" customHeight="1">
      <c r="A15079" s="24" t="s">
        <v>47814</v>
      </c>
      <c r="B15079" s="24" t="s">
        <v>47815</v>
      </c>
      <c r="C15079" s="24" t="s">
        <v>47816</v>
      </c>
      <c r="D15079" s="25" t="s">
        <v>47817</v>
      </c>
      <c r="E15079" s="28">
        <v>0.20000</v>
      </c>
      <c r="F15079" s="29">
        <f ca="1">ROUND(49.500,3)</f>
        <v>0</v>
      </c>
      <c r="G15079" s="27">
        <f ca="1">ROUND(E15079*F15079,2)</f>
        <v>0</v>
      </c>
    </row>
    <row r="15080" spans="1:7" ht="15.48" thickBot="1" customHeight="1">
      <c r="A15080" s="30"/>
      <c r="B15080" s="30"/>
      <c r="C15080" s="30"/>
      <c r="D15080" s="31" t="s">
        <v>47818</v>
      </c>
      <c r="E15080" s="30"/>
      <c r="F15080" s="33">
        <f ca="1">ROUND((G15076+G15077+G15078+G15079)*(1+G2/100),2)</f>
        <v>0</v>
      </c>
      <c r="G15080" s="30"/>
    </row>
    <row r="15081" spans="1:7" ht="21.36" thickBot="1" customHeight="1">
      <c r="A15081" s="34" t="s">
        <v>47819</v>
      </c>
      <c r="B15081" s="35" t="s">
        <v>47820</v>
      </c>
      <c r="C15081" s="35" t="s">
        <v>47821</v>
      </c>
      <c r="D15081" s="36" t="s">
        <v>47822</v>
      </c>
      <c r="E15081" s="37"/>
      <c r="F15081" s="38">
        <f ca="1">F15090</f>
        <v>0</v>
      </c>
      <c r="G15081" s="37"/>
    </row>
    <row r="15082" spans="1:7" ht="39.84" thickBot="1" customHeight="1">
      <c r="A15082" s="26"/>
      <c r="B15082" s="26"/>
      <c r="C15082" s="26"/>
      <c r="D15082" s="25" t="s">
        <v>47823</v>
      </c>
      <c r="E15082" s="25"/>
      <c r="F15082" s="25"/>
      <c r="G15082" s="25"/>
    </row>
    <row r="15083" spans="1:7" ht="30.60" thickBot="1" customHeight="1">
      <c r="A15083" s="24" t="s">
        <v>47824</v>
      </c>
      <c r="B15083" s="24" t="s">
        <v>47825</v>
      </c>
      <c r="C15083" s="24" t="s">
        <v>47826</v>
      </c>
      <c r="D15083" s="25" t="s">
        <v>47827</v>
      </c>
      <c r="E15083" s="28">
        <v>0.06660</v>
      </c>
      <c r="F15083" s="29">
        <f ca="1">ROUND(110.660,3)</f>
        <v>0</v>
      </c>
      <c r="G15083" s="27">
        <f ca="1">ROUND(E15083*F15083,2)</f>
        <v>0</v>
      </c>
    </row>
    <row r="15084" spans="1:7" ht="24.36" thickBot="1" customHeight="1">
      <c r="A15084" s="24" t="s">
        <v>47828</v>
      </c>
      <c r="B15084" s="24" t="s">
        <v>47829</v>
      </c>
      <c r="C15084" s="24" t="s">
        <v>47830</v>
      </c>
      <c r="D15084" s="25" t="s">
        <v>47831</v>
      </c>
      <c r="E15084" s="28">
        <v>0.11000</v>
      </c>
      <c r="F15084" s="29">
        <f ca="1">ROUND(4.630,3)</f>
        <v>0</v>
      </c>
      <c r="G15084" s="27">
        <f ca="1">ROUND(E15084*F15084,2)</f>
        <v>0</v>
      </c>
    </row>
    <row r="15085" spans="1:7" ht="21.36" thickBot="1" customHeight="1">
      <c r="A15085" s="24" t="s">
        <v>47832</v>
      </c>
      <c r="B15085" s="24" t="s">
        <v>47833</v>
      </c>
      <c r="C15085" s="24" t="s">
        <v>47834</v>
      </c>
      <c r="D15085" s="25" t="s">
        <v>47835</v>
      </c>
      <c r="E15085" s="28">
        <v>0.35000</v>
      </c>
      <c r="F15085" s="29">
        <f ca="1">F15089</f>
        <v>0</v>
      </c>
      <c r="G15085" s="27">
        <f ca="1">ROUND(E15085*F15085,2)</f>
        <v>0</v>
      </c>
    </row>
    <row r="15086" spans="1:7" ht="24.36" thickBot="1" customHeight="1">
      <c r="A15086" s="24" t="s">
        <v>47836</v>
      </c>
      <c r="B15086" s="24" t="s">
        <v>47837</v>
      </c>
      <c r="C15086" s="24" t="s">
        <v>47838</v>
      </c>
      <c r="D15086" s="25" t="s">
        <v>47839</v>
      </c>
      <c r="E15086" s="28">
        <v>1.00000</v>
      </c>
      <c r="F15086" s="29">
        <f ca="1">ROUND(21.000,3)</f>
        <v>0</v>
      </c>
      <c r="G15086" s="27">
        <f ca="1">ROUND(E15086*F15086,2)</f>
        <v>0</v>
      </c>
    </row>
    <row r="15087" spans="1:7" ht="24.36" thickBot="1" customHeight="1">
      <c r="A15087" s="24" t="s">
        <v>47840</v>
      </c>
      <c r="B15087" s="24" t="s">
        <v>47841</v>
      </c>
      <c r="C15087" s="24" t="s">
        <v>47842</v>
      </c>
      <c r="D15087" s="25" t="s">
        <v>47843</v>
      </c>
      <c r="E15087" s="28">
        <v>1.00000</v>
      </c>
      <c r="F15087" s="29">
        <f ca="1">ROUND(19.000,3)</f>
        <v>0</v>
      </c>
      <c r="G15087" s="27">
        <f ca="1">ROUND(E15087*F15087,2)</f>
        <v>0</v>
      </c>
    </row>
    <row r="15088" spans="1:7" ht="24.36" thickBot="1" customHeight="1">
      <c r="A15088" s="24" t="s">
        <v>47844</v>
      </c>
      <c r="B15088" s="24" t="s">
        <v>47845</v>
      </c>
      <c r="C15088" s="24" t="s">
        <v>47846</v>
      </c>
      <c r="D15088" s="25" t="s">
        <v>47847</v>
      </c>
      <c r="E15088" s="28">
        <v>0.20000</v>
      </c>
      <c r="F15088" s="29">
        <f ca="1">ROUND(19.000,3)</f>
        <v>0</v>
      </c>
      <c r="G15088" s="27">
        <f ca="1">ROUND(E15088*F15088,2)</f>
        <v>0</v>
      </c>
    </row>
    <row r="15089" spans="1:7" ht="15.12" thickBot="1" customHeight="1">
      <c r="A15089" s="26"/>
      <c r="B15089" s="26"/>
      <c r="C15089" s="26"/>
      <c r="D15089" s="24" t="s">
        <v>47848</v>
      </c>
      <c r="E15089" s="28">
        <v>0.35000</v>
      </c>
      <c r="F15089" s="29">
        <f ca="1">ROUND((G15086+G15087+G15088),3)</f>
        <v>0</v>
      </c>
      <c r="G15089" s="27">
        <f ca="1">ROUND(E15089*F15089,2)</f>
        <v>0</v>
      </c>
    </row>
    <row r="15090" spans="1:7" ht="15.48" thickBot="1" customHeight="1">
      <c r="A15090" s="30"/>
      <c r="B15090" s="30"/>
      <c r="C15090" s="30"/>
      <c r="D15090" s="31" t="s">
        <v>47849</v>
      </c>
      <c r="E15090" s="30"/>
      <c r="F15090" s="33">
        <f ca="1">ROUND((G15083+G15084+G15085)*(1+G2/100),2)</f>
        <v>0</v>
      </c>
      <c r="G15090" s="30"/>
    </row>
    <row r="15091" spans="1:7" ht="15.48" thickBot="1" customHeight="1">
      <c r="A15091" s="39"/>
      <c r="B15091" s="39"/>
      <c r="C15091" s="39"/>
      <c r="D15091" s="55" t="s">
        <v>47850</v>
      </c>
      <c r="E15091" s="56"/>
      <c r="F15091" s="56"/>
      <c r="G15091" s="56"/>
    </row>
    <row r="15092" spans="1:7" ht="22.08" thickBot="1" customHeight="1">
      <c r="A15092" s="57" t="s">
        <v>47851</v>
      </c>
      <c r="B15092" s="57" t="s">
        <v>47852</v>
      </c>
      <c r="C15092" s="58"/>
      <c r="D15092" s="59" t="s">
        <v>47853</v>
      </c>
      <c r="E15092" s="58"/>
      <c r="F15092" s="58"/>
      <c r="G15092" s="58"/>
    </row>
    <row r="15093" spans="1:7" ht="25.08" thickBot="1" customHeight="1">
      <c r="A15093" s="10" t="s">
        <v>47854</v>
      </c>
      <c r="B15093" s="24" t="s">
        <v>47855</v>
      </c>
      <c r="C15093" s="24" t="s">
        <v>47856</v>
      </c>
      <c r="D15093" s="25" t="s">
        <v>47857</v>
      </c>
      <c r="E15093" s="26"/>
      <c r="F15093" s="27">
        <f ca="1">ROUND(11.020*(1+G2/100),2)</f>
        <v>0</v>
      </c>
      <c r="G15093" s="26"/>
    </row>
    <row r="15094" spans="1:7" ht="12.12" thickBot="1" customHeight="1">
      <c r="A15094" s="26"/>
      <c r="B15094" s="26"/>
      <c r="C15094" s="26"/>
      <c r="D15094" s="25" t="s">
        <v>47858</v>
      </c>
      <c r="E15094" s="25"/>
      <c r="F15094" s="25"/>
      <c r="G15094" s="25"/>
    </row>
    <row r="15095" spans="1:7" ht="25.08" thickBot="1" customHeight="1">
      <c r="A15095" s="10" t="s">
        <v>47859</v>
      </c>
      <c r="B15095" s="24" t="s">
        <v>47860</v>
      </c>
      <c r="C15095" s="24" t="s">
        <v>47861</v>
      </c>
      <c r="D15095" s="25" t="s">
        <v>47862</v>
      </c>
      <c r="E15095" s="26"/>
      <c r="F15095" s="27">
        <f ca="1">ROUND(200.000*(1+G2/100),2)</f>
        <v>0</v>
      </c>
      <c r="G15095" s="26"/>
    </row>
    <row r="15096" spans="1:7" ht="12.12" thickBot="1" customHeight="1">
      <c r="A15096" s="26"/>
      <c r="B15096" s="26"/>
      <c r="C15096" s="26"/>
      <c r="D15096" s="25" t="s">
        <v>47863</v>
      </c>
      <c r="E15096" s="25"/>
      <c r="F15096" s="25"/>
      <c r="G15096" s="25"/>
    </row>
    <row r="15097" spans="1:7" ht="39.84" thickBot="1" customHeight="1">
      <c r="A15097" s="10" t="s">
        <v>47864</v>
      </c>
      <c r="B15097" s="24" t="s">
        <v>47865</v>
      </c>
      <c r="C15097" s="24" t="s">
        <v>47866</v>
      </c>
      <c r="D15097" s="25" t="s">
        <v>47867</v>
      </c>
      <c r="E15097" s="26"/>
      <c r="F15097" s="27">
        <f ca="1">ROUND(1.750*(1+G2/100),2)</f>
        <v>0</v>
      </c>
      <c r="G15097" s="26"/>
    </row>
    <row r="15098" spans="1:7" ht="141.48" thickBot="1" customHeight="1">
      <c r="A15098" s="26"/>
      <c r="B15098" s="26"/>
      <c r="C15098" s="26"/>
      <c r="D15098" s="25" t="s">
        <v>47868</v>
      </c>
      <c r="E15098" s="25"/>
      <c r="F15098" s="25"/>
      <c r="G15098" s="25"/>
    </row>
    <row r="15099" spans="1:7" ht="39.84" thickBot="1" customHeight="1">
      <c r="A15099" s="10" t="s">
        <v>47869</v>
      </c>
      <c r="B15099" s="24" t="s">
        <v>47870</v>
      </c>
      <c r="C15099" s="24" t="s">
        <v>47871</v>
      </c>
      <c r="D15099" s="25" t="s">
        <v>47872</v>
      </c>
      <c r="E15099" s="26"/>
      <c r="F15099" s="27">
        <f ca="1">ROUND(22.000*(1+G2/100),2)</f>
        <v>0</v>
      </c>
      <c r="G15099" s="26"/>
    </row>
    <row r="15100" spans="1:7" ht="21.36" thickBot="1" customHeight="1">
      <c r="A15100" s="26"/>
      <c r="B15100" s="26"/>
      <c r="C15100" s="26"/>
      <c r="D15100" s="25" t="s">
        <v>47873</v>
      </c>
      <c r="E15100" s="25"/>
      <c r="F15100" s="25"/>
      <c r="G15100" s="25"/>
    </row>
    <row r="15101" spans="1:7" ht="39.84" thickBot="1" customHeight="1">
      <c r="A15101" s="10" t="s">
        <v>47874</v>
      </c>
      <c r="B15101" s="24" t="s">
        <v>47875</v>
      </c>
      <c r="C15101" s="24" t="s">
        <v>47876</v>
      </c>
      <c r="D15101" s="25" t="s">
        <v>47877</v>
      </c>
      <c r="E15101" s="26"/>
      <c r="F15101" s="27">
        <f ca="1">ROUND(3.550*(1+G2/100),2)</f>
        <v>0</v>
      </c>
      <c r="G15101" s="26"/>
    </row>
    <row r="15102" spans="1:7" ht="21.36" thickBot="1" customHeight="1">
      <c r="A15102" s="26"/>
      <c r="B15102" s="26"/>
      <c r="C15102" s="26"/>
      <c r="D15102" s="25" t="s">
        <v>47878</v>
      </c>
      <c r="E15102" s="25"/>
      <c r="F15102" s="25"/>
      <c r="G15102" s="25"/>
    </row>
    <row r="15103" spans="1:7" ht="39.84" thickBot="1" customHeight="1">
      <c r="A15103" s="10" t="s">
        <v>47879</v>
      </c>
      <c r="B15103" s="24" t="s">
        <v>47880</v>
      </c>
      <c r="C15103" s="24" t="s">
        <v>47881</v>
      </c>
      <c r="D15103" s="25" t="s">
        <v>47882</v>
      </c>
      <c r="E15103" s="26"/>
      <c r="F15103" s="27">
        <f ca="1">ROUND(42.000*(1+G2/100),2)</f>
        <v>0</v>
      </c>
      <c r="G15103" s="26"/>
    </row>
    <row r="15104" spans="1:7" ht="21.36" thickBot="1" customHeight="1">
      <c r="A15104" s="26"/>
      <c r="B15104" s="26"/>
      <c r="C15104" s="26"/>
      <c r="D15104" s="25" t="s">
        <v>47883</v>
      </c>
      <c r="E15104" s="25"/>
      <c r="F15104" s="25"/>
      <c r="G15104" s="25"/>
    </row>
    <row r="15105" spans="1:7" ht="39.84" thickBot="1" customHeight="1">
      <c r="A15105" s="10" t="s">
        <v>47884</v>
      </c>
      <c r="B15105" s="24" t="s">
        <v>47885</v>
      </c>
      <c r="C15105" s="24" t="s">
        <v>47886</v>
      </c>
      <c r="D15105" s="25" t="s">
        <v>47887</v>
      </c>
      <c r="E15105" s="26"/>
      <c r="F15105" s="27">
        <f ca="1">ROUND(4.170*(1+G2/100),2)</f>
        <v>0</v>
      </c>
      <c r="G15105" s="26"/>
    </row>
    <row r="15106" spans="1:7" ht="21.36" thickBot="1" customHeight="1">
      <c r="A15106" s="26"/>
      <c r="B15106" s="26"/>
      <c r="C15106" s="26"/>
      <c r="D15106" s="25" t="s">
        <v>47888</v>
      </c>
      <c r="E15106" s="25"/>
      <c r="F15106" s="25"/>
      <c r="G15106" s="25"/>
    </row>
    <row r="15107" spans="1:7" ht="25.08" thickBot="1" customHeight="1">
      <c r="A15107" s="10" t="s">
        <v>47889</v>
      </c>
      <c r="B15107" s="24" t="s">
        <v>47890</v>
      </c>
      <c r="C15107" s="24" t="s">
        <v>47891</v>
      </c>
      <c r="D15107" s="25" t="s">
        <v>47892</v>
      </c>
      <c r="E15107" s="26"/>
      <c r="F15107" s="27">
        <f ca="1">ROUND(11.500*(1+G2/100),2)</f>
        <v>0</v>
      </c>
      <c r="G15107" s="26"/>
    </row>
    <row r="15108" spans="1:7" ht="187.68" thickBot="1" customHeight="1">
      <c r="A15108" s="26"/>
      <c r="B15108" s="26"/>
      <c r="C15108" s="26"/>
      <c r="D15108" s="25" t="s">
        <v>47893</v>
      </c>
      <c r="E15108" s="25"/>
      <c r="F15108" s="25"/>
      <c r="G15108" s="25"/>
    </row>
    <row r="15109" spans="1:7" ht="39.84" thickBot="1" customHeight="1">
      <c r="A15109" s="10" t="s">
        <v>47894</v>
      </c>
      <c r="B15109" s="24" t="s">
        <v>47895</v>
      </c>
      <c r="C15109" s="24" t="s">
        <v>47896</v>
      </c>
      <c r="D15109" s="25" t="s">
        <v>47897</v>
      </c>
      <c r="E15109" s="26"/>
      <c r="F15109" s="27">
        <f ca="1">ROUND(10.500*(1+G2/100),2)</f>
        <v>0</v>
      </c>
      <c r="G15109" s="26"/>
    </row>
    <row r="15110" spans="1:7" ht="39.84" thickBot="1" customHeight="1">
      <c r="A15110" s="26"/>
      <c r="B15110" s="26"/>
      <c r="C15110" s="26"/>
      <c r="D15110" s="25" t="s">
        <v>47898</v>
      </c>
      <c r="E15110" s="25"/>
      <c r="F15110" s="25"/>
      <c r="G15110" s="25"/>
    </row>
    <row r="15111" spans="1:7" ht="30.60" thickBot="1" customHeight="1">
      <c r="A15111" s="10" t="s">
        <v>47899</v>
      </c>
      <c r="B15111" s="24" t="s">
        <v>47900</v>
      </c>
      <c r="C15111" s="24" t="s">
        <v>47901</v>
      </c>
      <c r="D15111" s="25" t="s">
        <v>47902</v>
      </c>
      <c r="E15111" s="26"/>
      <c r="F15111" s="27">
        <f ca="1">ROUND(2.000*(1+G2/100),2)</f>
        <v>0</v>
      </c>
      <c r="G15111" s="26"/>
    </row>
    <row r="15112" spans="1:7" ht="12.12" thickBot="1" customHeight="1">
      <c r="A15112" s="26"/>
      <c r="B15112" s="26"/>
      <c r="C15112" s="26"/>
      <c r="D15112" s="25" t="s">
        <v>47903</v>
      </c>
      <c r="E15112" s="25"/>
      <c r="F15112" s="25"/>
      <c r="G15112" s="25"/>
    </row>
    <row r="15113" spans="1:7" ht="30.60" thickBot="1" customHeight="1">
      <c r="A15113" s="10" t="s">
        <v>47904</v>
      </c>
      <c r="B15113" s="24" t="s">
        <v>47905</v>
      </c>
      <c r="C15113" s="24" t="s">
        <v>47906</v>
      </c>
      <c r="D15113" s="25" t="s">
        <v>47907</v>
      </c>
      <c r="E15113" s="26"/>
      <c r="F15113" s="27">
        <f ca="1">ROUND(5.280*(1+G2/100),2)</f>
        <v>0</v>
      </c>
      <c r="G15113" s="26"/>
    </row>
    <row r="15114" spans="1:7" ht="123.00" thickBot="1" customHeight="1">
      <c r="A15114" s="26"/>
      <c r="B15114" s="26"/>
      <c r="C15114" s="26"/>
      <c r="D15114" s="25" t="s">
        <v>47908</v>
      </c>
      <c r="E15114" s="25"/>
      <c r="F15114" s="25"/>
      <c r="G15114" s="25"/>
    </row>
    <row r="15115" spans="1:7" ht="39.84" thickBot="1" customHeight="1">
      <c r="A15115" s="10" t="s">
        <v>47909</v>
      </c>
      <c r="B15115" s="24" t="s">
        <v>47910</v>
      </c>
      <c r="C15115" s="24" t="s">
        <v>47911</v>
      </c>
      <c r="D15115" s="25" t="s">
        <v>47912</v>
      </c>
      <c r="E15115" s="26"/>
      <c r="F15115" s="27">
        <f ca="1">ROUND(7.565*(1+G2/100),2)</f>
        <v>0</v>
      </c>
      <c r="G15115" s="26"/>
    </row>
    <row r="15116" spans="1:7" ht="12.12" thickBot="1" customHeight="1">
      <c r="A15116" s="26"/>
      <c r="B15116" s="26"/>
      <c r="C15116" s="26"/>
      <c r="D15116" s="25" t="s">
        <v>47913</v>
      </c>
      <c r="E15116" s="25"/>
      <c r="F15116" s="25"/>
      <c r="G15116" s="25"/>
    </row>
    <row r="15117" spans="1:7" ht="30.60" thickBot="1" customHeight="1">
      <c r="A15117" s="10" t="s">
        <v>47914</v>
      </c>
      <c r="B15117" s="24" t="s">
        <v>47915</v>
      </c>
      <c r="C15117" s="24" t="s">
        <v>47916</v>
      </c>
      <c r="D15117" s="25" t="s">
        <v>47917</v>
      </c>
      <c r="E15117" s="26"/>
      <c r="F15117" s="27">
        <f ca="1">ROUND(2.570*(1+G2/100),2)</f>
        <v>0</v>
      </c>
      <c r="G15117" s="26"/>
    </row>
    <row r="15118" spans="1:7" ht="12.12" thickBot="1" customHeight="1">
      <c r="A15118" s="26"/>
      <c r="B15118" s="26"/>
      <c r="C15118" s="26"/>
      <c r="D15118" s="25" t="s">
        <v>47918</v>
      </c>
      <c r="E15118" s="25"/>
      <c r="F15118" s="25"/>
      <c r="G15118" s="25"/>
    </row>
    <row r="15119" spans="1:7" ht="30.60" thickBot="1" customHeight="1">
      <c r="A15119" s="10" t="s">
        <v>47919</v>
      </c>
      <c r="B15119" s="24" t="s">
        <v>47920</v>
      </c>
      <c r="C15119" s="24" t="s">
        <v>47921</v>
      </c>
      <c r="D15119" s="25" t="s">
        <v>47922</v>
      </c>
      <c r="E15119" s="26"/>
      <c r="F15119" s="27">
        <f ca="1">ROUND(1.280*(1+G2/100),2)</f>
        <v>0</v>
      </c>
      <c r="G15119" s="26"/>
    </row>
    <row r="15120" spans="1:7" ht="12.12" thickBot="1" customHeight="1">
      <c r="A15120" s="26"/>
      <c r="B15120" s="26"/>
      <c r="C15120" s="26"/>
      <c r="D15120" s="25" t="s">
        <v>47923</v>
      </c>
      <c r="E15120" s="25"/>
      <c r="F15120" s="25"/>
      <c r="G15120" s="25"/>
    </row>
    <row r="15121" spans="1:7" ht="25.08" thickBot="1" customHeight="1">
      <c r="A15121" s="10" t="s">
        <v>47924</v>
      </c>
      <c r="B15121" s="24" t="s">
        <v>47925</v>
      </c>
      <c r="C15121" s="24" t="s">
        <v>47926</v>
      </c>
      <c r="D15121" s="25" t="s">
        <v>47927</v>
      </c>
      <c r="E15121" s="26"/>
      <c r="F15121" s="27">
        <f ca="1">ROUND(1.100*(1+G2/100),2)</f>
        <v>0</v>
      </c>
      <c r="G15121" s="26"/>
    </row>
    <row r="15122" spans="1:7" ht="21.36" thickBot="1" customHeight="1">
      <c r="A15122" s="26"/>
      <c r="B15122" s="26"/>
      <c r="C15122" s="26"/>
      <c r="D15122" s="25" t="s">
        <v>47928</v>
      </c>
      <c r="E15122" s="25"/>
      <c r="F15122" s="25"/>
      <c r="G15122" s="25"/>
    </row>
    <row r="15123" spans="1:7" ht="30.60" thickBot="1" customHeight="1">
      <c r="A15123" s="10" t="s">
        <v>47929</v>
      </c>
      <c r="B15123" s="24" t="s">
        <v>47930</v>
      </c>
      <c r="C15123" s="24" t="s">
        <v>47931</v>
      </c>
      <c r="D15123" s="25" t="s">
        <v>47932</v>
      </c>
      <c r="E15123" s="26"/>
      <c r="F15123" s="27">
        <f ca="1">F15126</f>
        <v>0</v>
      </c>
      <c r="G15123" s="26"/>
    </row>
    <row r="15124" spans="1:7" ht="12.12" thickBot="1" customHeight="1">
      <c r="A15124" s="26"/>
      <c r="B15124" s="26"/>
      <c r="C15124" s="26"/>
      <c r="D15124" s="25" t="s">
        <v>47933</v>
      </c>
      <c r="E15124" s="25"/>
      <c r="F15124" s="25"/>
      <c r="G15124" s="25"/>
    </row>
    <row r="15125" spans="1:7" ht="30.60" thickBot="1" customHeight="1">
      <c r="A15125" s="24" t="s">
        <v>47934</v>
      </c>
      <c r="B15125" s="24" t="s">
        <v>47935</v>
      </c>
      <c r="C15125" s="24" t="s">
        <v>47936</v>
      </c>
      <c r="D15125" s="25" t="s">
        <v>47937</v>
      </c>
      <c r="E15125" s="28">
        <v>0.00417</v>
      </c>
      <c r="F15125" s="29">
        <f ca="1">ROUND(999.000,3)</f>
        <v>0</v>
      </c>
      <c r="G15125" s="27">
        <f ca="1">ROUND(E15125*F15125,2)</f>
        <v>0</v>
      </c>
    </row>
    <row r="15126" spans="1:7" ht="15.48" thickBot="1" customHeight="1">
      <c r="A15126" s="30"/>
      <c r="B15126" s="30"/>
      <c r="C15126" s="30"/>
      <c r="D15126" s="31" t="s">
        <v>47938</v>
      </c>
      <c r="E15126" s="30"/>
      <c r="F15126" s="33">
        <f ca="1">ROUND((G15125)*(1+G2/100),2)</f>
        <v>0</v>
      </c>
      <c r="G15126" s="30"/>
    </row>
    <row r="15127" spans="1:7" ht="30.60" thickBot="1" customHeight="1">
      <c r="A15127" s="34" t="s">
        <v>47939</v>
      </c>
      <c r="B15127" s="35" t="s">
        <v>47940</v>
      </c>
      <c r="C15127" s="35" t="s">
        <v>47941</v>
      </c>
      <c r="D15127" s="36" t="s">
        <v>47942</v>
      </c>
      <c r="E15127" s="37"/>
      <c r="F15127" s="38">
        <f ca="1">F15130</f>
        <v>0</v>
      </c>
      <c r="G15127" s="37"/>
    </row>
    <row r="15128" spans="1:7" ht="49.08" thickBot="1" customHeight="1">
      <c r="A15128" s="26"/>
      <c r="B15128" s="26"/>
      <c r="C15128" s="26"/>
      <c r="D15128" s="25" t="s">
        <v>47943</v>
      </c>
      <c r="E15128" s="25"/>
      <c r="F15128" s="25"/>
      <c r="G15128" s="25"/>
    </row>
    <row r="15129" spans="1:7" ht="30.60" thickBot="1" customHeight="1">
      <c r="A15129" s="24" t="s">
        <v>47944</v>
      </c>
      <c r="B15129" s="24" t="s">
        <v>47945</v>
      </c>
      <c r="C15129" s="24" t="s">
        <v>47946</v>
      </c>
      <c r="D15129" s="25" t="s">
        <v>47947</v>
      </c>
      <c r="E15129" s="28">
        <v>0.00417</v>
      </c>
      <c r="F15129" s="29">
        <f ca="1">ROUND(1366.230,3)</f>
        <v>0</v>
      </c>
      <c r="G15129" s="27">
        <f ca="1">ROUND(E15129*F15129,2)</f>
        <v>0</v>
      </c>
    </row>
    <row r="15130" spans="1:7" ht="15.48" thickBot="1" customHeight="1">
      <c r="A15130" s="30"/>
      <c r="B15130" s="30"/>
      <c r="C15130" s="30"/>
      <c r="D15130" s="31" t="s">
        <v>47948</v>
      </c>
      <c r="E15130" s="30"/>
      <c r="F15130" s="33">
        <f ca="1">ROUND((G15129)*(1+G2/100),2)</f>
        <v>0</v>
      </c>
      <c r="G15130" s="30"/>
    </row>
    <row r="15131" spans="1:7" ht="25.08" thickBot="1" customHeight="1">
      <c r="A15131" s="34" t="s">
        <v>47949</v>
      </c>
      <c r="B15131" s="35" t="s">
        <v>47950</v>
      </c>
      <c r="C15131" s="35" t="s">
        <v>47951</v>
      </c>
      <c r="D15131" s="36" t="s">
        <v>47952</v>
      </c>
      <c r="E15131" s="37"/>
      <c r="F15131" s="38">
        <f ca="1">ROUND(4.880*(1+G2/100),2)</f>
        <v>0</v>
      </c>
      <c r="G15131" s="37"/>
    </row>
    <row r="15132" spans="1:7" ht="30.60" thickBot="1" customHeight="1">
      <c r="A15132" s="26"/>
      <c r="B15132" s="26"/>
      <c r="C15132" s="26"/>
      <c r="D15132" s="25" t="s">
        <v>47953</v>
      </c>
      <c r="E15132" s="25"/>
      <c r="F15132" s="25"/>
      <c r="G15132" s="25"/>
    </row>
    <row r="15133" spans="1:7" ht="49.08" thickBot="1" customHeight="1">
      <c r="A15133" s="10" t="s">
        <v>47954</v>
      </c>
      <c r="B15133" s="24" t="s">
        <v>47955</v>
      </c>
      <c r="C15133" s="24" t="s">
        <v>47956</v>
      </c>
      <c r="D15133" s="25" t="s">
        <v>47957</v>
      </c>
      <c r="E15133" s="26"/>
      <c r="F15133" s="27">
        <f ca="1">ROUND(127.000*(1+G2/100),2)</f>
        <v>0</v>
      </c>
      <c r="G15133" s="26"/>
    </row>
    <row r="15134" spans="1:7" ht="21.36" thickBot="1" customHeight="1">
      <c r="A15134" s="26"/>
      <c r="B15134" s="26"/>
      <c r="C15134" s="26"/>
      <c r="D15134" s="25" t="s">
        <v>47958</v>
      </c>
      <c r="E15134" s="25"/>
      <c r="F15134" s="25"/>
      <c r="G15134" s="25"/>
    </row>
    <row r="15135" spans="1:7" ht="25.08" thickBot="1" customHeight="1">
      <c r="A15135" s="10" t="s">
        <v>47959</v>
      </c>
      <c r="B15135" s="24" t="s">
        <v>47960</v>
      </c>
      <c r="C15135" s="24" t="s">
        <v>47961</v>
      </c>
      <c r="D15135" s="25" t="s">
        <v>47962</v>
      </c>
      <c r="E15135" s="26"/>
      <c r="F15135" s="27">
        <f ca="1">ROUND(7.526*(1+G2/100),2)</f>
        <v>0</v>
      </c>
      <c r="G15135" s="26"/>
    </row>
    <row r="15136" spans="1:7" ht="21.36" thickBot="1" customHeight="1">
      <c r="A15136" s="26"/>
      <c r="B15136" s="26"/>
      <c r="C15136" s="26"/>
      <c r="D15136" s="25" t="s">
        <v>47963</v>
      </c>
      <c r="E15136" s="25"/>
      <c r="F15136" s="25"/>
      <c r="G15136" s="25"/>
    </row>
    <row r="15137" spans="1:7" ht="30.60" thickBot="1" customHeight="1">
      <c r="A15137" s="10" t="s">
        <v>47964</v>
      </c>
      <c r="B15137" s="24" t="s">
        <v>47965</v>
      </c>
      <c r="C15137" s="24" t="s">
        <v>47966</v>
      </c>
      <c r="D15137" s="25" t="s">
        <v>47967</v>
      </c>
      <c r="E15137" s="26"/>
      <c r="F15137" s="27">
        <f ca="1">ROUND(20.000*(1+G2/100),2)</f>
        <v>0</v>
      </c>
      <c r="G15137" s="26"/>
    </row>
    <row r="15138" spans="1:7" ht="30.60" thickBot="1" customHeight="1">
      <c r="A15138" s="26"/>
      <c r="B15138" s="26"/>
      <c r="C15138" s="26"/>
      <c r="D15138" s="25" t="s">
        <v>47968</v>
      </c>
      <c r="E15138" s="25"/>
      <c r="F15138" s="25"/>
      <c r="G15138" s="25"/>
    </row>
    <row r="15139" spans="1:7" ht="30.60" thickBot="1" customHeight="1">
      <c r="A15139" s="10" t="s">
        <v>47969</v>
      </c>
      <c r="B15139" s="24" t="s">
        <v>47970</v>
      </c>
      <c r="C15139" s="24" t="s">
        <v>47971</v>
      </c>
      <c r="D15139" s="25" t="s">
        <v>47972</v>
      </c>
      <c r="E15139" s="26"/>
      <c r="F15139" s="27">
        <f ca="1">ROUND(2.080*(1+G2/100),2)</f>
        <v>0</v>
      </c>
      <c r="G15139" s="26"/>
    </row>
    <row r="15140" spans="1:7" ht="21.36" thickBot="1" customHeight="1">
      <c r="A15140" s="26"/>
      <c r="B15140" s="26"/>
      <c r="C15140" s="26"/>
      <c r="D15140" s="25" t="s">
        <v>47973</v>
      </c>
      <c r="E15140" s="25"/>
      <c r="F15140" s="25"/>
      <c r="G15140" s="25"/>
    </row>
    <row r="15141" spans="1:7" ht="25.08" thickBot="1" customHeight="1">
      <c r="A15141" s="10" t="s">
        <v>47974</v>
      </c>
      <c r="B15141" s="24" t="s">
        <v>47975</v>
      </c>
      <c r="C15141" s="24" t="s">
        <v>47976</v>
      </c>
      <c r="D15141" s="25" t="s">
        <v>47977</v>
      </c>
      <c r="E15141" s="26"/>
      <c r="F15141" s="27">
        <f ca="1">ROUND(3.500*(1+G2/100),2)</f>
        <v>0</v>
      </c>
      <c r="G15141" s="26"/>
    </row>
    <row r="15142" spans="1:7" ht="21.36" thickBot="1" customHeight="1">
      <c r="A15142" s="26"/>
      <c r="B15142" s="26"/>
      <c r="C15142" s="26"/>
      <c r="D15142" s="25" t="s">
        <v>47978</v>
      </c>
      <c r="E15142" s="25"/>
      <c r="F15142" s="25"/>
      <c r="G15142" s="25"/>
    </row>
    <row r="15143" spans="1:7" ht="30.60" thickBot="1" customHeight="1">
      <c r="A15143" s="10" t="s">
        <v>47979</v>
      </c>
      <c r="B15143" s="24" t="s">
        <v>47980</v>
      </c>
      <c r="C15143" s="24" t="s">
        <v>47981</v>
      </c>
      <c r="D15143" s="25" t="s">
        <v>47982</v>
      </c>
      <c r="E15143" s="26"/>
      <c r="F15143" s="27">
        <f ca="1">ROUND(3.740*(1+G2/100),2)</f>
        <v>0</v>
      </c>
      <c r="G15143" s="26"/>
    </row>
    <row r="15144" spans="1:7" ht="21.36" thickBot="1" customHeight="1">
      <c r="A15144" s="26"/>
      <c r="B15144" s="26"/>
      <c r="C15144" s="26"/>
      <c r="D15144" s="25" t="s">
        <v>47983</v>
      </c>
      <c r="E15144" s="25"/>
      <c r="F15144" s="25"/>
      <c r="G15144" s="25"/>
    </row>
    <row r="15145" spans="1:7" ht="30.60" thickBot="1" customHeight="1">
      <c r="A15145" s="10" t="s">
        <v>47984</v>
      </c>
      <c r="B15145" s="24" t="s">
        <v>47985</v>
      </c>
      <c r="C15145" s="24" t="s">
        <v>47986</v>
      </c>
      <c r="D15145" s="25" t="s">
        <v>47987</v>
      </c>
      <c r="E15145" s="26"/>
      <c r="F15145" s="27">
        <f ca="1">ROUND(4.620*(1+G2/100),2)</f>
        <v>0</v>
      </c>
      <c r="G15145" s="26"/>
    </row>
    <row r="15146" spans="1:7" ht="21.36" thickBot="1" customHeight="1">
      <c r="A15146" s="26"/>
      <c r="B15146" s="26"/>
      <c r="C15146" s="26"/>
      <c r="D15146" s="25" t="s">
        <v>47988</v>
      </c>
      <c r="E15146" s="25"/>
      <c r="F15146" s="25"/>
      <c r="G15146" s="25"/>
    </row>
    <row r="15147" spans="1:7" ht="30.60" thickBot="1" customHeight="1">
      <c r="A15147" s="10" t="s">
        <v>47989</v>
      </c>
      <c r="B15147" s="24" t="s">
        <v>47990</v>
      </c>
      <c r="C15147" s="24" t="s">
        <v>47991</v>
      </c>
      <c r="D15147" s="25" t="s">
        <v>47992</v>
      </c>
      <c r="E15147" s="26"/>
      <c r="F15147" s="27">
        <f ca="1">ROUND(1.875*(1+G2/100),2)</f>
        <v>0</v>
      </c>
      <c r="G15147" s="26"/>
    </row>
    <row r="15148" spans="1:7" ht="12.12" thickBot="1" customHeight="1">
      <c r="A15148" s="26"/>
      <c r="B15148" s="26"/>
      <c r="C15148" s="26"/>
      <c r="D15148" s="25" t="s">
        <v>47993</v>
      </c>
      <c r="E15148" s="25"/>
      <c r="F15148" s="25"/>
      <c r="G15148" s="25"/>
    </row>
    <row r="15149" spans="1:7" ht="39.84" thickBot="1" customHeight="1">
      <c r="A15149" s="10" t="s">
        <v>47994</v>
      </c>
      <c r="B15149" s="24" t="s">
        <v>47995</v>
      </c>
      <c r="C15149" s="24" t="s">
        <v>47996</v>
      </c>
      <c r="D15149" s="25" t="s">
        <v>47997</v>
      </c>
      <c r="E15149" s="26"/>
      <c r="F15149" s="27">
        <f ca="1">ROUND(2.000*(1+G2/100),2)</f>
        <v>0</v>
      </c>
      <c r="G15149" s="26"/>
    </row>
    <row r="15150" spans="1:7" ht="21.36" thickBot="1" customHeight="1">
      <c r="A15150" s="26"/>
      <c r="B15150" s="26"/>
      <c r="C15150" s="26"/>
      <c r="D15150" s="25" t="s">
        <v>47998</v>
      </c>
      <c r="E15150" s="25"/>
      <c r="F15150" s="25"/>
      <c r="G15150" s="25"/>
    </row>
    <row r="15151" spans="1:7" ht="25.08" thickBot="1" customHeight="1">
      <c r="A15151" s="10" t="s">
        <v>47999</v>
      </c>
      <c r="B15151" s="24" t="s">
        <v>48000</v>
      </c>
      <c r="C15151" s="24" t="s">
        <v>48001</v>
      </c>
      <c r="D15151" s="25" t="s">
        <v>48002</v>
      </c>
      <c r="E15151" s="26"/>
      <c r="F15151" s="27">
        <f ca="1">ROUND(4.500*(1+G2/100),2)</f>
        <v>0</v>
      </c>
      <c r="G15151" s="26"/>
    </row>
    <row r="15152" spans="1:7" ht="30.60" thickBot="1" customHeight="1">
      <c r="A15152" s="26"/>
      <c r="B15152" s="26"/>
      <c r="C15152" s="26"/>
      <c r="D15152" s="25" t="s">
        <v>48003</v>
      </c>
      <c r="E15152" s="25"/>
      <c r="F15152" s="25"/>
      <c r="G15152" s="25"/>
    </row>
    <row r="15153" spans="1:7" ht="30.60" thickBot="1" customHeight="1">
      <c r="A15153" s="10" t="s">
        <v>48004</v>
      </c>
      <c r="B15153" s="24" t="s">
        <v>48005</v>
      </c>
      <c r="C15153" s="24" t="s">
        <v>48006</v>
      </c>
      <c r="D15153" s="25" t="s">
        <v>48007</v>
      </c>
      <c r="E15153" s="26"/>
      <c r="F15153" s="27">
        <f ca="1">ROUND(4.000*(1+G2/100),2)</f>
        <v>0</v>
      </c>
      <c r="G15153" s="26"/>
    </row>
    <row r="15154" spans="1:7" ht="12.12" thickBot="1" customHeight="1">
      <c r="A15154" s="26"/>
      <c r="B15154" s="26"/>
      <c r="C15154" s="26"/>
      <c r="D15154" s="25" t="s">
        <v>48008</v>
      </c>
      <c r="E15154" s="25"/>
      <c r="F15154" s="25"/>
      <c r="G15154" s="25"/>
    </row>
    <row r="15155" spans="1:7" ht="30.60" thickBot="1" customHeight="1">
      <c r="A15155" s="10" t="s">
        <v>48009</v>
      </c>
      <c r="B15155" s="24" t="s">
        <v>48010</v>
      </c>
      <c r="C15155" s="24" t="s">
        <v>48011</v>
      </c>
      <c r="D15155" s="25" t="s">
        <v>48012</v>
      </c>
      <c r="E15155" s="26"/>
      <c r="F15155" s="27">
        <f ca="1">ROUND(4.400*(1+G2/100),2)</f>
        <v>0</v>
      </c>
      <c r="G15155" s="26"/>
    </row>
    <row r="15156" spans="1:7" ht="21.36" thickBot="1" customHeight="1">
      <c r="A15156" s="26"/>
      <c r="B15156" s="26"/>
      <c r="C15156" s="26"/>
      <c r="D15156" s="25" t="s">
        <v>48013</v>
      </c>
      <c r="E15156" s="25"/>
      <c r="F15156" s="25"/>
      <c r="G15156" s="25"/>
    </row>
    <row r="15157" spans="1:7" ht="21.36" thickBot="1" customHeight="1">
      <c r="A15157" s="10" t="s">
        <v>48014</v>
      </c>
      <c r="B15157" s="24" t="s">
        <v>48015</v>
      </c>
      <c r="C15157" s="24" t="s">
        <v>48016</v>
      </c>
      <c r="D15157" s="25" t="s">
        <v>48017</v>
      </c>
      <c r="E15157" s="26"/>
      <c r="F15157" s="27">
        <f ca="1">ROUND(3.250*(1+G2/100),2)</f>
        <v>0</v>
      </c>
      <c r="G15157" s="26"/>
    </row>
    <row r="15158" spans="1:7" ht="21.36" thickBot="1" customHeight="1">
      <c r="A15158" s="26"/>
      <c r="B15158" s="26"/>
      <c r="C15158" s="26"/>
      <c r="D15158" s="25" t="s">
        <v>48018</v>
      </c>
      <c r="E15158" s="25"/>
      <c r="F15158" s="25"/>
      <c r="G15158" s="25"/>
    </row>
    <row r="15159" spans="1:7" ht="25.08" thickBot="1" customHeight="1">
      <c r="A15159" s="10" t="s">
        <v>48019</v>
      </c>
      <c r="B15159" s="24" t="s">
        <v>48020</v>
      </c>
      <c r="C15159" s="24" t="s">
        <v>48021</v>
      </c>
      <c r="D15159" s="25" t="s">
        <v>48022</v>
      </c>
      <c r="E15159" s="26"/>
      <c r="F15159" s="27">
        <f ca="1">ROUND(2.000*(1+G2/100),2)</f>
        <v>0</v>
      </c>
      <c r="G15159" s="26"/>
    </row>
    <row r="15160" spans="1:7" ht="12.12" thickBot="1" customHeight="1">
      <c r="A15160" s="26"/>
      <c r="B15160" s="26"/>
      <c r="C15160" s="26"/>
      <c r="D15160" s="25" t="s">
        <v>48023</v>
      </c>
      <c r="E15160" s="25"/>
      <c r="F15160" s="25"/>
      <c r="G15160" s="25"/>
    </row>
    <row r="15161" spans="1:7" ht="30.60" thickBot="1" customHeight="1">
      <c r="A15161" s="10" t="s">
        <v>48024</v>
      </c>
      <c r="B15161" s="24" t="s">
        <v>48025</v>
      </c>
      <c r="C15161" s="24" t="s">
        <v>48026</v>
      </c>
      <c r="D15161" s="25" t="s">
        <v>48027</v>
      </c>
      <c r="E15161" s="26"/>
      <c r="F15161" s="27">
        <f ca="1">F15164</f>
        <v>0</v>
      </c>
      <c r="G15161" s="26"/>
    </row>
    <row r="15162" spans="1:7" ht="12.12" thickBot="1" customHeight="1">
      <c r="A15162" s="26"/>
      <c r="B15162" s="26"/>
      <c r="C15162" s="26"/>
      <c r="D15162" s="25" t="s">
        <v>48028</v>
      </c>
      <c r="E15162" s="25"/>
      <c r="F15162" s="25"/>
      <c r="G15162" s="25"/>
    </row>
    <row r="15163" spans="1:7" ht="30.60" thickBot="1" customHeight="1">
      <c r="A15163" s="24" t="s">
        <v>48029</v>
      </c>
      <c r="B15163" s="24" t="s">
        <v>48030</v>
      </c>
      <c r="C15163" s="24" t="s">
        <v>48031</v>
      </c>
      <c r="D15163" s="25" t="s">
        <v>48032</v>
      </c>
      <c r="E15163" s="28">
        <v>0.00347</v>
      </c>
      <c r="F15163" s="29">
        <f ca="1">ROUND(257.000,3)</f>
        <v>0</v>
      </c>
      <c r="G15163" s="27">
        <f ca="1">ROUND(E15163*F15163,2)</f>
        <v>0</v>
      </c>
    </row>
    <row r="15164" spans="1:7" ht="15.48" thickBot="1" customHeight="1">
      <c r="A15164" s="30"/>
      <c r="B15164" s="30"/>
      <c r="C15164" s="30"/>
      <c r="D15164" s="31" t="s">
        <v>48033</v>
      </c>
      <c r="E15164" s="30"/>
      <c r="F15164" s="33">
        <f ca="1">ROUND((G15163)*(1+G2/100),2)</f>
        <v>0</v>
      </c>
      <c r="G15164" s="30"/>
    </row>
    <row r="15165" spans="1:7" ht="30.60" thickBot="1" customHeight="1">
      <c r="A15165" s="34" t="s">
        <v>48034</v>
      </c>
      <c r="B15165" s="35" t="s">
        <v>48035</v>
      </c>
      <c r="C15165" s="35" t="s">
        <v>48036</v>
      </c>
      <c r="D15165" s="36" t="s">
        <v>48037</v>
      </c>
      <c r="E15165" s="37"/>
      <c r="F15165" s="38">
        <f ca="1">ROUND(2.420*(1+G2/100),2)</f>
        <v>0</v>
      </c>
      <c r="G15165" s="37"/>
    </row>
    <row r="15166" spans="1:7" ht="12.12" thickBot="1" customHeight="1">
      <c r="A15166" s="26"/>
      <c r="B15166" s="26"/>
      <c r="C15166" s="26"/>
      <c r="D15166" s="25" t="s">
        <v>48038</v>
      </c>
      <c r="E15166" s="25"/>
      <c r="F15166" s="25"/>
      <c r="G15166" s="25"/>
    </row>
    <row r="15167" spans="1:7" ht="30.60" thickBot="1" customHeight="1">
      <c r="A15167" s="10" t="s">
        <v>48039</v>
      </c>
      <c r="B15167" s="24" t="s">
        <v>48040</v>
      </c>
      <c r="C15167" s="24" t="s">
        <v>48041</v>
      </c>
      <c r="D15167" s="25" t="s">
        <v>48042</v>
      </c>
      <c r="E15167" s="26"/>
      <c r="F15167" s="27">
        <f ca="1">ROUND(4.180*(1+G2/100),2)</f>
        <v>0</v>
      </c>
      <c r="G15167" s="26"/>
    </row>
    <row r="15168" spans="1:7" ht="12.12" thickBot="1" customHeight="1">
      <c r="A15168" s="26"/>
      <c r="B15168" s="26"/>
      <c r="C15168" s="26"/>
      <c r="D15168" s="25" t="s">
        <v>48043</v>
      </c>
      <c r="E15168" s="25"/>
      <c r="F15168" s="25"/>
      <c r="G15168" s="25"/>
    </row>
    <row r="15169" spans="1:7" ht="21.36" thickBot="1" customHeight="1">
      <c r="A15169" s="10" t="s">
        <v>48044</v>
      </c>
      <c r="B15169" s="24" t="s">
        <v>48045</v>
      </c>
      <c r="C15169" s="24" t="s">
        <v>48046</v>
      </c>
      <c r="D15169" s="25" t="s">
        <v>48047</v>
      </c>
      <c r="E15169" s="26"/>
      <c r="F15169" s="27">
        <f ca="1">ROUND(3.300*(1+G2/100),2)</f>
        <v>0</v>
      </c>
      <c r="G15169" s="26"/>
    </row>
    <row r="15170" spans="1:7" ht="21.36" thickBot="1" customHeight="1">
      <c r="A15170" s="26"/>
      <c r="B15170" s="26"/>
      <c r="C15170" s="26"/>
      <c r="D15170" s="25" t="s">
        <v>48048</v>
      </c>
      <c r="E15170" s="25"/>
      <c r="F15170" s="25"/>
      <c r="G15170" s="25"/>
    </row>
    <row r="15171" spans="1:7" ht="21.36" thickBot="1" customHeight="1">
      <c r="A15171" s="10" t="s">
        <v>48049</v>
      </c>
      <c r="B15171" s="24" t="s">
        <v>48050</v>
      </c>
      <c r="C15171" s="24" t="s">
        <v>48051</v>
      </c>
      <c r="D15171" s="25" t="s">
        <v>48052</v>
      </c>
      <c r="E15171" s="26"/>
      <c r="F15171" s="27">
        <f ca="1">ROUND(3.000*(1+G2/100),2)</f>
        <v>0</v>
      </c>
      <c r="G15171" s="26"/>
    </row>
    <row r="15172" spans="1:7" ht="12.12" thickBot="1" customHeight="1">
      <c r="A15172" s="26"/>
      <c r="B15172" s="26"/>
      <c r="C15172" s="26"/>
      <c r="D15172" s="25" t="s">
        <v>48053</v>
      </c>
      <c r="E15172" s="25"/>
      <c r="F15172" s="25"/>
      <c r="G15172" s="25"/>
    </row>
    <row r="15173" spans="1:7" ht="30.60" thickBot="1" customHeight="1">
      <c r="A15173" s="10" t="s">
        <v>48054</v>
      </c>
      <c r="B15173" s="24" t="s">
        <v>48055</v>
      </c>
      <c r="C15173" s="24" t="s">
        <v>48056</v>
      </c>
      <c r="D15173" s="25" t="s">
        <v>48057</v>
      </c>
      <c r="E15173" s="26"/>
      <c r="F15173" s="27">
        <f ca="1">F15176</f>
        <v>0</v>
      </c>
      <c r="G15173" s="26"/>
    </row>
    <row r="15174" spans="1:7" ht="12.12" thickBot="1" customHeight="1">
      <c r="A15174" s="26"/>
      <c r="B15174" s="26"/>
      <c r="C15174" s="26"/>
      <c r="D15174" s="25" t="s">
        <v>48058</v>
      </c>
      <c r="E15174" s="25"/>
      <c r="F15174" s="25"/>
      <c r="G15174" s="25"/>
    </row>
    <row r="15175" spans="1:7" ht="21.36" thickBot="1" customHeight="1">
      <c r="A15175" s="24" t="s">
        <v>48059</v>
      </c>
      <c r="B15175" s="24" t="s">
        <v>48060</v>
      </c>
      <c r="C15175" s="24" t="s">
        <v>48061</v>
      </c>
      <c r="D15175" s="25" t="s">
        <v>48062</v>
      </c>
      <c r="E15175" s="28">
        <v>0.00417</v>
      </c>
      <c r="F15175" s="29">
        <f ca="1">ROUND(188.430,3)</f>
        <v>0</v>
      </c>
      <c r="G15175" s="27">
        <f ca="1">ROUND(E15175*F15175,2)</f>
        <v>0</v>
      </c>
    </row>
    <row r="15176" spans="1:7" ht="15.48" thickBot="1" customHeight="1">
      <c r="A15176" s="30"/>
      <c r="B15176" s="30"/>
      <c r="C15176" s="30"/>
      <c r="D15176" s="31" t="s">
        <v>48063</v>
      </c>
      <c r="E15176" s="30"/>
      <c r="F15176" s="33">
        <f ca="1">ROUND((G15175)*(1+G2/100),2)</f>
        <v>0</v>
      </c>
      <c r="G15176" s="30"/>
    </row>
    <row r="15177" spans="1:7" ht="21.36" thickBot="1" customHeight="1">
      <c r="A15177" s="34" t="s">
        <v>48064</v>
      </c>
      <c r="B15177" s="35" t="s">
        <v>48065</v>
      </c>
      <c r="C15177" s="35" t="s">
        <v>48066</v>
      </c>
      <c r="D15177" s="36" t="s">
        <v>48067</v>
      </c>
      <c r="E15177" s="37"/>
      <c r="F15177" s="38">
        <f ca="1">ROUND(2.000*(1+G2/100),2)</f>
        <v>0</v>
      </c>
      <c r="G15177" s="37"/>
    </row>
    <row r="15178" spans="1:7" ht="12.12" thickBot="1" customHeight="1">
      <c r="A15178" s="26"/>
      <c r="B15178" s="26"/>
      <c r="C15178" s="26"/>
      <c r="D15178" s="25" t="s">
        <v>48068</v>
      </c>
      <c r="E15178" s="25"/>
      <c r="F15178" s="25"/>
      <c r="G15178" s="25"/>
    </row>
    <row r="15179" spans="1:7" ht="25.08" thickBot="1" customHeight="1">
      <c r="A15179" s="10" t="s">
        <v>48069</v>
      </c>
      <c r="B15179" s="24" t="s">
        <v>48070</v>
      </c>
      <c r="C15179" s="24" t="s">
        <v>48071</v>
      </c>
      <c r="D15179" s="25" t="s">
        <v>48072</v>
      </c>
      <c r="E15179" s="26"/>
      <c r="F15179" s="27">
        <f ca="1">ROUND(76.520*(1+G2/100),2)</f>
        <v>0</v>
      </c>
      <c r="G15179" s="26"/>
    </row>
    <row r="15180" spans="1:7" ht="187.68" thickBot="1" customHeight="1">
      <c r="A15180" s="26"/>
      <c r="B15180" s="26"/>
      <c r="C15180" s="26"/>
      <c r="D15180" s="25" t="s">
        <v>48073</v>
      </c>
      <c r="E15180" s="25"/>
      <c r="F15180" s="25"/>
      <c r="G15180" s="25"/>
    </row>
    <row r="15181" spans="1:7" ht="30.60" thickBot="1" customHeight="1">
      <c r="A15181" s="10" t="s">
        <v>48074</v>
      </c>
      <c r="B15181" s="24" t="s">
        <v>48075</v>
      </c>
      <c r="C15181" s="24" t="s">
        <v>48076</v>
      </c>
      <c r="D15181" s="25" t="s">
        <v>48077</v>
      </c>
      <c r="E15181" s="26"/>
      <c r="F15181" s="27">
        <f ca="1">ROUND(2.500*(1+G2/100),2)</f>
        <v>0</v>
      </c>
      <c r="G15181" s="26"/>
    </row>
    <row r="15182" spans="1:7" ht="21.36" thickBot="1" customHeight="1">
      <c r="A15182" s="26"/>
      <c r="B15182" s="26"/>
      <c r="C15182" s="26"/>
      <c r="D15182" s="25" t="s">
        <v>48078</v>
      </c>
      <c r="E15182" s="25"/>
      <c r="F15182" s="25"/>
      <c r="G15182" s="25"/>
    </row>
    <row r="15183" spans="1:7" ht="39.84" thickBot="1" customHeight="1">
      <c r="A15183" s="10" t="s">
        <v>48079</v>
      </c>
      <c r="B15183" s="24" t="s">
        <v>48080</v>
      </c>
      <c r="C15183" s="24" t="s">
        <v>48081</v>
      </c>
      <c r="D15183" s="25" t="s">
        <v>48082</v>
      </c>
      <c r="E15183" s="26"/>
      <c r="F15183" s="27">
        <f ca="1">ROUND(2.860*(1+G2/100),2)</f>
        <v>0</v>
      </c>
      <c r="G15183" s="26"/>
    </row>
    <row r="15184" spans="1:7" ht="21.36" thickBot="1" customHeight="1">
      <c r="A15184" s="26"/>
      <c r="B15184" s="26"/>
      <c r="C15184" s="26"/>
      <c r="D15184" s="25" t="s">
        <v>48083</v>
      </c>
      <c r="E15184" s="25"/>
      <c r="F15184" s="25"/>
      <c r="G15184" s="25"/>
    </row>
    <row r="15185" spans="1:7" ht="15.48" thickBot="1" customHeight="1">
      <c r="A15185" s="30"/>
      <c r="B15185" s="30"/>
      <c r="C15185" s="30"/>
      <c r="D15185" s="76" t="s">
        <v>48084</v>
      </c>
      <c r="E15185" s="77"/>
      <c r="F15185" s="77"/>
      <c r="G15185" s="77"/>
    </row>
    <row r="15186" spans="1:7" ht="15.48" thickBot="1" customHeight="1">
      <c r="A15186" s="57" t="s">
        <v>48085</v>
      </c>
      <c r="B15186" s="57" t="s">
        <v>48086</v>
      </c>
      <c r="C15186" s="58"/>
      <c r="D15186" s="59" t="s">
        <v>48087</v>
      </c>
      <c r="E15186" s="58"/>
      <c r="F15186" s="58"/>
      <c r="G15186" s="58"/>
    </row>
    <row r="15187" spans="1:7" ht="15.48" thickBot="1" customHeight="1">
      <c r="A15187" s="18" t="s">
        <v>48088</v>
      </c>
      <c r="B15187" s="18" t="s">
        <v>48089</v>
      </c>
      <c r="C15187" s="19"/>
      <c r="D15187" s="20" t="s">
        <v>48090</v>
      </c>
      <c r="E15187" s="19"/>
      <c r="F15187" s="19"/>
      <c r="G15187" s="19"/>
    </row>
    <row r="15188" spans="1:7" ht="58.32" thickBot="1" customHeight="1">
      <c r="A15188" s="10" t="s">
        <v>48091</v>
      </c>
      <c r="B15188" s="24" t="s">
        <v>48092</v>
      </c>
      <c r="C15188" s="24" t="s">
        <v>48093</v>
      </c>
      <c r="D15188" s="25" t="s">
        <v>48094</v>
      </c>
      <c r="E15188" s="26"/>
      <c r="F15188" s="27">
        <f ca="1">F15206</f>
        <v>0</v>
      </c>
      <c r="G15188" s="26"/>
    </row>
    <row r="15189" spans="1:7" ht="49.08" thickBot="1" customHeight="1">
      <c r="A15189" s="26"/>
      <c r="B15189" s="26"/>
      <c r="C15189" s="26"/>
      <c r="D15189" s="25" t="s">
        <v>48095</v>
      </c>
      <c r="E15189" s="25"/>
      <c r="F15189" s="25"/>
      <c r="G15189" s="25"/>
    </row>
    <row r="15190" spans="1:7" ht="24.36" thickBot="1" customHeight="1">
      <c r="A15190" s="24" t="s">
        <v>48096</v>
      </c>
      <c r="B15190" s="24" t="s">
        <v>48097</v>
      </c>
      <c r="C15190" s="24" t="s">
        <v>48098</v>
      </c>
      <c r="D15190" s="25" t="s">
        <v>48099</v>
      </c>
      <c r="E15190" s="28">
        <v>1.00000</v>
      </c>
      <c r="F15190" s="29">
        <f ca="1">F15195</f>
        <v>0</v>
      </c>
      <c r="G15190" s="27">
        <f ca="1">ROUND(E15190*F15190,2)</f>
        <v>0</v>
      </c>
    </row>
    <row r="15191" spans="1:7" ht="30.60" thickBot="1" customHeight="1">
      <c r="A15191" s="24" t="s">
        <v>48100</v>
      </c>
      <c r="B15191" s="24" t="s">
        <v>48101</v>
      </c>
      <c r="C15191" s="24" t="s">
        <v>48102</v>
      </c>
      <c r="D15191" s="25" t="s">
        <v>48103</v>
      </c>
      <c r="E15191" s="28">
        <v>0.07100</v>
      </c>
      <c r="F15191" s="29">
        <f ca="1">ROUND(23.460,3)</f>
        <v>0</v>
      </c>
      <c r="G15191" s="27">
        <f ca="1">ROUND(E15191*F15191,2)</f>
        <v>0</v>
      </c>
    </row>
    <row r="15192" spans="1:7" ht="30.60" thickBot="1" customHeight="1">
      <c r="A15192" s="24" t="s">
        <v>48104</v>
      </c>
      <c r="B15192" s="24" t="s">
        <v>48105</v>
      </c>
      <c r="C15192" s="24" t="s">
        <v>48106</v>
      </c>
      <c r="D15192" s="25" t="s">
        <v>48107</v>
      </c>
      <c r="E15192" s="28">
        <v>0.00500</v>
      </c>
      <c r="F15192" s="29">
        <f ca="1">ROUND(21.500,3)</f>
        <v>0</v>
      </c>
      <c r="G15192" s="27">
        <f ca="1">ROUND(E15192*F15192,2)</f>
        <v>0</v>
      </c>
    </row>
    <row r="15193" spans="1:7" ht="30.60" thickBot="1" customHeight="1">
      <c r="A15193" s="24" t="s">
        <v>48108</v>
      </c>
      <c r="B15193" s="24" t="s">
        <v>48109</v>
      </c>
      <c r="C15193" s="24" t="s">
        <v>48110</v>
      </c>
      <c r="D15193" s="25" t="s">
        <v>48111</v>
      </c>
      <c r="E15193" s="28">
        <v>0.50000</v>
      </c>
      <c r="F15193" s="29">
        <f ca="1">ROUND(40.000,3)</f>
        <v>0</v>
      </c>
      <c r="G15193" s="27">
        <f ca="1">ROUND(E15193*F15193,2)</f>
        <v>0</v>
      </c>
    </row>
    <row r="15194" spans="1:7" ht="15.12" thickBot="1" customHeight="1">
      <c r="A15194" s="24" t="s">
        <v>48112</v>
      </c>
      <c r="B15194" s="24"/>
      <c r="C15194" s="24" t="s">
        <v>48113</v>
      </c>
      <c r="D15194" s="25" t="s">
        <v>48114</v>
      </c>
      <c r="E15194" s="28">
        <v>5.00000</v>
      </c>
      <c r="F15194" s="29">
        <f ca="1">ROUND(20.000,3)</f>
        <v>0</v>
      </c>
      <c r="G15194" s="27">
        <f ca="1">ROUND((E15194*F15194)/100,2)</f>
        <v>0</v>
      </c>
    </row>
    <row r="15195" spans="1:7" ht="15.12" thickBot="1" customHeight="1">
      <c r="A15195" s="26"/>
      <c r="B15195" s="26"/>
      <c r="C15195" s="26"/>
      <c r="D15195" s="24" t="s">
        <v>48115</v>
      </c>
      <c r="E15195" s="28">
        <v>1.00000</v>
      </c>
      <c r="F15195" s="29">
        <f ca="1">ROUND((G15191+G15192+G15193+G15194),3)</f>
        <v>0</v>
      </c>
      <c r="G15195" s="27">
        <f ca="1">ROUND(E15195*F15195,2)</f>
        <v>0</v>
      </c>
    </row>
    <row r="15196" spans="1:7" ht="21.36" thickBot="1" customHeight="1">
      <c r="A15196" s="24" t="s">
        <v>48116</v>
      </c>
      <c r="B15196" s="24" t="s">
        <v>48117</v>
      </c>
      <c r="C15196" s="24" t="s">
        <v>48118</v>
      </c>
      <c r="D15196" s="25" t="s">
        <v>48119</v>
      </c>
      <c r="E15196" s="28">
        <v>0.33333</v>
      </c>
      <c r="F15196" s="29">
        <f ca="1">ROUND(49.800,3)</f>
        <v>0</v>
      </c>
      <c r="G15196" s="27">
        <f ca="1">ROUND(E15196*F15196,2)</f>
        <v>0</v>
      </c>
    </row>
    <row r="15197" spans="1:7" ht="24.36" thickBot="1" customHeight="1">
      <c r="A15197" s="24" t="s">
        <v>48120</v>
      </c>
      <c r="B15197" s="24" t="s">
        <v>48121</v>
      </c>
      <c r="C15197" s="24" t="s">
        <v>48122</v>
      </c>
      <c r="D15197" s="25" t="s">
        <v>48123</v>
      </c>
      <c r="E15197" s="28">
        <v>0.01670</v>
      </c>
      <c r="F15197" s="29">
        <f ca="1">ROUND(35.300,3)</f>
        <v>0</v>
      </c>
      <c r="G15197" s="27">
        <f ca="1">ROUND(E15197*F15197,2)</f>
        <v>0</v>
      </c>
    </row>
    <row r="15198" spans="1:7" ht="24.36" thickBot="1" customHeight="1">
      <c r="A15198" s="24" t="s">
        <v>48124</v>
      </c>
      <c r="B15198" s="24" t="s">
        <v>48125</v>
      </c>
      <c r="C15198" s="24" t="s">
        <v>48126</v>
      </c>
      <c r="D15198" s="25" t="s">
        <v>48127</v>
      </c>
      <c r="E15198" s="28">
        <v>0.50000</v>
      </c>
      <c r="F15198" s="29">
        <f ca="1">ROUND(19.000,3)</f>
        <v>0</v>
      </c>
      <c r="G15198" s="27">
        <f ca="1">ROUND(E15198*F15198,2)</f>
        <v>0</v>
      </c>
    </row>
    <row r="15199" spans="1:7" ht="30.60" thickBot="1" customHeight="1">
      <c r="A15199" s="24" t="s">
        <v>48128</v>
      </c>
      <c r="B15199" s="24" t="s">
        <v>48129</v>
      </c>
      <c r="C15199" s="24" t="s">
        <v>48130</v>
      </c>
      <c r="D15199" s="25" t="s">
        <v>48131</v>
      </c>
      <c r="E15199" s="28">
        <v>0.26790</v>
      </c>
      <c r="F15199" s="29">
        <f ca="1">ROUND(13.250,3)</f>
        <v>0</v>
      </c>
      <c r="G15199" s="27">
        <f ca="1">ROUND(E15199*F15199,2)</f>
        <v>0</v>
      </c>
    </row>
    <row r="15200" spans="1:7" ht="21.36" thickBot="1" customHeight="1">
      <c r="A15200" s="24" t="s">
        <v>48132</v>
      </c>
      <c r="B15200" s="24" t="s">
        <v>48133</v>
      </c>
      <c r="C15200" s="24" t="s">
        <v>48134</v>
      </c>
      <c r="D15200" s="25" t="s">
        <v>48135</v>
      </c>
      <c r="E15200" s="28">
        <v>0.75000</v>
      </c>
      <c r="F15200" s="29">
        <f ca="1">F15204</f>
        <v>0</v>
      </c>
      <c r="G15200" s="27">
        <f ca="1">ROUND(E15200*F15200,2)</f>
        <v>0</v>
      </c>
    </row>
    <row r="15201" spans="1:7" ht="24.36" thickBot="1" customHeight="1">
      <c r="A15201" s="24" t="s">
        <v>48136</v>
      </c>
      <c r="B15201" s="24" t="s">
        <v>48137</v>
      </c>
      <c r="C15201" s="24" t="s">
        <v>48138</v>
      </c>
      <c r="D15201" s="25" t="s">
        <v>48139</v>
      </c>
      <c r="E15201" s="28">
        <v>1.00000</v>
      </c>
      <c r="F15201" s="29">
        <f ca="1">ROUND(21.000,3)</f>
        <v>0</v>
      </c>
      <c r="G15201" s="27">
        <f ca="1">ROUND(E15201*F15201,2)</f>
        <v>0</v>
      </c>
    </row>
    <row r="15202" spans="1:7" ht="24.36" thickBot="1" customHeight="1">
      <c r="A15202" s="24" t="s">
        <v>48140</v>
      </c>
      <c r="B15202" s="24" t="s">
        <v>48141</v>
      </c>
      <c r="C15202" s="24" t="s">
        <v>48142</v>
      </c>
      <c r="D15202" s="25" t="s">
        <v>48143</v>
      </c>
      <c r="E15202" s="28">
        <v>1.00000</v>
      </c>
      <c r="F15202" s="29">
        <f ca="1">ROUND(19.000,3)</f>
        <v>0</v>
      </c>
      <c r="G15202" s="27">
        <f ca="1">ROUND(E15202*F15202,2)</f>
        <v>0</v>
      </c>
    </row>
    <row r="15203" spans="1:7" ht="24.36" thickBot="1" customHeight="1">
      <c r="A15203" s="24" t="s">
        <v>48144</v>
      </c>
      <c r="B15203" s="24" t="s">
        <v>48145</v>
      </c>
      <c r="C15203" s="24" t="s">
        <v>48146</v>
      </c>
      <c r="D15203" s="25" t="s">
        <v>48147</v>
      </c>
      <c r="E15203" s="28">
        <v>0.20000</v>
      </c>
      <c r="F15203" s="29">
        <f ca="1">ROUND(19.000,3)</f>
        <v>0</v>
      </c>
      <c r="G15203" s="27">
        <f ca="1">ROUND(E15203*F15203,2)</f>
        <v>0</v>
      </c>
    </row>
    <row r="15204" spans="1:7" ht="15.12" thickBot="1" customHeight="1">
      <c r="A15204" s="26"/>
      <c r="B15204" s="26"/>
      <c r="C15204" s="26"/>
      <c r="D15204" s="24" t="s">
        <v>48148</v>
      </c>
      <c r="E15204" s="28">
        <v>0.75000</v>
      </c>
      <c r="F15204" s="29">
        <f ca="1">ROUND((G15201+G15202+G15203),3)</f>
        <v>0</v>
      </c>
      <c r="G15204" s="27">
        <f ca="1">ROUND(E15204*F15204,2)</f>
        <v>0</v>
      </c>
    </row>
    <row r="15205" spans="1:7" ht="15.12" thickBot="1" customHeight="1">
      <c r="A15205" s="24" t="s">
        <v>48149</v>
      </c>
      <c r="B15205" s="24"/>
      <c r="C15205" s="24" t="s">
        <v>48150</v>
      </c>
      <c r="D15205" s="25" t="s">
        <v>48151</v>
      </c>
      <c r="E15205" s="28">
        <v>5.00000</v>
      </c>
      <c r="F15205" s="29">
        <f ca="1">ROUND(42.350,3)</f>
        <v>0</v>
      </c>
      <c r="G15205" s="27">
        <f ca="1">ROUND((E15205*F15205)/100,2)</f>
        <v>0</v>
      </c>
    </row>
    <row r="15206" spans="1:7" ht="15.48" thickBot="1" customHeight="1">
      <c r="A15206" s="30"/>
      <c r="B15206" s="30"/>
      <c r="C15206" s="30"/>
      <c r="D15206" s="31" t="s">
        <v>48152</v>
      </c>
      <c r="E15206" s="30"/>
      <c r="F15206" s="33">
        <f ca="1">ROUND((G15190+G15196+G15197+G15198+G15199+G15200+G15205)*(1+G2/100),2)</f>
        <v>0</v>
      </c>
      <c r="G15206" s="30"/>
    </row>
    <row r="15207" spans="1:7" ht="49.08" thickBot="1" customHeight="1">
      <c r="A15207" s="34" t="s">
        <v>48153</v>
      </c>
      <c r="B15207" s="35" t="s">
        <v>48154</v>
      </c>
      <c r="C15207" s="35" t="s">
        <v>48155</v>
      </c>
      <c r="D15207" s="36" t="s">
        <v>48156</v>
      </c>
      <c r="E15207" s="37"/>
      <c r="F15207" s="38">
        <f ca="1">F15225</f>
        <v>0</v>
      </c>
      <c r="G15207" s="37"/>
    </row>
    <row r="15208" spans="1:7" ht="49.08" thickBot="1" customHeight="1">
      <c r="A15208" s="26"/>
      <c r="B15208" s="26"/>
      <c r="C15208" s="26"/>
      <c r="D15208" s="25" t="s">
        <v>48157</v>
      </c>
      <c r="E15208" s="25"/>
      <c r="F15208" s="25"/>
      <c r="G15208" s="25"/>
    </row>
    <row r="15209" spans="1:7" ht="24.36" thickBot="1" customHeight="1">
      <c r="A15209" s="24" t="s">
        <v>48158</v>
      </c>
      <c r="B15209" s="24" t="s">
        <v>48159</v>
      </c>
      <c r="C15209" s="24" t="s">
        <v>48160</v>
      </c>
      <c r="D15209" s="25" t="s">
        <v>48161</v>
      </c>
      <c r="E15209" s="28">
        <v>1.00000</v>
      </c>
      <c r="F15209" s="29">
        <f ca="1">F15214</f>
        <v>0</v>
      </c>
      <c r="G15209" s="27">
        <f ca="1">ROUND(E15209*F15209,2)</f>
        <v>0</v>
      </c>
    </row>
    <row r="15210" spans="1:7" ht="30.60" thickBot="1" customHeight="1">
      <c r="A15210" s="24" t="s">
        <v>48162</v>
      </c>
      <c r="B15210" s="24" t="s">
        <v>48163</v>
      </c>
      <c r="C15210" s="24" t="s">
        <v>48164</v>
      </c>
      <c r="D15210" s="25" t="s">
        <v>48165</v>
      </c>
      <c r="E15210" s="28">
        <v>0.07100</v>
      </c>
      <c r="F15210" s="29">
        <f ca="1">ROUND(23.460,3)</f>
        <v>0</v>
      </c>
      <c r="G15210" s="27">
        <f ca="1">ROUND(E15210*F15210,2)</f>
        <v>0</v>
      </c>
    </row>
    <row r="15211" spans="1:7" ht="30.60" thickBot="1" customHeight="1">
      <c r="A15211" s="24" t="s">
        <v>48166</v>
      </c>
      <c r="B15211" s="24" t="s">
        <v>48167</v>
      </c>
      <c r="C15211" s="24" t="s">
        <v>48168</v>
      </c>
      <c r="D15211" s="25" t="s">
        <v>48169</v>
      </c>
      <c r="E15211" s="28">
        <v>0.00500</v>
      </c>
      <c r="F15211" s="29">
        <f ca="1">ROUND(21.500,3)</f>
        <v>0</v>
      </c>
      <c r="G15211" s="27">
        <f ca="1">ROUND(E15211*F15211,2)</f>
        <v>0</v>
      </c>
    </row>
    <row r="15212" spans="1:7" ht="30.60" thickBot="1" customHeight="1">
      <c r="A15212" s="24" t="s">
        <v>48170</v>
      </c>
      <c r="B15212" s="24" t="s">
        <v>48171</v>
      </c>
      <c r="C15212" s="24" t="s">
        <v>48172</v>
      </c>
      <c r="D15212" s="25" t="s">
        <v>48173</v>
      </c>
      <c r="E15212" s="28">
        <v>0.50000</v>
      </c>
      <c r="F15212" s="29">
        <f ca="1">ROUND(40.000,3)</f>
        <v>0</v>
      </c>
      <c r="G15212" s="27">
        <f ca="1">ROUND(E15212*F15212,2)</f>
        <v>0</v>
      </c>
    </row>
    <row r="15213" spans="1:7" ht="15.12" thickBot="1" customHeight="1">
      <c r="A15213" s="24" t="s">
        <v>48174</v>
      </c>
      <c r="B15213" s="24"/>
      <c r="C15213" s="24" t="s">
        <v>48175</v>
      </c>
      <c r="D15213" s="25" t="s">
        <v>48176</v>
      </c>
      <c r="E15213" s="28">
        <v>5.00000</v>
      </c>
      <c r="F15213" s="29">
        <f ca="1">ROUND(20.000,3)</f>
        <v>0</v>
      </c>
      <c r="G15213" s="27">
        <f ca="1">ROUND((E15213*F15213)/100,2)</f>
        <v>0</v>
      </c>
    </row>
    <row r="15214" spans="1:7" ht="15.12" thickBot="1" customHeight="1">
      <c r="A15214" s="26"/>
      <c r="B15214" s="26"/>
      <c r="C15214" s="26"/>
      <c r="D15214" s="24" t="s">
        <v>48177</v>
      </c>
      <c r="E15214" s="28">
        <v>1.00000</v>
      </c>
      <c r="F15214" s="29">
        <f ca="1">ROUND((G15210+G15211+G15212+G15213),3)</f>
        <v>0</v>
      </c>
      <c r="G15214" s="27">
        <f ca="1">ROUND(E15214*F15214,2)</f>
        <v>0</v>
      </c>
    </row>
    <row r="15215" spans="1:7" ht="21.36" thickBot="1" customHeight="1">
      <c r="A15215" s="24" t="s">
        <v>48178</v>
      </c>
      <c r="B15215" s="24" t="s">
        <v>48179</v>
      </c>
      <c r="C15215" s="24" t="s">
        <v>48180</v>
      </c>
      <c r="D15215" s="25" t="s">
        <v>48181</v>
      </c>
      <c r="E15215" s="28">
        <v>0.33333</v>
      </c>
      <c r="F15215" s="29">
        <f ca="1">ROUND(76.030,3)</f>
        <v>0</v>
      </c>
      <c r="G15215" s="27">
        <f ca="1">ROUND(E15215*F15215,2)</f>
        <v>0</v>
      </c>
    </row>
    <row r="15216" spans="1:7" ht="24.36" thickBot="1" customHeight="1">
      <c r="A15216" s="24" t="s">
        <v>48182</v>
      </c>
      <c r="B15216" s="24" t="s">
        <v>48183</v>
      </c>
      <c r="C15216" s="24" t="s">
        <v>48184</v>
      </c>
      <c r="D15216" s="25" t="s">
        <v>48185</v>
      </c>
      <c r="E15216" s="28">
        <v>0.02000</v>
      </c>
      <c r="F15216" s="29">
        <f ca="1">ROUND(35.300,3)</f>
        <v>0</v>
      </c>
      <c r="G15216" s="27">
        <f ca="1">ROUND(E15216*F15216,2)</f>
        <v>0</v>
      </c>
    </row>
    <row r="15217" spans="1:7" ht="24.36" thickBot="1" customHeight="1">
      <c r="A15217" s="24" t="s">
        <v>48186</v>
      </c>
      <c r="B15217" s="24" t="s">
        <v>48187</v>
      </c>
      <c r="C15217" s="24" t="s">
        <v>48188</v>
      </c>
      <c r="D15217" s="25" t="s">
        <v>48189</v>
      </c>
      <c r="E15217" s="28">
        <v>0.50000</v>
      </c>
      <c r="F15217" s="29">
        <f ca="1">ROUND(19.000,3)</f>
        <v>0</v>
      </c>
      <c r="G15217" s="27">
        <f ca="1">ROUND(E15217*F15217,2)</f>
        <v>0</v>
      </c>
    </row>
    <row r="15218" spans="1:7" ht="30.60" thickBot="1" customHeight="1">
      <c r="A15218" s="24" t="s">
        <v>48190</v>
      </c>
      <c r="B15218" s="24" t="s">
        <v>48191</v>
      </c>
      <c r="C15218" s="24" t="s">
        <v>48192</v>
      </c>
      <c r="D15218" s="25" t="s">
        <v>48193</v>
      </c>
      <c r="E15218" s="28">
        <v>0.37091</v>
      </c>
      <c r="F15218" s="29">
        <f ca="1">ROUND(13.250,3)</f>
        <v>0</v>
      </c>
      <c r="G15218" s="27">
        <f ca="1">ROUND(E15218*F15218,2)</f>
        <v>0</v>
      </c>
    </row>
    <row r="15219" spans="1:7" ht="21.36" thickBot="1" customHeight="1">
      <c r="A15219" s="24" t="s">
        <v>48194</v>
      </c>
      <c r="B15219" s="24" t="s">
        <v>48195</v>
      </c>
      <c r="C15219" s="24" t="s">
        <v>48196</v>
      </c>
      <c r="D15219" s="25" t="s">
        <v>48197</v>
      </c>
      <c r="E15219" s="28">
        <v>1.00000</v>
      </c>
      <c r="F15219" s="29">
        <f ca="1">F15223</f>
        <v>0</v>
      </c>
      <c r="G15219" s="27">
        <f ca="1">ROUND(E15219*F15219,2)</f>
        <v>0</v>
      </c>
    </row>
    <row r="15220" spans="1:7" ht="24.36" thickBot="1" customHeight="1">
      <c r="A15220" s="24" t="s">
        <v>48198</v>
      </c>
      <c r="B15220" s="24" t="s">
        <v>48199</v>
      </c>
      <c r="C15220" s="24" t="s">
        <v>48200</v>
      </c>
      <c r="D15220" s="25" t="s">
        <v>48201</v>
      </c>
      <c r="E15220" s="28">
        <v>1.00000</v>
      </c>
      <c r="F15220" s="29">
        <f ca="1">ROUND(21.000,3)</f>
        <v>0</v>
      </c>
      <c r="G15220" s="27">
        <f ca="1">ROUND(E15220*F15220,2)</f>
        <v>0</v>
      </c>
    </row>
    <row r="15221" spans="1:7" ht="24.36" thickBot="1" customHeight="1">
      <c r="A15221" s="24" t="s">
        <v>48202</v>
      </c>
      <c r="B15221" s="24" t="s">
        <v>48203</v>
      </c>
      <c r="C15221" s="24" t="s">
        <v>48204</v>
      </c>
      <c r="D15221" s="25" t="s">
        <v>48205</v>
      </c>
      <c r="E15221" s="28">
        <v>1.00000</v>
      </c>
      <c r="F15221" s="29">
        <f ca="1">ROUND(19.000,3)</f>
        <v>0</v>
      </c>
      <c r="G15221" s="27">
        <f ca="1">ROUND(E15221*F15221,2)</f>
        <v>0</v>
      </c>
    </row>
    <row r="15222" spans="1:7" ht="24.36" thickBot="1" customHeight="1">
      <c r="A15222" s="24" t="s">
        <v>48206</v>
      </c>
      <c r="B15222" s="24" t="s">
        <v>48207</v>
      </c>
      <c r="C15222" s="24" t="s">
        <v>48208</v>
      </c>
      <c r="D15222" s="25" t="s">
        <v>48209</v>
      </c>
      <c r="E15222" s="28">
        <v>0.20000</v>
      </c>
      <c r="F15222" s="29">
        <f ca="1">ROUND(19.000,3)</f>
        <v>0</v>
      </c>
      <c r="G15222" s="27">
        <f ca="1">ROUND(E15222*F15222,2)</f>
        <v>0</v>
      </c>
    </row>
    <row r="15223" spans="1:7" ht="15.12" thickBot="1" customHeight="1">
      <c r="A15223" s="26"/>
      <c r="B15223" s="26"/>
      <c r="C15223" s="26"/>
      <c r="D15223" s="24" t="s">
        <v>48210</v>
      </c>
      <c r="E15223" s="28">
        <v>1.00000</v>
      </c>
      <c r="F15223" s="29">
        <f ca="1">ROUND((G15220+G15221+G15222),3)</f>
        <v>0</v>
      </c>
      <c r="G15223" s="27">
        <f ca="1">ROUND(E15223*F15223,2)</f>
        <v>0</v>
      </c>
    </row>
    <row r="15224" spans="1:7" ht="15.12" thickBot="1" customHeight="1">
      <c r="A15224" s="24" t="s">
        <v>48211</v>
      </c>
      <c r="B15224" s="24"/>
      <c r="C15224" s="24" t="s">
        <v>48212</v>
      </c>
      <c r="D15224" s="25" t="s">
        <v>48213</v>
      </c>
      <c r="E15224" s="28">
        <v>5.00000</v>
      </c>
      <c r="F15224" s="29">
        <f ca="1">ROUND(53.300,3)</f>
        <v>0</v>
      </c>
      <c r="G15224" s="27">
        <f ca="1">ROUND((E15224*F15224)/100,2)</f>
        <v>0</v>
      </c>
    </row>
    <row r="15225" spans="1:7" ht="15.48" thickBot="1" customHeight="1">
      <c r="A15225" s="30"/>
      <c r="B15225" s="30"/>
      <c r="C15225" s="30"/>
      <c r="D15225" s="31" t="s">
        <v>48214</v>
      </c>
      <c r="E15225" s="30"/>
      <c r="F15225" s="33">
        <f ca="1">ROUND((G15209+G15215+G15216+G15217+G15218+G15219+G15224)*(1+G2/100),2)</f>
        <v>0</v>
      </c>
      <c r="G15225" s="30"/>
    </row>
    <row r="15226" spans="1:7" ht="141.48" thickBot="1" customHeight="1">
      <c r="A15226" s="34" t="s">
        <v>48215</v>
      </c>
      <c r="B15226" s="35" t="s">
        <v>48216</v>
      </c>
      <c r="C15226" s="35" t="s">
        <v>48217</v>
      </c>
      <c r="D15226" s="36" t="s">
        <v>48218</v>
      </c>
      <c r="E15226" s="37"/>
      <c r="F15226" s="38">
        <f ca="1">F15244</f>
        <v>0</v>
      </c>
      <c r="G15226" s="37"/>
    </row>
    <row r="15227" spans="1:7" ht="67.56" thickBot="1" customHeight="1">
      <c r="A15227" s="26"/>
      <c r="B15227" s="26"/>
      <c r="C15227" s="26"/>
      <c r="D15227" s="25" t="s">
        <v>48219</v>
      </c>
      <c r="E15227" s="25"/>
      <c r="F15227" s="25"/>
      <c r="G15227" s="25"/>
    </row>
    <row r="15228" spans="1:7" ht="24.36" thickBot="1" customHeight="1">
      <c r="A15228" s="24" t="s">
        <v>48220</v>
      </c>
      <c r="B15228" s="24" t="s">
        <v>48221</v>
      </c>
      <c r="C15228" s="24" t="s">
        <v>48222</v>
      </c>
      <c r="D15228" s="25" t="s">
        <v>48223</v>
      </c>
      <c r="E15228" s="28">
        <v>0.50000</v>
      </c>
      <c r="F15228" s="29">
        <f ca="1">ROUND(18.000,3)</f>
        <v>0</v>
      </c>
      <c r="G15228" s="27">
        <f ca="1">ROUND(E15228*F15228,2)</f>
        <v>0</v>
      </c>
    </row>
    <row r="15229" spans="1:7" ht="30.60" thickBot="1" customHeight="1">
      <c r="A15229" s="24" t="s">
        <v>48224</v>
      </c>
      <c r="B15229" s="24" t="s">
        <v>48225</v>
      </c>
      <c r="C15229" s="24" t="s">
        <v>48226</v>
      </c>
      <c r="D15229" s="25" t="s">
        <v>48227</v>
      </c>
      <c r="E15229" s="28">
        <v>1.00000</v>
      </c>
      <c r="F15229" s="29">
        <f ca="1">ROUND(10.510,3)</f>
        <v>0</v>
      </c>
      <c r="G15229" s="27">
        <f ca="1">ROUND(E15229*F15229,2)</f>
        <v>0</v>
      </c>
    </row>
    <row r="15230" spans="1:7" ht="24.36" thickBot="1" customHeight="1">
      <c r="A15230" s="24" t="s">
        <v>48228</v>
      </c>
      <c r="B15230" s="24" t="s">
        <v>48229</v>
      </c>
      <c r="C15230" s="24" t="s">
        <v>48230</v>
      </c>
      <c r="D15230" s="25" t="s">
        <v>48231</v>
      </c>
      <c r="E15230" s="28">
        <v>0.01300</v>
      </c>
      <c r="F15230" s="29">
        <f ca="1">ROUND(35.300,3)</f>
        <v>0</v>
      </c>
      <c r="G15230" s="27">
        <f ca="1">ROUND(E15230*F15230,2)</f>
        <v>0</v>
      </c>
    </row>
    <row r="15231" spans="1:7" ht="30.60" thickBot="1" customHeight="1">
      <c r="A15231" s="24" t="s">
        <v>48232</v>
      </c>
      <c r="B15231" s="24" t="s">
        <v>48233</v>
      </c>
      <c r="C15231" s="24" t="s">
        <v>48234</v>
      </c>
      <c r="D15231" s="25" t="s">
        <v>48235</v>
      </c>
      <c r="E15231" s="28">
        <v>0.20600</v>
      </c>
      <c r="F15231" s="29">
        <f ca="1">ROUND(6.140,3)</f>
        <v>0</v>
      </c>
      <c r="G15231" s="27">
        <f ca="1">ROUND(E15231*F15231,2)</f>
        <v>0</v>
      </c>
    </row>
    <row r="15232" spans="1:7" ht="30.60" thickBot="1" customHeight="1">
      <c r="A15232" s="24" t="s">
        <v>48236</v>
      </c>
      <c r="B15232" s="24" t="s">
        <v>48237</v>
      </c>
      <c r="C15232" s="24" t="s">
        <v>48238</v>
      </c>
      <c r="D15232" s="25" t="s">
        <v>48239</v>
      </c>
      <c r="E15232" s="28">
        <v>0.50000</v>
      </c>
      <c r="F15232" s="29">
        <f ca="1">ROUND(7.930,3)</f>
        <v>0</v>
      </c>
      <c r="G15232" s="27">
        <f ca="1">ROUND(E15232*F15232,2)</f>
        <v>0</v>
      </c>
    </row>
    <row r="15233" spans="1:7" ht="39.84" thickBot="1" customHeight="1">
      <c r="A15233" s="24" t="s">
        <v>48240</v>
      </c>
      <c r="B15233" s="24" t="s">
        <v>48241</v>
      </c>
      <c r="C15233" s="24" t="s">
        <v>48242</v>
      </c>
      <c r="D15233" s="25" t="s">
        <v>48243</v>
      </c>
      <c r="E15233" s="28">
        <v>1.00000</v>
      </c>
      <c r="F15233" s="29">
        <f ca="1">ROUND(7.370,3)</f>
        <v>0</v>
      </c>
      <c r="G15233" s="27">
        <f ca="1">ROUND(E15233*F15233,2)</f>
        <v>0</v>
      </c>
    </row>
    <row r="15234" spans="1:7" ht="30.60" thickBot="1" customHeight="1">
      <c r="A15234" s="24" t="s">
        <v>48244</v>
      </c>
      <c r="B15234" s="24" t="s">
        <v>48245</v>
      </c>
      <c r="C15234" s="24" t="s">
        <v>48246</v>
      </c>
      <c r="D15234" s="25" t="s">
        <v>48247</v>
      </c>
      <c r="E15234" s="28">
        <v>0.05000</v>
      </c>
      <c r="F15234" s="29">
        <f ca="1">ROUND(30.450,3)</f>
        <v>0</v>
      </c>
      <c r="G15234" s="27">
        <f ca="1">ROUND(E15234*F15234,2)</f>
        <v>0</v>
      </c>
    </row>
    <row r="15235" spans="1:7" ht="21.36" thickBot="1" customHeight="1">
      <c r="A15235" s="24" t="s">
        <v>48248</v>
      </c>
      <c r="B15235" s="24" t="s">
        <v>48249</v>
      </c>
      <c r="C15235" s="24" t="s">
        <v>48250</v>
      </c>
      <c r="D15235" s="25" t="s">
        <v>48251</v>
      </c>
      <c r="E15235" s="28">
        <v>0.50000</v>
      </c>
      <c r="F15235" s="29">
        <f ca="1">ROUND(2.000,3)</f>
        <v>0</v>
      </c>
      <c r="G15235" s="27">
        <f ca="1">ROUND(E15235*F15235,2)</f>
        <v>0</v>
      </c>
    </row>
    <row r="15236" spans="1:7" ht="21.36" thickBot="1" customHeight="1">
      <c r="A15236" s="24" t="s">
        <v>48252</v>
      </c>
      <c r="B15236" s="24" t="s">
        <v>48253</v>
      </c>
      <c r="C15236" s="24" t="s">
        <v>48254</v>
      </c>
      <c r="D15236" s="25" t="s">
        <v>48255</v>
      </c>
      <c r="E15236" s="28">
        <v>0.20000</v>
      </c>
      <c r="F15236" s="29">
        <f ca="1">ROUND(5.520,3)</f>
        <v>0</v>
      </c>
      <c r="G15236" s="27">
        <f ca="1">ROUND(E15236*F15236,2)</f>
        <v>0</v>
      </c>
    </row>
    <row r="15237" spans="1:7" ht="30.60" thickBot="1" customHeight="1">
      <c r="A15237" s="24" t="s">
        <v>48256</v>
      </c>
      <c r="B15237" s="24" t="s">
        <v>48257</v>
      </c>
      <c r="C15237" s="24" t="s">
        <v>48258</v>
      </c>
      <c r="D15237" s="25" t="s">
        <v>48259</v>
      </c>
      <c r="E15237" s="28">
        <v>0.10000</v>
      </c>
      <c r="F15237" s="29">
        <f ca="1">ROUND(4.920,3)</f>
        <v>0</v>
      </c>
      <c r="G15237" s="27">
        <f ca="1">ROUND(E15237*F15237,2)</f>
        <v>0</v>
      </c>
    </row>
    <row r="15238" spans="1:7" ht="39.84" thickBot="1" customHeight="1">
      <c r="A15238" s="24" t="s">
        <v>48260</v>
      </c>
      <c r="B15238" s="24" t="s">
        <v>48261</v>
      </c>
      <c r="C15238" s="24" t="s">
        <v>48262</v>
      </c>
      <c r="D15238" s="25" t="s">
        <v>48263</v>
      </c>
      <c r="E15238" s="28">
        <v>1.00000</v>
      </c>
      <c r="F15238" s="29">
        <f ca="1">ROUND(2.860,3)</f>
        <v>0</v>
      </c>
      <c r="G15238" s="27">
        <f ca="1">ROUND(E15238*F15238,2)</f>
        <v>0</v>
      </c>
    </row>
    <row r="15239" spans="1:7" ht="30.60" thickBot="1" customHeight="1">
      <c r="A15239" s="24" t="s">
        <v>48264</v>
      </c>
      <c r="B15239" s="24" t="s">
        <v>48265</v>
      </c>
      <c r="C15239" s="24" t="s">
        <v>48266</v>
      </c>
      <c r="D15239" s="25" t="s">
        <v>48267</v>
      </c>
      <c r="E15239" s="28">
        <v>3.50000</v>
      </c>
      <c r="F15239" s="29">
        <f ca="1">F15242</f>
        <v>0</v>
      </c>
      <c r="G15239" s="27">
        <f ca="1">ROUND(E15239*F15239,2)</f>
        <v>0</v>
      </c>
    </row>
    <row r="15240" spans="1:7" ht="24.36" thickBot="1" customHeight="1">
      <c r="A15240" s="24" t="s">
        <v>48268</v>
      </c>
      <c r="B15240" s="24" t="s">
        <v>48269</v>
      </c>
      <c r="C15240" s="24" t="s">
        <v>48270</v>
      </c>
      <c r="D15240" s="25" t="s">
        <v>48271</v>
      </c>
      <c r="E15240" s="28">
        <v>1.00000</v>
      </c>
      <c r="F15240" s="29">
        <f ca="1">ROUND(21.000,3)</f>
        <v>0</v>
      </c>
      <c r="G15240" s="27">
        <f ca="1">ROUND(E15240*F15240,2)</f>
        <v>0</v>
      </c>
    </row>
    <row r="15241" spans="1:7" ht="24.36" thickBot="1" customHeight="1">
      <c r="A15241" s="24" t="s">
        <v>48272</v>
      </c>
      <c r="B15241" s="24" t="s">
        <v>48273</v>
      </c>
      <c r="C15241" s="24" t="s">
        <v>48274</v>
      </c>
      <c r="D15241" s="25" t="s">
        <v>48275</v>
      </c>
      <c r="E15241" s="28">
        <v>1.00000</v>
      </c>
      <c r="F15241" s="29">
        <f ca="1">ROUND(19.000,3)</f>
        <v>0</v>
      </c>
      <c r="G15241" s="27">
        <f ca="1">ROUND(E15241*F15241,2)</f>
        <v>0</v>
      </c>
    </row>
    <row r="15242" spans="1:7" ht="15.12" thickBot="1" customHeight="1">
      <c r="A15242" s="26"/>
      <c r="B15242" s="26"/>
      <c r="C15242" s="26"/>
      <c r="D15242" s="24" t="s">
        <v>48276</v>
      </c>
      <c r="E15242" s="28">
        <v>3.50000</v>
      </c>
      <c r="F15242" s="29">
        <f ca="1">ROUND((G15240+G15241),3)</f>
        <v>0</v>
      </c>
      <c r="G15242" s="27">
        <f ca="1">ROUND(E15242*F15242,2)</f>
        <v>0</v>
      </c>
    </row>
    <row r="15243" spans="1:7" ht="15.12" thickBot="1" customHeight="1">
      <c r="A15243" s="24" t="s">
        <v>48277</v>
      </c>
      <c r="B15243" s="24"/>
      <c r="C15243" s="24" t="s">
        <v>48278</v>
      </c>
      <c r="D15243" s="25" t="s">
        <v>48279</v>
      </c>
      <c r="E15243" s="28">
        <v>7.00000</v>
      </c>
      <c r="F15243" s="29">
        <f ca="1">ROUND(149.000,3)</f>
        <v>0</v>
      </c>
      <c r="G15243" s="27">
        <f ca="1">ROUND((E15243*F15243)/100,2)</f>
        <v>0</v>
      </c>
    </row>
    <row r="15244" spans="1:7" ht="15.48" thickBot="1" customHeight="1">
      <c r="A15244" s="30"/>
      <c r="B15244" s="30"/>
      <c r="C15244" s="30"/>
      <c r="D15244" s="31" t="s">
        <v>48280</v>
      </c>
      <c r="E15244" s="30"/>
      <c r="F15244" s="33">
        <f ca="1">ROUND((G15228+G15229+G15230+G15231+G15232+G15233+G15234+G15235+G15236+G15237+G15238+G15239+G15243)*(1+G2/100),2)</f>
        <v>0</v>
      </c>
      <c r="G15244" s="30"/>
    </row>
    <row r="15245" spans="1:7" ht="141.48" thickBot="1" customHeight="1">
      <c r="A15245" s="34" t="s">
        <v>48281</v>
      </c>
      <c r="B15245" s="35" t="s">
        <v>48282</v>
      </c>
      <c r="C15245" s="35" t="s">
        <v>48283</v>
      </c>
      <c r="D15245" s="36" t="s">
        <v>48284</v>
      </c>
      <c r="E15245" s="37"/>
      <c r="F15245" s="38">
        <f ca="1">F15262</f>
        <v>0</v>
      </c>
      <c r="G15245" s="37"/>
    </row>
    <row r="15246" spans="1:7" ht="67.56" thickBot="1" customHeight="1">
      <c r="A15246" s="26"/>
      <c r="B15246" s="26"/>
      <c r="C15246" s="26"/>
      <c r="D15246" s="25" t="s">
        <v>48285</v>
      </c>
      <c r="E15246" s="25"/>
      <c r="F15246" s="25"/>
      <c r="G15246" s="25"/>
    </row>
    <row r="15247" spans="1:7" ht="24.36" thickBot="1" customHeight="1">
      <c r="A15247" s="24" t="s">
        <v>48286</v>
      </c>
      <c r="B15247" s="24" t="s">
        <v>48287</v>
      </c>
      <c r="C15247" s="24" t="s">
        <v>48288</v>
      </c>
      <c r="D15247" s="25" t="s">
        <v>48289</v>
      </c>
      <c r="E15247" s="28">
        <v>0.50000</v>
      </c>
      <c r="F15247" s="29">
        <f ca="1">ROUND(18.000,3)</f>
        <v>0</v>
      </c>
      <c r="G15247" s="27">
        <f ca="1">ROUND(E15247*F15247,2)</f>
        <v>0</v>
      </c>
    </row>
    <row r="15248" spans="1:7" ht="30.60" thickBot="1" customHeight="1">
      <c r="A15248" s="24" t="s">
        <v>48290</v>
      </c>
      <c r="B15248" s="24" t="s">
        <v>48291</v>
      </c>
      <c r="C15248" s="24" t="s">
        <v>48292</v>
      </c>
      <c r="D15248" s="25" t="s">
        <v>48293</v>
      </c>
      <c r="E15248" s="28">
        <v>1.00000</v>
      </c>
      <c r="F15248" s="29">
        <f ca="1">ROUND(10.510,3)</f>
        <v>0</v>
      </c>
      <c r="G15248" s="27">
        <f ca="1">ROUND(E15248*F15248,2)</f>
        <v>0</v>
      </c>
    </row>
    <row r="15249" spans="1:7" ht="24.36" thickBot="1" customHeight="1">
      <c r="A15249" s="24" t="s">
        <v>48294</v>
      </c>
      <c r="B15249" s="24" t="s">
        <v>48295</v>
      </c>
      <c r="C15249" s="24" t="s">
        <v>48296</v>
      </c>
      <c r="D15249" s="25" t="s">
        <v>48297</v>
      </c>
      <c r="E15249" s="28">
        <v>0.01300</v>
      </c>
      <c r="F15249" s="29">
        <f ca="1">ROUND(35.300,3)</f>
        <v>0</v>
      </c>
      <c r="G15249" s="27">
        <f ca="1">ROUND(E15249*F15249,2)</f>
        <v>0</v>
      </c>
    </row>
    <row r="15250" spans="1:7" ht="30.60" thickBot="1" customHeight="1">
      <c r="A15250" s="24" t="s">
        <v>48298</v>
      </c>
      <c r="B15250" s="24" t="s">
        <v>48299</v>
      </c>
      <c r="C15250" s="24" t="s">
        <v>48300</v>
      </c>
      <c r="D15250" s="25" t="s">
        <v>48301</v>
      </c>
      <c r="E15250" s="28">
        <v>0.50000</v>
      </c>
      <c r="F15250" s="29">
        <f ca="1">ROUND(7.930,3)</f>
        <v>0</v>
      </c>
      <c r="G15250" s="27">
        <f ca="1">ROUND(E15250*F15250,2)</f>
        <v>0</v>
      </c>
    </row>
    <row r="15251" spans="1:7" ht="39.84" thickBot="1" customHeight="1">
      <c r="A15251" s="24" t="s">
        <v>48302</v>
      </c>
      <c r="B15251" s="24" t="s">
        <v>48303</v>
      </c>
      <c r="C15251" s="24" t="s">
        <v>48304</v>
      </c>
      <c r="D15251" s="25" t="s">
        <v>48305</v>
      </c>
      <c r="E15251" s="28">
        <v>0.60000</v>
      </c>
      <c r="F15251" s="29">
        <f ca="1">ROUND(7.370,3)</f>
        <v>0</v>
      </c>
      <c r="G15251" s="27">
        <f ca="1">ROUND(E15251*F15251,2)</f>
        <v>0</v>
      </c>
    </row>
    <row r="15252" spans="1:7" ht="30.60" thickBot="1" customHeight="1">
      <c r="A15252" s="24" t="s">
        <v>48306</v>
      </c>
      <c r="B15252" s="24" t="s">
        <v>48307</v>
      </c>
      <c r="C15252" s="24" t="s">
        <v>48308</v>
      </c>
      <c r="D15252" s="25" t="s">
        <v>48309</v>
      </c>
      <c r="E15252" s="28">
        <v>0.05000</v>
      </c>
      <c r="F15252" s="29">
        <f ca="1">ROUND(30.450,3)</f>
        <v>0</v>
      </c>
      <c r="G15252" s="27">
        <f ca="1">ROUND(E15252*F15252,2)</f>
        <v>0</v>
      </c>
    </row>
    <row r="15253" spans="1:7" ht="21.36" thickBot="1" customHeight="1">
      <c r="A15253" s="24" t="s">
        <v>48310</v>
      </c>
      <c r="B15253" s="24" t="s">
        <v>48311</v>
      </c>
      <c r="C15253" s="24" t="s">
        <v>48312</v>
      </c>
      <c r="D15253" s="25" t="s">
        <v>48313</v>
      </c>
      <c r="E15253" s="28">
        <v>0.50000</v>
      </c>
      <c r="F15253" s="29">
        <f ca="1">ROUND(2.000,3)</f>
        <v>0</v>
      </c>
      <c r="G15253" s="27">
        <f ca="1">ROUND(E15253*F15253,2)</f>
        <v>0</v>
      </c>
    </row>
    <row r="15254" spans="1:7" ht="21.36" thickBot="1" customHeight="1">
      <c r="A15254" s="24" t="s">
        <v>48314</v>
      </c>
      <c r="B15254" s="24" t="s">
        <v>48315</v>
      </c>
      <c r="C15254" s="24" t="s">
        <v>48316</v>
      </c>
      <c r="D15254" s="25" t="s">
        <v>48317</v>
      </c>
      <c r="E15254" s="28">
        <v>0.20000</v>
      </c>
      <c r="F15254" s="29">
        <f ca="1">ROUND(5.520,3)</f>
        <v>0</v>
      </c>
      <c r="G15254" s="27">
        <f ca="1">ROUND(E15254*F15254,2)</f>
        <v>0</v>
      </c>
    </row>
    <row r="15255" spans="1:7" ht="30.60" thickBot="1" customHeight="1">
      <c r="A15255" s="24" t="s">
        <v>48318</v>
      </c>
      <c r="B15255" s="24" t="s">
        <v>48319</v>
      </c>
      <c r="C15255" s="24" t="s">
        <v>48320</v>
      </c>
      <c r="D15255" s="25" t="s">
        <v>48321</v>
      </c>
      <c r="E15255" s="28">
        <v>0.20000</v>
      </c>
      <c r="F15255" s="29">
        <f ca="1">ROUND(4.920,3)</f>
        <v>0</v>
      </c>
      <c r="G15255" s="27">
        <f ca="1">ROUND(E15255*F15255,2)</f>
        <v>0</v>
      </c>
    </row>
    <row r="15256" spans="1:7" ht="39.84" thickBot="1" customHeight="1">
      <c r="A15256" s="24" t="s">
        <v>48322</v>
      </c>
      <c r="B15256" s="24" t="s">
        <v>48323</v>
      </c>
      <c r="C15256" s="24" t="s">
        <v>48324</v>
      </c>
      <c r="D15256" s="25" t="s">
        <v>48325</v>
      </c>
      <c r="E15256" s="28">
        <v>1.00000</v>
      </c>
      <c r="F15256" s="29">
        <f ca="1">ROUND(2.860,3)</f>
        <v>0</v>
      </c>
      <c r="G15256" s="27">
        <f ca="1">ROUND(E15256*F15256,2)</f>
        <v>0</v>
      </c>
    </row>
    <row r="15257" spans="1:7" ht="30.60" thickBot="1" customHeight="1">
      <c r="A15257" s="24" t="s">
        <v>48326</v>
      </c>
      <c r="B15257" s="24" t="s">
        <v>48327</v>
      </c>
      <c r="C15257" s="24" t="s">
        <v>48328</v>
      </c>
      <c r="D15257" s="25" t="s">
        <v>48329</v>
      </c>
      <c r="E15257" s="28">
        <v>3.75000</v>
      </c>
      <c r="F15257" s="29">
        <f ca="1">F15260</f>
        <v>0</v>
      </c>
      <c r="G15257" s="27">
        <f ca="1">ROUND(E15257*F15257,2)</f>
        <v>0</v>
      </c>
    </row>
    <row r="15258" spans="1:7" ht="24.36" thickBot="1" customHeight="1">
      <c r="A15258" s="24" t="s">
        <v>48330</v>
      </c>
      <c r="B15258" s="24" t="s">
        <v>48331</v>
      </c>
      <c r="C15258" s="24" t="s">
        <v>48332</v>
      </c>
      <c r="D15258" s="25" t="s">
        <v>48333</v>
      </c>
      <c r="E15258" s="28">
        <v>1.00000</v>
      </c>
      <c r="F15258" s="29">
        <f ca="1">ROUND(21.000,3)</f>
        <v>0</v>
      </c>
      <c r="G15258" s="27">
        <f ca="1">ROUND(E15258*F15258,2)</f>
        <v>0</v>
      </c>
    </row>
    <row r="15259" spans="1:7" ht="24.36" thickBot="1" customHeight="1">
      <c r="A15259" s="24" t="s">
        <v>48334</v>
      </c>
      <c r="B15259" s="24" t="s">
        <v>48335</v>
      </c>
      <c r="C15259" s="24" t="s">
        <v>48336</v>
      </c>
      <c r="D15259" s="25" t="s">
        <v>48337</v>
      </c>
      <c r="E15259" s="28">
        <v>1.00000</v>
      </c>
      <c r="F15259" s="29">
        <f ca="1">ROUND(19.000,3)</f>
        <v>0</v>
      </c>
      <c r="G15259" s="27">
        <f ca="1">ROUND(E15259*F15259,2)</f>
        <v>0</v>
      </c>
    </row>
    <row r="15260" spans="1:7" ht="15.12" thickBot="1" customHeight="1">
      <c r="A15260" s="26"/>
      <c r="B15260" s="26"/>
      <c r="C15260" s="26"/>
      <c r="D15260" s="24" t="s">
        <v>48338</v>
      </c>
      <c r="E15260" s="28">
        <v>3.75000</v>
      </c>
      <c r="F15260" s="29">
        <f ca="1">ROUND((G15258+G15259),3)</f>
        <v>0</v>
      </c>
      <c r="G15260" s="27">
        <f ca="1">ROUND(E15260*F15260,2)</f>
        <v>0</v>
      </c>
    </row>
    <row r="15261" spans="1:7" ht="15.12" thickBot="1" customHeight="1">
      <c r="A15261" s="24" t="s">
        <v>48339</v>
      </c>
      <c r="B15261" s="24"/>
      <c r="C15261" s="24" t="s">
        <v>48340</v>
      </c>
      <c r="D15261" s="25" t="s">
        <v>48341</v>
      </c>
      <c r="E15261" s="28">
        <v>7.00000</v>
      </c>
      <c r="F15261" s="29">
        <f ca="1">ROUND(159.000,3)</f>
        <v>0</v>
      </c>
      <c r="G15261" s="27">
        <f ca="1">ROUND((E15261*F15261)/100,2)</f>
        <v>0</v>
      </c>
    </row>
    <row r="15262" spans="1:7" ht="15.48" thickBot="1" customHeight="1">
      <c r="A15262" s="30"/>
      <c r="B15262" s="30"/>
      <c r="C15262" s="30"/>
      <c r="D15262" s="31" t="s">
        <v>48342</v>
      </c>
      <c r="E15262" s="30"/>
      <c r="F15262" s="33">
        <f ca="1">ROUND((G15247+G15248+G15249+G15250+G15251+G15252+G15253+G15254+G15255+G15256+G15257+G15261)*(1+G2/100),2)</f>
        <v>0</v>
      </c>
      <c r="G15262" s="30"/>
    </row>
    <row r="15263" spans="1:7" ht="141.48" thickBot="1" customHeight="1">
      <c r="A15263" s="34" t="s">
        <v>48343</v>
      </c>
      <c r="B15263" s="35" t="s">
        <v>48344</v>
      </c>
      <c r="C15263" s="35" t="s">
        <v>48345</v>
      </c>
      <c r="D15263" s="36" t="s">
        <v>48346</v>
      </c>
      <c r="E15263" s="37"/>
      <c r="F15263" s="38">
        <f ca="1">F15281</f>
        <v>0</v>
      </c>
      <c r="G15263" s="37"/>
    </row>
    <row r="15264" spans="1:7" ht="67.56" thickBot="1" customHeight="1">
      <c r="A15264" s="26"/>
      <c r="B15264" s="26"/>
      <c r="C15264" s="26"/>
      <c r="D15264" s="25" t="s">
        <v>48347</v>
      </c>
      <c r="E15264" s="25"/>
      <c r="F15264" s="25"/>
      <c r="G15264" s="25"/>
    </row>
    <row r="15265" spans="1:7" ht="24.36" thickBot="1" customHeight="1">
      <c r="A15265" s="24" t="s">
        <v>48348</v>
      </c>
      <c r="B15265" s="24" t="s">
        <v>48349</v>
      </c>
      <c r="C15265" s="24" t="s">
        <v>48350</v>
      </c>
      <c r="D15265" s="25" t="s">
        <v>48351</v>
      </c>
      <c r="E15265" s="28">
        <v>0.75000</v>
      </c>
      <c r="F15265" s="29">
        <f ca="1">ROUND(18.000,3)</f>
        <v>0</v>
      </c>
      <c r="G15265" s="27">
        <f ca="1">ROUND(E15265*F15265,2)</f>
        <v>0</v>
      </c>
    </row>
    <row r="15266" spans="1:7" ht="30.60" thickBot="1" customHeight="1">
      <c r="A15266" s="24" t="s">
        <v>48352</v>
      </c>
      <c r="B15266" s="24" t="s">
        <v>48353</v>
      </c>
      <c r="C15266" s="24" t="s">
        <v>48354</v>
      </c>
      <c r="D15266" s="25" t="s">
        <v>48355</v>
      </c>
      <c r="E15266" s="28">
        <v>1.00000</v>
      </c>
      <c r="F15266" s="29">
        <f ca="1">ROUND(14.400,3)</f>
        <v>0</v>
      </c>
      <c r="G15266" s="27">
        <f ca="1">ROUND(E15266*F15266,2)</f>
        <v>0</v>
      </c>
    </row>
    <row r="15267" spans="1:7" ht="24.36" thickBot="1" customHeight="1">
      <c r="A15267" s="24" t="s">
        <v>48356</v>
      </c>
      <c r="B15267" s="24" t="s">
        <v>48357</v>
      </c>
      <c r="C15267" s="24" t="s">
        <v>48358</v>
      </c>
      <c r="D15267" s="25" t="s">
        <v>48359</v>
      </c>
      <c r="E15267" s="28">
        <v>0.01300</v>
      </c>
      <c r="F15267" s="29">
        <f ca="1">ROUND(35.300,3)</f>
        <v>0</v>
      </c>
      <c r="G15267" s="27">
        <f ca="1">ROUND(E15267*F15267,2)</f>
        <v>0</v>
      </c>
    </row>
    <row r="15268" spans="1:7" ht="30.60" thickBot="1" customHeight="1">
      <c r="A15268" s="24" t="s">
        <v>48360</v>
      </c>
      <c r="B15268" s="24" t="s">
        <v>48361</v>
      </c>
      <c r="C15268" s="24" t="s">
        <v>48362</v>
      </c>
      <c r="D15268" s="25" t="s">
        <v>48363</v>
      </c>
      <c r="E15268" s="28">
        <v>0.30000</v>
      </c>
      <c r="F15268" s="29">
        <f ca="1">ROUND(6.140,3)</f>
        <v>0</v>
      </c>
      <c r="G15268" s="27">
        <f ca="1">ROUND(E15268*F15268,2)</f>
        <v>0</v>
      </c>
    </row>
    <row r="15269" spans="1:7" ht="30.60" thickBot="1" customHeight="1">
      <c r="A15269" s="24" t="s">
        <v>48364</v>
      </c>
      <c r="B15269" s="24" t="s">
        <v>48365</v>
      </c>
      <c r="C15269" s="24" t="s">
        <v>48366</v>
      </c>
      <c r="D15269" s="25" t="s">
        <v>48367</v>
      </c>
      <c r="E15269" s="28">
        <v>0.75000</v>
      </c>
      <c r="F15269" s="29">
        <f ca="1">ROUND(7.930,3)</f>
        <v>0</v>
      </c>
      <c r="G15269" s="27">
        <f ca="1">ROUND(E15269*F15269,2)</f>
        <v>0</v>
      </c>
    </row>
    <row r="15270" spans="1:7" ht="39.84" thickBot="1" customHeight="1">
      <c r="A15270" s="24" t="s">
        <v>48368</v>
      </c>
      <c r="B15270" s="24" t="s">
        <v>48369</v>
      </c>
      <c r="C15270" s="24" t="s">
        <v>48370</v>
      </c>
      <c r="D15270" s="25" t="s">
        <v>48371</v>
      </c>
      <c r="E15270" s="28">
        <v>1.50000</v>
      </c>
      <c r="F15270" s="29">
        <f ca="1">ROUND(7.370,3)</f>
        <v>0</v>
      </c>
      <c r="G15270" s="27">
        <f ca="1">ROUND(E15270*F15270,2)</f>
        <v>0</v>
      </c>
    </row>
    <row r="15271" spans="1:7" ht="30.60" thickBot="1" customHeight="1">
      <c r="A15271" s="24" t="s">
        <v>48372</v>
      </c>
      <c r="B15271" s="24" t="s">
        <v>48373</v>
      </c>
      <c r="C15271" s="24" t="s">
        <v>48374</v>
      </c>
      <c r="D15271" s="25" t="s">
        <v>48375</v>
      </c>
      <c r="E15271" s="28">
        <v>0.07000</v>
      </c>
      <c r="F15271" s="29">
        <f ca="1">ROUND(30.450,3)</f>
        <v>0</v>
      </c>
      <c r="G15271" s="27">
        <f ca="1">ROUND(E15271*F15271,2)</f>
        <v>0</v>
      </c>
    </row>
    <row r="15272" spans="1:7" ht="21.36" thickBot="1" customHeight="1">
      <c r="A15272" s="24" t="s">
        <v>48376</v>
      </c>
      <c r="B15272" s="24" t="s">
        <v>48377</v>
      </c>
      <c r="C15272" s="24" t="s">
        <v>48378</v>
      </c>
      <c r="D15272" s="25" t="s">
        <v>48379</v>
      </c>
      <c r="E15272" s="28">
        <v>0.60000</v>
      </c>
      <c r="F15272" s="29">
        <f ca="1">ROUND(2.000,3)</f>
        <v>0</v>
      </c>
      <c r="G15272" s="27">
        <f ca="1">ROUND(E15272*F15272,2)</f>
        <v>0</v>
      </c>
    </row>
    <row r="15273" spans="1:7" ht="21.36" thickBot="1" customHeight="1">
      <c r="A15273" s="24" t="s">
        <v>48380</v>
      </c>
      <c r="B15273" s="24" t="s">
        <v>48381</v>
      </c>
      <c r="C15273" s="24" t="s">
        <v>48382</v>
      </c>
      <c r="D15273" s="25" t="s">
        <v>48383</v>
      </c>
      <c r="E15273" s="28">
        <v>0.30000</v>
      </c>
      <c r="F15273" s="29">
        <f ca="1">ROUND(5.520,3)</f>
        <v>0</v>
      </c>
      <c r="G15273" s="27">
        <f ca="1">ROUND(E15273*F15273,2)</f>
        <v>0</v>
      </c>
    </row>
    <row r="15274" spans="1:7" ht="30.60" thickBot="1" customHeight="1">
      <c r="A15274" s="24" t="s">
        <v>48384</v>
      </c>
      <c r="B15274" s="24" t="s">
        <v>48385</v>
      </c>
      <c r="C15274" s="24" t="s">
        <v>48386</v>
      </c>
      <c r="D15274" s="25" t="s">
        <v>48387</v>
      </c>
      <c r="E15274" s="28">
        <v>0.15000</v>
      </c>
      <c r="F15274" s="29">
        <f ca="1">ROUND(4.920,3)</f>
        <v>0</v>
      </c>
      <c r="G15274" s="27">
        <f ca="1">ROUND(E15274*F15274,2)</f>
        <v>0</v>
      </c>
    </row>
    <row r="15275" spans="1:7" ht="39.84" thickBot="1" customHeight="1">
      <c r="A15275" s="24" t="s">
        <v>48388</v>
      </c>
      <c r="B15275" s="24" t="s">
        <v>48389</v>
      </c>
      <c r="C15275" s="24" t="s">
        <v>48390</v>
      </c>
      <c r="D15275" s="25" t="s">
        <v>48391</v>
      </c>
      <c r="E15275" s="28">
        <v>1.25000</v>
      </c>
      <c r="F15275" s="29">
        <f ca="1">ROUND(2.860,3)</f>
        <v>0</v>
      </c>
      <c r="G15275" s="27">
        <f ca="1">ROUND(E15275*F15275,2)</f>
        <v>0</v>
      </c>
    </row>
    <row r="15276" spans="1:7" ht="30.60" thickBot="1" customHeight="1">
      <c r="A15276" s="24" t="s">
        <v>48392</v>
      </c>
      <c r="B15276" s="24" t="s">
        <v>48393</v>
      </c>
      <c r="C15276" s="24" t="s">
        <v>48394</v>
      </c>
      <c r="D15276" s="25" t="s">
        <v>48395</v>
      </c>
      <c r="E15276" s="28">
        <v>3.75000</v>
      </c>
      <c r="F15276" s="29">
        <f ca="1">F15279</f>
        <v>0</v>
      </c>
      <c r="G15276" s="27">
        <f ca="1">ROUND(E15276*F15276,2)</f>
        <v>0</v>
      </c>
    </row>
    <row r="15277" spans="1:7" ht="24.36" thickBot="1" customHeight="1">
      <c r="A15277" s="24" t="s">
        <v>48396</v>
      </c>
      <c r="B15277" s="24" t="s">
        <v>48397</v>
      </c>
      <c r="C15277" s="24" t="s">
        <v>48398</v>
      </c>
      <c r="D15277" s="25" t="s">
        <v>48399</v>
      </c>
      <c r="E15277" s="28">
        <v>1.00000</v>
      </c>
      <c r="F15277" s="29">
        <f ca="1">ROUND(21.000,3)</f>
        <v>0</v>
      </c>
      <c r="G15277" s="27">
        <f ca="1">ROUND(E15277*F15277,2)</f>
        <v>0</v>
      </c>
    </row>
    <row r="15278" spans="1:7" ht="24.36" thickBot="1" customHeight="1">
      <c r="A15278" s="24" t="s">
        <v>48400</v>
      </c>
      <c r="B15278" s="24" t="s">
        <v>48401</v>
      </c>
      <c r="C15278" s="24" t="s">
        <v>48402</v>
      </c>
      <c r="D15278" s="25" t="s">
        <v>48403</v>
      </c>
      <c r="E15278" s="28">
        <v>1.00000</v>
      </c>
      <c r="F15278" s="29">
        <f ca="1">ROUND(19.000,3)</f>
        <v>0</v>
      </c>
      <c r="G15278" s="27">
        <f ca="1">ROUND(E15278*F15278,2)</f>
        <v>0</v>
      </c>
    </row>
    <row r="15279" spans="1:7" ht="15.12" thickBot="1" customHeight="1">
      <c r="A15279" s="26"/>
      <c r="B15279" s="26"/>
      <c r="C15279" s="26"/>
      <c r="D15279" s="24" t="s">
        <v>48404</v>
      </c>
      <c r="E15279" s="28">
        <v>3.75000</v>
      </c>
      <c r="F15279" s="29">
        <f ca="1">ROUND((G15277+G15278),3)</f>
        <v>0</v>
      </c>
      <c r="G15279" s="27">
        <f ca="1">ROUND(E15279*F15279,2)</f>
        <v>0</v>
      </c>
    </row>
    <row r="15280" spans="1:7" ht="15.12" thickBot="1" customHeight="1">
      <c r="A15280" s="24" t="s">
        <v>48405</v>
      </c>
      <c r="B15280" s="24"/>
      <c r="C15280" s="24" t="s">
        <v>48406</v>
      </c>
      <c r="D15280" s="25" t="s">
        <v>48407</v>
      </c>
      <c r="E15280" s="28">
        <v>7.00000</v>
      </c>
      <c r="F15280" s="29">
        <f ca="1">ROUND(163.500,3)</f>
        <v>0</v>
      </c>
      <c r="G15280" s="27">
        <f ca="1">ROUND((E15280*F15280)/100,2)</f>
        <v>0</v>
      </c>
    </row>
    <row r="15281" spans="1:7" ht="15.48" thickBot="1" customHeight="1">
      <c r="A15281" s="30"/>
      <c r="B15281" s="30"/>
      <c r="C15281" s="30"/>
      <c r="D15281" s="31" t="s">
        <v>48408</v>
      </c>
      <c r="E15281" s="30"/>
      <c r="F15281" s="33">
        <f ca="1">ROUND((G15265+G15266+G15267+G15268+G15269+G15270+G15271+G15272+G15273+G15274+G15275+G15276+G15280)*(1+G2/100),2)</f>
        <v>0</v>
      </c>
      <c r="G15281" s="30"/>
    </row>
    <row r="15282" spans="1:7" ht="141.48" thickBot="1" customHeight="1">
      <c r="A15282" s="34" t="s">
        <v>48409</v>
      </c>
      <c r="B15282" s="35" t="s">
        <v>48410</v>
      </c>
      <c r="C15282" s="35" t="s">
        <v>48411</v>
      </c>
      <c r="D15282" s="36" t="s">
        <v>48412</v>
      </c>
      <c r="E15282" s="37"/>
      <c r="F15282" s="38">
        <f ca="1">F15299</f>
        <v>0</v>
      </c>
      <c r="G15282" s="37"/>
    </row>
    <row r="15283" spans="1:7" ht="67.56" thickBot="1" customHeight="1">
      <c r="A15283" s="26"/>
      <c r="B15283" s="26"/>
      <c r="C15283" s="26"/>
      <c r="D15283" s="25" t="s">
        <v>48413</v>
      </c>
      <c r="E15283" s="25"/>
      <c r="F15283" s="25"/>
      <c r="G15283" s="25"/>
    </row>
    <row r="15284" spans="1:7" ht="24.36" thickBot="1" customHeight="1">
      <c r="A15284" s="24" t="s">
        <v>48414</v>
      </c>
      <c r="B15284" s="24" t="s">
        <v>48415</v>
      </c>
      <c r="C15284" s="24" t="s">
        <v>48416</v>
      </c>
      <c r="D15284" s="25" t="s">
        <v>48417</v>
      </c>
      <c r="E15284" s="28">
        <v>0.75000</v>
      </c>
      <c r="F15284" s="29">
        <f ca="1">ROUND(18.000,3)</f>
        <v>0</v>
      </c>
      <c r="G15284" s="27">
        <f ca="1">ROUND(E15284*F15284,2)</f>
        <v>0</v>
      </c>
    </row>
    <row r="15285" spans="1:7" ht="30.60" thickBot="1" customHeight="1">
      <c r="A15285" s="24" t="s">
        <v>48418</v>
      </c>
      <c r="B15285" s="24" t="s">
        <v>48419</v>
      </c>
      <c r="C15285" s="24" t="s">
        <v>48420</v>
      </c>
      <c r="D15285" s="25" t="s">
        <v>48421</v>
      </c>
      <c r="E15285" s="28">
        <v>1.00000</v>
      </c>
      <c r="F15285" s="29">
        <f ca="1">ROUND(14.400,3)</f>
        <v>0</v>
      </c>
      <c r="G15285" s="27">
        <f ca="1">ROUND(E15285*F15285,2)</f>
        <v>0</v>
      </c>
    </row>
    <row r="15286" spans="1:7" ht="24.36" thickBot="1" customHeight="1">
      <c r="A15286" s="24" t="s">
        <v>48422</v>
      </c>
      <c r="B15286" s="24" t="s">
        <v>48423</v>
      </c>
      <c r="C15286" s="24" t="s">
        <v>48424</v>
      </c>
      <c r="D15286" s="25" t="s">
        <v>48425</v>
      </c>
      <c r="E15286" s="28">
        <v>0.01300</v>
      </c>
      <c r="F15286" s="29">
        <f ca="1">ROUND(35.300,3)</f>
        <v>0</v>
      </c>
      <c r="G15286" s="27">
        <f ca="1">ROUND(E15286*F15286,2)</f>
        <v>0</v>
      </c>
    </row>
    <row r="15287" spans="1:7" ht="30.60" thickBot="1" customHeight="1">
      <c r="A15287" s="24" t="s">
        <v>48426</v>
      </c>
      <c r="B15287" s="24" t="s">
        <v>48427</v>
      </c>
      <c r="C15287" s="24" t="s">
        <v>48428</v>
      </c>
      <c r="D15287" s="25" t="s">
        <v>48429</v>
      </c>
      <c r="E15287" s="28">
        <v>0.75000</v>
      </c>
      <c r="F15287" s="29">
        <f ca="1">ROUND(7.930,3)</f>
        <v>0</v>
      </c>
      <c r="G15287" s="27">
        <f ca="1">ROUND(E15287*F15287,2)</f>
        <v>0</v>
      </c>
    </row>
    <row r="15288" spans="1:7" ht="39.84" thickBot="1" customHeight="1">
      <c r="A15288" s="24" t="s">
        <v>48430</v>
      </c>
      <c r="B15288" s="24" t="s">
        <v>48431</v>
      </c>
      <c r="C15288" s="24" t="s">
        <v>48432</v>
      </c>
      <c r="D15288" s="25" t="s">
        <v>48433</v>
      </c>
      <c r="E15288" s="28">
        <v>0.90000</v>
      </c>
      <c r="F15288" s="29">
        <f ca="1">ROUND(7.370,3)</f>
        <v>0</v>
      </c>
      <c r="G15288" s="27">
        <f ca="1">ROUND(E15288*F15288,2)</f>
        <v>0</v>
      </c>
    </row>
    <row r="15289" spans="1:7" ht="30.60" thickBot="1" customHeight="1">
      <c r="A15289" s="24" t="s">
        <v>48434</v>
      </c>
      <c r="B15289" s="24" t="s">
        <v>48435</v>
      </c>
      <c r="C15289" s="24" t="s">
        <v>48436</v>
      </c>
      <c r="D15289" s="25" t="s">
        <v>48437</v>
      </c>
      <c r="E15289" s="28">
        <v>0.07000</v>
      </c>
      <c r="F15289" s="29">
        <f ca="1">ROUND(30.450,3)</f>
        <v>0</v>
      </c>
      <c r="G15289" s="27">
        <f ca="1">ROUND(E15289*F15289,2)</f>
        <v>0</v>
      </c>
    </row>
    <row r="15290" spans="1:7" ht="21.36" thickBot="1" customHeight="1">
      <c r="A15290" s="24" t="s">
        <v>48438</v>
      </c>
      <c r="B15290" s="24" t="s">
        <v>48439</v>
      </c>
      <c r="C15290" s="24" t="s">
        <v>48440</v>
      </c>
      <c r="D15290" s="25" t="s">
        <v>48441</v>
      </c>
      <c r="E15290" s="28">
        <v>0.60000</v>
      </c>
      <c r="F15290" s="29">
        <f ca="1">ROUND(2.000,3)</f>
        <v>0</v>
      </c>
      <c r="G15290" s="27">
        <f ca="1">ROUND(E15290*F15290,2)</f>
        <v>0</v>
      </c>
    </row>
    <row r="15291" spans="1:7" ht="21.36" thickBot="1" customHeight="1">
      <c r="A15291" s="24" t="s">
        <v>48442</v>
      </c>
      <c r="B15291" s="24" t="s">
        <v>48443</v>
      </c>
      <c r="C15291" s="24" t="s">
        <v>48444</v>
      </c>
      <c r="D15291" s="25" t="s">
        <v>48445</v>
      </c>
      <c r="E15291" s="28">
        <v>0.30000</v>
      </c>
      <c r="F15291" s="29">
        <f ca="1">ROUND(5.520,3)</f>
        <v>0</v>
      </c>
      <c r="G15291" s="27">
        <f ca="1">ROUND(E15291*F15291,2)</f>
        <v>0</v>
      </c>
    </row>
    <row r="15292" spans="1:7" ht="30.60" thickBot="1" customHeight="1">
      <c r="A15292" s="24" t="s">
        <v>48446</v>
      </c>
      <c r="B15292" s="24" t="s">
        <v>48447</v>
      </c>
      <c r="C15292" s="24" t="s">
        <v>48448</v>
      </c>
      <c r="D15292" s="25" t="s">
        <v>48449</v>
      </c>
      <c r="E15292" s="28">
        <v>0.15000</v>
      </c>
      <c r="F15292" s="29">
        <f ca="1">ROUND(4.920,3)</f>
        <v>0</v>
      </c>
      <c r="G15292" s="27">
        <f ca="1">ROUND(E15292*F15292,2)</f>
        <v>0</v>
      </c>
    </row>
    <row r="15293" spans="1:7" ht="39.84" thickBot="1" customHeight="1">
      <c r="A15293" s="24" t="s">
        <v>48450</v>
      </c>
      <c r="B15293" s="24" t="s">
        <v>48451</v>
      </c>
      <c r="C15293" s="24" t="s">
        <v>48452</v>
      </c>
      <c r="D15293" s="25" t="s">
        <v>48453</v>
      </c>
      <c r="E15293" s="28">
        <v>1.25000</v>
      </c>
      <c r="F15293" s="29">
        <f ca="1">ROUND(2.860,3)</f>
        <v>0</v>
      </c>
      <c r="G15293" s="27">
        <f ca="1">ROUND(E15293*F15293,2)</f>
        <v>0</v>
      </c>
    </row>
    <row r="15294" spans="1:7" ht="30.60" thickBot="1" customHeight="1">
      <c r="A15294" s="24" t="s">
        <v>48454</v>
      </c>
      <c r="B15294" s="24" t="s">
        <v>48455</v>
      </c>
      <c r="C15294" s="24" t="s">
        <v>48456</v>
      </c>
      <c r="D15294" s="25" t="s">
        <v>48457</v>
      </c>
      <c r="E15294" s="28">
        <v>4.00000</v>
      </c>
      <c r="F15294" s="29">
        <f ca="1">F15297</f>
        <v>0</v>
      </c>
      <c r="G15294" s="27">
        <f ca="1">ROUND(E15294*F15294,2)</f>
        <v>0</v>
      </c>
    </row>
    <row r="15295" spans="1:7" ht="24.36" thickBot="1" customHeight="1">
      <c r="A15295" s="24" t="s">
        <v>48458</v>
      </c>
      <c r="B15295" s="24" t="s">
        <v>48459</v>
      </c>
      <c r="C15295" s="24" t="s">
        <v>48460</v>
      </c>
      <c r="D15295" s="25" t="s">
        <v>48461</v>
      </c>
      <c r="E15295" s="28">
        <v>1.00000</v>
      </c>
      <c r="F15295" s="29">
        <f ca="1">ROUND(21.000,3)</f>
        <v>0</v>
      </c>
      <c r="G15295" s="27">
        <f ca="1">ROUND(E15295*F15295,2)</f>
        <v>0</v>
      </c>
    </row>
    <row r="15296" spans="1:7" ht="24.36" thickBot="1" customHeight="1">
      <c r="A15296" s="24" t="s">
        <v>48462</v>
      </c>
      <c r="B15296" s="24" t="s">
        <v>48463</v>
      </c>
      <c r="C15296" s="24" t="s">
        <v>48464</v>
      </c>
      <c r="D15296" s="25" t="s">
        <v>48465</v>
      </c>
      <c r="E15296" s="28">
        <v>1.00000</v>
      </c>
      <c r="F15296" s="29">
        <f ca="1">ROUND(19.000,3)</f>
        <v>0</v>
      </c>
      <c r="G15296" s="27">
        <f ca="1">ROUND(E15296*F15296,2)</f>
        <v>0</v>
      </c>
    </row>
    <row r="15297" spans="1:7" ht="15.12" thickBot="1" customHeight="1">
      <c r="A15297" s="26"/>
      <c r="B15297" s="26"/>
      <c r="C15297" s="26"/>
      <c r="D15297" s="24" t="s">
        <v>48466</v>
      </c>
      <c r="E15297" s="28">
        <v>4.00000</v>
      </c>
      <c r="F15297" s="29">
        <f ca="1">ROUND((G15295+G15296),3)</f>
        <v>0</v>
      </c>
      <c r="G15297" s="27">
        <f ca="1">ROUND(E15297*F15297,2)</f>
        <v>0</v>
      </c>
    </row>
    <row r="15298" spans="1:7" ht="15.12" thickBot="1" customHeight="1">
      <c r="A15298" s="24" t="s">
        <v>48467</v>
      </c>
      <c r="B15298" s="24"/>
      <c r="C15298" s="24" t="s">
        <v>48468</v>
      </c>
      <c r="D15298" s="25" t="s">
        <v>48469</v>
      </c>
      <c r="E15298" s="28">
        <v>7.00000</v>
      </c>
      <c r="F15298" s="29">
        <f ca="1">ROUND(173.500,3)</f>
        <v>0</v>
      </c>
      <c r="G15298" s="27">
        <f ca="1">ROUND((E15298*F15298)/100,2)</f>
        <v>0</v>
      </c>
    </row>
    <row r="15299" spans="1:7" ht="15.48" thickBot="1" customHeight="1">
      <c r="A15299" s="30"/>
      <c r="B15299" s="30"/>
      <c r="C15299" s="30"/>
      <c r="D15299" s="31" t="s">
        <v>48470</v>
      </c>
      <c r="E15299" s="30"/>
      <c r="F15299" s="33">
        <f ca="1">ROUND((G15284+G15285+G15286+G15287+G15288+G15289+G15290+G15291+G15292+G15293+G15294+G15298)*(1+G2/100),2)</f>
        <v>0</v>
      </c>
      <c r="G15299" s="30"/>
    </row>
    <row r="15300" spans="1:7" ht="58.32" thickBot="1" customHeight="1">
      <c r="A15300" s="34" t="s">
        <v>48471</v>
      </c>
      <c r="B15300" s="35" t="s">
        <v>48472</v>
      </c>
      <c r="C15300" s="35" t="s">
        <v>48473</v>
      </c>
      <c r="D15300" s="36" t="s">
        <v>48474</v>
      </c>
      <c r="E15300" s="37"/>
      <c r="F15300" s="38">
        <f ca="1">F15311</f>
        <v>0</v>
      </c>
      <c r="G15300" s="37"/>
    </row>
    <row r="15301" spans="1:7" ht="30.60" thickBot="1" customHeight="1">
      <c r="A15301" s="26"/>
      <c r="B15301" s="26"/>
      <c r="C15301" s="26"/>
      <c r="D15301" s="25" t="s">
        <v>48475</v>
      </c>
      <c r="E15301" s="25"/>
      <c r="F15301" s="25"/>
      <c r="G15301" s="25"/>
    </row>
    <row r="15302" spans="1:7" ht="30.60" thickBot="1" customHeight="1">
      <c r="A15302" s="24" t="s">
        <v>48476</v>
      </c>
      <c r="B15302" s="24" t="s">
        <v>48477</v>
      </c>
      <c r="C15302" s="24" t="s">
        <v>48478</v>
      </c>
      <c r="D15302" s="25" t="s">
        <v>48479</v>
      </c>
      <c r="E15302" s="28">
        <v>0.01833</v>
      </c>
      <c r="F15302" s="29">
        <f ca="1">ROUND(18.440,3)</f>
        <v>0</v>
      </c>
      <c r="G15302" s="27">
        <f ca="1">ROUND(E15302*F15302,2)</f>
        <v>0</v>
      </c>
    </row>
    <row r="15303" spans="1:7" ht="30.60" thickBot="1" customHeight="1">
      <c r="A15303" s="24" t="s">
        <v>48480</v>
      </c>
      <c r="B15303" s="24" t="s">
        <v>48481</v>
      </c>
      <c r="C15303" s="24" t="s">
        <v>48482</v>
      </c>
      <c r="D15303" s="25" t="s">
        <v>48483</v>
      </c>
      <c r="E15303" s="28">
        <v>0.07333</v>
      </c>
      <c r="F15303" s="29">
        <f ca="1">ROUND(11.040,3)</f>
        <v>0</v>
      </c>
      <c r="G15303" s="27">
        <f ca="1">ROUND(E15303*F15303,2)</f>
        <v>0</v>
      </c>
    </row>
    <row r="15304" spans="1:7" ht="39.84" thickBot="1" customHeight="1">
      <c r="A15304" s="24" t="s">
        <v>48484</v>
      </c>
      <c r="B15304" s="24" t="s">
        <v>48485</v>
      </c>
      <c r="C15304" s="24" t="s">
        <v>48486</v>
      </c>
      <c r="D15304" s="25" t="s">
        <v>48487</v>
      </c>
      <c r="E15304" s="28">
        <v>0.03333</v>
      </c>
      <c r="F15304" s="29">
        <f ca="1">ROUND(23.830,3)</f>
        <v>0</v>
      </c>
      <c r="G15304" s="27">
        <f ca="1">ROUND(E15304*F15304,2)</f>
        <v>0</v>
      </c>
    </row>
    <row r="15305" spans="1:7" ht="30.60" thickBot="1" customHeight="1">
      <c r="A15305" s="24" t="s">
        <v>48488</v>
      </c>
      <c r="B15305" s="24" t="s">
        <v>48489</v>
      </c>
      <c r="C15305" s="24" t="s">
        <v>48490</v>
      </c>
      <c r="D15305" s="25" t="s">
        <v>48491</v>
      </c>
      <c r="E15305" s="28">
        <v>0.25000</v>
      </c>
      <c r="F15305" s="29">
        <f ca="1">F15307</f>
        <v>0</v>
      </c>
      <c r="G15305" s="27">
        <f ca="1">ROUND(E15305*F15305,2)</f>
        <v>0</v>
      </c>
    </row>
    <row r="15306" spans="1:7" ht="30.60" thickBot="1" customHeight="1">
      <c r="A15306" s="24" t="s">
        <v>48492</v>
      </c>
      <c r="B15306" s="24" t="s">
        <v>48493</v>
      </c>
      <c r="C15306" s="24" t="s">
        <v>48494</v>
      </c>
      <c r="D15306" s="25" t="s">
        <v>48495</v>
      </c>
      <c r="E15306" s="28">
        <v>0.00347</v>
      </c>
      <c r="F15306" s="29">
        <f ca="1">ROUND(257.000,3)</f>
        <v>0</v>
      </c>
      <c r="G15306" s="27">
        <f ca="1">ROUND(E15306*F15306,2)</f>
        <v>0</v>
      </c>
    </row>
    <row r="15307" spans="1:7" ht="15.12" thickBot="1" customHeight="1">
      <c r="A15307" s="26"/>
      <c r="B15307" s="26"/>
      <c r="C15307" s="26"/>
      <c r="D15307" s="24" t="s">
        <v>48496</v>
      </c>
      <c r="E15307" s="28">
        <v>0.25000</v>
      </c>
      <c r="F15307" s="29">
        <f ca="1">ROUND((G15306),3)</f>
        <v>0</v>
      </c>
      <c r="G15307" s="27">
        <f ca="1">ROUND(E15307*F15307,2)</f>
        <v>0</v>
      </c>
    </row>
    <row r="15308" spans="1:7" ht="30.60" thickBot="1" customHeight="1">
      <c r="A15308" s="24" t="s">
        <v>48497</v>
      </c>
      <c r="B15308" s="24" t="s">
        <v>48498</v>
      </c>
      <c r="C15308" s="24" t="s">
        <v>48499</v>
      </c>
      <c r="D15308" s="25" t="s">
        <v>48500</v>
      </c>
      <c r="E15308" s="28">
        <v>0.53333</v>
      </c>
      <c r="F15308" s="29">
        <f ca="1">F15309</f>
        <v>0</v>
      </c>
      <c r="G15308" s="27">
        <f ca="1">ROUND(E15308*F15308,2)</f>
        <v>0</v>
      </c>
    </row>
    <row r="15309" spans="1:7" ht="15.12" thickBot="1" customHeight="1">
      <c r="A15309" s="26"/>
      <c r="B15309" s="26"/>
      <c r="C15309" s="26"/>
      <c r="D15309" s="24" t="s">
        <v>48501</v>
      </c>
      <c r="E15309" s="28">
        <v>0.53333</v>
      </c>
      <c r="F15309" s="29">
        <f ca="1">ROUND((),3)</f>
        <v>0</v>
      </c>
      <c r="G15309" s="27">
        <f ca="1">ROUND(E15309*F15309,2)</f>
        <v>0</v>
      </c>
    </row>
    <row r="15310" spans="1:7" ht="15.12" thickBot="1" customHeight="1">
      <c r="A15310" s="24" t="s">
        <v>48502</v>
      </c>
      <c r="B15310" s="24"/>
      <c r="C15310" s="24" t="s">
        <v>48503</v>
      </c>
      <c r="D15310" s="25" t="s">
        <v>48504</v>
      </c>
      <c r="E15310" s="28">
        <v>5.00000</v>
      </c>
      <c r="F15310" s="29">
        <f ca="1">ROUND(26.400,3)</f>
        <v>0</v>
      </c>
      <c r="G15310" s="27">
        <f ca="1">ROUND((E15310*F15310)/100,2)</f>
        <v>0</v>
      </c>
    </row>
    <row r="15311" spans="1:7" ht="15.48" thickBot="1" customHeight="1">
      <c r="A15311" s="30"/>
      <c r="B15311" s="30"/>
      <c r="C15311" s="30"/>
      <c r="D15311" s="31" t="s">
        <v>48505</v>
      </c>
      <c r="E15311" s="30"/>
      <c r="F15311" s="33">
        <f ca="1">ROUND((G15302+G15303+G15304+G15305+G15308+G15310)*(1+G2/100),2)</f>
        <v>0</v>
      </c>
      <c r="G15311" s="30"/>
    </row>
    <row r="15312" spans="1:7" ht="58.32" thickBot="1" customHeight="1">
      <c r="A15312" s="34" t="s">
        <v>48506</v>
      </c>
      <c r="B15312" s="35" t="s">
        <v>48507</v>
      </c>
      <c r="C15312" s="35" t="s">
        <v>48508</v>
      </c>
      <c r="D15312" s="36" t="s">
        <v>48509</v>
      </c>
      <c r="E15312" s="37"/>
      <c r="F15312" s="38">
        <f ca="1">F15323</f>
        <v>0</v>
      </c>
      <c r="G15312" s="37"/>
    </row>
    <row r="15313" spans="1:7" ht="30.60" thickBot="1" customHeight="1">
      <c r="A15313" s="26"/>
      <c r="B15313" s="26"/>
      <c r="C15313" s="26"/>
      <c r="D15313" s="25" t="s">
        <v>48510</v>
      </c>
      <c r="E15313" s="25"/>
      <c r="F15313" s="25"/>
      <c r="G15313" s="25"/>
    </row>
    <row r="15314" spans="1:7" ht="30.60" thickBot="1" customHeight="1">
      <c r="A15314" s="24" t="s">
        <v>48511</v>
      </c>
      <c r="B15314" s="24" t="s">
        <v>48512</v>
      </c>
      <c r="C15314" s="24" t="s">
        <v>48513</v>
      </c>
      <c r="D15314" s="25" t="s">
        <v>48514</v>
      </c>
      <c r="E15314" s="28">
        <v>0.02777</v>
      </c>
      <c r="F15314" s="29">
        <f ca="1">ROUND(18.440,3)</f>
        <v>0</v>
      </c>
      <c r="G15314" s="27">
        <f ca="1">ROUND(E15314*F15314,2)</f>
        <v>0</v>
      </c>
    </row>
    <row r="15315" spans="1:7" ht="30.60" thickBot="1" customHeight="1">
      <c r="A15315" s="24" t="s">
        <v>48515</v>
      </c>
      <c r="B15315" s="24" t="s">
        <v>48516</v>
      </c>
      <c r="C15315" s="24" t="s">
        <v>48517</v>
      </c>
      <c r="D15315" s="25" t="s">
        <v>48518</v>
      </c>
      <c r="E15315" s="28">
        <v>0.07333</v>
      </c>
      <c r="F15315" s="29">
        <f ca="1">ROUND(11.040,3)</f>
        <v>0</v>
      </c>
      <c r="G15315" s="27">
        <f ca="1">ROUND(E15315*F15315,2)</f>
        <v>0</v>
      </c>
    </row>
    <row r="15316" spans="1:7" ht="39.84" thickBot="1" customHeight="1">
      <c r="A15316" s="24" t="s">
        <v>48519</v>
      </c>
      <c r="B15316" s="24" t="s">
        <v>48520</v>
      </c>
      <c r="C15316" s="24" t="s">
        <v>48521</v>
      </c>
      <c r="D15316" s="25" t="s">
        <v>48522</v>
      </c>
      <c r="E15316" s="28">
        <v>0.03333</v>
      </c>
      <c r="F15316" s="29">
        <f ca="1">ROUND(23.830,3)</f>
        <v>0</v>
      </c>
      <c r="G15316" s="27">
        <f ca="1">ROUND(E15316*F15316,2)</f>
        <v>0</v>
      </c>
    </row>
    <row r="15317" spans="1:7" ht="30.60" thickBot="1" customHeight="1">
      <c r="A15317" s="24" t="s">
        <v>48523</v>
      </c>
      <c r="B15317" s="24" t="s">
        <v>48524</v>
      </c>
      <c r="C15317" s="24" t="s">
        <v>48525</v>
      </c>
      <c r="D15317" s="25" t="s">
        <v>48526</v>
      </c>
      <c r="E15317" s="28">
        <v>0.30000</v>
      </c>
      <c r="F15317" s="29">
        <f ca="1">F15319</f>
        <v>0</v>
      </c>
      <c r="G15317" s="27">
        <f ca="1">ROUND(E15317*F15317,2)</f>
        <v>0</v>
      </c>
    </row>
    <row r="15318" spans="1:7" ht="30.60" thickBot="1" customHeight="1">
      <c r="A15318" s="24" t="s">
        <v>48527</v>
      </c>
      <c r="B15318" s="24" t="s">
        <v>48528</v>
      </c>
      <c r="C15318" s="24" t="s">
        <v>48529</v>
      </c>
      <c r="D15318" s="25" t="s">
        <v>48530</v>
      </c>
      <c r="E15318" s="28">
        <v>0.00347</v>
      </c>
      <c r="F15318" s="29">
        <f ca="1">ROUND(257.000,3)</f>
        <v>0</v>
      </c>
      <c r="G15318" s="27">
        <f ca="1">ROUND(E15318*F15318,2)</f>
        <v>0</v>
      </c>
    </row>
    <row r="15319" spans="1:7" ht="15.12" thickBot="1" customHeight="1">
      <c r="A15319" s="26"/>
      <c r="B15319" s="26"/>
      <c r="C15319" s="26"/>
      <c r="D15319" s="24" t="s">
        <v>48531</v>
      </c>
      <c r="E15319" s="28">
        <v>0.30000</v>
      </c>
      <c r="F15319" s="29">
        <f ca="1">ROUND((G15318),3)</f>
        <v>0</v>
      </c>
      <c r="G15319" s="27">
        <f ca="1">ROUND(E15319*F15319,2)</f>
        <v>0</v>
      </c>
    </row>
    <row r="15320" spans="1:7" ht="30.60" thickBot="1" customHeight="1">
      <c r="A15320" s="24" t="s">
        <v>48532</v>
      </c>
      <c r="B15320" s="24" t="s">
        <v>48533</v>
      </c>
      <c r="C15320" s="24" t="s">
        <v>48534</v>
      </c>
      <c r="D15320" s="25" t="s">
        <v>48535</v>
      </c>
      <c r="E15320" s="28">
        <v>0.60000</v>
      </c>
      <c r="F15320" s="29">
        <f ca="1">F15321</f>
        <v>0</v>
      </c>
      <c r="G15320" s="27">
        <f ca="1">ROUND(E15320*F15320,2)</f>
        <v>0</v>
      </c>
    </row>
    <row r="15321" spans="1:7" ht="15.12" thickBot="1" customHeight="1">
      <c r="A15321" s="26"/>
      <c r="B15321" s="26"/>
      <c r="C15321" s="26"/>
      <c r="D15321" s="24" t="s">
        <v>48536</v>
      </c>
      <c r="E15321" s="28">
        <v>0.60000</v>
      </c>
      <c r="F15321" s="29">
        <f ca="1">ROUND((),3)</f>
        <v>0</v>
      </c>
      <c r="G15321" s="27">
        <f ca="1">ROUND(E15321*F15321,2)</f>
        <v>0</v>
      </c>
    </row>
    <row r="15322" spans="1:7" ht="15.12" thickBot="1" customHeight="1">
      <c r="A15322" s="24" t="s">
        <v>48537</v>
      </c>
      <c r="B15322" s="24"/>
      <c r="C15322" s="24" t="s">
        <v>48538</v>
      </c>
      <c r="D15322" s="25" t="s">
        <v>48539</v>
      </c>
      <c r="E15322" s="28">
        <v>5.00000</v>
      </c>
      <c r="F15322" s="29">
        <f ca="1">ROUND(29.700,3)</f>
        <v>0</v>
      </c>
      <c r="G15322" s="27">
        <f ca="1">ROUND((E15322*F15322)/100,2)</f>
        <v>0</v>
      </c>
    </row>
    <row r="15323" spans="1:7" ht="15.48" thickBot="1" customHeight="1">
      <c r="A15323" s="30"/>
      <c r="B15323" s="30"/>
      <c r="C15323" s="30"/>
      <c r="D15323" s="31" t="s">
        <v>48540</v>
      </c>
      <c r="E15323" s="30"/>
      <c r="F15323" s="33">
        <f ca="1">ROUND((G15314+G15315+G15316+G15317+G15320+G15322)*(1+G2/100),2)</f>
        <v>0</v>
      </c>
      <c r="G15323" s="30"/>
    </row>
    <row r="15324" spans="1:7" ht="39.84" thickBot="1" customHeight="1">
      <c r="A15324" s="34" t="s">
        <v>48541</v>
      </c>
      <c r="B15324" s="35" t="s">
        <v>48542</v>
      </c>
      <c r="C15324" s="35" t="s">
        <v>48543</v>
      </c>
      <c r="D15324" s="36" t="s">
        <v>48544</v>
      </c>
      <c r="E15324" s="37"/>
      <c r="F15324" s="38">
        <f ca="1">F15330</f>
        <v>0</v>
      </c>
      <c r="G15324" s="37"/>
    </row>
    <row r="15325" spans="1:7" ht="21.36" thickBot="1" customHeight="1">
      <c r="A15325" s="26"/>
      <c r="B15325" s="26"/>
      <c r="C15325" s="26"/>
      <c r="D15325" s="25" t="s">
        <v>48545</v>
      </c>
      <c r="E15325" s="25"/>
      <c r="F15325" s="25"/>
      <c r="G15325" s="25"/>
    </row>
    <row r="15326" spans="1:7" ht="21.36" thickBot="1" customHeight="1">
      <c r="A15326" s="24" t="s">
        <v>48546</v>
      </c>
      <c r="B15326" s="24" t="s">
        <v>48547</v>
      </c>
      <c r="C15326" s="24" t="s">
        <v>48548</v>
      </c>
      <c r="D15326" s="25" t="s">
        <v>48549</v>
      </c>
      <c r="E15326" s="28">
        <v>0.20000</v>
      </c>
      <c r="F15326" s="29">
        <f ca="1">ROUND(3.540,3)</f>
        <v>0</v>
      </c>
      <c r="G15326" s="27">
        <f ca="1">ROUND(E15326*F15326,2)</f>
        <v>0</v>
      </c>
    </row>
    <row r="15327" spans="1:7" ht="24.36" thickBot="1" customHeight="1">
      <c r="A15327" s="24" t="s">
        <v>48550</v>
      </c>
      <c r="B15327" s="24" t="s">
        <v>48551</v>
      </c>
      <c r="C15327" s="24" t="s">
        <v>48552</v>
      </c>
      <c r="D15327" s="25" t="s">
        <v>48553</v>
      </c>
      <c r="E15327" s="28">
        <v>0.05333</v>
      </c>
      <c r="F15327" s="29">
        <f ca="1">ROUND(4.880,3)</f>
        <v>0</v>
      </c>
      <c r="G15327" s="27">
        <f ca="1">ROUND(E15327*F15327,2)</f>
        <v>0</v>
      </c>
    </row>
    <row r="15328" spans="1:7" ht="24.36" thickBot="1" customHeight="1">
      <c r="A15328" s="24" t="s">
        <v>48554</v>
      </c>
      <c r="B15328" s="24" t="s">
        <v>48555</v>
      </c>
      <c r="C15328" s="24" t="s">
        <v>48556</v>
      </c>
      <c r="D15328" s="25" t="s">
        <v>48557</v>
      </c>
      <c r="E15328" s="28">
        <v>0.05333</v>
      </c>
      <c r="F15328" s="29">
        <f ca="1">ROUND(19.000,3)</f>
        <v>0</v>
      </c>
      <c r="G15328" s="27">
        <f ca="1">ROUND(E15328*F15328,2)</f>
        <v>0</v>
      </c>
    </row>
    <row r="15329" spans="1:7" ht="15.12" thickBot="1" customHeight="1">
      <c r="A15329" s="24" t="s">
        <v>48558</v>
      </c>
      <c r="B15329" s="24"/>
      <c r="C15329" s="24" t="s">
        <v>48559</v>
      </c>
      <c r="D15329" s="25" t="s">
        <v>48560</v>
      </c>
      <c r="E15329" s="28">
        <v>3.00000</v>
      </c>
      <c r="F15329" s="29">
        <f ca="1">ROUND(1.010,3)</f>
        <v>0</v>
      </c>
      <c r="G15329" s="27">
        <f ca="1">ROUND((E15329*F15329)/100,2)</f>
        <v>0</v>
      </c>
    </row>
    <row r="15330" spans="1:7" ht="15.48" thickBot="1" customHeight="1">
      <c r="A15330" s="30"/>
      <c r="B15330" s="30"/>
      <c r="C15330" s="30"/>
      <c r="D15330" s="31" t="s">
        <v>48561</v>
      </c>
      <c r="E15330" s="30"/>
      <c r="F15330" s="33">
        <f ca="1">ROUND((G15326+G15327+G15328+G15329)*(1+G2/100),2)</f>
        <v>0</v>
      </c>
      <c r="G15330" s="30"/>
    </row>
    <row r="15331" spans="1:7" ht="39.84" thickBot="1" customHeight="1">
      <c r="A15331" s="34" t="s">
        <v>48562</v>
      </c>
      <c r="B15331" s="35" t="s">
        <v>48563</v>
      </c>
      <c r="C15331" s="35" t="s">
        <v>48564</v>
      </c>
      <c r="D15331" s="36" t="s">
        <v>48565</v>
      </c>
      <c r="E15331" s="37"/>
      <c r="F15331" s="38">
        <f ca="1">F15337</f>
        <v>0</v>
      </c>
      <c r="G15331" s="37"/>
    </row>
    <row r="15332" spans="1:7" ht="21.36" thickBot="1" customHeight="1">
      <c r="A15332" s="26"/>
      <c r="B15332" s="26"/>
      <c r="C15332" s="26"/>
      <c r="D15332" s="25" t="s">
        <v>48566</v>
      </c>
      <c r="E15332" s="25"/>
      <c r="F15332" s="25"/>
      <c r="G15332" s="25"/>
    </row>
    <row r="15333" spans="1:7" ht="21.36" thickBot="1" customHeight="1">
      <c r="A15333" s="24" t="s">
        <v>48567</v>
      </c>
      <c r="B15333" s="24" t="s">
        <v>48568</v>
      </c>
      <c r="C15333" s="24" t="s">
        <v>48569</v>
      </c>
      <c r="D15333" s="25" t="s">
        <v>48570</v>
      </c>
      <c r="E15333" s="28">
        <v>0.20000</v>
      </c>
      <c r="F15333" s="29">
        <f ca="1">ROUND(4.980,3)</f>
        <v>0</v>
      </c>
      <c r="G15333" s="27">
        <f ca="1">ROUND(E15333*F15333,2)</f>
        <v>0</v>
      </c>
    </row>
    <row r="15334" spans="1:7" ht="24.36" thickBot="1" customHeight="1">
      <c r="A15334" s="24" t="s">
        <v>48571</v>
      </c>
      <c r="B15334" s="24" t="s">
        <v>48572</v>
      </c>
      <c r="C15334" s="24" t="s">
        <v>48573</v>
      </c>
      <c r="D15334" s="25" t="s">
        <v>48574</v>
      </c>
      <c r="E15334" s="28">
        <v>0.06667</v>
      </c>
      <c r="F15334" s="29">
        <f ca="1">ROUND(4.880,3)</f>
        <v>0</v>
      </c>
      <c r="G15334" s="27">
        <f ca="1">ROUND(E15334*F15334,2)</f>
        <v>0</v>
      </c>
    </row>
    <row r="15335" spans="1:7" ht="24.36" thickBot="1" customHeight="1">
      <c r="A15335" s="24" t="s">
        <v>48575</v>
      </c>
      <c r="B15335" s="24" t="s">
        <v>48576</v>
      </c>
      <c r="C15335" s="24" t="s">
        <v>48577</v>
      </c>
      <c r="D15335" s="25" t="s">
        <v>48578</v>
      </c>
      <c r="E15335" s="28">
        <v>0.06667</v>
      </c>
      <c r="F15335" s="29">
        <f ca="1">ROUND(19.000,3)</f>
        <v>0</v>
      </c>
      <c r="G15335" s="27">
        <f ca="1">ROUND(E15335*F15335,2)</f>
        <v>0</v>
      </c>
    </row>
    <row r="15336" spans="1:7" ht="15.12" thickBot="1" customHeight="1">
      <c r="A15336" s="24" t="s">
        <v>48579</v>
      </c>
      <c r="B15336" s="24"/>
      <c r="C15336" s="24" t="s">
        <v>48580</v>
      </c>
      <c r="D15336" s="25" t="s">
        <v>48581</v>
      </c>
      <c r="E15336" s="28">
        <v>3.00000</v>
      </c>
      <c r="F15336" s="29">
        <f ca="1">ROUND(1.270,3)</f>
        <v>0</v>
      </c>
      <c r="G15336" s="27">
        <f ca="1">ROUND((E15336*F15336)/100,2)</f>
        <v>0</v>
      </c>
    </row>
    <row r="15337" spans="1:7" ht="15.48" thickBot="1" customHeight="1">
      <c r="A15337" s="30"/>
      <c r="B15337" s="30"/>
      <c r="C15337" s="30"/>
      <c r="D15337" s="31" t="s">
        <v>48582</v>
      </c>
      <c r="E15337" s="30"/>
      <c r="F15337" s="33">
        <f ca="1">ROUND((G15333+G15334+G15335+G15336)*(1+G2/100),2)</f>
        <v>0</v>
      </c>
      <c r="G15337" s="30"/>
    </row>
    <row r="15338" spans="1:7" ht="58.32" thickBot="1" customHeight="1">
      <c r="A15338" s="34" t="s">
        <v>48583</v>
      </c>
      <c r="B15338" s="35" t="s">
        <v>48584</v>
      </c>
      <c r="C15338" s="35" t="s">
        <v>48585</v>
      </c>
      <c r="D15338" s="36" t="s">
        <v>48586</v>
      </c>
      <c r="E15338" s="37"/>
      <c r="F15338" s="38">
        <f ca="1">F15346</f>
        <v>0</v>
      </c>
      <c r="G15338" s="37"/>
    </row>
    <row r="15339" spans="1:7" ht="21.36" thickBot="1" customHeight="1">
      <c r="A15339" s="26"/>
      <c r="B15339" s="26"/>
      <c r="C15339" s="26"/>
      <c r="D15339" s="25" t="s">
        <v>48587</v>
      </c>
      <c r="E15339" s="25"/>
      <c r="F15339" s="25"/>
      <c r="G15339" s="25"/>
    </row>
    <row r="15340" spans="1:7" ht="30.60" thickBot="1" customHeight="1">
      <c r="A15340" s="24" t="s">
        <v>48588</v>
      </c>
      <c r="B15340" s="24" t="s">
        <v>48589</v>
      </c>
      <c r="C15340" s="24" t="s">
        <v>48590</v>
      </c>
      <c r="D15340" s="25" t="s">
        <v>48591</v>
      </c>
      <c r="E15340" s="28">
        <v>0.13000</v>
      </c>
      <c r="F15340" s="29">
        <f ca="1">ROUND(6.920,3)</f>
        <v>0</v>
      </c>
      <c r="G15340" s="27">
        <f ca="1">ROUND(E15340*F15340,2)</f>
        <v>0</v>
      </c>
    </row>
    <row r="15341" spans="1:7" ht="39.84" thickBot="1" customHeight="1">
      <c r="A15341" s="24" t="s">
        <v>48592</v>
      </c>
      <c r="B15341" s="24" t="s">
        <v>48593</v>
      </c>
      <c r="C15341" s="24" t="s">
        <v>48594</v>
      </c>
      <c r="D15341" s="25" t="s">
        <v>48595</v>
      </c>
      <c r="E15341" s="28">
        <v>0.10000</v>
      </c>
      <c r="F15341" s="29">
        <f ca="1">ROUND(2.860,3)</f>
        <v>0</v>
      </c>
      <c r="G15341" s="27">
        <f ca="1">ROUND(E15341*F15341,2)</f>
        <v>0</v>
      </c>
    </row>
    <row r="15342" spans="1:7" ht="30.60" thickBot="1" customHeight="1">
      <c r="A15342" s="24" t="s">
        <v>48596</v>
      </c>
      <c r="B15342" s="24" t="s">
        <v>48597</v>
      </c>
      <c r="C15342" s="24" t="s">
        <v>48598</v>
      </c>
      <c r="D15342" s="25" t="s">
        <v>48599</v>
      </c>
      <c r="E15342" s="28">
        <v>0.01700</v>
      </c>
      <c r="F15342" s="29">
        <f ca="1">ROUND(30.450,3)</f>
        <v>0</v>
      </c>
      <c r="G15342" s="27">
        <f ca="1">ROUND(E15342*F15342,2)</f>
        <v>0</v>
      </c>
    </row>
    <row r="15343" spans="1:7" ht="30.60" thickBot="1" customHeight="1">
      <c r="A15343" s="24" t="s">
        <v>48600</v>
      </c>
      <c r="B15343" s="24" t="s">
        <v>48601</v>
      </c>
      <c r="C15343" s="24" t="s">
        <v>48602</v>
      </c>
      <c r="D15343" s="25" t="s">
        <v>48603</v>
      </c>
      <c r="E15343" s="28">
        <v>0.12000</v>
      </c>
      <c r="F15343" s="29">
        <f ca="1">F15344</f>
        <v>0</v>
      </c>
      <c r="G15343" s="27">
        <f ca="1">ROUND(E15343*F15343,2)</f>
        <v>0</v>
      </c>
    </row>
    <row r="15344" spans="1:7" ht="15.12" thickBot="1" customHeight="1">
      <c r="A15344" s="26"/>
      <c r="B15344" s="26"/>
      <c r="C15344" s="26"/>
      <c r="D15344" s="24" t="s">
        <v>48604</v>
      </c>
      <c r="E15344" s="28">
        <v>0.12000</v>
      </c>
      <c r="F15344" s="29">
        <f ca="1">ROUND((),3)</f>
        <v>0</v>
      </c>
      <c r="G15344" s="27">
        <f ca="1">ROUND(E15344*F15344,2)</f>
        <v>0</v>
      </c>
    </row>
    <row r="15345" spans="1:7" ht="15.12" thickBot="1" customHeight="1">
      <c r="A15345" s="24" t="s">
        <v>48605</v>
      </c>
      <c r="B15345" s="24"/>
      <c r="C15345" s="24" t="s">
        <v>48606</v>
      </c>
      <c r="D15345" s="25" t="s">
        <v>48607</v>
      </c>
      <c r="E15345" s="28">
        <v>5.00000</v>
      </c>
      <c r="F15345" s="29">
        <f ca="1">ROUND(5.940,3)</f>
        <v>0</v>
      </c>
      <c r="G15345" s="27">
        <f ca="1">ROUND((E15345*F15345)/100,2)</f>
        <v>0</v>
      </c>
    </row>
    <row r="15346" spans="1:7" ht="15.48" thickBot="1" customHeight="1">
      <c r="A15346" s="30"/>
      <c r="B15346" s="30"/>
      <c r="C15346" s="30"/>
      <c r="D15346" s="31" t="s">
        <v>48608</v>
      </c>
      <c r="E15346" s="30"/>
      <c r="F15346" s="33">
        <f ca="1">ROUND((G15340+G15341+G15342+G15343+G15345)*(1+G2/100),2)</f>
        <v>0</v>
      </c>
      <c r="G15346" s="30"/>
    </row>
    <row r="15347" spans="1:7" ht="15.48" thickBot="1" customHeight="1">
      <c r="A15347" s="39"/>
      <c r="B15347" s="39"/>
      <c r="C15347" s="39"/>
      <c r="D15347" s="50" t="s">
        <v>48609</v>
      </c>
      <c r="E15347" s="51"/>
      <c r="F15347" s="51"/>
      <c r="G15347" s="51"/>
    </row>
    <row r="15348" spans="1:7" ht="15.48" thickBot="1" customHeight="1">
      <c r="A15348" s="52" t="s">
        <v>48610</v>
      </c>
      <c r="B15348" s="52" t="s">
        <v>48611</v>
      </c>
      <c r="C15348" s="53"/>
      <c r="D15348" s="54" t="s">
        <v>48612</v>
      </c>
      <c r="E15348" s="53"/>
      <c r="F15348" s="53"/>
      <c r="G15348" s="53"/>
    </row>
    <row r="15349" spans="1:7" ht="25.08" thickBot="1" customHeight="1">
      <c r="A15349" s="10" t="s">
        <v>48613</v>
      </c>
      <c r="B15349" s="24" t="s">
        <v>48614</v>
      </c>
      <c r="C15349" s="24" t="s">
        <v>48615</v>
      </c>
      <c r="D15349" s="25" t="s">
        <v>48616</v>
      </c>
      <c r="E15349" s="26"/>
      <c r="F15349" s="27">
        <f ca="1">F15358</f>
        <v>0</v>
      </c>
      <c r="G15349" s="26"/>
    </row>
    <row r="15350" spans="1:7" ht="21.36" thickBot="1" customHeight="1">
      <c r="A15350" s="26"/>
      <c r="B15350" s="26"/>
      <c r="C15350" s="26"/>
      <c r="D15350" s="25" t="s">
        <v>48617</v>
      </c>
      <c r="E15350" s="25"/>
      <c r="F15350" s="25"/>
      <c r="G15350" s="25"/>
    </row>
    <row r="15351" spans="1:7" ht="30.60" thickBot="1" customHeight="1">
      <c r="A15351" s="24" t="s">
        <v>48618</v>
      </c>
      <c r="B15351" s="24" t="s">
        <v>48619</v>
      </c>
      <c r="C15351" s="24" t="s">
        <v>48620</v>
      </c>
      <c r="D15351" s="25" t="s">
        <v>48621</v>
      </c>
      <c r="E15351" s="28">
        <v>0.07100</v>
      </c>
      <c r="F15351" s="29">
        <f ca="1">ROUND(23.460,3)</f>
        <v>0</v>
      </c>
      <c r="G15351" s="27">
        <f ca="1">ROUND(E15351*F15351,2)</f>
        <v>0</v>
      </c>
    </row>
    <row r="15352" spans="1:7" ht="30.60" thickBot="1" customHeight="1">
      <c r="A15352" s="24" t="s">
        <v>48622</v>
      </c>
      <c r="B15352" s="24" t="s">
        <v>48623</v>
      </c>
      <c r="C15352" s="24" t="s">
        <v>48624</v>
      </c>
      <c r="D15352" s="25" t="s">
        <v>48625</v>
      </c>
      <c r="E15352" s="28">
        <v>0.00500</v>
      </c>
      <c r="F15352" s="29">
        <f ca="1">ROUND(21.500,3)</f>
        <v>0</v>
      </c>
      <c r="G15352" s="27">
        <f ca="1">ROUND(E15352*F15352,2)</f>
        <v>0</v>
      </c>
    </row>
    <row r="15353" spans="1:7" ht="30.60" thickBot="1" customHeight="1">
      <c r="A15353" s="24" t="s">
        <v>48626</v>
      </c>
      <c r="B15353" s="24" t="s">
        <v>48627</v>
      </c>
      <c r="C15353" s="24" t="s">
        <v>48628</v>
      </c>
      <c r="D15353" s="25" t="s">
        <v>48629</v>
      </c>
      <c r="E15353" s="28">
        <v>0.50000</v>
      </c>
      <c r="F15353" s="29">
        <f ca="1">F15356</f>
        <v>0</v>
      </c>
      <c r="G15353" s="27">
        <f ca="1">ROUND(E15353*F15353,2)</f>
        <v>0</v>
      </c>
    </row>
    <row r="15354" spans="1:7" ht="24.36" thickBot="1" customHeight="1">
      <c r="A15354" s="24" t="s">
        <v>48630</v>
      </c>
      <c r="B15354" s="24" t="s">
        <v>48631</v>
      </c>
      <c r="C15354" s="24" t="s">
        <v>48632</v>
      </c>
      <c r="D15354" s="25" t="s">
        <v>48633</v>
      </c>
      <c r="E15354" s="28">
        <v>1.00000</v>
      </c>
      <c r="F15354" s="29">
        <f ca="1">ROUND(21.000,3)</f>
        <v>0</v>
      </c>
      <c r="G15354" s="27">
        <f ca="1">ROUND(E15354*F15354,2)</f>
        <v>0</v>
      </c>
    </row>
    <row r="15355" spans="1:7" ht="24.36" thickBot="1" customHeight="1">
      <c r="A15355" s="24" t="s">
        <v>48634</v>
      </c>
      <c r="B15355" s="24" t="s">
        <v>48635</v>
      </c>
      <c r="C15355" s="24" t="s">
        <v>48636</v>
      </c>
      <c r="D15355" s="25" t="s">
        <v>48637</v>
      </c>
      <c r="E15355" s="28">
        <v>1.00000</v>
      </c>
      <c r="F15355" s="29">
        <f ca="1">ROUND(19.000,3)</f>
        <v>0</v>
      </c>
      <c r="G15355" s="27">
        <f ca="1">ROUND(E15355*F15355,2)</f>
        <v>0</v>
      </c>
    </row>
    <row r="15356" spans="1:7" ht="15.12" thickBot="1" customHeight="1">
      <c r="A15356" s="26"/>
      <c r="B15356" s="26"/>
      <c r="C15356" s="26"/>
      <c r="D15356" s="24" t="s">
        <v>48638</v>
      </c>
      <c r="E15356" s="28">
        <v>0.50000</v>
      </c>
      <c r="F15356" s="29">
        <f ca="1">ROUND((G15354+G15355),3)</f>
        <v>0</v>
      </c>
      <c r="G15356" s="27">
        <f ca="1">ROUND(E15356*F15356,2)</f>
        <v>0</v>
      </c>
    </row>
    <row r="15357" spans="1:7" ht="15.12" thickBot="1" customHeight="1">
      <c r="A15357" s="24" t="s">
        <v>48639</v>
      </c>
      <c r="B15357" s="24"/>
      <c r="C15357" s="24" t="s">
        <v>48640</v>
      </c>
      <c r="D15357" s="25" t="s">
        <v>48641</v>
      </c>
      <c r="E15357" s="28">
        <v>5.00000</v>
      </c>
      <c r="F15357" s="29">
        <f ca="1">ROUND(20.000,3)</f>
        <v>0</v>
      </c>
      <c r="G15357" s="27">
        <f ca="1">ROUND((E15357*F15357)/100,2)</f>
        <v>0</v>
      </c>
    </row>
    <row r="15358" spans="1:7" ht="15.48" thickBot="1" customHeight="1">
      <c r="A15358" s="30"/>
      <c r="B15358" s="30"/>
      <c r="C15358" s="30"/>
      <c r="D15358" s="31" t="s">
        <v>48642</v>
      </c>
      <c r="E15358" s="30"/>
      <c r="F15358" s="33">
        <f ca="1">ROUND((G15351+G15352+G15353+G15357)*(1+G2/100),2)</f>
        <v>0</v>
      </c>
      <c r="G15358" s="30"/>
    </row>
    <row r="15359" spans="1:7" ht="15.48" thickBot="1" customHeight="1">
      <c r="A15359" s="39"/>
      <c r="B15359" s="39"/>
      <c r="C15359" s="39"/>
      <c r="D15359" s="50" t="s">
        <v>48643</v>
      </c>
      <c r="E15359" s="51"/>
      <c r="F15359" s="51"/>
      <c r="G15359" s="51"/>
    </row>
    <row r="15360" spans="1:7" ht="15.48" thickBot="1" customHeight="1">
      <c r="A15360" s="39"/>
      <c r="B15360" s="39"/>
      <c r="C15360" s="39"/>
      <c r="D15360" s="55" t="s">
        <v>48644</v>
      </c>
      <c r="E15360" s="56"/>
      <c r="F15360" s="56"/>
      <c r="G15360" s="56"/>
    </row>
    <row r="15361" spans="1:7" ht="15.48" thickBot="1" customHeight="1">
      <c r="A15361" s="57" t="s">
        <v>48645</v>
      </c>
      <c r="B15361" s="57" t="s">
        <v>48646</v>
      </c>
      <c r="C15361" s="58"/>
      <c r="D15361" s="59" t="s">
        <v>48647</v>
      </c>
      <c r="E15361" s="58"/>
      <c r="F15361" s="78">
        <v>0.00</v>
      </c>
      <c r="G15361" s="58"/>
    </row>
    <row r="15362" spans="1:7" ht="15.48" thickBot="1" customHeight="1">
      <c r="A15362" s="30"/>
      <c r="B15362" s="30"/>
      <c r="C15362" s="30"/>
      <c r="D15362" s="76" t="s">
        <v>48648</v>
      </c>
      <c r="E15362" s="77"/>
      <c r="F15362" s="77"/>
      <c r="G15362" s="77"/>
    </row>
    <row r="15363" spans="1:7" ht="15.48" thickBot="1" customHeight="1">
      <c r="A15363" s="57" t="s">
        <v>48649</v>
      </c>
      <c r="B15363" s="57" t="s">
        <v>48650</v>
      </c>
      <c r="C15363" s="58"/>
      <c r="D15363" s="59" t="s">
        <v>48651</v>
      </c>
      <c r="E15363" s="58"/>
      <c r="F15363" s="58"/>
      <c r="G15363" s="58"/>
    </row>
    <row r="15364" spans="1:7" ht="30.60" thickBot="1" customHeight="1">
      <c r="A15364" s="10" t="s">
        <v>48652</v>
      </c>
      <c r="B15364" s="24" t="s">
        <v>48653</v>
      </c>
      <c r="C15364" s="24" t="s">
        <v>48654</v>
      </c>
      <c r="D15364" s="25" t="s">
        <v>48655</v>
      </c>
      <c r="E15364" s="26"/>
      <c r="F15364" s="27">
        <f ca="1">ROUND(999.000*(1+G2/100),2)</f>
        <v>0</v>
      </c>
      <c r="G15364" s="26"/>
    </row>
    <row r="15365" spans="1:7" ht="76.80" thickBot="1" customHeight="1">
      <c r="A15365" s="26"/>
      <c r="B15365" s="26"/>
      <c r="C15365" s="26"/>
      <c r="D15365" s="25" t="s">
        <v>48656</v>
      </c>
      <c r="E15365" s="25"/>
      <c r="F15365" s="25"/>
      <c r="G15365" s="25"/>
    </row>
    <row r="15366" spans="1:7" ht="21.36" thickBot="1" customHeight="1">
      <c r="A15366" s="10" t="s">
        <v>48657</v>
      </c>
      <c r="B15366" s="24" t="s">
        <v>48658</v>
      </c>
      <c r="C15366" s="24" t="s">
        <v>48659</v>
      </c>
      <c r="D15366" s="25" t="s">
        <v>48660</v>
      </c>
      <c r="E15366" s="26"/>
      <c r="F15366" s="27">
        <f ca="1">ROUND(188.430*(1+G2/100),2)</f>
        <v>0</v>
      </c>
      <c r="G15366" s="26"/>
    </row>
    <row r="15367" spans="1:7" ht="67.56" thickBot="1" customHeight="1">
      <c r="A15367" s="26"/>
      <c r="B15367" s="26"/>
      <c r="C15367" s="26"/>
      <c r="D15367" s="25" t="s">
        <v>48661</v>
      </c>
      <c r="E15367" s="25"/>
      <c r="F15367" s="25"/>
      <c r="G15367" s="25"/>
    </row>
    <row r="15368" spans="1:7" ht="30.60" thickBot="1" customHeight="1">
      <c r="A15368" s="10" t="s">
        <v>48662</v>
      </c>
      <c r="B15368" s="24" t="s">
        <v>48663</v>
      </c>
      <c r="C15368" s="24" t="s">
        <v>48664</v>
      </c>
      <c r="D15368" s="25" t="s">
        <v>48665</v>
      </c>
      <c r="E15368" s="26"/>
      <c r="F15368" s="27">
        <f ca="1">ROUND(257.000*(1+G2/100),2)</f>
        <v>0</v>
      </c>
      <c r="G15368" s="26"/>
    </row>
    <row r="15369" spans="1:7" ht="58.32" thickBot="1" customHeight="1">
      <c r="A15369" s="26"/>
      <c r="B15369" s="26"/>
      <c r="C15369" s="26"/>
      <c r="D15369" s="25" t="s">
        <v>48666</v>
      </c>
      <c r="E15369" s="25"/>
      <c r="F15369" s="25"/>
      <c r="G15369" s="25"/>
    </row>
    <row r="15370" spans="1:7" ht="30.60" thickBot="1" customHeight="1">
      <c r="A15370" s="10" t="s">
        <v>48667</v>
      </c>
      <c r="B15370" s="24" t="s">
        <v>48668</v>
      </c>
      <c r="C15370" s="24" t="s">
        <v>48669</v>
      </c>
      <c r="D15370" s="25" t="s">
        <v>48670</v>
      </c>
      <c r="E15370" s="26"/>
      <c r="F15370" s="27">
        <f ca="1">ROUND(1366.230*(1+G2/100),2)</f>
        <v>0</v>
      </c>
      <c r="G15370" s="26"/>
    </row>
    <row r="15371" spans="1:7" ht="49.08" thickBot="1" customHeight="1">
      <c r="A15371" s="26"/>
      <c r="B15371" s="26"/>
      <c r="C15371" s="26"/>
      <c r="D15371" s="25" t="s">
        <v>48671</v>
      </c>
      <c r="E15371" s="25"/>
      <c r="F15371" s="25"/>
      <c r="G15371" s="25"/>
    </row>
    <row r="15372" spans="1:7" ht="15.48" thickBot="1" customHeight="1">
      <c r="A15372" s="30"/>
      <c r="B15372" s="30"/>
      <c r="C15372" s="30"/>
      <c r="D15372" s="76" t="s">
        <v>48672</v>
      </c>
      <c r="E15372" s="77"/>
      <c r="F15372" s="77"/>
      <c r="G15372" s="77"/>
    </row>
    <row r="15373" spans="1:7" ht="15.48" thickBot="1" customHeight="1">
      <c r="A15373" s="57" t="s">
        <v>48673</v>
      </c>
      <c r="B15373" s="57" t="s">
        <v>48674</v>
      </c>
      <c r="C15373" s="58"/>
      <c r="D15373" s="59" t="s">
        <v>48675</v>
      </c>
      <c r="E15373" s="58"/>
      <c r="F15373" s="58"/>
      <c r="G15373" s="58"/>
    </row>
    <row r="15374" spans="1:7" ht="25.08" thickBot="1" customHeight="1">
      <c r="A15374" s="18" t="s">
        <v>48676</v>
      </c>
      <c r="B15374" s="18" t="s">
        <v>48677</v>
      </c>
      <c r="C15374" s="19"/>
      <c r="D15374" s="20" t="s">
        <v>48678</v>
      </c>
      <c r="E15374" s="19"/>
      <c r="F15374" s="19"/>
      <c r="G15374" s="19"/>
    </row>
    <row r="15375" spans="1:7" ht="30.60" thickBot="1" customHeight="1">
      <c r="A15375" s="10" t="s">
        <v>48679</v>
      </c>
      <c r="B15375" s="24" t="s">
        <v>48680</v>
      </c>
      <c r="C15375" s="24" t="s">
        <v>48681</v>
      </c>
      <c r="D15375" s="25" t="s">
        <v>48682</v>
      </c>
      <c r="E15375" s="26"/>
      <c r="F15375" s="27">
        <f ca="1">ROUND(46.950*(1+G2/100),2)</f>
        <v>0</v>
      </c>
      <c r="G15375" s="26"/>
    </row>
    <row r="15376" spans="1:7" ht="21.36" thickBot="1" customHeight="1">
      <c r="A15376" s="26"/>
      <c r="B15376" s="26"/>
      <c r="C15376" s="26"/>
      <c r="D15376" s="25" t="s">
        <v>48683</v>
      </c>
      <c r="E15376" s="25"/>
      <c r="F15376" s="25"/>
      <c r="G15376" s="25"/>
    </row>
    <row r="15377" spans="1:7" ht="30.60" thickBot="1" customHeight="1">
      <c r="A15377" s="10" t="s">
        <v>48684</v>
      </c>
      <c r="B15377" s="24" t="s">
        <v>48685</v>
      </c>
      <c r="C15377" s="24" t="s">
        <v>48686</v>
      </c>
      <c r="D15377" s="25" t="s">
        <v>48687</v>
      </c>
      <c r="E15377" s="26"/>
      <c r="F15377" s="27">
        <f ca="1">ROUND(0.850*(1+G2/100),2)</f>
        <v>0</v>
      </c>
      <c r="G15377" s="26"/>
    </row>
    <row r="15378" spans="1:7" ht="30.60" thickBot="1" customHeight="1">
      <c r="A15378" s="26"/>
      <c r="B15378" s="26"/>
      <c r="C15378" s="26"/>
      <c r="D15378" s="25" t="s">
        <v>48688</v>
      </c>
      <c r="E15378" s="25"/>
      <c r="F15378" s="25"/>
      <c r="G15378" s="25"/>
    </row>
    <row r="15379" spans="1:7" ht="30.60" thickBot="1" customHeight="1">
      <c r="A15379" s="10" t="s">
        <v>48689</v>
      </c>
      <c r="B15379" s="24" t="s">
        <v>48690</v>
      </c>
      <c r="C15379" s="24" t="s">
        <v>48691</v>
      </c>
      <c r="D15379" s="25" t="s">
        <v>48692</v>
      </c>
      <c r="E15379" s="26"/>
      <c r="F15379" s="27">
        <f ca="1">ROUND(4.920*(1+G2/100),2)</f>
        <v>0</v>
      </c>
      <c r="G15379" s="26"/>
    </row>
    <row r="15380" spans="1:7" ht="12.12" thickBot="1" customHeight="1">
      <c r="A15380" s="26"/>
      <c r="B15380" s="26"/>
      <c r="C15380" s="26"/>
      <c r="D15380" s="25" t="s">
        <v>48693</v>
      </c>
      <c r="E15380" s="25"/>
      <c r="F15380" s="25"/>
      <c r="G15380" s="25"/>
    </row>
    <row r="15381" spans="1:7" ht="30.60" thickBot="1" customHeight="1">
      <c r="A15381" s="10" t="s">
        <v>48694</v>
      </c>
      <c r="B15381" s="24" t="s">
        <v>48695</v>
      </c>
      <c r="C15381" s="24" t="s">
        <v>48696</v>
      </c>
      <c r="D15381" s="25" t="s">
        <v>48697</v>
      </c>
      <c r="E15381" s="26"/>
      <c r="F15381" s="27">
        <f ca="1">ROUND(7.980*(1+G2/100),2)</f>
        <v>0</v>
      </c>
      <c r="G15381" s="26"/>
    </row>
    <row r="15382" spans="1:7" ht="58.32" thickBot="1" customHeight="1">
      <c r="A15382" s="26"/>
      <c r="B15382" s="26"/>
      <c r="C15382" s="26"/>
      <c r="D15382" s="25" t="s">
        <v>48698</v>
      </c>
      <c r="E15382" s="25"/>
      <c r="F15382" s="25"/>
      <c r="G15382" s="25"/>
    </row>
    <row r="15383" spans="1:7" ht="30.60" thickBot="1" customHeight="1">
      <c r="A15383" s="10" t="s">
        <v>48699</v>
      </c>
      <c r="B15383" s="24" t="s">
        <v>48700</v>
      </c>
      <c r="C15383" s="24" t="s">
        <v>48701</v>
      </c>
      <c r="D15383" s="25" t="s">
        <v>48702</v>
      </c>
      <c r="E15383" s="26"/>
      <c r="F15383" s="27">
        <f ca="1">ROUND(2.900*(1+G2/100),2)</f>
        <v>0</v>
      </c>
      <c r="G15383" s="26"/>
    </row>
    <row r="15384" spans="1:7" ht="49.08" thickBot="1" customHeight="1">
      <c r="A15384" s="26"/>
      <c r="B15384" s="26"/>
      <c r="C15384" s="26"/>
      <c r="D15384" s="25" t="s">
        <v>48703</v>
      </c>
      <c r="E15384" s="25"/>
      <c r="F15384" s="25"/>
      <c r="G15384" s="25"/>
    </row>
    <row r="15385" spans="1:7" ht="39.84" thickBot="1" customHeight="1">
      <c r="A15385" s="10" t="s">
        <v>48704</v>
      </c>
      <c r="B15385" s="24" t="s">
        <v>48705</v>
      </c>
      <c r="C15385" s="24" t="s">
        <v>48706</v>
      </c>
      <c r="D15385" s="25" t="s">
        <v>48707</v>
      </c>
      <c r="E15385" s="26"/>
      <c r="F15385" s="27">
        <f ca="1">ROUND(17.820*(1+G2/100),2)</f>
        <v>0</v>
      </c>
      <c r="G15385" s="26"/>
    </row>
    <row r="15386" spans="1:7" ht="39.84" thickBot="1" customHeight="1">
      <c r="A15386" s="26"/>
      <c r="B15386" s="26"/>
      <c r="C15386" s="26"/>
      <c r="D15386" s="25" t="s">
        <v>48708</v>
      </c>
      <c r="E15386" s="25"/>
      <c r="F15386" s="25"/>
      <c r="G15386" s="25"/>
    </row>
    <row r="15387" spans="1:7" ht="21.36" thickBot="1" customHeight="1">
      <c r="A15387" s="10" t="s">
        <v>48709</v>
      </c>
      <c r="B15387" s="24" t="s">
        <v>48710</v>
      </c>
      <c r="C15387" s="24" t="s">
        <v>48711</v>
      </c>
      <c r="D15387" s="25" t="s">
        <v>48712</v>
      </c>
      <c r="E15387" s="26"/>
      <c r="F15387" s="27">
        <f ca="1">ROUND(5.520*(1+G2/100),2)</f>
        <v>0</v>
      </c>
      <c r="G15387" s="26"/>
    </row>
    <row r="15388" spans="1:7" ht="58.32" thickBot="1" customHeight="1">
      <c r="A15388" s="26"/>
      <c r="B15388" s="26"/>
      <c r="C15388" s="26"/>
      <c r="D15388" s="25" t="s">
        <v>48713</v>
      </c>
      <c r="E15388" s="25"/>
      <c r="F15388" s="25"/>
      <c r="G15388" s="25"/>
    </row>
    <row r="15389" spans="1:7" ht="30.60" thickBot="1" customHeight="1">
      <c r="A15389" s="10" t="s">
        <v>48714</v>
      </c>
      <c r="B15389" s="24" t="s">
        <v>48715</v>
      </c>
      <c r="C15389" s="24" t="s">
        <v>48716</v>
      </c>
      <c r="D15389" s="25" t="s">
        <v>48717</v>
      </c>
      <c r="E15389" s="26"/>
      <c r="F15389" s="27">
        <f ca="1">ROUND(24.450*(1+G2/100),2)</f>
        <v>0</v>
      </c>
      <c r="G15389" s="26"/>
    </row>
    <row r="15390" spans="1:7" ht="30.60" thickBot="1" customHeight="1">
      <c r="A15390" s="26"/>
      <c r="B15390" s="26"/>
      <c r="C15390" s="26"/>
      <c r="D15390" s="25" t="s">
        <v>48718</v>
      </c>
      <c r="E15390" s="25"/>
      <c r="F15390" s="25"/>
      <c r="G15390" s="25"/>
    </row>
    <row r="15391" spans="1:7" ht="30.60" thickBot="1" customHeight="1">
      <c r="A15391" s="10" t="s">
        <v>48719</v>
      </c>
      <c r="B15391" s="24" t="s">
        <v>48720</v>
      </c>
      <c r="C15391" s="24" t="s">
        <v>48721</v>
      </c>
      <c r="D15391" s="25" t="s">
        <v>48722</v>
      </c>
      <c r="E15391" s="26"/>
      <c r="F15391" s="27">
        <f ca="1">ROUND(23.090*(1+G2/100),2)</f>
        <v>0</v>
      </c>
      <c r="G15391" s="26"/>
    </row>
    <row r="15392" spans="1:7" ht="30.60" thickBot="1" customHeight="1">
      <c r="A15392" s="26"/>
      <c r="B15392" s="26"/>
      <c r="C15392" s="26"/>
      <c r="D15392" s="25" t="s">
        <v>48723</v>
      </c>
      <c r="E15392" s="25"/>
      <c r="F15392" s="25"/>
      <c r="G15392" s="25"/>
    </row>
    <row r="15393" spans="1:7" ht="21.36" thickBot="1" customHeight="1">
      <c r="A15393" s="10" t="s">
        <v>48724</v>
      </c>
      <c r="B15393" s="24" t="s">
        <v>48725</v>
      </c>
      <c r="C15393" s="24" t="s">
        <v>48726</v>
      </c>
      <c r="D15393" s="25" t="s">
        <v>48727</v>
      </c>
      <c r="E15393" s="26"/>
      <c r="F15393" s="27">
        <f ca="1">ROUND(13.500*(1+G2/100),2)</f>
        <v>0</v>
      </c>
      <c r="G15393" s="26"/>
    </row>
    <row r="15394" spans="1:7" ht="58.32" thickBot="1" customHeight="1">
      <c r="A15394" s="26"/>
      <c r="B15394" s="26"/>
      <c r="C15394" s="26"/>
      <c r="D15394" s="25" t="s">
        <v>48728</v>
      </c>
      <c r="E15394" s="25"/>
      <c r="F15394" s="25"/>
      <c r="G15394" s="25"/>
    </row>
    <row r="15395" spans="1:7" ht="21.36" thickBot="1" customHeight="1">
      <c r="A15395" s="10" t="s">
        <v>48729</v>
      </c>
      <c r="B15395" s="24" t="s">
        <v>48730</v>
      </c>
      <c r="C15395" s="24" t="s">
        <v>48731</v>
      </c>
      <c r="D15395" s="25" t="s">
        <v>48732</v>
      </c>
      <c r="E15395" s="26"/>
      <c r="F15395" s="27">
        <f ca="1">ROUND(16.500*(1+G2/100),2)</f>
        <v>0</v>
      </c>
      <c r="G15395" s="26"/>
    </row>
    <row r="15396" spans="1:7" ht="21.36" thickBot="1" customHeight="1">
      <c r="A15396" s="26"/>
      <c r="B15396" s="26"/>
      <c r="C15396" s="26"/>
      <c r="D15396" s="25" t="s">
        <v>48733</v>
      </c>
      <c r="E15396" s="25"/>
      <c r="F15396" s="25"/>
      <c r="G15396" s="25"/>
    </row>
    <row r="15397" spans="1:7" ht="39.84" thickBot="1" customHeight="1">
      <c r="A15397" s="10" t="s">
        <v>48734</v>
      </c>
      <c r="B15397" s="24" t="s">
        <v>48735</v>
      </c>
      <c r="C15397" s="24" t="s">
        <v>48736</v>
      </c>
      <c r="D15397" s="25" t="s">
        <v>48737</v>
      </c>
      <c r="E15397" s="26"/>
      <c r="F15397" s="27">
        <f ca="1">ROUND(42.120*(1+G2/100),2)</f>
        <v>0</v>
      </c>
      <c r="G15397" s="26"/>
    </row>
    <row r="15398" spans="1:7" ht="49.08" thickBot="1" customHeight="1">
      <c r="A15398" s="26"/>
      <c r="B15398" s="26"/>
      <c r="C15398" s="26"/>
      <c r="D15398" s="25" t="s">
        <v>48738</v>
      </c>
      <c r="E15398" s="25"/>
      <c r="F15398" s="25"/>
      <c r="G15398" s="25"/>
    </row>
    <row r="15399" spans="1:7" ht="30.60" thickBot="1" customHeight="1">
      <c r="A15399" s="10" t="s">
        <v>48739</v>
      </c>
      <c r="B15399" s="24" t="s">
        <v>48740</v>
      </c>
      <c r="C15399" s="24" t="s">
        <v>48741</v>
      </c>
      <c r="D15399" s="25" t="s">
        <v>48742</v>
      </c>
      <c r="E15399" s="26"/>
      <c r="F15399" s="27">
        <f ca="1">ROUND(2.480*(1+G2/100),2)</f>
        <v>0</v>
      </c>
      <c r="G15399" s="26"/>
    </row>
    <row r="15400" spans="1:7" ht="21.36" thickBot="1" customHeight="1">
      <c r="A15400" s="26"/>
      <c r="B15400" s="26"/>
      <c r="C15400" s="26"/>
      <c r="D15400" s="25" t="s">
        <v>48743</v>
      </c>
      <c r="E15400" s="25"/>
      <c r="F15400" s="25"/>
      <c r="G15400" s="25"/>
    </row>
    <row r="15401" spans="1:7" ht="30.60" thickBot="1" customHeight="1">
      <c r="A15401" s="10" t="s">
        <v>48744</v>
      </c>
      <c r="B15401" s="24" t="s">
        <v>48745</v>
      </c>
      <c r="C15401" s="24" t="s">
        <v>48746</v>
      </c>
      <c r="D15401" s="25" t="s">
        <v>48747</v>
      </c>
      <c r="E15401" s="26"/>
      <c r="F15401" s="27">
        <f ca="1">ROUND(2.460*(1+G2/100),2)</f>
        <v>0</v>
      </c>
      <c r="G15401" s="26"/>
    </row>
    <row r="15402" spans="1:7" ht="49.08" thickBot="1" customHeight="1">
      <c r="A15402" s="26"/>
      <c r="B15402" s="26"/>
      <c r="C15402" s="26"/>
      <c r="D15402" s="25" t="s">
        <v>48748</v>
      </c>
      <c r="E15402" s="25"/>
      <c r="F15402" s="25"/>
      <c r="G15402" s="25"/>
    </row>
    <row r="15403" spans="1:7" ht="30.60" thickBot="1" customHeight="1">
      <c r="A15403" s="10" t="s">
        <v>48749</v>
      </c>
      <c r="B15403" s="24" t="s">
        <v>48750</v>
      </c>
      <c r="C15403" s="24" t="s">
        <v>48751</v>
      </c>
      <c r="D15403" s="25" t="s">
        <v>48752</v>
      </c>
      <c r="E15403" s="26"/>
      <c r="F15403" s="27">
        <f ca="1">ROUND(4.290*(1+G2/100),2)</f>
        <v>0</v>
      </c>
      <c r="G15403" s="26"/>
    </row>
    <row r="15404" spans="1:7" ht="49.08" thickBot="1" customHeight="1">
      <c r="A15404" s="26"/>
      <c r="B15404" s="26"/>
      <c r="C15404" s="26"/>
      <c r="D15404" s="25" t="s">
        <v>48753</v>
      </c>
      <c r="E15404" s="25"/>
      <c r="F15404" s="25"/>
      <c r="G15404" s="25"/>
    </row>
    <row r="15405" spans="1:7" ht="39.84" thickBot="1" customHeight="1">
      <c r="A15405" s="10" t="s">
        <v>48754</v>
      </c>
      <c r="B15405" s="24" t="s">
        <v>48755</v>
      </c>
      <c r="C15405" s="24" t="s">
        <v>48756</v>
      </c>
      <c r="D15405" s="25" t="s">
        <v>48757</v>
      </c>
      <c r="E15405" s="26"/>
      <c r="F15405" s="27">
        <f ca="1">ROUND(7.650*(1+G2/100),2)</f>
        <v>0</v>
      </c>
      <c r="G15405" s="26"/>
    </row>
    <row r="15406" spans="1:7" ht="30.60" thickBot="1" customHeight="1">
      <c r="A15406" s="26"/>
      <c r="B15406" s="26"/>
      <c r="C15406" s="26"/>
      <c r="D15406" s="25" t="s">
        <v>48758</v>
      </c>
      <c r="E15406" s="25"/>
      <c r="F15406" s="25"/>
      <c r="G15406" s="25"/>
    </row>
    <row r="15407" spans="1:7" ht="30.60" thickBot="1" customHeight="1">
      <c r="A15407" s="10" t="s">
        <v>48759</v>
      </c>
      <c r="B15407" s="24" t="s">
        <v>48760</v>
      </c>
      <c r="C15407" s="24" t="s">
        <v>48761</v>
      </c>
      <c r="D15407" s="25" t="s">
        <v>48762</v>
      </c>
      <c r="E15407" s="26"/>
      <c r="F15407" s="27">
        <f ca="1">ROUND(64.190*(1+G2/100),2)</f>
        <v>0</v>
      </c>
      <c r="G15407" s="26"/>
    </row>
    <row r="15408" spans="1:7" ht="39.84" thickBot="1" customHeight="1">
      <c r="A15408" s="26"/>
      <c r="B15408" s="26"/>
      <c r="C15408" s="26"/>
      <c r="D15408" s="25" t="s">
        <v>48763</v>
      </c>
      <c r="E15408" s="25"/>
      <c r="F15408" s="25"/>
      <c r="G15408" s="25"/>
    </row>
    <row r="15409" spans="1:7" ht="39.84" thickBot="1" customHeight="1">
      <c r="A15409" s="10" t="s">
        <v>48764</v>
      </c>
      <c r="B15409" s="24" t="s">
        <v>48765</v>
      </c>
      <c r="C15409" s="24" t="s">
        <v>48766</v>
      </c>
      <c r="D15409" s="25" t="s">
        <v>48767</v>
      </c>
      <c r="E15409" s="26"/>
      <c r="F15409" s="27">
        <f ca="1">ROUND(18.800*(1+G2/100),2)</f>
        <v>0</v>
      </c>
      <c r="G15409" s="26"/>
    </row>
    <row r="15410" spans="1:7" ht="21.36" thickBot="1" customHeight="1">
      <c r="A15410" s="26"/>
      <c r="B15410" s="26"/>
      <c r="C15410" s="26"/>
      <c r="D15410" s="25" t="s">
        <v>48768</v>
      </c>
      <c r="E15410" s="25"/>
      <c r="F15410" s="25"/>
      <c r="G15410" s="25"/>
    </row>
    <row r="15411" spans="1:7" ht="39.84" thickBot="1" customHeight="1">
      <c r="A15411" s="10" t="s">
        <v>48769</v>
      </c>
      <c r="B15411" s="24" t="s">
        <v>48770</v>
      </c>
      <c r="C15411" s="24" t="s">
        <v>48771</v>
      </c>
      <c r="D15411" s="25" t="s">
        <v>48772</v>
      </c>
      <c r="E15411" s="26"/>
      <c r="F15411" s="27">
        <f ca="1">ROUND(27.850*(1+G2/100),2)</f>
        <v>0</v>
      </c>
      <c r="G15411" s="26"/>
    </row>
    <row r="15412" spans="1:7" ht="21.36" thickBot="1" customHeight="1">
      <c r="A15412" s="26"/>
      <c r="B15412" s="26"/>
      <c r="C15412" s="26"/>
      <c r="D15412" s="25" t="s">
        <v>48773</v>
      </c>
      <c r="E15412" s="25"/>
      <c r="F15412" s="25"/>
      <c r="G15412" s="25"/>
    </row>
    <row r="15413" spans="1:7" ht="49.08" thickBot="1" customHeight="1">
      <c r="A15413" s="10" t="s">
        <v>48774</v>
      </c>
      <c r="B15413" s="24" t="s">
        <v>48775</v>
      </c>
      <c r="C15413" s="24" t="s">
        <v>48776</v>
      </c>
      <c r="D15413" s="25" t="s">
        <v>48777</v>
      </c>
      <c r="E15413" s="26"/>
      <c r="F15413" s="27">
        <f ca="1">ROUND(16.120*(1+G2/100),2)</f>
        <v>0</v>
      </c>
      <c r="G15413" s="26"/>
    </row>
    <row r="15414" spans="1:7" ht="39.84" thickBot="1" customHeight="1">
      <c r="A15414" s="26"/>
      <c r="B15414" s="26"/>
      <c r="C15414" s="26"/>
      <c r="D15414" s="25" t="s">
        <v>48778</v>
      </c>
      <c r="E15414" s="25"/>
      <c r="F15414" s="25"/>
      <c r="G15414" s="25"/>
    </row>
    <row r="15415" spans="1:7" ht="21.36" thickBot="1" customHeight="1">
      <c r="A15415" s="10" t="s">
        <v>48779</v>
      </c>
      <c r="B15415" s="24" t="s">
        <v>48780</v>
      </c>
      <c r="C15415" s="24" t="s">
        <v>48781</v>
      </c>
      <c r="D15415" s="25" t="s">
        <v>48782</v>
      </c>
      <c r="E15415" s="26"/>
      <c r="F15415" s="27">
        <f ca="1">ROUND(4.670*(1+G2/100),2)</f>
        <v>0</v>
      </c>
      <c r="G15415" s="26"/>
    </row>
    <row r="15416" spans="1:7" ht="12.12" thickBot="1" customHeight="1">
      <c r="A15416" s="26"/>
      <c r="B15416" s="26"/>
      <c r="C15416" s="26"/>
      <c r="D15416" s="25" t="s">
        <v>48783</v>
      </c>
      <c r="E15416" s="25"/>
      <c r="F15416" s="25"/>
      <c r="G15416" s="25"/>
    </row>
    <row r="15417" spans="1:7" ht="30.60" thickBot="1" customHeight="1">
      <c r="A15417" s="10" t="s">
        <v>48784</v>
      </c>
      <c r="B15417" s="24" t="s">
        <v>48785</v>
      </c>
      <c r="C15417" s="24" t="s">
        <v>48786</v>
      </c>
      <c r="D15417" s="25" t="s">
        <v>48787</v>
      </c>
      <c r="E15417" s="26"/>
      <c r="F15417" s="27">
        <f ca="1">ROUND(10.740*(1+G2/100),2)</f>
        <v>0</v>
      </c>
      <c r="G15417" s="26"/>
    </row>
    <row r="15418" spans="1:7" ht="58.32" thickBot="1" customHeight="1">
      <c r="A15418" s="26"/>
      <c r="B15418" s="26"/>
      <c r="C15418" s="26"/>
      <c r="D15418" s="25" t="s">
        <v>48788</v>
      </c>
      <c r="E15418" s="25"/>
      <c r="F15418" s="25"/>
      <c r="G15418" s="25"/>
    </row>
    <row r="15419" spans="1:7" ht="30.60" thickBot="1" customHeight="1">
      <c r="A15419" s="10" t="s">
        <v>48789</v>
      </c>
      <c r="B15419" s="24" t="s">
        <v>48790</v>
      </c>
      <c r="C15419" s="24" t="s">
        <v>48791</v>
      </c>
      <c r="D15419" s="25" t="s">
        <v>48792</v>
      </c>
      <c r="E15419" s="26"/>
      <c r="F15419" s="27">
        <f ca="1">ROUND(11.220*(1+G2/100),2)</f>
        <v>0</v>
      </c>
      <c r="G15419" s="26"/>
    </row>
    <row r="15420" spans="1:7" ht="58.32" thickBot="1" customHeight="1">
      <c r="A15420" s="26"/>
      <c r="B15420" s="26"/>
      <c r="C15420" s="26"/>
      <c r="D15420" s="25" t="s">
        <v>48793</v>
      </c>
      <c r="E15420" s="25"/>
      <c r="F15420" s="25"/>
      <c r="G15420" s="25"/>
    </row>
    <row r="15421" spans="1:7" ht="30.60" thickBot="1" customHeight="1">
      <c r="A15421" s="10" t="s">
        <v>48794</v>
      </c>
      <c r="B15421" s="24" t="s">
        <v>48795</v>
      </c>
      <c r="C15421" s="24" t="s">
        <v>48796</v>
      </c>
      <c r="D15421" s="25" t="s">
        <v>48797</v>
      </c>
      <c r="E15421" s="26"/>
      <c r="F15421" s="27">
        <f ca="1">ROUND(11.780*(1+G2/100),2)</f>
        <v>0</v>
      </c>
      <c r="G15421" s="26"/>
    </row>
    <row r="15422" spans="1:7" ht="58.32" thickBot="1" customHeight="1">
      <c r="A15422" s="26"/>
      <c r="B15422" s="26"/>
      <c r="C15422" s="26"/>
      <c r="D15422" s="25" t="s">
        <v>48798</v>
      </c>
      <c r="E15422" s="25"/>
      <c r="F15422" s="25"/>
      <c r="G15422" s="25"/>
    </row>
    <row r="15423" spans="1:7" ht="30.60" thickBot="1" customHeight="1">
      <c r="A15423" s="10" t="s">
        <v>48799</v>
      </c>
      <c r="B15423" s="24" t="s">
        <v>48800</v>
      </c>
      <c r="C15423" s="24" t="s">
        <v>48801</v>
      </c>
      <c r="D15423" s="25" t="s">
        <v>48802</v>
      </c>
      <c r="E15423" s="26"/>
      <c r="F15423" s="27">
        <f ca="1">ROUND(8.810*(1+G2/100),2)</f>
        <v>0</v>
      </c>
      <c r="G15423" s="26"/>
    </row>
    <row r="15424" spans="1:7" ht="21.36" thickBot="1" customHeight="1">
      <c r="A15424" s="26"/>
      <c r="B15424" s="26"/>
      <c r="C15424" s="26"/>
      <c r="D15424" s="25" t="s">
        <v>48803</v>
      </c>
      <c r="E15424" s="25"/>
      <c r="F15424" s="25"/>
      <c r="G15424" s="25"/>
    </row>
    <row r="15425" spans="1:7" ht="39.84" thickBot="1" customHeight="1">
      <c r="A15425" s="10" t="s">
        <v>48804</v>
      </c>
      <c r="B15425" s="24" t="s">
        <v>48805</v>
      </c>
      <c r="C15425" s="24" t="s">
        <v>48806</v>
      </c>
      <c r="D15425" s="25" t="s">
        <v>48807</v>
      </c>
      <c r="E15425" s="26"/>
      <c r="F15425" s="27">
        <f ca="1">ROUND(2.630*(1+G2/100),2)</f>
        <v>0</v>
      </c>
      <c r="G15425" s="26"/>
    </row>
    <row r="15426" spans="1:7" ht="21.36" thickBot="1" customHeight="1">
      <c r="A15426" s="26"/>
      <c r="B15426" s="26"/>
      <c r="C15426" s="26"/>
      <c r="D15426" s="25" t="s">
        <v>48808</v>
      </c>
      <c r="E15426" s="25"/>
      <c r="F15426" s="25"/>
      <c r="G15426" s="25"/>
    </row>
    <row r="15427" spans="1:7" ht="39.84" thickBot="1" customHeight="1">
      <c r="A15427" s="10" t="s">
        <v>48809</v>
      </c>
      <c r="B15427" s="24" t="s">
        <v>48810</v>
      </c>
      <c r="C15427" s="24" t="s">
        <v>48811</v>
      </c>
      <c r="D15427" s="25" t="s">
        <v>48812</v>
      </c>
      <c r="E15427" s="26"/>
      <c r="F15427" s="27">
        <f ca="1">ROUND(2.630*(1+G2/100),2)</f>
        <v>0</v>
      </c>
      <c r="G15427" s="26"/>
    </row>
    <row r="15428" spans="1:7" ht="21.36" thickBot="1" customHeight="1">
      <c r="A15428" s="26"/>
      <c r="B15428" s="26"/>
      <c r="C15428" s="26"/>
      <c r="D15428" s="25" t="s">
        <v>48813</v>
      </c>
      <c r="E15428" s="25"/>
      <c r="F15428" s="25"/>
      <c r="G15428" s="25"/>
    </row>
    <row r="15429" spans="1:7" ht="39.84" thickBot="1" customHeight="1">
      <c r="A15429" s="10" t="s">
        <v>48814</v>
      </c>
      <c r="B15429" s="24" t="s">
        <v>48815</v>
      </c>
      <c r="C15429" s="24" t="s">
        <v>48816</v>
      </c>
      <c r="D15429" s="25" t="s">
        <v>48817</v>
      </c>
      <c r="E15429" s="26"/>
      <c r="F15429" s="27">
        <f ca="1">ROUND(2.630*(1+G2/100),2)</f>
        <v>0</v>
      </c>
      <c r="G15429" s="26"/>
    </row>
    <row r="15430" spans="1:7" ht="21.36" thickBot="1" customHeight="1">
      <c r="A15430" s="26"/>
      <c r="B15430" s="26"/>
      <c r="C15430" s="26"/>
      <c r="D15430" s="25" t="s">
        <v>48818</v>
      </c>
      <c r="E15430" s="25"/>
      <c r="F15430" s="25"/>
      <c r="G15430" s="25"/>
    </row>
    <row r="15431" spans="1:7" ht="30.60" thickBot="1" customHeight="1">
      <c r="A15431" s="10" t="s">
        <v>48819</v>
      </c>
      <c r="B15431" s="24" t="s">
        <v>48820</v>
      </c>
      <c r="C15431" s="24" t="s">
        <v>48821</v>
      </c>
      <c r="D15431" s="25" t="s">
        <v>48822</v>
      </c>
      <c r="E15431" s="26"/>
      <c r="F15431" s="27">
        <f ca="1">ROUND(24.980*(1+G2/100),2)</f>
        <v>0</v>
      </c>
      <c r="G15431" s="26"/>
    </row>
    <row r="15432" spans="1:7" ht="30.60" thickBot="1" customHeight="1">
      <c r="A15432" s="26"/>
      <c r="B15432" s="26"/>
      <c r="C15432" s="26"/>
      <c r="D15432" s="25" t="s">
        <v>48823</v>
      </c>
      <c r="E15432" s="25"/>
      <c r="F15432" s="25"/>
      <c r="G15432" s="25"/>
    </row>
    <row r="15433" spans="1:7" ht="30.60" thickBot="1" customHeight="1">
      <c r="A15433" s="10" t="s">
        <v>48824</v>
      </c>
      <c r="B15433" s="24" t="s">
        <v>48825</v>
      </c>
      <c r="C15433" s="24" t="s">
        <v>48826</v>
      </c>
      <c r="D15433" s="25" t="s">
        <v>48827</v>
      </c>
      <c r="E15433" s="26"/>
      <c r="F15433" s="27">
        <f ca="1">ROUND(0.880*(1+G2/100),2)</f>
        <v>0</v>
      </c>
      <c r="G15433" s="26"/>
    </row>
    <row r="15434" spans="1:7" ht="30.60" thickBot="1" customHeight="1">
      <c r="A15434" s="26"/>
      <c r="B15434" s="26"/>
      <c r="C15434" s="26"/>
      <c r="D15434" s="25" t="s">
        <v>48828</v>
      </c>
      <c r="E15434" s="25"/>
      <c r="F15434" s="25"/>
      <c r="G15434" s="25"/>
    </row>
    <row r="15435" spans="1:7" ht="30.60" thickBot="1" customHeight="1">
      <c r="A15435" s="10" t="s">
        <v>48829</v>
      </c>
      <c r="B15435" s="24" t="s">
        <v>48830</v>
      </c>
      <c r="C15435" s="24" t="s">
        <v>48831</v>
      </c>
      <c r="D15435" s="25" t="s">
        <v>48832</v>
      </c>
      <c r="E15435" s="26"/>
      <c r="F15435" s="27">
        <f ca="1">ROUND(2.950*(1+G2/100),2)</f>
        <v>0</v>
      </c>
      <c r="G15435" s="26"/>
    </row>
    <row r="15436" spans="1:7" ht="30.60" thickBot="1" customHeight="1">
      <c r="A15436" s="26"/>
      <c r="B15436" s="26"/>
      <c r="C15436" s="26"/>
      <c r="D15436" s="25" t="s">
        <v>48833</v>
      </c>
      <c r="E15436" s="25"/>
      <c r="F15436" s="25"/>
      <c r="G15436" s="25"/>
    </row>
    <row r="15437" spans="1:7" ht="21.36" thickBot="1" customHeight="1">
      <c r="A15437" s="10" t="s">
        <v>48834</v>
      </c>
      <c r="B15437" s="24" t="s">
        <v>48835</v>
      </c>
      <c r="C15437" s="24" t="s">
        <v>48836</v>
      </c>
      <c r="D15437" s="25" t="s">
        <v>48837</v>
      </c>
      <c r="E15437" s="26"/>
      <c r="F15437" s="27">
        <f ca="1">ROUND(0.970*(1+G2/100),2)</f>
        <v>0</v>
      </c>
      <c r="G15437" s="26"/>
    </row>
    <row r="15438" spans="1:7" ht="12.12" thickBot="1" customHeight="1">
      <c r="A15438" s="26"/>
      <c r="B15438" s="26"/>
      <c r="C15438" s="26"/>
      <c r="D15438" s="25" t="s">
        <v>48838</v>
      </c>
      <c r="E15438" s="25"/>
      <c r="F15438" s="25"/>
      <c r="G15438" s="25"/>
    </row>
    <row r="15439" spans="1:7" ht="21.36" thickBot="1" customHeight="1">
      <c r="A15439" s="10" t="s">
        <v>48839</v>
      </c>
      <c r="B15439" s="24" t="s">
        <v>48840</v>
      </c>
      <c r="C15439" s="24" t="s">
        <v>48841</v>
      </c>
      <c r="D15439" s="25" t="s">
        <v>48842</v>
      </c>
      <c r="E15439" s="26"/>
      <c r="F15439" s="27">
        <f ca="1">ROUND(2.710*(1+G2/100),2)</f>
        <v>0</v>
      </c>
      <c r="G15439" s="26"/>
    </row>
    <row r="15440" spans="1:7" ht="12.12" thickBot="1" customHeight="1">
      <c r="A15440" s="26"/>
      <c r="B15440" s="26"/>
      <c r="C15440" s="26"/>
      <c r="D15440" s="25" t="s">
        <v>48843</v>
      </c>
      <c r="E15440" s="25"/>
      <c r="F15440" s="25"/>
      <c r="G15440" s="25"/>
    </row>
    <row r="15441" spans="1:7" ht="30.60" thickBot="1" customHeight="1">
      <c r="A15441" s="10" t="s">
        <v>48844</v>
      </c>
      <c r="B15441" s="24" t="s">
        <v>48845</v>
      </c>
      <c r="C15441" s="24" t="s">
        <v>48846</v>
      </c>
      <c r="D15441" s="25" t="s">
        <v>48847</v>
      </c>
      <c r="E15441" s="26"/>
      <c r="F15441" s="27">
        <f ca="1">ROUND(7.560*(1+G2/100),2)</f>
        <v>0</v>
      </c>
      <c r="G15441" s="26"/>
    </row>
    <row r="15442" spans="1:7" ht="113.76" thickBot="1" customHeight="1">
      <c r="A15442" s="26"/>
      <c r="B15442" s="26"/>
      <c r="C15442" s="26"/>
      <c r="D15442" s="25" t="s">
        <v>48848</v>
      </c>
      <c r="E15442" s="25"/>
      <c r="F15442" s="25"/>
      <c r="G15442" s="25"/>
    </row>
    <row r="15443" spans="1:7" ht="30.60" thickBot="1" customHeight="1">
      <c r="A15443" s="10" t="s">
        <v>48849</v>
      </c>
      <c r="B15443" s="24" t="s">
        <v>48850</v>
      </c>
      <c r="C15443" s="24" t="s">
        <v>48851</v>
      </c>
      <c r="D15443" s="25" t="s">
        <v>48852</v>
      </c>
      <c r="E15443" s="26"/>
      <c r="F15443" s="27">
        <f ca="1">ROUND(6.530*(1+G2/100),2)</f>
        <v>0</v>
      </c>
      <c r="G15443" s="26"/>
    </row>
    <row r="15444" spans="1:7" ht="12.12" thickBot="1" customHeight="1">
      <c r="A15444" s="26"/>
      <c r="B15444" s="26"/>
      <c r="C15444" s="26"/>
      <c r="D15444" s="25" t="s">
        <v>48853</v>
      </c>
      <c r="E15444" s="25"/>
      <c r="F15444" s="25"/>
      <c r="G15444" s="25"/>
    </row>
    <row r="15445" spans="1:7" ht="30.60" thickBot="1" customHeight="1">
      <c r="A15445" s="10" t="s">
        <v>48854</v>
      </c>
      <c r="B15445" s="24" t="s">
        <v>48855</v>
      </c>
      <c r="C15445" s="24" t="s">
        <v>48856</v>
      </c>
      <c r="D15445" s="25" t="s">
        <v>48857</v>
      </c>
      <c r="E15445" s="26"/>
      <c r="F15445" s="27">
        <f ca="1">ROUND(5.980*(1+G2/100),2)</f>
        <v>0</v>
      </c>
      <c r="G15445" s="26"/>
    </row>
    <row r="15446" spans="1:7" ht="12.12" thickBot="1" customHeight="1">
      <c r="A15446" s="26"/>
      <c r="B15446" s="26"/>
      <c r="C15446" s="26"/>
      <c r="D15446" s="25" t="s">
        <v>48858</v>
      </c>
      <c r="E15446" s="25"/>
      <c r="F15446" s="25"/>
      <c r="G15446" s="25"/>
    </row>
    <row r="15447" spans="1:7" ht="30.60" thickBot="1" customHeight="1">
      <c r="A15447" s="10" t="s">
        <v>48859</v>
      </c>
      <c r="B15447" s="24" t="s">
        <v>48860</v>
      </c>
      <c r="C15447" s="24" t="s">
        <v>48861</v>
      </c>
      <c r="D15447" s="25" t="s">
        <v>48862</v>
      </c>
      <c r="E15447" s="26"/>
      <c r="F15447" s="27">
        <f ca="1">ROUND(1.070*(1+G2/100),2)</f>
        <v>0</v>
      </c>
      <c r="G15447" s="26"/>
    </row>
    <row r="15448" spans="1:7" ht="30.60" thickBot="1" customHeight="1">
      <c r="A15448" s="26"/>
      <c r="B15448" s="26"/>
      <c r="C15448" s="26"/>
      <c r="D15448" s="25" t="s">
        <v>48863</v>
      </c>
      <c r="E15448" s="25"/>
      <c r="F15448" s="25"/>
      <c r="G15448" s="25"/>
    </row>
    <row r="15449" spans="1:7" ht="30.60" thickBot="1" customHeight="1">
      <c r="A15449" s="10" t="s">
        <v>48864</v>
      </c>
      <c r="B15449" s="24" t="s">
        <v>48865</v>
      </c>
      <c r="C15449" s="24" t="s">
        <v>48866</v>
      </c>
      <c r="D15449" s="25" t="s">
        <v>48867</v>
      </c>
      <c r="E15449" s="26"/>
      <c r="F15449" s="27">
        <f ca="1">ROUND(1.100*(1+G2/100),2)</f>
        <v>0</v>
      </c>
      <c r="G15449" s="26"/>
    </row>
    <row r="15450" spans="1:7" ht="30.60" thickBot="1" customHeight="1">
      <c r="A15450" s="26"/>
      <c r="B15450" s="26"/>
      <c r="C15450" s="26"/>
      <c r="D15450" s="25" t="s">
        <v>48868</v>
      </c>
      <c r="E15450" s="25"/>
      <c r="F15450" s="25"/>
      <c r="G15450" s="25"/>
    </row>
    <row r="15451" spans="1:7" ht="30.60" thickBot="1" customHeight="1">
      <c r="A15451" s="10" t="s">
        <v>48869</v>
      </c>
      <c r="B15451" s="24" t="s">
        <v>48870</v>
      </c>
      <c r="C15451" s="24" t="s">
        <v>48871</v>
      </c>
      <c r="D15451" s="25" t="s">
        <v>48872</v>
      </c>
      <c r="E15451" s="26"/>
      <c r="F15451" s="27">
        <f ca="1">ROUND(9.950*(1+G2/100),2)</f>
        <v>0</v>
      </c>
      <c r="G15451" s="26"/>
    </row>
    <row r="15452" spans="1:7" ht="12.12" thickBot="1" customHeight="1">
      <c r="A15452" s="26"/>
      <c r="B15452" s="26"/>
      <c r="C15452" s="26"/>
      <c r="D15452" s="25" t="s">
        <v>48873</v>
      </c>
      <c r="E15452" s="25"/>
      <c r="F15452" s="25"/>
      <c r="G15452" s="25"/>
    </row>
    <row r="15453" spans="1:7" ht="39.84" thickBot="1" customHeight="1">
      <c r="A15453" s="10" t="s">
        <v>48874</v>
      </c>
      <c r="B15453" s="24" t="s">
        <v>48875</v>
      </c>
      <c r="C15453" s="24" t="s">
        <v>48876</v>
      </c>
      <c r="D15453" s="25" t="s">
        <v>48877</v>
      </c>
      <c r="E15453" s="26"/>
      <c r="F15453" s="27">
        <f ca="1">ROUND(7.990*(1+G2/100),2)</f>
        <v>0</v>
      </c>
      <c r="G15453" s="26"/>
    </row>
    <row r="15454" spans="1:7" ht="30.60" thickBot="1" customHeight="1">
      <c r="A15454" s="26"/>
      <c r="B15454" s="26"/>
      <c r="C15454" s="26"/>
      <c r="D15454" s="25" t="s">
        <v>48878</v>
      </c>
      <c r="E15454" s="25"/>
      <c r="F15454" s="25"/>
      <c r="G15454" s="25"/>
    </row>
    <row r="15455" spans="1:7" ht="15.48" thickBot="1" customHeight="1">
      <c r="A15455" s="30"/>
      <c r="B15455" s="30"/>
      <c r="C15455" s="30"/>
      <c r="D15455" s="79" t="s">
        <v>48879</v>
      </c>
      <c r="E15455" s="80"/>
      <c r="F15455" s="80"/>
      <c r="G15455" s="80"/>
    </row>
    <row r="15456" spans="1:7" ht="25.08" thickBot="1" customHeight="1">
      <c r="A15456" s="52" t="s">
        <v>48880</v>
      </c>
      <c r="B15456" s="52" t="s">
        <v>48881</v>
      </c>
      <c r="C15456" s="53"/>
      <c r="D15456" s="54" t="s">
        <v>48882</v>
      </c>
      <c r="E15456" s="53"/>
      <c r="F15456" s="53"/>
      <c r="G15456" s="53"/>
    </row>
    <row r="15457" spans="1:7" ht="39.84" thickBot="1" customHeight="1">
      <c r="A15457" s="10" t="s">
        <v>48883</v>
      </c>
      <c r="B15457" s="24" t="s">
        <v>48884</v>
      </c>
      <c r="C15457" s="24" t="s">
        <v>48885</v>
      </c>
      <c r="D15457" s="25" t="s">
        <v>48886</v>
      </c>
      <c r="E15457" s="26"/>
      <c r="F15457" s="27">
        <f ca="1">ROUND(119.530*(1+G2/100),2)</f>
        <v>0</v>
      </c>
      <c r="G15457" s="26"/>
    </row>
    <row r="15458" spans="1:7" ht="95.28" thickBot="1" customHeight="1">
      <c r="A15458" s="26"/>
      <c r="B15458" s="26"/>
      <c r="C15458" s="26"/>
      <c r="D15458" s="25" t="s">
        <v>48887</v>
      </c>
      <c r="E15458" s="25"/>
      <c r="F15458" s="25"/>
      <c r="G15458" s="25"/>
    </row>
    <row r="15459" spans="1:7" ht="39.84" thickBot="1" customHeight="1">
      <c r="A15459" s="10" t="s">
        <v>48888</v>
      </c>
      <c r="B15459" s="24" t="s">
        <v>48889</v>
      </c>
      <c r="C15459" s="24" t="s">
        <v>48890</v>
      </c>
      <c r="D15459" s="25" t="s">
        <v>48891</v>
      </c>
      <c r="E15459" s="26"/>
      <c r="F15459" s="27">
        <f ca="1">ROUND(6.550*(1+G2/100),2)</f>
        <v>0</v>
      </c>
      <c r="G15459" s="26"/>
    </row>
    <row r="15460" spans="1:7" ht="21.36" thickBot="1" customHeight="1">
      <c r="A15460" s="26"/>
      <c r="B15460" s="26"/>
      <c r="C15460" s="26"/>
      <c r="D15460" s="25" t="s">
        <v>48892</v>
      </c>
      <c r="E15460" s="25"/>
      <c r="F15460" s="25"/>
      <c r="G15460" s="25"/>
    </row>
    <row r="15461" spans="1:7" ht="39.84" thickBot="1" customHeight="1">
      <c r="A15461" s="10" t="s">
        <v>48893</v>
      </c>
      <c r="B15461" s="24" t="s">
        <v>48894</v>
      </c>
      <c r="C15461" s="24" t="s">
        <v>48895</v>
      </c>
      <c r="D15461" s="25" t="s">
        <v>48896</v>
      </c>
      <c r="E15461" s="26"/>
      <c r="F15461" s="27">
        <f ca="1">ROUND(12.690*(1+G2/100),2)</f>
        <v>0</v>
      </c>
      <c r="G15461" s="26"/>
    </row>
    <row r="15462" spans="1:7" ht="21.36" thickBot="1" customHeight="1">
      <c r="A15462" s="26"/>
      <c r="B15462" s="26"/>
      <c r="C15462" s="26"/>
      <c r="D15462" s="25" t="s">
        <v>48897</v>
      </c>
      <c r="E15462" s="25"/>
      <c r="F15462" s="25"/>
      <c r="G15462" s="25"/>
    </row>
    <row r="15463" spans="1:7" ht="39.84" thickBot="1" customHeight="1">
      <c r="A15463" s="10" t="s">
        <v>48898</v>
      </c>
      <c r="B15463" s="24" t="s">
        <v>48899</v>
      </c>
      <c r="C15463" s="24" t="s">
        <v>48900</v>
      </c>
      <c r="D15463" s="25" t="s">
        <v>48901</v>
      </c>
      <c r="E15463" s="26"/>
      <c r="F15463" s="27">
        <f ca="1">ROUND(2.370*(1+G2/100),2)</f>
        <v>0</v>
      </c>
      <c r="G15463" s="26"/>
    </row>
    <row r="15464" spans="1:7" ht="21.36" thickBot="1" customHeight="1">
      <c r="A15464" s="26"/>
      <c r="B15464" s="26"/>
      <c r="C15464" s="26"/>
      <c r="D15464" s="25" t="s">
        <v>48902</v>
      </c>
      <c r="E15464" s="25"/>
      <c r="F15464" s="25"/>
      <c r="G15464" s="25"/>
    </row>
    <row r="15465" spans="1:7" ht="30.60" thickBot="1" customHeight="1">
      <c r="A15465" s="10" t="s">
        <v>48903</v>
      </c>
      <c r="B15465" s="24" t="s">
        <v>48904</v>
      </c>
      <c r="C15465" s="24" t="s">
        <v>48905</v>
      </c>
      <c r="D15465" s="25" t="s">
        <v>48906</v>
      </c>
      <c r="E15465" s="26"/>
      <c r="F15465" s="27">
        <f ca="1">ROUND(198.000*(1+G2/100),2)</f>
        <v>0</v>
      </c>
      <c r="G15465" s="26"/>
    </row>
    <row r="15466" spans="1:7" ht="49.08" thickBot="1" customHeight="1">
      <c r="A15466" s="26"/>
      <c r="B15466" s="26"/>
      <c r="C15466" s="26"/>
      <c r="D15466" s="25" t="s">
        <v>48907</v>
      </c>
      <c r="E15466" s="25"/>
      <c r="F15466" s="25"/>
      <c r="G15466" s="25"/>
    </row>
    <row r="15467" spans="1:7" ht="39.84" thickBot="1" customHeight="1">
      <c r="A15467" s="10" t="s">
        <v>48908</v>
      </c>
      <c r="B15467" s="24" t="s">
        <v>48909</v>
      </c>
      <c r="C15467" s="24" t="s">
        <v>48910</v>
      </c>
      <c r="D15467" s="25" t="s">
        <v>48911</v>
      </c>
      <c r="E15467" s="26"/>
      <c r="F15467" s="27">
        <f ca="1">ROUND(26.000*(1+G2/100),2)</f>
        <v>0</v>
      </c>
      <c r="G15467" s="26"/>
    </row>
    <row r="15468" spans="1:7" ht="21.36" thickBot="1" customHeight="1">
      <c r="A15468" s="26"/>
      <c r="B15468" s="26"/>
      <c r="C15468" s="26"/>
      <c r="D15468" s="25" t="s">
        <v>48912</v>
      </c>
      <c r="E15468" s="25"/>
      <c r="F15468" s="25"/>
      <c r="G15468" s="25"/>
    </row>
    <row r="15469" spans="1:7" ht="49.08" thickBot="1" customHeight="1">
      <c r="A15469" s="10" t="s">
        <v>48913</v>
      </c>
      <c r="B15469" s="24" t="s">
        <v>48914</v>
      </c>
      <c r="C15469" s="24" t="s">
        <v>48915</v>
      </c>
      <c r="D15469" s="25" t="s">
        <v>48916</v>
      </c>
      <c r="E15469" s="26"/>
      <c r="F15469" s="27">
        <f ca="1">ROUND(52.890*(1+G2/100),2)</f>
        <v>0</v>
      </c>
      <c r="G15469" s="26"/>
    </row>
    <row r="15470" spans="1:7" ht="21.36" thickBot="1" customHeight="1">
      <c r="A15470" s="26"/>
      <c r="B15470" s="26"/>
      <c r="C15470" s="26"/>
      <c r="D15470" s="25" t="s">
        <v>48917</v>
      </c>
      <c r="E15470" s="25"/>
      <c r="F15470" s="25"/>
      <c r="G15470" s="25"/>
    </row>
    <row r="15471" spans="1:7" ht="39.84" thickBot="1" customHeight="1">
      <c r="A15471" s="10" t="s">
        <v>48918</v>
      </c>
      <c r="B15471" s="24" t="s">
        <v>48919</v>
      </c>
      <c r="C15471" s="24" t="s">
        <v>48920</v>
      </c>
      <c r="D15471" s="25" t="s">
        <v>48921</v>
      </c>
      <c r="E15471" s="26"/>
      <c r="F15471" s="27">
        <f ca="1">ROUND(25.610*(1+G2/100),2)</f>
        <v>0</v>
      </c>
      <c r="G15471" s="26"/>
    </row>
    <row r="15472" spans="1:7" ht="21.36" thickBot="1" customHeight="1">
      <c r="A15472" s="26"/>
      <c r="B15472" s="26"/>
      <c r="C15472" s="26"/>
      <c r="D15472" s="25" t="s">
        <v>48922</v>
      </c>
      <c r="E15472" s="25"/>
      <c r="F15472" s="25"/>
      <c r="G15472" s="25"/>
    </row>
    <row r="15473" spans="1:7" ht="49.08" thickBot="1" customHeight="1">
      <c r="A15473" s="10" t="s">
        <v>48923</v>
      </c>
      <c r="B15473" s="24" t="s">
        <v>48924</v>
      </c>
      <c r="C15473" s="24" t="s">
        <v>48925</v>
      </c>
      <c r="D15473" s="25" t="s">
        <v>48926</v>
      </c>
      <c r="E15473" s="26"/>
      <c r="F15473" s="27">
        <f ca="1">ROUND(14.290*(1+G2/100),2)</f>
        <v>0</v>
      </c>
      <c r="G15473" s="26"/>
    </row>
    <row r="15474" spans="1:7" ht="21.36" thickBot="1" customHeight="1">
      <c r="A15474" s="26"/>
      <c r="B15474" s="26"/>
      <c r="C15474" s="26"/>
      <c r="D15474" s="25" t="s">
        <v>48927</v>
      </c>
      <c r="E15474" s="25"/>
      <c r="F15474" s="25"/>
      <c r="G15474" s="25"/>
    </row>
    <row r="15475" spans="1:7" ht="49.08" thickBot="1" customHeight="1">
      <c r="A15475" s="10" t="s">
        <v>48928</v>
      </c>
      <c r="B15475" s="24" t="s">
        <v>48929</v>
      </c>
      <c r="C15475" s="24" t="s">
        <v>48930</v>
      </c>
      <c r="D15475" s="25" t="s">
        <v>48931</v>
      </c>
      <c r="E15475" s="26"/>
      <c r="F15475" s="27">
        <f ca="1">ROUND(18.330*(1+G2/100),2)</f>
        <v>0</v>
      </c>
      <c r="G15475" s="26"/>
    </row>
    <row r="15476" spans="1:7" ht="21.36" thickBot="1" customHeight="1">
      <c r="A15476" s="26"/>
      <c r="B15476" s="26"/>
      <c r="C15476" s="26"/>
      <c r="D15476" s="25" t="s">
        <v>48932</v>
      </c>
      <c r="E15476" s="25"/>
      <c r="F15476" s="25"/>
      <c r="G15476" s="25"/>
    </row>
    <row r="15477" spans="1:7" ht="49.08" thickBot="1" customHeight="1">
      <c r="A15477" s="10" t="s">
        <v>48933</v>
      </c>
      <c r="B15477" s="24" t="s">
        <v>48934</v>
      </c>
      <c r="C15477" s="24" t="s">
        <v>48935</v>
      </c>
      <c r="D15477" s="25" t="s">
        <v>48936</v>
      </c>
      <c r="E15477" s="26"/>
      <c r="F15477" s="27">
        <f ca="1">ROUND(21.190*(1+G2/100),2)</f>
        <v>0</v>
      </c>
      <c r="G15477" s="26"/>
    </row>
    <row r="15478" spans="1:7" ht="21.36" thickBot="1" customHeight="1">
      <c r="A15478" s="26"/>
      <c r="B15478" s="26"/>
      <c r="C15478" s="26"/>
      <c r="D15478" s="25" t="s">
        <v>48937</v>
      </c>
      <c r="E15478" s="25"/>
      <c r="F15478" s="25"/>
      <c r="G15478" s="25"/>
    </row>
    <row r="15479" spans="1:7" ht="49.08" thickBot="1" customHeight="1">
      <c r="A15479" s="10" t="s">
        <v>48938</v>
      </c>
      <c r="B15479" s="24" t="s">
        <v>48939</v>
      </c>
      <c r="C15479" s="24" t="s">
        <v>48940</v>
      </c>
      <c r="D15479" s="25" t="s">
        <v>48941</v>
      </c>
      <c r="E15479" s="26"/>
      <c r="F15479" s="27">
        <f ca="1">ROUND(25.580*(1+G2/100),2)</f>
        <v>0</v>
      </c>
      <c r="G15479" s="26"/>
    </row>
    <row r="15480" spans="1:7" ht="21.36" thickBot="1" customHeight="1">
      <c r="A15480" s="26"/>
      <c r="B15480" s="26"/>
      <c r="C15480" s="26"/>
      <c r="D15480" s="25" t="s">
        <v>48942</v>
      </c>
      <c r="E15480" s="25"/>
      <c r="F15480" s="25"/>
      <c r="G15480" s="25"/>
    </row>
    <row r="15481" spans="1:7" ht="39.84" thickBot="1" customHeight="1">
      <c r="A15481" s="10" t="s">
        <v>48943</v>
      </c>
      <c r="B15481" s="24" t="s">
        <v>48944</v>
      </c>
      <c r="C15481" s="24" t="s">
        <v>48945</v>
      </c>
      <c r="D15481" s="25" t="s">
        <v>48946</v>
      </c>
      <c r="E15481" s="26"/>
      <c r="F15481" s="27">
        <f ca="1">ROUND(3.200*(1+G2/100),2)</f>
        <v>0</v>
      </c>
      <c r="G15481" s="26"/>
    </row>
    <row r="15482" spans="1:7" ht="21.36" thickBot="1" customHeight="1">
      <c r="A15482" s="26"/>
      <c r="B15482" s="26"/>
      <c r="C15482" s="26"/>
      <c r="D15482" s="25" t="s">
        <v>48947</v>
      </c>
      <c r="E15482" s="25"/>
      <c r="F15482" s="25"/>
      <c r="G15482" s="25"/>
    </row>
    <row r="15483" spans="1:7" ht="30.60" thickBot="1" customHeight="1">
      <c r="A15483" s="10" t="s">
        <v>48948</v>
      </c>
      <c r="B15483" s="24" t="s">
        <v>48949</v>
      </c>
      <c r="C15483" s="24" t="s">
        <v>48950</v>
      </c>
      <c r="D15483" s="25" t="s">
        <v>48951</v>
      </c>
      <c r="E15483" s="26"/>
      <c r="F15483" s="27">
        <f ca="1">ROUND(8.440*(1+G2/100),2)</f>
        <v>0</v>
      </c>
      <c r="G15483" s="26"/>
    </row>
    <row r="15484" spans="1:7" ht="12.12" thickBot="1" customHeight="1">
      <c r="A15484" s="26"/>
      <c r="B15484" s="26"/>
      <c r="C15484" s="26"/>
      <c r="D15484" s="25" t="s">
        <v>48952</v>
      </c>
      <c r="E15484" s="25"/>
      <c r="F15484" s="25"/>
      <c r="G15484" s="25"/>
    </row>
    <row r="15485" spans="1:7" ht="21.36" thickBot="1" customHeight="1">
      <c r="A15485" s="10" t="s">
        <v>48953</v>
      </c>
      <c r="B15485" s="24" t="s">
        <v>48954</v>
      </c>
      <c r="C15485" s="24" t="s">
        <v>48955</v>
      </c>
      <c r="D15485" s="25" t="s">
        <v>48956</v>
      </c>
      <c r="E15485" s="26"/>
      <c r="F15485" s="27">
        <f ca="1">ROUND(6.850*(1+G2/100),2)</f>
        <v>0</v>
      </c>
      <c r="G15485" s="26"/>
    </row>
    <row r="15486" spans="1:7" ht="21.36" thickBot="1" customHeight="1">
      <c r="A15486" s="26"/>
      <c r="B15486" s="26"/>
      <c r="C15486" s="26"/>
      <c r="D15486" s="25" t="s">
        <v>48957</v>
      </c>
      <c r="E15486" s="25"/>
      <c r="F15486" s="25"/>
      <c r="G15486" s="25"/>
    </row>
    <row r="15487" spans="1:7" ht="39.84" thickBot="1" customHeight="1">
      <c r="A15487" s="10" t="s">
        <v>48958</v>
      </c>
      <c r="B15487" s="24" t="s">
        <v>48959</v>
      </c>
      <c r="C15487" s="24" t="s">
        <v>48960</v>
      </c>
      <c r="D15487" s="25" t="s">
        <v>48961</v>
      </c>
      <c r="E15487" s="26"/>
      <c r="F15487" s="27">
        <f ca="1">ROUND(49.000*(1+G2/100),2)</f>
        <v>0</v>
      </c>
      <c r="G15487" s="26"/>
    </row>
    <row r="15488" spans="1:7" ht="21.36" thickBot="1" customHeight="1">
      <c r="A15488" s="26"/>
      <c r="B15488" s="26"/>
      <c r="C15488" s="26"/>
      <c r="D15488" s="25" t="s">
        <v>48962</v>
      </c>
      <c r="E15488" s="25"/>
      <c r="F15488" s="25"/>
      <c r="G15488" s="25"/>
    </row>
    <row r="15489" spans="1:7" ht="39.84" thickBot="1" customHeight="1">
      <c r="A15489" s="10" t="s">
        <v>48963</v>
      </c>
      <c r="B15489" s="24" t="s">
        <v>48964</v>
      </c>
      <c r="C15489" s="24" t="s">
        <v>48965</v>
      </c>
      <c r="D15489" s="25" t="s">
        <v>48966</v>
      </c>
      <c r="E15489" s="26"/>
      <c r="F15489" s="27">
        <f ca="1">ROUND(35.600*(1+G2/100),2)</f>
        <v>0</v>
      </c>
      <c r="G15489" s="26"/>
    </row>
    <row r="15490" spans="1:7" ht="21.36" thickBot="1" customHeight="1">
      <c r="A15490" s="26"/>
      <c r="B15490" s="26"/>
      <c r="C15490" s="26"/>
      <c r="D15490" s="25" t="s">
        <v>48967</v>
      </c>
      <c r="E15490" s="25"/>
      <c r="F15490" s="25"/>
      <c r="G15490" s="25"/>
    </row>
    <row r="15491" spans="1:7" ht="39.84" thickBot="1" customHeight="1">
      <c r="A15491" s="10" t="s">
        <v>48968</v>
      </c>
      <c r="B15491" s="24" t="s">
        <v>48969</v>
      </c>
      <c r="C15491" s="24" t="s">
        <v>48970</v>
      </c>
      <c r="D15491" s="25" t="s">
        <v>48971</v>
      </c>
      <c r="E15491" s="26"/>
      <c r="F15491" s="27">
        <f ca="1">ROUND(35.600*(1+G2/100),2)</f>
        <v>0</v>
      </c>
      <c r="G15491" s="26"/>
    </row>
    <row r="15492" spans="1:7" ht="21.36" thickBot="1" customHeight="1">
      <c r="A15492" s="26"/>
      <c r="B15492" s="26"/>
      <c r="C15492" s="26"/>
      <c r="D15492" s="25" t="s">
        <v>48972</v>
      </c>
      <c r="E15492" s="25"/>
      <c r="F15492" s="25"/>
      <c r="G15492" s="25"/>
    </row>
    <row r="15493" spans="1:7" ht="39.84" thickBot="1" customHeight="1">
      <c r="A15493" s="10" t="s">
        <v>48973</v>
      </c>
      <c r="B15493" s="24" t="s">
        <v>48974</v>
      </c>
      <c r="C15493" s="24" t="s">
        <v>48975</v>
      </c>
      <c r="D15493" s="25" t="s">
        <v>48976</v>
      </c>
      <c r="E15493" s="26"/>
      <c r="F15493" s="27">
        <f ca="1">ROUND(46.500*(1+G2/100),2)</f>
        <v>0</v>
      </c>
      <c r="G15493" s="26"/>
    </row>
    <row r="15494" spans="1:7" ht="21.36" thickBot="1" customHeight="1">
      <c r="A15494" s="26"/>
      <c r="B15494" s="26"/>
      <c r="C15494" s="26"/>
      <c r="D15494" s="25" t="s">
        <v>48977</v>
      </c>
      <c r="E15494" s="25"/>
      <c r="F15494" s="25"/>
      <c r="G15494" s="25"/>
    </row>
    <row r="15495" spans="1:7" ht="30.60" thickBot="1" customHeight="1">
      <c r="A15495" s="10" t="s">
        <v>48978</v>
      </c>
      <c r="B15495" s="24" t="s">
        <v>48979</v>
      </c>
      <c r="C15495" s="24" t="s">
        <v>48980</v>
      </c>
      <c r="D15495" s="25" t="s">
        <v>48981</v>
      </c>
      <c r="E15495" s="26"/>
      <c r="F15495" s="27">
        <f ca="1">ROUND(4.960*(1+G2/100),2)</f>
        <v>0</v>
      </c>
      <c r="G15495" s="26"/>
    </row>
    <row r="15496" spans="1:7" ht="21.36" thickBot="1" customHeight="1">
      <c r="A15496" s="26"/>
      <c r="B15496" s="26"/>
      <c r="C15496" s="26"/>
      <c r="D15496" s="25" t="s">
        <v>48982</v>
      </c>
      <c r="E15496" s="25"/>
      <c r="F15496" s="25"/>
      <c r="G15496" s="25"/>
    </row>
    <row r="15497" spans="1:7" ht="30.60" thickBot="1" customHeight="1">
      <c r="A15497" s="10" t="s">
        <v>48983</v>
      </c>
      <c r="B15497" s="24" t="s">
        <v>48984</v>
      </c>
      <c r="C15497" s="24" t="s">
        <v>48985</v>
      </c>
      <c r="D15497" s="25" t="s">
        <v>48986</v>
      </c>
      <c r="E15497" s="26"/>
      <c r="F15497" s="27">
        <f ca="1">ROUND(4.260*(1+G2/100),2)</f>
        <v>0</v>
      </c>
      <c r="G15497" s="26"/>
    </row>
    <row r="15498" spans="1:7" ht="21.36" thickBot="1" customHeight="1">
      <c r="A15498" s="26"/>
      <c r="B15498" s="26"/>
      <c r="C15498" s="26"/>
      <c r="D15498" s="25" t="s">
        <v>48987</v>
      </c>
      <c r="E15498" s="25"/>
      <c r="F15498" s="25"/>
      <c r="G15498" s="25"/>
    </row>
    <row r="15499" spans="1:7" ht="39.84" thickBot="1" customHeight="1">
      <c r="A15499" s="10" t="s">
        <v>48988</v>
      </c>
      <c r="B15499" s="24" t="s">
        <v>48989</v>
      </c>
      <c r="C15499" s="24" t="s">
        <v>48990</v>
      </c>
      <c r="D15499" s="25" t="s">
        <v>48991</v>
      </c>
      <c r="E15499" s="26"/>
      <c r="F15499" s="27">
        <f ca="1">ROUND(13.530*(1+G2/100),2)</f>
        <v>0</v>
      </c>
      <c r="G15499" s="26"/>
    </row>
    <row r="15500" spans="1:7" ht="21.36" thickBot="1" customHeight="1">
      <c r="A15500" s="26"/>
      <c r="B15500" s="26"/>
      <c r="C15500" s="26"/>
      <c r="D15500" s="25" t="s">
        <v>48992</v>
      </c>
      <c r="E15500" s="25"/>
      <c r="F15500" s="25"/>
      <c r="G15500" s="25"/>
    </row>
    <row r="15501" spans="1:7" ht="39.84" thickBot="1" customHeight="1">
      <c r="A15501" s="10" t="s">
        <v>48993</v>
      </c>
      <c r="B15501" s="24" t="s">
        <v>48994</v>
      </c>
      <c r="C15501" s="24" t="s">
        <v>48995</v>
      </c>
      <c r="D15501" s="25" t="s">
        <v>48996</v>
      </c>
      <c r="E15501" s="26"/>
      <c r="F15501" s="27">
        <f ca="1">ROUND(8.720*(1+G2/100),2)</f>
        <v>0</v>
      </c>
      <c r="G15501" s="26"/>
    </row>
    <row r="15502" spans="1:7" ht="21.36" thickBot="1" customHeight="1">
      <c r="A15502" s="26"/>
      <c r="B15502" s="26"/>
      <c r="C15502" s="26"/>
      <c r="D15502" s="25" t="s">
        <v>48997</v>
      </c>
      <c r="E15502" s="25"/>
      <c r="F15502" s="25"/>
      <c r="G15502" s="25"/>
    </row>
    <row r="15503" spans="1:7" ht="30.60" thickBot="1" customHeight="1">
      <c r="A15503" s="10" t="s">
        <v>48998</v>
      </c>
      <c r="B15503" s="24" t="s">
        <v>48999</v>
      </c>
      <c r="C15503" s="24" t="s">
        <v>49000</v>
      </c>
      <c r="D15503" s="25" t="s">
        <v>49001</v>
      </c>
      <c r="E15503" s="26"/>
      <c r="F15503" s="27">
        <f ca="1">ROUND(3.410*(1+G2/100),2)</f>
        <v>0</v>
      </c>
      <c r="G15503" s="26"/>
    </row>
    <row r="15504" spans="1:7" ht="58.32" thickBot="1" customHeight="1">
      <c r="A15504" s="26"/>
      <c r="B15504" s="26"/>
      <c r="C15504" s="26"/>
      <c r="D15504" s="25" t="s">
        <v>49002</v>
      </c>
      <c r="E15504" s="25"/>
      <c r="F15504" s="25"/>
      <c r="G15504" s="25"/>
    </row>
    <row r="15505" spans="1:7" ht="49.08" thickBot="1" customHeight="1">
      <c r="A15505" s="10" t="s">
        <v>49003</v>
      </c>
      <c r="B15505" s="24" t="s">
        <v>49004</v>
      </c>
      <c r="C15505" s="24" t="s">
        <v>49005</v>
      </c>
      <c r="D15505" s="25" t="s">
        <v>49006</v>
      </c>
      <c r="E15505" s="26"/>
      <c r="F15505" s="27">
        <f ca="1">ROUND(52.360*(1+G2/100),2)</f>
        <v>0</v>
      </c>
      <c r="G15505" s="26"/>
    </row>
    <row r="15506" spans="1:7" ht="21.36" thickBot="1" customHeight="1">
      <c r="A15506" s="26"/>
      <c r="B15506" s="26"/>
      <c r="C15506" s="26"/>
      <c r="D15506" s="25" t="s">
        <v>49007</v>
      </c>
      <c r="E15506" s="25"/>
      <c r="F15506" s="25"/>
      <c r="G15506" s="25"/>
    </row>
    <row r="15507" spans="1:7" ht="30.60" thickBot="1" customHeight="1">
      <c r="A15507" s="10" t="s">
        <v>49008</v>
      </c>
      <c r="B15507" s="24" t="s">
        <v>49009</v>
      </c>
      <c r="C15507" s="24" t="s">
        <v>49010</v>
      </c>
      <c r="D15507" s="25" t="s">
        <v>49011</v>
      </c>
      <c r="E15507" s="26"/>
      <c r="F15507" s="27">
        <f ca="1">ROUND(24.300*(1+G2/100),2)</f>
        <v>0</v>
      </c>
      <c r="G15507" s="26"/>
    </row>
    <row r="15508" spans="1:7" ht="76.80" thickBot="1" customHeight="1">
      <c r="A15508" s="26"/>
      <c r="B15508" s="26"/>
      <c r="C15508" s="26"/>
      <c r="D15508" s="25" t="s">
        <v>49012</v>
      </c>
      <c r="E15508" s="25"/>
      <c r="F15508" s="25"/>
      <c r="G15508" s="25"/>
    </row>
    <row r="15509" spans="1:7" ht="15.48" thickBot="1" customHeight="1">
      <c r="A15509" s="30"/>
      <c r="B15509" s="30"/>
      <c r="C15509" s="30"/>
      <c r="D15509" s="79" t="s">
        <v>49013</v>
      </c>
      <c r="E15509" s="80"/>
      <c r="F15509" s="80"/>
      <c r="G15509" s="80"/>
    </row>
    <row r="15510" spans="1:7" ht="25.08" thickBot="1" customHeight="1">
      <c r="A15510" s="52" t="s">
        <v>49014</v>
      </c>
      <c r="B15510" s="52" t="s">
        <v>49015</v>
      </c>
      <c r="C15510" s="53"/>
      <c r="D15510" s="54" t="s">
        <v>49016</v>
      </c>
      <c r="E15510" s="53"/>
      <c r="F15510" s="53"/>
      <c r="G15510" s="53"/>
    </row>
    <row r="15511" spans="1:7" ht="30.60" thickBot="1" customHeight="1">
      <c r="A15511" s="10" t="s">
        <v>49017</v>
      </c>
      <c r="B15511" s="24" t="s">
        <v>49018</v>
      </c>
      <c r="C15511" s="24" t="s">
        <v>49019</v>
      </c>
      <c r="D15511" s="25" t="s">
        <v>49020</v>
      </c>
      <c r="E15511" s="26"/>
      <c r="F15511" s="27">
        <f ca="1">ROUND(1.150*(1+G2/100),2)</f>
        <v>0</v>
      </c>
      <c r="G15511" s="26"/>
    </row>
    <row r="15512" spans="1:7" ht="30.60" thickBot="1" customHeight="1">
      <c r="A15512" s="26"/>
      <c r="B15512" s="26"/>
      <c r="C15512" s="26"/>
      <c r="D15512" s="25" t="s">
        <v>49021</v>
      </c>
      <c r="E15512" s="25"/>
      <c r="F15512" s="25"/>
      <c r="G15512" s="25"/>
    </row>
    <row r="15513" spans="1:7" ht="21.36" thickBot="1" customHeight="1">
      <c r="A15513" s="10" t="s">
        <v>49022</v>
      </c>
      <c r="B15513" s="24" t="s">
        <v>49023</v>
      </c>
      <c r="C15513" s="24" t="s">
        <v>49024</v>
      </c>
      <c r="D15513" s="25" t="s">
        <v>49025</v>
      </c>
      <c r="E15513" s="26"/>
      <c r="F15513" s="27">
        <f ca="1">ROUND(1.210*(1+G2/100),2)</f>
        <v>0</v>
      </c>
      <c r="G15513" s="26"/>
    </row>
    <row r="15514" spans="1:7" ht="21.36" thickBot="1" customHeight="1">
      <c r="A15514" s="26"/>
      <c r="B15514" s="26"/>
      <c r="C15514" s="26"/>
      <c r="D15514" s="25" t="s">
        <v>49026</v>
      </c>
      <c r="E15514" s="25"/>
      <c r="F15514" s="25"/>
      <c r="G15514" s="25"/>
    </row>
    <row r="15515" spans="1:7" ht="30.60" thickBot="1" customHeight="1">
      <c r="A15515" s="10" t="s">
        <v>49027</v>
      </c>
      <c r="B15515" s="24" t="s">
        <v>49028</v>
      </c>
      <c r="C15515" s="24" t="s">
        <v>49029</v>
      </c>
      <c r="D15515" s="25" t="s">
        <v>49030</v>
      </c>
      <c r="E15515" s="26"/>
      <c r="F15515" s="27">
        <f ca="1">ROUND(1.070*(1+G2/100),2)</f>
        <v>0</v>
      </c>
      <c r="G15515" s="26"/>
    </row>
    <row r="15516" spans="1:7" ht="21.36" thickBot="1" customHeight="1">
      <c r="A15516" s="26"/>
      <c r="B15516" s="26"/>
      <c r="C15516" s="26"/>
      <c r="D15516" s="25" t="s">
        <v>49031</v>
      </c>
      <c r="E15516" s="25"/>
      <c r="F15516" s="25"/>
      <c r="G15516" s="25"/>
    </row>
    <row r="15517" spans="1:7" ht="30.60" thickBot="1" customHeight="1">
      <c r="A15517" s="10" t="s">
        <v>49032</v>
      </c>
      <c r="B15517" s="24" t="s">
        <v>49033</v>
      </c>
      <c r="C15517" s="24" t="s">
        <v>49034</v>
      </c>
      <c r="D15517" s="25" t="s">
        <v>49035</v>
      </c>
      <c r="E15517" s="26"/>
      <c r="F15517" s="27">
        <f ca="1">ROUND(1.050*(1+G2/100),2)</f>
        <v>0</v>
      </c>
      <c r="G15517" s="26"/>
    </row>
    <row r="15518" spans="1:7" ht="21.36" thickBot="1" customHeight="1">
      <c r="A15518" s="26"/>
      <c r="B15518" s="26"/>
      <c r="C15518" s="26"/>
      <c r="D15518" s="25" t="s">
        <v>49036</v>
      </c>
      <c r="E15518" s="25"/>
      <c r="F15518" s="25"/>
      <c r="G15518" s="25"/>
    </row>
    <row r="15519" spans="1:7" ht="30.60" thickBot="1" customHeight="1">
      <c r="A15519" s="10" t="s">
        <v>49037</v>
      </c>
      <c r="B15519" s="24" t="s">
        <v>49038</v>
      </c>
      <c r="C15519" s="24" t="s">
        <v>49039</v>
      </c>
      <c r="D15519" s="25" t="s">
        <v>49040</v>
      </c>
      <c r="E15519" s="26"/>
      <c r="F15519" s="27">
        <f ca="1">ROUND(1.150*(1+G2/100),2)</f>
        <v>0</v>
      </c>
      <c r="G15519" s="26"/>
    </row>
    <row r="15520" spans="1:7" ht="21.36" thickBot="1" customHeight="1">
      <c r="A15520" s="26"/>
      <c r="B15520" s="26"/>
      <c r="C15520" s="26"/>
      <c r="D15520" s="25" t="s">
        <v>49041</v>
      </c>
      <c r="E15520" s="25"/>
      <c r="F15520" s="25"/>
      <c r="G15520" s="25"/>
    </row>
    <row r="15521" spans="1:7" ht="39.84" thickBot="1" customHeight="1">
      <c r="A15521" s="10" t="s">
        <v>49042</v>
      </c>
      <c r="B15521" s="24" t="s">
        <v>49043</v>
      </c>
      <c r="C15521" s="24" t="s">
        <v>49044</v>
      </c>
      <c r="D15521" s="25" t="s">
        <v>49045</v>
      </c>
      <c r="E15521" s="26"/>
      <c r="F15521" s="27">
        <f ca="1">ROUND(14.700*(1+G2/100),2)</f>
        <v>0</v>
      </c>
      <c r="G15521" s="26"/>
    </row>
    <row r="15522" spans="1:7" ht="30.60" thickBot="1" customHeight="1">
      <c r="A15522" s="26"/>
      <c r="B15522" s="26"/>
      <c r="C15522" s="26"/>
      <c r="D15522" s="25" t="s">
        <v>49046</v>
      </c>
      <c r="E15522" s="25"/>
      <c r="F15522" s="25"/>
      <c r="G15522" s="25"/>
    </row>
    <row r="15523" spans="1:7" ht="30.60" thickBot="1" customHeight="1">
      <c r="A15523" s="10" t="s">
        <v>49047</v>
      </c>
      <c r="B15523" s="24" t="s">
        <v>49048</v>
      </c>
      <c r="C15523" s="24" t="s">
        <v>49049</v>
      </c>
      <c r="D15523" s="25" t="s">
        <v>49050</v>
      </c>
      <c r="E15523" s="26"/>
      <c r="F15523" s="27">
        <f ca="1">ROUND(17.760*(1+G2/100),2)</f>
        <v>0</v>
      </c>
      <c r="G15523" s="26"/>
    </row>
    <row r="15524" spans="1:7" ht="104.52" thickBot="1" customHeight="1">
      <c r="A15524" s="26"/>
      <c r="B15524" s="26"/>
      <c r="C15524" s="26"/>
      <c r="D15524" s="25" t="s">
        <v>49051</v>
      </c>
      <c r="E15524" s="25"/>
      <c r="F15524" s="25"/>
      <c r="G15524" s="25"/>
    </row>
    <row r="15525" spans="1:7" ht="39.84" thickBot="1" customHeight="1">
      <c r="A15525" s="10" t="s">
        <v>49052</v>
      </c>
      <c r="B15525" s="24" t="s">
        <v>49053</v>
      </c>
      <c r="C15525" s="24" t="s">
        <v>49054</v>
      </c>
      <c r="D15525" s="25" t="s">
        <v>49055</v>
      </c>
      <c r="E15525" s="26"/>
      <c r="F15525" s="27">
        <f ca="1">ROUND(0.450*(1+G2/100),2)</f>
        <v>0</v>
      </c>
      <c r="G15525" s="26"/>
    </row>
    <row r="15526" spans="1:7" ht="39.84" thickBot="1" customHeight="1">
      <c r="A15526" s="26"/>
      <c r="B15526" s="26"/>
      <c r="C15526" s="26"/>
      <c r="D15526" s="25" t="s">
        <v>49056</v>
      </c>
      <c r="E15526" s="25"/>
      <c r="F15526" s="25"/>
      <c r="G15526" s="25"/>
    </row>
    <row r="15527" spans="1:7" ht="39.84" thickBot="1" customHeight="1">
      <c r="A15527" s="10" t="s">
        <v>49057</v>
      </c>
      <c r="B15527" s="24" t="s">
        <v>49058</v>
      </c>
      <c r="C15527" s="24" t="s">
        <v>49059</v>
      </c>
      <c r="D15527" s="25" t="s">
        <v>49060</v>
      </c>
      <c r="E15527" s="26"/>
      <c r="F15527" s="27">
        <f ca="1">ROUND(0.490*(1+G2/100),2)</f>
        <v>0</v>
      </c>
      <c r="G15527" s="26"/>
    </row>
    <row r="15528" spans="1:7" ht="30.60" thickBot="1" customHeight="1">
      <c r="A15528" s="26"/>
      <c r="B15528" s="26"/>
      <c r="C15528" s="26"/>
      <c r="D15528" s="25" t="s">
        <v>49061</v>
      </c>
      <c r="E15528" s="25"/>
      <c r="F15528" s="25"/>
      <c r="G15528" s="25"/>
    </row>
    <row r="15529" spans="1:7" ht="30.60" thickBot="1" customHeight="1">
      <c r="A15529" s="10" t="s">
        <v>49062</v>
      </c>
      <c r="B15529" s="24" t="s">
        <v>49063</v>
      </c>
      <c r="C15529" s="24" t="s">
        <v>49064</v>
      </c>
      <c r="D15529" s="25" t="s">
        <v>49065</v>
      </c>
      <c r="E15529" s="26"/>
      <c r="F15529" s="27">
        <f ca="1">ROUND(0.790*(1+G2/100),2)</f>
        <v>0</v>
      </c>
      <c r="G15529" s="26"/>
    </row>
    <row r="15530" spans="1:7" ht="21.36" thickBot="1" customHeight="1">
      <c r="A15530" s="26"/>
      <c r="B15530" s="26"/>
      <c r="C15530" s="26"/>
      <c r="D15530" s="25" t="s">
        <v>49066</v>
      </c>
      <c r="E15530" s="25"/>
      <c r="F15530" s="25"/>
      <c r="G15530" s="25"/>
    </row>
    <row r="15531" spans="1:7" ht="30.60" thickBot="1" customHeight="1">
      <c r="A15531" s="10" t="s">
        <v>49067</v>
      </c>
      <c r="B15531" s="24" t="s">
        <v>49068</v>
      </c>
      <c r="C15531" s="24" t="s">
        <v>49069</v>
      </c>
      <c r="D15531" s="25" t="s">
        <v>49070</v>
      </c>
      <c r="E15531" s="26"/>
      <c r="F15531" s="27">
        <f ca="1">ROUND(1.100*(1+G2/100),2)</f>
        <v>0</v>
      </c>
      <c r="G15531" s="26"/>
    </row>
    <row r="15532" spans="1:7" ht="21.36" thickBot="1" customHeight="1">
      <c r="A15532" s="26"/>
      <c r="B15532" s="26"/>
      <c r="C15532" s="26"/>
      <c r="D15532" s="25" t="s">
        <v>49071</v>
      </c>
      <c r="E15532" s="25"/>
      <c r="F15532" s="25"/>
      <c r="G15532" s="25"/>
    </row>
    <row r="15533" spans="1:7" ht="30.60" thickBot="1" customHeight="1">
      <c r="A15533" s="10" t="s">
        <v>49072</v>
      </c>
      <c r="B15533" s="24" t="s">
        <v>49073</v>
      </c>
      <c r="C15533" s="24" t="s">
        <v>49074</v>
      </c>
      <c r="D15533" s="25" t="s">
        <v>49075</v>
      </c>
      <c r="E15533" s="26"/>
      <c r="F15533" s="27">
        <f ca="1">ROUND(0.700*(1+G2/100),2)</f>
        <v>0</v>
      </c>
      <c r="G15533" s="26"/>
    </row>
    <row r="15534" spans="1:7" ht="21.36" thickBot="1" customHeight="1">
      <c r="A15534" s="26"/>
      <c r="B15534" s="26"/>
      <c r="C15534" s="26"/>
      <c r="D15534" s="25" t="s">
        <v>49076</v>
      </c>
      <c r="E15534" s="25"/>
      <c r="F15534" s="25"/>
      <c r="G15534" s="25"/>
    </row>
    <row r="15535" spans="1:7" ht="39.84" thickBot="1" customHeight="1">
      <c r="A15535" s="10" t="s">
        <v>49077</v>
      </c>
      <c r="B15535" s="24" t="s">
        <v>49078</v>
      </c>
      <c r="C15535" s="24" t="s">
        <v>49079</v>
      </c>
      <c r="D15535" s="25" t="s">
        <v>49080</v>
      </c>
      <c r="E15535" s="26"/>
      <c r="F15535" s="27">
        <f ca="1">ROUND(1.540*(1+G2/100),2)</f>
        <v>0</v>
      </c>
      <c r="G15535" s="26"/>
    </row>
    <row r="15536" spans="1:7" ht="21.36" thickBot="1" customHeight="1">
      <c r="A15536" s="26"/>
      <c r="B15536" s="26"/>
      <c r="C15536" s="26"/>
      <c r="D15536" s="25" t="s">
        <v>49081</v>
      </c>
      <c r="E15536" s="25"/>
      <c r="F15536" s="25"/>
      <c r="G15536" s="25"/>
    </row>
    <row r="15537" spans="1:7" ht="39.84" thickBot="1" customHeight="1">
      <c r="A15537" s="10" t="s">
        <v>49082</v>
      </c>
      <c r="B15537" s="24" t="s">
        <v>49083</v>
      </c>
      <c r="C15537" s="24" t="s">
        <v>49084</v>
      </c>
      <c r="D15537" s="25" t="s">
        <v>49085</v>
      </c>
      <c r="E15537" s="26"/>
      <c r="F15537" s="27">
        <f ca="1">ROUND(0.450*(1+G2/100),2)</f>
        <v>0</v>
      </c>
      <c r="G15537" s="26"/>
    </row>
    <row r="15538" spans="1:7" ht="30.60" thickBot="1" customHeight="1">
      <c r="A15538" s="26"/>
      <c r="B15538" s="26"/>
      <c r="C15538" s="26"/>
      <c r="D15538" s="25" t="s">
        <v>49086</v>
      </c>
      <c r="E15538" s="25"/>
      <c r="F15538" s="25"/>
      <c r="G15538" s="25"/>
    </row>
    <row r="15539" spans="1:7" ht="30.60" thickBot="1" customHeight="1">
      <c r="A15539" s="10" t="s">
        <v>49087</v>
      </c>
      <c r="B15539" s="24" t="s">
        <v>49088</v>
      </c>
      <c r="C15539" s="24" t="s">
        <v>49089</v>
      </c>
      <c r="D15539" s="25" t="s">
        <v>49090</v>
      </c>
      <c r="E15539" s="26"/>
      <c r="F15539" s="27">
        <f ca="1">ROUND(0.470*(1+G2/100),2)</f>
        <v>0</v>
      </c>
      <c r="G15539" s="26"/>
    </row>
    <row r="15540" spans="1:7" ht="21.36" thickBot="1" customHeight="1">
      <c r="A15540" s="26"/>
      <c r="B15540" s="26"/>
      <c r="C15540" s="26"/>
      <c r="D15540" s="25" t="s">
        <v>49091</v>
      </c>
      <c r="E15540" s="25"/>
      <c r="F15540" s="25"/>
      <c r="G15540" s="25"/>
    </row>
    <row r="15541" spans="1:7" ht="21.36" thickBot="1" customHeight="1">
      <c r="A15541" s="10" t="s">
        <v>49092</v>
      </c>
      <c r="B15541" s="24" t="s">
        <v>49093</v>
      </c>
      <c r="C15541" s="24" t="s">
        <v>49094</v>
      </c>
      <c r="D15541" s="25" t="s">
        <v>49095</v>
      </c>
      <c r="E15541" s="26"/>
      <c r="F15541" s="27">
        <f ca="1">ROUND(0.340*(1+G2/100),2)</f>
        <v>0</v>
      </c>
      <c r="G15541" s="26"/>
    </row>
    <row r="15542" spans="1:7" ht="21.36" thickBot="1" customHeight="1">
      <c r="A15542" s="26"/>
      <c r="B15542" s="26"/>
      <c r="C15542" s="26"/>
      <c r="D15542" s="25" t="s">
        <v>49096</v>
      </c>
      <c r="E15542" s="25"/>
      <c r="F15542" s="25"/>
      <c r="G15542" s="25"/>
    </row>
    <row r="15543" spans="1:7" ht="21.36" thickBot="1" customHeight="1">
      <c r="A15543" s="10" t="s">
        <v>49097</v>
      </c>
      <c r="B15543" s="24" t="s">
        <v>49098</v>
      </c>
      <c r="C15543" s="24" t="s">
        <v>49099</v>
      </c>
      <c r="D15543" s="25" t="s">
        <v>49100</v>
      </c>
      <c r="E15543" s="26"/>
      <c r="F15543" s="27">
        <f ca="1">ROUND(0.660*(1+G2/100),2)</f>
        <v>0</v>
      </c>
      <c r="G15543" s="26"/>
    </row>
    <row r="15544" spans="1:7" ht="30.60" thickBot="1" customHeight="1">
      <c r="A15544" s="26"/>
      <c r="B15544" s="26"/>
      <c r="C15544" s="26"/>
      <c r="D15544" s="25" t="s">
        <v>49101</v>
      </c>
      <c r="E15544" s="25"/>
      <c r="F15544" s="25"/>
      <c r="G15544" s="25"/>
    </row>
    <row r="15545" spans="1:7" ht="21.36" thickBot="1" customHeight="1">
      <c r="A15545" s="10" t="s">
        <v>49102</v>
      </c>
      <c r="B15545" s="24" t="s">
        <v>49103</v>
      </c>
      <c r="C15545" s="24" t="s">
        <v>49104</v>
      </c>
      <c r="D15545" s="25" t="s">
        <v>49105</v>
      </c>
      <c r="E15545" s="26"/>
      <c r="F15545" s="27">
        <f ca="1">ROUND(0.590*(1+G2/100),2)</f>
        <v>0</v>
      </c>
      <c r="G15545" s="26"/>
    </row>
    <row r="15546" spans="1:7" ht="21.36" thickBot="1" customHeight="1">
      <c r="A15546" s="26"/>
      <c r="B15546" s="26"/>
      <c r="C15546" s="26"/>
      <c r="D15546" s="25" t="s">
        <v>49106</v>
      </c>
      <c r="E15546" s="25"/>
      <c r="F15546" s="25"/>
      <c r="G15546" s="25"/>
    </row>
    <row r="15547" spans="1:7" ht="39.84" thickBot="1" customHeight="1">
      <c r="A15547" s="10" t="s">
        <v>49107</v>
      </c>
      <c r="B15547" s="24" t="s">
        <v>49108</v>
      </c>
      <c r="C15547" s="24" t="s">
        <v>49109</v>
      </c>
      <c r="D15547" s="25" t="s">
        <v>49110</v>
      </c>
      <c r="E15547" s="26"/>
      <c r="F15547" s="27">
        <f ca="1">ROUND(0.430*(1+G2/100),2)</f>
        <v>0</v>
      </c>
      <c r="G15547" s="26"/>
    </row>
    <row r="15548" spans="1:7" ht="21.36" thickBot="1" customHeight="1">
      <c r="A15548" s="26"/>
      <c r="B15548" s="26"/>
      <c r="C15548" s="26"/>
      <c r="D15548" s="25" t="s">
        <v>49111</v>
      </c>
      <c r="E15548" s="25"/>
      <c r="F15548" s="25"/>
      <c r="G15548" s="25"/>
    </row>
    <row r="15549" spans="1:7" ht="21.36" thickBot="1" customHeight="1">
      <c r="A15549" s="10" t="s">
        <v>49112</v>
      </c>
      <c r="B15549" s="24" t="s">
        <v>49113</v>
      </c>
      <c r="C15549" s="24" t="s">
        <v>49114</v>
      </c>
      <c r="D15549" s="25" t="s">
        <v>49115</v>
      </c>
      <c r="E15549" s="26"/>
      <c r="F15549" s="27">
        <f ca="1">ROUND(0.360*(1+G2/100),2)</f>
        <v>0</v>
      </c>
      <c r="G15549" s="26"/>
    </row>
    <row r="15550" spans="1:7" ht="30.60" thickBot="1" customHeight="1">
      <c r="A15550" s="26"/>
      <c r="B15550" s="26"/>
      <c r="C15550" s="26"/>
      <c r="D15550" s="25" t="s">
        <v>49116</v>
      </c>
      <c r="E15550" s="25"/>
      <c r="F15550" s="25"/>
      <c r="G15550" s="25"/>
    </row>
    <row r="15551" spans="1:7" ht="30.60" thickBot="1" customHeight="1">
      <c r="A15551" s="10" t="s">
        <v>49117</v>
      </c>
      <c r="B15551" s="24" t="s">
        <v>49118</v>
      </c>
      <c r="C15551" s="24" t="s">
        <v>49119</v>
      </c>
      <c r="D15551" s="25" t="s">
        <v>49120</v>
      </c>
      <c r="E15551" s="26"/>
      <c r="F15551" s="27">
        <f ca="1">ROUND(0.330*(1+G2/100),2)</f>
        <v>0</v>
      </c>
      <c r="G15551" s="26"/>
    </row>
    <row r="15552" spans="1:7" ht="21.36" thickBot="1" customHeight="1">
      <c r="A15552" s="26"/>
      <c r="B15552" s="26"/>
      <c r="C15552" s="26"/>
      <c r="D15552" s="25" t="s">
        <v>49121</v>
      </c>
      <c r="E15552" s="25"/>
      <c r="F15552" s="25"/>
      <c r="G15552" s="25"/>
    </row>
    <row r="15553" spans="1:7" ht="39.84" thickBot="1" customHeight="1">
      <c r="A15553" s="10" t="s">
        <v>49122</v>
      </c>
      <c r="B15553" s="24" t="s">
        <v>49123</v>
      </c>
      <c r="C15553" s="24" t="s">
        <v>49124</v>
      </c>
      <c r="D15553" s="25" t="s">
        <v>49125</v>
      </c>
      <c r="E15553" s="26"/>
      <c r="F15553" s="27">
        <f ca="1">ROUND(0.490*(1+G2/100),2)</f>
        <v>0</v>
      </c>
      <c r="G15553" s="26"/>
    </row>
    <row r="15554" spans="1:7" ht="30.60" thickBot="1" customHeight="1">
      <c r="A15554" s="26"/>
      <c r="B15554" s="26"/>
      <c r="C15554" s="26"/>
      <c r="D15554" s="25" t="s">
        <v>49126</v>
      </c>
      <c r="E15554" s="25"/>
      <c r="F15554" s="25"/>
      <c r="G15554" s="25"/>
    </row>
    <row r="15555" spans="1:7" ht="30.60" thickBot="1" customHeight="1">
      <c r="A15555" s="10" t="s">
        <v>49127</v>
      </c>
      <c r="B15555" s="24" t="s">
        <v>49128</v>
      </c>
      <c r="C15555" s="24" t="s">
        <v>49129</v>
      </c>
      <c r="D15555" s="25" t="s">
        <v>49130</v>
      </c>
      <c r="E15555" s="26"/>
      <c r="F15555" s="27">
        <f ca="1">ROUND(0.750*(1+G2/100),2)</f>
        <v>0</v>
      </c>
      <c r="G15555" s="26"/>
    </row>
    <row r="15556" spans="1:7" ht="39.84" thickBot="1" customHeight="1">
      <c r="A15556" s="26"/>
      <c r="B15556" s="26"/>
      <c r="C15556" s="26"/>
      <c r="D15556" s="25" t="s">
        <v>49131</v>
      </c>
      <c r="E15556" s="25"/>
      <c r="F15556" s="25"/>
      <c r="G15556" s="25"/>
    </row>
    <row r="15557" spans="1:7" ht="30.60" thickBot="1" customHeight="1">
      <c r="A15557" s="10" t="s">
        <v>49132</v>
      </c>
      <c r="B15557" s="24" t="s">
        <v>49133</v>
      </c>
      <c r="C15557" s="24" t="s">
        <v>49134</v>
      </c>
      <c r="D15557" s="25" t="s">
        <v>49135</v>
      </c>
      <c r="E15557" s="26"/>
      <c r="F15557" s="27">
        <f ca="1">ROUND(0.780*(1+G2/100),2)</f>
        <v>0</v>
      </c>
      <c r="G15557" s="26"/>
    </row>
    <row r="15558" spans="1:7" ht="39.84" thickBot="1" customHeight="1">
      <c r="A15558" s="26"/>
      <c r="B15558" s="26"/>
      <c r="C15558" s="26"/>
      <c r="D15558" s="25" t="s">
        <v>49136</v>
      </c>
      <c r="E15558" s="25"/>
      <c r="F15558" s="25"/>
      <c r="G15558" s="25"/>
    </row>
    <row r="15559" spans="1:7" ht="30.60" thickBot="1" customHeight="1">
      <c r="A15559" s="10" t="s">
        <v>49137</v>
      </c>
      <c r="B15559" s="24" t="s">
        <v>49138</v>
      </c>
      <c r="C15559" s="24" t="s">
        <v>49139</v>
      </c>
      <c r="D15559" s="25" t="s">
        <v>49140</v>
      </c>
      <c r="E15559" s="26"/>
      <c r="F15559" s="27">
        <f ca="1">ROUND(1.250*(1+G2/100),2)</f>
        <v>0</v>
      </c>
      <c r="G15559" s="26"/>
    </row>
    <row r="15560" spans="1:7" ht="39.84" thickBot="1" customHeight="1">
      <c r="A15560" s="26"/>
      <c r="B15560" s="26"/>
      <c r="C15560" s="26"/>
      <c r="D15560" s="25" t="s">
        <v>49141</v>
      </c>
      <c r="E15560" s="25"/>
      <c r="F15560" s="25"/>
      <c r="G15560" s="25"/>
    </row>
    <row r="15561" spans="1:7" ht="39.84" thickBot="1" customHeight="1">
      <c r="A15561" s="10" t="s">
        <v>49142</v>
      </c>
      <c r="B15561" s="24" t="s">
        <v>49143</v>
      </c>
      <c r="C15561" s="24" t="s">
        <v>49144</v>
      </c>
      <c r="D15561" s="25" t="s">
        <v>49145</v>
      </c>
      <c r="E15561" s="26"/>
      <c r="F15561" s="27">
        <f ca="1">ROUND(0.230*(1+G2/100),2)</f>
        <v>0</v>
      </c>
      <c r="G15561" s="26"/>
    </row>
    <row r="15562" spans="1:7" ht="30.60" thickBot="1" customHeight="1">
      <c r="A15562" s="26"/>
      <c r="B15562" s="26"/>
      <c r="C15562" s="26"/>
      <c r="D15562" s="25" t="s">
        <v>49146</v>
      </c>
      <c r="E15562" s="25"/>
      <c r="F15562" s="25"/>
      <c r="G15562" s="25"/>
    </row>
    <row r="15563" spans="1:7" ht="21.36" thickBot="1" customHeight="1">
      <c r="A15563" s="10" t="s">
        <v>49147</v>
      </c>
      <c r="B15563" s="24" t="s">
        <v>49148</v>
      </c>
      <c r="C15563" s="24" t="s">
        <v>49149</v>
      </c>
      <c r="D15563" s="25" t="s">
        <v>49150</v>
      </c>
      <c r="E15563" s="26"/>
      <c r="F15563" s="27">
        <f ca="1">ROUND(0.430*(1+G2/100),2)</f>
        <v>0</v>
      </c>
      <c r="G15563" s="26"/>
    </row>
    <row r="15564" spans="1:7" ht="30.60" thickBot="1" customHeight="1">
      <c r="A15564" s="26"/>
      <c r="B15564" s="26"/>
      <c r="C15564" s="26"/>
      <c r="D15564" s="25" t="s">
        <v>49151</v>
      </c>
      <c r="E15564" s="25"/>
      <c r="F15564" s="25"/>
      <c r="G15564" s="25"/>
    </row>
    <row r="15565" spans="1:7" ht="21.36" thickBot="1" customHeight="1">
      <c r="A15565" s="10" t="s">
        <v>49152</v>
      </c>
      <c r="B15565" s="24" t="s">
        <v>49153</v>
      </c>
      <c r="C15565" s="24" t="s">
        <v>49154</v>
      </c>
      <c r="D15565" s="25" t="s">
        <v>49155</v>
      </c>
      <c r="E15565" s="26"/>
      <c r="F15565" s="27">
        <f ca="1">ROUND(0.590*(1+G2/100),2)</f>
        <v>0</v>
      </c>
      <c r="G15565" s="26"/>
    </row>
    <row r="15566" spans="1:7" ht="30.60" thickBot="1" customHeight="1">
      <c r="A15566" s="26"/>
      <c r="B15566" s="26"/>
      <c r="C15566" s="26"/>
      <c r="D15566" s="25" t="s">
        <v>49156</v>
      </c>
      <c r="E15566" s="25"/>
      <c r="F15566" s="25"/>
      <c r="G15566" s="25"/>
    </row>
    <row r="15567" spans="1:7" ht="15.48" thickBot="1" customHeight="1">
      <c r="A15567" s="30"/>
      <c r="B15567" s="30"/>
      <c r="C15567" s="30"/>
      <c r="D15567" s="79" t="s">
        <v>49157</v>
      </c>
      <c r="E15567" s="80"/>
      <c r="F15567" s="80"/>
      <c r="G15567" s="80"/>
    </row>
    <row r="15568" spans="1:7" ht="25.08" thickBot="1" customHeight="1">
      <c r="A15568" s="52" t="s">
        <v>49158</v>
      </c>
      <c r="B15568" s="52" t="s">
        <v>49159</v>
      </c>
      <c r="C15568" s="53"/>
      <c r="D15568" s="54" t="s">
        <v>49160</v>
      </c>
      <c r="E15568" s="53"/>
      <c r="F15568" s="53"/>
      <c r="G15568" s="53"/>
    </row>
    <row r="15569" spans="1:7" ht="30.60" thickBot="1" customHeight="1">
      <c r="A15569" s="10" t="s">
        <v>49161</v>
      </c>
      <c r="B15569" s="24" t="s">
        <v>49162</v>
      </c>
      <c r="C15569" s="24" t="s">
        <v>49163</v>
      </c>
      <c r="D15569" s="25" t="s">
        <v>49164</v>
      </c>
      <c r="E15569" s="26"/>
      <c r="F15569" s="27">
        <f ca="1">ROUND(18.760*(1+G2/100),2)</f>
        <v>0</v>
      </c>
      <c r="G15569" s="26"/>
    </row>
    <row r="15570" spans="1:7" ht="58.32" thickBot="1" customHeight="1">
      <c r="A15570" s="26"/>
      <c r="B15570" s="26"/>
      <c r="C15570" s="26"/>
      <c r="D15570" s="25" t="s">
        <v>49165</v>
      </c>
      <c r="E15570" s="25"/>
      <c r="F15570" s="25"/>
      <c r="G15570" s="25"/>
    </row>
    <row r="15571" spans="1:7" ht="21.36" thickBot="1" customHeight="1">
      <c r="A15571" s="10" t="s">
        <v>49166</v>
      </c>
      <c r="B15571" s="24" t="s">
        <v>49167</v>
      </c>
      <c r="C15571" s="24" t="s">
        <v>49168</v>
      </c>
      <c r="D15571" s="25" t="s">
        <v>49169</v>
      </c>
      <c r="E15571" s="26"/>
      <c r="F15571" s="27">
        <f ca="1">ROUND(24.220*(1+G2/100),2)</f>
        <v>0</v>
      </c>
      <c r="G15571" s="26"/>
    </row>
    <row r="15572" spans="1:7" ht="215.40" thickBot="1" customHeight="1">
      <c r="A15572" s="26"/>
      <c r="B15572" s="26"/>
      <c r="C15572" s="26"/>
      <c r="D15572" s="25" t="s">
        <v>49170</v>
      </c>
      <c r="E15572" s="25"/>
      <c r="F15572" s="25"/>
      <c r="G15572" s="25"/>
    </row>
    <row r="15573" spans="1:7" ht="30.60" thickBot="1" customHeight="1">
      <c r="A15573" s="10" t="s">
        <v>49171</v>
      </c>
      <c r="B15573" s="24" t="s">
        <v>49172</v>
      </c>
      <c r="C15573" s="24" t="s">
        <v>49173</v>
      </c>
      <c r="D15573" s="25" t="s">
        <v>49174</v>
      </c>
      <c r="E15573" s="26"/>
      <c r="F15573" s="27">
        <f ca="1">ROUND(1.280*(1+G2/100),2)</f>
        <v>0</v>
      </c>
      <c r="G15573" s="26"/>
    </row>
    <row r="15574" spans="1:7" ht="21.36" thickBot="1" customHeight="1">
      <c r="A15574" s="26"/>
      <c r="B15574" s="26"/>
      <c r="C15574" s="26"/>
      <c r="D15574" s="25" t="s">
        <v>49175</v>
      </c>
      <c r="E15574" s="25"/>
      <c r="F15574" s="25"/>
      <c r="G15574" s="25"/>
    </row>
    <row r="15575" spans="1:7" ht="30.60" thickBot="1" customHeight="1">
      <c r="A15575" s="10" t="s">
        <v>49176</v>
      </c>
      <c r="B15575" s="24" t="s">
        <v>49177</v>
      </c>
      <c r="C15575" s="24" t="s">
        <v>49178</v>
      </c>
      <c r="D15575" s="25" t="s">
        <v>49179</v>
      </c>
      <c r="E15575" s="26"/>
      <c r="F15575" s="27">
        <f ca="1">ROUND(4.930*(1+G2/100),2)</f>
        <v>0</v>
      </c>
      <c r="G15575" s="26"/>
    </row>
    <row r="15576" spans="1:7" ht="58.32" thickBot="1" customHeight="1">
      <c r="A15576" s="26"/>
      <c r="B15576" s="26"/>
      <c r="C15576" s="26"/>
      <c r="D15576" s="25" t="s">
        <v>49180</v>
      </c>
      <c r="E15576" s="25"/>
      <c r="F15576" s="25"/>
      <c r="G15576" s="25"/>
    </row>
    <row r="15577" spans="1:7" ht="49.08" thickBot="1" customHeight="1">
      <c r="A15577" s="10" t="s">
        <v>49181</v>
      </c>
      <c r="B15577" s="24" t="s">
        <v>49182</v>
      </c>
      <c r="C15577" s="24" t="s">
        <v>49183</v>
      </c>
      <c r="D15577" s="25" t="s">
        <v>49184</v>
      </c>
      <c r="E15577" s="26"/>
      <c r="F15577" s="27">
        <f ca="1">ROUND(5.700*(1+G2/100),2)</f>
        <v>0</v>
      </c>
      <c r="G15577" s="26"/>
    </row>
    <row r="15578" spans="1:7" ht="49.08" thickBot="1" customHeight="1">
      <c r="A15578" s="26"/>
      <c r="B15578" s="26"/>
      <c r="C15578" s="26"/>
      <c r="D15578" s="25" t="s">
        <v>49185</v>
      </c>
      <c r="E15578" s="25"/>
      <c r="F15578" s="25"/>
      <c r="G15578" s="25"/>
    </row>
    <row r="15579" spans="1:7" ht="39.84" thickBot="1" customHeight="1">
      <c r="A15579" s="10" t="s">
        <v>49186</v>
      </c>
      <c r="B15579" s="24" t="s">
        <v>49187</v>
      </c>
      <c r="C15579" s="24" t="s">
        <v>49188</v>
      </c>
      <c r="D15579" s="25" t="s">
        <v>49189</v>
      </c>
      <c r="E15579" s="26"/>
      <c r="F15579" s="27">
        <f ca="1">ROUND(5.530*(1+G2/100),2)</f>
        <v>0</v>
      </c>
      <c r="G15579" s="26"/>
    </row>
    <row r="15580" spans="1:7" ht="49.08" thickBot="1" customHeight="1">
      <c r="A15580" s="26"/>
      <c r="B15580" s="26"/>
      <c r="C15580" s="26"/>
      <c r="D15580" s="25" t="s">
        <v>49190</v>
      </c>
      <c r="E15580" s="25"/>
      <c r="F15580" s="25"/>
      <c r="G15580" s="25"/>
    </row>
    <row r="15581" spans="1:7" ht="30.60" thickBot="1" customHeight="1">
      <c r="A15581" s="10" t="s">
        <v>49191</v>
      </c>
      <c r="B15581" s="24" t="s">
        <v>49192</v>
      </c>
      <c r="C15581" s="24" t="s">
        <v>49193</v>
      </c>
      <c r="D15581" s="25" t="s">
        <v>49194</v>
      </c>
      <c r="E15581" s="26"/>
      <c r="F15581" s="27">
        <f ca="1">ROUND(0.430*(1+G2/100),2)</f>
        <v>0</v>
      </c>
      <c r="G15581" s="26"/>
    </row>
    <row r="15582" spans="1:7" ht="30.60" thickBot="1" customHeight="1">
      <c r="A15582" s="26"/>
      <c r="B15582" s="26"/>
      <c r="C15582" s="26"/>
      <c r="D15582" s="25" t="s">
        <v>49195</v>
      </c>
      <c r="E15582" s="25"/>
      <c r="F15582" s="25"/>
      <c r="G15582" s="25"/>
    </row>
    <row r="15583" spans="1:7" ht="21.36" thickBot="1" customHeight="1">
      <c r="A15583" s="10" t="s">
        <v>49196</v>
      </c>
      <c r="B15583" s="24" t="s">
        <v>49197</v>
      </c>
      <c r="C15583" s="24" t="s">
        <v>49198</v>
      </c>
      <c r="D15583" s="25" t="s">
        <v>49199</v>
      </c>
      <c r="E15583" s="26"/>
      <c r="F15583" s="27">
        <f ca="1">ROUND(10.180*(1+G2/100),2)</f>
        <v>0</v>
      </c>
      <c r="G15583" s="26"/>
    </row>
    <row r="15584" spans="1:7" ht="30.60" thickBot="1" customHeight="1">
      <c r="A15584" s="26"/>
      <c r="B15584" s="26"/>
      <c r="C15584" s="26"/>
      <c r="D15584" s="25" t="s">
        <v>49200</v>
      </c>
      <c r="E15584" s="25"/>
      <c r="F15584" s="25"/>
      <c r="G15584" s="25"/>
    </row>
    <row r="15585" spans="1:7" ht="30.60" thickBot="1" customHeight="1">
      <c r="A15585" s="10" t="s">
        <v>49201</v>
      </c>
      <c r="B15585" s="24" t="s">
        <v>49202</v>
      </c>
      <c r="C15585" s="24" t="s">
        <v>49203</v>
      </c>
      <c r="D15585" s="25" t="s">
        <v>49204</v>
      </c>
      <c r="E15585" s="26"/>
      <c r="F15585" s="27">
        <f ca="1">ROUND(10.180*(1+G2/100),2)</f>
        <v>0</v>
      </c>
      <c r="G15585" s="26"/>
    </row>
    <row r="15586" spans="1:7" ht="30.60" thickBot="1" customHeight="1">
      <c r="A15586" s="26"/>
      <c r="B15586" s="26"/>
      <c r="C15586" s="26"/>
      <c r="D15586" s="25" t="s">
        <v>49205</v>
      </c>
      <c r="E15586" s="25"/>
      <c r="F15586" s="25"/>
      <c r="G15586" s="25"/>
    </row>
    <row r="15587" spans="1:7" ht="30.60" thickBot="1" customHeight="1">
      <c r="A15587" s="10" t="s">
        <v>49206</v>
      </c>
      <c r="B15587" s="24" t="s">
        <v>49207</v>
      </c>
      <c r="C15587" s="24" t="s">
        <v>49208</v>
      </c>
      <c r="D15587" s="25" t="s">
        <v>49209</v>
      </c>
      <c r="E15587" s="26"/>
      <c r="F15587" s="27">
        <f ca="1">ROUND(6.220*(1+G2/100),2)</f>
        <v>0</v>
      </c>
      <c r="G15587" s="26"/>
    </row>
    <row r="15588" spans="1:7" ht="21.36" thickBot="1" customHeight="1">
      <c r="A15588" s="26"/>
      <c r="B15588" s="26"/>
      <c r="C15588" s="26"/>
      <c r="D15588" s="25" t="s">
        <v>49210</v>
      </c>
      <c r="E15588" s="25"/>
      <c r="F15588" s="25"/>
      <c r="G15588" s="25"/>
    </row>
    <row r="15589" spans="1:7" ht="30.60" thickBot="1" customHeight="1">
      <c r="A15589" s="10" t="s">
        <v>49211</v>
      </c>
      <c r="B15589" s="24" t="s">
        <v>49212</v>
      </c>
      <c r="C15589" s="24" t="s">
        <v>49213</v>
      </c>
      <c r="D15589" s="25" t="s">
        <v>49214</v>
      </c>
      <c r="E15589" s="26"/>
      <c r="F15589" s="27">
        <f ca="1">ROUND(6.720*(1+G2/100),2)</f>
        <v>0</v>
      </c>
      <c r="G15589" s="26"/>
    </row>
    <row r="15590" spans="1:7" ht="30.60" thickBot="1" customHeight="1">
      <c r="A15590" s="26"/>
      <c r="B15590" s="26"/>
      <c r="C15590" s="26"/>
      <c r="D15590" s="25" t="s">
        <v>49215</v>
      </c>
      <c r="E15590" s="25"/>
      <c r="F15590" s="25"/>
      <c r="G15590" s="25"/>
    </row>
    <row r="15591" spans="1:7" ht="21.36" thickBot="1" customHeight="1">
      <c r="A15591" s="10" t="s">
        <v>49216</v>
      </c>
      <c r="B15591" s="24" t="s">
        <v>49217</v>
      </c>
      <c r="C15591" s="24" t="s">
        <v>49218</v>
      </c>
      <c r="D15591" s="25" t="s">
        <v>49219</v>
      </c>
      <c r="E15591" s="26"/>
      <c r="F15591" s="27">
        <f ca="1">ROUND(6.900*(1+G2/100),2)</f>
        <v>0</v>
      </c>
      <c r="G15591" s="26"/>
    </row>
    <row r="15592" spans="1:7" ht="30.60" thickBot="1" customHeight="1">
      <c r="A15592" s="26"/>
      <c r="B15592" s="26"/>
      <c r="C15592" s="26"/>
      <c r="D15592" s="25" t="s">
        <v>49220</v>
      </c>
      <c r="E15592" s="25"/>
      <c r="F15592" s="25"/>
      <c r="G15592" s="25"/>
    </row>
    <row r="15593" spans="1:7" ht="30.60" thickBot="1" customHeight="1">
      <c r="A15593" s="10" t="s">
        <v>49221</v>
      </c>
      <c r="B15593" s="24" t="s">
        <v>49222</v>
      </c>
      <c r="C15593" s="24" t="s">
        <v>49223</v>
      </c>
      <c r="D15593" s="25" t="s">
        <v>49224</v>
      </c>
      <c r="E15593" s="26"/>
      <c r="F15593" s="27">
        <f ca="1">ROUND(11.400*(1+G2/100),2)</f>
        <v>0</v>
      </c>
      <c r="G15593" s="26"/>
    </row>
    <row r="15594" spans="1:7" ht="30.60" thickBot="1" customHeight="1">
      <c r="A15594" s="26"/>
      <c r="B15594" s="26"/>
      <c r="C15594" s="26"/>
      <c r="D15594" s="25" t="s">
        <v>49225</v>
      </c>
      <c r="E15594" s="25"/>
      <c r="F15594" s="25"/>
      <c r="G15594" s="25"/>
    </row>
    <row r="15595" spans="1:7" ht="15.48" thickBot="1" customHeight="1">
      <c r="A15595" s="30"/>
      <c r="B15595" s="30"/>
      <c r="C15595" s="30"/>
      <c r="D15595" s="79" t="s">
        <v>49226</v>
      </c>
      <c r="E15595" s="80"/>
      <c r="F15595" s="80"/>
      <c r="G15595" s="80"/>
    </row>
    <row r="15596" spans="1:7" ht="31.68" thickBot="1" customHeight="1">
      <c r="A15596" s="52" t="s">
        <v>49227</v>
      </c>
      <c r="B15596" s="52" t="s">
        <v>49228</v>
      </c>
      <c r="C15596" s="53"/>
      <c r="D15596" s="54" t="s">
        <v>49229</v>
      </c>
      <c r="E15596" s="53"/>
      <c r="F15596" s="53"/>
      <c r="G15596" s="53"/>
    </row>
    <row r="15597" spans="1:7" ht="39.84" thickBot="1" customHeight="1">
      <c r="A15597" s="10" t="s">
        <v>49230</v>
      </c>
      <c r="B15597" s="24" t="s">
        <v>49231</v>
      </c>
      <c r="C15597" s="24" t="s">
        <v>49232</v>
      </c>
      <c r="D15597" s="25" t="s">
        <v>49233</v>
      </c>
      <c r="E15597" s="26"/>
      <c r="F15597" s="27">
        <f ca="1">ROUND(34.290*(1+G2/100),2)</f>
        <v>0</v>
      </c>
      <c r="G15597" s="26"/>
    </row>
    <row r="15598" spans="1:7" ht="39.84" thickBot="1" customHeight="1">
      <c r="A15598" s="26"/>
      <c r="B15598" s="26"/>
      <c r="C15598" s="26"/>
      <c r="D15598" s="25" t="s">
        <v>49234</v>
      </c>
      <c r="E15598" s="25"/>
      <c r="F15598" s="25"/>
      <c r="G15598" s="25"/>
    </row>
    <row r="15599" spans="1:7" ht="30.60" thickBot="1" customHeight="1">
      <c r="A15599" s="10" t="s">
        <v>49235</v>
      </c>
      <c r="B15599" s="24" t="s">
        <v>49236</v>
      </c>
      <c r="C15599" s="24" t="s">
        <v>49237</v>
      </c>
      <c r="D15599" s="25" t="s">
        <v>49238</v>
      </c>
      <c r="E15599" s="26"/>
      <c r="F15599" s="27">
        <f ca="1">ROUND(25.770*(1+G2/100),2)</f>
        <v>0</v>
      </c>
      <c r="G15599" s="26"/>
    </row>
    <row r="15600" spans="1:7" ht="67.56" thickBot="1" customHeight="1">
      <c r="A15600" s="26"/>
      <c r="B15600" s="26"/>
      <c r="C15600" s="26"/>
      <c r="D15600" s="25" t="s">
        <v>49239</v>
      </c>
      <c r="E15600" s="25"/>
      <c r="F15600" s="25"/>
      <c r="G15600" s="25"/>
    </row>
    <row r="15601" spans="1:7" ht="30.60" thickBot="1" customHeight="1">
      <c r="A15601" s="10" t="s">
        <v>49240</v>
      </c>
      <c r="B15601" s="24" t="s">
        <v>49241</v>
      </c>
      <c r="C15601" s="24" t="s">
        <v>49242</v>
      </c>
      <c r="D15601" s="25" t="s">
        <v>49243</v>
      </c>
      <c r="E15601" s="26"/>
      <c r="F15601" s="27">
        <f ca="1">ROUND(0.380*(1+G2/100),2)</f>
        <v>0</v>
      </c>
      <c r="G15601" s="26"/>
    </row>
    <row r="15602" spans="1:7" ht="12.12" thickBot="1" customHeight="1">
      <c r="A15602" s="26"/>
      <c r="B15602" s="26"/>
      <c r="C15602" s="26"/>
      <c r="D15602" s="25" t="s">
        <v>49244</v>
      </c>
      <c r="E15602" s="25"/>
      <c r="F15602" s="25"/>
      <c r="G15602" s="25"/>
    </row>
    <row r="15603" spans="1:7" ht="30.60" thickBot="1" customHeight="1">
      <c r="A15603" s="10" t="s">
        <v>49245</v>
      </c>
      <c r="B15603" s="24" t="s">
        <v>49246</v>
      </c>
      <c r="C15603" s="24" t="s">
        <v>49247</v>
      </c>
      <c r="D15603" s="25" t="s">
        <v>49248</v>
      </c>
      <c r="E15603" s="26"/>
      <c r="F15603" s="27">
        <f ca="1">ROUND(19.730*(1+G2/100),2)</f>
        <v>0</v>
      </c>
      <c r="G15603" s="26"/>
    </row>
    <row r="15604" spans="1:7" ht="49.08" thickBot="1" customHeight="1">
      <c r="A15604" s="26"/>
      <c r="B15604" s="26"/>
      <c r="C15604" s="26"/>
      <c r="D15604" s="25" t="s">
        <v>49249</v>
      </c>
      <c r="E15604" s="25"/>
      <c r="F15604" s="25"/>
      <c r="G15604" s="25"/>
    </row>
    <row r="15605" spans="1:7" ht="30.60" thickBot="1" customHeight="1">
      <c r="A15605" s="10" t="s">
        <v>49250</v>
      </c>
      <c r="B15605" s="24" t="s">
        <v>49251</v>
      </c>
      <c r="C15605" s="24" t="s">
        <v>49252</v>
      </c>
      <c r="D15605" s="25" t="s">
        <v>49253</v>
      </c>
      <c r="E15605" s="26"/>
      <c r="F15605" s="27">
        <f ca="1">ROUND(32.590*(1+G2/100),2)</f>
        <v>0</v>
      </c>
      <c r="G15605" s="26"/>
    </row>
    <row r="15606" spans="1:7" ht="21.36" thickBot="1" customHeight="1">
      <c r="A15606" s="26"/>
      <c r="B15606" s="26"/>
      <c r="C15606" s="26"/>
      <c r="D15606" s="25" t="s">
        <v>49254</v>
      </c>
      <c r="E15606" s="25"/>
      <c r="F15606" s="25"/>
      <c r="G15606" s="25"/>
    </row>
    <row r="15607" spans="1:7" ht="15.48" thickBot="1" customHeight="1">
      <c r="A15607" s="30"/>
      <c r="B15607" s="30"/>
      <c r="C15607" s="30"/>
      <c r="D15607" s="79" t="s">
        <v>49255</v>
      </c>
      <c r="E15607" s="80"/>
      <c r="F15607" s="80"/>
      <c r="G15607" s="80"/>
    </row>
    <row r="15608" spans="1:7" ht="31.68" thickBot="1" customHeight="1">
      <c r="A15608" s="52" t="s">
        <v>49256</v>
      </c>
      <c r="B15608" s="52" t="s">
        <v>49257</v>
      </c>
      <c r="C15608" s="53"/>
      <c r="D15608" s="54" t="s">
        <v>49258</v>
      </c>
      <c r="E15608" s="53"/>
      <c r="F15608" s="53"/>
      <c r="G15608" s="53"/>
    </row>
    <row r="15609" spans="1:7" ht="39.84" thickBot="1" customHeight="1">
      <c r="A15609" s="10" t="s">
        <v>49259</v>
      </c>
      <c r="B15609" s="24" t="s">
        <v>49260</v>
      </c>
      <c r="C15609" s="24" t="s">
        <v>49261</v>
      </c>
      <c r="D15609" s="25" t="s">
        <v>49262</v>
      </c>
      <c r="E15609" s="26"/>
      <c r="F15609" s="27">
        <f ca="1">ROUND(62.900*(1+G2/100),2)</f>
        <v>0</v>
      </c>
      <c r="G15609" s="26"/>
    </row>
    <row r="15610" spans="1:7" ht="58.32" thickBot="1" customHeight="1">
      <c r="A15610" s="26"/>
      <c r="B15610" s="26"/>
      <c r="C15610" s="26"/>
      <c r="D15610" s="25" t="s">
        <v>49263</v>
      </c>
      <c r="E15610" s="25"/>
      <c r="F15610" s="25"/>
      <c r="G15610" s="25"/>
    </row>
    <row r="15611" spans="1:7" ht="39.84" thickBot="1" customHeight="1">
      <c r="A15611" s="10" t="s">
        <v>49264</v>
      </c>
      <c r="B15611" s="24" t="s">
        <v>49265</v>
      </c>
      <c r="C15611" s="24" t="s">
        <v>49266</v>
      </c>
      <c r="D15611" s="25" t="s">
        <v>49267</v>
      </c>
      <c r="E15611" s="26"/>
      <c r="F15611" s="27">
        <f ca="1">ROUND(55.900*(1+G2/100),2)</f>
        <v>0</v>
      </c>
      <c r="G15611" s="26"/>
    </row>
    <row r="15612" spans="1:7" ht="58.32" thickBot="1" customHeight="1">
      <c r="A15612" s="26"/>
      <c r="B15612" s="26"/>
      <c r="C15612" s="26"/>
      <c r="D15612" s="25" t="s">
        <v>49268</v>
      </c>
      <c r="E15612" s="25"/>
      <c r="F15612" s="25"/>
      <c r="G15612" s="25"/>
    </row>
    <row r="15613" spans="1:7" ht="39.84" thickBot="1" customHeight="1">
      <c r="A15613" s="10" t="s">
        <v>49269</v>
      </c>
      <c r="B15613" s="24" t="s">
        <v>49270</v>
      </c>
      <c r="C15613" s="24" t="s">
        <v>49271</v>
      </c>
      <c r="D15613" s="25" t="s">
        <v>49272</v>
      </c>
      <c r="E15613" s="26"/>
      <c r="F15613" s="27">
        <f ca="1">ROUND(12.020*(1+G2/100),2)</f>
        <v>0</v>
      </c>
      <c r="G15613" s="26"/>
    </row>
    <row r="15614" spans="1:7" ht="21.36" thickBot="1" customHeight="1">
      <c r="A15614" s="26"/>
      <c r="B15614" s="26"/>
      <c r="C15614" s="26"/>
      <c r="D15614" s="25" t="s">
        <v>49273</v>
      </c>
      <c r="E15614" s="25"/>
      <c r="F15614" s="25"/>
      <c r="G15614" s="25"/>
    </row>
    <row r="15615" spans="1:7" ht="39.84" thickBot="1" customHeight="1">
      <c r="A15615" s="10" t="s">
        <v>49274</v>
      </c>
      <c r="B15615" s="24" t="s">
        <v>49275</v>
      </c>
      <c r="C15615" s="24" t="s">
        <v>49276</v>
      </c>
      <c r="D15615" s="25" t="s">
        <v>49277</v>
      </c>
      <c r="E15615" s="26"/>
      <c r="F15615" s="27">
        <f ca="1">ROUND(9.800*(1+G2/100),2)</f>
        <v>0</v>
      </c>
      <c r="G15615" s="26"/>
    </row>
    <row r="15616" spans="1:7" ht="21.36" thickBot="1" customHeight="1">
      <c r="A15616" s="26"/>
      <c r="B15616" s="26"/>
      <c r="C15616" s="26"/>
      <c r="D15616" s="25" t="s">
        <v>49278</v>
      </c>
      <c r="E15616" s="25"/>
      <c r="F15616" s="25"/>
      <c r="G15616" s="25"/>
    </row>
    <row r="15617" spans="1:7" ht="30.60" thickBot="1" customHeight="1">
      <c r="A15617" s="10" t="s">
        <v>49279</v>
      </c>
      <c r="B15617" s="24" t="s">
        <v>49280</v>
      </c>
      <c r="C15617" s="24" t="s">
        <v>49281</v>
      </c>
      <c r="D15617" s="25" t="s">
        <v>49282</v>
      </c>
      <c r="E15617" s="26"/>
      <c r="F15617" s="27">
        <f ca="1">ROUND(22.420*(1+G2/100),2)</f>
        <v>0</v>
      </c>
      <c r="G15617" s="26"/>
    </row>
    <row r="15618" spans="1:7" ht="49.08" thickBot="1" customHeight="1">
      <c r="A15618" s="26"/>
      <c r="B15618" s="26"/>
      <c r="C15618" s="26"/>
      <c r="D15618" s="25" t="s">
        <v>49283</v>
      </c>
      <c r="E15618" s="25"/>
      <c r="F15618" s="25"/>
      <c r="G15618" s="25"/>
    </row>
    <row r="15619" spans="1:7" ht="25.08" thickBot="1" customHeight="1">
      <c r="A15619" s="10" t="s">
        <v>49284</v>
      </c>
      <c r="B15619" s="24" t="s">
        <v>49285</v>
      </c>
      <c r="C15619" s="24" t="s">
        <v>49286</v>
      </c>
      <c r="D15619" s="25" t="s">
        <v>49287</v>
      </c>
      <c r="E15619" s="26"/>
      <c r="F15619" s="27">
        <f ca="1">ROUND(3.150*(1+G2/100),2)</f>
        <v>0</v>
      </c>
      <c r="G15619" s="26"/>
    </row>
    <row r="15620" spans="1:7" ht="30.60" thickBot="1" customHeight="1">
      <c r="A15620" s="26"/>
      <c r="B15620" s="26"/>
      <c r="C15620" s="26"/>
      <c r="D15620" s="25" t="s">
        <v>49288</v>
      </c>
      <c r="E15620" s="25"/>
      <c r="F15620" s="25"/>
      <c r="G15620" s="25"/>
    </row>
    <row r="15621" spans="1:7" ht="25.08" thickBot="1" customHeight="1">
      <c r="A15621" s="10" t="s">
        <v>49289</v>
      </c>
      <c r="B15621" s="24" t="s">
        <v>49290</v>
      </c>
      <c r="C15621" s="24" t="s">
        <v>49291</v>
      </c>
      <c r="D15621" s="25" t="s">
        <v>49292</v>
      </c>
      <c r="E15621" s="26"/>
      <c r="F15621" s="27">
        <f ca="1">ROUND(3.780*(1+G2/100),2)</f>
        <v>0</v>
      </c>
      <c r="G15621" s="26"/>
    </row>
    <row r="15622" spans="1:7" ht="21.36" thickBot="1" customHeight="1">
      <c r="A15622" s="26"/>
      <c r="B15622" s="26"/>
      <c r="C15622" s="26"/>
      <c r="D15622" s="25" t="s">
        <v>49293</v>
      </c>
      <c r="E15622" s="25"/>
      <c r="F15622" s="25"/>
      <c r="G15622" s="25"/>
    </row>
    <row r="15623" spans="1:7" ht="25.08" thickBot="1" customHeight="1">
      <c r="A15623" s="10" t="s">
        <v>49294</v>
      </c>
      <c r="B15623" s="24" t="s">
        <v>49295</v>
      </c>
      <c r="C15623" s="24" t="s">
        <v>49296</v>
      </c>
      <c r="D15623" s="25" t="s">
        <v>49297</v>
      </c>
      <c r="E15623" s="26"/>
      <c r="F15623" s="27">
        <f ca="1">ROUND(5.200*(1+G2/100),2)</f>
        <v>0</v>
      </c>
      <c r="G15623" s="26"/>
    </row>
    <row r="15624" spans="1:7" ht="21.36" thickBot="1" customHeight="1">
      <c r="A15624" s="26"/>
      <c r="B15624" s="26"/>
      <c r="C15624" s="26"/>
      <c r="D15624" s="25" t="s">
        <v>49298</v>
      </c>
      <c r="E15624" s="25"/>
      <c r="F15624" s="25"/>
      <c r="G15624" s="25"/>
    </row>
    <row r="15625" spans="1:7" ht="25.08" thickBot="1" customHeight="1">
      <c r="A15625" s="10" t="s">
        <v>49299</v>
      </c>
      <c r="B15625" s="24" t="s">
        <v>49300</v>
      </c>
      <c r="C15625" s="24" t="s">
        <v>49301</v>
      </c>
      <c r="D15625" s="25" t="s">
        <v>49302</v>
      </c>
      <c r="E15625" s="26"/>
      <c r="F15625" s="27">
        <f ca="1">ROUND(3.150*(1+G2/100),2)</f>
        <v>0</v>
      </c>
      <c r="G15625" s="26"/>
    </row>
    <row r="15626" spans="1:7" ht="30.60" thickBot="1" customHeight="1">
      <c r="A15626" s="26"/>
      <c r="B15626" s="26"/>
      <c r="C15626" s="26"/>
      <c r="D15626" s="25" t="s">
        <v>49303</v>
      </c>
      <c r="E15626" s="25"/>
      <c r="F15626" s="25"/>
      <c r="G15626" s="25"/>
    </row>
    <row r="15627" spans="1:7" ht="25.08" thickBot="1" customHeight="1">
      <c r="A15627" s="10" t="s">
        <v>49304</v>
      </c>
      <c r="B15627" s="24" t="s">
        <v>49305</v>
      </c>
      <c r="C15627" s="24" t="s">
        <v>49306</v>
      </c>
      <c r="D15627" s="25" t="s">
        <v>49307</v>
      </c>
      <c r="E15627" s="26"/>
      <c r="F15627" s="27">
        <f ca="1">ROUND(3.780*(1+G2/100),2)</f>
        <v>0</v>
      </c>
      <c r="G15627" s="26"/>
    </row>
    <row r="15628" spans="1:7" ht="21.36" thickBot="1" customHeight="1">
      <c r="A15628" s="26"/>
      <c r="B15628" s="26"/>
      <c r="C15628" s="26"/>
      <c r="D15628" s="25" t="s">
        <v>49308</v>
      </c>
      <c r="E15628" s="25"/>
      <c r="F15628" s="25"/>
      <c r="G15628" s="25"/>
    </row>
    <row r="15629" spans="1:7" ht="25.08" thickBot="1" customHeight="1">
      <c r="A15629" s="10" t="s">
        <v>49309</v>
      </c>
      <c r="B15629" s="24" t="s">
        <v>49310</v>
      </c>
      <c r="C15629" s="24" t="s">
        <v>49311</v>
      </c>
      <c r="D15629" s="25" t="s">
        <v>49312</v>
      </c>
      <c r="E15629" s="26"/>
      <c r="F15629" s="27">
        <f ca="1">ROUND(5.200*(1+G2/100),2)</f>
        <v>0</v>
      </c>
      <c r="G15629" s="26"/>
    </row>
    <row r="15630" spans="1:7" ht="21.36" thickBot="1" customHeight="1">
      <c r="A15630" s="26"/>
      <c r="B15630" s="26"/>
      <c r="C15630" s="26"/>
      <c r="D15630" s="25" t="s">
        <v>49313</v>
      </c>
      <c r="E15630" s="25"/>
      <c r="F15630" s="25"/>
      <c r="G15630" s="25"/>
    </row>
    <row r="15631" spans="1:7" ht="30.60" thickBot="1" customHeight="1">
      <c r="A15631" s="10" t="s">
        <v>49314</v>
      </c>
      <c r="B15631" s="24" t="s">
        <v>49315</v>
      </c>
      <c r="C15631" s="24" t="s">
        <v>49316</v>
      </c>
      <c r="D15631" s="25" t="s">
        <v>49317</v>
      </c>
      <c r="E15631" s="26"/>
      <c r="F15631" s="27">
        <f ca="1">ROUND(5.750*(1+G2/100),2)</f>
        <v>0</v>
      </c>
      <c r="G15631" s="26"/>
    </row>
    <row r="15632" spans="1:7" ht="39.84" thickBot="1" customHeight="1">
      <c r="A15632" s="26"/>
      <c r="B15632" s="26"/>
      <c r="C15632" s="26"/>
      <c r="D15632" s="25" t="s">
        <v>49318</v>
      </c>
      <c r="E15632" s="25"/>
      <c r="F15632" s="25"/>
      <c r="G15632" s="25"/>
    </row>
    <row r="15633" spans="1:7" ht="30.60" thickBot="1" customHeight="1">
      <c r="A15633" s="10" t="s">
        <v>49319</v>
      </c>
      <c r="B15633" s="24" t="s">
        <v>49320</v>
      </c>
      <c r="C15633" s="24" t="s">
        <v>49321</v>
      </c>
      <c r="D15633" s="25" t="s">
        <v>49322</v>
      </c>
      <c r="E15633" s="26"/>
      <c r="F15633" s="27">
        <f ca="1">ROUND(6.900*(1+G2/100),2)</f>
        <v>0</v>
      </c>
      <c r="G15633" s="26"/>
    </row>
    <row r="15634" spans="1:7" ht="30.60" thickBot="1" customHeight="1">
      <c r="A15634" s="26"/>
      <c r="B15634" s="26"/>
      <c r="C15634" s="26"/>
      <c r="D15634" s="25" t="s">
        <v>49323</v>
      </c>
      <c r="E15634" s="25"/>
      <c r="F15634" s="25"/>
      <c r="G15634" s="25"/>
    </row>
    <row r="15635" spans="1:7" ht="30.60" thickBot="1" customHeight="1">
      <c r="A15635" s="10" t="s">
        <v>49324</v>
      </c>
      <c r="B15635" s="24" t="s">
        <v>49325</v>
      </c>
      <c r="C15635" s="24" t="s">
        <v>49326</v>
      </c>
      <c r="D15635" s="25" t="s">
        <v>49327</v>
      </c>
      <c r="E15635" s="26"/>
      <c r="F15635" s="27">
        <f ca="1">ROUND(9.490*(1+G2/100),2)</f>
        <v>0</v>
      </c>
      <c r="G15635" s="26"/>
    </row>
    <row r="15636" spans="1:7" ht="30.60" thickBot="1" customHeight="1">
      <c r="A15636" s="26"/>
      <c r="B15636" s="26"/>
      <c r="C15636" s="26"/>
      <c r="D15636" s="25" t="s">
        <v>49328</v>
      </c>
      <c r="E15636" s="25"/>
      <c r="F15636" s="25"/>
      <c r="G15636" s="25"/>
    </row>
    <row r="15637" spans="1:7" ht="30.60" thickBot="1" customHeight="1">
      <c r="A15637" s="10" t="s">
        <v>49329</v>
      </c>
      <c r="B15637" s="24" t="s">
        <v>49330</v>
      </c>
      <c r="C15637" s="24" t="s">
        <v>49331</v>
      </c>
      <c r="D15637" s="25" t="s">
        <v>49332</v>
      </c>
      <c r="E15637" s="26"/>
      <c r="F15637" s="27">
        <f ca="1">ROUND(5.950*(1+G2/100),2)</f>
        <v>0</v>
      </c>
      <c r="G15637" s="26"/>
    </row>
    <row r="15638" spans="1:7" ht="39.84" thickBot="1" customHeight="1">
      <c r="A15638" s="26"/>
      <c r="B15638" s="26"/>
      <c r="C15638" s="26"/>
      <c r="D15638" s="25" t="s">
        <v>49333</v>
      </c>
      <c r="E15638" s="25"/>
      <c r="F15638" s="25"/>
      <c r="G15638" s="25"/>
    </row>
    <row r="15639" spans="1:7" ht="30.60" thickBot="1" customHeight="1">
      <c r="A15639" s="10" t="s">
        <v>49334</v>
      </c>
      <c r="B15639" s="24" t="s">
        <v>49335</v>
      </c>
      <c r="C15639" s="24" t="s">
        <v>49336</v>
      </c>
      <c r="D15639" s="25" t="s">
        <v>49337</v>
      </c>
      <c r="E15639" s="26"/>
      <c r="F15639" s="27">
        <f ca="1">ROUND(7.140*(1+G2/100),2)</f>
        <v>0</v>
      </c>
      <c r="G15639" s="26"/>
    </row>
    <row r="15640" spans="1:7" ht="30.60" thickBot="1" customHeight="1">
      <c r="A15640" s="26"/>
      <c r="B15640" s="26"/>
      <c r="C15640" s="26"/>
      <c r="D15640" s="25" t="s">
        <v>49338</v>
      </c>
      <c r="E15640" s="25"/>
      <c r="F15640" s="25"/>
      <c r="G15640" s="25"/>
    </row>
    <row r="15641" spans="1:7" ht="30.60" thickBot="1" customHeight="1">
      <c r="A15641" s="10" t="s">
        <v>49339</v>
      </c>
      <c r="B15641" s="24" t="s">
        <v>49340</v>
      </c>
      <c r="C15641" s="24" t="s">
        <v>49341</v>
      </c>
      <c r="D15641" s="25" t="s">
        <v>49342</v>
      </c>
      <c r="E15641" s="26"/>
      <c r="F15641" s="27">
        <f ca="1">ROUND(9.820*(1+G2/100),2)</f>
        <v>0</v>
      </c>
      <c r="G15641" s="26"/>
    </row>
    <row r="15642" spans="1:7" ht="30.60" thickBot="1" customHeight="1">
      <c r="A15642" s="26"/>
      <c r="B15642" s="26"/>
      <c r="C15642" s="26"/>
      <c r="D15642" s="25" t="s">
        <v>49343</v>
      </c>
      <c r="E15642" s="25"/>
      <c r="F15642" s="25"/>
      <c r="G15642" s="25"/>
    </row>
    <row r="15643" spans="1:7" ht="30.60" thickBot="1" customHeight="1">
      <c r="A15643" s="10" t="s">
        <v>49344</v>
      </c>
      <c r="B15643" s="24" t="s">
        <v>49345</v>
      </c>
      <c r="C15643" s="24" t="s">
        <v>49346</v>
      </c>
      <c r="D15643" s="25" t="s">
        <v>49347</v>
      </c>
      <c r="E15643" s="26"/>
      <c r="F15643" s="27">
        <f ca="1">ROUND(3.950*(1+G2/100),2)</f>
        <v>0</v>
      </c>
      <c r="G15643" s="26"/>
    </row>
    <row r="15644" spans="1:7" ht="39.84" thickBot="1" customHeight="1">
      <c r="A15644" s="26"/>
      <c r="B15644" s="26"/>
      <c r="C15644" s="26"/>
      <c r="D15644" s="25" t="s">
        <v>49348</v>
      </c>
      <c r="E15644" s="25"/>
      <c r="F15644" s="25"/>
      <c r="G15644" s="25"/>
    </row>
    <row r="15645" spans="1:7" ht="30.60" thickBot="1" customHeight="1">
      <c r="A15645" s="10" t="s">
        <v>49349</v>
      </c>
      <c r="B15645" s="24" t="s">
        <v>49350</v>
      </c>
      <c r="C15645" s="24" t="s">
        <v>49351</v>
      </c>
      <c r="D15645" s="25" t="s">
        <v>49352</v>
      </c>
      <c r="E15645" s="26"/>
      <c r="F15645" s="27">
        <f ca="1">ROUND(4.740*(1+G2/100),2)</f>
        <v>0</v>
      </c>
      <c r="G15645" s="26"/>
    </row>
    <row r="15646" spans="1:7" ht="30.60" thickBot="1" customHeight="1">
      <c r="A15646" s="26"/>
      <c r="B15646" s="26"/>
      <c r="C15646" s="26"/>
      <c r="D15646" s="25" t="s">
        <v>49353</v>
      </c>
      <c r="E15646" s="25"/>
      <c r="F15646" s="25"/>
      <c r="G15646" s="25"/>
    </row>
    <row r="15647" spans="1:7" ht="30.60" thickBot="1" customHeight="1">
      <c r="A15647" s="10" t="s">
        <v>49354</v>
      </c>
      <c r="B15647" s="24" t="s">
        <v>49355</v>
      </c>
      <c r="C15647" s="24" t="s">
        <v>49356</v>
      </c>
      <c r="D15647" s="25" t="s">
        <v>49357</v>
      </c>
      <c r="E15647" s="26"/>
      <c r="F15647" s="27">
        <f ca="1">ROUND(6.520*(1+G2/100),2)</f>
        <v>0</v>
      </c>
      <c r="G15647" s="26"/>
    </row>
    <row r="15648" spans="1:7" ht="30.60" thickBot="1" customHeight="1">
      <c r="A15648" s="26"/>
      <c r="B15648" s="26"/>
      <c r="C15648" s="26"/>
      <c r="D15648" s="25" t="s">
        <v>49358</v>
      </c>
      <c r="E15648" s="25"/>
      <c r="F15648" s="25"/>
      <c r="G15648" s="25"/>
    </row>
    <row r="15649" spans="1:7" ht="30.60" thickBot="1" customHeight="1">
      <c r="A15649" s="10" t="s">
        <v>49359</v>
      </c>
      <c r="B15649" s="24" t="s">
        <v>49360</v>
      </c>
      <c r="C15649" s="24" t="s">
        <v>49361</v>
      </c>
      <c r="D15649" s="25" t="s">
        <v>49362</v>
      </c>
      <c r="E15649" s="26"/>
      <c r="F15649" s="27">
        <f ca="1">ROUND(4.150*(1+G2/100),2)</f>
        <v>0</v>
      </c>
      <c r="G15649" s="26"/>
    </row>
    <row r="15650" spans="1:7" ht="39.84" thickBot="1" customHeight="1">
      <c r="A15650" s="26"/>
      <c r="B15650" s="26"/>
      <c r="C15650" s="26"/>
      <c r="D15650" s="25" t="s">
        <v>49363</v>
      </c>
      <c r="E15650" s="25"/>
      <c r="F15650" s="25"/>
      <c r="G15650" s="25"/>
    </row>
    <row r="15651" spans="1:7" ht="30.60" thickBot="1" customHeight="1">
      <c r="A15651" s="10" t="s">
        <v>49364</v>
      </c>
      <c r="B15651" s="24" t="s">
        <v>49365</v>
      </c>
      <c r="C15651" s="24" t="s">
        <v>49366</v>
      </c>
      <c r="D15651" s="25" t="s">
        <v>49367</v>
      </c>
      <c r="E15651" s="26"/>
      <c r="F15651" s="27">
        <f ca="1">ROUND(4.980*(1+G2/100),2)</f>
        <v>0</v>
      </c>
      <c r="G15651" s="26"/>
    </row>
    <row r="15652" spans="1:7" ht="30.60" thickBot="1" customHeight="1">
      <c r="A15652" s="26"/>
      <c r="B15652" s="26"/>
      <c r="C15652" s="26"/>
      <c r="D15652" s="25" t="s">
        <v>49368</v>
      </c>
      <c r="E15652" s="25"/>
      <c r="F15652" s="25"/>
      <c r="G15652" s="25"/>
    </row>
    <row r="15653" spans="1:7" ht="30.60" thickBot="1" customHeight="1">
      <c r="A15653" s="10" t="s">
        <v>49369</v>
      </c>
      <c r="B15653" s="24" t="s">
        <v>49370</v>
      </c>
      <c r="C15653" s="24" t="s">
        <v>49371</v>
      </c>
      <c r="D15653" s="25" t="s">
        <v>49372</v>
      </c>
      <c r="E15653" s="26"/>
      <c r="F15653" s="27">
        <f ca="1">ROUND(6.850*(1+G2/100),2)</f>
        <v>0</v>
      </c>
      <c r="G15653" s="26"/>
    </row>
    <row r="15654" spans="1:7" ht="30.60" thickBot="1" customHeight="1">
      <c r="A15654" s="26"/>
      <c r="B15654" s="26"/>
      <c r="C15654" s="26"/>
      <c r="D15654" s="25" t="s">
        <v>49373</v>
      </c>
      <c r="E15654" s="25"/>
      <c r="F15654" s="25"/>
      <c r="G15654" s="25"/>
    </row>
    <row r="15655" spans="1:7" ht="30.60" thickBot="1" customHeight="1">
      <c r="A15655" s="10" t="s">
        <v>49374</v>
      </c>
      <c r="B15655" s="24" t="s">
        <v>49375</v>
      </c>
      <c r="C15655" s="24" t="s">
        <v>49376</v>
      </c>
      <c r="D15655" s="25" t="s">
        <v>49377</v>
      </c>
      <c r="E15655" s="26"/>
      <c r="F15655" s="27">
        <f ca="1">ROUND(25.000*(1+G2/100),2)</f>
        <v>0</v>
      </c>
      <c r="G15655" s="26"/>
    </row>
    <row r="15656" spans="1:7" ht="21.36" thickBot="1" customHeight="1">
      <c r="A15656" s="26"/>
      <c r="B15656" s="26"/>
      <c r="C15656" s="26"/>
      <c r="D15656" s="25" t="s">
        <v>49378</v>
      </c>
      <c r="E15656" s="25"/>
      <c r="F15656" s="25"/>
      <c r="G15656" s="25"/>
    </row>
    <row r="15657" spans="1:7" ht="30.60" thickBot="1" customHeight="1">
      <c r="A15657" s="10" t="s">
        <v>49379</v>
      </c>
      <c r="B15657" s="24" t="s">
        <v>49380</v>
      </c>
      <c r="C15657" s="24" t="s">
        <v>49381</v>
      </c>
      <c r="D15657" s="25" t="s">
        <v>49382</v>
      </c>
      <c r="E15657" s="26"/>
      <c r="F15657" s="27">
        <f ca="1">ROUND(6.360*(1+G2/100),2)</f>
        <v>0</v>
      </c>
      <c r="G15657" s="26"/>
    </row>
    <row r="15658" spans="1:7" ht="39.84" thickBot="1" customHeight="1">
      <c r="A15658" s="26"/>
      <c r="B15658" s="26"/>
      <c r="C15658" s="26"/>
      <c r="D15658" s="25" t="s">
        <v>49383</v>
      </c>
      <c r="E15658" s="25"/>
      <c r="F15658" s="25"/>
      <c r="G15658" s="25"/>
    </row>
    <row r="15659" spans="1:7" ht="30.60" thickBot="1" customHeight="1">
      <c r="A15659" s="10" t="s">
        <v>49384</v>
      </c>
      <c r="B15659" s="24" t="s">
        <v>49385</v>
      </c>
      <c r="C15659" s="24" t="s">
        <v>49386</v>
      </c>
      <c r="D15659" s="25" t="s">
        <v>49387</v>
      </c>
      <c r="E15659" s="26"/>
      <c r="F15659" s="27">
        <f ca="1">ROUND(5.980*(1+G2/100),2)</f>
        <v>0</v>
      </c>
      <c r="G15659" s="26"/>
    </row>
    <row r="15660" spans="1:7" ht="67.56" thickBot="1" customHeight="1">
      <c r="A15660" s="26"/>
      <c r="B15660" s="26"/>
      <c r="C15660" s="26"/>
      <c r="D15660" s="25" t="s">
        <v>49388</v>
      </c>
      <c r="E15660" s="25"/>
      <c r="F15660" s="25"/>
      <c r="G15660" s="25"/>
    </row>
    <row r="15661" spans="1:7" ht="30.60" thickBot="1" customHeight="1">
      <c r="A15661" s="10" t="s">
        <v>49389</v>
      </c>
      <c r="B15661" s="24" t="s">
        <v>49390</v>
      </c>
      <c r="C15661" s="24" t="s">
        <v>49391</v>
      </c>
      <c r="D15661" s="25" t="s">
        <v>49392</v>
      </c>
      <c r="E15661" s="26"/>
      <c r="F15661" s="27">
        <f ca="1">ROUND(6.060*(1+G2/100),2)</f>
        <v>0</v>
      </c>
      <c r="G15661" s="26"/>
    </row>
    <row r="15662" spans="1:7" ht="39.84" thickBot="1" customHeight="1">
      <c r="A15662" s="26"/>
      <c r="B15662" s="26"/>
      <c r="C15662" s="26"/>
      <c r="D15662" s="25" t="s">
        <v>49393</v>
      </c>
      <c r="E15662" s="25"/>
      <c r="F15662" s="25"/>
      <c r="G15662" s="25"/>
    </row>
    <row r="15663" spans="1:7" ht="39.84" thickBot="1" customHeight="1">
      <c r="A15663" s="10" t="s">
        <v>49394</v>
      </c>
      <c r="B15663" s="24" t="s">
        <v>49395</v>
      </c>
      <c r="C15663" s="24" t="s">
        <v>49396</v>
      </c>
      <c r="D15663" s="25" t="s">
        <v>49397</v>
      </c>
      <c r="E15663" s="26"/>
      <c r="F15663" s="27">
        <f ca="1">ROUND(17.920*(1+G2/100),2)</f>
        <v>0</v>
      </c>
      <c r="G15663" s="26"/>
    </row>
    <row r="15664" spans="1:7" ht="30.60" thickBot="1" customHeight="1">
      <c r="A15664" s="26"/>
      <c r="B15664" s="26"/>
      <c r="C15664" s="26"/>
      <c r="D15664" s="25" t="s">
        <v>49398</v>
      </c>
      <c r="E15664" s="25"/>
      <c r="F15664" s="25"/>
      <c r="G15664" s="25"/>
    </row>
    <row r="15665" spans="1:7" ht="39.84" thickBot="1" customHeight="1">
      <c r="A15665" s="10" t="s">
        <v>49399</v>
      </c>
      <c r="B15665" s="24" t="s">
        <v>49400</v>
      </c>
      <c r="C15665" s="24" t="s">
        <v>49401</v>
      </c>
      <c r="D15665" s="25" t="s">
        <v>49402</v>
      </c>
      <c r="E15665" s="26"/>
      <c r="F15665" s="27">
        <f ca="1">ROUND(29.000*(1+G2/100),2)</f>
        <v>0</v>
      </c>
      <c r="G15665" s="26"/>
    </row>
    <row r="15666" spans="1:7" ht="21.36" thickBot="1" customHeight="1">
      <c r="A15666" s="26"/>
      <c r="B15666" s="26"/>
      <c r="C15666" s="26"/>
      <c r="D15666" s="25" t="s">
        <v>49403</v>
      </c>
      <c r="E15666" s="25"/>
      <c r="F15666" s="25"/>
      <c r="G15666" s="25"/>
    </row>
    <row r="15667" spans="1:7" ht="49.08" thickBot="1" customHeight="1">
      <c r="A15667" s="10" t="s">
        <v>49404</v>
      </c>
      <c r="B15667" s="24" t="s">
        <v>49405</v>
      </c>
      <c r="C15667" s="24" t="s">
        <v>49406</v>
      </c>
      <c r="D15667" s="25" t="s">
        <v>49407</v>
      </c>
      <c r="E15667" s="26"/>
      <c r="F15667" s="27">
        <f ca="1">ROUND(105.000*(1+G2/100),2)</f>
        <v>0</v>
      </c>
      <c r="G15667" s="26"/>
    </row>
    <row r="15668" spans="1:7" ht="21.36" thickBot="1" customHeight="1">
      <c r="A15668" s="26"/>
      <c r="B15668" s="26"/>
      <c r="C15668" s="26"/>
      <c r="D15668" s="25" t="s">
        <v>49408</v>
      </c>
      <c r="E15668" s="25"/>
      <c r="F15668" s="25"/>
      <c r="G15668" s="25"/>
    </row>
    <row r="15669" spans="1:7" ht="49.08" thickBot="1" customHeight="1">
      <c r="A15669" s="10" t="s">
        <v>49409</v>
      </c>
      <c r="B15669" s="24" t="s">
        <v>49410</v>
      </c>
      <c r="C15669" s="24" t="s">
        <v>49411</v>
      </c>
      <c r="D15669" s="25" t="s">
        <v>49412</v>
      </c>
      <c r="E15669" s="26"/>
      <c r="F15669" s="27">
        <f ca="1">ROUND(85.000*(1+G2/100),2)</f>
        <v>0</v>
      </c>
      <c r="G15669" s="26"/>
    </row>
    <row r="15670" spans="1:7" ht="21.36" thickBot="1" customHeight="1">
      <c r="A15670" s="26"/>
      <c r="B15670" s="26"/>
      <c r="C15670" s="26"/>
      <c r="D15670" s="25" t="s">
        <v>49413</v>
      </c>
      <c r="E15670" s="25"/>
      <c r="F15670" s="25"/>
      <c r="G15670" s="25"/>
    </row>
    <row r="15671" spans="1:7" ht="39.84" thickBot="1" customHeight="1">
      <c r="A15671" s="10" t="s">
        <v>49414</v>
      </c>
      <c r="B15671" s="24" t="s">
        <v>49415</v>
      </c>
      <c r="C15671" s="24" t="s">
        <v>49416</v>
      </c>
      <c r="D15671" s="25" t="s">
        <v>49417</v>
      </c>
      <c r="E15671" s="26"/>
      <c r="F15671" s="27">
        <f ca="1">ROUND(110.000*(1+G2/100),2)</f>
        <v>0</v>
      </c>
      <c r="G15671" s="26"/>
    </row>
    <row r="15672" spans="1:7" ht="21.36" thickBot="1" customHeight="1">
      <c r="A15672" s="26"/>
      <c r="B15672" s="26"/>
      <c r="C15672" s="26"/>
      <c r="D15672" s="25" t="s">
        <v>49418</v>
      </c>
      <c r="E15672" s="25"/>
      <c r="F15672" s="25"/>
      <c r="G15672" s="25"/>
    </row>
    <row r="15673" spans="1:7" ht="49.08" thickBot="1" customHeight="1">
      <c r="A15673" s="10" t="s">
        <v>49419</v>
      </c>
      <c r="B15673" s="24" t="s">
        <v>49420</v>
      </c>
      <c r="C15673" s="24" t="s">
        <v>49421</v>
      </c>
      <c r="D15673" s="25" t="s">
        <v>49422</v>
      </c>
      <c r="E15673" s="26"/>
      <c r="F15673" s="27">
        <f ca="1">ROUND(115.000*(1+G2/100),2)</f>
        <v>0</v>
      </c>
      <c r="G15673" s="26"/>
    </row>
    <row r="15674" spans="1:7" ht="21.36" thickBot="1" customHeight="1">
      <c r="A15674" s="26"/>
      <c r="B15674" s="26"/>
      <c r="C15674" s="26"/>
      <c r="D15674" s="25" t="s">
        <v>49423</v>
      </c>
      <c r="E15674" s="25"/>
      <c r="F15674" s="25"/>
      <c r="G15674" s="25"/>
    </row>
    <row r="15675" spans="1:7" ht="39.84" thickBot="1" customHeight="1">
      <c r="A15675" s="10" t="s">
        <v>49424</v>
      </c>
      <c r="B15675" s="24" t="s">
        <v>49425</v>
      </c>
      <c r="C15675" s="24" t="s">
        <v>49426</v>
      </c>
      <c r="D15675" s="25" t="s">
        <v>49427</v>
      </c>
      <c r="E15675" s="26"/>
      <c r="F15675" s="27">
        <f ca="1">ROUND(40.950*(1+G2/100),2)</f>
        <v>0</v>
      </c>
      <c r="G15675" s="26"/>
    </row>
    <row r="15676" spans="1:7" ht="21.36" thickBot="1" customHeight="1">
      <c r="A15676" s="26"/>
      <c r="B15676" s="26"/>
      <c r="C15676" s="26"/>
      <c r="D15676" s="25" t="s">
        <v>49428</v>
      </c>
      <c r="E15676" s="25"/>
      <c r="F15676" s="25"/>
      <c r="G15676" s="25"/>
    </row>
    <row r="15677" spans="1:7" ht="39.84" thickBot="1" customHeight="1">
      <c r="A15677" s="10" t="s">
        <v>49429</v>
      </c>
      <c r="B15677" s="24" t="s">
        <v>49430</v>
      </c>
      <c r="C15677" s="24" t="s">
        <v>49431</v>
      </c>
      <c r="D15677" s="25" t="s">
        <v>49432</v>
      </c>
      <c r="E15677" s="26"/>
      <c r="F15677" s="27">
        <f ca="1">ROUND(5.650*(1+G2/100),2)</f>
        <v>0</v>
      </c>
      <c r="G15677" s="26"/>
    </row>
    <row r="15678" spans="1:7" ht="30.60" thickBot="1" customHeight="1">
      <c r="A15678" s="26"/>
      <c r="B15678" s="26"/>
      <c r="C15678" s="26"/>
      <c r="D15678" s="25" t="s">
        <v>49433</v>
      </c>
      <c r="E15678" s="25"/>
      <c r="F15678" s="25"/>
      <c r="G15678" s="25"/>
    </row>
    <row r="15679" spans="1:7" ht="39.84" thickBot="1" customHeight="1">
      <c r="A15679" s="10" t="s">
        <v>49434</v>
      </c>
      <c r="B15679" s="24" t="s">
        <v>49435</v>
      </c>
      <c r="C15679" s="24" t="s">
        <v>49436</v>
      </c>
      <c r="D15679" s="25" t="s">
        <v>49437</v>
      </c>
      <c r="E15679" s="26"/>
      <c r="F15679" s="27">
        <f ca="1">ROUND(7.400*(1+G2/100),2)</f>
        <v>0</v>
      </c>
      <c r="G15679" s="26"/>
    </row>
    <row r="15680" spans="1:7" ht="30.60" thickBot="1" customHeight="1">
      <c r="A15680" s="26"/>
      <c r="B15680" s="26"/>
      <c r="C15680" s="26"/>
      <c r="D15680" s="25" t="s">
        <v>49438</v>
      </c>
      <c r="E15680" s="25"/>
      <c r="F15680" s="25"/>
      <c r="G15680" s="25"/>
    </row>
    <row r="15681" spans="1:7" ht="39.84" thickBot="1" customHeight="1">
      <c r="A15681" s="10" t="s">
        <v>49439</v>
      </c>
      <c r="B15681" s="24" t="s">
        <v>49440</v>
      </c>
      <c r="C15681" s="24" t="s">
        <v>49441</v>
      </c>
      <c r="D15681" s="25" t="s">
        <v>49442</v>
      </c>
      <c r="E15681" s="26"/>
      <c r="F15681" s="27">
        <f ca="1">ROUND(8.220*(1+G2/100),2)</f>
        <v>0</v>
      </c>
      <c r="G15681" s="26"/>
    </row>
    <row r="15682" spans="1:7" ht="30.60" thickBot="1" customHeight="1">
      <c r="A15682" s="26"/>
      <c r="B15682" s="26"/>
      <c r="C15682" s="26"/>
      <c r="D15682" s="25" t="s">
        <v>49443</v>
      </c>
      <c r="E15682" s="25"/>
      <c r="F15682" s="25"/>
      <c r="G15682" s="25"/>
    </row>
    <row r="15683" spans="1:7" ht="39.84" thickBot="1" customHeight="1">
      <c r="A15683" s="10" t="s">
        <v>49444</v>
      </c>
      <c r="B15683" s="24" t="s">
        <v>49445</v>
      </c>
      <c r="C15683" s="24" t="s">
        <v>49446</v>
      </c>
      <c r="D15683" s="25" t="s">
        <v>49447</v>
      </c>
      <c r="E15683" s="26"/>
      <c r="F15683" s="27">
        <f ca="1">ROUND(10.700*(1+G2/100),2)</f>
        <v>0</v>
      </c>
      <c r="G15683" s="26"/>
    </row>
    <row r="15684" spans="1:7" ht="30.60" thickBot="1" customHeight="1">
      <c r="A15684" s="26"/>
      <c r="B15684" s="26"/>
      <c r="C15684" s="26"/>
      <c r="D15684" s="25" t="s">
        <v>49448</v>
      </c>
      <c r="E15684" s="25"/>
      <c r="F15684" s="25"/>
      <c r="G15684" s="25"/>
    </row>
    <row r="15685" spans="1:7" ht="39.84" thickBot="1" customHeight="1">
      <c r="A15685" s="10" t="s">
        <v>49449</v>
      </c>
      <c r="B15685" s="24" t="s">
        <v>49450</v>
      </c>
      <c r="C15685" s="24" t="s">
        <v>49451</v>
      </c>
      <c r="D15685" s="25" t="s">
        <v>49452</v>
      </c>
      <c r="E15685" s="26"/>
      <c r="F15685" s="27">
        <f ca="1">ROUND(6.600*(1+G2/100),2)</f>
        <v>0</v>
      </c>
      <c r="G15685" s="26"/>
    </row>
    <row r="15686" spans="1:7" ht="30.60" thickBot="1" customHeight="1">
      <c r="A15686" s="26"/>
      <c r="B15686" s="26"/>
      <c r="C15686" s="26"/>
      <c r="D15686" s="25" t="s">
        <v>49453</v>
      </c>
      <c r="E15686" s="25"/>
      <c r="F15686" s="25"/>
      <c r="G15686" s="25"/>
    </row>
    <row r="15687" spans="1:7" ht="39.84" thickBot="1" customHeight="1">
      <c r="A15687" s="10" t="s">
        <v>49454</v>
      </c>
      <c r="B15687" s="24" t="s">
        <v>49455</v>
      </c>
      <c r="C15687" s="24" t="s">
        <v>49456</v>
      </c>
      <c r="D15687" s="25" t="s">
        <v>49457</v>
      </c>
      <c r="E15687" s="26"/>
      <c r="F15687" s="27">
        <f ca="1">ROUND(8.220*(1+G2/100),2)</f>
        <v>0</v>
      </c>
      <c r="G15687" s="26"/>
    </row>
    <row r="15688" spans="1:7" ht="30.60" thickBot="1" customHeight="1">
      <c r="A15688" s="26"/>
      <c r="B15688" s="26"/>
      <c r="C15688" s="26"/>
      <c r="D15688" s="25" t="s">
        <v>49458</v>
      </c>
      <c r="E15688" s="25"/>
      <c r="F15688" s="25"/>
      <c r="G15688" s="25"/>
    </row>
    <row r="15689" spans="1:7" ht="39.84" thickBot="1" customHeight="1">
      <c r="A15689" s="10" t="s">
        <v>49459</v>
      </c>
      <c r="B15689" s="24" t="s">
        <v>49460</v>
      </c>
      <c r="C15689" s="24" t="s">
        <v>49461</v>
      </c>
      <c r="D15689" s="25" t="s">
        <v>49462</v>
      </c>
      <c r="E15689" s="26"/>
      <c r="F15689" s="27">
        <f ca="1">ROUND(7.400*(1+G2/100),2)</f>
        <v>0</v>
      </c>
      <c r="G15689" s="26"/>
    </row>
    <row r="15690" spans="1:7" ht="30.60" thickBot="1" customHeight="1">
      <c r="A15690" s="26"/>
      <c r="B15690" s="26"/>
      <c r="C15690" s="26"/>
      <c r="D15690" s="25" t="s">
        <v>49463</v>
      </c>
      <c r="E15690" s="25"/>
      <c r="F15690" s="25"/>
      <c r="G15690" s="25"/>
    </row>
    <row r="15691" spans="1:7" ht="39.84" thickBot="1" customHeight="1">
      <c r="A15691" s="10" t="s">
        <v>49464</v>
      </c>
      <c r="B15691" s="24" t="s">
        <v>49465</v>
      </c>
      <c r="C15691" s="24" t="s">
        <v>49466</v>
      </c>
      <c r="D15691" s="25" t="s">
        <v>49467</v>
      </c>
      <c r="E15691" s="26"/>
      <c r="F15691" s="27">
        <f ca="1">ROUND(9.050*(1+G2/100),2)</f>
        <v>0</v>
      </c>
      <c r="G15691" s="26"/>
    </row>
    <row r="15692" spans="1:7" ht="30.60" thickBot="1" customHeight="1">
      <c r="A15692" s="26"/>
      <c r="B15692" s="26"/>
      <c r="C15692" s="26"/>
      <c r="D15692" s="25" t="s">
        <v>49468</v>
      </c>
      <c r="E15692" s="25"/>
      <c r="F15692" s="25"/>
      <c r="G15692" s="25"/>
    </row>
    <row r="15693" spans="1:7" ht="39.84" thickBot="1" customHeight="1">
      <c r="A15693" s="10" t="s">
        <v>49469</v>
      </c>
      <c r="B15693" s="24" t="s">
        <v>49470</v>
      </c>
      <c r="C15693" s="24" t="s">
        <v>49471</v>
      </c>
      <c r="D15693" s="25" t="s">
        <v>49472</v>
      </c>
      <c r="E15693" s="26"/>
      <c r="F15693" s="27">
        <f ca="1">ROUND(9.050*(1+G2/100),2)</f>
        <v>0</v>
      </c>
      <c r="G15693" s="26"/>
    </row>
    <row r="15694" spans="1:7" ht="30.60" thickBot="1" customHeight="1">
      <c r="A15694" s="26"/>
      <c r="B15694" s="26"/>
      <c r="C15694" s="26"/>
      <c r="D15694" s="25" t="s">
        <v>49473</v>
      </c>
      <c r="E15694" s="25"/>
      <c r="F15694" s="25"/>
      <c r="G15694" s="25"/>
    </row>
    <row r="15695" spans="1:7" ht="39.84" thickBot="1" customHeight="1">
      <c r="A15695" s="10" t="s">
        <v>49474</v>
      </c>
      <c r="B15695" s="24" t="s">
        <v>49475</v>
      </c>
      <c r="C15695" s="24" t="s">
        <v>49476</v>
      </c>
      <c r="D15695" s="25" t="s">
        <v>49477</v>
      </c>
      <c r="E15695" s="26"/>
      <c r="F15695" s="27">
        <f ca="1">ROUND(24.850*(1+G2/100),2)</f>
        <v>0</v>
      </c>
      <c r="G15695" s="26"/>
    </row>
    <row r="15696" spans="1:7" ht="67.56" thickBot="1" customHeight="1">
      <c r="A15696" s="26"/>
      <c r="B15696" s="26"/>
      <c r="C15696" s="26"/>
      <c r="D15696" s="25" t="s">
        <v>49478</v>
      </c>
      <c r="E15696" s="25"/>
      <c r="F15696" s="25"/>
      <c r="G15696" s="25"/>
    </row>
    <row r="15697" spans="1:7" ht="39.84" thickBot="1" customHeight="1">
      <c r="A15697" s="10" t="s">
        <v>49479</v>
      </c>
      <c r="B15697" s="24" t="s">
        <v>49480</v>
      </c>
      <c r="C15697" s="24" t="s">
        <v>49481</v>
      </c>
      <c r="D15697" s="25" t="s">
        <v>49482</v>
      </c>
      <c r="E15697" s="26"/>
      <c r="F15697" s="27">
        <f ca="1">ROUND(33.840*(1+G2/100),2)</f>
        <v>0</v>
      </c>
      <c r="G15697" s="26"/>
    </row>
    <row r="15698" spans="1:7" ht="67.56" thickBot="1" customHeight="1">
      <c r="A15698" s="26"/>
      <c r="B15698" s="26"/>
      <c r="C15698" s="26"/>
      <c r="D15698" s="25" t="s">
        <v>49483</v>
      </c>
      <c r="E15698" s="25"/>
      <c r="F15698" s="25"/>
      <c r="G15698" s="25"/>
    </row>
    <row r="15699" spans="1:7" ht="39.84" thickBot="1" customHeight="1">
      <c r="A15699" s="10" t="s">
        <v>49484</v>
      </c>
      <c r="B15699" s="24" t="s">
        <v>49485</v>
      </c>
      <c r="C15699" s="24" t="s">
        <v>49486</v>
      </c>
      <c r="D15699" s="25" t="s">
        <v>49487</v>
      </c>
      <c r="E15699" s="26"/>
      <c r="F15699" s="27">
        <f ca="1">ROUND(21.120*(1+G2/100),2)</f>
        <v>0</v>
      </c>
      <c r="G15699" s="26"/>
    </row>
    <row r="15700" spans="1:7" ht="21.36" thickBot="1" customHeight="1">
      <c r="A15700" s="26"/>
      <c r="B15700" s="26"/>
      <c r="C15700" s="26"/>
      <c r="D15700" s="25" t="s">
        <v>49488</v>
      </c>
      <c r="E15700" s="25"/>
      <c r="F15700" s="25"/>
      <c r="G15700" s="25"/>
    </row>
    <row r="15701" spans="1:7" ht="39.84" thickBot="1" customHeight="1">
      <c r="A15701" s="10" t="s">
        <v>49489</v>
      </c>
      <c r="B15701" s="24" t="s">
        <v>49490</v>
      </c>
      <c r="C15701" s="24" t="s">
        <v>49491</v>
      </c>
      <c r="D15701" s="25" t="s">
        <v>49492</v>
      </c>
      <c r="E15701" s="26"/>
      <c r="F15701" s="27">
        <f ca="1">ROUND(27.040*(1+G2/100),2)</f>
        <v>0</v>
      </c>
      <c r="G15701" s="26"/>
    </row>
    <row r="15702" spans="1:7" ht="21.36" thickBot="1" customHeight="1">
      <c r="A15702" s="26"/>
      <c r="B15702" s="26"/>
      <c r="C15702" s="26"/>
      <c r="D15702" s="25" t="s">
        <v>49493</v>
      </c>
      <c r="E15702" s="25"/>
      <c r="F15702" s="25"/>
      <c r="G15702" s="25"/>
    </row>
    <row r="15703" spans="1:7" ht="30.60" thickBot="1" customHeight="1">
      <c r="A15703" s="10" t="s">
        <v>49494</v>
      </c>
      <c r="B15703" s="24" t="s">
        <v>49495</v>
      </c>
      <c r="C15703" s="24" t="s">
        <v>49496</v>
      </c>
      <c r="D15703" s="25" t="s">
        <v>49497</v>
      </c>
      <c r="E15703" s="26"/>
      <c r="F15703" s="27">
        <f ca="1">ROUND(4.930*(1+G2/100),2)</f>
        <v>0</v>
      </c>
      <c r="G15703" s="26"/>
    </row>
    <row r="15704" spans="1:7" ht="21.36" thickBot="1" customHeight="1">
      <c r="A15704" s="26"/>
      <c r="B15704" s="26"/>
      <c r="C15704" s="26"/>
      <c r="D15704" s="25" t="s">
        <v>49498</v>
      </c>
      <c r="E15704" s="25"/>
      <c r="F15704" s="25"/>
      <c r="G15704" s="25"/>
    </row>
    <row r="15705" spans="1:7" ht="49.08" thickBot="1" customHeight="1">
      <c r="A15705" s="10" t="s">
        <v>49499</v>
      </c>
      <c r="B15705" s="24" t="s">
        <v>49500</v>
      </c>
      <c r="C15705" s="24" t="s">
        <v>49501</v>
      </c>
      <c r="D15705" s="25" t="s">
        <v>49502</v>
      </c>
      <c r="E15705" s="26"/>
      <c r="F15705" s="27">
        <f ca="1">ROUND(29.860*(1+G2/100),2)</f>
        <v>0</v>
      </c>
      <c r="G15705" s="26"/>
    </row>
    <row r="15706" spans="1:7" ht="187.68" thickBot="1" customHeight="1">
      <c r="A15706" s="26"/>
      <c r="B15706" s="26"/>
      <c r="C15706" s="26"/>
      <c r="D15706" s="25" t="s">
        <v>49503</v>
      </c>
      <c r="E15706" s="25"/>
      <c r="F15706" s="25"/>
      <c r="G15706" s="25"/>
    </row>
    <row r="15707" spans="1:7" ht="49.08" thickBot="1" customHeight="1">
      <c r="A15707" s="10" t="s">
        <v>49504</v>
      </c>
      <c r="B15707" s="24" t="s">
        <v>49505</v>
      </c>
      <c r="C15707" s="24" t="s">
        <v>49506</v>
      </c>
      <c r="D15707" s="25" t="s">
        <v>49507</v>
      </c>
      <c r="E15707" s="26"/>
      <c r="F15707" s="27">
        <f ca="1">ROUND(38.480*(1+G2/100),2)</f>
        <v>0</v>
      </c>
      <c r="G15707" s="26"/>
    </row>
    <row r="15708" spans="1:7" ht="187.68" thickBot="1" customHeight="1">
      <c r="A15708" s="26"/>
      <c r="B15708" s="26"/>
      <c r="C15708" s="26"/>
      <c r="D15708" s="25" t="s">
        <v>49508</v>
      </c>
      <c r="E15708" s="25"/>
      <c r="F15708" s="25"/>
      <c r="G15708" s="25"/>
    </row>
    <row r="15709" spans="1:7" ht="49.08" thickBot="1" customHeight="1">
      <c r="A15709" s="10" t="s">
        <v>49509</v>
      </c>
      <c r="B15709" s="24" t="s">
        <v>49510</v>
      </c>
      <c r="C15709" s="24" t="s">
        <v>49511</v>
      </c>
      <c r="D15709" s="25" t="s">
        <v>49512</v>
      </c>
      <c r="E15709" s="26"/>
      <c r="F15709" s="27">
        <f ca="1">ROUND(52.640*(1+G2/100),2)</f>
        <v>0</v>
      </c>
      <c r="G15709" s="26"/>
    </row>
    <row r="15710" spans="1:7" ht="187.68" thickBot="1" customHeight="1">
      <c r="A15710" s="26"/>
      <c r="B15710" s="26"/>
      <c r="C15710" s="26"/>
      <c r="D15710" s="25" t="s">
        <v>49513</v>
      </c>
      <c r="E15710" s="25"/>
      <c r="F15710" s="25"/>
      <c r="G15710" s="25"/>
    </row>
    <row r="15711" spans="1:7" ht="49.08" thickBot="1" customHeight="1">
      <c r="A15711" s="10" t="s">
        <v>49514</v>
      </c>
      <c r="B15711" s="24" t="s">
        <v>49515</v>
      </c>
      <c r="C15711" s="24" t="s">
        <v>49516</v>
      </c>
      <c r="D15711" s="25" t="s">
        <v>49517</v>
      </c>
      <c r="E15711" s="26"/>
      <c r="F15711" s="27">
        <f ca="1">ROUND(26.900*(1+G2/100),2)</f>
        <v>0</v>
      </c>
      <c r="G15711" s="26"/>
    </row>
    <row r="15712" spans="1:7" ht="187.68" thickBot="1" customHeight="1">
      <c r="A15712" s="26"/>
      <c r="B15712" s="26"/>
      <c r="C15712" s="26"/>
      <c r="D15712" s="25" t="s">
        <v>49518</v>
      </c>
      <c r="E15712" s="25"/>
      <c r="F15712" s="25"/>
      <c r="G15712" s="25"/>
    </row>
    <row r="15713" spans="1:7" ht="49.08" thickBot="1" customHeight="1">
      <c r="A15713" s="10" t="s">
        <v>49519</v>
      </c>
      <c r="B15713" s="24" t="s">
        <v>49520</v>
      </c>
      <c r="C15713" s="24" t="s">
        <v>49521</v>
      </c>
      <c r="D15713" s="25" t="s">
        <v>49522</v>
      </c>
      <c r="E15713" s="26"/>
      <c r="F15713" s="27">
        <f ca="1">ROUND(38.000*(1+G2/100),2)</f>
        <v>0</v>
      </c>
      <c r="G15713" s="26"/>
    </row>
    <row r="15714" spans="1:7" ht="187.68" thickBot="1" customHeight="1">
      <c r="A15714" s="26"/>
      <c r="B15714" s="26"/>
      <c r="C15714" s="26"/>
      <c r="D15714" s="25" t="s">
        <v>49523</v>
      </c>
      <c r="E15714" s="25"/>
      <c r="F15714" s="25"/>
      <c r="G15714" s="25"/>
    </row>
    <row r="15715" spans="1:7" ht="49.08" thickBot="1" customHeight="1">
      <c r="A15715" s="10" t="s">
        <v>49524</v>
      </c>
      <c r="B15715" s="24" t="s">
        <v>49525</v>
      </c>
      <c r="C15715" s="24" t="s">
        <v>49526</v>
      </c>
      <c r="D15715" s="25" t="s">
        <v>49527</v>
      </c>
      <c r="E15715" s="26"/>
      <c r="F15715" s="27">
        <f ca="1">ROUND(51.870*(1+G2/100),2)</f>
        <v>0</v>
      </c>
      <c r="G15715" s="26"/>
    </row>
    <row r="15716" spans="1:7" ht="187.68" thickBot="1" customHeight="1">
      <c r="A15716" s="26"/>
      <c r="B15716" s="26"/>
      <c r="C15716" s="26"/>
      <c r="D15716" s="25" t="s">
        <v>49528</v>
      </c>
      <c r="E15716" s="25"/>
      <c r="F15716" s="25"/>
      <c r="G15716" s="25"/>
    </row>
    <row r="15717" spans="1:7" ht="39.84" thickBot="1" customHeight="1">
      <c r="A15717" s="10" t="s">
        <v>49529</v>
      </c>
      <c r="B15717" s="24" t="s">
        <v>49530</v>
      </c>
      <c r="C15717" s="24" t="s">
        <v>49531</v>
      </c>
      <c r="D15717" s="25" t="s">
        <v>49532</v>
      </c>
      <c r="E15717" s="26"/>
      <c r="F15717" s="27">
        <f ca="1">ROUND(2.390*(1+G2/100),2)</f>
        <v>0</v>
      </c>
      <c r="G15717" s="26"/>
    </row>
    <row r="15718" spans="1:7" ht="30.60" thickBot="1" customHeight="1">
      <c r="A15718" s="26"/>
      <c r="B15718" s="26"/>
      <c r="C15718" s="26"/>
      <c r="D15718" s="25" t="s">
        <v>49533</v>
      </c>
      <c r="E15718" s="25"/>
      <c r="F15718" s="25"/>
      <c r="G15718" s="25"/>
    </row>
    <row r="15719" spans="1:7" ht="49.08" thickBot="1" customHeight="1">
      <c r="A15719" s="10" t="s">
        <v>49534</v>
      </c>
      <c r="B15719" s="24" t="s">
        <v>49535</v>
      </c>
      <c r="C15719" s="24" t="s">
        <v>49536</v>
      </c>
      <c r="D15719" s="25" t="s">
        <v>49537</v>
      </c>
      <c r="E15719" s="26"/>
      <c r="F15719" s="27">
        <f ca="1">ROUND(28.700*(1+G2/100),2)</f>
        <v>0</v>
      </c>
      <c r="G15719" s="26"/>
    </row>
    <row r="15720" spans="1:7" ht="187.68" thickBot="1" customHeight="1">
      <c r="A15720" s="26"/>
      <c r="B15720" s="26"/>
      <c r="C15720" s="26"/>
      <c r="D15720" s="25" t="s">
        <v>49538</v>
      </c>
      <c r="E15720" s="25"/>
      <c r="F15720" s="25"/>
      <c r="G15720" s="25"/>
    </row>
    <row r="15721" spans="1:7" ht="49.08" thickBot="1" customHeight="1">
      <c r="A15721" s="10" t="s">
        <v>49539</v>
      </c>
      <c r="B15721" s="24" t="s">
        <v>49540</v>
      </c>
      <c r="C15721" s="24" t="s">
        <v>49541</v>
      </c>
      <c r="D15721" s="25" t="s">
        <v>49542</v>
      </c>
      <c r="E15721" s="26"/>
      <c r="F15721" s="27">
        <f ca="1">ROUND(36.810*(1+G2/100),2)</f>
        <v>0</v>
      </c>
      <c r="G15721" s="26"/>
    </row>
    <row r="15722" spans="1:7" ht="187.68" thickBot="1" customHeight="1">
      <c r="A15722" s="26"/>
      <c r="B15722" s="26"/>
      <c r="C15722" s="26"/>
      <c r="D15722" s="25" t="s">
        <v>49543</v>
      </c>
      <c r="E15722" s="25"/>
      <c r="F15722" s="25"/>
      <c r="G15722" s="25"/>
    </row>
    <row r="15723" spans="1:7" ht="49.08" thickBot="1" customHeight="1">
      <c r="A15723" s="10" t="s">
        <v>49544</v>
      </c>
      <c r="B15723" s="24" t="s">
        <v>49545</v>
      </c>
      <c r="C15723" s="24" t="s">
        <v>49546</v>
      </c>
      <c r="D15723" s="25" t="s">
        <v>49547</v>
      </c>
      <c r="E15723" s="26"/>
      <c r="F15723" s="27">
        <f ca="1">ROUND(50.970*(1+G2/100),2)</f>
        <v>0</v>
      </c>
      <c r="G15723" s="26"/>
    </row>
    <row r="15724" spans="1:7" ht="187.68" thickBot="1" customHeight="1">
      <c r="A15724" s="26"/>
      <c r="B15724" s="26"/>
      <c r="C15724" s="26"/>
      <c r="D15724" s="25" t="s">
        <v>49548</v>
      </c>
      <c r="E15724" s="25"/>
      <c r="F15724" s="25"/>
      <c r="G15724" s="25"/>
    </row>
    <row r="15725" spans="1:7" ht="49.08" thickBot="1" customHeight="1">
      <c r="A15725" s="10" t="s">
        <v>49549</v>
      </c>
      <c r="B15725" s="24" t="s">
        <v>49550</v>
      </c>
      <c r="C15725" s="24" t="s">
        <v>49551</v>
      </c>
      <c r="D15725" s="25" t="s">
        <v>49552</v>
      </c>
      <c r="E15725" s="26"/>
      <c r="F15725" s="27">
        <f ca="1">ROUND(38.000*(1+G2/100),2)</f>
        <v>0</v>
      </c>
      <c r="G15725" s="26"/>
    </row>
    <row r="15726" spans="1:7" ht="187.68" thickBot="1" customHeight="1">
      <c r="A15726" s="26"/>
      <c r="B15726" s="26"/>
      <c r="C15726" s="26"/>
      <c r="D15726" s="25" t="s">
        <v>49553</v>
      </c>
      <c r="E15726" s="25"/>
      <c r="F15726" s="25"/>
      <c r="G15726" s="25"/>
    </row>
    <row r="15727" spans="1:7" ht="49.08" thickBot="1" customHeight="1">
      <c r="A15727" s="10" t="s">
        <v>49554</v>
      </c>
      <c r="B15727" s="24" t="s">
        <v>49555</v>
      </c>
      <c r="C15727" s="24" t="s">
        <v>49556</v>
      </c>
      <c r="D15727" s="25" t="s">
        <v>49557</v>
      </c>
      <c r="E15727" s="26"/>
      <c r="F15727" s="27">
        <f ca="1">ROUND(44.400*(1+G2/100),2)</f>
        <v>0</v>
      </c>
      <c r="G15727" s="26"/>
    </row>
    <row r="15728" spans="1:7" ht="187.68" thickBot="1" customHeight="1">
      <c r="A15728" s="26"/>
      <c r="B15728" s="26"/>
      <c r="C15728" s="26"/>
      <c r="D15728" s="25" t="s">
        <v>49558</v>
      </c>
      <c r="E15728" s="25"/>
      <c r="F15728" s="25"/>
      <c r="G15728" s="25"/>
    </row>
    <row r="15729" spans="1:7" ht="49.08" thickBot="1" customHeight="1">
      <c r="A15729" s="10" t="s">
        <v>49559</v>
      </c>
      <c r="B15729" s="24" t="s">
        <v>49560</v>
      </c>
      <c r="C15729" s="24" t="s">
        <v>49561</v>
      </c>
      <c r="D15729" s="25" t="s">
        <v>49562</v>
      </c>
      <c r="E15729" s="26"/>
      <c r="F15729" s="27">
        <f ca="1">ROUND(57.270*(1+G2/100),2)</f>
        <v>0</v>
      </c>
      <c r="G15729" s="26"/>
    </row>
    <row r="15730" spans="1:7" ht="187.68" thickBot="1" customHeight="1">
      <c r="A15730" s="26"/>
      <c r="B15730" s="26"/>
      <c r="C15730" s="26"/>
      <c r="D15730" s="25" t="s">
        <v>49563</v>
      </c>
      <c r="E15730" s="25"/>
      <c r="F15730" s="25"/>
      <c r="G15730" s="25"/>
    </row>
    <row r="15731" spans="1:7" ht="25.08" thickBot="1" customHeight="1">
      <c r="A15731" s="10" t="s">
        <v>49564</v>
      </c>
      <c r="B15731" s="24" t="s">
        <v>49565</v>
      </c>
      <c r="C15731" s="24" t="s">
        <v>49566</v>
      </c>
      <c r="D15731" s="25" t="s">
        <v>49567</v>
      </c>
      <c r="E15731" s="26"/>
      <c r="F15731" s="27">
        <f ca="1">ROUND(2.440*(1+G2/100),2)</f>
        <v>0</v>
      </c>
      <c r="G15731" s="26"/>
    </row>
    <row r="15732" spans="1:7" ht="39.84" thickBot="1" customHeight="1">
      <c r="A15732" s="26"/>
      <c r="B15732" s="26"/>
      <c r="C15732" s="26"/>
      <c r="D15732" s="25" t="s">
        <v>49568</v>
      </c>
      <c r="E15732" s="25"/>
      <c r="F15732" s="25"/>
      <c r="G15732" s="25"/>
    </row>
    <row r="15733" spans="1:7" ht="39.84" thickBot="1" customHeight="1">
      <c r="A15733" s="10" t="s">
        <v>49569</v>
      </c>
      <c r="B15733" s="24" t="s">
        <v>49570</v>
      </c>
      <c r="C15733" s="24" t="s">
        <v>49571</v>
      </c>
      <c r="D15733" s="25" t="s">
        <v>49572</v>
      </c>
      <c r="E15733" s="26"/>
      <c r="F15733" s="27">
        <f ca="1">ROUND(10.090*(1+G2/100),2)</f>
        <v>0</v>
      </c>
      <c r="G15733" s="26"/>
    </row>
    <row r="15734" spans="1:7" ht="30.60" thickBot="1" customHeight="1">
      <c r="A15734" s="26"/>
      <c r="B15734" s="26"/>
      <c r="C15734" s="26"/>
      <c r="D15734" s="25" t="s">
        <v>49573</v>
      </c>
      <c r="E15734" s="25"/>
      <c r="F15734" s="25"/>
      <c r="G15734" s="25"/>
    </row>
    <row r="15735" spans="1:7" ht="30.60" thickBot="1" customHeight="1">
      <c r="A15735" s="10" t="s">
        <v>49574</v>
      </c>
      <c r="B15735" s="24" t="s">
        <v>49575</v>
      </c>
      <c r="C15735" s="24" t="s">
        <v>49576</v>
      </c>
      <c r="D15735" s="25" t="s">
        <v>49577</v>
      </c>
      <c r="E15735" s="26"/>
      <c r="F15735" s="27">
        <f ca="1">ROUND(32.340*(1+G2/100),2)</f>
        <v>0</v>
      </c>
      <c r="G15735" s="26"/>
    </row>
    <row r="15736" spans="1:7" ht="39.84" thickBot="1" customHeight="1">
      <c r="A15736" s="26"/>
      <c r="B15736" s="26"/>
      <c r="C15736" s="26"/>
      <c r="D15736" s="25" t="s">
        <v>49578</v>
      </c>
      <c r="E15736" s="25"/>
      <c r="F15736" s="25"/>
      <c r="G15736" s="25"/>
    </row>
    <row r="15737" spans="1:7" ht="30.60" thickBot="1" customHeight="1">
      <c r="A15737" s="10" t="s">
        <v>49579</v>
      </c>
      <c r="B15737" s="24" t="s">
        <v>49580</v>
      </c>
      <c r="C15737" s="24" t="s">
        <v>49581</v>
      </c>
      <c r="D15737" s="25" t="s">
        <v>49582</v>
      </c>
      <c r="E15737" s="26"/>
      <c r="F15737" s="27">
        <f ca="1">ROUND(0.400*(1+G2/100),2)</f>
        <v>0</v>
      </c>
      <c r="G15737" s="26"/>
    </row>
    <row r="15738" spans="1:7" ht="12.12" thickBot="1" customHeight="1">
      <c r="A15738" s="26"/>
      <c r="B15738" s="26"/>
      <c r="C15738" s="26"/>
      <c r="D15738" s="25" t="s">
        <v>49583</v>
      </c>
      <c r="E15738" s="25"/>
      <c r="F15738" s="25"/>
      <c r="G15738" s="25"/>
    </row>
    <row r="15739" spans="1:7" ht="39.84" thickBot="1" customHeight="1">
      <c r="A15739" s="10" t="s">
        <v>49584</v>
      </c>
      <c r="B15739" s="24" t="s">
        <v>49585</v>
      </c>
      <c r="C15739" s="24" t="s">
        <v>49586</v>
      </c>
      <c r="D15739" s="25" t="s">
        <v>49587</v>
      </c>
      <c r="E15739" s="26"/>
      <c r="F15739" s="27">
        <f ca="1">ROUND(0.930*(1+G2/100),2)</f>
        <v>0</v>
      </c>
      <c r="G15739" s="26"/>
    </row>
    <row r="15740" spans="1:7" ht="86.04" thickBot="1" customHeight="1">
      <c r="A15740" s="26"/>
      <c r="B15740" s="26"/>
      <c r="C15740" s="26"/>
      <c r="D15740" s="25" t="s">
        <v>49588</v>
      </c>
      <c r="E15740" s="25"/>
      <c r="F15740" s="25"/>
      <c r="G15740" s="25"/>
    </row>
    <row r="15741" spans="1:7" ht="30.60" thickBot="1" customHeight="1">
      <c r="A15741" s="10" t="s">
        <v>49589</v>
      </c>
      <c r="B15741" s="24" t="s">
        <v>49590</v>
      </c>
      <c r="C15741" s="24" t="s">
        <v>49591</v>
      </c>
      <c r="D15741" s="25" t="s">
        <v>49592</v>
      </c>
      <c r="E15741" s="26"/>
      <c r="F15741" s="27">
        <f ca="1">ROUND(2.130*(1+G2/100),2)</f>
        <v>0</v>
      </c>
      <c r="G15741" s="26"/>
    </row>
    <row r="15742" spans="1:7" ht="30.60" thickBot="1" customHeight="1">
      <c r="A15742" s="26"/>
      <c r="B15742" s="26"/>
      <c r="C15742" s="26"/>
      <c r="D15742" s="25" t="s">
        <v>49593</v>
      </c>
      <c r="E15742" s="25"/>
      <c r="F15742" s="25"/>
      <c r="G15742" s="25"/>
    </row>
    <row r="15743" spans="1:7" ht="30.60" thickBot="1" customHeight="1">
      <c r="A15743" s="10" t="s">
        <v>49594</v>
      </c>
      <c r="B15743" s="24" t="s">
        <v>49595</v>
      </c>
      <c r="C15743" s="24" t="s">
        <v>49596</v>
      </c>
      <c r="D15743" s="25" t="s">
        <v>49597</v>
      </c>
      <c r="E15743" s="26"/>
      <c r="F15743" s="27">
        <f ca="1">ROUND(1.630*(1+G2/100),2)</f>
        <v>0</v>
      </c>
      <c r="G15743" s="26"/>
    </row>
    <row r="15744" spans="1:7" ht="86.04" thickBot="1" customHeight="1">
      <c r="A15744" s="26"/>
      <c r="B15744" s="26"/>
      <c r="C15744" s="26"/>
      <c r="D15744" s="25" t="s">
        <v>49598</v>
      </c>
      <c r="E15744" s="25"/>
      <c r="F15744" s="25"/>
      <c r="G15744" s="25"/>
    </row>
    <row r="15745" spans="1:7" ht="30.60" thickBot="1" customHeight="1">
      <c r="A15745" s="10" t="s">
        <v>49599</v>
      </c>
      <c r="B15745" s="24" t="s">
        <v>49600</v>
      </c>
      <c r="C15745" s="24" t="s">
        <v>49601</v>
      </c>
      <c r="D15745" s="25" t="s">
        <v>49602</v>
      </c>
      <c r="E15745" s="26"/>
      <c r="F15745" s="27">
        <f ca="1">ROUND(1.190*(1+G2/100),2)</f>
        <v>0</v>
      </c>
      <c r="G15745" s="26"/>
    </row>
    <row r="15746" spans="1:7" ht="86.04" thickBot="1" customHeight="1">
      <c r="A15746" s="26"/>
      <c r="B15746" s="26"/>
      <c r="C15746" s="26"/>
      <c r="D15746" s="25" t="s">
        <v>49603</v>
      </c>
      <c r="E15746" s="25"/>
      <c r="F15746" s="25"/>
      <c r="G15746" s="25"/>
    </row>
    <row r="15747" spans="1:7" ht="30.60" thickBot="1" customHeight="1">
      <c r="A15747" s="10" t="s">
        <v>49604</v>
      </c>
      <c r="B15747" s="24" t="s">
        <v>49605</v>
      </c>
      <c r="C15747" s="24" t="s">
        <v>49606</v>
      </c>
      <c r="D15747" s="25" t="s">
        <v>49607</v>
      </c>
      <c r="E15747" s="26"/>
      <c r="F15747" s="27">
        <f ca="1">ROUND(1.950*(1+G2/100),2)</f>
        <v>0</v>
      </c>
      <c r="G15747" s="26"/>
    </row>
    <row r="15748" spans="1:7" ht="12.12" thickBot="1" customHeight="1">
      <c r="A15748" s="26"/>
      <c r="B15748" s="26"/>
      <c r="C15748" s="26"/>
      <c r="D15748" s="25" t="s">
        <v>49608</v>
      </c>
      <c r="E15748" s="25"/>
      <c r="F15748" s="25"/>
      <c r="G15748" s="25"/>
    </row>
    <row r="15749" spans="1:7" ht="39.84" thickBot="1" customHeight="1">
      <c r="A15749" s="10" t="s">
        <v>49609</v>
      </c>
      <c r="B15749" s="24" t="s">
        <v>49610</v>
      </c>
      <c r="C15749" s="24" t="s">
        <v>49611</v>
      </c>
      <c r="D15749" s="25" t="s">
        <v>49612</v>
      </c>
      <c r="E15749" s="26"/>
      <c r="F15749" s="27">
        <f ca="1">ROUND(2.800*(1+G2/100),2)</f>
        <v>0</v>
      </c>
      <c r="G15749" s="26"/>
    </row>
    <row r="15750" spans="1:7" ht="30.60" thickBot="1" customHeight="1">
      <c r="A15750" s="26"/>
      <c r="B15750" s="26"/>
      <c r="C15750" s="26"/>
      <c r="D15750" s="25" t="s">
        <v>49613</v>
      </c>
      <c r="E15750" s="25"/>
      <c r="F15750" s="25"/>
      <c r="G15750" s="25"/>
    </row>
    <row r="15751" spans="1:7" ht="30.60" thickBot="1" customHeight="1">
      <c r="A15751" s="10" t="s">
        <v>49614</v>
      </c>
      <c r="B15751" s="24" t="s">
        <v>49615</v>
      </c>
      <c r="C15751" s="24" t="s">
        <v>49616</v>
      </c>
      <c r="D15751" s="25" t="s">
        <v>49617</v>
      </c>
      <c r="E15751" s="26"/>
      <c r="F15751" s="27">
        <f ca="1">ROUND(7.550*(1+G2/100),2)</f>
        <v>0</v>
      </c>
      <c r="G15751" s="26"/>
    </row>
    <row r="15752" spans="1:7" ht="12.12" thickBot="1" customHeight="1">
      <c r="A15752" s="26"/>
      <c r="B15752" s="26"/>
      <c r="C15752" s="26"/>
      <c r="D15752" s="25" t="s">
        <v>49618</v>
      </c>
      <c r="E15752" s="25"/>
      <c r="F15752" s="25"/>
      <c r="G15752" s="25"/>
    </row>
    <row r="15753" spans="1:7" ht="30.60" thickBot="1" customHeight="1">
      <c r="A15753" s="10" t="s">
        <v>49619</v>
      </c>
      <c r="B15753" s="24" t="s">
        <v>49620</v>
      </c>
      <c r="C15753" s="24" t="s">
        <v>49621</v>
      </c>
      <c r="D15753" s="25" t="s">
        <v>49622</v>
      </c>
      <c r="E15753" s="26"/>
      <c r="F15753" s="27">
        <f ca="1">ROUND(7.550*(1+G2/100),2)</f>
        <v>0</v>
      </c>
      <c r="G15753" s="26"/>
    </row>
    <row r="15754" spans="1:7" ht="12.12" thickBot="1" customHeight="1">
      <c r="A15754" s="26"/>
      <c r="B15754" s="26"/>
      <c r="C15754" s="26"/>
      <c r="D15754" s="25" t="s">
        <v>49623</v>
      </c>
      <c r="E15754" s="25"/>
      <c r="F15754" s="25"/>
      <c r="G15754" s="25"/>
    </row>
    <row r="15755" spans="1:7" ht="30.60" thickBot="1" customHeight="1">
      <c r="A15755" s="10" t="s">
        <v>49624</v>
      </c>
      <c r="B15755" s="24" t="s">
        <v>49625</v>
      </c>
      <c r="C15755" s="24" t="s">
        <v>49626</v>
      </c>
      <c r="D15755" s="25" t="s">
        <v>49627</v>
      </c>
      <c r="E15755" s="26"/>
      <c r="F15755" s="27">
        <f ca="1">ROUND(7.550*(1+G2/100),2)</f>
        <v>0</v>
      </c>
      <c r="G15755" s="26"/>
    </row>
    <row r="15756" spans="1:7" ht="12.12" thickBot="1" customHeight="1">
      <c r="A15756" s="26"/>
      <c r="B15756" s="26"/>
      <c r="C15756" s="26"/>
      <c r="D15756" s="25" t="s">
        <v>49628</v>
      </c>
      <c r="E15756" s="25"/>
      <c r="F15756" s="25"/>
      <c r="G15756" s="25"/>
    </row>
    <row r="15757" spans="1:7" ht="30.60" thickBot="1" customHeight="1">
      <c r="A15757" s="10" t="s">
        <v>49629</v>
      </c>
      <c r="B15757" s="24" t="s">
        <v>49630</v>
      </c>
      <c r="C15757" s="24" t="s">
        <v>49631</v>
      </c>
      <c r="D15757" s="25" t="s">
        <v>49632</v>
      </c>
      <c r="E15757" s="26"/>
      <c r="F15757" s="27">
        <f ca="1">ROUND(1.950*(1+G2/100),2)</f>
        <v>0</v>
      </c>
      <c r="G15757" s="26"/>
    </row>
    <row r="15758" spans="1:7" ht="12.12" thickBot="1" customHeight="1">
      <c r="A15758" s="26"/>
      <c r="B15758" s="26"/>
      <c r="C15758" s="26"/>
      <c r="D15758" s="25" t="s">
        <v>49633</v>
      </c>
      <c r="E15758" s="25"/>
      <c r="F15758" s="25"/>
      <c r="G15758" s="25"/>
    </row>
    <row r="15759" spans="1:7" ht="30.60" thickBot="1" customHeight="1">
      <c r="A15759" s="10" t="s">
        <v>49634</v>
      </c>
      <c r="B15759" s="24" t="s">
        <v>49635</v>
      </c>
      <c r="C15759" s="24" t="s">
        <v>49636</v>
      </c>
      <c r="D15759" s="25" t="s">
        <v>49637</v>
      </c>
      <c r="E15759" s="26"/>
      <c r="F15759" s="27">
        <f ca="1">ROUND(1.990*(1+G2/100),2)</f>
        <v>0</v>
      </c>
      <c r="G15759" s="26"/>
    </row>
    <row r="15760" spans="1:7" ht="12.12" thickBot="1" customHeight="1">
      <c r="A15760" s="26"/>
      <c r="B15760" s="26"/>
      <c r="C15760" s="26"/>
      <c r="D15760" s="25" t="s">
        <v>49638</v>
      </c>
      <c r="E15760" s="25"/>
      <c r="F15760" s="25"/>
      <c r="G15760" s="25"/>
    </row>
    <row r="15761" spans="1:7" ht="30.60" thickBot="1" customHeight="1">
      <c r="A15761" s="10" t="s">
        <v>49639</v>
      </c>
      <c r="B15761" s="24" t="s">
        <v>49640</v>
      </c>
      <c r="C15761" s="24" t="s">
        <v>49641</v>
      </c>
      <c r="D15761" s="25" t="s">
        <v>49642</v>
      </c>
      <c r="E15761" s="26"/>
      <c r="F15761" s="27">
        <f ca="1">ROUND(1.890*(1+G2/100),2)</f>
        <v>0</v>
      </c>
      <c r="G15761" s="26"/>
    </row>
    <row r="15762" spans="1:7" ht="12.12" thickBot="1" customHeight="1">
      <c r="A15762" s="26"/>
      <c r="B15762" s="26"/>
      <c r="C15762" s="26"/>
      <c r="D15762" s="25" t="s">
        <v>49643</v>
      </c>
      <c r="E15762" s="25"/>
      <c r="F15762" s="25"/>
      <c r="G15762" s="25"/>
    </row>
    <row r="15763" spans="1:7" ht="21.36" thickBot="1" customHeight="1">
      <c r="A15763" s="10" t="s">
        <v>49644</v>
      </c>
      <c r="B15763" s="24" t="s">
        <v>49645</v>
      </c>
      <c r="C15763" s="24" t="s">
        <v>49646</v>
      </c>
      <c r="D15763" s="25" t="s">
        <v>49647</v>
      </c>
      <c r="E15763" s="26"/>
      <c r="F15763" s="27">
        <f ca="1">ROUND(1.450*(1+G2/100),2)</f>
        <v>0</v>
      </c>
      <c r="G15763" s="26"/>
    </row>
    <row r="15764" spans="1:7" ht="12.12" thickBot="1" customHeight="1">
      <c r="A15764" s="26"/>
      <c r="B15764" s="26"/>
      <c r="C15764" s="26"/>
      <c r="D15764" s="25" t="s">
        <v>49648</v>
      </c>
      <c r="E15764" s="25"/>
      <c r="F15764" s="25"/>
      <c r="G15764" s="25"/>
    </row>
    <row r="15765" spans="1:7" ht="21.36" thickBot="1" customHeight="1">
      <c r="A15765" s="10" t="s">
        <v>49649</v>
      </c>
      <c r="B15765" s="24" t="s">
        <v>49650</v>
      </c>
      <c r="C15765" s="24" t="s">
        <v>49651</v>
      </c>
      <c r="D15765" s="25" t="s">
        <v>49652</v>
      </c>
      <c r="E15765" s="26"/>
      <c r="F15765" s="27">
        <f ca="1">ROUND(1.800*(1+G2/100),2)</f>
        <v>0</v>
      </c>
      <c r="G15765" s="26"/>
    </row>
    <row r="15766" spans="1:7" ht="12.12" thickBot="1" customHeight="1">
      <c r="A15766" s="26"/>
      <c r="B15766" s="26"/>
      <c r="C15766" s="26"/>
      <c r="D15766" s="25" t="s">
        <v>49653</v>
      </c>
      <c r="E15766" s="25"/>
      <c r="F15766" s="25"/>
      <c r="G15766" s="25"/>
    </row>
    <row r="15767" spans="1:7" ht="30.60" thickBot="1" customHeight="1">
      <c r="A15767" s="10" t="s">
        <v>49654</v>
      </c>
      <c r="B15767" s="24" t="s">
        <v>49655</v>
      </c>
      <c r="C15767" s="24" t="s">
        <v>49656</v>
      </c>
      <c r="D15767" s="25" t="s">
        <v>49657</v>
      </c>
      <c r="E15767" s="26"/>
      <c r="F15767" s="27">
        <f ca="1">ROUND(31.750*(1+G2/100),2)</f>
        <v>0</v>
      </c>
      <c r="G15767" s="26"/>
    </row>
    <row r="15768" spans="1:7" ht="12.12" thickBot="1" customHeight="1">
      <c r="A15768" s="26"/>
      <c r="B15768" s="26"/>
      <c r="C15768" s="26"/>
      <c r="D15768" s="25" t="s">
        <v>49658</v>
      </c>
      <c r="E15768" s="25"/>
      <c r="F15768" s="25"/>
      <c r="G15768" s="25"/>
    </row>
    <row r="15769" spans="1:7" ht="30.60" thickBot="1" customHeight="1">
      <c r="A15769" s="10" t="s">
        <v>49659</v>
      </c>
      <c r="B15769" s="24" t="s">
        <v>49660</v>
      </c>
      <c r="C15769" s="24" t="s">
        <v>49661</v>
      </c>
      <c r="D15769" s="25" t="s">
        <v>49662</v>
      </c>
      <c r="E15769" s="26"/>
      <c r="F15769" s="27">
        <f ca="1">ROUND(10.000*(1+G2/100),2)</f>
        <v>0</v>
      </c>
      <c r="G15769" s="26"/>
    </row>
    <row r="15770" spans="1:7" ht="12.12" thickBot="1" customHeight="1">
      <c r="A15770" s="26"/>
      <c r="B15770" s="26"/>
      <c r="C15770" s="26"/>
      <c r="D15770" s="25" t="s">
        <v>49663</v>
      </c>
      <c r="E15770" s="25"/>
      <c r="F15770" s="25"/>
      <c r="G15770" s="25"/>
    </row>
    <row r="15771" spans="1:7" ht="21.36" thickBot="1" customHeight="1">
      <c r="A15771" s="10" t="s">
        <v>49664</v>
      </c>
      <c r="B15771" s="24" t="s">
        <v>49665</v>
      </c>
      <c r="C15771" s="24" t="s">
        <v>49666</v>
      </c>
      <c r="D15771" s="25" t="s">
        <v>49667</v>
      </c>
      <c r="E15771" s="26"/>
      <c r="F15771" s="27">
        <f ca="1">ROUND(11.500*(1+G2/100),2)</f>
        <v>0</v>
      </c>
      <c r="G15771" s="26"/>
    </row>
    <row r="15772" spans="1:7" ht="12.12" thickBot="1" customHeight="1">
      <c r="A15772" s="26"/>
      <c r="B15772" s="26"/>
      <c r="C15772" s="26"/>
      <c r="D15772" s="25" t="s">
        <v>49668</v>
      </c>
      <c r="E15772" s="25"/>
      <c r="F15772" s="25"/>
      <c r="G15772" s="25"/>
    </row>
    <row r="15773" spans="1:7" ht="30.60" thickBot="1" customHeight="1">
      <c r="A15773" s="10" t="s">
        <v>49669</v>
      </c>
      <c r="B15773" s="24" t="s">
        <v>49670</v>
      </c>
      <c r="C15773" s="24" t="s">
        <v>49671</v>
      </c>
      <c r="D15773" s="25" t="s">
        <v>49672</v>
      </c>
      <c r="E15773" s="26"/>
      <c r="F15773" s="27">
        <f ca="1">ROUND(10.000*(1+G2/100),2)</f>
        <v>0</v>
      </c>
      <c r="G15773" s="26"/>
    </row>
    <row r="15774" spans="1:7" ht="12.12" thickBot="1" customHeight="1">
      <c r="A15774" s="26"/>
      <c r="B15774" s="26"/>
      <c r="C15774" s="26"/>
      <c r="D15774" s="25" t="s">
        <v>49673</v>
      </c>
      <c r="E15774" s="25"/>
      <c r="F15774" s="25"/>
      <c r="G15774" s="25"/>
    </row>
    <row r="15775" spans="1:7" ht="30.60" thickBot="1" customHeight="1">
      <c r="A15775" s="10" t="s">
        <v>49674</v>
      </c>
      <c r="B15775" s="24" t="s">
        <v>49675</v>
      </c>
      <c r="C15775" s="24" t="s">
        <v>49676</v>
      </c>
      <c r="D15775" s="25" t="s">
        <v>49677</v>
      </c>
      <c r="E15775" s="26"/>
      <c r="F15775" s="27">
        <f ca="1">ROUND(9.470*(1+G2/100),2)</f>
        <v>0</v>
      </c>
      <c r="G15775" s="26"/>
    </row>
    <row r="15776" spans="1:7" ht="12.12" thickBot="1" customHeight="1">
      <c r="A15776" s="26"/>
      <c r="B15776" s="26"/>
      <c r="C15776" s="26"/>
      <c r="D15776" s="25" t="s">
        <v>49678</v>
      </c>
      <c r="E15776" s="25"/>
      <c r="F15776" s="25"/>
      <c r="G15776" s="25"/>
    </row>
    <row r="15777" spans="1:7" ht="39.84" thickBot="1" customHeight="1">
      <c r="A15777" s="10" t="s">
        <v>49679</v>
      </c>
      <c r="B15777" s="24" t="s">
        <v>49680</v>
      </c>
      <c r="C15777" s="24" t="s">
        <v>49681</v>
      </c>
      <c r="D15777" s="25" t="s">
        <v>49682</v>
      </c>
      <c r="E15777" s="26"/>
      <c r="F15777" s="27">
        <f ca="1">ROUND(10.120*(1+G2/100),2)</f>
        <v>0</v>
      </c>
      <c r="G15777" s="26"/>
    </row>
    <row r="15778" spans="1:7" ht="21.36" thickBot="1" customHeight="1">
      <c r="A15778" s="26"/>
      <c r="B15778" s="26"/>
      <c r="C15778" s="26"/>
      <c r="D15778" s="25" t="s">
        <v>49683</v>
      </c>
      <c r="E15778" s="25"/>
      <c r="F15778" s="25"/>
      <c r="G15778" s="25"/>
    </row>
    <row r="15779" spans="1:7" ht="39.84" thickBot="1" customHeight="1">
      <c r="A15779" s="10" t="s">
        <v>49684</v>
      </c>
      <c r="B15779" s="24" t="s">
        <v>49685</v>
      </c>
      <c r="C15779" s="24" t="s">
        <v>49686</v>
      </c>
      <c r="D15779" s="25" t="s">
        <v>49687</v>
      </c>
      <c r="E15779" s="26"/>
      <c r="F15779" s="27">
        <f ca="1">ROUND(1.100*(1+G2/100),2)</f>
        <v>0</v>
      </c>
      <c r="G15779" s="26"/>
    </row>
    <row r="15780" spans="1:7" ht="21.36" thickBot="1" customHeight="1">
      <c r="A15780" s="26"/>
      <c r="B15780" s="26"/>
      <c r="C15780" s="26"/>
      <c r="D15780" s="25" t="s">
        <v>49688</v>
      </c>
      <c r="E15780" s="25"/>
      <c r="F15780" s="25"/>
      <c r="G15780" s="25"/>
    </row>
    <row r="15781" spans="1:7" ht="39.84" thickBot="1" customHeight="1">
      <c r="A15781" s="10" t="s">
        <v>49689</v>
      </c>
      <c r="B15781" s="24" t="s">
        <v>49690</v>
      </c>
      <c r="C15781" s="24" t="s">
        <v>49691</v>
      </c>
      <c r="D15781" s="25" t="s">
        <v>49692</v>
      </c>
      <c r="E15781" s="26"/>
      <c r="F15781" s="27">
        <f ca="1">ROUND(1.100*(1+G2/100),2)</f>
        <v>0</v>
      </c>
      <c r="G15781" s="26"/>
    </row>
    <row r="15782" spans="1:7" ht="21.36" thickBot="1" customHeight="1">
      <c r="A15782" s="26"/>
      <c r="B15782" s="26"/>
      <c r="C15782" s="26"/>
      <c r="D15782" s="25" t="s">
        <v>49693</v>
      </c>
      <c r="E15782" s="25"/>
      <c r="F15782" s="25"/>
      <c r="G15782" s="25"/>
    </row>
    <row r="15783" spans="1:7" ht="30.60" thickBot="1" customHeight="1">
      <c r="A15783" s="10" t="s">
        <v>49694</v>
      </c>
      <c r="B15783" s="24" t="s">
        <v>49695</v>
      </c>
      <c r="C15783" s="24" t="s">
        <v>49696</v>
      </c>
      <c r="D15783" s="25" t="s">
        <v>49697</v>
      </c>
      <c r="E15783" s="26"/>
      <c r="F15783" s="27">
        <f ca="1">ROUND(3.040*(1+G2/100),2)</f>
        <v>0</v>
      </c>
      <c r="G15783" s="26"/>
    </row>
    <row r="15784" spans="1:7" ht="123.00" thickBot="1" customHeight="1">
      <c r="A15784" s="26"/>
      <c r="B15784" s="26"/>
      <c r="C15784" s="26"/>
      <c r="D15784" s="25" t="s">
        <v>49698</v>
      </c>
      <c r="E15784" s="25"/>
      <c r="F15784" s="25"/>
      <c r="G15784" s="25"/>
    </row>
    <row r="15785" spans="1:7" ht="30.60" thickBot="1" customHeight="1">
      <c r="A15785" s="10" t="s">
        <v>49699</v>
      </c>
      <c r="B15785" s="24" t="s">
        <v>49700</v>
      </c>
      <c r="C15785" s="24" t="s">
        <v>49701</v>
      </c>
      <c r="D15785" s="25" t="s">
        <v>49702</v>
      </c>
      <c r="E15785" s="26"/>
      <c r="F15785" s="27">
        <f ca="1">ROUND(1.840*(1+G2/100),2)</f>
        <v>0</v>
      </c>
      <c r="G15785" s="26"/>
    </row>
    <row r="15786" spans="1:7" ht="49.08" thickBot="1" customHeight="1">
      <c r="A15786" s="26"/>
      <c r="B15786" s="26"/>
      <c r="C15786" s="26"/>
      <c r="D15786" s="25" t="s">
        <v>49703</v>
      </c>
      <c r="E15786" s="25"/>
      <c r="F15786" s="25"/>
      <c r="G15786" s="25"/>
    </row>
    <row r="15787" spans="1:7" ht="30.60" thickBot="1" customHeight="1">
      <c r="A15787" s="10" t="s">
        <v>49704</v>
      </c>
      <c r="B15787" s="24" t="s">
        <v>49705</v>
      </c>
      <c r="C15787" s="24" t="s">
        <v>49706</v>
      </c>
      <c r="D15787" s="25" t="s">
        <v>49707</v>
      </c>
      <c r="E15787" s="26"/>
      <c r="F15787" s="27">
        <f ca="1">ROUND(1.670*(1+G2/100),2)</f>
        <v>0</v>
      </c>
      <c r="G15787" s="26"/>
    </row>
    <row r="15788" spans="1:7" ht="49.08" thickBot="1" customHeight="1">
      <c r="A15788" s="26"/>
      <c r="B15788" s="26"/>
      <c r="C15788" s="26"/>
      <c r="D15788" s="25" t="s">
        <v>49708</v>
      </c>
      <c r="E15788" s="25"/>
      <c r="F15788" s="25"/>
      <c r="G15788" s="25"/>
    </row>
    <row r="15789" spans="1:7" ht="21.36" thickBot="1" customHeight="1">
      <c r="A15789" s="10" t="s">
        <v>49709</v>
      </c>
      <c r="B15789" s="24" t="s">
        <v>49710</v>
      </c>
      <c r="C15789" s="24" t="s">
        <v>49711</v>
      </c>
      <c r="D15789" s="25" t="s">
        <v>49712</v>
      </c>
      <c r="E15789" s="26"/>
      <c r="F15789" s="27">
        <f ca="1">ROUND(64.500*(1+G2/100),2)</f>
        <v>0</v>
      </c>
      <c r="G15789" s="26"/>
    </row>
    <row r="15790" spans="1:7" ht="12.12" thickBot="1" customHeight="1">
      <c r="A15790" s="26"/>
      <c r="B15790" s="26"/>
      <c r="C15790" s="26"/>
      <c r="D15790" s="25" t="s">
        <v>49713</v>
      </c>
      <c r="E15790" s="25"/>
      <c r="F15790" s="25"/>
      <c r="G15790" s="25"/>
    </row>
    <row r="15791" spans="1:7" ht="30.60" thickBot="1" customHeight="1">
      <c r="A15791" s="10" t="s">
        <v>49714</v>
      </c>
      <c r="B15791" s="24" t="s">
        <v>49715</v>
      </c>
      <c r="C15791" s="24" t="s">
        <v>49716</v>
      </c>
      <c r="D15791" s="25" t="s">
        <v>49717</v>
      </c>
      <c r="E15791" s="26"/>
      <c r="F15791" s="27">
        <f ca="1">ROUND(18.020*(1+G2/100),2)</f>
        <v>0</v>
      </c>
      <c r="G15791" s="26"/>
    </row>
    <row r="15792" spans="1:7" ht="21.36" thickBot="1" customHeight="1">
      <c r="A15792" s="26"/>
      <c r="B15792" s="26"/>
      <c r="C15792" s="26"/>
      <c r="D15792" s="25" t="s">
        <v>49718</v>
      </c>
      <c r="E15792" s="25"/>
      <c r="F15792" s="25"/>
      <c r="G15792" s="25"/>
    </row>
    <row r="15793" spans="1:7" ht="30.60" thickBot="1" customHeight="1">
      <c r="A15793" s="10" t="s">
        <v>49719</v>
      </c>
      <c r="B15793" s="24" t="s">
        <v>49720</v>
      </c>
      <c r="C15793" s="24" t="s">
        <v>49721</v>
      </c>
      <c r="D15793" s="25" t="s">
        <v>49722</v>
      </c>
      <c r="E15793" s="26"/>
      <c r="F15793" s="27">
        <f ca="1">ROUND(53.950*(1+G2/100),2)</f>
        <v>0</v>
      </c>
      <c r="G15793" s="26"/>
    </row>
    <row r="15794" spans="1:7" ht="21.36" thickBot="1" customHeight="1">
      <c r="A15794" s="26"/>
      <c r="B15794" s="26"/>
      <c r="C15794" s="26"/>
      <c r="D15794" s="25" t="s">
        <v>49723</v>
      </c>
      <c r="E15794" s="25"/>
      <c r="F15794" s="25"/>
      <c r="G15794" s="25"/>
    </row>
    <row r="15795" spans="1:7" ht="49.08" thickBot="1" customHeight="1">
      <c r="A15795" s="10" t="s">
        <v>49724</v>
      </c>
      <c r="B15795" s="24" t="s">
        <v>49725</v>
      </c>
      <c r="C15795" s="24" t="s">
        <v>49726</v>
      </c>
      <c r="D15795" s="25" t="s">
        <v>49727</v>
      </c>
      <c r="E15795" s="26"/>
      <c r="F15795" s="27">
        <f ca="1">ROUND(11.160*(1+G2/100),2)</f>
        <v>0</v>
      </c>
      <c r="G15795" s="26"/>
    </row>
    <row r="15796" spans="1:7" ht="21.36" thickBot="1" customHeight="1">
      <c r="A15796" s="26"/>
      <c r="B15796" s="26"/>
      <c r="C15796" s="26"/>
      <c r="D15796" s="25" t="s">
        <v>49728</v>
      </c>
      <c r="E15796" s="25"/>
      <c r="F15796" s="25"/>
      <c r="G15796" s="25"/>
    </row>
    <row r="15797" spans="1:7" ht="39.84" thickBot="1" customHeight="1">
      <c r="A15797" s="10" t="s">
        <v>49729</v>
      </c>
      <c r="B15797" s="24" t="s">
        <v>49730</v>
      </c>
      <c r="C15797" s="24" t="s">
        <v>49731</v>
      </c>
      <c r="D15797" s="25" t="s">
        <v>49732</v>
      </c>
      <c r="E15797" s="26"/>
      <c r="F15797" s="27">
        <f ca="1">ROUND(35.190*(1+G2/100),2)</f>
        <v>0</v>
      </c>
      <c r="G15797" s="26"/>
    </row>
    <row r="15798" spans="1:7" ht="39.84" thickBot="1" customHeight="1">
      <c r="A15798" s="26"/>
      <c r="B15798" s="26"/>
      <c r="C15798" s="26"/>
      <c r="D15798" s="25" t="s">
        <v>49733</v>
      </c>
      <c r="E15798" s="25"/>
      <c r="F15798" s="25"/>
      <c r="G15798" s="25"/>
    </row>
    <row r="15799" spans="1:7" ht="39.84" thickBot="1" customHeight="1">
      <c r="A15799" s="10" t="s">
        <v>49734</v>
      </c>
      <c r="B15799" s="24" t="s">
        <v>49735</v>
      </c>
      <c r="C15799" s="24" t="s">
        <v>49736</v>
      </c>
      <c r="D15799" s="25" t="s">
        <v>49737</v>
      </c>
      <c r="E15799" s="26"/>
      <c r="F15799" s="27">
        <f ca="1">ROUND(2.800*(1+G2/100),2)</f>
        <v>0</v>
      </c>
      <c r="G15799" s="26"/>
    </row>
    <row r="15800" spans="1:7" ht="21.36" thickBot="1" customHeight="1">
      <c r="A15800" s="26"/>
      <c r="B15800" s="26"/>
      <c r="C15800" s="26"/>
      <c r="D15800" s="25" t="s">
        <v>49738</v>
      </c>
      <c r="E15800" s="25"/>
      <c r="F15800" s="25"/>
      <c r="G15800" s="25"/>
    </row>
    <row r="15801" spans="1:7" ht="15.48" thickBot="1" customHeight="1">
      <c r="A15801" s="30"/>
      <c r="B15801" s="30"/>
      <c r="C15801" s="30"/>
      <c r="D15801" s="79" t="s">
        <v>49739</v>
      </c>
      <c r="E15801" s="80"/>
      <c r="F15801" s="80"/>
      <c r="G15801" s="80"/>
    </row>
    <row r="15802" spans="1:7" ht="15.48" thickBot="1" customHeight="1">
      <c r="A15802" s="52" t="s">
        <v>49740</v>
      </c>
      <c r="B15802" s="52" t="s">
        <v>49741</v>
      </c>
      <c r="C15802" s="53"/>
      <c r="D15802" s="54" t="s">
        <v>49742</v>
      </c>
      <c r="E15802" s="53"/>
      <c r="F15802" s="53"/>
      <c r="G15802" s="53"/>
    </row>
    <row r="15803" spans="1:7" ht="39.84" thickBot="1" customHeight="1">
      <c r="A15803" s="10" t="s">
        <v>49743</v>
      </c>
      <c r="B15803" s="24" t="s">
        <v>49744</v>
      </c>
      <c r="C15803" s="24" t="s">
        <v>49745</v>
      </c>
      <c r="D15803" s="25" t="s">
        <v>49746</v>
      </c>
      <c r="E15803" s="26"/>
      <c r="F15803" s="27">
        <f ca="1">ROUND(23.560*(1+G2/100),2)</f>
        <v>0</v>
      </c>
      <c r="G15803" s="26"/>
    </row>
    <row r="15804" spans="1:7" ht="58.32" thickBot="1" customHeight="1">
      <c r="A15804" s="26"/>
      <c r="B15804" s="26"/>
      <c r="C15804" s="26"/>
      <c r="D15804" s="25" t="s">
        <v>49747</v>
      </c>
      <c r="E15804" s="25"/>
      <c r="F15804" s="25"/>
      <c r="G15804" s="25"/>
    </row>
    <row r="15805" spans="1:7" ht="30.60" thickBot="1" customHeight="1">
      <c r="A15805" s="10" t="s">
        <v>49748</v>
      </c>
      <c r="B15805" s="24" t="s">
        <v>49749</v>
      </c>
      <c r="C15805" s="24" t="s">
        <v>49750</v>
      </c>
      <c r="D15805" s="25" t="s">
        <v>49751</v>
      </c>
      <c r="E15805" s="26"/>
      <c r="F15805" s="27">
        <f ca="1">ROUND(15.470*(1+G2/100),2)</f>
        <v>0</v>
      </c>
      <c r="G15805" s="26"/>
    </row>
    <row r="15806" spans="1:7" ht="21.36" thickBot="1" customHeight="1">
      <c r="A15806" s="26"/>
      <c r="B15806" s="26"/>
      <c r="C15806" s="26"/>
      <c r="D15806" s="25" t="s">
        <v>49752</v>
      </c>
      <c r="E15806" s="25"/>
      <c r="F15806" s="25"/>
      <c r="G15806" s="25"/>
    </row>
    <row r="15807" spans="1:7" ht="30.60" thickBot="1" customHeight="1">
      <c r="A15807" s="10" t="s">
        <v>49753</v>
      </c>
      <c r="B15807" s="24" t="s">
        <v>49754</v>
      </c>
      <c r="C15807" s="24" t="s">
        <v>49755</v>
      </c>
      <c r="D15807" s="25" t="s">
        <v>49756</v>
      </c>
      <c r="E15807" s="26"/>
      <c r="F15807" s="27">
        <f ca="1">ROUND(19.240*(1+G2/100),2)</f>
        <v>0</v>
      </c>
      <c r="G15807" s="26"/>
    </row>
    <row r="15808" spans="1:7" ht="21.36" thickBot="1" customHeight="1">
      <c r="A15808" s="26"/>
      <c r="B15808" s="26"/>
      <c r="C15808" s="26"/>
      <c r="D15808" s="25" t="s">
        <v>49757</v>
      </c>
      <c r="E15808" s="25"/>
      <c r="F15808" s="25"/>
      <c r="G15808" s="25"/>
    </row>
    <row r="15809" spans="1:7" ht="30.60" thickBot="1" customHeight="1">
      <c r="A15809" s="10" t="s">
        <v>49758</v>
      </c>
      <c r="B15809" s="24" t="s">
        <v>49759</v>
      </c>
      <c r="C15809" s="24" t="s">
        <v>49760</v>
      </c>
      <c r="D15809" s="25" t="s">
        <v>49761</v>
      </c>
      <c r="E15809" s="26"/>
      <c r="F15809" s="27">
        <f ca="1">ROUND(9.600*(1+G2/100),2)</f>
        <v>0</v>
      </c>
      <c r="G15809" s="26"/>
    </row>
    <row r="15810" spans="1:7" ht="12.12" thickBot="1" customHeight="1">
      <c r="A15810" s="26"/>
      <c r="B15810" s="26"/>
      <c r="C15810" s="26"/>
      <c r="D15810" s="25" t="s">
        <v>49762</v>
      </c>
      <c r="E15810" s="25"/>
      <c r="F15810" s="25"/>
      <c r="G15810" s="25"/>
    </row>
    <row r="15811" spans="1:7" ht="15.48" thickBot="1" customHeight="1">
      <c r="A15811" s="30"/>
      <c r="B15811" s="30"/>
      <c r="C15811" s="30"/>
      <c r="D15811" s="79" t="s">
        <v>49763</v>
      </c>
      <c r="E15811" s="80"/>
      <c r="F15811" s="80"/>
      <c r="G15811" s="80"/>
    </row>
    <row r="15812" spans="1:7" ht="25.08" thickBot="1" customHeight="1">
      <c r="A15812" s="52" t="s">
        <v>49764</v>
      </c>
      <c r="B15812" s="52" t="s">
        <v>49765</v>
      </c>
      <c r="C15812" s="53"/>
      <c r="D15812" s="54" t="s">
        <v>49766</v>
      </c>
      <c r="E15812" s="53"/>
      <c r="F15812" s="53"/>
      <c r="G15812" s="53"/>
    </row>
    <row r="15813" spans="1:7" ht="30.60" thickBot="1" customHeight="1">
      <c r="A15813" s="10" t="s">
        <v>49767</v>
      </c>
      <c r="B15813" s="24" t="s">
        <v>49768</v>
      </c>
      <c r="C15813" s="24" t="s">
        <v>49769</v>
      </c>
      <c r="D15813" s="25" t="s">
        <v>49770</v>
      </c>
      <c r="E15813" s="26"/>
      <c r="F15813" s="27">
        <f ca="1">ROUND(95.000*(1+G2/100),2)</f>
        <v>0</v>
      </c>
      <c r="G15813" s="26"/>
    </row>
    <row r="15814" spans="1:7" ht="12.12" thickBot="1" customHeight="1">
      <c r="A15814" s="26"/>
      <c r="B15814" s="26"/>
      <c r="C15814" s="26"/>
      <c r="D15814" s="25" t="s">
        <v>49771</v>
      </c>
      <c r="E15814" s="25"/>
      <c r="F15814" s="25"/>
      <c r="G15814" s="25"/>
    </row>
    <row r="15815" spans="1:7" ht="30.60" thickBot="1" customHeight="1">
      <c r="A15815" s="10" t="s">
        <v>49772</v>
      </c>
      <c r="B15815" s="24" t="s">
        <v>49773</v>
      </c>
      <c r="C15815" s="24" t="s">
        <v>49774</v>
      </c>
      <c r="D15815" s="25" t="s">
        <v>49775</v>
      </c>
      <c r="E15815" s="26"/>
      <c r="F15815" s="27">
        <f ca="1">ROUND(159.040*(1+G2/100),2)</f>
        <v>0</v>
      </c>
      <c r="G15815" s="26"/>
    </row>
    <row r="15816" spans="1:7" ht="150.72" thickBot="1" customHeight="1">
      <c r="A15816" s="26"/>
      <c r="B15816" s="26"/>
      <c r="C15816" s="26"/>
      <c r="D15816" s="25" t="s">
        <v>49776</v>
      </c>
      <c r="E15816" s="25"/>
      <c r="F15816" s="25"/>
      <c r="G15816" s="25"/>
    </row>
    <row r="15817" spans="1:7" ht="30.60" thickBot="1" customHeight="1">
      <c r="A15817" s="10" t="s">
        <v>49777</v>
      </c>
      <c r="B15817" s="24" t="s">
        <v>49778</v>
      </c>
      <c r="C15817" s="24" t="s">
        <v>49779</v>
      </c>
      <c r="D15817" s="25" t="s">
        <v>49780</v>
      </c>
      <c r="E15817" s="26"/>
      <c r="F15817" s="27">
        <f ca="1">ROUND(188.600*(1+G2/100),2)</f>
        <v>0</v>
      </c>
      <c r="G15817" s="26"/>
    </row>
    <row r="15818" spans="1:7" ht="150.72" thickBot="1" customHeight="1">
      <c r="A15818" s="26"/>
      <c r="B15818" s="26"/>
      <c r="C15818" s="26"/>
      <c r="D15818" s="25" t="s">
        <v>49781</v>
      </c>
      <c r="E15818" s="25"/>
      <c r="F15818" s="25"/>
      <c r="G15818" s="25"/>
    </row>
    <row r="15819" spans="1:7" ht="30.60" thickBot="1" customHeight="1">
      <c r="A15819" s="10" t="s">
        <v>49782</v>
      </c>
      <c r="B15819" s="24" t="s">
        <v>49783</v>
      </c>
      <c r="C15819" s="24" t="s">
        <v>49784</v>
      </c>
      <c r="D15819" s="25" t="s">
        <v>49785</v>
      </c>
      <c r="E15819" s="26"/>
      <c r="F15819" s="27">
        <f ca="1">ROUND(208.590*(1+G2/100),2)</f>
        <v>0</v>
      </c>
      <c r="G15819" s="26"/>
    </row>
    <row r="15820" spans="1:7" ht="150.72" thickBot="1" customHeight="1">
      <c r="A15820" s="26"/>
      <c r="B15820" s="26"/>
      <c r="C15820" s="26"/>
      <c r="D15820" s="25" t="s">
        <v>49786</v>
      </c>
      <c r="E15820" s="25"/>
      <c r="F15820" s="25"/>
      <c r="G15820" s="25"/>
    </row>
    <row r="15821" spans="1:7" ht="15.48" thickBot="1" customHeight="1">
      <c r="A15821" s="30"/>
      <c r="B15821" s="30"/>
      <c r="C15821" s="30"/>
      <c r="D15821" s="79" t="s">
        <v>49787</v>
      </c>
      <c r="E15821" s="80"/>
      <c r="F15821" s="80"/>
      <c r="G15821" s="80"/>
    </row>
    <row r="15822" spans="1:7" ht="31.68" thickBot="1" customHeight="1">
      <c r="A15822" s="52" t="s">
        <v>49788</v>
      </c>
      <c r="B15822" s="52" t="s">
        <v>49789</v>
      </c>
      <c r="C15822" s="53"/>
      <c r="D15822" s="54" t="s">
        <v>49790</v>
      </c>
      <c r="E15822" s="53"/>
      <c r="F15822" s="53"/>
      <c r="G15822" s="53"/>
    </row>
    <row r="15823" spans="1:7" ht="30.60" thickBot="1" customHeight="1">
      <c r="A15823" s="10" t="s">
        <v>49791</v>
      </c>
      <c r="B15823" s="24" t="s">
        <v>49792</v>
      </c>
      <c r="C15823" s="24" t="s">
        <v>49793</v>
      </c>
      <c r="D15823" s="25" t="s">
        <v>49794</v>
      </c>
      <c r="E15823" s="26"/>
      <c r="F15823" s="27">
        <f ca="1">ROUND(3.860*(1+G2/100),2)</f>
        <v>0</v>
      </c>
      <c r="G15823" s="26"/>
    </row>
    <row r="15824" spans="1:7" ht="12.12" thickBot="1" customHeight="1">
      <c r="A15824" s="26"/>
      <c r="B15824" s="26"/>
      <c r="C15824" s="26"/>
      <c r="D15824" s="25" t="s">
        <v>49795</v>
      </c>
      <c r="E15824" s="25"/>
      <c r="F15824" s="25"/>
      <c r="G15824" s="25"/>
    </row>
    <row r="15825" spans="1:7" ht="30.60" thickBot="1" customHeight="1">
      <c r="A15825" s="10" t="s">
        <v>49796</v>
      </c>
      <c r="B15825" s="24" t="s">
        <v>49797</v>
      </c>
      <c r="C15825" s="24" t="s">
        <v>49798</v>
      </c>
      <c r="D15825" s="25" t="s">
        <v>49799</v>
      </c>
      <c r="E15825" s="26"/>
      <c r="F15825" s="27">
        <f ca="1">ROUND(4.980*(1+G2/100),2)</f>
        <v>0</v>
      </c>
      <c r="G15825" s="26"/>
    </row>
    <row r="15826" spans="1:7" ht="21.36" thickBot="1" customHeight="1">
      <c r="A15826" s="26"/>
      <c r="B15826" s="26"/>
      <c r="C15826" s="26"/>
      <c r="D15826" s="25" t="s">
        <v>49800</v>
      </c>
      <c r="E15826" s="25"/>
      <c r="F15826" s="25"/>
      <c r="G15826" s="25"/>
    </row>
    <row r="15827" spans="1:7" ht="30.60" thickBot="1" customHeight="1">
      <c r="A15827" s="10" t="s">
        <v>49801</v>
      </c>
      <c r="B15827" s="24" t="s">
        <v>49802</v>
      </c>
      <c r="C15827" s="24" t="s">
        <v>49803</v>
      </c>
      <c r="D15827" s="25" t="s">
        <v>49804</v>
      </c>
      <c r="E15827" s="26"/>
      <c r="F15827" s="27">
        <f ca="1">ROUND(1.570*(1+G2/100),2)</f>
        <v>0</v>
      </c>
      <c r="G15827" s="26"/>
    </row>
    <row r="15828" spans="1:7" ht="21.36" thickBot="1" customHeight="1">
      <c r="A15828" s="26"/>
      <c r="B15828" s="26"/>
      <c r="C15828" s="26"/>
      <c r="D15828" s="25" t="s">
        <v>49805</v>
      </c>
      <c r="E15828" s="25"/>
      <c r="F15828" s="25"/>
      <c r="G15828" s="25"/>
    </row>
    <row r="15829" spans="1:7" ht="30.60" thickBot="1" customHeight="1">
      <c r="A15829" s="10" t="s">
        <v>49806</v>
      </c>
      <c r="B15829" s="24" t="s">
        <v>49807</v>
      </c>
      <c r="C15829" s="24" t="s">
        <v>49808</v>
      </c>
      <c r="D15829" s="25" t="s">
        <v>49809</v>
      </c>
      <c r="E15829" s="26"/>
      <c r="F15829" s="27">
        <f ca="1">ROUND(4.160*(1+G2/100),2)</f>
        <v>0</v>
      </c>
      <c r="G15829" s="26"/>
    </row>
    <row r="15830" spans="1:7" ht="21.36" thickBot="1" customHeight="1">
      <c r="A15830" s="26"/>
      <c r="B15830" s="26"/>
      <c r="C15830" s="26"/>
      <c r="D15830" s="25" t="s">
        <v>49810</v>
      </c>
      <c r="E15830" s="25"/>
      <c r="F15830" s="25"/>
      <c r="G15830" s="25"/>
    </row>
    <row r="15831" spans="1:7" ht="58.32" thickBot="1" customHeight="1">
      <c r="A15831" s="10" t="s">
        <v>49811</v>
      </c>
      <c r="B15831" s="24" t="s">
        <v>49812</v>
      </c>
      <c r="C15831" s="24" t="s">
        <v>49813</v>
      </c>
      <c r="D15831" s="25" t="s">
        <v>49814</v>
      </c>
      <c r="E15831" s="26"/>
      <c r="F15831" s="27">
        <f ca="1">ROUND(19.970*(1+G2/100),2)</f>
        <v>0</v>
      </c>
      <c r="G15831" s="26"/>
    </row>
    <row r="15832" spans="1:7" ht="30.60" thickBot="1" customHeight="1">
      <c r="A15832" s="26"/>
      <c r="B15832" s="26"/>
      <c r="C15832" s="26"/>
      <c r="D15832" s="25" t="s">
        <v>49815</v>
      </c>
      <c r="E15832" s="25"/>
      <c r="F15832" s="25"/>
      <c r="G15832" s="25"/>
    </row>
    <row r="15833" spans="1:7" ht="58.32" thickBot="1" customHeight="1">
      <c r="A15833" s="10" t="s">
        <v>49816</v>
      </c>
      <c r="B15833" s="24" t="s">
        <v>49817</v>
      </c>
      <c r="C15833" s="24" t="s">
        <v>49818</v>
      </c>
      <c r="D15833" s="25" t="s">
        <v>49819</v>
      </c>
      <c r="E15833" s="26"/>
      <c r="F15833" s="27">
        <f ca="1">ROUND(17.220*(1+G2/100),2)</f>
        <v>0</v>
      </c>
      <c r="G15833" s="26"/>
    </row>
    <row r="15834" spans="1:7" ht="30.60" thickBot="1" customHeight="1">
      <c r="A15834" s="26"/>
      <c r="B15834" s="26"/>
      <c r="C15834" s="26"/>
      <c r="D15834" s="25" t="s">
        <v>49820</v>
      </c>
      <c r="E15834" s="25"/>
      <c r="F15834" s="25"/>
      <c r="G15834" s="25"/>
    </row>
    <row r="15835" spans="1:7" ht="58.32" thickBot="1" customHeight="1">
      <c r="A15835" s="10" t="s">
        <v>49821</v>
      </c>
      <c r="B15835" s="24" t="s">
        <v>49822</v>
      </c>
      <c r="C15835" s="24" t="s">
        <v>49823</v>
      </c>
      <c r="D15835" s="25" t="s">
        <v>49824</v>
      </c>
      <c r="E15835" s="26"/>
      <c r="F15835" s="27">
        <f ca="1">ROUND(19.360*(1+G2/100),2)</f>
        <v>0</v>
      </c>
      <c r="G15835" s="26"/>
    </row>
    <row r="15836" spans="1:7" ht="30.60" thickBot="1" customHeight="1">
      <c r="A15836" s="26"/>
      <c r="B15836" s="26"/>
      <c r="C15836" s="26"/>
      <c r="D15836" s="25" t="s">
        <v>49825</v>
      </c>
      <c r="E15836" s="25"/>
      <c r="F15836" s="25"/>
      <c r="G15836" s="25"/>
    </row>
    <row r="15837" spans="1:7" ht="58.32" thickBot="1" customHeight="1">
      <c r="A15837" s="10" t="s">
        <v>49826</v>
      </c>
      <c r="B15837" s="24" t="s">
        <v>49827</v>
      </c>
      <c r="C15837" s="24" t="s">
        <v>49828</v>
      </c>
      <c r="D15837" s="25" t="s">
        <v>49829</v>
      </c>
      <c r="E15837" s="26"/>
      <c r="F15837" s="27">
        <f ca="1">ROUND(20.550*(1+G2/100),2)</f>
        <v>0</v>
      </c>
      <c r="G15837" s="26"/>
    </row>
    <row r="15838" spans="1:7" ht="30.60" thickBot="1" customHeight="1">
      <c r="A15838" s="26"/>
      <c r="B15838" s="26"/>
      <c r="C15838" s="26"/>
      <c r="D15838" s="25" t="s">
        <v>49830</v>
      </c>
      <c r="E15838" s="25"/>
      <c r="F15838" s="25"/>
      <c r="G15838" s="25"/>
    </row>
    <row r="15839" spans="1:7" ht="39.84" thickBot="1" customHeight="1">
      <c r="A15839" s="10" t="s">
        <v>49831</v>
      </c>
      <c r="B15839" s="24" t="s">
        <v>49832</v>
      </c>
      <c r="C15839" s="24" t="s">
        <v>49833</v>
      </c>
      <c r="D15839" s="25" t="s">
        <v>49834</v>
      </c>
      <c r="E15839" s="26"/>
      <c r="F15839" s="27">
        <f ca="1">ROUND(88.430*(1+G2/100),2)</f>
        <v>0</v>
      </c>
      <c r="G15839" s="26"/>
    </row>
    <row r="15840" spans="1:7" ht="49.08" thickBot="1" customHeight="1">
      <c r="A15840" s="26"/>
      <c r="B15840" s="26"/>
      <c r="C15840" s="26"/>
      <c r="D15840" s="25" t="s">
        <v>49835</v>
      </c>
      <c r="E15840" s="25"/>
      <c r="F15840" s="25"/>
      <c r="G15840" s="25"/>
    </row>
    <row r="15841" spans="1:7" ht="30.60" thickBot="1" customHeight="1">
      <c r="A15841" s="10" t="s">
        <v>49836</v>
      </c>
      <c r="B15841" s="24" t="s">
        <v>49837</v>
      </c>
      <c r="C15841" s="24" t="s">
        <v>49838</v>
      </c>
      <c r="D15841" s="25" t="s">
        <v>49839</v>
      </c>
      <c r="E15841" s="26"/>
      <c r="F15841" s="27">
        <f ca="1">ROUND(6.600*(1+G2/100),2)</f>
        <v>0</v>
      </c>
      <c r="G15841" s="26"/>
    </row>
    <row r="15842" spans="1:7" ht="67.56" thickBot="1" customHeight="1">
      <c r="A15842" s="26"/>
      <c r="B15842" s="26"/>
      <c r="C15842" s="26"/>
      <c r="D15842" s="25" t="s">
        <v>49840</v>
      </c>
      <c r="E15842" s="25"/>
      <c r="F15842" s="25"/>
      <c r="G15842" s="25"/>
    </row>
    <row r="15843" spans="1:7" ht="30.60" thickBot="1" customHeight="1">
      <c r="A15843" s="10" t="s">
        <v>49841</v>
      </c>
      <c r="B15843" s="24" t="s">
        <v>49842</v>
      </c>
      <c r="C15843" s="24" t="s">
        <v>49843</v>
      </c>
      <c r="D15843" s="25" t="s">
        <v>49844</v>
      </c>
      <c r="E15843" s="26"/>
      <c r="F15843" s="27">
        <f ca="1">ROUND(4.040*(1+G2/100),2)</f>
        <v>0</v>
      </c>
      <c r="G15843" s="26"/>
    </row>
    <row r="15844" spans="1:7" ht="67.56" thickBot="1" customHeight="1">
      <c r="A15844" s="26"/>
      <c r="B15844" s="26"/>
      <c r="C15844" s="26"/>
      <c r="D15844" s="25" t="s">
        <v>49845</v>
      </c>
      <c r="E15844" s="25"/>
      <c r="F15844" s="25"/>
      <c r="G15844" s="25"/>
    </row>
    <row r="15845" spans="1:7" ht="30.60" thickBot="1" customHeight="1">
      <c r="A15845" s="10" t="s">
        <v>49846</v>
      </c>
      <c r="B15845" s="24" t="s">
        <v>49847</v>
      </c>
      <c r="C15845" s="24" t="s">
        <v>49848</v>
      </c>
      <c r="D15845" s="25" t="s">
        <v>49849</v>
      </c>
      <c r="E15845" s="26"/>
      <c r="F15845" s="27">
        <f ca="1">ROUND(6.030*(1+G2/100),2)</f>
        <v>0</v>
      </c>
      <c r="G15845" s="26"/>
    </row>
    <row r="15846" spans="1:7" ht="67.56" thickBot="1" customHeight="1">
      <c r="A15846" s="26"/>
      <c r="B15846" s="26"/>
      <c r="C15846" s="26"/>
      <c r="D15846" s="25" t="s">
        <v>49850</v>
      </c>
      <c r="E15846" s="25"/>
      <c r="F15846" s="25"/>
      <c r="G15846" s="25"/>
    </row>
    <row r="15847" spans="1:7" ht="30.60" thickBot="1" customHeight="1">
      <c r="A15847" s="10" t="s">
        <v>49851</v>
      </c>
      <c r="B15847" s="24" t="s">
        <v>49852</v>
      </c>
      <c r="C15847" s="24" t="s">
        <v>49853</v>
      </c>
      <c r="D15847" s="25" t="s">
        <v>49854</v>
      </c>
      <c r="E15847" s="26"/>
      <c r="F15847" s="27">
        <f ca="1">ROUND(214.050*(1+G2/100),2)</f>
        <v>0</v>
      </c>
      <c r="G15847" s="26"/>
    </row>
    <row r="15848" spans="1:7" ht="76.80" thickBot="1" customHeight="1">
      <c r="A15848" s="26"/>
      <c r="B15848" s="26"/>
      <c r="C15848" s="26"/>
      <c r="D15848" s="25" t="s">
        <v>49855</v>
      </c>
      <c r="E15848" s="25"/>
      <c r="F15848" s="25"/>
      <c r="G15848" s="25"/>
    </row>
    <row r="15849" spans="1:7" ht="30.60" thickBot="1" customHeight="1">
      <c r="A15849" s="10" t="s">
        <v>49856</v>
      </c>
      <c r="B15849" s="24" t="s">
        <v>49857</v>
      </c>
      <c r="C15849" s="24" t="s">
        <v>49858</v>
      </c>
      <c r="D15849" s="25" t="s">
        <v>49859</v>
      </c>
      <c r="E15849" s="26"/>
      <c r="F15849" s="27">
        <f ca="1">ROUND(214.050*(1+G2/100),2)</f>
        <v>0</v>
      </c>
      <c r="G15849" s="26"/>
    </row>
    <row r="15850" spans="1:7" ht="76.80" thickBot="1" customHeight="1">
      <c r="A15850" s="26"/>
      <c r="B15850" s="26"/>
      <c r="C15850" s="26"/>
      <c r="D15850" s="25" t="s">
        <v>49860</v>
      </c>
      <c r="E15850" s="25"/>
      <c r="F15850" s="25"/>
      <c r="G15850" s="25"/>
    </row>
    <row r="15851" spans="1:7" ht="30.60" thickBot="1" customHeight="1">
      <c r="A15851" s="10" t="s">
        <v>49861</v>
      </c>
      <c r="B15851" s="24" t="s">
        <v>49862</v>
      </c>
      <c r="C15851" s="24" t="s">
        <v>49863</v>
      </c>
      <c r="D15851" s="25" t="s">
        <v>49864</v>
      </c>
      <c r="E15851" s="26"/>
      <c r="F15851" s="27">
        <f ca="1">ROUND(214.050*(1+G2/100),2)</f>
        <v>0</v>
      </c>
      <c r="G15851" s="26"/>
    </row>
    <row r="15852" spans="1:7" ht="76.80" thickBot="1" customHeight="1">
      <c r="A15852" s="26"/>
      <c r="B15852" s="26"/>
      <c r="C15852" s="26"/>
      <c r="D15852" s="25" t="s">
        <v>49865</v>
      </c>
      <c r="E15852" s="25"/>
      <c r="F15852" s="25"/>
      <c r="G15852" s="25"/>
    </row>
    <row r="15853" spans="1:7" ht="30.60" thickBot="1" customHeight="1">
      <c r="A15853" s="10" t="s">
        <v>49866</v>
      </c>
      <c r="B15853" s="24" t="s">
        <v>49867</v>
      </c>
      <c r="C15853" s="24" t="s">
        <v>49868</v>
      </c>
      <c r="D15853" s="25" t="s">
        <v>49869</v>
      </c>
      <c r="E15853" s="26"/>
      <c r="F15853" s="27">
        <f ca="1">ROUND(247.110*(1+G2/100),2)</f>
        <v>0</v>
      </c>
      <c r="G15853" s="26"/>
    </row>
    <row r="15854" spans="1:7" ht="21.36" thickBot="1" customHeight="1">
      <c r="A15854" s="26"/>
      <c r="B15854" s="26"/>
      <c r="C15854" s="26"/>
      <c r="D15854" s="25" t="s">
        <v>49870</v>
      </c>
      <c r="E15854" s="25"/>
      <c r="F15854" s="25"/>
      <c r="G15854" s="25"/>
    </row>
    <row r="15855" spans="1:7" ht="39.84" thickBot="1" customHeight="1">
      <c r="A15855" s="10" t="s">
        <v>49871</v>
      </c>
      <c r="B15855" s="24" t="s">
        <v>49872</v>
      </c>
      <c r="C15855" s="24" t="s">
        <v>49873</v>
      </c>
      <c r="D15855" s="25" t="s">
        <v>49874</v>
      </c>
      <c r="E15855" s="26"/>
      <c r="F15855" s="27">
        <f ca="1">ROUND(109.510*(1+G2/100),2)</f>
        <v>0</v>
      </c>
      <c r="G15855" s="26"/>
    </row>
    <row r="15856" spans="1:7" ht="95.28" thickBot="1" customHeight="1">
      <c r="A15856" s="26"/>
      <c r="B15856" s="26"/>
      <c r="C15856" s="26"/>
      <c r="D15856" s="25" t="s">
        <v>49875</v>
      </c>
      <c r="E15856" s="25"/>
      <c r="F15856" s="25"/>
      <c r="G15856" s="25"/>
    </row>
    <row r="15857" spans="1:7" ht="49.08" thickBot="1" customHeight="1">
      <c r="A15857" s="10" t="s">
        <v>49876</v>
      </c>
      <c r="B15857" s="24" t="s">
        <v>49877</v>
      </c>
      <c r="C15857" s="24" t="s">
        <v>49878</v>
      </c>
      <c r="D15857" s="25" t="s">
        <v>49879</v>
      </c>
      <c r="E15857" s="26"/>
      <c r="F15857" s="27">
        <f ca="1">ROUND(19.010*(1+G2/100),2)</f>
        <v>0</v>
      </c>
      <c r="G15857" s="26"/>
    </row>
    <row r="15858" spans="1:7" ht="30.60" thickBot="1" customHeight="1">
      <c r="A15858" s="26"/>
      <c r="B15858" s="26"/>
      <c r="C15858" s="26"/>
      <c r="D15858" s="25" t="s">
        <v>49880</v>
      </c>
      <c r="E15858" s="25"/>
      <c r="F15858" s="25"/>
      <c r="G15858" s="25"/>
    </row>
    <row r="15859" spans="1:7" ht="49.08" thickBot="1" customHeight="1">
      <c r="A15859" s="10" t="s">
        <v>49881</v>
      </c>
      <c r="B15859" s="24" t="s">
        <v>49882</v>
      </c>
      <c r="C15859" s="24" t="s">
        <v>49883</v>
      </c>
      <c r="D15859" s="25" t="s">
        <v>49884</v>
      </c>
      <c r="E15859" s="26"/>
      <c r="F15859" s="27">
        <f ca="1">ROUND(39.590*(1+G2/100),2)</f>
        <v>0</v>
      </c>
      <c r="G15859" s="26"/>
    </row>
    <row r="15860" spans="1:7" ht="30.60" thickBot="1" customHeight="1">
      <c r="A15860" s="26"/>
      <c r="B15860" s="26"/>
      <c r="C15860" s="26"/>
      <c r="D15860" s="25" t="s">
        <v>49885</v>
      </c>
      <c r="E15860" s="25"/>
      <c r="F15860" s="25"/>
      <c r="G15860" s="25"/>
    </row>
    <row r="15861" spans="1:7" ht="15.48" thickBot="1" customHeight="1">
      <c r="A15861" s="30"/>
      <c r="B15861" s="30"/>
      <c r="C15861" s="30"/>
      <c r="D15861" s="79" t="s">
        <v>49886</v>
      </c>
      <c r="E15861" s="80"/>
      <c r="F15861" s="80"/>
      <c r="G15861" s="80"/>
    </row>
    <row r="15862" spans="1:7" ht="25.08" thickBot="1" customHeight="1">
      <c r="A15862" s="52" t="s">
        <v>49887</v>
      </c>
      <c r="B15862" s="52" t="s">
        <v>49888</v>
      </c>
      <c r="C15862" s="53"/>
      <c r="D15862" s="54" t="s">
        <v>49889</v>
      </c>
      <c r="E15862" s="53"/>
      <c r="F15862" s="53"/>
      <c r="G15862" s="53"/>
    </row>
    <row r="15863" spans="1:7" ht="39.84" thickBot="1" customHeight="1">
      <c r="A15863" s="10" t="s">
        <v>49890</v>
      </c>
      <c r="B15863" s="24" t="s">
        <v>49891</v>
      </c>
      <c r="C15863" s="24" t="s">
        <v>49892</v>
      </c>
      <c r="D15863" s="25" t="s">
        <v>49893</v>
      </c>
      <c r="E15863" s="26"/>
      <c r="F15863" s="27">
        <f ca="1">ROUND(188.520*(1+G2/100),2)</f>
        <v>0</v>
      </c>
      <c r="G15863" s="26"/>
    </row>
    <row r="15864" spans="1:7" ht="150.72" thickBot="1" customHeight="1">
      <c r="A15864" s="26"/>
      <c r="B15864" s="26"/>
      <c r="C15864" s="26"/>
      <c r="D15864" s="25" t="s">
        <v>49894</v>
      </c>
      <c r="E15864" s="25"/>
      <c r="F15864" s="25"/>
      <c r="G15864" s="25"/>
    </row>
    <row r="15865" spans="1:7" ht="39.84" thickBot="1" customHeight="1">
      <c r="A15865" s="10" t="s">
        <v>49895</v>
      </c>
      <c r="B15865" s="24" t="s">
        <v>49896</v>
      </c>
      <c r="C15865" s="24" t="s">
        <v>49897</v>
      </c>
      <c r="D15865" s="25" t="s">
        <v>49898</v>
      </c>
      <c r="E15865" s="26"/>
      <c r="F15865" s="27">
        <f ca="1">ROUND(98.350*(1+G2/100),2)</f>
        <v>0</v>
      </c>
      <c r="G15865" s="26"/>
    </row>
    <row r="15866" spans="1:7" ht="76.80" thickBot="1" customHeight="1">
      <c r="A15866" s="26"/>
      <c r="B15866" s="26"/>
      <c r="C15866" s="26"/>
      <c r="D15866" s="25" t="s">
        <v>49899</v>
      </c>
      <c r="E15866" s="25"/>
      <c r="F15866" s="25"/>
      <c r="G15866" s="25"/>
    </row>
    <row r="15867" spans="1:7" ht="39.84" thickBot="1" customHeight="1">
      <c r="A15867" s="10" t="s">
        <v>49900</v>
      </c>
      <c r="B15867" s="24" t="s">
        <v>49901</v>
      </c>
      <c r="C15867" s="24" t="s">
        <v>49902</v>
      </c>
      <c r="D15867" s="25" t="s">
        <v>49903</v>
      </c>
      <c r="E15867" s="26"/>
      <c r="F15867" s="27">
        <f ca="1">ROUND(395.060*(1+G2/100),2)</f>
        <v>0</v>
      </c>
      <c r="G15867" s="26"/>
    </row>
    <row r="15868" spans="1:7" ht="150.72" thickBot="1" customHeight="1">
      <c r="A15868" s="26"/>
      <c r="B15868" s="26"/>
      <c r="C15868" s="26"/>
      <c r="D15868" s="25" t="s">
        <v>49904</v>
      </c>
      <c r="E15868" s="25"/>
      <c r="F15868" s="25"/>
      <c r="G15868" s="25"/>
    </row>
    <row r="15869" spans="1:7" ht="39.84" thickBot="1" customHeight="1">
      <c r="A15869" s="10" t="s">
        <v>49905</v>
      </c>
      <c r="B15869" s="24" t="s">
        <v>49906</v>
      </c>
      <c r="C15869" s="24" t="s">
        <v>49907</v>
      </c>
      <c r="D15869" s="25" t="s">
        <v>49908</v>
      </c>
      <c r="E15869" s="26"/>
      <c r="F15869" s="27">
        <f ca="1">ROUND(308.530*(1+G2/100),2)</f>
        <v>0</v>
      </c>
      <c r="G15869" s="26"/>
    </row>
    <row r="15870" spans="1:7" ht="150.72" thickBot="1" customHeight="1">
      <c r="A15870" s="26"/>
      <c r="B15870" s="26"/>
      <c r="C15870" s="26"/>
      <c r="D15870" s="25" t="s">
        <v>49909</v>
      </c>
      <c r="E15870" s="25"/>
      <c r="F15870" s="25"/>
      <c r="G15870" s="25"/>
    </row>
    <row r="15871" spans="1:7" ht="15.48" thickBot="1" customHeight="1">
      <c r="A15871" s="30"/>
      <c r="B15871" s="30"/>
      <c r="C15871" s="30"/>
      <c r="D15871" s="79" t="s">
        <v>49910</v>
      </c>
      <c r="E15871" s="80"/>
      <c r="F15871" s="80"/>
      <c r="G15871" s="80"/>
    </row>
    <row r="15872" spans="1:7" ht="25.08" thickBot="1" customHeight="1">
      <c r="A15872" s="52" t="s">
        <v>49911</v>
      </c>
      <c r="B15872" s="52" t="s">
        <v>49912</v>
      </c>
      <c r="C15872" s="53"/>
      <c r="D15872" s="54" t="s">
        <v>49913</v>
      </c>
      <c r="E15872" s="53"/>
      <c r="F15872" s="53"/>
      <c r="G15872" s="53"/>
    </row>
    <row r="15873" spans="1:7" ht="30.60" thickBot="1" customHeight="1">
      <c r="A15873" s="10" t="s">
        <v>49914</v>
      </c>
      <c r="B15873" s="24" t="s">
        <v>49915</v>
      </c>
      <c r="C15873" s="24" t="s">
        <v>49916</v>
      </c>
      <c r="D15873" s="25" t="s">
        <v>49917</v>
      </c>
      <c r="E15873" s="26"/>
      <c r="F15873" s="27">
        <f ca="1">ROUND(2.430*(1+G2/100),2)</f>
        <v>0</v>
      </c>
      <c r="G15873" s="26"/>
    </row>
    <row r="15874" spans="1:7" ht="21.36" thickBot="1" customHeight="1">
      <c r="A15874" s="26"/>
      <c r="B15874" s="26"/>
      <c r="C15874" s="26"/>
      <c r="D15874" s="25" t="s">
        <v>49918</v>
      </c>
      <c r="E15874" s="25"/>
      <c r="F15874" s="25"/>
      <c r="G15874" s="25"/>
    </row>
    <row r="15875" spans="1:7" ht="30.60" thickBot="1" customHeight="1">
      <c r="A15875" s="10" t="s">
        <v>49919</v>
      </c>
      <c r="B15875" s="24" t="s">
        <v>49920</v>
      </c>
      <c r="C15875" s="24" t="s">
        <v>49921</v>
      </c>
      <c r="D15875" s="25" t="s">
        <v>49922</v>
      </c>
      <c r="E15875" s="26"/>
      <c r="F15875" s="27">
        <f ca="1">ROUND(7.930*(1+G2/100),2)</f>
        <v>0</v>
      </c>
      <c r="G15875" s="26"/>
    </row>
    <row r="15876" spans="1:7" ht="21.36" thickBot="1" customHeight="1">
      <c r="A15876" s="26"/>
      <c r="B15876" s="26"/>
      <c r="C15876" s="26"/>
      <c r="D15876" s="25" t="s">
        <v>49923</v>
      </c>
      <c r="E15876" s="25"/>
      <c r="F15876" s="25"/>
      <c r="G15876" s="25"/>
    </row>
    <row r="15877" spans="1:7" ht="30.60" thickBot="1" customHeight="1">
      <c r="A15877" s="10" t="s">
        <v>49924</v>
      </c>
      <c r="B15877" s="24" t="s">
        <v>49925</v>
      </c>
      <c r="C15877" s="24" t="s">
        <v>49926</v>
      </c>
      <c r="D15877" s="25" t="s">
        <v>49927</v>
      </c>
      <c r="E15877" s="26"/>
      <c r="F15877" s="27">
        <f ca="1">ROUND(4.030*(1+G2/100),2)</f>
        <v>0</v>
      </c>
      <c r="G15877" s="26"/>
    </row>
    <row r="15878" spans="1:7" ht="86.04" thickBot="1" customHeight="1">
      <c r="A15878" s="26"/>
      <c r="B15878" s="26"/>
      <c r="C15878" s="26"/>
      <c r="D15878" s="25" t="s">
        <v>49928</v>
      </c>
      <c r="E15878" s="25"/>
      <c r="F15878" s="25"/>
      <c r="G15878" s="25"/>
    </row>
    <row r="15879" spans="1:7" ht="30.60" thickBot="1" customHeight="1">
      <c r="A15879" s="10" t="s">
        <v>49929</v>
      </c>
      <c r="B15879" s="24" t="s">
        <v>49930</v>
      </c>
      <c r="C15879" s="24" t="s">
        <v>49931</v>
      </c>
      <c r="D15879" s="25" t="s">
        <v>49932</v>
      </c>
      <c r="E15879" s="26"/>
      <c r="F15879" s="27">
        <f ca="1">ROUND(4.500*(1+G2/100),2)</f>
        <v>0</v>
      </c>
      <c r="G15879" s="26"/>
    </row>
    <row r="15880" spans="1:7" ht="86.04" thickBot="1" customHeight="1">
      <c r="A15880" s="26"/>
      <c r="B15880" s="26"/>
      <c r="C15880" s="26"/>
      <c r="D15880" s="25" t="s">
        <v>49933</v>
      </c>
      <c r="E15880" s="25"/>
      <c r="F15880" s="25"/>
      <c r="G15880" s="25"/>
    </row>
    <row r="15881" spans="1:7" ht="30.60" thickBot="1" customHeight="1">
      <c r="A15881" s="10" t="s">
        <v>49934</v>
      </c>
      <c r="B15881" s="24" t="s">
        <v>49935</v>
      </c>
      <c r="C15881" s="24" t="s">
        <v>49936</v>
      </c>
      <c r="D15881" s="25" t="s">
        <v>49937</v>
      </c>
      <c r="E15881" s="26"/>
      <c r="F15881" s="27">
        <f ca="1">ROUND(6.140*(1+G2/100),2)</f>
        <v>0</v>
      </c>
      <c r="G15881" s="26"/>
    </row>
    <row r="15882" spans="1:7" ht="76.80" thickBot="1" customHeight="1">
      <c r="A15882" s="26"/>
      <c r="B15882" s="26"/>
      <c r="C15882" s="26"/>
      <c r="D15882" s="25" t="s">
        <v>49938</v>
      </c>
      <c r="E15882" s="25"/>
      <c r="F15882" s="25"/>
      <c r="G15882" s="25"/>
    </row>
    <row r="15883" spans="1:7" ht="30.60" thickBot="1" customHeight="1">
      <c r="A15883" s="10" t="s">
        <v>49939</v>
      </c>
      <c r="B15883" s="24" t="s">
        <v>49940</v>
      </c>
      <c r="C15883" s="24" t="s">
        <v>49941</v>
      </c>
      <c r="D15883" s="25" t="s">
        <v>49942</v>
      </c>
      <c r="E15883" s="26"/>
      <c r="F15883" s="27">
        <f ca="1">ROUND(0.480*(1+G2/100),2)</f>
        <v>0</v>
      </c>
      <c r="G15883" s="26"/>
    </row>
    <row r="15884" spans="1:7" ht="21.36" thickBot="1" customHeight="1">
      <c r="A15884" s="26"/>
      <c r="B15884" s="26"/>
      <c r="C15884" s="26"/>
      <c r="D15884" s="25" t="s">
        <v>49943</v>
      </c>
      <c r="E15884" s="25"/>
      <c r="F15884" s="25"/>
      <c r="G15884" s="25"/>
    </row>
    <row r="15885" spans="1:7" ht="39.84" thickBot="1" customHeight="1">
      <c r="A15885" s="10" t="s">
        <v>49944</v>
      </c>
      <c r="B15885" s="24" t="s">
        <v>49945</v>
      </c>
      <c r="C15885" s="24" t="s">
        <v>49946</v>
      </c>
      <c r="D15885" s="25" t="s">
        <v>49947</v>
      </c>
      <c r="E15885" s="26"/>
      <c r="F15885" s="27">
        <f ca="1">ROUND(0.550*(1+G2/100),2)</f>
        <v>0</v>
      </c>
      <c r="G15885" s="26"/>
    </row>
    <row r="15886" spans="1:7" ht="39.84" thickBot="1" customHeight="1">
      <c r="A15886" s="26"/>
      <c r="B15886" s="26"/>
      <c r="C15886" s="26"/>
      <c r="D15886" s="25" t="s">
        <v>49948</v>
      </c>
      <c r="E15886" s="25"/>
      <c r="F15886" s="25"/>
      <c r="G15886" s="25"/>
    </row>
    <row r="15887" spans="1:7" ht="30.60" thickBot="1" customHeight="1">
      <c r="A15887" s="10" t="s">
        <v>49949</v>
      </c>
      <c r="B15887" s="24" t="s">
        <v>49950</v>
      </c>
      <c r="C15887" s="24" t="s">
        <v>49951</v>
      </c>
      <c r="D15887" s="25" t="s">
        <v>49952</v>
      </c>
      <c r="E15887" s="26"/>
      <c r="F15887" s="27">
        <f ca="1">ROUND(3.990*(1+G2/100),2)</f>
        <v>0</v>
      </c>
      <c r="G15887" s="26"/>
    </row>
    <row r="15888" spans="1:7" ht="21.36" thickBot="1" customHeight="1">
      <c r="A15888" s="26"/>
      <c r="B15888" s="26"/>
      <c r="C15888" s="26"/>
      <c r="D15888" s="25" t="s">
        <v>49953</v>
      </c>
      <c r="E15888" s="25"/>
      <c r="F15888" s="25"/>
      <c r="G15888" s="25"/>
    </row>
    <row r="15889" spans="1:7" ht="30.60" thickBot="1" customHeight="1">
      <c r="A15889" s="10" t="s">
        <v>49954</v>
      </c>
      <c r="B15889" s="24" t="s">
        <v>49955</v>
      </c>
      <c r="C15889" s="24" t="s">
        <v>49956</v>
      </c>
      <c r="D15889" s="25" t="s">
        <v>49957</v>
      </c>
      <c r="E15889" s="26"/>
      <c r="F15889" s="27">
        <f ca="1">ROUND(0.950*(1+G2/100),2)</f>
        <v>0</v>
      </c>
      <c r="G15889" s="26"/>
    </row>
    <row r="15890" spans="1:7" ht="30.60" thickBot="1" customHeight="1">
      <c r="A15890" s="26"/>
      <c r="B15890" s="26"/>
      <c r="C15890" s="26"/>
      <c r="D15890" s="25" t="s">
        <v>49958</v>
      </c>
      <c r="E15890" s="25"/>
      <c r="F15890" s="25"/>
      <c r="G15890" s="25"/>
    </row>
    <row r="15891" spans="1:7" ht="30.60" thickBot="1" customHeight="1">
      <c r="A15891" s="10" t="s">
        <v>49959</v>
      </c>
      <c r="B15891" s="24" t="s">
        <v>49960</v>
      </c>
      <c r="C15891" s="24" t="s">
        <v>49961</v>
      </c>
      <c r="D15891" s="25" t="s">
        <v>49962</v>
      </c>
      <c r="E15891" s="26"/>
      <c r="F15891" s="27">
        <f ca="1">ROUND(1.630*(1+G2/100),2)</f>
        <v>0</v>
      </c>
      <c r="G15891" s="26"/>
    </row>
    <row r="15892" spans="1:7" ht="21.36" thickBot="1" customHeight="1">
      <c r="A15892" s="26"/>
      <c r="B15892" s="26"/>
      <c r="C15892" s="26"/>
      <c r="D15892" s="25" t="s">
        <v>49963</v>
      </c>
      <c r="E15892" s="25"/>
      <c r="F15892" s="25"/>
      <c r="G15892" s="25"/>
    </row>
    <row r="15893" spans="1:7" ht="30.60" thickBot="1" customHeight="1">
      <c r="A15893" s="10" t="s">
        <v>49964</v>
      </c>
      <c r="B15893" s="24" t="s">
        <v>49965</v>
      </c>
      <c r="C15893" s="24" t="s">
        <v>49966</v>
      </c>
      <c r="D15893" s="25" t="s">
        <v>49967</v>
      </c>
      <c r="E15893" s="26"/>
      <c r="F15893" s="27">
        <f ca="1">ROUND(1.730*(1+G2/100),2)</f>
        <v>0</v>
      </c>
      <c r="G15893" s="26"/>
    </row>
    <row r="15894" spans="1:7" ht="21.36" thickBot="1" customHeight="1">
      <c r="A15894" s="26"/>
      <c r="B15894" s="26"/>
      <c r="C15894" s="26"/>
      <c r="D15894" s="25" t="s">
        <v>49968</v>
      </c>
      <c r="E15894" s="25"/>
      <c r="F15894" s="25"/>
      <c r="G15894" s="25"/>
    </row>
    <row r="15895" spans="1:7" ht="39.84" thickBot="1" customHeight="1">
      <c r="A15895" s="10" t="s">
        <v>49969</v>
      </c>
      <c r="B15895" s="24" t="s">
        <v>49970</v>
      </c>
      <c r="C15895" s="24" t="s">
        <v>49971</v>
      </c>
      <c r="D15895" s="25" t="s">
        <v>49972</v>
      </c>
      <c r="E15895" s="26"/>
      <c r="F15895" s="27">
        <f ca="1">ROUND(4.140*(1+G2/100),2)</f>
        <v>0</v>
      </c>
      <c r="G15895" s="26"/>
    </row>
    <row r="15896" spans="1:7" ht="21.36" thickBot="1" customHeight="1">
      <c r="A15896" s="26"/>
      <c r="B15896" s="26"/>
      <c r="C15896" s="26"/>
      <c r="D15896" s="25" t="s">
        <v>49973</v>
      </c>
      <c r="E15896" s="25"/>
      <c r="F15896" s="25"/>
      <c r="G15896" s="25"/>
    </row>
    <row r="15897" spans="1:7" ht="39.84" thickBot="1" customHeight="1">
      <c r="A15897" s="10" t="s">
        <v>49974</v>
      </c>
      <c r="B15897" s="24" t="s">
        <v>49975</v>
      </c>
      <c r="C15897" s="24" t="s">
        <v>49976</v>
      </c>
      <c r="D15897" s="25" t="s">
        <v>49977</v>
      </c>
      <c r="E15897" s="26"/>
      <c r="F15897" s="27">
        <f ca="1">ROUND(4.590*(1+G2/100),2)</f>
        <v>0</v>
      </c>
      <c r="G15897" s="26"/>
    </row>
    <row r="15898" spans="1:7" ht="21.36" thickBot="1" customHeight="1">
      <c r="A15898" s="26"/>
      <c r="B15898" s="26"/>
      <c r="C15898" s="26"/>
      <c r="D15898" s="25" t="s">
        <v>49978</v>
      </c>
      <c r="E15898" s="25"/>
      <c r="F15898" s="25"/>
      <c r="G15898" s="25"/>
    </row>
    <row r="15899" spans="1:7" ht="30.60" thickBot="1" customHeight="1">
      <c r="A15899" s="10" t="s">
        <v>49979</v>
      </c>
      <c r="B15899" s="24" t="s">
        <v>49980</v>
      </c>
      <c r="C15899" s="24" t="s">
        <v>49981</v>
      </c>
      <c r="D15899" s="25" t="s">
        <v>49982</v>
      </c>
      <c r="E15899" s="26"/>
      <c r="F15899" s="27">
        <f ca="1">ROUND(12.310*(1+G2/100),2)</f>
        <v>0</v>
      </c>
      <c r="G15899" s="26"/>
    </row>
    <row r="15900" spans="1:7" ht="104.52" thickBot="1" customHeight="1">
      <c r="A15900" s="26"/>
      <c r="B15900" s="26"/>
      <c r="C15900" s="26"/>
      <c r="D15900" s="25" t="s">
        <v>49983</v>
      </c>
      <c r="E15900" s="25"/>
      <c r="F15900" s="25"/>
      <c r="G15900" s="25"/>
    </row>
    <row r="15901" spans="1:7" ht="39.84" thickBot="1" customHeight="1">
      <c r="A15901" s="10" t="s">
        <v>49984</v>
      </c>
      <c r="B15901" s="24" t="s">
        <v>49985</v>
      </c>
      <c r="C15901" s="24" t="s">
        <v>49986</v>
      </c>
      <c r="D15901" s="25" t="s">
        <v>49987</v>
      </c>
      <c r="E15901" s="26"/>
      <c r="F15901" s="27">
        <f ca="1">ROUND(11.380*(1+G2/100),2)</f>
        <v>0</v>
      </c>
      <c r="G15901" s="26"/>
    </row>
    <row r="15902" spans="1:7" ht="21.36" thickBot="1" customHeight="1">
      <c r="A15902" s="26"/>
      <c r="B15902" s="26"/>
      <c r="C15902" s="26"/>
      <c r="D15902" s="25" t="s">
        <v>49988</v>
      </c>
      <c r="E15902" s="25"/>
      <c r="F15902" s="25"/>
      <c r="G15902" s="25"/>
    </row>
    <row r="15903" spans="1:7" ht="39.84" thickBot="1" customHeight="1">
      <c r="A15903" s="10" t="s">
        <v>49989</v>
      </c>
      <c r="B15903" s="24" t="s">
        <v>49990</v>
      </c>
      <c r="C15903" s="24" t="s">
        <v>49991</v>
      </c>
      <c r="D15903" s="25" t="s">
        <v>49992</v>
      </c>
      <c r="E15903" s="26"/>
      <c r="F15903" s="27">
        <f ca="1">ROUND(16.670*(1+G2/100),2)</f>
        <v>0</v>
      </c>
      <c r="G15903" s="26"/>
    </row>
    <row r="15904" spans="1:7" ht="21.36" thickBot="1" customHeight="1">
      <c r="A15904" s="26"/>
      <c r="B15904" s="26"/>
      <c r="C15904" s="26"/>
      <c r="D15904" s="25" t="s">
        <v>49993</v>
      </c>
      <c r="E15904" s="25"/>
      <c r="F15904" s="25"/>
      <c r="G15904" s="25"/>
    </row>
    <row r="15905" spans="1:7" ht="30.60" thickBot="1" customHeight="1">
      <c r="A15905" s="10" t="s">
        <v>49994</v>
      </c>
      <c r="B15905" s="24" t="s">
        <v>49995</v>
      </c>
      <c r="C15905" s="24" t="s">
        <v>49996</v>
      </c>
      <c r="D15905" s="25" t="s">
        <v>49997</v>
      </c>
      <c r="E15905" s="26"/>
      <c r="F15905" s="27">
        <f ca="1">ROUND(17.990*(1+G2/100),2)</f>
        <v>0</v>
      </c>
      <c r="G15905" s="26"/>
    </row>
    <row r="15906" spans="1:7" ht="12.12" thickBot="1" customHeight="1">
      <c r="A15906" s="26"/>
      <c r="B15906" s="26"/>
      <c r="C15906" s="26"/>
      <c r="D15906" s="25" t="s">
        <v>49998</v>
      </c>
      <c r="E15906" s="25"/>
      <c r="F15906" s="25"/>
      <c r="G15906" s="25"/>
    </row>
    <row r="15907" spans="1:7" ht="30.60" thickBot="1" customHeight="1">
      <c r="A15907" s="10" t="s">
        <v>49999</v>
      </c>
      <c r="B15907" s="24" t="s">
        <v>50000</v>
      </c>
      <c r="C15907" s="24" t="s">
        <v>50001</v>
      </c>
      <c r="D15907" s="25" t="s">
        <v>50002</v>
      </c>
      <c r="E15907" s="26"/>
      <c r="F15907" s="27">
        <f ca="1">ROUND(2.720*(1+G2/100),2)</f>
        <v>0</v>
      </c>
      <c r="G15907" s="26"/>
    </row>
    <row r="15908" spans="1:7" ht="21.36" thickBot="1" customHeight="1">
      <c r="A15908" s="26"/>
      <c r="B15908" s="26"/>
      <c r="C15908" s="26"/>
      <c r="D15908" s="25" t="s">
        <v>50003</v>
      </c>
      <c r="E15908" s="25"/>
      <c r="F15908" s="25"/>
      <c r="G15908" s="25"/>
    </row>
    <row r="15909" spans="1:7" ht="30.60" thickBot="1" customHeight="1">
      <c r="A15909" s="10" t="s">
        <v>50004</v>
      </c>
      <c r="B15909" s="24" t="s">
        <v>50005</v>
      </c>
      <c r="C15909" s="24" t="s">
        <v>50006</v>
      </c>
      <c r="D15909" s="25" t="s">
        <v>50007</v>
      </c>
      <c r="E15909" s="26"/>
      <c r="F15909" s="27">
        <f ca="1">ROUND(1.920*(1+G2/100),2)</f>
        <v>0</v>
      </c>
      <c r="G15909" s="26"/>
    </row>
    <row r="15910" spans="1:7" ht="21.36" thickBot="1" customHeight="1">
      <c r="A15910" s="26"/>
      <c r="B15910" s="26"/>
      <c r="C15910" s="26"/>
      <c r="D15910" s="25" t="s">
        <v>50008</v>
      </c>
      <c r="E15910" s="25"/>
      <c r="F15910" s="25"/>
      <c r="G15910" s="25"/>
    </row>
    <row r="15911" spans="1:7" ht="30.60" thickBot="1" customHeight="1">
      <c r="A15911" s="10" t="s">
        <v>50009</v>
      </c>
      <c r="B15911" s="24" t="s">
        <v>50010</v>
      </c>
      <c r="C15911" s="24" t="s">
        <v>50011</v>
      </c>
      <c r="D15911" s="25" t="s">
        <v>50012</v>
      </c>
      <c r="E15911" s="26"/>
      <c r="F15911" s="27">
        <f ca="1">ROUND(0.120*(1+G2/100),2)</f>
        <v>0</v>
      </c>
      <c r="G15911" s="26"/>
    </row>
    <row r="15912" spans="1:7" ht="21.36" thickBot="1" customHeight="1">
      <c r="A15912" s="26"/>
      <c r="B15912" s="26"/>
      <c r="C15912" s="26"/>
      <c r="D15912" s="25" t="s">
        <v>50013</v>
      </c>
      <c r="E15912" s="25"/>
      <c r="F15912" s="25"/>
      <c r="G15912" s="25"/>
    </row>
    <row r="15913" spans="1:7" ht="30.60" thickBot="1" customHeight="1">
      <c r="A15913" s="10" t="s">
        <v>50014</v>
      </c>
      <c r="B15913" s="24" t="s">
        <v>50015</v>
      </c>
      <c r="C15913" s="24" t="s">
        <v>50016</v>
      </c>
      <c r="D15913" s="25" t="s">
        <v>50017</v>
      </c>
      <c r="E15913" s="26"/>
      <c r="F15913" s="27">
        <f ca="1">ROUND(0.160*(1+G2/100),2)</f>
        <v>0</v>
      </c>
      <c r="G15913" s="26"/>
    </row>
    <row r="15914" spans="1:7" ht="21.36" thickBot="1" customHeight="1">
      <c r="A15914" s="26"/>
      <c r="B15914" s="26"/>
      <c r="C15914" s="26"/>
      <c r="D15914" s="25" t="s">
        <v>50018</v>
      </c>
      <c r="E15914" s="25"/>
      <c r="F15914" s="25"/>
      <c r="G15914" s="25"/>
    </row>
    <row r="15915" spans="1:7" ht="30.60" thickBot="1" customHeight="1">
      <c r="A15915" s="10" t="s">
        <v>50019</v>
      </c>
      <c r="B15915" s="24" t="s">
        <v>50020</v>
      </c>
      <c r="C15915" s="24" t="s">
        <v>50021</v>
      </c>
      <c r="D15915" s="25" t="s">
        <v>50022</v>
      </c>
      <c r="E15915" s="26"/>
      <c r="F15915" s="27">
        <f ca="1">ROUND(0.240*(1+G2/100),2)</f>
        <v>0</v>
      </c>
      <c r="G15915" s="26"/>
    </row>
    <row r="15916" spans="1:7" ht="21.36" thickBot="1" customHeight="1">
      <c r="A15916" s="26"/>
      <c r="B15916" s="26"/>
      <c r="C15916" s="26"/>
      <c r="D15916" s="25" t="s">
        <v>50023</v>
      </c>
      <c r="E15916" s="25"/>
      <c r="F15916" s="25"/>
      <c r="G15916" s="25"/>
    </row>
    <row r="15917" spans="1:7" ht="30.60" thickBot="1" customHeight="1">
      <c r="A15917" s="10" t="s">
        <v>50024</v>
      </c>
      <c r="B15917" s="24" t="s">
        <v>50025</v>
      </c>
      <c r="C15917" s="24" t="s">
        <v>50026</v>
      </c>
      <c r="D15917" s="25" t="s">
        <v>50027</v>
      </c>
      <c r="E15917" s="26"/>
      <c r="F15917" s="27">
        <f ca="1">ROUND(6.500*(1+G2/100),2)</f>
        <v>0</v>
      </c>
      <c r="G15917" s="26"/>
    </row>
    <row r="15918" spans="1:7" ht="30.60" thickBot="1" customHeight="1">
      <c r="A15918" s="26"/>
      <c r="B15918" s="26"/>
      <c r="C15918" s="26"/>
      <c r="D15918" s="25" t="s">
        <v>50028</v>
      </c>
      <c r="E15918" s="25"/>
      <c r="F15918" s="25"/>
      <c r="G15918" s="25"/>
    </row>
    <row r="15919" spans="1:7" ht="30.60" thickBot="1" customHeight="1">
      <c r="A15919" s="10" t="s">
        <v>50029</v>
      </c>
      <c r="B15919" s="24" t="s">
        <v>50030</v>
      </c>
      <c r="C15919" s="24" t="s">
        <v>50031</v>
      </c>
      <c r="D15919" s="25" t="s">
        <v>50032</v>
      </c>
      <c r="E15919" s="26"/>
      <c r="F15919" s="27">
        <f ca="1">ROUND(1.850*(1+G2/100),2)</f>
        <v>0</v>
      </c>
      <c r="G15919" s="26"/>
    </row>
    <row r="15920" spans="1:7" ht="12.12" thickBot="1" customHeight="1">
      <c r="A15920" s="26"/>
      <c r="B15920" s="26"/>
      <c r="C15920" s="26"/>
      <c r="D15920" s="25" t="s">
        <v>50033</v>
      </c>
      <c r="E15920" s="25"/>
      <c r="F15920" s="25"/>
      <c r="G15920" s="25"/>
    </row>
    <row r="15921" spans="1:7" ht="30.60" thickBot="1" customHeight="1">
      <c r="A15921" s="10" t="s">
        <v>50034</v>
      </c>
      <c r="B15921" s="24" t="s">
        <v>50035</v>
      </c>
      <c r="C15921" s="24" t="s">
        <v>50036</v>
      </c>
      <c r="D15921" s="25" t="s">
        <v>50037</v>
      </c>
      <c r="E15921" s="26"/>
      <c r="F15921" s="27">
        <f ca="1">ROUND(0.740*(1+G2/100),2)</f>
        <v>0</v>
      </c>
      <c r="G15921" s="26"/>
    </row>
    <row r="15922" spans="1:7" ht="12.12" thickBot="1" customHeight="1">
      <c r="A15922" s="26"/>
      <c r="B15922" s="26"/>
      <c r="C15922" s="26"/>
      <c r="D15922" s="25" t="s">
        <v>50038</v>
      </c>
      <c r="E15922" s="25"/>
      <c r="F15922" s="25"/>
      <c r="G15922" s="25"/>
    </row>
    <row r="15923" spans="1:7" ht="30.60" thickBot="1" customHeight="1">
      <c r="A15923" s="10" t="s">
        <v>50039</v>
      </c>
      <c r="B15923" s="24" t="s">
        <v>50040</v>
      </c>
      <c r="C15923" s="24" t="s">
        <v>50041</v>
      </c>
      <c r="D15923" s="25" t="s">
        <v>50042</v>
      </c>
      <c r="E15923" s="26"/>
      <c r="F15923" s="27">
        <f ca="1">ROUND(1.290*(1+G2/100),2)</f>
        <v>0</v>
      </c>
      <c r="G15923" s="26"/>
    </row>
    <row r="15924" spans="1:7" ht="12.12" thickBot="1" customHeight="1">
      <c r="A15924" s="26"/>
      <c r="B15924" s="26"/>
      <c r="C15924" s="26"/>
      <c r="D15924" s="25" t="s">
        <v>50043</v>
      </c>
      <c r="E15924" s="25"/>
      <c r="F15924" s="25"/>
      <c r="G15924" s="25"/>
    </row>
    <row r="15925" spans="1:7" ht="21.36" thickBot="1" customHeight="1">
      <c r="A15925" s="10" t="s">
        <v>50044</v>
      </c>
      <c r="B15925" s="24" t="s">
        <v>50045</v>
      </c>
      <c r="C15925" s="24" t="s">
        <v>50046</v>
      </c>
      <c r="D15925" s="25" t="s">
        <v>50047</v>
      </c>
      <c r="E15925" s="26"/>
      <c r="F15925" s="27">
        <f ca="1">ROUND(6.490*(1+G2/100),2)</f>
        <v>0</v>
      </c>
      <c r="G15925" s="26"/>
    </row>
    <row r="15926" spans="1:7" ht="113.76" thickBot="1" customHeight="1">
      <c r="A15926" s="26"/>
      <c r="B15926" s="26"/>
      <c r="C15926" s="26"/>
      <c r="D15926" s="25" t="s">
        <v>50048</v>
      </c>
      <c r="E15926" s="25"/>
      <c r="F15926" s="25"/>
      <c r="G15926" s="25"/>
    </row>
    <row r="15927" spans="1:7" ht="49.08" thickBot="1" customHeight="1">
      <c r="A15927" s="10" t="s">
        <v>50049</v>
      </c>
      <c r="B15927" s="24" t="s">
        <v>50050</v>
      </c>
      <c r="C15927" s="24" t="s">
        <v>50051</v>
      </c>
      <c r="D15927" s="25" t="s">
        <v>50052</v>
      </c>
      <c r="E15927" s="26"/>
      <c r="F15927" s="27">
        <f ca="1">ROUND(31.840*(1+G2/100),2)</f>
        <v>0</v>
      </c>
      <c r="G15927" s="26"/>
    </row>
    <row r="15928" spans="1:7" ht="21.36" thickBot="1" customHeight="1">
      <c r="A15928" s="26"/>
      <c r="B15928" s="26"/>
      <c r="C15928" s="26"/>
      <c r="D15928" s="25" t="s">
        <v>50053</v>
      </c>
      <c r="E15928" s="25"/>
      <c r="F15928" s="25"/>
      <c r="G15928" s="25"/>
    </row>
    <row r="15929" spans="1:7" ht="30.60" thickBot="1" customHeight="1">
      <c r="A15929" s="10" t="s">
        <v>50054</v>
      </c>
      <c r="B15929" s="24" t="s">
        <v>50055</v>
      </c>
      <c r="C15929" s="24" t="s">
        <v>50056</v>
      </c>
      <c r="D15929" s="25" t="s">
        <v>50057</v>
      </c>
      <c r="E15929" s="26"/>
      <c r="F15929" s="27">
        <f ca="1">ROUND(3.080*(1+G2/100),2)</f>
        <v>0</v>
      </c>
      <c r="G15929" s="26"/>
    </row>
    <row r="15930" spans="1:7" ht="12.12" thickBot="1" customHeight="1">
      <c r="A15930" s="26"/>
      <c r="B15930" s="26"/>
      <c r="C15930" s="26"/>
      <c r="D15930" s="25" t="s">
        <v>50058</v>
      </c>
      <c r="E15930" s="25"/>
      <c r="F15930" s="25"/>
      <c r="G15930" s="25"/>
    </row>
    <row r="15931" spans="1:7" ht="21.36" thickBot="1" customHeight="1">
      <c r="A15931" s="10" t="s">
        <v>50059</v>
      </c>
      <c r="B15931" s="24" t="s">
        <v>50060</v>
      </c>
      <c r="C15931" s="24" t="s">
        <v>50061</v>
      </c>
      <c r="D15931" s="25" t="s">
        <v>50062</v>
      </c>
      <c r="E15931" s="26"/>
      <c r="F15931" s="27">
        <f ca="1">ROUND(2.950*(1+G2/100),2)</f>
        <v>0</v>
      </c>
      <c r="G15931" s="26"/>
    </row>
    <row r="15932" spans="1:7" ht="21.36" thickBot="1" customHeight="1">
      <c r="A15932" s="26"/>
      <c r="B15932" s="26"/>
      <c r="C15932" s="26"/>
      <c r="D15932" s="25" t="s">
        <v>50063</v>
      </c>
      <c r="E15932" s="25"/>
      <c r="F15932" s="25"/>
      <c r="G15932" s="25"/>
    </row>
    <row r="15933" spans="1:7" ht="39.84" thickBot="1" customHeight="1">
      <c r="A15933" s="10" t="s">
        <v>50064</v>
      </c>
      <c r="B15933" s="24" t="s">
        <v>50065</v>
      </c>
      <c r="C15933" s="24" t="s">
        <v>50066</v>
      </c>
      <c r="D15933" s="25" t="s">
        <v>50067</v>
      </c>
      <c r="E15933" s="26"/>
      <c r="F15933" s="27">
        <f ca="1">ROUND(0.620*(1+G2/100),2)</f>
        <v>0</v>
      </c>
      <c r="G15933" s="26"/>
    </row>
    <row r="15934" spans="1:7" ht="21.36" thickBot="1" customHeight="1">
      <c r="A15934" s="26"/>
      <c r="B15934" s="26"/>
      <c r="C15934" s="26"/>
      <c r="D15934" s="25" t="s">
        <v>50068</v>
      </c>
      <c r="E15934" s="25"/>
      <c r="F15934" s="25"/>
      <c r="G15934" s="25"/>
    </row>
    <row r="15935" spans="1:7" ht="39.84" thickBot="1" customHeight="1">
      <c r="A15935" s="10" t="s">
        <v>50069</v>
      </c>
      <c r="B15935" s="24" t="s">
        <v>50070</v>
      </c>
      <c r="C15935" s="24" t="s">
        <v>50071</v>
      </c>
      <c r="D15935" s="25" t="s">
        <v>50072</v>
      </c>
      <c r="E15935" s="26"/>
      <c r="F15935" s="27">
        <f ca="1">ROUND(15.090*(1+G2/100),2)</f>
        <v>0</v>
      </c>
      <c r="G15935" s="26"/>
    </row>
    <row r="15936" spans="1:7" ht="21.36" thickBot="1" customHeight="1">
      <c r="A15936" s="26"/>
      <c r="B15936" s="26"/>
      <c r="C15936" s="26"/>
      <c r="D15936" s="25" t="s">
        <v>50073</v>
      </c>
      <c r="E15936" s="25"/>
      <c r="F15936" s="25"/>
      <c r="G15936" s="25"/>
    </row>
    <row r="15937" spans="1:7" ht="39.84" thickBot="1" customHeight="1">
      <c r="A15937" s="10" t="s">
        <v>50074</v>
      </c>
      <c r="B15937" s="24" t="s">
        <v>50075</v>
      </c>
      <c r="C15937" s="24" t="s">
        <v>50076</v>
      </c>
      <c r="D15937" s="25" t="s">
        <v>50077</v>
      </c>
      <c r="E15937" s="26"/>
      <c r="F15937" s="27">
        <f ca="1">ROUND(2.190*(1+G2/100),2)</f>
        <v>0</v>
      </c>
      <c r="G15937" s="26"/>
    </row>
    <row r="15938" spans="1:7" ht="21.36" thickBot="1" customHeight="1">
      <c r="A15938" s="26"/>
      <c r="B15938" s="26"/>
      <c r="C15938" s="26"/>
      <c r="D15938" s="25" t="s">
        <v>50078</v>
      </c>
      <c r="E15938" s="25"/>
      <c r="F15938" s="25"/>
      <c r="G15938" s="25"/>
    </row>
    <row r="15939" spans="1:7" ht="39.84" thickBot="1" customHeight="1">
      <c r="A15939" s="10" t="s">
        <v>50079</v>
      </c>
      <c r="B15939" s="24" t="s">
        <v>50080</v>
      </c>
      <c r="C15939" s="24" t="s">
        <v>50081</v>
      </c>
      <c r="D15939" s="25" t="s">
        <v>50082</v>
      </c>
      <c r="E15939" s="26"/>
      <c r="F15939" s="27">
        <f ca="1">ROUND(2.190*(1+G2/100),2)</f>
        <v>0</v>
      </c>
      <c r="G15939" s="26"/>
    </row>
    <row r="15940" spans="1:7" ht="21.36" thickBot="1" customHeight="1">
      <c r="A15940" s="26"/>
      <c r="B15940" s="26"/>
      <c r="C15940" s="26"/>
      <c r="D15940" s="25" t="s">
        <v>50083</v>
      </c>
      <c r="E15940" s="25"/>
      <c r="F15940" s="25"/>
      <c r="G15940" s="25"/>
    </row>
    <row r="15941" spans="1:7" ht="21.36" thickBot="1" customHeight="1">
      <c r="A15941" s="10" t="s">
        <v>50084</v>
      </c>
      <c r="B15941" s="24" t="s">
        <v>50085</v>
      </c>
      <c r="C15941" s="24" t="s">
        <v>50086</v>
      </c>
      <c r="D15941" s="25" t="s">
        <v>50087</v>
      </c>
      <c r="E15941" s="26"/>
      <c r="F15941" s="27">
        <f ca="1">ROUND(4.800*(1+G2/100),2)</f>
        <v>0</v>
      </c>
      <c r="G15941" s="26"/>
    </row>
    <row r="15942" spans="1:7" ht="21.36" thickBot="1" customHeight="1">
      <c r="A15942" s="26"/>
      <c r="B15942" s="26"/>
      <c r="C15942" s="26"/>
      <c r="D15942" s="25" t="s">
        <v>50088</v>
      </c>
      <c r="E15942" s="25"/>
      <c r="F15942" s="25"/>
      <c r="G15942" s="25"/>
    </row>
    <row r="15943" spans="1:7" ht="30.60" thickBot="1" customHeight="1">
      <c r="A15943" s="10" t="s">
        <v>50089</v>
      </c>
      <c r="B15943" s="24" t="s">
        <v>50090</v>
      </c>
      <c r="C15943" s="24" t="s">
        <v>50091</v>
      </c>
      <c r="D15943" s="25" t="s">
        <v>50092</v>
      </c>
      <c r="E15943" s="26"/>
      <c r="F15943" s="27">
        <f ca="1">ROUND(5.890*(1+G2/100),2)</f>
        <v>0</v>
      </c>
      <c r="G15943" s="26"/>
    </row>
    <row r="15944" spans="1:7" ht="58.32" thickBot="1" customHeight="1">
      <c r="A15944" s="26"/>
      <c r="B15944" s="26"/>
      <c r="C15944" s="26"/>
      <c r="D15944" s="25" t="s">
        <v>50093</v>
      </c>
      <c r="E15944" s="25"/>
      <c r="F15944" s="25"/>
      <c r="G15944" s="25"/>
    </row>
    <row r="15945" spans="1:7" ht="39.84" thickBot="1" customHeight="1">
      <c r="A15945" s="10" t="s">
        <v>50094</v>
      </c>
      <c r="B15945" s="24" t="s">
        <v>50095</v>
      </c>
      <c r="C15945" s="24" t="s">
        <v>50096</v>
      </c>
      <c r="D15945" s="25" t="s">
        <v>50097</v>
      </c>
      <c r="E15945" s="26"/>
      <c r="F15945" s="27">
        <f ca="1">ROUND(7.370*(1+G2/100),2)</f>
        <v>0</v>
      </c>
      <c r="G15945" s="26"/>
    </row>
    <row r="15946" spans="1:7" ht="86.04" thickBot="1" customHeight="1">
      <c r="A15946" s="26"/>
      <c r="B15946" s="26"/>
      <c r="C15946" s="26"/>
      <c r="D15946" s="25" t="s">
        <v>50098</v>
      </c>
      <c r="E15946" s="25"/>
      <c r="F15946" s="25"/>
      <c r="G15946" s="25"/>
    </row>
    <row r="15947" spans="1:7" ht="21.36" thickBot="1" customHeight="1">
      <c r="A15947" s="10" t="s">
        <v>50099</v>
      </c>
      <c r="B15947" s="24" t="s">
        <v>50100</v>
      </c>
      <c r="C15947" s="24" t="s">
        <v>50101</v>
      </c>
      <c r="D15947" s="25" t="s">
        <v>50102</v>
      </c>
      <c r="E15947" s="26"/>
      <c r="F15947" s="27">
        <f ca="1">ROUND(3.770*(1+G2/100),2)</f>
        <v>0</v>
      </c>
      <c r="G15947" s="26"/>
    </row>
    <row r="15948" spans="1:7" ht="21.36" thickBot="1" customHeight="1">
      <c r="A15948" s="26"/>
      <c r="B15948" s="26"/>
      <c r="C15948" s="26"/>
      <c r="D15948" s="25" t="s">
        <v>50103</v>
      </c>
      <c r="E15948" s="25"/>
      <c r="F15948" s="25"/>
      <c r="G15948" s="25"/>
    </row>
    <row r="15949" spans="1:7" ht="21.36" thickBot="1" customHeight="1">
      <c r="A15949" s="10" t="s">
        <v>50104</v>
      </c>
      <c r="B15949" s="24" t="s">
        <v>50105</v>
      </c>
      <c r="C15949" s="24" t="s">
        <v>50106</v>
      </c>
      <c r="D15949" s="25" t="s">
        <v>50107</v>
      </c>
      <c r="E15949" s="26"/>
      <c r="F15949" s="27">
        <f ca="1">ROUND(3.900*(1+G2/100),2)</f>
        <v>0</v>
      </c>
      <c r="G15949" s="26"/>
    </row>
    <row r="15950" spans="1:7" ht="21.36" thickBot="1" customHeight="1">
      <c r="A15950" s="26"/>
      <c r="B15950" s="26"/>
      <c r="C15950" s="26"/>
      <c r="D15950" s="25" t="s">
        <v>50108</v>
      </c>
      <c r="E15950" s="25"/>
      <c r="F15950" s="25"/>
      <c r="G15950" s="25"/>
    </row>
    <row r="15951" spans="1:7" ht="21.36" thickBot="1" customHeight="1">
      <c r="A15951" s="10" t="s">
        <v>50109</v>
      </c>
      <c r="B15951" s="24" t="s">
        <v>50110</v>
      </c>
      <c r="C15951" s="24" t="s">
        <v>50111</v>
      </c>
      <c r="D15951" s="25" t="s">
        <v>50112</v>
      </c>
      <c r="E15951" s="26"/>
      <c r="F15951" s="27">
        <f ca="1">ROUND(3.770*(1+G2/100),2)</f>
        <v>0</v>
      </c>
      <c r="G15951" s="26"/>
    </row>
    <row r="15952" spans="1:7" ht="21.36" thickBot="1" customHeight="1">
      <c r="A15952" s="26"/>
      <c r="B15952" s="26"/>
      <c r="C15952" s="26"/>
      <c r="D15952" s="25" t="s">
        <v>50113</v>
      </c>
      <c r="E15952" s="25"/>
      <c r="F15952" s="25"/>
      <c r="G15952" s="25"/>
    </row>
    <row r="15953" spans="1:7" ht="21.36" thickBot="1" customHeight="1">
      <c r="A15953" s="10" t="s">
        <v>50114</v>
      </c>
      <c r="B15953" s="24" t="s">
        <v>50115</v>
      </c>
      <c r="C15953" s="24" t="s">
        <v>50116</v>
      </c>
      <c r="D15953" s="25" t="s">
        <v>50117</v>
      </c>
      <c r="E15953" s="26"/>
      <c r="F15953" s="27">
        <f ca="1">ROUND(3.990*(1+G2/100),2)</f>
        <v>0</v>
      </c>
      <c r="G15953" s="26"/>
    </row>
    <row r="15954" spans="1:7" ht="21.36" thickBot="1" customHeight="1">
      <c r="A15954" s="26"/>
      <c r="B15954" s="26"/>
      <c r="C15954" s="26"/>
      <c r="D15954" s="25" t="s">
        <v>50118</v>
      </c>
      <c r="E15954" s="25"/>
      <c r="F15954" s="25"/>
      <c r="G15954" s="25"/>
    </row>
    <row r="15955" spans="1:7" ht="39.84" thickBot="1" customHeight="1">
      <c r="A15955" s="10" t="s">
        <v>50119</v>
      </c>
      <c r="B15955" s="24" t="s">
        <v>50120</v>
      </c>
      <c r="C15955" s="24" t="s">
        <v>50121</v>
      </c>
      <c r="D15955" s="25" t="s">
        <v>50122</v>
      </c>
      <c r="E15955" s="26"/>
      <c r="F15955" s="27">
        <f ca="1">ROUND(5.690*(1+G2/100),2)</f>
        <v>0</v>
      </c>
      <c r="G15955" s="26"/>
    </row>
    <row r="15956" spans="1:7" ht="86.04" thickBot="1" customHeight="1">
      <c r="A15956" s="26"/>
      <c r="B15956" s="26"/>
      <c r="C15956" s="26"/>
      <c r="D15956" s="25" t="s">
        <v>50123</v>
      </c>
      <c r="E15956" s="25"/>
      <c r="F15956" s="25"/>
      <c r="G15956" s="25"/>
    </row>
    <row r="15957" spans="1:7" ht="30.60" thickBot="1" customHeight="1">
      <c r="A15957" s="10" t="s">
        <v>50124</v>
      </c>
      <c r="B15957" s="24" t="s">
        <v>50125</v>
      </c>
      <c r="C15957" s="24" t="s">
        <v>50126</v>
      </c>
      <c r="D15957" s="25" t="s">
        <v>50127</v>
      </c>
      <c r="E15957" s="26"/>
      <c r="F15957" s="27">
        <f ca="1">ROUND(4.800*(1+G2/100),2)</f>
        <v>0</v>
      </c>
      <c r="G15957" s="26"/>
    </row>
    <row r="15958" spans="1:7" ht="58.32" thickBot="1" customHeight="1">
      <c r="A15958" s="26"/>
      <c r="B15958" s="26"/>
      <c r="C15958" s="26"/>
      <c r="D15958" s="25" t="s">
        <v>50128</v>
      </c>
      <c r="E15958" s="25"/>
      <c r="F15958" s="25"/>
      <c r="G15958" s="25"/>
    </row>
    <row r="15959" spans="1:7" ht="39.84" thickBot="1" customHeight="1">
      <c r="A15959" s="10" t="s">
        <v>50129</v>
      </c>
      <c r="B15959" s="24" t="s">
        <v>50130</v>
      </c>
      <c r="C15959" s="24" t="s">
        <v>50131</v>
      </c>
      <c r="D15959" s="25" t="s">
        <v>50132</v>
      </c>
      <c r="E15959" s="26"/>
      <c r="F15959" s="27">
        <f ca="1">ROUND(12.030*(1+G2/100),2)</f>
        <v>0</v>
      </c>
      <c r="G15959" s="26"/>
    </row>
    <row r="15960" spans="1:7" ht="159.96" thickBot="1" customHeight="1">
      <c r="A15960" s="26"/>
      <c r="B15960" s="26"/>
      <c r="C15960" s="26"/>
      <c r="D15960" s="25" t="s">
        <v>50133</v>
      </c>
      <c r="E15960" s="25"/>
      <c r="F15960" s="25"/>
      <c r="G15960" s="25"/>
    </row>
    <row r="15961" spans="1:7" ht="30.60" thickBot="1" customHeight="1">
      <c r="A15961" s="10" t="s">
        <v>50134</v>
      </c>
      <c r="B15961" s="24" t="s">
        <v>50135</v>
      </c>
      <c r="C15961" s="24" t="s">
        <v>50136</v>
      </c>
      <c r="D15961" s="25" t="s">
        <v>50137</v>
      </c>
      <c r="E15961" s="26"/>
      <c r="F15961" s="27">
        <f ca="1">ROUND(70.220*(1+G2/100),2)</f>
        <v>0</v>
      </c>
      <c r="G15961" s="26"/>
    </row>
    <row r="15962" spans="1:7" ht="21.36" thickBot="1" customHeight="1">
      <c r="A15962" s="26"/>
      <c r="B15962" s="26"/>
      <c r="C15962" s="26"/>
      <c r="D15962" s="25" t="s">
        <v>50138</v>
      </c>
      <c r="E15962" s="25"/>
      <c r="F15962" s="25"/>
      <c r="G15962" s="25"/>
    </row>
    <row r="15963" spans="1:7" ht="30.60" thickBot="1" customHeight="1">
      <c r="A15963" s="10" t="s">
        <v>50139</v>
      </c>
      <c r="B15963" s="24" t="s">
        <v>50140</v>
      </c>
      <c r="C15963" s="24" t="s">
        <v>50141</v>
      </c>
      <c r="D15963" s="25" t="s">
        <v>50142</v>
      </c>
      <c r="E15963" s="26"/>
      <c r="F15963" s="27">
        <f ca="1">ROUND(82.110*(1+G2/100),2)</f>
        <v>0</v>
      </c>
      <c r="G15963" s="26"/>
    </row>
    <row r="15964" spans="1:7" ht="21.36" thickBot="1" customHeight="1">
      <c r="A15964" s="26"/>
      <c r="B15964" s="26"/>
      <c r="C15964" s="26"/>
      <c r="D15964" s="25" t="s">
        <v>50143</v>
      </c>
      <c r="E15964" s="25"/>
      <c r="F15964" s="25"/>
      <c r="G15964" s="25"/>
    </row>
    <row r="15965" spans="1:7" ht="30.60" thickBot="1" customHeight="1">
      <c r="A15965" s="10" t="s">
        <v>50144</v>
      </c>
      <c r="B15965" s="24" t="s">
        <v>50145</v>
      </c>
      <c r="C15965" s="24" t="s">
        <v>50146</v>
      </c>
      <c r="D15965" s="25" t="s">
        <v>50147</v>
      </c>
      <c r="E15965" s="26"/>
      <c r="F15965" s="27">
        <f ca="1">ROUND(16.440*(1+G2/100),2)</f>
        <v>0</v>
      </c>
      <c r="G15965" s="26"/>
    </row>
    <row r="15966" spans="1:7" ht="12.12" thickBot="1" customHeight="1">
      <c r="A15966" s="26"/>
      <c r="B15966" s="26"/>
      <c r="C15966" s="26"/>
      <c r="D15966" s="25" t="s">
        <v>50148</v>
      </c>
      <c r="E15966" s="25"/>
      <c r="F15966" s="25"/>
      <c r="G15966" s="25"/>
    </row>
    <row r="15967" spans="1:7" ht="39.84" thickBot="1" customHeight="1">
      <c r="A15967" s="10" t="s">
        <v>50149</v>
      </c>
      <c r="B15967" s="24" t="s">
        <v>50150</v>
      </c>
      <c r="C15967" s="24" t="s">
        <v>50151</v>
      </c>
      <c r="D15967" s="25" t="s">
        <v>50152</v>
      </c>
      <c r="E15967" s="26"/>
      <c r="F15967" s="27">
        <f ca="1">ROUND(20.910*(1+G2/100),2)</f>
        <v>0</v>
      </c>
      <c r="G15967" s="26"/>
    </row>
    <row r="15968" spans="1:7" ht="67.56" thickBot="1" customHeight="1">
      <c r="A15968" s="26"/>
      <c r="B15968" s="26"/>
      <c r="C15968" s="26"/>
      <c r="D15968" s="25" t="s">
        <v>50153</v>
      </c>
      <c r="E15968" s="25"/>
      <c r="F15968" s="25"/>
      <c r="G15968" s="25"/>
    </row>
    <row r="15969" spans="1:7" ht="30.60" thickBot="1" customHeight="1">
      <c r="A15969" s="10" t="s">
        <v>50154</v>
      </c>
      <c r="B15969" s="24" t="s">
        <v>50155</v>
      </c>
      <c r="C15969" s="24" t="s">
        <v>50156</v>
      </c>
      <c r="D15969" s="25" t="s">
        <v>50157</v>
      </c>
      <c r="E15969" s="26"/>
      <c r="F15969" s="27">
        <f ca="1">ROUND(1.610*(1+G2/100),2)</f>
        <v>0</v>
      </c>
      <c r="G15969" s="26"/>
    </row>
    <row r="15970" spans="1:7" ht="39.84" thickBot="1" customHeight="1">
      <c r="A15970" s="26"/>
      <c r="B15970" s="26"/>
      <c r="C15970" s="26"/>
      <c r="D15970" s="25" t="s">
        <v>50158</v>
      </c>
      <c r="E15970" s="25"/>
      <c r="F15970" s="25"/>
      <c r="G15970" s="25"/>
    </row>
    <row r="15971" spans="1:7" ht="15.48" thickBot="1" customHeight="1">
      <c r="A15971" s="10" t="s">
        <v>50159</v>
      </c>
      <c r="B15971" s="24" t="s">
        <v>50160</v>
      </c>
      <c r="C15971" s="24" t="s">
        <v>50161</v>
      </c>
      <c r="D15971" s="25" t="s">
        <v>50162</v>
      </c>
      <c r="E15971" s="26"/>
      <c r="F15971" s="27">
        <f ca="1">ROUND(10.000*(1+G2/100),2)</f>
        <v>0</v>
      </c>
      <c r="G15971" s="26"/>
    </row>
    <row r="15972" spans="1:7" ht="12.12" thickBot="1" customHeight="1">
      <c r="A15972" s="26"/>
      <c r="B15972" s="26"/>
      <c r="C15972" s="26"/>
      <c r="D15972" s="25" t="s">
        <v>50163</v>
      </c>
      <c r="E15972" s="25"/>
      <c r="F15972" s="25"/>
      <c r="G15972" s="25"/>
    </row>
    <row r="15973" spans="1:7" ht="15.48" thickBot="1" customHeight="1">
      <c r="A15973" s="30"/>
      <c r="B15973" s="30"/>
      <c r="C15973" s="30"/>
      <c r="D15973" s="79" t="s">
        <v>50164</v>
      </c>
      <c r="E15973" s="80"/>
      <c r="F15973" s="80"/>
      <c r="G15973" s="80"/>
    </row>
    <row r="15974" spans="1:7" ht="25.08" thickBot="1" customHeight="1">
      <c r="A15974" s="52" t="s">
        <v>50165</v>
      </c>
      <c r="B15974" s="52" t="s">
        <v>50166</v>
      </c>
      <c r="C15974" s="53"/>
      <c r="D15974" s="54" t="s">
        <v>50167</v>
      </c>
      <c r="E15974" s="53"/>
      <c r="F15974" s="53"/>
      <c r="G15974" s="53"/>
    </row>
    <row r="15975" spans="1:7" ht="22.08" thickBot="1" customHeight="1">
      <c r="A15975" s="21" t="s">
        <v>50168</v>
      </c>
      <c r="B15975" s="21" t="s">
        <v>50169</v>
      </c>
      <c r="C15975" s="22"/>
      <c r="D15975" s="23" t="s">
        <v>50170</v>
      </c>
      <c r="E15975" s="22"/>
      <c r="F15975" s="22"/>
      <c r="G15975" s="22"/>
    </row>
    <row r="15976" spans="1:7" ht="21.36" thickBot="1" customHeight="1">
      <c r="A15976" s="10" t="s">
        <v>50171</v>
      </c>
      <c r="B15976" s="24" t="s">
        <v>50172</v>
      </c>
      <c r="C15976" s="24" t="s">
        <v>50173</v>
      </c>
      <c r="D15976" s="25" t="s">
        <v>50174</v>
      </c>
      <c r="E15976" s="26"/>
      <c r="F15976" s="27">
        <f ca="1">ROUND(4.460*(1+G2/100),2)</f>
        <v>0</v>
      </c>
      <c r="G15976" s="26"/>
    </row>
    <row r="15977" spans="1:7" ht="12.12" thickBot="1" customHeight="1">
      <c r="A15977" s="26"/>
      <c r="B15977" s="26"/>
      <c r="C15977" s="26"/>
      <c r="D15977" s="25" t="s">
        <v>50175</v>
      </c>
      <c r="E15977" s="25"/>
      <c r="F15977" s="25"/>
      <c r="G15977" s="25"/>
    </row>
    <row r="15978" spans="1:7" ht="21.36" thickBot="1" customHeight="1">
      <c r="A15978" s="10" t="s">
        <v>50176</v>
      </c>
      <c r="B15978" s="24" t="s">
        <v>50177</v>
      </c>
      <c r="C15978" s="24" t="s">
        <v>50178</v>
      </c>
      <c r="D15978" s="25" t="s">
        <v>50179</v>
      </c>
      <c r="E15978" s="26"/>
      <c r="F15978" s="27">
        <f ca="1">ROUND(1.040*(1+G2/100),2)</f>
        <v>0</v>
      </c>
      <c r="G15978" s="26"/>
    </row>
    <row r="15979" spans="1:7" ht="12.12" thickBot="1" customHeight="1">
      <c r="A15979" s="26"/>
      <c r="B15979" s="26"/>
      <c r="C15979" s="26"/>
      <c r="D15979" s="25" t="s">
        <v>50180</v>
      </c>
      <c r="E15979" s="25"/>
      <c r="F15979" s="25"/>
      <c r="G15979" s="25"/>
    </row>
    <row r="15980" spans="1:7" ht="21.36" thickBot="1" customHeight="1">
      <c r="A15980" s="10" t="s">
        <v>50181</v>
      </c>
      <c r="B15980" s="24" t="s">
        <v>50182</v>
      </c>
      <c r="C15980" s="24" t="s">
        <v>50183</v>
      </c>
      <c r="D15980" s="25" t="s">
        <v>50184</v>
      </c>
      <c r="E15980" s="26"/>
      <c r="F15980" s="27">
        <f ca="1">ROUND(1.450*(1+G2/100),2)</f>
        <v>0</v>
      </c>
      <c r="G15980" s="26"/>
    </row>
    <row r="15981" spans="1:7" ht="12.12" thickBot="1" customHeight="1">
      <c r="A15981" s="26"/>
      <c r="B15981" s="26"/>
      <c r="C15981" s="26"/>
      <c r="D15981" s="25" t="s">
        <v>50185</v>
      </c>
      <c r="E15981" s="25"/>
      <c r="F15981" s="25"/>
      <c r="G15981" s="25"/>
    </row>
    <row r="15982" spans="1:7" ht="21.36" thickBot="1" customHeight="1">
      <c r="A15982" s="10" t="s">
        <v>50186</v>
      </c>
      <c r="B15982" s="24" t="s">
        <v>50187</v>
      </c>
      <c r="C15982" s="24" t="s">
        <v>50188</v>
      </c>
      <c r="D15982" s="25" t="s">
        <v>50189</v>
      </c>
      <c r="E15982" s="26"/>
      <c r="F15982" s="27">
        <f ca="1">ROUND(2.150*(1+G2/100),2)</f>
        <v>0</v>
      </c>
      <c r="G15982" s="26"/>
    </row>
    <row r="15983" spans="1:7" ht="12.12" thickBot="1" customHeight="1">
      <c r="A15983" s="26"/>
      <c r="B15983" s="26"/>
      <c r="C15983" s="26"/>
      <c r="D15983" s="25" t="s">
        <v>50190</v>
      </c>
      <c r="E15983" s="25"/>
      <c r="F15983" s="25"/>
      <c r="G15983" s="25"/>
    </row>
    <row r="15984" spans="1:7" ht="21.36" thickBot="1" customHeight="1">
      <c r="A15984" s="10" t="s">
        <v>50191</v>
      </c>
      <c r="B15984" s="24" t="s">
        <v>50192</v>
      </c>
      <c r="C15984" s="24" t="s">
        <v>50193</v>
      </c>
      <c r="D15984" s="25" t="s">
        <v>50194</v>
      </c>
      <c r="E15984" s="26"/>
      <c r="F15984" s="27">
        <f ca="1">ROUND(1.200*(1+G2/100),2)</f>
        <v>0</v>
      </c>
      <c r="G15984" s="26"/>
    </row>
    <row r="15985" spans="1:7" ht="12.12" thickBot="1" customHeight="1">
      <c r="A15985" s="26"/>
      <c r="B15985" s="26"/>
      <c r="C15985" s="26"/>
      <c r="D15985" s="25" t="s">
        <v>50195</v>
      </c>
      <c r="E15985" s="25"/>
      <c r="F15985" s="25"/>
      <c r="G15985" s="25"/>
    </row>
    <row r="15986" spans="1:7" ht="21.36" thickBot="1" customHeight="1">
      <c r="A15986" s="10" t="s">
        <v>50196</v>
      </c>
      <c r="B15986" s="24" t="s">
        <v>50197</v>
      </c>
      <c r="C15986" s="24" t="s">
        <v>50198</v>
      </c>
      <c r="D15986" s="25" t="s">
        <v>50199</v>
      </c>
      <c r="E15986" s="26"/>
      <c r="F15986" s="27">
        <f ca="1">ROUND(1.710*(1+G2/100),2)</f>
        <v>0</v>
      </c>
      <c r="G15986" s="26"/>
    </row>
    <row r="15987" spans="1:7" ht="12.12" thickBot="1" customHeight="1">
      <c r="A15987" s="26"/>
      <c r="B15987" s="26"/>
      <c r="C15987" s="26"/>
      <c r="D15987" s="25" t="s">
        <v>50200</v>
      </c>
      <c r="E15987" s="25"/>
      <c r="F15987" s="25"/>
      <c r="G15987" s="25"/>
    </row>
    <row r="15988" spans="1:7" ht="21.36" thickBot="1" customHeight="1">
      <c r="A15988" s="10" t="s">
        <v>50201</v>
      </c>
      <c r="B15988" s="24" t="s">
        <v>50202</v>
      </c>
      <c r="C15988" s="24" t="s">
        <v>50203</v>
      </c>
      <c r="D15988" s="25" t="s">
        <v>50204</v>
      </c>
      <c r="E15988" s="26"/>
      <c r="F15988" s="27">
        <f ca="1">ROUND(2.930*(1+G2/100),2)</f>
        <v>0</v>
      </c>
      <c r="G15988" s="26"/>
    </row>
    <row r="15989" spans="1:7" ht="12.12" thickBot="1" customHeight="1">
      <c r="A15989" s="26"/>
      <c r="B15989" s="26"/>
      <c r="C15989" s="26"/>
      <c r="D15989" s="25" t="s">
        <v>50205</v>
      </c>
      <c r="E15989" s="25"/>
      <c r="F15989" s="25"/>
      <c r="G15989" s="25"/>
    </row>
    <row r="15990" spans="1:7" ht="30.60" thickBot="1" customHeight="1">
      <c r="A15990" s="10" t="s">
        <v>50206</v>
      </c>
      <c r="B15990" s="24" t="s">
        <v>50207</v>
      </c>
      <c r="C15990" s="24" t="s">
        <v>50208</v>
      </c>
      <c r="D15990" s="25" t="s">
        <v>50209</v>
      </c>
      <c r="E15990" s="26"/>
      <c r="F15990" s="27">
        <f ca="1">ROUND(5.210*(1+G2/100),2)</f>
        <v>0</v>
      </c>
      <c r="G15990" s="26"/>
    </row>
    <row r="15991" spans="1:7" ht="12.12" thickBot="1" customHeight="1">
      <c r="A15991" s="26"/>
      <c r="B15991" s="26"/>
      <c r="C15991" s="26"/>
      <c r="D15991" s="25" t="s">
        <v>50210</v>
      </c>
      <c r="E15991" s="25"/>
      <c r="F15991" s="25"/>
      <c r="G15991" s="25"/>
    </row>
    <row r="15992" spans="1:7" ht="30.60" thickBot="1" customHeight="1">
      <c r="A15992" s="10" t="s">
        <v>50211</v>
      </c>
      <c r="B15992" s="24" t="s">
        <v>50212</v>
      </c>
      <c r="C15992" s="24" t="s">
        <v>50213</v>
      </c>
      <c r="D15992" s="25" t="s">
        <v>50214</v>
      </c>
      <c r="E15992" s="26"/>
      <c r="F15992" s="27">
        <f ca="1">ROUND(5.410*(1+G2/100),2)</f>
        <v>0</v>
      </c>
      <c r="G15992" s="26"/>
    </row>
    <row r="15993" spans="1:7" ht="12.12" thickBot="1" customHeight="1">
      <c r="A15993" s="26"/>
      <c r="B15993" s="26"/>
      <c r="C15993" s="26"/>
      <c r="D15993" s="25" t="s">
        <v>50215</v>
      </c>
      <c r="E15993" s="25"/>
      <c r="F15993" s="25"/>
      <c r="G15993" s="25"/>
    </row>
    <row r="15994" spans="1:7" ht="30.60" thickBot="1" customHeight="1">
      <c r="A15994" s="10" t="s">
        <v>50216</v>
      </c>
      <c r="B15994" s="24" t="s">
        <v>50217</v>
      </c>
      <c r="C15994" s="24" t="s">
        <v>50218</v>
      </c>
      <c r="D15994" s="25" t="s">
        <v>50219</v>
      </c>
      <c r="E15994" s="26"/>
      <c r="F15994" s="27">
        <f ca="1">ROUND(7.990*(1+G2/100),2)</f>
        <v>0</v>
      </c>
      <c r="G15994" s="26"/>
    </row>
    <row r="15995" spans="1:7" ht="12.12" thickBot="1" customHeight="1">
      <c r="A15995" s="26"/>
      <c r="B15995" s="26"/>
      <c r="C15995" s="26"/>
      <c r="D15995" s="25" t="s">
        <v>50220</v>
      </c>
      <c r="E15995" s="25"/>
      <c r="F15995" s="25"/>
      <c r="G15995" s="25"/>
    </row>
    <row r="15996" spans="1:7" ht="30.60" thickBot="1" customHeight="1">
      <c r="A15996" s="10" t="s">
        <v>50221</v>
      </c>
      <c r="B15996" s="24" t="s">
        <v>50222</v>
      </c>
      <c r="C15996" s="24" t="s">
        <v>50223</v>
      </c>
      <c r="D15996" s="25" t="s">
        <v>50224</v>
      </c>
      <c r="E15996" s="26"/>
      <c r="F15996" s="27">
        <f ca="1">ROUND(4.090*(1+G2/100),2)</f>
        <v>0</v>
      </c>
      <c r="G15996" s="26"/>
    </row>
    <row r="15997" spans="1:7" ht="12.12" thickBot="1" customHeight="1">
      <c r="A15997" s="26"/>
      <c r="B15997" s="26"/>
      <c r="C15997" s="26"/>
      <c r="D15997" s="25" t="s">
        <v>50225</v>
      </c>
      <c r="E15997" s="25"/>
      <c r="F15997" s="25"/>
      <c r="G15997" s="25"/>
    </row>
    <row r="15998" spans="1:7" ht="30.60" thickBot="1" customHeight="1">
      <c r="A15998" s="10" t="s">
        <v>50226</v>
      </c>
      <c r="B15998" s="24" t="s">
        <v>50227</v>
      </c>
      <c r="C15998" s="24" t="s">
        <v>50228</v>
      </c>
      <c r="D15998" s="25" t="s">
        <v>50229</v>
      </c>
      <c r="E15998" s="26"/>
      <c r="F15998" s="27">
        <f ca="1">ROUND(4.300*(1+G2/100),2)</f>
        <v>0</v>
      </c>
      <c r="G15998" s="26"/>
    </row>
    <row r="15999" spans="1:7" ht="12.12" thickBot="1" customHeight="1">
      <c r="A15999" s="26"/>
      <c r="B15999" s="26"/>
      <c r="C15999" s="26"/>
      <c r="D15999" s="25" t="s">
        <v>50230</v>
      </c>
      <c r="E15999" s="25"/>
      <c r="F15999" s="25"/>
      <c r="G15999" s="25"/>
    </row>
    <row r="16000" spans="1:7" ht="30.60" thickBot="1" customHeight="1">
      <c r="A16000" s="10" t="s">
        <v>50231</v>
      </c>
      <c r="B16000" s="24" t="s">
        <v>50232</v>
      </c>
      <c r="C16000" s="24" t="s">
        <v>50233</v>
      </c>
      <c r="D16000" s="25" t="s">
        <v>50234</v>
      </c>
      <c r="E16000" s="26"/>
      <c r="F16000" s="27">
        <f ca="1">ROUND(6.940*(1+G2/100),2)</f>
        <v>0</v>
      </c>
      <c r="G16000" s="26"/>
    </row>
    <row r="16001" spans="1:7" ht="12.12" thickBot="1" customHeight="1">
      <c r="A16001" s="26"/>
      <c r="B16001" s="26"/>
      <c r="C16001" s="26"/>
      <c r="D16001" s="25" t="s">
        <v>50235</v>
      </c>
      <c r="E16001" s="25"/>
      <c r="F16001" s="25"/>
      <c r="G16001" s="25"/>
    </row>
    <row r="16002" spans="1:7" ht="30.60" thickBot="1" customHeight="1">
      <c r="A16002" s="10" t="s">
        <v>50236</v>
      </c>
      <c r="B16002" s="24" t="s">
        <v>50237</v>
      </c>
      <c r="C16002" s="24" t="s">
        <v>50238</v>
      </c>
      <c r="D16002" s="25" t="s">
        <v>50239</v>
      </c>
      <c r="E16002" s="26"/>
      <c r="F16002" s="27">
        <f ca="1">ROUND(15.500*(1+G2/100),2)</f>
        <v>0</v>
      </c>
      <c r="G16002" s="26"/>
    </row>
    <row r="16003" spans="1:7" ht="141.48" thickBot="1" customHeight="1">
      <c r="A16003" s="26"/>
      <c r="B16003" s="26"/>
      <c r="C16003" s="26"/>
      <c r="D16003" s="25" t="s">
        <v>50240</v>
      </c>
      <c r="E16003" s="25"/>
      <c r="F16003" s="25"/>
      <c r="G16003" s="25"/>
    </row>
    <row r="16004" spans="1:7" ht="30.60" thickBot="1" customHeight="1">
      <c r="A16004" s="10" t="s">
        <v>50241</v>
      </c>
      <c r="B16004" s="24" t="s">
        <v>50242</v>
      </c>
      <c r="C16004" s="24" t="s">
        <v>50243</v>
      </c>
      <c r="D16004" s="25" t="s">
        <v>50244</v>
      </c>
      <c r="E16004" s="26"/>
      <c r="F16004" s="27">
        <f ca="1">ROUND(22.500*(1+G2/100),2)</f>
        <v>0</v>
      </c>
      <c r="G16004" s="26"/>
    </row>
    <row r="16005" spans="1:7" ht="141.48" thickBot="1" customHeight="1">
      <c r="A16005" s="26"/>
      <c r="B16005" s="26"/>
      <c r="C16005" s="26"/>
      <c r="D16005" s="25" t="s">
        <v>50245</v>
      </c>
      <c r="E16005" s="25"/>
      <c r="F16005" s="25"/>
      <c r="G16005" s="25"/>
    </row>
    <row r="16006" spans="1:7" ht="30.60" thickBot="1" customHeight="1">
      <c r="A16006" s="10" t="s">
        <v>50246</v>
      </c>
      <c r="B16006" s="24" t="s">
        <v>50247</v>
      </c>
      <c r="C16006" s="24" t="s">
        <v>50248</v>
      </c>
      <c r="D16006" s="25" t="s">
        <v>50249</v>
      </c>
      <c r="E16006" s="26"/>
      <c r="F16006" s="27">
        <f ca="1">ROUND(70.250*(1+G2/100),2)</f>
        <v>0</v>
      </c>
      <c r="G16006" s="26"/>
    </row>
    <row r="16007" spans="1:7" ht="150.72" thickBot="1" customHeight="1">
      <c r="A16007" s="26"/>
      <c r="B16007" s="26"/>
      <c r="C16007" s="26"/>
      <c r="D16007" s="25" t="s">
        <v>50250</v>
      </c>
      <c r="E16007" s="25"/>
      <c r="F16007" s="25"/>
      <c r="G16007" s="25"/>
    </row>
    <row r="16008" spans="1:7" ht="30.60" thickBot="1" customHeight="1">
      <c r="A16008" s="10" t="s">
        <v>50251</v>
      </c>
      <c r="B16008" s="24" t="s">
        <v>50252</v>
      </c>
      <c r="C16008" s="24" t="s">
        <v>50253</v>
      </c>
      <c r="D16008" s="25" t="s">
        <v>50254</v>
      </c>
      <c r="E16008" s="26"/>
      <c r="F16008" s="27">
        <f ca="1">ROUND(28.100*(1+G2/100),2)</f>
        <v>0</v>
      </c>
      <c r="G16008" s="26"/>
    </row>
    <row r="16009" spans="1:7" ht="150.72" thickBot="1" customHeight="1">
      <c r="A16009" s="26"/>
      <c r="B16009" s="26"/>
      <c r="C16009" s="26"/>
      <c r="D16009" s="25" t="s">
        <v>50255</v>
      </c>
      <c r="E16009" s="25"/>
      <c r="F16009" s="25"/>
      <c r="G16009" s="25"/>
    </row>
    <row r="16010" spans="1:7" ht="30.60" thickBot="1" customHeight="1">
      <c r="A16010" s="10" t="s">
        <v>50256</v>
      </c>
      <c r="B16010" s="24" t="s">
        <v>50257</v>
      </c>
      <c r="C16010" s="24" t="s">
        <v>50258</v>
      </c>
      <c r="D16010" s="25" t="s">
        <v>50259</v>
      </c>
      <c r="E16010" s="26"/>
      <c r="F16010" s="27">
        <f ca="1">ROUND(9.790*(1+G2/100),2)</f>
        <v>0</v>
      </c>
      <c r="G16010" s="26"/>
    </row>
    <row r="16011" spans="1:7" ht="12.12" thickBot="1" customHeight="1">
      <c r="A16011" s="26"/>
      <c r="B16011" s="26"/>
      <c r="C16011" s="26"/>
      <c r="D16011" s="25" t="s">
        <v>50260</v>
      </c>
      <c r="E16011" s="25"/>
      <c r="F16011" s="25"/>
      <c r="G16011" s="25"/>
    </row>
    <row r="16012" spans="1:7" ht="30.60" thickBot="1" customHeight="1">
      <c r="A16012" s="10" t="s">
        <v>50261</v>
      </c>
      <c r="B16012" s="24" t="s">
        <v>50262</v>
      </c>
      <c r="C16012" s="24" t="s">
        <v>50263</v>
      </c>
      <c r="D16012" s="25" t="s">
        <v>50264</v>
      </c>
      <c r="E16012" s="26"/>
      <c r="F16012" s="27">
        <f ca="1">ROUND(52.890*(1+G2/100),2)</f>
        <v>0</v>
      </c>
      <c r="G16012" s="26"/>
    </row>
    <row r="16013" spans="1:7" ht="150.72" thickBot="1" customHeight="1">
      <c r="A16013" s="26"/>
      <c r="B16013" s="26"/>
      <c r="C16013" s="26"/>
      <c r="D16013" s="25" t="s">
        <v>50265</v>
      </c>
      <c r="E16013" s="25"/>
      <c r="F16013" s="25"/>
      <c r="G16013" s="25"/>
    </row>
    <row r="16014" spans="1:7" ht="21.36" thickBot="1" customHeight="1">
      <c r="A16014" s="10" t="s">
        <v>50266</v>
      </c>
      <c r="B16014" s="24" t="s">
        <v>50267</v>
      </c>
      <c r="C16014" s="24" t="s">
        <v>50268</v>
      </c>
      <c r="D16014" s="25" t="s">
        <v>50269</v>
      </c>
      <c r="E16014" s="26"/>
      <c r="F16014" s="27">
        <f ca="1">ROUND(3.180*(1+G2/100),2)</f>
        <v>0</v>
      </c>
      <c r="G16014" s="26"/>
    </row>
    <row r="16015" spans="1:7" ht="12.12" thickBot="1" customHeight="1">
      <c r="A16015" s="26"/>
      <c r="B16015" s="26"/>
      <c r="C16015" s="26"/>
      <c r="D16015" s="25" t="s">
        <v>50270</v>
      </c>
      <c r="E16015" s="25"/>
      <c r="F16015" s="25"/>
      <c r="G16015" s="25"/>
    </row>
    <row r="16016" spans="1:7" ht="30.60" thickBot="1" customHeight="1">
      <c r="A16016" s="10" t="s">
        <v>50271</v>
      </c>
      <c r="B16016" s="24" t="s">
        <v>50272</v>
      </c>
      <c r="C16016" s="24" t="s">
        <v>50273</v>
      </c>
      <c r="D16016" s="25" t="s">
        <v>50274</v>
      </c>
      <c r="E16016" s="26"/>
      <c r="F16016" s="27">
        <f ca="1">ROUND(53.720*(1+G2/100),2)</f>
        <v>0</v>
      </c>
      <c r="G16016" s="26"/>
    </row>
    <row r="16017" spans="1:7" ht="150.72" thickBot="1" customHeight="1">
      <c r="A16017" s="26"/>
      <c r="B16017" s="26"/>
      <c r="C16017" s="26"/>
      <c r="D16017" s="25" t="s">
        <v>50275</v>
      </c>
      <c r="E16017" s="25"/>
      <c r="F16017" s="25"/>
      <c r="G16017" s="25"/>
    </row>
    <row r="16018" spans="1:7" ht="30.60" thickBot="1" customHeight="1">
      <c r="A16018" s="10" t="s">
        <v>50276</v>
      </c>
      <c r="B16018" s="24" t="s">
        <v>50277</v>
      </c>
      <c r="C16018" s="24" t="s">
        <v>50278</v>
      </c>
      <c r="D16018" s="25" t="s">
        <v>50279</v>
      </c>
      <c r="E16018" s="26"/>
      <c r="F16018" s="27">
        <f ca="1">ROUND(66.120*(1+G2/100),2)</f>
        <v>0</v>
      </c>
      <c r="G16018" s="26"/>
    </row>
    <row r="16019" spans="1:7" ht="150.72" thickBot="1" customHeight="1">
      <c r="A16019" s="26"/>
      <c r="B16019" s="26"/>
      <c r="C16019" s="26"/>
      <c r="D16019" s="25" t="s">
        <v>50280</v>
      </c>
      <c r="E16019" s="25"/>
      <c r="F16019" s="25"/>
      <c r="G16019" s="25"/>
    </row>
    <row r="16020" spans="1:7" ht="30.60" thickBot="1" customHeight="1">
      <c r="A16020" s="10" t="s">
        <v>50281</v>
      </c>
      <c r="B16020" s="24" t="s">
        <v>50282</v>
      </c>
      <c r="C16020" s="24" t="s">
        <v>50283</v>
      </c>
      <c r="D16020" s="25" t="s">
        <v>50284</v>
      </c>
      <c r="E16020" s="26"/>
      <c r="F16020" s="27">
        <f ca="1">ROUND(60.330*(1+G2/100),2)</f>
        <v>0</v>
      </c>
      <c r="G16020" s="26"/>
    </row>
    <row r="16021" spans="1:7" ht="150.72" thickBot="1" customHeight="1">
      <c r="A16021" s="26"/>
      <c r="B16021" s="26"/>
      <c r="C16021" s="26"/>
      <c r="D16021" s="25" t="s">
        <v>50285</v>
      </c>
      <c r="E16021" s="25"/>
      <c r="F16021" s="25"/>
      <c r="G16021" s="25"/>
    </row>
    <row r="16022" spans="1:7" ht="30.60" thickBot="1" customHeight="1">
      <c r="A16022" s="10" t="s">
        <v>50286</v>
      </c>
      <c r="B16022" s="24" t="s">
        <v>50287</v>
      </c>
      <c r="C16022" s="24" t="s">
        <v>50288</v>
      </c>
      <c r="D16022" s="25" t="s">
        <v>50289</v>
      </c>
      <c r="E16022" s="26"/>
      <c r="F16022" s="27">
        <f ca="1">ROUND(6.360*(1+G2/100),2)</f>
        <v>0</v>
      </c>
      <c r="G16022" s="26"/>
    </row>
    <row r="16023" spans="1:7" ht="12.12" thickBot="1" customHeight="1">
      <c r="A16023" s="26"/>
      <c r="B16023" s="26"/>
      <c r="C16023" s="26"/>
      <c r="D16023" s="25" t="s">
        <v>50290</v>
      </c>
      <c r="E16023" s="25"/>
      <c r="F16023" s="25"/>
      <c r="G16023" s="25"/>
    </row>
    <row r="16024" spans="1:7" ht="30.60" thickBot="1" customHeight="1">
      <c r="A16024" s="10" t="s">
        <v>50291</v>
      </c>
      <c r="B16024" s="24" t="s">
        <v>50292</v>
      </c>
      <c r="C16024" s="24" t="s">
        <v>50293</v>
      </c>
      <c r="D16024" s="25" t="s">
        <v>50294</v>
      </c>
      <c r="E16024" s="26"/>
      <c r="F16024" s="27">
        <f ca="1">ROUND(8.260*(1+G2/100),2)</f>
        <v>0</v>
      </c>
      <c r="G16024" s="26"/>
    </row>
    <row r="16025" spans="1:7" ht="12.12" thickBot="1" customHeight="1">
      <c r="A16025" s="26"/>
      <c r="B16025" s="26"/>
      <c r="C16025" s="26"/>
      <c r="D16025" s="25" t="s">
        <v>50295</v>
      </c>
      <c r="E16025" s="25"/>
      <c r="F16025" s="25"/>
      <c r="G16025" s="25"/>
    </row>
    <row r="16026" spans="1:7" ht="30.60" thickBot="1" customHeight="1">
      <c r="A16026" s="10" t="s">
        <v>50296</v>
      </c>
      <c r="B16026" s="24" t="s">
        <v>50297</v>
      </c>
      <c r="C16026" s="24" t="s">
        <v>50298</v>
      </c>
      <c r="D16026" s="25" t="s">
        <v>50299</v>
      </c>
      <c r="E16026" s="26"/>
      <c r="F16026" s="27">
        <f ca="1">ROUND(11.740*(1+G2/100),2)</f>
        <v>0</v>
      </c>
      <c r="G16026" s="26"/>
    </row>
    <row r="16027" spans="1:7" ht="12.12" thickBot="1" customHeight="1">
      <c r="A16027" s="26"/>
      <c r="B16027" s="26"/>
      <c r="C16027" s="26"/>
      <c r="D16027" s="25" t="s">
        <v>50300</v>
      </c>
      <c r="E16027" s="25"/>
      <c r="F16027" s="25"/>
      <c r="G16027" s="25"/>
    </row>
    <row r="16028" spans="1:7" ht="30.60" thickBot="1" customHeight="1">
      <c r="A16028" s="10" t="s">
        <v>50301</v>
      </c>
      <c r="B16028" s="24" t="s">
        <v>50302</v>
      </c>
      <c r="C16028" s="24" t="s">
        <v>50303</v>
      </c>
      <c r="D16028" s="25" t="s">
        <v>50304</v>
      </c>
      <c r="E16028" s="26"/>
      <c r="F16028" s="27">
        <f ca="1">ROUND(9.170*(1+G2/100),2)</f>
        <v>0</v>
      </c>
      <c r="G16028" s="26"/>
    </row>
    <row r="16029" spans="1:7" ht="12.12" thickBot="1" customHeight="1">
      <c r="A16029" s="26"/>
      <c r="B16029" s="26"/>
      <c r="C16029" s="26"/>
      <c r="D16029" s="25" t="s">
        <v>50305</v>
      </c>
      <c r="E16029" s="25"/>
      <c r="F16029" s="25"/>
      <c r="G16029" s="25"/>
    </row>
    <row r="16030" spans="1:7" ht="30.60" thickBot="1" customHeight="1">
      <c r="A16030" s="10" t="s">
        <v>50306</v>
      </c>
      <c r="B16030" s="24" t="s">
        <v>50307</v>
      </c>
      <c r="C16030" s="24" t="s">
        <v>50308</v>
      </c>
      <c r="D16030" s="25" t="s">
        <v>50309</v>
      </c>
      <c r="E16030" s="26"/>
      <c r="F16030" s="27">
        <f ca="1">ROUND(1.400*(1+G2/100),2)</f>
        <v>0</v>
      </c>
      <c r="G16030" s="26"/>
    </row>
    <row r="16031" spans="1:7" ht="12.12" thickBot="1" customHeight="1">
      <c r="A16031" s="26"/>
      <c r="B16031" s="26"/>
      <c r="C16031" s="26"/>
      <c r="D16031" s="25" t="s">
        <v>50310</v>
      </c>
      <c r="E16031" s="25"/>
      <c r="F16031" s="25"/>
      <c r="G16031" s="25"/>
    </row>
    <row r="16032" spans="1:7" ht="30.60" thickBot="1" customHeight="1">
      <c r="A16032" s="10" t="s">
        <v>50311</v>
      </c>
      <c r="B16032" s="24" t="s">
        <v>50312</v>
      </c>
      <c r="C16032" s="24" t="s">
        <v>50313</v>
      </c>
      <c r="D16032" s="25" t="s">
        <v>50314</v>
      </c>
      <c r="E16032" s="26"/>
      <c r="F16032" s="27">
        <f ca="1">ROUND(2.300*(1+G2/100),2)</f>
        <v>0</v>
      </c>
      <c r="G16032" s="26"/>
    </row>
    <row r="16033" spans="1:7" ht="12.12" thickBot="1" customHeight="1">
      <c r="A16033" s="26"/>
      <c r="B16033" s="26"/>
      <c r="C16033" s="26"/>
      <c r="D16033" s="25" t="s">
        <v>50315</v>
      </c>
      <c r="E16033" s="25"/>
      <c r="F16033" s="25"/>
      <c r="G16033" s="25"/>
    </row>
    <row r="16034" spans="1:7" ht="21.36" thickBot="1" customHeight="1">
      <c r="A16034" s="10" t="s">
        <v>50316</v>
      </c>
      <c r="B16034" s="24" t="s">
        <v>50317</v>
      </c>
      <c r="C16034" s="24" t="s">
        <v>50318</v>
      </c>
      <c r="D16034" s="25" t="s">
        <v>50319</v>
      </c>
      <c r="E16034" s="26"/>
      <c r="F16034" s="27">
        <f ca="1">ROUND(1.970*(1+G2/100),2)</f>
        <v>0</v>
      </c>
      <c r="G16034" s="26"/>
    </row>
    <row r="16035" spans="1:7" ht="12.12" thickBot="1" customHeight="1">
      <c r="A16035" s="26"/>
      <c r="B16035" s="26"/>
      <c r="C16035" s="26"/>
      <c r="D16035" s="25" t="s">
        <v>50320</v>
      </c>
      <c r="E16035" s="25"/>
      <c r="F16035" s="25"/>
      <c r="G16035" s="25"/>
    </row>
    <row r="16036" spans="1:7" ht="21.36" thickBot="1" customHeight="1">
      <c r="A16036" s="10" t="s">
        <v>50321</v>
      </c>
      <c r="B16036" s="24" t="s">
        <v>50322</v>
      </c>
      <c r="C16036" s="24" t="s">
        <v>50323</v>
      </c>
      <c r="D16036" s="25" t="s">
        <v>50324</v>
      </c>
      <c r="E16036" s="26"/>
      <c r="F16036" s="27">
        <f ca="1">ROUND(2.800*(1+G2/100),2)</f>
        <v>0</v>
      </c>
      <c r="G16036" s="26"/>
    </row>
    <row r="16037" spans="1:7" ht="12.12" thickBot="1" customHeight="1">
      <c r="A16037" s="26"/>
      <c r="B16037" s="26"/>
      <c r="C16037" s="26"/>
      <c r="D16037" s="25" t="s">
        <v>50325</v>
      </c>
      <c r="E16037" s="25"/>
      <c r="F16037" s="25"/>
      <c r="G16037" s="25"/>
    </row>
    <row r="16038" spans="1:7" ht="21.36" thickBot="1" customHeight="1">
      <c r="A16038" s="10" t="s">
        <v>50326</v>
      </c>
      <c r="B16038" s="24" t="s">
        <v>50327</v>
      </c>
      <c r="C16038" s="24" t="s">
        <v>50328</v>
      </c>
      <c r="D16038" s="25" t="s">
        <v>50329</v>
      </c>
      <c r="E16038" s="26"/>
      <c r="F16038" s="27">
        <f ca="1">ROUND(5.040*(1+G2/100),2)</f>
        <v>0</v>
      </c>
      <c r="G16038" s="26"/>
    </row>
    <row r="16039" spans="1:7" ht="12.12" thickBot="1" customHeight="1">
      <c r="A16039" s="26"/>
      <c r="B16039" s="26"/>
      <c r="C16039" s="26"/>
      <c r="D16039" s="25" t="s">
        <v>50330</v>
      </c>
      <c r="E16039" s="25"/>
      <c r="F16039" s="25"/>
      <c r="G16039" s="25"/>
    </row>
    <row r="16040" spans="1:7" ht="21.36" thickBot="1" customHeight="1">
      <c r="A16040" s="10" t="s">
        <v>50331</v>
      </c>
      <c r="B16040" s="24" t="s">
        <v>50332</v>
      </c>
      <c r="C16040" s="24" t="s">
        <v>50333</v>
      </c>
      <c r="D16040" s="25" t="s">
        <v>50334</v>
      </c>
      <c r="E16040" s="26"/>
      <c r="F16040" s="27">
        <f ca="1">ROUND(2.430*(1+G2/100),2)</f>
        <v>0</v>
      </c>
      <c r="G16040" s="26"/>
    </row>
    <row r="16041" spans="1:7" ht="12.12" thickBot="1" customHeight="1">
      <c r="A16041" s="26"/>
      <c r="B16041" s="26"/>
      <c r="C16041" s="26"/>
      <c r="D16041" s="25" t="s">
        <v>50335</v>
      </c>
      <c r="E16041" s="25"/>
      <c r="F16041" s="25"/>
      <c r="G16041" s="25"/>
    </row>
    <row r="16042" spans="1:7" ht="21.36" thickBot="1" customHeight="1">
      <c r="A16042" s="10" t="s">
        <v>50336</v>
      </c>
      <c r="B16042" s="24" t="s">
        <v>50337</v>
      </c>
      <c r="C16042" s="24" t="s">
        <v>50338</v>
      </c>
      <c r="D16042" s="25" t="s">
        <v>50339</v>
      </c>
      <c r="E16042" s="26"/>
      <c r="F16042" s="27">
        <f ca="1">ROUND(2.520*(1+G2/100),2)</f>
        <v>0</v>
      </c>
      <c r="G16042" s="26"/>
    </row>
    <row r="16043" spans="1:7" ht="12.12" thickBot="1" customHeight="1">
      <c r="A16043" s="26"/>
      <c r="B16043" s="26"/>
      <c r="C16043" s="26"/>
      <c r="D16043" s="25" t="s">
        <v>50340</v>
      </c>
      <c r="E16043" s="25"/>
      <c r="F16043" s="25"/>
      <c r="G16043" s="25"/>
    </row>
    <row r="16044" spans="1:7" ht="21.36" thickBot="1" customHeight="1">
      <c r="A16044" s="10" t="s">
        <v>50341</v>
      </c>
      <c r="B16044" s="24" t="s">
        <v>50342</v>
      </c>
      <c r="C16044" s="24" t="s">
        <v>50343</v>
      </c>
      <c r="D16044" s="25" t="s">
        <v>50344</v>
      </c>
      <c r="E16044" s="26"/>
      <c r="F16044" s="27">
        <f ca="1">ROUND(2.670*(1+G2/100),2)</f>
        <v>0</v>
      </c>
      <c r="G16044" s="26"/>
    </row>
    <row r="16045" spans="1:7" ht="12.12" thickBot="1" customHeight="1">
      <c r="A16045" s="26"/>
      <c r="B16045" s="26"/>
      <c r="C16045" s="26"/>
      <c r="D16045" s="25" t="s">
        <v>50345</v>
      </c>
      <c r="E16045" s="25"/>
      <c r="F16045" s="25"/>
      <c r="G16045" s="25"/>
    </row>
    <row r="16046" spans="1:7" ht="30.60" thickBot="1" customHeight="1">
      <c r="A16046" s="10" t="s">
        <v>50346</v>
      </c>
      <c r="B16046" s="24" t="s">
        <v>50347</v>
      </c>
      <c r="C16046" s="24" t="s">
        <v>50348</v>
      </c>
      <c r="D16046" s="25" t="s">
        <v>50349</v>
      </c>
      <c r="E16046" s="26"/>
      <c r="F16046" s="27">
        <f ca="1">ROUND(2.250*(1+G2/100),2)</f>
        <v>0</v>
      </c>
      <c r="G16046" s="26"/>
    </row>
    <row r="16047" spans="1:7" ht="12.12" thickBot="1" customHeight="1">
      <c r="A16047" s="26"/>
      <c r="B16047" s="26"/>
      <c r="C16047" s="26"/>
      <c r="D16047" s="25" t="s">
        <v>50350</v>
      </c>
      <c r="E16047" s="25"/>
      <c r="F16047" s="25"/>
      <c r="G16047" s="25"/>
    </row>
    <row r="16048" spans="1:7" ht="21.36" thickBot="1" customHeight="1">
      <c r="A16048" s="10" t="s">
        <v>50351</v>
      </c>
      <c r="B16048" s="24" t="s">
        <v>50352</v>
      </c>
      <c r="C16048" s="24" t="s">
        <v>50353</v>
      </c>
      <c r="D16048" s="25" t="s">
        <v>50354</v>
      </c>
      <c r="E16048" s="26"/>
      <c r="F16048" s="27">
        <f ca="1">ROUND(4.480*(1+G2/100),2)</f>
        <v>0</v>
      </c>
      <c r="G16048" s="26"/>
    </row>
    <row r="16049" spans="1:7" ht="12.12" thickBot="1" customHeight="1">
      <c r="A16049" s="26"/>
      <c r="B16049" s="26"/>
      <c r="C16049" s="26"/>
      <c r="D16049" s="25" t="s">
        <v>50355</v>
      </c>
      <c r="E16049" s="25"/>
      <c r="F16049" s="25"/>
      <c r="G16049" s="25"/>
    </row>
    <row r="16050" spans="1:7" ht="21.36" thickBot="1" customHeight="1">
      <c r="A16050" s="10" t="s">
        <v>50356</v>
      </c>
      <c r="B16050" s="24" t="s">
        <v>50357</v>
      </c>
      <c r="C16050" s="24" t="s">
        <v>50358</v>
      </c>
      <c r="D16050" s="25" t="s">
        <v>50359</v>
      </c>
      <c r="E16050" s="26"/>
      <c r="F16050" s="27">
        <f ca="1">ROUND(4.260*(1+G2/100),2)</f>
        <v>0</v>
      </c>
      <c r="G16050" s="26"/>
    </row>
    <row r="16051" spans="1:7" ht="12.12" thickBot="1" customHeight="1">
      <c r="A16051" s="26"/>
      <c r="B16051" s="26"/>
      <c r="C16051" s="26"/>
      <c r="D16051" s="25" t="s">
        <v>50360</v>
      </c>
      <c r="E16051" s="25"/>
      <c r="F16051" s="25"/>
      <c r="G16051" s="25"/>
    </row>
    <row r="16052" spans="1:7" ht="21.36" thickBot="1" customHeight="1">
      <c r="A16052" s="10" t="s">
        <v>50361</v>
      </c>
      <c r="B16052" s="24" t="s">
        <v>50362</v>
      </c>
      <c r="C16052" s="24" t="s">
        <v>50363</v>
      </c>
      <c r="D16052" s="25" t="s">
        <v>50364</v>
      </c>
      <c r="E16052" s="26"/>
      <c r="F16052" s="27">
        <f ca="1">ROUND(4.530*(1+G2/100),2)</f>
        <v>0</v>
      </c>
      <c r="G16052" s="26"/>
    </row>
    <row r="16053" spans="1:7" ht="12.12" thickBot="1" customHeight="1">
      <c r="A16053" s="26"/>
      <c r="B16053" s="26"/>
      <c r="C16053" s="26"/>
      <c r="D16053" s="25" t="s">
        <v>50365</v>
      </c>
      <c r="E16053" s="25"/>
      <c r="F16053" s="25"/>
      <c r="G16053" s="25"/>
    </row>
    <row r="16054" spans="1:7" ht="21.36" thickBot="1" customHeight="1">
      <c r="A16054" s="10" t="s">
        <v>50366</v>
      </c>
      <c r="B16054" s="24" t="s">
        <v>50367</v>
      </c>
      <c r="C16054" s="24" t="s">
        <v>50368</v>
      </c>
      <c r="D16054" s="25" t="s">
        <v>50369</v>
      </c>
      <c r="E16054" s="26"/>
      <c r="F16054" s="27">
        <f ca="1">ROUND(16.000*(1+G2/100),2)</f>
        <v>0</v>
      </c>
      <c r="G16054" s="26"/>
    </row>
    <row r="16055" spans="1:7" ht="12.12" thickBot="1" customHeight="1">
      <c r="A16055" s="26"/>
      <c r="B16055" s="26"/>
      <c r="C16055" s="26"/>
      <c r="D16055" s="25" t="s">
        <v>50370</v>
      </c>
      <c r="E16055" s="25"/>
      <c r="F16055" s="25"/>
      <c r="G16055" s="25"/>
    </row>
    <row r="16056" spans="1:7" ht="21.36" thickBot="1" customHeight="1">
      <c r="A16056" s="10" t="s">
        <v>50371</v>
      </c>
      <c r="B16056" s="24" t="s">
        <v>50372</v>
      </c>
      <c r="C16056" s="24" t="s">
        <v>50373</v>
      </c>
      <c r="D16056" s="25" t="s">
        <v>50374</v>
      </c>
      <c r="E16056" s="26"/>
      <c r="F16056" s="27">
        <f ca="1">ROUND(20.540*(1+G2/100),2)</f>
        <v>0</v>
      </c>
      <c r="G16056" s="26"/>
    </row>
    <row r="16057" spans="1:7" ht="12.12" thickBot="1" customHeight="1">
      <c r="A16057" s="26"/>
      <c r="B16057" s="26"/>
      <c r="C16057" s="26"/>
      <c r="D16057" s="25" t="s">
        <v>50375</v>
      </c>
      <c r="E16057" s="25"/>
      <c r="F16057" s="25"/>
      <c r="G16057" s="25"/>
    </row>
    <row r="16058" spans="1:7" ht="21.36" thickBot="1" customHeight="1">
      <c r="A16058" s="10" t="s">
        <v>50376</v>
      </c>
      <c r="B16058" s="24" t="s">
        <v>50377</v>
      </c>
      <c r="C16058" s="24" t="s">
        <v>50378</v>
      </c>
      <c r="D16058" s="25" t="s">
        <v>50379</v>
      </c>
      <c r="E16058" s="26"/>
      <c r="F16058" s="27">
        <f ca="1">ROUND(4.780*(1+G2/100),2)</f>
        <v>0</v>
      </c>
      <c r="G16058" s="26"/>
    </row>
    <row r="16059" spans="1:7" ht="12.12" thickBot="1" customHeight="1">
      <c r="A16059" s="26"/>
      <c r="B16059" s="26"/>
      <c r="C16059" s="26"/>
      <c r="D16059" s="25" t="s">
        <v>50380</v>
      </c>
      <c r="E16059" s="25"/>
      <c r="F16059" s="25"/>
      <c r="G16059" s="25"/>
    </row>
    <row r="16060" spans="1:7" ht="30.60" thickBot="1" customHeight="1">
      <c r="A16060" s="10" t="s">
        <v>50381</v>
      </c>
      <c r="B16060" s="24" t="s">
        <v>50382</v>
      </c>
      <c r="C16060" s="24" t="s">
        <v>50383</v>
      </c>
      <c r="D16060" s="25" t="s">
        <v>50384</v>
      </c>
      <c r="E16060" s="26"/>
      <c r="F16060" s="27">
        <f ca="1">ROUND(2.530*(1+G2/100),2)</f>
        <v>0</v>
      </c>
      <c r="G16060" s="26"/>
    </row>
    <row r="16061" spans="1:7" ht="12.12" thickBot="1" customHeight="1">
      <c r="A16061" s="26"/>
      <c r="B16061" s="26"/>
      <c r="C16061" s="26"/>
      <c r="D16061" s="25" t="s">
        <v>50385</v>
      </c>
      <c r="E16061" s="25"/>
      <c r="F16061" s="25"/>
      <c r="G16061" s="25"/>
    </row>
    <row r="16062" spans="1:7" ht="30.60" thickBot="1" customHeight="1">
      <c r="A16062" s="10" t="s">
        <v>50386</v>
      </c>
      <c r="B16062" s="24" t="s">
        <v>50387</v>
      </c>
      <c r="C16062" s="24" t="s">
        <v>50388</v>
      </c>
      <c r="D16062" s="25" t="s">
        <v>50389</v>
      </c>
      <c r="E16062" s="26"/>
      <c r="F16062" s="27">
        <f ca="1">ROUND(4.070*(1+G2/100),2)</f>
        <v>0</v>
      </c>
      <c r="G16062" s="26"/>
    </row>
    <row r="16063" spans="1:7" ht="12.12" thickBot="1" customHeight="1">
      <c r="A16063" s="26"/>
      <c r="B16063" s="26"/>
      <c r="C16063" s="26"/>
      <c r="D16063" s="25" t="s">
        <v>50390</v>
      </c>
      <c r="E16063" s="25"/>
      <c r="F16063" s="25"/>
      <c r="G16063" s="25"/>
    </row>
    <row r="16064" spans="1:7" ht="21.36" thickBot="1" customHeight="1">
      <c r="A16064" s="10" t="s">
        <v>50391</v>
      </c>
      <c r="B16064" s="24" t="s">
        <v>50392</v>
      </c>
      <c r="C16064" s="24" t="s">
        <v>50393</v>
      </c>
      <c r="D16064" s="25" t="s">
        <v>50394</v>
      </c>
      <c r="E16064" s="26"/>
      <c r="F16064" s="27">
        <f ca="1">ROUND(2.940*(1+G2/100),2)</f>
        <v>0</v>
      </c>
      <c r="G16064" s="26"/>
    </row>
    <row r="16065" spans="1:7" ht="12.12" thickBot="1" customHeight="1">
      <c r="A16065" s="26"/>
      <c r="B16065" s="26"/>
      <c r="C16065" s="26"/>
      <c r="D16065" s="25" t="s">
        <v>50395</v>
      </c>
      <c r="E16065" s="25"/>
      <c r="F16065" s="25"/>
      <c r="G16065" s="25"/>
    </row>
    <row r="16066" spans="1:7" ht="21.36" thickBot="1" customHeight="1">
      <c r="A16066" s="10" t="s">
        <v>50396</v>
      </c>
      <c r="B16066" s="24" t="s">
        <v>50397</v>
      </c>
      <c r="C16066" s="24" t="s">
        <v>50398</v>
      </c>
      <c r="D16066" s="25" t="s">
        <v>50399</v>
      </c>
      <c r="E16066" s="26"/>
      <c r="F16066" s="27">
        <f ca="1">ROUND(4.290*(1+G2/100),2)</f>
        <v>0</v>
      </c>
      <c r="G16066" s="26"/>
    </row>
    <row r="16067" spans="1:7" ht="12.12" thickBot="1" customHeight="1">
      <c r="A16067" s="26"/>
      <c r="B16067" s="26"/>
      <c r="C16067" s="26"/>
      <c r="D16067" s="25" t="s">
        <v>50400</v>
      </c>
      <c r="E16067" s="25"/>
      <c r="F16067" s="25"/>
      <c r="G16067" s="25"/>
    </row>
    <row r="16068" spans="1:7" ht="21.36" thickBot="1" customHeight="1">
      <c r="A16068" s="10" t="s">
        <v>50401</v>
      </c>
      <c r="B16068" s="24" t="s">
        <v>50402</v>
      </c>
      <c r="C16068" s="24" t="s">
        <v>50403</v>
      </c>
      <c r="D16068" s="25" t="s">
        <v>50404</v>
      </c>
      <c r="E16068" s="26"/>
      <c r="F16068" s="27">
        <f ca="1">ROUND(2.940*(1+G2/100),2)</f>
        <v>0</v>
      </c>
      <c r="G16068" s="26"/>
    </row>
    <row r="16069" spans="1:7" ht="12.12" thickBot="1" customHeight="1">
      <c r="A16069" s="26"/>
      <c r="B16069" s="26"/>
      <c r="C16069" s="26"/>
      <c r="D16069" s="25" t="s">
        <v>50405</v>
      </c>
      <c r="E16069" s="25"/>
      <c r="F16069" s="25"/>
      <c r="G16069" s="25"/>
    </row>
    <row r="16070" spans="1:7" ht="21.36" thickBot="1" customHeight="1">
      <c r="A16070" s="10" t="s">
        <v>50406</v>
      </c>
      <c r="B16070" s="24" t="s">
        <v>50407</v>
      </c>
      <c r="C16070" s="24" t="s">
        <v>50408</v>
      </c>
      <c r="D16070" s="25" t="s">
        <v>50409</v>
      </c>
      <c r="E16070" s="26"/>
      <c r="F16070" s="27">
        <f ca="1">ROUND(4.290*(1+G2/100),2)</f>
        <v>0</v>
      </c>
      <c r="G16070" s="26"/>
    </row>
    <row r="16071" spans="1:7" ht="12.12" thickBot="1" customHeight="1">
      <c r="A16071" s="26"/>
      <c r="B16071" s="26"/>
      <c r="C16071" s="26"/>
      <c r="D16071" s="25" t="s">
        <v>50410</v>
      </c>
      <c r="E16071" s="25"/>
      <c r="F16071" s="25"/>
      <c r="G16071" s="25"/>
    </row>
    <row r="16072" spans="1:7" ht="21.36" thickBot="1" customHeight="1">
      <c r="A16072" s="10" t="s">
        <v>50411</v>
      </c>
      <c r="B16072" s="24" t="s">
        <v>50412</v>
      </c>
      <c r="C16072" s="24" t="s">
        <v>50413</v>
      </c>
      <c r="D16072" s="25" t="s">
        <v>50414</v>
      </c>
      <c r="E16072" s="26"/>
      <c r="F16072" s="27">
        <f ca="1">ROUND(4.100*(1+G2/100),2)</f>
        <v>0</v>
      </c>
      <c r="G16072" s="26"/>
    </row>
    <row r="16073" spans="1:7" ht="12.12" thickBot="1" customHeight="1">
      <c r="A16073" s="26"/>
      <c r="B16073" s="26"/>
      <c r="C16073" s="26"/>
      <c r="D16073" s="25" t="s">
        <v>50415</v>
      </c>
      <c r="E16073" s="25"/>
      <c r="F16073" s="25"/>
      <c r="G16073" s="25"/>
    </row>
    <row r="16074" spans="1:7" ht="15.48" thickBot="1" customHeight="1">
      <c r="A16074" s="30"/>
      <c r="B16074" s="30"/>
      <c r="C16074" s="30"/>
      <c r="D16074" s="61" t="s">
        <v>50416</v>
      </c>
      <c r="E16074" s="62"/>
      <c r="F16074" s="62"/>
      <c r="G16074" s="62"/>
    </row>
    <row r="16075" spans="1:7" ht="30.60" thickBot="1" customHeight="1">
      <c r="A16075" s="34" t="s">
        <v>50417</v>
      </c>
      <c r="B16075" s="35" t="s">
        <v>50418</v>
      </c>
      <c r="C16075" s="35" t="s">
        <v>50419</v>
      </c>
      <c r="D16075" s="36" t="s">
        <v>50420</v>
      </c>
      <c r="E16075" s="37"/>
      <c r="F16075" s="38">
        <f ca="1">ROUND(6.570*(1+G2/100),2)</f>
        <v>0</v>
      </c>
      <c r="G16075" s="37"/>
    </row>
    <row r="16076" spans="1:7" ht="12.12" thickBot="1" customHeight="1">
      <c r="A16076" s="26"/>
      <c r="B16076" s="26"/>
      <c r="C16076" s="26"/>
      <c r="D16076" s="25" t="s">
        <v>50421</v>
      </c>
      <c r="E16076" s="25"/>
      <c r="F16076" s="25"/>
      <c r="G16076" s="25"/>
    </row>
    <row r="16077" spans="1:7" ht="30.60" thickBot="1" customHeight="1">
      <c r="A16077" s="10" t="s">
        <v>50422</v>
      </c>
      <c r="B16077" s="24" t="s">
        <v>50423</v>
      </c>
      <c r="C16077" s="24" t="s">
        <v>50424</v>
      </c>
      <c r="D16077" s="25" t="s">
        <v>50425</v>
      </c>
      <c r="E16077" s="26"/>
      <c r="F16077" s="27">
        <f ca="1">ROUND(1.280*(1+G2/100),2)</f>
        <v>0</v>
      </c>
      <c r="G16077" s="26"/>
    </row>
    <row r="16078" spans="1:7" ht="49.08" thickBot="1" customHeight="1">
      <c r="A16078" s="26"/>
      <c r="B16078" s="26"/>
      <c r="C16078" s="26"/>
      <c r="D16078" s="25" t="s">
        <v>50426</v>
      </c>
      <c r="E16078" s="25"/>
      <c r="F16078" s="25"/>
      <c r="G16078" s="25"/>
    </row>
    <row r="16079" spans="1:7" ht="30.60" thickBot="1" customHeight="1">
      <c r="A16079" s="10" t="s">
        <v>50427</v>
      </c>
      <c r="B16079" s="24" t="s">
        <v>50428</v>
      </c>
      <c r="C16079" s="24" t="s">
        <v>50429</v>
      </c>
      <c r="D16079" s="25" t="s">
        <v>50430</v>
      </c>
      <c r="E16079" s="26"/>
      <c r="F16079" s="27">
        <f ca="1">ROUND(2.070*(1+G2/100),2)</f>
        <v>0</v>
      </c>
      <c r="G16079" s="26"/>
    </row>
    <row r="16080" spans="1:7" ht="12.12" thickBot="1" customHeight="1">
      <c r="A16080" s="26"/>
      <c r="B16080" s="26"/>
      <c r="C16080" s="26"/>
      <c r="D16080" s="25" t="s">
        <v>50431</v>
      </c>
      <c r="E16080" s="25"/>
      <c r="F16080" s="25"/>
      <c r="G16080" s="25"/>
    </row>
    <row r="16081" spans="1:7" ht="30.60" thickBot="1" customHeight="1">
      <c r="A16081" s="10" t="s">
        <v>50432</v>
      </c>
      <c r="B16081" s="24" t="s">
        <v>50433</v>
      </c>
      <c r="C16081" s="24" t="s">
        <v>50434</v>
      </c>
      <c r="D16081" s="25" t="s">
        <v>50435</v>
      </c>
      <c r="E16081" s="26"/>
      <c r="F16081" s="27">
        <f ca="1">ROUND(3.100*(1+G2/100),2)</f>
        <v>0</v>
      </c>
      <c r="G16081" s="26"/>
    </row>
    <row r="16082" spans="1:7" ht="30.60" thickBot="1" customHeight="1">
      <c r="A16082" s="26"/>
      <c r="B16082" s="26"/>
      <c r="C16082" s="26"/>
      <c r="D16082" s="25" t="s">
        <v>50436</v>
      </c>
      <c r="E16082" s="25"/>
      <c r="F16082" s="25"/>
      <c r="G16082" s="25"/>
    </row>
    <row r="16083" spans="1:7" ht="30.60" thickBot="1" customHeight="1">
      <c r="A16083" s="10" t="s">
        <v>50437</v>
      </c>
      <c r="B16083" s="24" t="s">
        <v>50438</v>
      </c>
      <c r="C16083" s="24" t="s">
        <v>50439</v>
      </c>
      <c r="D16083" s="25" t="s">
        <v>50440</v>
      </c>
      <c r="E16083" s="26"/>
      <c r="F16083" s="27">
        <f ca="1">ROUND(4.100*(1+G2/100),2)</f>
        <v>0</v>
      </c>
      <c r="G16083" s="26"/>
    </row>
    <row r="16084" spans="1:7" ht="12.12" thickBot="1" customHeight="1">
      <c r="A16084" s="26"/>
      <c r="B16084" s="26"/>
      <c r="C16084" s="26"/>
      <c r="D16084" s="25" t="s">
        <v>50441</v>
      </c>
      <c r="E16084" s="25"/>
      <c r="F16084" s="25"/>
      <c r="G16084" s="25"/>
    </row>
    <row r="16085" spans="1:7" ht="30.60" thickBot="1" customHeight="1">
      <c r="A16085" s="10" t="s">
        <v>50442</v>
      </c>
      <c r="B16085" s="24" t="s">
        <v>50443</v>
      </c>
      <c r="C16085" s="24" t="s">
        <v>50444</v>
      </c>
      <c r="D16085" s="25" t="s">
        <v>50445</v>
      </c>
      <c r="E16085" s="26"/>
      <c r="F16085" s="27">
        <f ca="1">ROUND(1.740*(1+G2/100),2)</f>
        <v>0</v>
      </c>
      <c r="G16085" s="26"/>
    </row>
    <row r="16086" spans="1:7" ht="12.12" thickBot="1" customHeight="1">
      <c r="A16086" s="26"/>
      <c r="B16086" s="26"/>
      <c r="C16086" s="26"/>
      <c r="D16086" s="25" t="s">
        <v>50446</v>
      </c>
      <c r="E16086" s="25"/>
      <c r="F16086" s="25"/>
      <c r="G16086" s="25"/>
    </row>
    <row r="16087" spans="1:7" ht="21.36" thickBot="1" customHeight="1">
      <c r="A16087" s="10" t="s">
        <v>50447</v>
      </c>
      <c r="B16087" s="24" t="s">
        <v>50448</v>
      </c>
      <c r="C16087" s="24" t="s">
        <v>50449</v>
      </c>
      <c r="D16087" s="25" t="s">
        <v>50450</v>
      </c>
      <c r="E16087" s="26"/>
      <c r="F16087" s="27">
        <f ca="1">ROUND(1.010*(1+G2/100),2)</f>
        <v>0</v>
      </c>
      <c r="G16087" s="26"/>
    </row>
    <row r="16088" spans="1:7" ht="76.80" thickBot="1" customHeight="1">
      <c r="A16088" s="26"/>
      <c r="B16088" s="26"/>
      <c r="C16088" s="26"/>
      <c r="D16088" s="25" t="s">
        <v>50451</v>
      </c>
      <c r="E16088" s="25"/>
      <c r="F16088" s="25"/>
      <c r="G16088" s="25"/>
    </row>
    <row r="16089" spans="1:7" ht="30.60" thickBot="1" customHeight="1">
      <c r="A16089" s="10" t="s">
        <v>50452</v>
      </c>
      <c r="B16089" s="24" t="s">
        <v>50453</v>
      </c>
      <c r="C16089" s="24" t="s">
        <v>50454</v>
      </c>
      <c r="D16089" s="25" t="s">
        <v>50455</v>
      </c>
      <c r="E16089" s="26"/>
      <c r="F16089" s="27">
        <f ca="1">ROUND(24.140*(1+G2/100),2)</f>
        <v>0</v>
      </c>
      <c r="G16089" s="26"/>
    </row>
    <row r="16090" spans="1:7" ht="39.84" thickBot="1" customHeight="1">
      <c r="A16090" s="26"/>
      <c r="B16090" s="26"/>
      <c r="C16090" s="26"/>
      <c r="D16090" s="25" t="s">
        <v>50456</v>
      </c>
      <c r="E16090" s="25"/>
      <c r="F16090" s="25"/>
      <c r="G16090" s="25"/>
    </row>
    <row r="16091" spans="1:7" ht="30.60" thickBot="1" customHeight="1">
      <c r="A16091" s="10" t="s">
        <v>50457</v>
      </c>
      <c r="B16091" s="24" t="s">
        <v>50458</v>
      </c>
      <c r="C16091" s="24" t="s">
        <v>50459</v>
      </c>
      <c r="D16091" s="25" t="s">
        <v>50460</v>
      </c>
      <c r="E16091" s="26"/>
      <c r="F16091" s="27">
        <f ca="1">ROUND(34.550*(1+G2/100),2)</f>
        <v>0</v>
      </c>
      <c r="G16091" s="26"/>
    </row>
    <row r="16092" spans="1:7" ht="30.60" thickBot="1" customHeight="1">
      <c r="A16092" s="26"/>
      <c r="B16092" s="26"/>
      <c r="C16092" s="26"/>
      <c r="D16092" s="25" t="s">
        <v>50461</v>
      </c>
      <c r="E16092" s="25"/>
      <c r="F16092" s="25"/>
      <c r="G16092" s="25"/>
    </row>
    <row r="16093" spans="1:7" ht="30.60" thickBot="1" customHeight="1">
      <c r="A16093" s="10" t="s">
        <v>50462</v>
      </c>
      <c r="B16093" s="24" t="s">
        <v>50463</v>
      </c>
      <c r="C16093" s="24" t="s">
        <v>50464</v>
      </c>
      <c r="D16093" s="25" t="s">
        <v>50465</v>
      </c>
      <c r="E16093" s="26"/>
      <c r="F16093" s="27">
        <f ca="1">ROUND(8.970*(1+G2/100),2)</f>
        <v>0</v>
      </c>
      <c r="G16093" s="26"/>
    </row>
    <row r="16094" spans="1:7" ht="30.60" thickBot="1" customHeight="1">
      <c r="A16094" s="26"/>
      <c r="B16094" s="26"/>
      <c r="C16094" s="26"/>
      <c r="D16094" s="25" t="s">
        <v>50466</v>
      </c>
      <c r="E16094" s="25"/>
      <c r="F16094" s="25"/>
      <c r="G16094" s="25"/>
    </row>
    <row r="16095" spans="1:7" ht="25.08" thickBot="1" customHeight="1">
      <c r="A16095" s="10" t="s">
        <v>50467</v>
      </c>
      <c r="B16095" s="24" t="s">
        <v>50468</v>
      </c>
      <c r="C16095" s="24" t="s">
        <v>50469</v>
      </c>
      <c r="D16095" s="25" t="s">
        <v>50470</v>
      </c>
      <c r="E16095" s="26"/>
      <c r="F16095" s="27">
        <f ca="1">ROUND(11.730*(1+G2/100),2)</f>
        <v>0</v>
      </c>
      <c r="G16095" s="26"/>
    </row>
    <row r="16096" spans="1:7" ht="86.04" thickBot="1" customHeight="1">
      <c r="A16096" s="26"/>
      <c r="B16096" s="26"/>
      <c r="C16096" s="26"/>
      <c r="D16096" s="25" t="s">
        <v>50471</v>
      </c>
      <c r="E16096" s="25"/>
      <c r="F16096" s="25"/>
      <c r="G16096" s="25"/>
    </row>
    <row r="16097" spans="1:7" ht="39.84" thickBot="1" customHeight="1">
      <c r="A16097" s="10" t="s">
        <v>50472</v>
      </c>
      <c r="B16097" s="24" t="s">
        <v>50473</v>
      </c>
      <c r="C16097" s="24" t="s">
        <v>50474</v>
      </c>
      <c r="D16097" s="25" t="s">
        <v>50475</v>
      </c>
      <c r="E16097" s="26"/>
      <c r="F16097" s="27">
        <f ca="1">ROUND(780.000*(1+G2/100),2)</f>
        <v>0</v>
      </c>
      <c r="G16097" s="26"/>
    </row>
    <row r="16098" spans="1:7" ht="289.32" thickBot="1" customHeight="1">
      <c r="A16098" s="26"/>
      <c r="B16098" s="26"/>
      <c r="C16098" s="26"/>
      <c r="D16098" s="25" t="s">
        <v>50476</v>
      </c>
      <c r="E16098" s="25"/>
      <c r="F16098" s="25"/>
      <c r="G16098" s="25"/>
    </row>
    <row r="16099" spans="1:7" ht="30.60" thickBot="1" customHeight="1">
      <c r="A16099" s="10" t="s">
        <v>50477</v>
      </c>
      <c r="B16099" s="24" t="s">
        <v>50478</v>
      </c>
      <c r="C16099" s="24" t="s">
        <v>50479</v>
      </c>
      <c r="D16099" s="25" t="s">
        <v>50480</v>
      </c>
      <c r="E16099" s="26"/>
      <c r="F16099" s="27">
        <f ca="1">ROUND(530.000*(1+G2/100),2)</f>
        <v>0</v>
      </c>
      <c r="G16099" s="26"/>
    </row>
    <row r="16100" spans="1:7" ht="307.80" thickBot="1" customHeight="1">
      <c r="A16100" s="26"/>
      <c r="B16100" s="26"/>
      <c r="C16100" s="26"/>
      <c r="D16100" s="25" t="s">
        <v>50481</v>
      </c>
      <c r="E16100" s="25"/>
      <c r="F16100" s="25"/>
      <c r="G16100" s="25"/>
    </row>
    <row r="16101" spans="1:7" ht="39.84" thickBot="1" customHeight="1">
      <c r="A16101" s="10" t="s">
        <v>50482</v>
      </c>
      <c r="B16101" s="24" t="s">
        <v>50483</v>
      </c>
      <c r="C16101" s="24" t="s">
        <v>50484</v>
      </c>
      <c r="D16101" s="25" t="s">
        <v>50485</v>
      </c>
      <c r="E16101" s="26"/>
      <c r="F16101" s="27">
        <f ca="1">ROUND(16.950*(1+G2/100),2)</f>
        <v>0</v>
      </c>
      <c r="G16101" s="26"/>
    </row>
    <row r="16102" spans="1:7" ht="76.80" thickBot="1" customHeight="1">
      <c r="A16102" s="26"/>
      <c r="B16102" s="26"/>
      <c r="C16102" s="26"/>
      <c r="D16102" s="25" t="s">
        <v>50486</v>
      </c>
      <c r="E16102" s="25"/>
      <c r="F16102" s="25"/>
      <c r="G16102" s="25"/>
    </row>
    <row r="16103" spans="1:7" ht="21.36" thickBot="1" customHeight="1">
      <c r="A16103" s="10" t="s">
        <v>50487</v>
      </c>
      <c r="B16103" s="24" t="s">
        <v>50488</v>
      </c>
      <c r="C16103" s="24" t="s">
        <v>50489</v>
      </c>
      <c r="D16103" s="25" t="s">
        <v>50490</v>
      </c>
      <c r="E16103" s="26"/>
      <c r="F16103" s="27">
        <f ca="1">ROUND(1.290*(1+G2/100),2)</f>
        <v>0</v>
      </c>
      <c r="G16103" s="26"/>
    </row>
    <row r="16104" spans="1:7" ht="21.36" thickBot="1" customHeight="1">
      <c r="A16104" s="26"/>
      <c r="B16104" s="26"/>
      <c r="C16104" s="26"/>
      <c r="D16104" s="25" t="s">
        <v>50491</v>
      </c>
      <c r="E16104" s="25"/>
      <c r="F16104" s="25"/>
      <c r="G16104" s="25"/>
    </row>
    <row r="16105" spans="1:7" ht="21.36" thickBot="1" customHeight="1">
      <c r="A16105" s="10" t="s">
        <v>50492</v>
      </c>
      <c r="B16105" s="24" t="s">
        <v>50493</v>
      </c>
      <c r="C16105" s="24" t="s">
        <v>50494</v>
      </c>
      <c r="D16105" s="25" t="s">
        <v>50495</v>
      </c>
      <c r="E16105" s="26"/>
      <c r="F16105" s="27">
        <f ca="1">ROUND(1.590*(1+G2/100),2)</f>
        <v>0</v>
      </c>
      <c r="G16105" s="26"/>
    </row>
    <row r="16106" spans="1:7" ht="21.36" thickBot="1" customHeight="1">
      <c r="A16106" s="26"/>
      <c r="B16106" s="26"/>
      <c r="C16106" s="26"/>
      <c r="D16106" s="25" t="s">
        <v>50496</v>
      </c>
      <c r="E16106" s="25"/>
      <c r="F16106" s="25"/>
      <c r="G16106" s="25"/>
    </row>
    <row r="16107" spans="1:7" ht="21.36" thickBot="1" customHeight="1">
      <c r="A16107" s="10" t="s">
        <v>50497</v>
      </c>
      <c r="B16107" s="24" t="s">
        <v>50498</v>
      </c>
      <c r="C16107" s="24" t="s">
        <v>50499</v>
      </c>
      <c r="D16107" s="25" t="s">
        <v>50500</v>
      </c>
      <c r="E16107" s="26"/>
      <c r="F16107" s="27">
        <f ca="1">ROUND(1.690*(1+G2/100),2)</f>
        <v>0</v>
      </c>
      <c r="G16107" s="26"/>
    </row>
    <row r="16108" spans="1:7" ht="21.36" thickBot="1" customHeight="1">
      <c r="A16108" s="26"/>
      <c r="B16108" s="26"/>
      <c r="C16108" s="26"/>
      <c r="D16108" s="25" t="s">
        <v>50501</v>
      </c>
      <c r="E16108" s="25"/>
      <c r="F16108" s="25"/>
      <c r="G16108" s="25"/>
    </row>
    <row r="16109" spans="1:7" ht="30.60" thickBot="1" customHeight="1">
      <c r="A16109" s="10" t="s">
        <v>50502</v>
      </c>
      <c r="B16109" s="24" t="s">
        <v>50503</v>
      </c>
      <c r="C16109" s="24" t="s">
        <v>50504</v>
      </c>
      <c r="D16109" s="25" t="s">
        <v>50505</v>
      </c>
      <c r="E16109" s="26"/>
      <c r="F16109" s="27">
        <f ca="1">ROUND(8.150*(1+G2/100),2)</f>
        <v>0</v>
      </c>
      <c r="G16109" s="26"/>
    </row>
    <row r="16110" spans="1:7" ht="21.36" thickBot="1" customHeight="1">
      <c r="A16110" s="26"/>
      <c r="B16110" s="26"/>
      <c r="C16110" s="26"/>
      <c r="D16110" s="25" t="s">
        <v>50506</v>
      </c>
      <c r="E16110" s="25"/>
      <c r="F16110" s="25"/>
      <c r="G16110" s="25"/>
    </row>
    <row r="16111" spans="1:7" ht="30.60" thickBot="1" customHeight="1">
      <c r="A16111" s="10" t="s">
        <v>50507</v>
      </c>
      <c r="B16111" s="24" t="s">
        <v>50508</v>
      </c>
      <c r="C16111" s="24" t="s">
        <v>50509</v>
      </c>
      <c r="D16111" s="25" t="s">
        <v>50510</v>
      </c>
      <c r="E16111" s="26"/>
      <c r="F16111" s="27">
        <f ca="1">ROUND(12.500*(1+G2/100),2)</f>
        <v>0</v>
      </c>
      <c r="G16111" s="26"/>
    </row>
    <row r="16112" spans="1:7" ht="21.36" thickBot="1" customHeight="1">
      <c r="A16112" s="26"/>
      <c r="B16112" s="26"/>
      <c r="C16112" s="26"/>
      <c r="D16112" s="25" t="s">
        <v>50511</v>
      </c>
      <c r="E16112" s="25"/>
      <c r="F16112" s="25"/>
      <c r="G16112" s="25"/>
    </row>
    <row r="16113" spans="1:7" ht="30.60" thickBot="1" customHeight="1">
      <c r="A16113" s="10" t="s">
        <v>50512</v>
      </c>
      <c r="B16113" s="24" t="s">
        <v>50513</v>
      </c>
      <c r="C16113" s="24" t="s">
        <v>50514</v>
      </c>
      <c r="D16113" s="25" t="s">
        <v>50515</v>
      </c>
      <c r="E16113" s="26"/>
      <c r="F16113" s="27">
        <f ca="1">ROUND(11.050*(1+G2/100),2)</f>
        <v>0</v>
      </c>
      <c r="G16113" s="26"/>
    </row>
    <row r="16114" spans="1:7" ht="21.36" thickBot="1" customHeight="1">
      <c r="A16114" s="26"/>
      <c r="B16114" s="26"/>
      <c r="C16114" s="26"/>
      <c r="D16114" s="25" t="s">
        <v>50516</v>
      </c>
      <c r="E16114" s="25"/>
      <c r="F16114" s="25"/>
      <c r="G16114" s="25"/>
    </row>
    <row r="16115" spans="1:7" ht="30.60" thickBot="1" customHeight="1">
      <c r="A16115" s="10" t="s">
        <v>50517</v>
      </c>
      <c r="B16115" s="24" t="s">
        <v>50518</v>
      </c>
      <c r="C16115" s="24" t="s">
        <v>50519</v>
      </c>
      <c r="D16115" s="25" t="s">
        <v>50520</v>
      </c>
      <c r="E16115" s="26"/>
      <c r="F16115" s="27">
        <f ca="1">ROUND(3.750*(1+G2/100),2)</f>
        <v>0</v>
      </c>
      <c r="G16115" s="26"/>
    </row>
    <row r="16116" spans="1:7" ht="21.36" thickBot="1" customHeight="1">
      <c r="A16116" s="26"/>
      <c r="B16116" s="26"/>
      <c r="C16116" s="26"/>
      <c r="D16116" s="25" t="s">
        <v>50521</v>
      </c>
      <c r="E16116" s="25"/>
      <c r="F16116" s="25"/>
      <c r="G16116" s="25"/>
    </row>
    <row r="16117" spans="1:7" ht="21.36" thickBot="1" customHeight="1">
      <c r="A16117" s="10" t="s">
        <v>50522</v>
      </c>
      <c r="B16117" s="24" t="s">
        <v>50523</v>
      </c>
      <c r="C16117" s="24" t="s">
        <v>50524</v>
      </c>
      <c r="D16117" s="25" t="s">
        <v>50525</v>
      </c>
      <c r="E16117" s="26"/>
      <c r="F16117" s="27">
        <f ca="1">ROUND(2.290*(1+G2/100),2)</f>
        <v>0</v>
      </c>
      <c r="G16117" s="26"/>
    </row>
    <row r="16118" spans="1:7" ht="21.36" thickBot="1" customHeight="1">
      <c r="A16118" s="26"/>
      <c r="B16118" s="26"/>
      <c r="C16118" s="26"/>
      <c r="D16118" s="25" t="s">
        <v>50526</v>
      </c>
      <c r="E16118" s="25"/>
      <c r="F16118" s="25"/>
      <c r="G16118" s="25"/>
    </row>
    <row r="16119" spans="1:7" ht="39.84" thickBot="1" customHeight="1">
      <c r="A16119" s="10" t="s">
        <v>50527</v>
      </c>
      <c r="B16119" s="24" t="s">
        <v>50528</v>
      </c>
      <c r="C16119" s="24" t="s">
        <v>50529</v>
      </c>
      <c r="D16119" s="25" t="s">
        <v>50530</v>
      </c>
      <c r="E16119" s="26"/>
      <c r="F16119" s="27">
        <f ca="1">ROUND(3.630*(1+G2/100),2)</f>
        <v>0</v>
      </c>
      <c r="G16119" s="26"/>
    </row>
    <row r="16120" spans="1:7" ht="30.60" thickBot="1" customHeight="1">
      <c r="A16120" s="26"/>
      <c r="B16120" s="26"/>
      <c r="C16120" s="26"/>
      <c r="D16120" s="25" t="s">
        <v>50531</v>
      </c>
      <c r="E16120" s="25"/>
      <c r="F16120" s="25"/>
      <c r="G16120" s="25"/>
    </row>
    <row r="16121" spans="1:7" ht="30.60" thickBot="1" customHeight="1">
      <c r="A16121" s="10" t="s">
        <v>50532</v>
      </c>
      <c r="B16121" s="24" t="s">
        <v>50533</v>
      </c>
      <c r="C16121" s="24" t="s">
        <v>50534</v>
      </c>
      <c r="D16121" s="25" t="s">
        <v>50535</v>
      </c>
      <c r="E16121" s="26"/>
      <c r="F16121" s="27">
        <f ca="1">ROUND(10.730*(1+G2/100),2)</f>
        <v>0</v>
      </c>
      <c r="G16121" s="26"/>
    </row>
    <row r="16122" spans="1:7" ht="30.60" thickBot="1" customHeight="1">
      <c r="A16122" s="26"/>
      <c r="B16122" s="26"/>
      <c r="C16122" s="26"/>
      <c r="D16122" s="25" t="s">
        <v>50536</v>
      </c>
      <c r="E16122" s="25"/>
      <c r="F16122" s="25"/>
      <c r="G16122" s="25"/>
    </row>
    <row r="16123" spans="1:7" ht="30.60" thickBot="1" customHeight="1">
      <c r="A16123" s="10" t="s">
        <v>50537</v>
      </c>
      <c r="B16123" s="24" t="s">
        <v>50538</v>
      </c>
      <c r="C16123" s="24" t="s">
        <v>50539</v>
      </c>
      <c r="D16123" s="25" t="s">
        <v>50540</v>
      </c>
      <c r="E16123" s="26"/>
      <c r="F16123" s="27">
        <f ca="1">ROUND(20.000*(1+G2/100),2)</f>
        <v>0</v>
      </c>
      <c r="G16123" s="26"/>
    </row>
    <row r="16124" spans="1:7" ht="30.60" thickBot="1" customHeight="1">
      <c r="A16124" s="26"/>
      <c r="B16124" s="26"/>
      <c r="C16124" s="26"/>
      <c r="D16124" s="25" t="s">
        <v>50541</v>
      </c>
      <c r="E16124" s="25"/>
      <c r="F16124" s="25"/>
      <c r="G16124" s="25"/>
    </row>
    <row r="16125" spans="1:7" ht="39.84" thickBot="1" customHeight="1">
      <c r="A16125" s="10" t="s">
        <v>50542</v>
      </c>
      <c r="B16125" s="24" t="s">
        <v>50543</v>
      </c>
      <c r="C16125" s="24" t="s">
        <v>50544</v>
      </c>
      <c r="D16125" s="25" t="s">
        <v>50545</v>
      </c>
      <c r="E16125" s="26"/>
      <c r="F16125" s="27">
        <f ca="1">ROUND(6.330*(1+G2/100),2)</f>
        <v>0</v>
      </c>
      <c r="G16125" s="26"/>
    </row>
    <row r="16126" spans="1:7" ht="30.60" thickBot="1" customHeight="1">
      <c r="A16126" s="26"/>
      <c r="B16126" s="26"/>
      <c r="C16126" s="26"/>
      <c r="D16126" s="25" t="s">
        <v>50546</v>
      </c>
      <c r="E16126" s="25"/>
      <c r="F16126" s="25"/>
      <c r="G16126" s="25"/>
    </row>
    <row r="16127" spans="1:7" ht="30.60" thickBot="1" customHeight="1">
      <c r="A16127" s="10" t="s">
        <v>50547</v>
      </c>
      <c r="B16127" s="24" t="s">
        <v>50548</v>
      </c>
      <c r="C16127" s="24" t="s">
        <v>50549</v>
      </c>
      <c r="D16127" s="25" t="s">
        <v>50550</v>
      </c>
      <c r="E16127" s="26"/>
      <c r="F16127" s="27">
        <f ca="1">ROUND(10.740*(1+G2/100),2)</f>
        <v>0</v>
      </c>
      <c r="G16127" s="26"/>
    </row>
    <row r="16128" spans="1:7" ht="21.36" thickBot="1" customHeight="1">
      <c r="A16128" s="26"/>
      <c r="B16128" s="26"/>
      <c r="C16128" s="26"/>
      <c r="D16128" s="25" t="s">
        <v>50551</v>
      </c>
      <c r="E16128" s="25"/>
      <c r="F16128" s="25"/>
      <c r="G16128" s="25"/>
    </row>
    <row r="16129" spans="1:7" ht="30.60" thickBot="1" customHeight="1">
      <c r="A16129" s="10" t="s">
        <v>50552</v>
      </c>
      <c r="B16129" s="24" t="s">
        <v>50553</v>
      </c>
      <c r="C16129" s="24" t="s">
        <v>50554</v>
      </c>
      <c r="D16129" s="25" t="s">
        <v>50555</v>
      </c>
      <c r="E16129" s="26"/>
      <c r="F16129" s="27">
        <f ca="1">ROUND(12.750*(1+G2/100),2)</f>
        <v>0</v>
      </c>
      <c r="G16129" s="26"/>
    </row>
    <row r="16130" spans="1:7" ht="21.36" thickBot="1" customHeight="1">
      <c r="A16130" s="26"/>
      <c r="B16130" s="26"/>
      <c r="C16130" s="26"/>
      <c r="D16130" s="25" t="s">
        <v>50556</v>
      </c>
      <c r="E16130" s="25"/>
      <c r="F16130" s="25"/>
      <c r="G16130" s="25"/>
    </row>
    <row r="16131" spans="1:7" ht="21.36" thickBot="1" customHeight="1">
      <c r="A16131" s="10" t="s">
        <v>50557</v>
      </c>
      <c r="B16131" s="24" t="s">
        <v>50558</v>
      </c>
      <c r="C16131" s="24" t="s">
        <v>50559</v>
      </c>
      <c r="D16131" s="25" t="s">
        <v>50560</v>
      </c>
      <c r="E16131" s="26"/>
      <c r="F16131" s="27">
        <f ca="1">ROUND(1.260*(1+G2/100),2)</f>
        <v>0</v>
      </c>
      <c r="G16131" s="26"/>
    </row>
    <row r="16132" spans="1:7" ht="21.36" thickBot="1" customHeight="1">
      <c r="A16132" s="26"/>
      <c r="B16132" s="26"/>
      <c r="C16132" s="26"/>
      <c r="D16132" s="25" t="s">
        <v>50561</v>
      </c>
      <c r="E16132" s="25"/>
      <c r="F16132" s="25"/>
      <c r="G16132" s="25"/>
    </row>
    <row r="16133" spans="1:7" ht="21.36" thickBot="1" customHeight="1">
      <c r="A16133" s="10" t="s">
        <v>50562</v>
      </c>
      <c r="B16133" s="24" t="s">
        <v>50563</v>
      </c>
      <c r="C16133" s="24" t="s">
        <v>50564</v>
      </c>
      <c r="D16133" s="25" t="s">
        <v>50565</v>
      </c>
      <c r="E16133" s="26"/>
      <c r="F16133" s="27">
        <f ca="1">ROUND(4.950*(1+G2/100),2)</f>
        <v>0</v>
      </c>
      <c r="G16133" s="26"/>
    </row>
    <row r="16134" spans="1:7" ht="21.36" thickBot="1" customHeight="1">
      <c r="A16134" s="26"/>
      <c r="B16134" s="26"/>
      <c r="C16134" s="26"/>
      <c r="D16134" s="25" t="s">
        <v>50566</v>
      </c>
      <c r="E16134" s="25"/>
      <c r="F16134" s="25"/>
      <c r="G16134" s="25"/>
    </row>
    <row r="16135" spans="1:7" ht="21.36" thickBot="1" customHeight="1">
      <c r="A16135" s="10" t="s">
        <v>50567</v>
      </c>
      <c r="B16135" s="24" t="s">
        <v>50568</v>
      </c>
      <c r="C16135" s="24" t="s">
        <v>50569</v>
      </c>
      <c r="D16135" s="25" t="s">
        <v>50570</v>
      </c>
      <c r="E16135" s="26"/>
      <c r="F16135" s="27">
        <f ca="1">ROUND(0.250*(1+G2/100),2)</f>
        <v>0</v>
      </c>
      <c r="G16135" s="26"/>
    </row>
    <row r="16136" spans="1:7" ht="12.12" thickBot="1" customHeight="1">
      <c r="A16136" s="26"/>
      <c r="B16136" s="26"/>
      <c r="C16136" s="26"/>
      <c r="D16136" s="25" t="s">
        <v>50571</v>
      </c>
      <c r="E16136" s="25"/>
      <c r="F16136" s="25"/>
      <c r="G16136" s="25"/>
    </row>
    <row r="16137" spans="1:7" ht="21.36" thickBot="1" customHeight="1">
      <c r="A16137" s="10" t="s">
        <v>50572</v>
      </c>
      <c r="B16137" s="24" t="s">
        <v>50573</v>
      </c>
      <c r="C16137" s="24" t="s">
        <v>50574</v>
      </c>
      <c r="D16137" s="25" t="s">
        <v>50575</v>
      </c>
      <c r="E16137" s="26"/>
      <c r="F16137" s="27">
        <f ca="1">ROUND(0.590*(1+G2/100),2)</f>
        <v>0</v>
      </c>
      <c r="G16137" s="26"/>
    </row>
    <row r="16138" spans="1:7" ht="12.12" thickBot="1" customHeight="1">
      <c r="A16138" s="26"/>
      <c r="B16138" s="26"/>
      <c r="C16138" s="26"/>
      <c r="D16138" s="25" t="s">
        <v>50576</v>
      </c>
      <c r="E16138" s="25"/>
      <c r="F16138" s="25"/>
      <c r="G16138" s="25"/>
    </row>
    <row r="16139" spans="1:7" ht="21.36" thickBot="1" customHeight="1">
      <c r="A16139" s="10" t="s">
        <v>50577</v>
      </c>
      <c r="B16139" s="24" t="s">
        <v>50578</v>
      </c>
      <c r="C16139" s="24" t="s">
        <v>50579</v>
      </c>
      <c r="D16139" s="25" t="s">
        <v>50580</v>
      </c>
      <c r="E16139" s="26"/>
      <c r="F16139" s="27">
        <f ca="1">ROUND(0.690*(1+G2/100),2)</f>
        <v>0</v>
      </c>
      <c r="G16139" s="26"/>
    </row>
    <row r="16140" spans="1:7" ht="12.12" thickBot="1" customHeight="1">
      <c r="A16140" s="26"/>
      <c r="B16140" s="26"/>
      <c r="C16140" s="26"/>
      <c r="D16140" s="25" t="s">
        <v>50581</v>
      </c>
      <c r="E16140" s="25"/>
      <c r="F16140" s="25"/>
      <c r="G16140" s="25"/>
    </row>
    <row r="16141" spans="1:7" ht="21.36" thickBot="1" customHeight="1">
      <c r="A16141" s="10" t="s">
        <v>50582</v>
      </c>
      <c r="B16141" s="24" t="s">
        <v>50583</v>
      </c>
      <c r="C16141" s="24" t="s">
        <v>50584</v>
      </c>
      <c r="D16141" s="25" t="s">
        <v>50585</v>
      </c>
      <c r="E16141" s="26"/>
      <c r="F16141" s="27">
        <f ca="1">ROUND(1.900*(1+G2/100),2)</f>
        <v>0</v>
      </c>
      <c r="G16141" s="26"/>
    </row>
    <row r="16142" spans="1:7" ht="12.12" thickBot="1" customHeight="1">
      <c r="A16142" s="26"/>
      <c r="B16142" s="26"/>
      <c r="C16142" s="26"/>
      <c r="D16142" s="25" t="s">
        <v>50586</v>
      </c>
      <c r="E16142" s="25"/>
      <c r="F16142" s="25"/>
      <c r="G16142" s="25"/>
    </row>
    <row r="16143" spans="1:7" ht="21.36" thickBot="1" customHeight="1">
      <c r="A16143" s="10" t="s">
        <v>50587</v>
      </c>
      <c r="B16143" s="24" t="s">
        <v>50588</v>
      </c>
      <c r="C16143" s="24" t="s">
        <v>50589</v>
      </c>
      <c r="D16143" s="25" t="s">
        <v>50590</v>
      </c>
      <c r="E16143" s="26"/>
      <c r="F16143" s="27">
        <f ca="1">ROUND(0.900*(1+G2/100),2)</f>
        <v>0</v>
      </c>
      <c r="G16143" s="26"/>
    </row>
    <row r="16144" spans="1:7" ht="12.12" thickBot="1" customHeight="1">
      <c r="A16144" s="26"/>
      <c r="B16144" s="26"/>
      <c r="C16144" s="26"/>
      <c r="D16144" s="25" t="s">
        <v>50591</v>
      </c>
      <c r="E16144" s="25"/>
      <c r="F16144" s="25"/>
      <c r="G16144" s="25"/>
    </row>
    <row r="16145" spans="1:7" ht="21.36" thickBot="1" customHeight="1">
      <c r="A16145" s="10" t="s">
        <v>50592</v>
      </c>
      <c r="B16145" s="24" t="s">
        <v>50593</v>
      </c>
      <c r="C16145" s="24" t="s">
        <v>50594</v>
      </c>
      <c r="D16145" s="25" t="s">
        <v>50595</v>
      </c>
      <c r="E16145" s="26"/>
      <c r="F16145" s="27">
        <f ca="1">ROUND(1.290*(1+G2/100),2)</f>
        <v>0</v>
      </c>
      <c r="G16145" s="26"/>
    </row>
    <row r="16146" spans="1:7" ht="12.12" thickBot="1" customHeight="1">
      <c r="A16146" s="26"/>
      <c r="B16146" s="26"/>
      <c r="C16146" s="26"/>
      <c r="D16146" s="25" t="s">
        <v>50596</v>
      </c>
      <c r="E16146" s="25"/>
      <c r="F16146" s="25"/>
      <c r="G16146" s="25"/>
    </row>
    <row r="16147" spans="1:7" ht="21.36" thickBot="1" customHeight="1">
      <c r="A16147" s="10" t="s">
        <v>50597</v>
      </c>
      <c r="B16147" s="24" t="s">
        <v>50598</v>
      </c>
      <c r="C16147" s="24" t="s">
        <v>50599</v>
      </c>
      <c r="D16147" s="25" t="s">
        <v>50600</v>
      </c>
      <c r="E16147" s="26"/>
      <c r="F16147" s="27">
        <f ca="1">ROUND(0.650*(1+G2/100),2)</f>
        <v>0</v>
      </c>
      <c r="G16147" s="26"/>
    </row>
    <row r="16148" spans="1:7" ht="12.12" thickBot="1" customHeight="1">
      <c r="A16148" s="26"/>
      <c r="B16148" s="26"/>
      <c r="C16148" s="26"/>
      <c r="D16148" s="25" t="s">
        <v>50601</v>
      </c>
      <c r="E16148" s="25"/>
      <c r="F16148" s="25"/>
      <c r="G16148" s="25"/>
    </row>
    <row r="16149" spans="1:7" ht="21.36" thickBot="1" customHeight="1">
      <c r="A16149" s="10" t="s">
        <v>50602</v>
      </c>
      <c r="B16149" s="24" t="s">
        <v>50603</v>
      </c>
      <c r="C16149" s="24" t="s">
        <v>50604</v>
      </c>
      <c r="D16149" s="25" t="s">
        <v>50605</v>
      </c>
      <c r="E16149" s="26"/>
      <c r="F16149" s="27">
        <f ca="1">ROUND(3.990*(1+G2/100),2)</f>
        <v>0</v>
      </c>
      <c r="G16149" s="26"/>
    </row>
    <row r="16150" spans="1:7" ht="21.36" thickBot="1" customHeight="1">
      <c r="A16150" s="26"/>
      <c r="B16150" s="26"/>
      <c r="C16150" s="26"/>
      <c r="D16150" s="25" t="s">
        <v>50606</v>
      </c>
      <c r="E16150" s="25"/>
      <c r="F16150" s="25"/>
      <c r="G16150" s="25"/>
    </row>
    <row r="16151" spans="1:7" ht="30.60" thickBot="1" customHeight="1">
      <c r="A16151" s="10" t="s">
        <v>50607</v>
      </c>
      <c r="B16151" s="24" t="s">
        <v>50608</v>
      </c>
      <c r="C16151" s="24" t="s">
        <v>50609</v>
      </c>
      <c r="D16151" s="25" t="s">
        <v>50610</v>
      </c>
      <c r="E16151" s="26"/>
      <c r="F16151" s="27">
        <f ca="1">ROUND(20.450*(1+G2/100),2)</f>
        <v>0</v>
      </c>
      <c r="G16151" s="26"/>
    </row>
    <row r="16152" spans="1:7" ht="21.36" thickBot="1" customHeight="1">
      <c r="A16152" s="26"/>
      <c r="B16152" s="26"/>
      <c r="C16152" s="26"/>
      <c r="D16152" s="25" t="s">
        <v>50611</v>
      </c>
      <c r="E16152" s="25"/>
      <c r="F16152" s="25"/>
      <c r="G16152" s="25"/>
    </row>
    <row r="16153" spans="1:7" ht="30.60" thickBot="1" customHeight="1">
      <c r="A16153" s="10" t="s">
        <v>50612</v>
      </c>
      <c r="B16153" s="24" t="s">
        <v>50613</v>
      </c>
      <c r="C16153" s="24" t="s">
        <v>50614</v>
      </c>
      <c r="D16153" s="25" t="s">
        <v>50615</v>
      </c>
      <c r="E16153" s="26"/>
      <c r="F16153" s="27">
        <f ca="1">ROUND(22.560*(1+G2/100),2)</f>
        <v>0</v>
      </c>
      <c r="G16153" s="26"/>
    </row>
    <row r="16154" spans="1:7" ht="30.60" thickBot="1" customHeight="1">
      <c r="A16154" s="26"/>
      <c r="B16154" s="26"/>
      <c r="C16154" s="26"/>
      <c r="D16154" s="25" t="s">
        <v>50616</v>
      </c>
      <c r="E16154" s="25"/>
      <c r="F16154" s="25"/>
      <c r="G16154" s="25"/>
    </row>
    <row r="16155" spans="1:7" ht="30.60" thickBot="1" customHeight="1">
      <c r="A16155" s="10" t="s">
        <v>50617</v>
      </c>
      <c r="B16155" s="24" t="s">
        <v>50618</v>
      </c>
      <c r="C16155" s="24" t="s">
        <v>50619</v>
      </c>
      <c r="D16155" s="25" t="s">
        <v>50620</v>
      </c>
      <c r="E16155" s="26"/>
      <c r="F16155" s="27">
        <f ca="1">ROUND(23.240*(1+G2/100),2)</f>
        <v>0</v>
      </c>
      <c r="G16155" s="26"/>
    </row>
    <row r="16156" spans="1:7" ht="30.60" thickBot="1" customHeight="1">
      <c r="A16156" s="26"/>
      <c r="B16156" s="26"/>
      <c r="C16156" s="26"/>
      <c r="D16156" s="25" t="s">
        <v>50621</v>
      </c>
      <c r="E16156" s="25"/>
      <c r="F16156" s="25"/>
      <c r="G16156" s="25"/>
    </row>
    <row r="16157" spans="1:7" ht="30.60" thickBot="1" customHeight="1">
      <c r="A16157" s="10" t="s">
        <v>50622</v>
      </c>
      <c r="B16157" s="24" t="s">
        <v>50623</v>
      </c>
      <c r="C16157" s="24" t="s">
        <v>50624</v>
      </c>
      <c r="D16157" s="25" t="s">
        <v>50625</v>
      </c>
      <c r="E16157" s="26"/>
      <c r="F16157" s="27">
        <f ca="1">ROUND(24.880*(1+G2/100),2)</f>
        <v>0</v>
      </c>
      <c r="G16157" s="26"/>
    </row>
    <row r="16158" spans="1:7" ht="21.36" thickBot="1" customHeight="1">
      <c r="A16158" s="26"/>
      <c r="B16158" s="26"/>
      <c r="C16158" s="26"/>
      <c r="D16158" s="25" t="s">
        <v>50626</v>
      </c>
      <c r="E16158" s="25"/>
      <c r="F16158" s="25"/>
      <c r="G16158" s="25"/>
    </row>
    <row r="16159" spans="1:7" ht="21.36" thickBot="1" customHeight="1">
      <c r="A16159" s="10" t="s">
        <v>50627</v>
      </c>
      <c r="B16159" s="24" t="s">
        <v>50628</v>
      </c>
      <c r="C16159" s="24" t="s">
        <v>50629</v>
      </c>
      <c r="D16159" s="25" t="s">
        <v>50630</v>
      </c>
      <c r="E16159" s="26"/>
      <c r="F16159" s="27">
        <f ca="1">ROUND(1.920*(1+G2/100),2)</f>
        <v>0</v>
      </c>
      <c r="G16159" s="26"/>
    </row>
    <row r="16160" spans="1:7" ht="21.36" thickBot="1" customHeight="1">
      <c r="A16160" s="26"/>
      <c r="B16160" s="26"/>
      <c r="C16160" s="26"/>
      <c r="D16160" s="25" t="s">
        <v>50631</v>
      </c>
      <c r="E16160" s="25"/>
      <c r="F16160" s="25"/>
      <c r="G16160" s="25"/>
    </row>
    <row r="16161" spans="1:7" ht="21.36" thickBot="1" customHeight="1">
      <c r="A16161" s="10" t="s">
        <v>50632</v>
      </c>
      <c r="B16161" s="24" t="s">
        <v>50633</v>
      </c>
      <c r="C16161" s="24" t="s">
        <v>50634</v>
      </c>
      <c r="D16161" s="25" t="s">
        <v>50635</v>
      </c>
      <c r="E16161" s="26"/>
      <c r="F16161" s="27">
        <f ca="1">ROUND(2.350*(1+G2/100),2)</f>
        <v>0</v>
      </c>
      <c r="G16161" s="26"/>
    </row>
    <row r="16162" spans="1:7" ht="21.36" thickBot="1" customHeight="1">
      <c r="A16162" s="26"/>
      <c r="B16162" s="26"/>
      <c r="C16162" s="26"/>
      <c r="D16162" s="25" t="s">
        <v>50636</v>
      </c>
      <c r="E16162" s="25"/>
      <c r="F16162" s="25"/>
      <c r="G16162" s="25"/>
    </row>
    <row r="16163" spans="1:7" ht="21.36" thickBot="1" customHeight="1">
      <c r="A16163" s="10" t="s">
        <v>50637</v>
      </c>
      <c r="B16163" s="24" t="s">
        <v>50638</v>
      </c>
      <c r="C16163" s="24" t="s">
        <v>50639</v>
      </c>
      <c r="D16163" s="25" t="s">
        <v>50640</v>
      </c>
      <c r="E16163" s="26"/>
      <c r="F16163" s="27">
        <f ca="1">ROUND(3.250*(1+G2/100),2)</f>
        <v>0</v>
      </c>
      <c r="G16163" s="26"/>
    </row>
    <row r="16164" spans="1:7" ht="21.36" thickBot="1" customHeight="1">
      <c r="A16164" s="26"/>
      <c r="B16164" s="26"/>
      <c r="C16164" s="26"/>
      <c r="D16164" s="25" t="s">
        <v>50641</v>
      </c>
      <c r="E16164" s="25"/>
      <c r="F16164" s="25"/>
      <c r="G16164" s="25"/>
    </row>
    <row r="16165" spans="1:7" ht="21.36" thickBot="1" customHeight="1">
      <c r="A16165" s="10" t="s">
        <v>50642</v>
      </c>
      <c r="B16165" s="24" t="s">
        <v>50643</v>
      </c>
      <c r="C16165" s="24" t="s">
        <v>50644</v>
      </c>
      <c r="D16165" s="25" t="s">
        <v>50645</v>
      </c>
      <c r="E16165" s="26"/>
      <c r="F16165" s="27">
        <f ca="1">ROUND(5.340*(1+G2/100),2)</f>
        <v>0</v>
      </c>
      <c r="G16165" s="26"/>
    </row>
    <row r="16166" spans="1:7" ht="21.36" thickBot="1" customHeight="1">
      <c r="A16166" s="26"/>
      <c r="B16166" s="26"/>
      <c r="C16166" s="26"/>
      <c r="D16166" s="25" t="s">
        <v>50646</v>
      </c>
      <c r="E16166" s="25"/>
      <c r="F16166" s="25"/>
      <c r="G16166" s="25"/>
    </row>
    <row r="16167" spans="1:7" ht="21.36" thickBot="1" customHeight="1">
      <c r="A16167" s="10" t="s">
        <v>50647</v>
      </c>
      <c r="B16167" s="24" t="s">
        <v>50648</v>
      </c>
      <c r="C16167" s="24" t="s">
        <v>50649</v>
      </c>
      <c r="D16167" s="25" t="s">
        <v>50650</v>
      </c>
      <c r="E16167" s="26"/>
      <c r="F16167" s="27">
        <f ca="1">ROUND(8.180*(1+G2/100),2)</f>
        <v>0</v>
      </c>
      <c r="G16167" s="26"/>
    </row>
    <row r="16168" spans="1:7" ht="12.12" thickBot="1" customHeight="1">
      <c r="A16168" s="26"/>
      <c r="B16168" s="26"/>
      <c r="C16168" s="26"/>
      <c r="D16168" s="25" t="s">
        <v>50651</v>
      </c>
      <c r="E16168" s="25"/>
      <c r="F16168" s="25"/>
      <c r="G16168" s="25"/>
    </row>
    <row r="16169" spans="1:7" ht="21.36" thickBot="1" customHeight="1">
      <c r="A16169" s="10" t="s">
        <v>50652</v>
      </c>
      <c r="B16169" s="24" t="s">
        <v>50653</v>
      </c>
      <c r="C16169" s="24" t="s">
        <v>50654</v>
      </c>
      <c r="D16169" s="25" t="s">
        <v>50655</v>
      </c>
      <c r="E16169" s="26"/>
      <c r="F16169" s="27">
        <f ca="1">ROUND(9.230*(1+G2/100),2)</f>
        <v>0</v>
      </c>
      <c r="G16169" s="26"/>
    </row>
    <row r="16170" spans="1:7" ht="12.12" thickBot="1" customHeight="1">
      <c r="A16170" s="26"/>
      <c r="B16170" s="26"/>
      <c r="C16170" s="26"/>
      <c r="D16170" s="25" t="s">
        <v>50656</v>
      </c>
      <c r="E16170" s="25"/>
      <c r="F16170" s="25"/>
      <c r="G16170" s="25"/>
    </row>
    <row r="16171" spans="1:7" ht="30.60" thickBot="1" customHeight="1">
      <c r="A16171" s="10" t="s">
        <v>50657</v>
      </c>
      <c r="B16171" s="24" t="s">
        <v>50658</v>
      </c>
      <c r="C16171" s="24" t="s">
        <v>50659</v>
      </c>
      <c r="D16171" s="25" t="s">
        <v>50660</v>
      </c>
      <c r="E16171" s="26"/>
      <c r="F16171" s="27">
        <f ca="1">ROUND(4.190*(1+G2/100),2)</f>
        <v>0</v>
      </c>
      <c r="G16171" s="26"/>
    </row>
    <row r="16172" spans="1:7" ht="12.12" thickBot="1" customHeight="1">
      <c r="A16172" s="26"/>
      <c r="B16172" s="26"/>
      <c r="C16172" s="26"/>
      <c r="D16172" s="25" t="s">
        <v>50661</v>
      </c>
      <c r="E16172" s="25"/>
      <c r="F16172" s="25"/>
      <c r="G16172" s="25"/>
    </row>
    <row r="16173" spans="1:7" ht="39.84" thickBot="1" customHeight="1">
      <c r="A16173" s="10" t="s">
        <v>50662</v>
      </c>
      <c r="B16173" s="24" t="s">
        <v>50663</v>
      </c>
      <c r="C16173" s="24" t="s">
        <v>50664</v>
      </c>
      <c r="D16173" s="25" t="s">
        <v>50665</v>
      </c>
      <c r="E16173" s="26"/>
      <c r="F16173" s="27">
        <f ca="1">ROUND(5.780*(1+G2/100),2)</f>
        <v>0</v>
      </c>
      <c r="G16173" s="26"/>
    </row>
    <row r="16174" spans="1:7" ht="30.60" thickBot="1" customHeight="1">
      <c r="A16174" s="26"/>
      <c r="B16174" s="26"/>
      <c r="C16174" s="26"/>
      <c r="D16174" s="25" t="s">
        <v>50666</v>
      </c>
      <c r="E16174" s="25"/>
      <c r="F16174" s="25"/>
      <c r="G16174" s="25"/>
    </row>
    <row r="16175" spans="1:7" ht="30.60" thickBot="1" customHeight="1">
      <c r="A16175" s="10" t="s">
        <v>50667</v>
      </c>
      <c r="B16175" s="24" t="s">
        <v>50668</v>
      </c>
      <c r="C16175" s="24" t="s">
        <v>50669</v>
      </c>
      <c r="D16175" s="25" t="s">
        <v>50670</v>
      </c>
      <c r="E16175" s="26"/>
      <c r="F16175" s="27">
        <f ca="1">ROUND(7.690*(1+G2/100),2)</f>
        <v>0</v>
      </c>
      <c r="G16175" s="26"/>
    </row>
    <row r="16176" spans="1:7" ht="30.60" thickBot="1" customHeight="1">
      <c r="A16176" s="26"/>
      <c r="B16176" s="26"/>
      <c r="C16176" s="26"/>
      <c r="D16176" s="25" t="s">
        <v>50671</v>
      </c>
      <c r="E16176" s="25"/>
      <c r="F16176" s="25"/>
      <c r="G16176" s="25"/>
    </row>
    <row r="16177" spans="1:7" ht="30.60" thickBot="1" customHeight="1">
      <c r="A16177" s="10" t="s">
        <v>50672</v>
      </c>
      <c r="B16177" s="24" t="s">
        <v>50673</v>
      </c>
      <c r="C16177" s="24" t="s">
        <v>50674</v>
      </c>
      <c r="D16177" s="25" t="s">
        <v>50675</v>
      </c>
      <c r="E16177" s="26"/>
      <c r="F16177" s="27">
        <f ca="1">ROUND(1.460*(1+G2/100),2)</f>
        <v>0</v>
      </c>
      <c r="G16177" s="26"/>
    </row>
    <row r="16178" spans="1:7" ht="12.12" thickBot="1" customHeight="1">
      <c r="A16178" s="26"/>
      <c r="B16178" s="26"/>
      <c r="C16178" s="26"/>
      <c r="D16178" s="25" t="s">
        <v>50676</v>
      </c>
      <c r="E16178" s="25"/>
      <c r="F16178" s="25"/>
      <c r="G16178" s="25"/>
    </row>
    <row r="16179" spans="1:7" ht="30.60" thickBot="1" customHeight="1">
      <c r="A16179" s="10" t="s">
        <v>50677</v>
      </c>
      <c r="B16179" s="24" t="s">
        <v>50678</v>
      </c>
      <c r="C16179" s="24" t="s">
        <v>50679</v>
      </c>
      <c r="D16179" s="25" t="s">
        <v>50680</v>
      </c>
      <c r="E16179" s="26"/>
      <c r="F16179" s="27">
        <f ca="1">ROUND(4.470*(1+G2/100),2)</f>
        <v>0</v>
      </c>
      <c r="G16179" s="26"/>
    </row>
    <row r="16180" spans="1:7" ht="39.84" thickBot="1" customHeight="1">
      <c r="A16180" s="26"/>
      <c r="B16180" s="26"/>
      <c r="C16180" s="26"/>
      <c r="D16180" s="25" t="s">
        <v>50681</v>
      </c>
      <c r="E16180" s="25"/>
      <c r="F16180" s="25"/>
      <c r="G16180" s="25"/>
    </row>
    <row r="16181" spans="1:7" ht="39.84" thickBot="1" customHeight="1">
      <c r="A16181" s="10" t="s">
        <v>50682</v>
      </c>
      <c r="B16181" s="24" t="s">
        <v>50683</v>
      </c>
      <c r="C16181" s="24" t="s">
        <v>50684</v>
      </c>
      <c r="D16181" s="25" t="s">
        <v>50685</v>
      </c>
      <c r="E16181" s="26"/>
      <c r="F16181" s="27">
        <f ca="1">ROUND(8.840*(1+G2/100),2)</f>
        <v>0</v>
      </c>
      <c r="G16181" s="26"/>
    </row>
    <row r="16182" spans="1:7" ht="67.56" thickBot="1" customHeight="1">
      <c r="A16182" s="26"/>
      <c r="B16182" s="26"/>
      <c r="C16182" s="26"/>
      <c r="D16182" s="25" t="s">
        <v>50686</v>
      </c>
      <c r="E16182" s="25"/>
      <c r="F16182" s="25"/>
      <c r="G16182" s="25"/>
    </row>
    <row r="16183" spans="1:7" ht="30.60" thickBot="1" customHeight="1">
      <c r="A16183" s="10" t="s">
        <v>50687</v>
      </c>
      <c r="B16183" s="24" t="s">
        <v>50688</v>
      </c>
      <c r="C16183" s="24" t="s">
        <v>50689</v>
      </c>
      <c r="D16183" s="25" t="s">
        <v>50690</v>
      </c>
      <c r="E16183" s="26"/>
      <c r="F16183" s="27">
        <f ca="1">ROUND(4.260*(1+G2/100),2)</f>
        <v>0</v>
      </c>
      <c r="G16183" s="26"/>
    </row>
    <row r="16184" spans="1:7" ht="30.60" thickBot="1" customHeight="1">
      <c r="A16184" s="26"/>
      <c r="B16184" s="26"/>
      <c r="C16184" s="26"/>
      <c r="D16184" s="25" t="s">
        <v>50691</v>
      </c>
      <c r="E16184" s="25"/>
      <c r="F16184" s="25"/>
      <c r="G16184" s="25"/>
    </row>
    <row r="16185" spans="1:7" ht="21.36" thickBot="1" customHeight="1">
      <c r="A16185" s="10" t="s">
        <v>50692</v>
      </c>
      <c r="B16185" s="24" t="s">
        <v>50693</v>
      </c>
      <c r="C16185" s="24" t="s">
        <v>50694</v>
      </c>
      <c r="D16185" s="25" t="s">
        <v>50695</v>
      </c>
      <c r="E16185" s="26"/>
      <c r="F16185" s="27">
        <f ca="1">ROUND(1.330*(1+G2/100),2)</f>
        <v>0</v>
      </c>
      <c r="G16185" s="26"/>
    </row>
    <row r="16186" spans="1:7" ht="39.84" thickBot="1" customHeight="1">
      <c r="A16186" s="26"/>
      <c r="B16186" s="26"/>
      <c r="C16186" s="26"/>
      <c r="D16186" s="25" t="s">
        <v>50696</v>
      </c>
      <c r="E16186" s="25"/>
      <c r="F16186" s="25"/>
      <c r="G16186" s="25"/>
    </row>
    <row r="16187" spans="1:7" ht="21.36" thickBot="1" customHeight="1">
      <c r="A16187" s="10" t="s">
        <v>50697</v>
      </c>
      <c r="B16187" s="24" t="s">
        <v>50698</v>
      </c>
      <c r="C16187" s="24" t="s">
        <v>50699</v>
      </c>
      <c r="D16187" s="25" t="s">
        <v>50700</v>
      </c>
      <c r="E16187" s="26"/>
      <c r="F16187" s="27">
        <f ca="1">ROUND(1.430*(1+G2/100),2)</f>
        <v>0</v>
      </c>
      <c r="G16187" s="26"/>
    </row>
    <row r="16188" spans="1:7" ht="39.84" thickBot="1" customHeight="1">
      <c r="A16188" s="26"/>
      <c r="B16188" s="26"/>
      <c r="C16188" s="26"/>
      <c r="D16188" s="25" t="s">
        <v>50701</v>
      </c>
      <c r="E16188" s="25"/>
      <c r="F16188" s="25"/>
      <c r="G16188" s="25"/>
    </row>
    <row r="16189" spans="1:7" ht="21.36" thickBot="1" customHeight="1">
      <c r="A16189" s="10" t="s">
        <v>50702</v>
      </c>
      <c r="B16189" s="24" t="s">
        <v>50703</v>
      </c>
      <c r="C16189" s="24" t="s">
        <v>50704</v>
      </c>
      <c r="D16189" s="25" t="s">
        <v>50705</v>
      </c>
      <c r="E16189" s="26"/>
      <c r="F16189" s="27">
        <f ca="1">ROUND(1.630*(1+G2/100),2)</f>
        <v>0</v>
      </c>
      <c r="G16189" s="26"/>
    </row>
    <row r="16190" spans="1:7" ht="39.84" thickBot="1" customHeight="1">
      <c r="A16190" s="26"/>
      <c r="B16190" s="26"/>
      <c r="C16190" s="26"/>
      <c r="D16190" s="25" t="s">
        <v>50706</v>
      </c>
      <c r="E16190" s="25"/>
      <c r="F16190" s="25"/>
      <c r="G16190" s="25"/>
    </row>
    <row r="16191" spans="1:7" ht="30.60" thickBot="1" customHeight="1">
      <c r="A16191" s="10" t="s">
        <v>50707</v>
      </c>
      <c r="B16191" s="24" t="s">
        <v>50708</v>
      </c>
      <c r="C16191" s="24" t="s">
        <v>50709</v>
      </c>
      <c r="D16191" s="25" t="s">
        <v>50710</v>
      </c>
      <c r="E16191" s="26"/>
      <c r="F16191" s="27">
        <f ca="1">ROUND(26.090*(1+G2/100),2)</f>
        <v>0</v>
      </c>
      <c r="G16191" s="26"/>
    </row>
    <row r="16192" spans="1:7" ht="39.84" thickBot="1" customHeight="1">
      <c r="A16192" s="26"/>
      <c r="B16192" s="26"/>
      <c r="C16192" s="26"/>
      <c r="D16192" s="25" t="s">
        <v>50711</v>
      </c>
      <c r="E16192" s="25"/>
      <c r="F16192" s="25"/>
      <c r="G16192" s="25"/>
    </row>
    <row r="16193" spans="1:7" ht="21.36" thickBot="1" customHeight="1">
      <c r="A16193" s="10" t="s">
        <v>50712</v>
      </c>
      <c r="B16193" s="24" t="s">
        <v>50713</v>
      </c>
      <c r="C16193" s="24" t="s">
        <v>50714</v>
      </c>
      <c r="D16193" s="25" t="s">
        <v>50715</v>
      </c>
      <c r="E16193" s="26"/>
      <c r="F16193" s="27">
        <f ca="1">ROUND(49.950*(1+G2/100),2)</f>
        <v>0</v>
      </c>
      <c r="G16193" s="26"/>
    </row>
    <row r="16194" spans="1:7" ht="39.84" thickBot="1" customHeight="1">
      <c r="A16194" s="26"/>
      <c r="B16194" s="26"/>
      <c r="C16194" s="26"/>
      <c r="D16194" s="25" t="s">
        <v>50716</v>
      </c>
      <c r="E16194" s="25"/>
      <c r="F16194" s="25"/>
      <c r="G16194" s="25"/>
    </row>
    <row r="16195" spans="1:7" ht="30.60" thickBot="1" customHeight="1">
      <c r="A16195" s="10" t="s">
        <v>50717</v>
      </c>
      <c r="B16195" s="24" t="s">
        <v>50718</v>
      </c>
      <c r="C16195" s="24" t="s">
        <v>50719</v>
      </c>
      <c r="D16195" s="25" t="s">
        <v>50720</v>
      </c>
      <c r="E16195" s="26"/>
      <c r="F16195" s="27">
        <f ca="1">ROUND(13.950*(1+G2/100),2)</f>
        <v>0</v>
      </c>
      <c r="G16195" s="26"/>
    </row>
    <row r="16196" spans="1:7" ht="49.08" thickBot="1" customHeight="1">
      <c r="A16196" s="26"/>
      <c r="B16196" s="26"/>
      <c r="C16196" s="26"/>
      <c r="D16196" s="25" t="s">
        <v>50721</v>
      </c>
      <c r="E16196" s="25"/>
      <c r="F16196" s="25"/>
      <c r="G16196" s="25"/>
    </row>
    <row r="16197" spans="1:7" ht="30.60" thickBot="1" customHeight="1">
      <c r="A16197" s="10" t="s">
        <v>50722</v>
      </c>
      <c r="B16197" s="24" t="s">
        <v>50723</v>
      </c>
      <c r="C16197" s="24" t="s">
        <v>50724</v>
      </c>
      <c r="D16197" s="25" t="s">
        <v>50725</v>
      </c>
      <c r="E16197" s="26"/>
      <c r="F16197" s="27">
        <f ca="1">ROUND(1.590*(1+G2/100),2)</f>
        <v>0</v>
      </c>
      <c r="G16197" s="26"/>
    </row>
    <row r="16198" spans="1:7" ht="12.12" thickBot="1" customHeight="1">
      <c r="A16198" s="26"/>
      <c r="B16198" s="26"/>
      <c r="C16198" s="26"/>
      <c r="D16198" s="25" t="s">
        <v>50726</v>
      </c>
      <c r="E16198" s="25"/>
      <c r="F16198" s="25"/>
      <c r="G16198" s="25"/>
    </row>
    <row r="16199" spans="1:7" ht="21.36" thickBot="1" customHeight="1">
      <c r="A16199" s="10" t="s">
        <v>50727</v>
      </c>
      <c r="B16199" s="24" t="s">
        <v>50728</v>
      </c>
      <c r="C16199" s="24" t="s">
        <v>50729</v>
      </c>
      <c r="D16199" s="25" t="s">
        <v>50730</v>
      </c>
      <c r="E16199" s="26"/>
      <c r="F16199" s="27">
        <f ca="1">ROUND(9.090*(1+G2/100),2)</f>
        <v>0</v>
      </c>
      <c r="G16199" s="26"/>
    </row>
    <row r="16200" spans="1:7" ht="39.84" thickBot="1" customHeight="1">
      <c r="A16200" s="26"/>
      <c r="B16200" s="26"/>
      <c r="C16200" s="26"/>
      <c r="D16200" s="25" t="s">
        <v>50731</v>
      </c>
      <c r="E16200" s="25"/>
      <c r="F16200" s="25"/>
      <c r="G16200" s="25"/>
    </row>
    <row r="16201" spans="1:7" ht="21.36" thickBot="1" customHeight="1">
      <c r="A16201" s="10" t="s">
        <v>50732</v>
      </c>
      <c r="B16201" s="24" t="s">
        <v>50733</v>
      </c>
      <c r="C16201" s="24" t="s">
        <v>50734</v>
      </c>
      <c r="D16201" s="25" t="s">
        <v>50735</v>
      </c>
      <c r="E16201" s="26"/>
      <c r="F16201" s="27">
        <f ca="1">ROUND(1.530*(1+G2/100),2)</f>
        <v>0</v>
      </c>
      <c r="G16201" s="26"/>
    </row>
    <row r="16202" spans="1:7" ht="12.12" thickBot="1" customHeight="1">
      <c r="A16202" s="26"/>
      <c r="B16202" s="26"/>
      <c r="C16202" s="26"/>
      <c r="D16202" s="25" t="s">
        <v>50736</v>
      </c>
      <c r="E16202" s="25"/>
      <c r="F16202" s="25"/>
      <c r="G16202" s="25"/>
    </row>
    <row r="16203" spans="1:7" ht="21.36" thickBot="1" customHeight="1">
      <c r="A16203" s="10" t="s">
        <v>50737</v>
      </c>
      <c r="B16203" s="24" t="s">
        <v>50738</v>
      </c>
      <c r="C16203" s="24" t="s">
        <v>50739</v>
      </c>
      <c r="D16203" s="25" t="s">
        <v>50740</v>
      </c>
      <c r="E16203" s="26"/>
      <c r="F16203" s="27">
        <f ca="1">ROUND(2.930*(1+G2/100),2)</f>
        <v>0</v>
      </c>
      <c r="G16203" s="26"/>
    </row>
    <row r="16204" spans="1:7" ht="12.12" thickBot="1" customHeight="1">
      <c r="A16204" s="26"/>
      <c r="B16204" s="26"/>
      <c r="C16204" s="26"/>
      <c r="D16204" s="25" t="s">
        <v>50741</v>
      </c>
      <c r="E16204" s="25"/>
      <c r="F16204" s="25"/>
      <c r="G16204" s="25"/>
    </row>
    <row r="16205" spans="1:7" ht="21.36" thickBot="1" customHeight="1">
      <c r="A16205" s="10" t="s">
        <v>50742</v>
      </c>
      <c r="B16205" s="24" t="s">
        <v>50743</v>
      </c>
      <c r="C16205" s="24" t="s">
        <v>50744</v>
      </c>
      <c r="D16205" s="25" t="s">
        <v>50745</v>
      </c>
      <c r="E16205" s="26"/>
      <c r="F16205" s="27">
        <f ca="1">ROUND(1.120*(1+G2/100),2)</f>
        <v>0</v>
      </c>
      <c r="G16205" s="26"/>
    </row>
    <row r="16206" spans="1:7" ht="30.60" thickBot="1" customHeight="1">
      <c r="A16206" s="26"/>
      <c r="B16206" s="26"/>
      <c r="C16206" s="26"/>
      <c r="D16206" s="25" t="s">
        <v>50746</v>
      </c>
      <c r="E16206" s="25"/>
      <c r="F16206" s="25"/>
      <c r="G16206" s="25"/>
    </row>
    <row r="16207" spans="1:7" ht="21.36" thickBot="1" customHeight="1">
      <c r="A16207" s="10" t="s">
        <v>50747</v>
      </c>
      <c r="B16207" s="24" t="s">
        <v>50748</v>
      </c>
      <c r="C16207" s="24" t="s">
        <v>50749</v>
      </c>
      <c r="D16207" s="25" t="s">
        <v>50750</v>
      </c>
      <c r="E16207" s="26"/>
      <c r="F16207" s="27">
        <f ca="1">ROUND(1.030*(1+G2/100),2)</f>
        <v>0</v>
      </c>
      <c r="G16207" s="26"/>
    </row>
    <row r="16208" spans="1:7" ht="12.12" thickBot="1" customHeight="1">
      <c r="A16208" s="26"/>
      <c r="B16208" s="26"/>
      <c r="C16208" s="26"/>
      <c r="D16208" s="25" t="s">
        <v>50751</v>
      </c>
      <c r="E16208" s="25"/>
      <c r="F16208" s="25"/>
      <c r="G16208" s="25"/>
    </row>
    <row r="16209" spans="1:7" ht="21.36" thickBot="1" customHeight="1">
      <c r="A16209" s="10" t="s">
        <v>50752</v>
      </c>
      <c r="B16209" s="24" t="s">
        <v>50753</v>
      </c>
      <c r="C16209" s="24" t="s">
        <v>50754</v>
      </c>
      <c r="D16209" s="25" t="s">
        <v>50755</v>
      </c>
      <c r="E16209" s="26"/>
      <c r="F16209" s="27">
        <f ca="1">ROUND(3.430*(1+G2/100),2)</f>
        <v>0</v>
      </c>
      <c r="G16209" s="26"/>
    </row>
    <row r="16210" spans="1:7" ht="12.12" thickBot="1" customHeight="1">
      <c r="A16210" s="26"/>
      <c r="B16210" s="26"/>
      <c r="C16210" s="26"/>
      <c r="D16210" s="25" t="s">
        <v>50756</v>
      </c>
      <c r="E16210" s="25"/>
      <c r="F16210" s="25"/>
      <c r="G16210" s="25"/>
    </row>
    <row r="16211" spans="1:7" ht="30.60" thickBot="1" customHeight="1">
      <c r="A16211" s="10" t="s">
        <v>50757</v>
      </c>
      <c r="B16211" s="24" t="s">
        <v>50758</v>
      </c>
      <c r="C16211" s="24" t="s">
        <v>50759</v>
      </c>
      <c r="D16211" s="25" t="s">
        <v>50760</v>
      </c>
      <c r="E16211" s="26"/>
      <c r="F16211" s="27">
        <f ca="1">ROUND(23.930*(1+G2/100),2)</f>
        <v>0</v>
      </c>
      <c r="G16211" s="26"/>
    </row>
    <row r="16212" spans="1:7" ht="30.60" thickBot="1" customHeight="1">
      <c r="A16212" s="26"/>
      <c r="B16212" s="26"/>
      <c r="C16212" s="26"/>
      <c r="D16212" s="25" t="s">
        <v>50761</v>
      </c>
      <c r="E16212" s="25"/>
      <c r="F16212" s="25"/>
      <c r="G16212" s="25"/>
    </row>
    <row r="16213" spans="1:7" ht="21.36" thickBot="1" customHeight="1">
      <c r="A16213" s="10" t="s">
        <v>50762</v>
      </c>
      <c r="B16213" s="24" t="s">
        <v>50763</v>
      </c>
      <c r="C16213" s="24" t="s">
        <v>50764</v>
      </c>
      <c r="D16213" s="25" t="s">
        <v>50765</v>
      </c>
      <c r="E16213" s="26"/>
      <c r="F16213" s="27">
        <f ca="1">ROUND(13.840*(1+G2/100),2)</f>
        <v>0</v>
      </c>
      <c r="G16213" s="26"/>
    </row>
    <row r="16214" spans="1:7" ht="21.36" thickBot="1" customHeight="1">
      <c r="A16214" s="26"/>
      <c r="B16214" s="26"/>
      <c r="C16214" s="26"/>
      <c r="D16214" s="25" t="s">
        <v>50766</v>
      </c>
      <c r="E16214" s="25"/>
      <c r="F16214" s="25"/>
      <c r="G16214" s="25"/>
    </row>
    <row r="16215" spans="1:7" ht="21.36" thickBot="1" customHeight="1">
      <c r="A16215" s="10" t="s">
        <v>50767</v>
      </c>
      <c r="B16215" s="24" t="s">
        <v>50768</v>
      </c>
      <c r="C16215" s="24" t="s">
        <v>50769</v>
      </c>
      <c r="D16215" s="25" t="s">
        <v>50770</v>
      </c>
      <c r="E16215" s="26"/>
      <c r="F16215" s="27">
        <f ca="1">ROUND(16.070*(1+G2/100),2)</f>
        <v>0</v>
      </c>
      <c r="G16215" s="26"/>
    </row>
    <row r="16216" spans="1:7" ht="21.36" thickBot="1" customHeight="1">
      <c r="A16216" s="26"/>
      <c r="B16216" s="26"/>
      <c r="C16216" s="26"/>
      <c r="D16216" s="25" t="s">
        <v>50771</v>
      </c>
      <c r="E16216" s="25"/>
      <c r="F16216" s="25"/>
      <c r="G16216" s="25"/>
    </row>
    <row r="16217" spans="1:7" ht="30.60" thickBot="1" customHeight="1">
      <c r="A16217" s="10" t="s">
        <v>50772</v>
      </c>
      <c r="B16217" s="24" t="s">
        <v>50773</v>
      </c>
      <c r="C16217" s="24" t="s">
        <v>50774</v>
      </c>
      <c r="D16217" s="25" t="s">
        <v>50775</v>
      </c>
      <c r="E16217" s="26"/>
      <c r="F16217" s="27">
        <f ca="1">ROUND(27.720*(1+G2/100),2)</f>
        <v>0</v>
      </c>
      <c r="G16217" s="26"/>
    </row>
    <row r="16218" spans="1:7" ht="39.84" thickBot="1" customHeight="1">
      <c r="A16218" s="26"/>
      <c r="B16218" s="26"/>
      <c r="C16218" s="26"/>
      <c r="D16218" s="25" t="s">
        <v>50776</v>
      </c>
      <c r="E16218" s="25"/>
      <c r="F16218" s="25"/>
      <c r="G16218" s="25"/>
    </row>
    <row r="16219" spans="1:7" ht="30.60" thickBot="1" customHeight="1">
      <c r="A16219" s="10" t="s">
        <v>50777</v>
      </c>
      <c r="B16219" s="24" t="s">
        <v>50778</v>
      </c>
      <c r="C16219" s="24" t="s">
        <v>50779</v>
      </c>
      <c r="D16219" s="25" t="s">
        <v>50780</v>
      </c>
      <c r="E16219" s="26"/>
      <c r="F16219" s="27">
        <f ca="1">ROUND(42.590*(1+G2/100),2)</f>
        <v>0</v>
      </c>
      <c r="G16219" s="26"/>
    </row>
    <row r="16220" spans="1:7" ht="39.84" thickBot="1" customHeight="1">
      <c r="A16220" s="26"/>
      <c r="B16220" s="26"/>
      <c r="C16220" s="26"/>
      <c r="D16220" s="25" t="s">
        <v>50781</v>
      </c>
      <c r="E16220" s="25"/>
      <c r="F16220" s="25"/>
      <c r="G16220" s="25"/>
    </row>
    <row r="16221" spans="1:7" ht="30.60" thickBot="1" customHeight="1">
      <c r="A16221" s="10" t="s">
        <v>50782</v>
      </c>
      <c r="B16221" s="24" t="s">
        <v>50783</v>
      </c>
      <c r="C16221" s="24" t="s">
        <v>50784</v>
      </c>
      <c r="D16221" s="25" t="s">
        <v>50785</v>
      </c>
      <c r="E16221" s="26"/>
      <c r="F16221" s="27">
        <f ca="1">ROUND(72.790*(1+G2/100),2)</f>
        <v>0</v>
      </c>
      <c r="G16221" s="26"/>
    </row>
    <row r="16222" spans="1:7" ht="39.84" thickBot="1" customHeight="1">
      <c r="A16222" s="26"/>
      <c r="B16222" s="26"/>
      <c r="C16222" s="26"/>
      <c r="D16222" s="25" t="s">
        <v>50786</v>
      </c>
      <c r="E16222" s="25"/>
      <c r="F16222" s="25"/>
      <c r="G16222" s="25"/>
    </row>
    <row r="16223" spans="1:7" ht="30.60" thickBot="1" customHeight="1">
      <c r="A16223" s="10" t="s">
        <v>50787</v>
      </c>
      <c r="B16223" s="24" t="s">
        <v>50788</v>
      </c>
      <c r="C16223" s="24" t="s">
        <v>50789</v>
      </c>
      <c r="D16223" s="25" t="s">
        <v>50790</v>
      </c>
      <c r="E16223" s="26"/>
      <c r="F16223" s="27">
        <f ca="1">ROUND(44.760*(1+G2/100),2)</f>
        <v>0</v>
      </c>
      <c r="G16223" s="26"/>
    </row>
    <row r="16224" spans="1:7" ht="39.84" thickBot="1" customHeight="1">
      <c r="A16224" s="26"/>
      <c r="B16224" s="26"/>
      <c r="C16224" s="26"/>
      <c r="D16224" s="25" t="s">
        <v>50791</v>
      </c>
      <c r="E16224" s="25"/>
      <c r="F16224" s="25"/>
      <c r="G16224" s="25"/>
    </row>
    <row r="16225" spans="1:7" ht="30.60" thickBot="1" customHeight="1">
      <c r="A16225" s="10" t="s">
        <v>50792</v>
      </c>
      <c r="B16225" s="24" t="s">
        <v>50793</v>
      </c>
      <c r="C16225" s="24" t="s">
        <v>50794</v>
      </c>
      <c r="D16225" s="25" t="s">
        <v>50795</v>
      </c>
      <c r="E16225" s="26"/>
      <c r="F16225" s="27">
        <f ca="1">ROUND(47.870*(1+G2/100),2)</f>
        <v>0</v>
      </c>
      <c r="G16225" s="26"/>
    </row>
    <row r="16226" spans="1:7" ht="39.84" thickBot="1" customHeight="1">
      <c r="A16226" s="26"/>
      <c r="B16226" s="26"/>
      <c r="C16226" s="26"/>
      <c r="D16226" s="25" t="s">
        <v>50796</v>
      </c>
      <c r="E16226" s="25"/>
      <c r="F16226" s="25"/>
      <c r="G16226" s="25"/>
    </row>
    <row r="16227" spans="1:7" ht="30.60" thickBot="1" customHeight="1">
      <c r="A16227" s="10" t="s">
        <v>50797</v>
      </c>
      <c r="B16227" s="24" t="s">
        <v>50798</v>
      </c>
      <c r="C16227" s="24" t="s">
        <v>50799</v>
      </c>
      <c r="D16227" s="25" t="s">
        <v>50800</v>
      </c>
      <c r="E16227" s="26"/>
      <c r="F16227" s="27">
        <f ca="1">ROUND(55.780*(1+G2/100),2)</f>
        <v>0</v>
      </c>
      <c r="G16227" s="26"/>
    </row>
    <row r="16228" spans="1:7" ht="39.84" thickBot="1" customHeight="1">
      <c r="A16228" s="26"/>
      <c r="B16228" s="26"/>
      <c r="C16228" s="26"/>
      <c r="D16228" s="25" t="s">
        <v>50801</v>
      </c>
      <c r="E16228" s="25"/>
      <c r="F16228" s="25"/>
      <c r="G16228" s="25"/>
    </row>
    <row r="16229" spans="1:7" ht="30.60" thickBot="1" customHeight="1">
      <c r="A16229" s="10" t="s">
        <v>50802</v>
      </c>
      <c r="B16229" s="24" t="s">
        <v>50803</v>
      </c>
      <c r="C16229" s="24" t="s">
        <v>50804</v>
      </c>
      <c r="D16229" s="25" t="s">
        <v>50805</v>
      </c>
      <c r="E16229" s="26"/>
      <c r="F16229" s="27">
        <f ca="1">ROUND(70.620*(1+G2/100),2)</f>
        <v>0</v>
      </c>
      <c r="G16229" s="26"/>
    </row>
    <row r="16230" spans="1:7" ht="39.84" thickBot="1" customHeight="1">
      <c r="A16230" s="26"/>
      <c r="B16230" s="26"/>
      <c r="C16230" s="26"/>
      <c r="D16230" s="25" t="s">
        <v>50806</v>
      </c>
      <c r="E16230" s="25"/>
      <c r="F16230" s="25"/>
      <c r="G16230" s="25"/>
    </row>
    <row r="16231" spans="1:7" ht="21.36" thickBot="1" customHeight="1">
      <c r="A16231" s="10" t="s">
        <v>50807</v>
      </c>
      <c r="B16231" s="24" t="s">
        <v>50808</v>
      </c>
      <c r="C16231" s="24" t="s">
        <v>50809</v>
      </c>
      <c r="D16231" s="25" t="s">
        <v>50810</v>
      </c>
      <c r="E16231" s="26"/>
      <c r="F16231" s="27">
        <f ca="1">ROUND(66.100*(1+G2/100),2)</f>
        <v>0</v>
      </c>
      <c r="G16231" s="26"/>
    </row>
    <row r="16232" spans="1:7" ht="12.12" thickBot="1" customHeight="1">
      <c r="A16232" s="26"/>
      <c r="B16232" s="26"/>
      <c r="C16232" s="26"/>
      <c r="D16232" s="25" t="s">
        <v>50811</v>
      </c>
      <c r="E16232" s="25"/>
      <c r="F16232" s="25"/>
      <c r="G16232" s="25"/>
    </row>
    <row r="16233" spans="1:7" ht="21.36" thickBot="1" customHeight="1">
      <c r="A16233" s="10" t="s">
        <v>50812</v>
      </c>
      <c r="B16233" s="24" t="s">
        <v>50813</v>
      </c>
      <c r="C16233" s="24" t="s">
        <v>50814</v>
      </c>
      <c r="D16233" s="25" t="s">
        <v>50815</v>
      </c>
      <c r="E16233" s="26"/>
      <c r="F16233" s="27">
        <f ca="1">ROUND(107.900*(1+G2/100),2)</f>
        <v>0</v>
      </c>
      <c r="G16233" s="26"/>
    </row>
    <row r="16234" spans="1:7" ht="12.12" thickBot="1" customHeight="1">
      <c r="A16234" s="26"/>
      <c r="B16234" s="26"/>
      <c r="C16234" s="26"/>
      <c r="D16234" s="25" t="s">
        <v>50816</v>
      </c>
      <c r="E16234" s="25"/>
      <c r="F16234" s="25"/>
      <c r="G16234" s="25"/>
    </row>
    <row r="16235" spans="1:7" ht="21.36" thickBot="1" customHeight="1">
      <c r="A16235" s="10" t="s">
        <v>50817</v>
      </c>
      <c r="B16235" s="24" t="s">
        <v>50818</v>
      </c>
      <c r="C16235" s="24" t="s">
        <v>50819</v>
      </c>
      <c r="D16235" s="25" t="s">
        <v>50820</v>
      </c>
      <c r="E16235" s="26"/>
      <c r="F16235" s="27">
        <f ca="1">ROUND(134.830*(1+G2/100),2)</f>
        <v>0</v>
      </c>
      <c r="G16235" s="26"/>
    </row>
    <row r="16236" spans="1:7" ht="12.12" thickBot="1" customHeight="1">
      <c r="A16236" s="26"/>
      <c r="B16236" s="26"/>
      <c r="C16236" s="26"/>
      <c r="D16236" s="25" t="s">
        <v>50821</v>
      </c>
      <c r="E16236" s="25"/>
      <c r="F16236" s="25"/>
      <c r="G16236" s="25"/>
    </row>
    <row r="16237" spans="1:7" ht="21.36" thickBot="1" customHeight="1">
      <c r="A16237" s="10" t="s">
        <v>50822</v>
      </c>
      <c r="B16237" s="24" t="s">
        <v>50823</v>
      </c>
      <c r="C16237" s="24" t="s">
        <v>50824</v>
      </c>
      <c r="D16237" s="25" t="s">
        <v>50825</v>
      </c>
      <c r="E16237" s="26"/>
      <c r="F16237" s="27">
        <f ca="1">ROUND(212.280*(1+G2/100),2)</f>
        <v>0</v>
      </c>
      <c r="G16237" s="26"/>
    </row>
    <row r="16238" spans="1:7" ht="86.04" thickBot="1" customHeight="1">
      <c r="A16238" s="26"/>
      <c r="B16238" s="26"/>
      <c r="C16238" s="26"/>
      <c r="D16238" s="25" t="s">
        <v>50826</v>
      </c>
      <c r="E16238" s="25"/>
      <c r="F16238" s="25"/>
      <c r="G16238" s="25"/>
    </row>
    <row r="16239" spans="1:7" ht="21.36" thickBot="1" customHeight="1">
      <c r="A16239" s="10" t="s">
        <v>50827</v>
      </c>
      <c r="B16239" s="24" t="s">
        <v>50828</v>
      </c>
      <c r="C16239" s="24" t="s">
        <v>50829</v>
      </c>
      <c r="D16239" s="25" t="s">
        <v>50830</v>
      </c>
      <c r="E16239" s="26"/>
      <c r="F16239" s="27">
        <f ca="1">ROUND(1.740*(1+G2/100),2)</f>
        <v>0</v>
      </c>
      <c r="G16239" s="26"/>
    </row>
    <row r="16240" spans="1:7" ht="12.12" thickBot="1" customHeight="1">
      <c r="A16240" s="26"/>
      <c r="B16240" s="26"/>
      <c r="C16240" s="26"/>
      <c r="D16240" s="25" t="s">
        <v>50831</v>
      </c>
      <c r="E16240" s="25"/>
      <c r="F16240" s="25"/>
      <c r="G16240" s="25"/>
    </row>
    <row r="16241" spans="1:7" ht="21.36" thickBot="1" customHeight="1">
      <c r="A16241" s="10" t="s">
        <v>50832</v>
      </c>
      <c r="B16241" s="24" t="s">
        <v>50833</v>
      </c>
      <c r="C16241" s="24" t="s">
        <v>50834</v>
      </c>
      <c r="D16241" s="25" t="s">
        <v>50835</v>
      </c>
      <c r="E16241" s="26"/>
      <c r="F16241" s="27">
        <f ca="1">ROUND(1.550*(1+G2/100),2)</f>
        <v>0</v>
      </c>
      <c r="G16241" s="26"/>
    </row>
    <row r="16242" spans="1:7" ht="12.12" thickBot="1" customHeight="1">
      <c r="A16242" s="26"/>
      <c r="B16242" s="26"/>
      <c r="C16242" s="26"/>
      <c r="D16242" s="25" t="s">
        <v>50836</v>
      </c>
      <c r="E16242" s="25"/>
      <c r="F16242" s="25"/>
      <c r="G16242" s="25"/>
    </row>
    <row r="16243" spans="1:7" ht="21.36" thickBot="1" customHeight="1">
      <c r="A16243" s="10" t="s">
        <v>50837</v>
      </c>
      <c r="B16243" s="24" t="s">
        <v>50838</v>
      </c>
      <c r="C16243" s="24" t="s">
        <v>50839</v>
      </c>
      <c r="D16243" s="25" t="s">
        <v>50840</v>
      </c>
      <c r="E16243" s="26"/>
      <c r="F16243" s="27">
        <f ca="1">ROUND(2.360*(1+G2/100),2)</f>
        <v>0</v>
      </c>
      <c r="G16243" s="26"/>
    </row>
    <row r="16244" spans="1:7" ht="12.12" thickBot="1" customHeight="1">
      <c r="A16244" s="26"/>
      <c r="B16244" s="26"/>
      <c r="C16244" s="26"/>
      <c r="D16244" s="25" t="s">
        <v>50841</v>
      </c>
      <c r="E16244" s="25"/>
      <c r="F16244" s="25"/>
      <c r="G16244" s="25"/>
    </row>
    <row r="16245" spans="1:7" ht="21.36" thickBot="1" customHeight="1">
      <c r="A16245" s="10" t="s">
        <v>50842</v>
      </c>
      <c r="B16245" s="24" t="s">
        <v>50843</v>
      </c>
      <c r="C16245" s="24" t="s">
        <v>50844</v>
      </c>
      <c r="D16245" s="25" t="s">
        <v>50845</v>
      </c>
      <c r="E16245" s="26"/>
      <c r="F16245" s="27">
        <f ca="1">ROUND(1.940*(1+G2/100),2)</f>
        <v>0</v>
      </c>
      <c r="G16245" s="26"/>
    </row>
    <row r="16246" spans="1:7" ht="12.12" thickBot="1" customHeight="1">
      <c r="A16246" s="26"/>
      <c r="B16246" s="26"/>
      <c r="C16246" s="26"/>
      <c r="D16246" s="25" t="s">
        <v>50846</v>
      </c>
      <c r="E16246" s="25"/>
      <c r="F16246" s="25"/>
      <c r="G16246" s="25"/>
    </row>
    <row r="16247" spans="1:7" ht="21.36" thickBot="1" customHeight="1">
      <c r="A16247" s="10" t="s">
        <v>50847</v>
      </c>
      <c r="B16247" s="24" t="s">
        <v>50848</v>
      </c>
      <c r="C16247" s="24" t="s">
        <v>50849</v>
      </c>
      <c r="D16247" s="25" t="s">
        <v>50850</v>
      </c>
      <c r="E16247" s="26"/>
      <c r="F16247" s="27">
        <f ca="1">ROUND(8.370*(1+G2/100),2)</f>
        <v>0</v>
      </c>
      <c r="G16247" s="26"/>
    </row>
    <row r="16248" spans="1:7" ht="12.12" thickBot="1" customHeight="1">
      <c r="A16248" s="26"/>
      <c r="B16248" s="26"/>
      <c r="C16248" s="26"/>
      <c r="D16248" s="25" t="s">
        <v>50851</v>
      </c>
      <c r="E16248" s="25"/>
      <c r="F16248" s="25"/>
      <c r="G16248" s="25"/>
    </row>
    <row r="16249" spans="1:7" ht="21.36" thickBot="1" customHeight="1">
      <c r="A16249" s="10" t="s">
        <v>50852</v>
      </c>
      <c r="B16249" s="24" t="s">
        <v>50853</v>
      </c>
      <c r="C16249" s="24" t="s">
        <v>50854</v>
      </c>
      <c r="D16249" s="25" t="s">
        <v>50855</v>
      </c>
      <c r="E16249" s="26"/>
      <c r="F16249" s="27">
        <f ca="1">ROUND(2.930*(1+G2/100),2)</f>
        <v>0</v>
      </c>
      <c r="G16249" s="26"/>
    </row>
    <row r="16250" spans="1:7" ht="12.12" thickBot="1" customHeight="1">
      <c r="A16250" s="26"/>
      <c r="B16250" s="26"/>
      <c r="C16250" s="26"/>
      <c r="D16250" s="25" t="s">
        <v>50856</v>
      </c>
      <c r="E16250" s="25"/>
      <c r="F16250" s="25"/>
      <c r="G16250" s="25"/>
    </row>
    <row r="16251" spans="1:7" ht="21.36" thickBot="1" customHeight="1">
      <c r="A16251" s="10" t="s">
        <v>50857</v>
      </c>
      <c r="B16251" s="24" t="s">
        <v>50858</v>
      </c>
      <c r="C16251" s="24" t="s">
        <v>50859</v>
      </c>
      <c r="D16251" s="25" t="s">
        <v>50860</v>
      </c>
      <c r="E16251" s="26"/>
      <c r="F16251" s="27">
        <f ca="1">ROUND(3.510*(1+G2/100),2)</f>
        <v>0</v>
      </c>
      <c r="G16251" s="26"/>
    </row>
    <row r="16252" spans="1:7" ht="12.12" thickBot="1" customHeight="1">
      <c r="A16252" s="26"/>
      <c r="B16252" s="26"/>
      <c r="C16252" s="26"/>
      <c r="D16252" s="25" t="s">
        <v>50861</v>
      </c>
      <c r="E16252" s="25"/>
      <c r="F16252" s="25"/>
      <c r="G16252" s="25"/>
    </row>
    <row r="16253" spans="1:7" ht="21.36" thickBot="1" customHeight="1">
      <c r="A16253" s="10" t="s">
        <v>50862</v>
      </c>
      <c r="B16253" s="24" t="s">
        <v>50863</v>
      </c>
      <c r="C16253" s="24" t="s">
        <v>50864</v>
      </c>
      <c r="D16253" s="25" t="s">
        <v>50865</v>
      </c>
      <c r="E16253" s="26"/>
      <c r="F16253" s="27">
        <f ca="1">ROUND(5.960*(1+G2/100),2)</f>
        <v>0</v>
      </c>
      <c r="G16253" s="26"/>
    </row>
    <row r="16254" spans="1:7" ht="12.12" thickBot="1" customHeight="1">
      <c r="A16254" s="26"/>
      <c r="B16254" s="26"/>
      <c r="C16254" s="26"/>
      <c r="D16254" s="25" t="s">
        <v>50866</v>
      </c>
      <c r="E16254" s="25"/>
      <c r="F16254" s="25"/>
      <c r="G16254" s="25"/>
    </row>
    <row r="16255" spans="1:7" ht="21.36" thickBot="1" customHeight="1">
      <c r="A16255" s="10" t="s">
        <v>50867</v>
      </c>
      <c r="B16255" s="24" t="s">
        <v>50868</v>
      </c>
      <c r="C16255" s="24" t="s">
        <v>50869</v>
      </c>
      <c r="D16255" s="25" t="s">
        <v>50870</v>
      </c>
      <c r="E16255" s="26"/>
      <c r="F16255" s="27">
        <f ca="1">ROUND(11.550*(1+G2/100),2)</f>
        <v>0</v>
      </c>
      <c r="G16255" s="26"/>
    </row>
    <row r="16256" spans="1:7" ht="12.12" thickBot="1" customHeight="1">
      <c r="A16256" s="26"/>
      <c r="B16256" s="26"/>
      <c r="C16256" s="26"/>
      <c r="D16256" s="25" t="s">
        <v>50871</v>
      </c>
      <c r="E16256" s="25"/>
      <c r="F16256" s="25"/>
      <c r="G16256" s="25"/>
    </row>
    <row r="16257" spans="1:7" ht="21.36" thickBot="1" customHeight="1">
      <c r="A16257" s="10" t="s">
        <v>50872</v>
      </c>
      <c r="B16257" s="24" t="s">
        <v>50873</v>
      </c>
      <c r="C16257" s="24" t="s">
        <v>50874</v>
      </c>
      <c r="D16257" s="25" t="s">
        <v>50875</v>
      </c>
      <c r="E16257" s="26"/>
      <c r="F16257" s="27">
        <f ca="1">ROUND(9.430*(1+G2/100),2)</f>
        <v>0</v>
      </c>
      <c r="G16257" s="26"/>
    </row>
    <row r="16258" spans="1:7" ht="12.12" thickBot="1" customHeight="1">
      <c r="A16258" s="26"/>
      <c r="B16258" s="26"/>
      <c r="C16258" s="26"/>
      <c r="D16258" s="25" t="s">
        <v>50876</v>
      </c>
      <c r="E16258" s="25"/>
      <c r="F16258" s="25"/>
      <c r="G16258" s="25"/>
    </row>
    <row r="16259" spans="1:7" ht="21.36" thickBot="1" customHeight="1">
      <c r="A16259" s="10" t="s">
        <v>50877</v>
      </c>
      <c r="B16259" s="24" t="s">
        <v>50878</v>
      </c>
      <c r="C16259" s="24" t="s">
        <v>50879</v>
      </c>
      <c r="D16259" s="25" t="s">
        <v>50880</v>
      </c>
      <c r="E16259" s="26"/>
      <c r="F16259" s="27">
        <f ca="1">ROUND(40.360*(1+G2/100),2)</f>
        <v>0</v>
      </c>
      <c r="G16259" s="26"/>
    </row>
    <row r="16260" spans="1:7" ht="12.12" thickBot="1" customHeight="1">
      <c r="A16260" s="26"/>
      <c r="B16260" s="26"/>
      <c r="C16260" s="26"/>
      <c r="D16260" s="25" t="s">
        <v>50881</v>
      </c>
      <c r="E16260" s="25"/>
      <c r="F16260" s="25"/>
      <c r="G16260" s="25"/>
    </row>
    <row r="16261" spans="1:7" ht="21.36" thickBot="1" customHeight="1">
      <c r="A16261" s="10" t="s">
        <v>50882</v>
      </c>
      <c r="B16261" s="24" t="s">
        <v>50883</v>
      </c>
      <c r="C16261" s="24" t="s">
        <v>50884</v>
      </c>
      <c r="D16261" s="25" t="s">
        <v>50885</v>
      </c>
      <c r="E16261" s="26"/>
      <c r="F16261" s="27">
        <f ca="1">ROUND(6.300*(1+G2/100),2)</f>
        <v>0</v>
      </c>
      <c r="G16261" s="26"/>
    </row>
    <row r="16262" spans="1:7" ht="12.12" thickBot="1" customHeight="1">
      <c r="A16262" s="26"/>
      <c r="B16262" s="26"/>
      <c r="C16262" s="26"/>
      <c r="D16262" s="25" t="s">
        <v>50886</v>
      </c>
      <c r="E16262" s="25"/>
      <c r="F16262" s="25"/>
      <c r="G16262" s="25"/>
    </row>
    <row r="16263" spans="1:7" ht="21.36" thickBot="1" customHeight="1">
      <c r="A16263" s="10" t="s">
        <v>50887</v>
      </c>
      <c r="B16263" s="24" t="s">
        <v>50888</v>
      </c>
      <c r="C16263" s="24" t="s">
        <v>50889</v>
      </c>
      <c r="D16263" s="25" t="s">
        <v>50890</v>
      </c>
      <c r="E16263" s="26"/>
      <c r="F16263" s="27">
        <f ca="1">ROUND(6.600*(1+G2/100),2)</f>
        <v>0</v>
      </c>
      <c r="G16263" s="26"/>
    </row>
    <row r="16264" spans="1:7" ht="12.12" thickBot="1" customHeight="1">
      <c r="A16264" s="26"/>
      <c r="B16264" s="26"/>
      <c r="C16264" s="26"/>
      <c r="D16264" s="25" t="s">
        <v>50891</v>
      </c>
      <c r="E16264" s="25"/>
      <c r="F16264" s="25"/>
      <c r="G16264" s="25"/>
    </row>
    <row r="16265" spans="1:7" ht="30.60" thickBot="1" customHeight="1">
      <c r="A16265" s="10" t="s">
        <v>50892</v>
      </c>
      <c r="B16265" s="24" t="s">
        <v>50893</v>
      </c>
      <c r="C16265" s="24" t="s">
        <v>50894</v>
      </c>
      <c r="D16265" s="25" t="s">
        <v>50895</v>
      </c>
      <c r="E16265" s="26"/>
      <c r="F16265" s="27">
        <f ca="1">ROUND(42.930*(1+G2/100),2)</f>
        <v>0</v>
      </c>
      <c r="G16265" s="26"/>
    </row>
    <row r="16266" spans="1:7" ht="39.84" thickBot="1" customHeight="1">
      <c r="A16266" s="26"/>
      <c r="B16266" s="26"/>
      <c r="C16266" s="26"/>
      <c r="D16266" s="25" t="s">
        <v>50896</v>
      </c>
      <c r="E16266" s="25"/>
      <c r="F16266" s="25"/>
      <c r="G16266" s="25"/>
    </row>
    <row r="16267" spans="1:7" ht="30.60" thickBot="1" customHeight="1">
      <c r="A16267" s="10" t="s">
        <v>50897</v>
      </c>
      <c r="B16267" s="24" t="s">
        <v>50898</v>
      </c>
      <c r="C16267" s="24" t="s">
        <v>50899</v>
      </c>
      <c r="D16267" s="25" t="s">
        <v>50900</v>
      </c>
      <c r="E16267" s="26"/>
      <c r="F16267" s="27">
        <f ca="1">ROUND(49.110*(1+G2/100),2)</f>
        <v>0</v>
      </c>
      <c r="G16267" s="26"/>
    </row>
    <row r="16268" spans="1:7" ht="39.84" thickBot="1" customHeight="1">
      <c r="A16268" s="26"/>
      <c r="B16268" s="26"/>
      <c r="C16268" s="26"/>
      <c r="D16268" s="25" t="s">
        <v>50901</v>
      </c>
      <c r="E16268" s="25"/>
      <c r="F16268" s="25"/>
      <c r="G16268" s="25"/>
    </row>
    <row r="16269" spans="1:7" ht="30.60" thickBot="1" customHeight="1">
      <c r="A16269" s="10" t="s">
        <v>50902</v>
      </c>
      <c r="B16269" s="24" t="s">
        <v>50903</v>
      </c>
      <c r="C16269" s="24" t="s">
        <v>50904</v>
      </c>
      <c r="D16269" s="25" t="s">
        <v>50905</v>
      </c>
      <c r="E16269" s="26"/>
      <c r="F16269" s="27">
        <f ca="1">ROUND(65.960*(1+G2/100),2)</f>
        <v>0</v>
      </c>
      <c r="G16269" s="26"/>
    </row>
    <row r="16270" spans="1:7" ht="39.84" thickBot="1" customHeight="1">
      <c r="A16270" s="26"/>
      <c r="B16270" s="26"/>
      <c r="C16270" s="26"/>
      <c r="D16270" s="25" t="s">
        <v>50906</v>
      </c>
      <c r="E16270" s="25"/>
      <c r="F16270" s="25"/>
      <c r="G16270" s="25"/>
    </row>
    <row r="16271" spans="1:7" ht="30.60" thickBot="1" customHeight="1">
      <c r="A16271" s="10" t="s">
        <v>50907</v>
      </c>
      <c r="B16271" s="24" t="s">
        <v>50908</v>
      </c>
      <c r="C16271" s="24" t="s">
        <v>50909</v>
      </c>
      <c r="D16271" s="25" t="s">
        <v>50910</v>
      </c>
      <c r="E16271" s="26"/>
      <c r="F16271" s="27">
        <f ca="1">ROUND(112.720*(1+G2/100),2)</f>
        <v>0</v>
      </c>
      <c r="G16271" s="26"/>
    </row>
    <row r="16272" spans="1:7" ht="39.84" thickBot="1" customHeight="1">
      <c r="A16272" s="26"/>
      <c r="B16272" s="26"/>
      <c r="C16272" s="26"/>
      <c r="D16272" s="25" t="s">
        <v>50911</v>
      </c>
      <c r="E16272" s="25"/>
      <c r="F16272" s="25"/>
      <c r="G16272" s="25"/>
    </row>
    <row r="16273" spans="1:7" ht="30.60" thickBot="1" customHeight="1">
      <c r="A16273" s="10" t="s">
        <v>50912</v>
      </c>
      <c r="B16273" s="24" t="s">
        <v>50913</v>
      </c>
      <c r="C16273" s="24" t="s">
        <v>50914</v>
      </c>
      <c r="D16273" s="25" t="s">
        <v>50915</v>
      </c>
      <c r="E16273" s="26"/>
      <c r="F16273" s="27">
        <f ca="1">ROUND(45.350*(1+G2/100),2)</f>
        <v>0</v>
      </c>
      <c r="G16273" s="26"/>
    </row>
    <row r="16274" spans="1:7" ht="12.12" thickBot="1" customHeight="1">
      <c r="A16274" s="26"/>
      <c r="B16274" s="26"/>
      <c r="C16274" s="26"/>
      <c r="D16274" s="25" t="s">
        <v>50916</v>
      </c>
      <c r="E16274" s="25"/>
      <c r="F16274" s="25"/>
      <c r="G16274" s="25"/>
    </row>
    <row r="16275" spans="1:7" ht="30.60" thickBot="1" customHeight="1">
      <c r="A16275" s="10" t="s">
        <v>50917</v>
      </c>
      <c r="B16275" s="24" t="s">
        <v>50918</v>
      </c>
      <c r="C16275" s="24" t="s">
        <v>50919</v>
      </c>
      <c r="D16275" s="25" t="s">
        <v>50920</v>
      </c>
      <c r="E16275" s="26"/>
      <c r="F16275" s="27">
        <f ca="1">ROUND(115.260*(1+G2/100),2)</f>
        <v>0</v>
      </c>
      <c r="G16275" s="26"/>
    </row>
    <row r="16276" spans="1:7" ht="12.12" thickBot="1" customHeight="1">
      <c r="A16276" s="26"/>
      <c r="B16276" s="26"/>
      <c r="C16276" s="26"/>
      <c r="D16276" s="25" t="s">
        <v>50921</v>
      </c>
      <c r="E16276" s="25"/>
      <c r="F16276" s="25"/>
      <c r="G16276" s="25"/>
    </row>
    <row r="16277" spans="1:7" ht="21.36" thickBot="1" customHeight="1">
      <c r="A16277" s="10" t="s">
        <v>50922</v>
      </c>
      <c r="B16277" s="24" t="s">
        <v>50923</v>
      </c>
      <c r="C16277" s="24" t="s">
        <v>50924</v>
      </c>
      <c r="D16277" s="25" t="s">
        <v>50925</v>
      </c>
      <c r="E16277" s="26"/>
      <c r="F16277" s="27">
        <f ca="1">ROUND(8.840*(1+G2/100),2)</f>
        <v>0</v>
      </c>
      <c r="G16277" s="26"/>
    </row>
    <row r="16278" spans="1:7" ht="12.12" thickBot="1" customHeight="1">
      <c r="A16278" s="26"/>
      <c r="B16278" s="26"/>
      <c r="C16278" s="26"/>
      <c r="D16278" s="25" t="s">
        <v>50926</v>
      </c>
      <c r="E16278" s="25"/>
      <c r="F16278" s="25"/>
      <c r="G16278" s="25"/>
    </row>
    <row r="16279" spans="1:7" ht="21.36" thickBot="1" customHeight="1">
      <c r="A16279" s="10" t="s">
        <v>50927</v>
      </c>
      <c r="B16279" s="24" t="s">
        <v>50928</v>
      </c>
      <c r="C16279" s="24" t="s">
        <v>50929</v>
      </c>
      <c r="D16279" s="25" t="s">
        <v>50930</v>
      </c>
      <c r="E16279" s="26"/>
      <c r="F16279" s="27">
        <f ca="1">ROUND(8.580*(1+G2/100),2)</f>
        <v>0</v>
      </c>
      <c r="G16279" s="26"/>
    </row>
    <row r="16280" spans="1:7" ht="12.12" thickBot="1" customHeight="1">
      <c r="A16280" s="26"/>
      <c r="B16280" s="26"/>
      <c r="C16280" s="26"/>
      <c r="D16280" s="25" t="s">
        <v>50931</v>
      </c>
      <c r="E16280" s="25"/>
      <c r="F16280" s="25"/>
      <c r="G16280" s="25"/>
    </row>
    <row r="16281" spans="1:7" ht="21.36" thickBot="1" customHeight="1">
      <c r="A16281" s="10" t="s">
        <v>50932</v>
      </c>
      <c r="B16281" s="24" t="s">
        <v>50933</v>
      </c>
      <c r="C16281" s="24" t="s">
        <v>50934</v>
      </c>
      <c r="D16281" s="25" t="s">
        <v>50935</v>
      </c>
      <c r="E16281" s="26"/>
      <c r="F16281" s="27">
        <f ca="1">ROUND(20.760*(1+G2/100),2)</f>
        <v>0</v>
      </c>
      <c r="G16281" s="26"/>
    </row>
    <row r="16282" spans="1:7" ht="12.12" thickBot="1" customHeight="1">
      <c r="A16282" s="26"/>
      <c r="B16282" s="26"/>
      <c r="C16282" s="26"/>
      <c r="D16282" s="25" t="s">
        <v>50936</v>
      </c>
      <c r="E16282" s="25"/>
      <c r="F16282" s="25"/>
      <c r="G16282" s="25"/>
    </row>
    <row r="16283" spans="1:7" ht="21.36" thickBot="1" customHeight="1">
      <c r="A16283" s="10" t="s">
        <v>50937</v>
      </c>
      <c r="B16283" s="24" t="s">
        <v>50938</v>
      </c>
      <c r="C16283" s="24" t="s">
        <v>50939</v>
      </c>
      <c r="D16283" s="25" t="s">
        <v>50940</v>
      </c>
      <c r="E16283" s="26"/>
      <c r="F16283" s="27">
        <f ca="1">ROUND(16.740*(1+G2/100),2)</f>
        <v>0</v>
      </c>
      <c r="G16283" s="26"/>
    </row>
    <row r="16284" spans="1:7" ht="12.12" thickBot="1" customHeight="1">
      <c r="A16284" s="26"/>
      <c r="B16284" s="26"/>
      <c r="C16284" s="26"/>
      <c r="D16284" s="25" t="s">
        <v>50941</v>
      </c>
      <c r="E16284" s="25"/>
      <c r="F16284" s="25"/>
      <c r="G16284" s="25"/>
    </row>
    <row r="16285" spans="1:7" ht="21.36" thickBot="1" customHeight="1">
      <c r="A16285" s="10" t="s">
        <v>50942</v>
      </c>
      <c r="B16285" s="24" t="s">
        <v>50943</v>
      </c>
      <c r="C16285" s="24" t="s">
        <v>50944</v>
      </c>
      <c r="D16285" s="25" t="s">
        <v>50945</v>
      </c>
      <c r="E16285" s="26"/>
      <c r="F16285" s="27">
        <f ca="1">ROUND(42.790*(1+G2/100),2)</f>
        <v>0</v>
      </c>
      <c r="G16285" s="26"/>
    </row>
    <row r="16286" spans="1:7" ht="12.12" thickBot="1" customHeight="1">
      <c r="A16286" s="26"/>
      <c r="B16286" s="26"/>
      <c r="C16286" s="26"/>
      <c r="D16286" s="25" t="s">
        <v>50946</v>
      </c>
      <c r="E16286" s="25"/>
      <c r="F16286" s="25"/>
      <c r="G16286" s="25"/>
    </row>
    <row r="16287" spans="1:7" ht="21.36" thickBot="1" customHeight="1">
      <c r="A16287" s="10" t="s">
        <v>50947</v>
      </c>
      <c r="B16287" s="24" t="s">
        <v>50948</v>
      </c>
      <c r="C16287" s="24" t="s">
        <v>50949</v>
      </c>
      <c r="D16287" s="25" t="s">
        <v>50950</v>
      </c>
      <c r="E16287" s="26"/>
      <c r="F16287" s="27">
        <f ca="1">ROUND(29.950*(1+G2/100),2)</f>
        <v>0</v>
      </c>
      <c r="G16287" s="26"/>
    </row>
    <row r="16288" spans="1:7" ht="12.12" thickBot="1" customHeight="1">
      <c r="A16288" s="26"/>
      <c r="B16288" s="26"/>
      <c r="C16288" s="26"/>
      <c r="D16288" s="25" t="s">
        <v>50951</v>
      </c>
      <c r="E16288" s="25"/>
      <c r="F16288" s="25"/>
      <c r="G16288" s="25"/>
    </row>
    <row r="16289" spans="1:7" ht="21.36" thickBot="1" customHeight="1">
      <c r="A16289" s="10" t="s">
        <v>50952</v>
      </c>
      <c r="B16289" s="24" t="s">
        <v>50953</v>
      </c>
      <c r="C16289" s="24" t="s">
        <v>50954</v>
      </c>
      <c r="D16289" s="25" t="s">
        <v>50955</v>
      </c>
      <c r="E16289" s="26"/>
      <c r="F16289" s="27">
        <f ca="1">ROUND(42.080*(1+G2/100),2)</f>
        <v>0</v>
      </c>
      <c r="G16289" s="26"/>
    </row>
    <row r="16290" spans="1:7" ht="12.12" thickBot="1" customHeight="1">
      <c r="A16290" s="26"/>
      <c r="B16290" s="26"/>
      <c r="C16290" s="26"/>
      <c r="D16290" s="25" t="s">
        <v>50956</v>
      </c>
      <c r="E16290" s="25"/>
      <c r="F16290" s="25"/>
      <c r="G16290" s="25"/>
    </row>
    <row r="16291" spans="1:7" ht="21.36" thickBot="1" customHeight="1">
      <c r="A16291" s="10" t="s">
        <v>50957</v>
      </c>
      <c r="B16291" s="24" t="s">
        <v>50958</v>
      </c>
      <c r="C16291" s="24" t="s">
        <v>50959</v>
      </c>
      <c r="D16291" s="25" t="s">
        <v>50960</v>
      </c>
      <c r="E16291" s="26"/>
      <c r="F16291" s="27">
        <f ca="1">ROUND(270.870*(1+G2/100),2)</f>
        <v>0</v>
      </c>
      <c r="G16291" s="26"/>
    </row>
    <row r="16292" spans="1:7" ht="12.12" thickBot="1" customHeight="1">
      <c r="A16292" s="26"/>
      <c r="B16292" s="26"/>
      <c r="C16292" s="26"/>
      <c r="D16292" s="25" t="s">
        <v>50961</v>
      </c>
      <c r="E16292" s="25"/>
      <c r="F16292" s="25"/>
      <c r="G16292" s="25"/>
    </row>
    <row r="16293" spans="1:7" ht="21.36" thickBot="1" customHeight="1">
      <c r="A16293" s="10" t="s">
        <v>50962</v>
      </c>
      <c r="B16293" s="24" t="s">
        <v>50963</v>
      </c>
      <c r="C16293" s="24" t="s">
        <v>50964</v>
      </c>
      <c r="D16293" s="25" t="s">
        <v>50965</v>
      </c>
      <c r="E16293" s="26"/>
      <c r="F16293" s="27">
        <f ca="1">ROUND(45.620*(1+G2/100),2)</f>
        <v>0</v>
      </c>
      <c r="G16293" s="26"/>
    </row>
    <row r="16294" spans="1:7" ht="12.12" thickBot="1" customHeight="1">
      <c r="A16294" s="26"/>
      <c r="B16294" s="26"/>
      <c r="C16294" s="26"/>
      <c r="D16294" s="25" t="s">
        <v>50966</v>
      </c>
      <c r="E16294" s="25"/>
      <c r="F16294" s="25"/>
      <c r="G16294" s="25"/>
    </row>
    <row r="16295" spans="1:7" ht="21.36" thickBot="1" customHeight="1">
      <c r="A16295" s="10" t="s">
        <v>50967</v>
      </c>
      <c r="B16295" s="24" t="s">
        <v>50968</v>
      </c>
      <c r="C16295" s="24" t="s">
        <v>50969</v>
      </c>
      <c r="D16295" s="25" t="s">
        <v>50970</v>
      </c>
      <c r="E16295" s="26"/>
      <c r="F16295" s="27">
        <f ca="1">ROUND(36.780*(1+G2/100),2)</f>
        <v>0</v>
      </c>
      <c r="G16295" s="26"/>
    </row>
    <row r="16296" spans="1:7" ht="12.12" thickBot="1" customHeight="1">
      <c r="A16296" s="26"/>
      <c r="B16296" s="26"/>
      <c r="C16296" s="26"/>
      <c r="D16296" s="25" t="s">
        <v>50971</v>
      </c>
      <c r="E16296" s="25"/>
      <c r="F16296" s="25"/>
      <c r="G16296" s="25"/>
    </row>
    <row r="16297" spans="1:7" ht="39.84" thickBot="1" customHeight="1">
      <c r="A16297" s="10" t="s">
        <v>50972</v>
      </c>
      <c r="B16297" s="24" t="s">
        <v>50973</v>
      </c>
      <c r="C16297" s="24" t="s">
        <v>50974</v>
      </c>
      <c r="D16297" s="25" t="s">
        <v>50975</v>
      </c>
      <c r="E16297" s="26"/>
      <c r="F16297" s="27">
        <f ca="1">ROUND(10.800*(1+G2/100),2)</f>
        <v>0</v>
      </c>
      <c r="G16297" s="26"/>
    </row>
    <row r="16298" spans="1:7" ht="21.36" thickBot="1" customHeight="1">
      <c r="A16298" s="26"/>
      <c r="B16298" s="26"/>
      <c r="C16298" s="26"/>
      <c r="D16298" s="25" t="s">
        <v>50976</v>
      </c>
      <c r="E16298" s="25"/>
      <c r="F16298" s="25"/>
      <c r="G16298" s="25"/>
    </row>
    <row r="16299" spans="1:7" ht="39.84" thickBot="1" customHeight="1">
      <c r="A16299" s="10" t="s">
        <v>50977</v>
      </c>
      <c r="B16299" s="24" t="s">
        <v>50978</v>
      </c>
      <c r="C16299" s="24" t="s">
        <v>50979</v>
      </c>
      <c r="D16299" s="25" t="s">
        <v>50980</v>
      </c>
      <c r="E16299" s="26"/>
      <c r="F16299" s="27">
        <f ca="1">ROUND(15.930*(1+G2/100),2)</f>
        <v>0</v>
      </c>
      <c r="G16299" s="26"/>
    </row>
    <row r="16300" spans="1:7" ht="21.36" thickBot="1" customHeight="1">
      <c r="A16300" s="26"/>
      <c r="B16300" s="26"/>
      <c r="C16300" s="26"/>
      <c r="D16300" s="25" t="s">
        <v>50981</v>
      </c>
      <c r="E16300" s="25"/>
      <c r="F16300" s="25"/>
      <c r="G16300" s="25"/>
    </row>
    <row r="16301" spans="1:7" ht="39.84" thickBot="1" customHeight="1">
      <c r="A16301" s="10" t="s">
        <v>50982</v>
      </c>
      <c r="B16301" s="24" t="s">
        <v>50983</v>
      </c>
      <c r="C16301" s="24" t="s">
        <v>50984</v>
      </c>
      <c r="D16301" s="25" t="s">
        <v>50985</v>
      </c>
      <c r="E16301" s="26"/>
      <c r="F16301" s="27">
        <f ca="1">ROUND(22.950*(1+G2/100),2)</f>
        <v>0</v>
      </c>
      <c r="G16301" s="26"/>
    </row>
    <row r="16302" spans="1:7" ht="21.36" thickBot="1" customHeight="1">
      <c r="A16302" s="26"/>
      <c r="B16302" s="26"/>
      <c r="C16302" s="26"/>
      <c r="D16302" s="25" t="s">
        <v>50986</v>
      </c>
      <c r="E16302" s="25"/>
      <c r="F16302" s="25"/>
      <c r="G16302" s="25"/>
    </row>
    <row r="16303" spans="1:7" ht="39.84" thickBot="1" customHeight="1">
      <c r="A16303" s="10" t="s">
        <v>50987</v>
      </c>
      <c r="B16303" s="24" t="s">
        <v>50988</v>
      </c>
      <c r="C16303" s="24" t="s">
        <v>50989</v>
      </c>
      <c r="D16303" s="25" t="s">
        <v>50990</v>
      </c>
      <c r="E16303" s="26"/>
      <c r="F16303" s="27">
        <f ca="1">ROUND(20.000*(1+G2/100),2)</f>
        <v>0</v>
      </c>
      <c r="G16303" s="26"/>
    </row>
    <row r="16304" spans="1:7" ht="21.36" thickBot="1" customHeight="1">
      <c r="A16304" s="26"/>
      <c r="B16304" s="26"/>
      <c r="C16304" s="26"/>
      <c r="D16304" s="25" t="s">
        <v>50991</v>
      </c>
      <c r="E16304" s="25"/>
      <c r="F16304" s="25"/>
      <c r="G16304" s="25"/>
    </row>
    <row r="16305" spans="1:7" ht="39.84" thickBot="1" customHeight="1">
      <c r="A16305" s="10" t="s">
        <v>50992</v>
      </c>
      <c r="B16305" s="24" t="s">
        <v>50993</v>
      </c>
      <c r="C16305" s="24" t="s">
        <v>50994</v>
      </c>
      <c r="D16305" s="25" t="s">
        <v>50995</v>
      </c>
      <c r="E16305" s="26"/>
      <c r="F16305" s="27">
        <f ca="1">ROUND(32.000*(1+G2/100),2)</f>
        <v>0</v>
      </c>
      <c r="G16305" s="26"/>
    </row>
    <row r="16306" spans="1:7" ht="21.36" thickBot="1" customHeight="1">
      <c r="A16306" s="26"/>
      <c r="B16306" s="26"/>
      <c r="C16306" s="26"/>
      <c r="D16306" s="25" t="s">
        <v>50996</v>
      </c>
      <c r="E16306" s="25"/>
      <c r="F16306" s="25"/>
      <c r="G16306" s="25"/>
    </row>
    <row r="16307" spans="1:7" ht="30.60" thickBot="1" customHeight="1">
      <c r="A16307" s="10" t="s">
        <v>50997</v>
      </c>
      <c r="B16307" s="24" t="s">
        <v>50998</v>
      </c>
      <c r="C16307" s="24" t="s">
        <v>50999</v>
      </c>
      <c r="D16307" s="25" t="s">
        <v>51000</v>
      </c>
      <c r="E16307" s="26"/>
      <c r="F16307" s="27">
        <f ca="1">ROUND(322.990*(1+G2/100),2)</f>
        <v>0</v>
      </c>
      <c r="G16307" s="26"/>
    </row>
    <row r="16308" spans="1:7" ht="21.36" thickBot="1" customHeight="1">
      <c r="A16308" s="26"/>
      <c r="B16308" s="26"/>
      <c r="C16308" s="26"/>
      <c r="D16308" s="25" t="s">
        <v>51001</v>
      </c>
      <c r="E16308" s="25"/>
      <c r="F16308" s="25"/>
      <c r="G16308" s="25"/>
    </row>
    <row r="16309" spans="1:7" ht="30.60" thickBot="1" customHeight="1">
      <c r="A16309" s="10" t="s">
        <v>51002</v>
      </c>
      <c r="B16309" s="24" t="s">
        <v>51003</v>
      </c>
      <c r="C16309" s="24" t="s">
        <v>51004</v>
      </c>
      <c r="D16309" s="25" t="s">
        <v>51005</v>
      </c>
      <c r="E16309" s="26"/>
      <c r="F16309" s="27">
        <f ca="1">ROUND(378.220*(1+G2/100),2)</f>
        <v>0</v>
      </c>
      <c r="G16309" s="26"/>
    </row>
    <row r="16310" spans="1:7" ht="21.36" thickBot="1" customHeight="1">
      <c r="A16310" s="26"/>
      <c r="B16310" s="26"/>
      <c r="C16310" s="26"/>
      <c r="D16310" s="25" t="s">
        <v>51006</v>
      </c>
      <c r="E16310" s="25"/>
      <c r="F16310" s="25"/>
      <c r="G16310" s="25"/>
    </row>
    <row r="16311" spans="1:7" ht="30.60" thickBot="1" customHeight="1">
      <c r="A16311" s="10" t="s">
        <v>51007</v>
      </c>
      <c r="B16311" s="24" t="s">
        <v>51008</v>
      </c>
      <c r="C16311" s="24" t="s">
        <v>51009</v>
      </c>
      <c r="D16311" s="25" t="s">
        <v>51010</v>
      </c>
      <c r="E16311" s="26"/>
      <c r="F16311" s="27">
        <f ca="1">ROUND(4.820*(1+G2/100),2)</f>
        <v>0</v>
      </c>
      <c r="G16311" s="26"/>
    </row>
    <row r="16312" spans="1:7" ht="12.12" thickBot="1" customHeight="1">
      <c r="A16312" s="26"/>
      <c r="B16312" s="26"/>
      <c r="C16312" s="26"/>
      <c r="D16312" s="25" t="s">
        <v>51011</v>
      </c>
      <c r="E16312" s="25"/>
      <c r="F16312" s="25"/>
      <c r="G16312" s="25"/>
    </row>
    <row r="16313" spans="1:7" ht="30.60" thickBot="1" customHeight="1">
      <c r="A16313" s="10" t="s">
        <v>51012</v>
      </c>
      <c r="B16313" s="24" t="s">
        <v>51013</v>
      </c>
      <c r="C16313" s="24" t="s">
        <v>51014</v>
      </c>
      <c r="D16313" s="25" t="s">
        <v>51015</v>
      </c>
      <c r="E16313" s="26"/>
      <c r="F16313" s="27">
        <f ca="1">ROUND(11.780*(1+G2/100),2)</f>
        <v>0</v>
      </c>
      <c r="G16313" s="26"/>
    </row>
    <row r="16314" spans="1:7" ht="21.36" thickBot="1" customHeight="1">
      <c r="A16314" s="26"/>
      <c r="B16314" s="26"/>
      <c r="C16314" s="26"/>
      <c r="D16314" s="25" t="s">
        <v>51016</v>
      </c>
      <c r="E16314" s="25"/>
      <c r="F16314" s="25"/>
      <c r="G16314" s="25"/>
    </row>
    <row r="16315" spans="1:7" ht="30.60" thickBot="1" customHeight="1">
      <c r="A16315" s="10" t="s">
        <v>51017</v>
      </c>
      <c r="B16315" s="24" t="s">
        <v>51018</v>
      </c>
      <c r="C16315" s="24" t="s">
        <v>51019</v>
      </c>
      <c r="D16315" s="25" t="s">
        <v>51020</v>
      </c>
      <c r="E16315" s="26"/>
      <c r="F16315" s="27">
        <f ca="1">ROUND(0.800*(1+G2/100),2)</f>
        <v>0</v>
      </c>
      <c r="G16315" s="26"/>
    </row>
    <row r="16316" spans="1:7" ht="12.12" thickBot="1" customHeight="1">
      <c r="A16316" s="26"/>
      <c r="B16316" s="26"/>
      <c r="C16316" s="26"/>
      <c r="D16316" s="25" t="s">
        <v>51021</v>
      </c>
      <c r="E16316" s="25"/>
      <c r="F16316" s="25"/>
      <c r="G16316" s="25"/>
    </row>
    <row r="16317" spans="1:7" ht="49.08" thickBot="1" customHeight="1">
      <c r="A16317" s="10" t="s">
        <v>51022</v>
      </c>
      <c r="B16317" s="24" t="s">
        <v>51023</v>
      </c>
      <c r="C16317" s="24" t="s">
        <v>51024</v>
      </c>
      <c r="D16317" s="25" t="s">
        <v>51025</v>
      </c>
      <c r="E16317" s="26"/>
      <c r="F16317" s="27">
        <f ca="1">ROUND(25.890*(1+G2/100),2)</f>
        <v>0</v>
      </c>
      <c r="G16317" s="26"/>
    </row>
    <row r="16318" spans="1:7" ht="21.36" thickBot="1" customHeight="1">
      <c r="A16318" s="26"/>
      <c r="B16318" s="26"/>
      <c r="C16318" s="26"/>
      <c r="D16318" s="25" t="s">
        <v>51026</v>
      </c>
      <c r="E16318" s="25"/>
      <c r="F16318" s="25"/>
      <c r="G16318" s="25"/>
    </row>
    <row r="16319" spans="1:7" ht="30.60" thickBot="1" customHeight="1">
      <c r="A16319" s="10" t="s">
        <v>51027</v>
      </c>
      <c r="B16319" s="24" t="s">
        <v>51028</v>
      </c>
      <c r="C16319" s="24" t="s">
        <v>51029</v>
      </c>
      <c r="D16319" s="25" t="s">
        <v>51030</v>
      </c>
      <c r="E16319" s="26"/>
      <c r="F16319" s="27">
        <f ca="1">ROUND(15.090*(1+G2/100),2)</f>
        <v>0</v>
      </c>
      <c r="G16319" s="26"/>
    </row>
    <row r="16320" spans="1:7" ht="30.60" thickBot="1" customHeight="1">
      <c r="A16320" s="26"/>
      <c r="B16320" s="26"/>
      <c r="C16320" s="26"/>
      <c r="D16320" s="25" t="s">
        <v>51031</v>
      </c>
      <c r="E16320" s="25"/>
      <c r="F16320" s="25"/>
      <c r="G16320" s="25"/>
    </row>
    <row r="16321" spans="1:7" ht="49.08" thickBot="1" customHeight="1">
      <c r="A16321" s="10" t="s">
        <v>51032</v>
      </c>
      <c r="B16321" s="24" t="s">
        <v>51033</v>
      </c>
      <c r="C16321" s="24" t="s">
        <v>51034</v>
      </c>
      <c r="D16321" s="25" t="s">
        <v>51035</v>
      </c>
      <c r="E16321" s="26"/>
      <c r="F16321" s="27">
        <f ca="1">ROUND(17.440*(1+G2/100),2)</f>
        <v>0</v>
      </c>
      <c r="G16321" s="26"/>
    </row>
    <row r="16322" spans="1:7" ht="21.36" thickBot="1" customHeight="1">
      <c r="A16322" s="26"/>
      <c r="B16322" s="26"/>
      <c r="C16322" s="26"/>
      <c r="D16322" s="25" t="s">
        <v>51036</v>
      </c>
      <c r="E16322" s="25"/>
      <c r="F16322" s="25"/>
      <c r="G16322" s="25"/>
    </row>
    <row r="16323" spans="1:7" ht="30.60" thickBot="1" customHeight="1">
      <c r="A16323" s="10" t="s">
        <v>51037</v>
      </c>
      <c r="B16323" s="24" t="s">
        <v>51038</v>
      </c>
      <c r="C16323" s="24" t="s">
        <v>51039</v>
      </c>
      <c r="D16323" s="25" t="s">
        <v>51040</v>
      </c>
      <c r="E16323" s="26"/>
      <c r="F16323" s="27">
        <f ca="1">ROUND(3.490*(1+G2/100),2)</f>
        <v>0</v>
      </c>
      <c r="G16323" s="26"/>
    </row>
    <row r="16324" spans="1:7" ht="21.36" thickBot="1" customHeight="1">
      <c r="A16324" s="26"/>
      <c r="B16324" s="26"/>
      <c r="C16324" s="26"/>
      <c r="D16324" s="25" t="s">
        <v>51041</v>
      </c>
      <c r="E16324" s="25"/>
      <c r="F16324" s="25"/>
      <c r="G16324" s="25"/>
    </row>
    <row r="16325" spans="1:7" ht="30.60" thickBot="1" customHeight="1">
      <c r="A16325" s="10" t="s">
        <v>51042</v>
      </c>
      <c r="B16325" s="24" t="s">
        <v>51043</v>
      </c>
      <c r="C16325" s="24" t="s">
        <v>51044</v>
      </c>
      <c r="D16325" s="25" t="s">
        <v>51045</v>
      </c>
      <c r="E16325" s="26"/>
      <c r="F16325" s="27">
        <f ca="1">ROUND(4.840*(1+G2/100),2)</f>
        <v>0</v>
      </c>
      <c r="G16325" s="26"/>
    </row>
    <row r="16326" spans="1:7" ht="21.36" thickBot="1" customHeight="1">
      <c r="A16326" s="26"/>
      <c r="B16326" s="26"/>
      <c r="C16326" s="26"/>
      <c r="D16326" s="25" t="s">
        <v>51046</v>
      </c>
      <c r="E16326" s="25"/>
      <c r="F16326" s="25"/>
      <c r="G16326" s="25"/>
    </row>
    <row r="16327" spans="1:7" ht="39.84" thickBot="1" customHeight="1">
      <c r="A16327" s="10" t="s">
        <v>51047</v>
      </c>
      <c r="B16327" s="24" t="s">
        <v>51048</v>
      </c>
      <c r="C16327" s="24" t="s">
        <v>51049</v>
      </c>
      <c r="D16327" s="25" t="s">
        <v>51050</v>
      </c>
      <c r="E16327" s="26"/>
      <c r="F16327" s="27">
        <f ca="1">ROUND(19.710*(1+G2/100),2)</f>
        <v>0</v>
      </c>
      <c r="G16327" s="26"/>
    </row>
    <row r="16328" spans="1:7" ht="21.36" thickBot="1" customHeight="1">
      <c r="A16328" s="26"/>
      <c r="B16328" s="26"/>
      <c r="C16328" s="26"/>
      <c r="D16328" s="25" t="s">
        <v>51051</v>
      </c>
      <c r="E16328" s="25"/>
      <c r="F16328" s="25"/>
      <c r="G16328" s="25"/>
    </row>
    <row r="16329" spans="1:7" ht="30.60" thickBot="1" customHeight="1">
      <c r="A16329" s="10" t="s">
        <v>51052</v>
      </c>
      <c r="B16329" s="24" t="s">
        <v>51053</v>
      </c>
      <c r="C16329" s="24" t="s">
        <v>51054</v>
      </c>
      <c r="D16329" s="25" t="s">
        <v>51055</v>
      </c>
      <c r="E16329" s="26"/>
      <c r="F16329" s="27">
        <f ca="1">ROUND(3.270*(1+G2/100),2)</f>
        <v>0</v>
      </c>
      <c r="G16329" s="26"/>
    </row>
    <row r="16330" spans="1:7" ht="21.36" thickBot="1" customHeight="1">
      <c r="A16330" s="26"/>
      <c r="B16330" s="26"/>
      <c r="C16330" s="26"/>
      <c r="D16330" s="25" t="s">
        <v>51056</v>
      </c>
      <c r="E16330" s="25"/>
      <c r="F16330" s="25"/>
      <c r="G16330" s="25"/>
    </row>
    <row r="16331" spans="1:7" ht="30.60" thickBot="1" customHeight="1">
      <c r="A16331" s="10" t="s">
        <v>51057</v>
      </c>
      <c r="B16331" s="24" t="s">
        <v>51058</v>
      </c>
      <c r="C16331" s="24" t="s">
        <v>51059</v>
      </c>
      <c r="D16331" s="25" t="s">
        <v>51060</v>
      </c>
      <c r="E16331" s="26"/>
      <c r="F16331" s="27">
        <f ca="1">ROUND(367.370*(1+G2/100),2)</f>
        <v>0</v>
      </c>
      <c r="G16331" s="26"/>
    </row>
    <row r="16332" spans="1:7" ht="58.32" thickBot="1" customHeight="1">
      <c r="A16332" s="26"/>
      <c r="B16332" s="26"/>
      <c r="C16332" s="26"/>
      <c r="D16332" s="25" t="s">
        <v>51061</v>
      </c>
      <c r="E16332" s="25"/>
      <c r="F16332" s="25"/>
      <c r="G16332" s="25"/>
    </row>
    <row r="16333" spans="1:7" ht="30.60" thickBot="1" customHeight="1">
      <c r="A16333" s="10" t="s">
        <v>51062</v>
      </c>
      <c r="B16333" s="24" t="s">
        <v>51063</v>
      </c>
      <c r="C16333" s="24" t="s">
        <v>51064</v>
      </c>
      <c r="D16333" s="25" t="s">
        <v>51065</v>
      </c>
      <c r="E16333" s="26"/>
      <c r="F16333" s="27">
        <f ca="1">ROUND(14.250*(1+G2/100),2)</f>
        <v>0</v>
      </c>
      <c r="G16333" s="26"/>
    </row>
    <row r="16334" spans="1:7" ht="21.36" thickBot="1" customHeight="1">
      <c r="A16334" s="26"/>
      <c r="B16334" s="26"/>
      <c r="C16334" s="26"/>
      <c r="D16334" s="25" t="s">
        <v>51066</v>
      </c>
      <c r="E16334" s="25"/>
      <c r="F16334" s="25"/>
      <c r="G16334" s="25"/>
    </row>
    <row r="16335" spans="1:7" ht="15.48" thickBot="1" customHeight="1">
      <c r="A16335" s="30"/>
      <c r="B16335" s="30"/>
      <c r="C16335" s="30"/>
      <c r="D16335" s="79" t="s">
        <v>51067</v>
      </c>
      <c r="E16335" s="80"/>
      <c r="F16335" s="80"/>
      <c r="G16335" s="80"/>
    </row>
    <row r="16336" spans="1:7" ht="31.68" thickBot="1" customHeight="1">
      <c r="A16336" s="52" t="s">
        <v>51068</v>
      </c>
      <c r="B16336" s="52" t="s">
        <v>51069</v>
      </c>
      <c r="C16336" s="53"/>
      <c r="D16336" s="54" t="s">
        <v>51070</v>
      </c>
      <c r="E16336" s="53"/>
      <c r="F16336" s="53"/>
      <c r="G16336" s="53"/>
    </row>
    <row r="16337" spans="1:7" ht="22.08" thickBot="1" customHeight="1">
      <c r="A16337" s="21" t="s">
        <v>51071</v>
      </c>
      <c r="B16337" s="21" t="s">
        <v>51072</v>
      </c>
      <c r="C16337" s="22"/>
      <c r="D16337" s="23" t="s">
        <v>51073</v>
      </c>
      <c r="E16337" s="22"/>
      <c r="F16337" s="22"/>
      <c r="G16337" s="22"/>
    </row>
    <row r="16338" spans="1:7" ht="49.08" thickBot="1" customHeight="1">
      <c r="A16338" s="10" t="s">
        <v>51074</v>
      </c>
      <c r="B16338" s="24" t="s">
        <v>51075</v>
      </c>
      <c r="C16338" s="24" t="s">
        <v>51076</v>
      </c>
      <c r="D16338" s="25" t="s">
        <v>51077</v>
      </c>
      <c r="E16338" s="26"/>
      <c r="F16338" s="27">
        <f ca="1">ROUND(3.790*(1+G2/100),2)</f>
        <v>0</v>
      </c>
      <c r="G16338" s="26"/>
    </row>
    <row r="16339" spans="1:7" ht="76.80" thickBot="1" customHeight="1">
      <c r="A16339" s="26"/>
      <c r="B16339" s="26"/>
      <c r="C16339" s="26"/>
      <c r="D16339" s="25" t="s">
        <v>51078</v>
      </c>
      <c r="E16339" s="25"/>
      <c r="F16339" s="25"/>
      <c r="G16339" s="25"/>
    </row>
    <row r="16340" spans="1:7" ht="39.84" thickBot="1" customHeight="1">
      <c r="A16340" s="10" t="s">
        <v>51079</v>
      </c>
      <c r="B16340" s="24" t="s">
        <v>51080</v>
      </c>
      <c r="C16340" s="24" t="s">
        <v>51081</v>
      </c>
      <c r="D16340" s="25" t="s">
        <v>51082</v>
      </c>
      <c r="E16340" s="26"/>
      <c r="F16340" s="27">
        <f ca="1">ROUND(35.000*(1+G2/100),2)</f>
        <v>0</v>
      </c>
      <c r="G16340" s="26"/>
    </row>
    <row r="16341" spans="1:7" ht="178.44" thickBot="1" customHeight="1">
      <c r="A16341" s="26"/>
      <c r="B16341" s="26"/>
      <c r="C16341" s="26"/>
      <c r="D16341" s="25" t="s">
        <v>51083</v>
      </c>
      <c r="E16341" s="25"/>
      <c r="F16341" s="25"/>
      <c r="G16341" s="25"/>
    </row>
    <row r="16342" spans="1:7" ht="49.08" thickBot="1" customHeight="1">
      <c r="A16342" s="10" t="s">
        <v>51084</v>
      </c>
      <c r="B16342" s="24" t="s">
        <v>51085</v>
      </c>
      <c r="C16342" s="24" t="s">
        <v>51086</v>
      </c>
      <c r="D16342" s="25" t="s">
        <v>51087</v>
      </c>
      <c r="E16342" s="26"/>
      <c r="F16342" s="27">
        <f ca="1">ROUND(3.790*(1+G2/100),2)</f>
        <v>0</v>
      </c>
      <c r="G16342" s="26"/>
    </row>
    <row r="16343" spans="1:7" ht="67.56" thickBot="1" customHeight="1">
      <c r="A16343" s="26"/>
      <c r="B16343" s="26"/>
      <c r="C16343" s="26"/>
      <c r="D16343" s="25" t="s">
        <v>51088</v>
      </c>
      <c r="E16343" s="25"/>
      <c r="F16343" s="25"/>
      <c r="G16343" s="25"/>
    </row>
    <row r="16344" spans="1:7" ht="58.32" thickBot="1" customHeight="1">
      <c r="A16344" s="10" t="s">
        <v>51089</v>
      </c>
      <c r="B16344" s="24" t="s">
        <v>51090</v>
      </c>
      <c r="C16344" s="24" t="s">
        <v>51091</v>
      </c>
      <c r="D16344" s="25" t="s">
        <v>51092</v>
      </c>
      <c r="E16344" s="26"/>
      <c r="F16344" s="27">
        <f ca="1">ROUND(12.250*(1+G2/100),2)</f>
        <v>0</v>
      </c>
      <c r="G16344" s="26"/>
    </row>
    <row r="16345" spans="1:7" ht="21.36" thickBot="1" customHeight="1">
      <c r="A16345" s="26"/>
      <c r="B16345" s="26"/>
      <c r="C16345" s="26"/>
      <c r="D16345" s="25" t="s">
        <v>51093</v>
      </c>
      <c r="E16345" s="25"/>
      <c r="F16345" s="25"/>
      <c r="G16345" s="25"/>
    </row>
    <row r="16346" spans="1:7" ht="58.32" thickBot="1" customHeight="1">
      <c r="A16346" s="10" t="s">
        <v>51094</v>
      </c>
      <c r="B16346" s="24" t="s">
        <v>51095</v>
      </c>
      <c r="C16346" s="24" t="s">
        <v>51096</v>
      </c>
      <c r="D16346" s="25" t="s">
        <v>51097</v>
      </c>
      <c r="E16346" s="26"/>
      <c r="F16346" s="27">
        <f ca="1">ROUND(15.250*(1+G2/100),2)</f>
        <v>0</v>
      </c>
      <c r="G16346" s="26"/>
    </row>
    <row r="16347" spans="1:7" ht="95.28" thickBot="1" customHeight="1">
      <c r="A16347" s="26"/>
      <c r="B16347" s="26"/>
      <c r="C16347" s="26"/>
      <c r="D16347" s="25" t="s">
        <v>51098</v>
      </c>
      <c r="E16347" s="25"/>
      <c r="F16347" s="25"/>
      <c r="G16347" s="25"/>
    </row>
    <row r="16348" spans="1:7" ht="39.84" thickBot="1" customHeight="1">
      <c r="A16348" s="10" t="s">
        <v>51099</v>
      </c>
      <c r="B16348" s="24" t="s">
        <v>51100</v>
      </c>
      <c r="C16348" s="24" t="s">
        <v>51101</v>
      </c>
      <c r="D16348" s="25" t="s">
        <v>51102</v>
      </c>
      <c r="E16348" s="26"/>
      <c r="F16348" s="27">
        <f ca="1">ROUND(1.660*(1+G2/100),2)</f>
        <v>0</v>
      </c>
      <c r="G16348" s="26"/>
    </row>
    <row r="16349" spans="1:7" ht="49.08" thickBot="1" customHeight="1">
      <c r="A16349" s="26"/>
      <c r="B16349" s="26"/>
      <c r="C16349" s="26"/>
      <c r="D16349" s="25" t="s">
        <v>51103</v>
      </c>
      <c r="E16349" s="25"/>
      <c r="F16349" s="25"/>
      <c r="G16349" s="25"/>
    </row>
    <row r="16350" spans="1:7" ht="58.32" thickBot="1" customHeight="1">
      <c r="A16350" s="10" t="s">
        <v>51104</v>
      </c>
      <c r="B16350" s="24" t="s">
        <v>51105</v>
      </c>
      <c r="C16350" s="24" t="s">
        <v>51106</v>
      </c>
      <c r="D16350" s="25" t="s">
        <v>51107</v>
      </c>
      <c r="E16350" s="26"/>
      <c r="F16350" s="27">
        <f ca="1">ROUND(5.410*(1+G2/100),2)</f>
        <v>0</v>
      </c>
      <c r="G16350" s="26"/>
    </row>
    <row r="16351" spans="1:7" ht="169.20" thickBot="1" customHeight="1">
      <c r="A16351" s="26"/>
      <c r="B16351" s="26"/>
      <c r="C16351" s="26"/>
      <c r="D16351" s="25" t="s">
        <v>51108</v>
      </c>
      <c r="E16351" s="25"/>
      <c r="F16351" s="25"/>
      <c r="G16351" s="25"/>
    </row>
    <row r="16352" spans="1:7" ht="49.08" thickBot="1" customHeight="1">
      <c r="A16352" s="10" t="s">
        <v>51109</v>
      </c>
      <c r="B16352" s="24" t="s">
        <v>51110</v>
      </c>
      <c r="C16352" s="24" t="s">
        <v>51111</v>
      </c>
      <c r="D16352" s="25" t="s">
        <v>51112</v>
      </c>
      <c r="E16352" s="26"/>
      <c r="F16352" s="27">
        <f ca="1">ROUND(4.610*(1+G2/100),2)</f>
        <v>0</v>
      </c>
      <c r="G16352" s="26"/>
    </row>
    <row r="16353" spans="1:7" ht="169.20" thickBot="1" customHeight="1">
      <c r="A16353" s="26"/>
      <c r="B16353" s="26"/>
      <c r="C16353" s="26"/>
      <c r="D16353" s="25" t="s">
        <v>51113</v>
      </c>
      <c r="E16353" s="25"/>
      <c r="F16353" s="25"/>
      <c r="G16353" s="25"/>
    </row>
    <row r="16354" spans="1:7" ht="39.84" thickBot="1" customHeight="1">
      <c r="A16354" s="10" t="s">
        <v>51114</v>
      </c>
      <c r="B16354" s="24" t="s">
        <v>51115</v>
      </c>
      <c r="C16354" s="24" t="s">
        <v>51116</v>
      </c>
      <c r="D16354" s="25" t="s">
        <v>51117</v>
      </c>
      <c r="E16354" s="26"/>
      <c r="F16354" s="27">
        <f ca="1">ROUND(3.350*(1+G2/100),2)</f>
        <v>0</v>
      </c>
      <c r="G16354" s="26"/>
    </row>
    <row r="16355" spans="1:7" ht="76.80" thickBot="1" customHeight="1">
      <c r="A16355" s="26"/>
      <c r="B16355" s="26"/>
      <c r="C16355" s="26"/>
      <c r="D16355" s="25" t="s">
        <v>51118</v>
      </c>
      <c r="E16355" s="25"/>
      <c r="F16355" s="25"/>
      <c r="G16355" s="25"/>
    </row>
    <row r="16356" spans="1:7" ht="39.84" thickBot="1" customHeight="1">
      <c r="A16356" s="10" t="s">
        <v>51119</v>
      </c>
      <c r="B16356" s="24" t="s">
        <v>51120</v>
      </c>
      <c r="C16356" s="24" t="s">
        <v>51121</v>
      </c>
      <c r="D16356" s="25" t="s">
        <v>51122</v>
      </c>
      <c r="E16356" s="26"/>
      <c r="F16356" s="27">
        <f ca="1">ROUND(4.160*(1+G2/100),2)</f>
        <v>0</v>
      </c>
      <c r="G16356" s="26"/>
    </row>
    <row r="16357" spans="1:7" ht="76.80" thickBot="1" customHeight="1">
      <c r="A16357" s="26"/>
      <c r="B16357" s="26"/>
      <c r="C16357" s="26"/>
      <c r="D16357" s="25" t="s">
        <v>51123</v>
      </c>
      <c r="E16357" s="25"/>
      <c r="F16357" s="25"/>
      <c r="G16357" s="25"/>
    </row>
    <row r="16358" spans="1:7" ht="39.84" thickBot="1" customHeight="1">
      <c r="A16358" s="10" t="s">
        <v>51124</v>
      </c>
      <c r="B16358" s="24" t="s">
        <v>51125</v>
      </c>
      <c r="C16358" s="24" t="s">
        <v>51126</v>
      </c>
      <c r="D16358" s="25" t="s">
        <v>51127</v>
      </c>
      <c r="E16358" s="26"/>
      <c r="F16358" s="27">
        <f ca="1">ROUND(3.330*(1+G2/100),2)</f>
        <v>0</v>
      </c>
      <c r="G16358" s="26"/>
    </row>
    <row r="16359" spans="1:7" ht="113.76" thickBot="1" customHeight="1">
      <c r="A16359" s="26"/>
      <c r="B16359" s="26"/>
      <c r="C16359" s="26"/>
      <c r="D16359" s="25" t="s">
        <v>51128</v>
      </c>
      <c r="E16359" s="25"/>
      <c r="F16359" s="25"/>
      <c r="G16359" s="25"/>
    </row>
    <row r="16360" spans="1:7" ht="30.60" thickBot="1" customHeight="1">
      <c r="A16360" s="10" t="s">
        <v>51129</v>
      </c>
      <c r="B16360" s="24" t="s">
        <v>51130</v>
      </c>
      <c r="C16360" s="24" t="s">
        <v>51131</v>
      </c>
      <c r="D16360" s="25" t="s">
        <v>51132</v>
      </c>
      <c r="E16360" s="26"/>
      <c r="F16360" s="27">
        <f ca="1">ROUND(2.600*(1+G2/100),2)</f>
        <v>0</v>
      </c>
      <c r="G16360" s="26"/>
    </row>
    <row r="16361" spans="1:7" ht="30.60" thickBot="1" customHeight="1">
      <c r="A16361" s="26"/>
      <c r="B16361" s="26"/>
      <c r="C16361" s="26"/>
      <c r="D16361" s="25" t="s">
        <v>51133</v>
      </c>
      <c r="E16361" s="25"/>
      <c r="F16361" s="25"/>
      <c r="G16361" s="25"/>
    </row>
    <row r="16362" spans="1:7" ht="39.84" thickBot="1" customHeight="1">
      <c r="A16362" s="10" t="s">
        <v>51134</v>
      </c>
      <c r="B16362" s="24" t="s">
        <v>51135</v>
      </c>
      <c r="C16362" s="24" t="s">
        <v>51136</v>
      </c>
      <c r="D16362" s="25" t="s">
        <v>51137</v>
      </c>
      <c r="E16362" s="26"/>
      <c r="F16362" s="27">
        <f ca="1">ROUND(213.560*(1+G2/100),2)</f>
        <v>0</v>
      </c>
      <c r="G16362" s="26"/>
    </row>
    <row r="16363" spans="1:7" ht="215.40" thickBot="1" customHeight="1">
      <c r="A16363" s="26"/>
      <c r="B16363" s="26"/>
      <c r="C16363" s="26"/>
      <c r="D16363" s="25" t="s">
        <v>51138</v>
      </c>
      <c r="E16363" s="25"/>
      <c r="F16363" s="25"/>
      <c r="G16363" s="25"/>
    </row>
    <row r="16364" spans="1:7" ht="15.48" thickBot="1" customHeight="1">
      <c r="A16364" s="30"/>
      <c r="B16364" s="30"/>
      <c r="C16364" s="30"/>
      <c r="D16364" s="61" t="s">
        <v>51139</v>
      </c>
      <c r="E16364" s="62"/>
      <c r="F16364" s="62"/>
      <c r="G16364" s="62"/>
    </row>
    <row r="16365" spans="1:7" ht="39.84" thickBot="1" customHeight="1">
      <c r="A16365" s="34" t="s">
        <v>51140</v>
      </c>
      <c r="B16365" s="35" t="s">
        <v>51141</v>
      </c>
      <c r="C16365" s="35" t="s">
        <v>51142</v>
      </c>
      <c r="D16365" s="36" t="s">
        <v>51143</v>
      </c>
      <c r="E16365" s="37"/>
      <c r="F16365" s="38">
        <f ca="1">ROUND(125.460*(1+G2/100),2)</f>
        <v>0</v>
      </c>
      <c r="G16365" s="37"/>
    </row>
    <row r="16366" spans="1:7" ht="86.04" thickBot="1" customHeight="1">
      <c r="A16366" s="26"/>
      <c r="B16366" s="26"/>
      <c r="C16366" s="26"/>
      <c r="D16366" s="25" t="s">
        <v>51144</v>
      </c>
      <c r="E16366" s="25"/>
      <c r="F16366" s="25"/>
      <c r="G16366" s="25"/>
    </row>
    <row r="16367" spans="1:7" ht="39.84" thickBot="1" customHeight="1">
      <c r="A16367" s="10" t="s">
        <v>51145</v>
      </c>
      <c r="B16367" s="24" t="s">
        <v>51146</v>
      </c>
      <c r="C16367" s="24" t="s">
        <v>51147</v>
      </c>
      <c r="D16367" s="25" t="s">
        <v>51148</v>
      </c>
      <c r="E16367" s="26"/>
      <c r="F16367" s="27">
        <f ca="1">ROUND(48.000*(1+G2/100),2)</f>
        <v>0</v>
      </c>
      <c r="G16367" s="26"/>
    </row>
    <row r="16368" spans="1:7" ht="67.56" thickBot="1" customHeight="1">
      <c r="A16368" s="26"/>
      <c r="B16368" s="26"/>
      <c r="C16368" s="26"/>
      <c r="D16368" s="25" t="s">
        <v>51149</v>
      </c>
      <c r="E16368" s="25"/>
      <c r="F16368" s="25"/>
      <c r="G16368" s="25"/>
    </row>
    <row r="16369" spans="1:7" ht="39.84" thickBot="1" customHeight="1">
      <c r="A16369" s="10" t="s">
        <v>51150</v>
      </c>
      <c r="B16369" s="24" t="s">
        <v>51151</v>
      </c>
      <c r="C16369" s="24" t="s">
        <v>51152</v>
      </c>
      <c r="D16369" s="25" t="s">
        <v>51153</v>
      </c>
      <c r="E16369" s="26"/>
      <c r="F16369" s="27">
        <f ca="1">ROUND(298.540*(1+G2/100),2)</f>
        <v>0</v>
      </c>
      <c r="G16369" s="26"/>
    </row>
    <row r="16370" spans="1:7" ht="76.80" thickBot="1" customHeight="1">
      <c r="A16370" s="26"/>
      <c r="B16370" s="26"/>
      <c r="C16370" s="26"/>
      <c r="D16370" s="25" t="s">
        <v>51154</v>
      </c>
      <c r="E16370" s="25"/>
      <c r="F16370" s="25"/>
      <c r="G16370" s="25"/>
    </row>
    <row r="16371" spans="1:7" ht="39.84" thickBot="1" customHeight="1">
      <c r="A16371" s="10" t="s">
        <v>51155</v>
      </c>
      <c r="B16371" s="24" t="s">
        <v>51156</v>
      </c>
      <c r="C16371" s="24" t="s">
        <v>51157</v>
      </c>
      <c r="D16371" s="25" t="s">
        <v>51158</v>
      </c>
      <c r="E16371" s="26"/>
      <c r="F16371" s="27">
        <f ca="1">ROUND(39.590*(1+G2/100),2)</f>
        <v>0</v>
      </c>
      <c r="G16371" s="26"/>
    </row>
    <row r="16372" spans="1:7" ht="86.04" thickBot="1" customHeight="1">
      <c r="A16372" s="26"/>
      <c r="B16372" s="26"/>
      <c r="C16372" s="26"/>
      <c r="D16372" s="25" t="s">
        <v>51159</v>
      </c>
      <c r="E16372" s="25"/>
      <c r="F16372" s="25"/>
      <c r="G16372" s="25"/>
    </row>
    <row r="16373" spans="1:7" ht="39.84" thickBot="1" customHeight="1">
      <c r="A16373" s="10" t="s">
        <v>51160</v>
      </c>
      <c r="B16373" s="24" t="s">
        <v>51161</v>
      </c>
      <c r="C16373" s="24" t="s">
        <v>51162</v>
      </c>
      <c r="D16373" s="25" t="s">
        <v>51163</v>
      </c>
      <c r="E16373" s="26"/>
      <c r="F16373" s="27">
        <f ca="1">ROUND(199.050*(1+G2/100),2)</f>
        <v>0</v>
      </c>
      <c r="G16373" s="26"/>
    </row>
    <row r="16374" spans="1:7" ht="113.76" thickBot="1" customHeight="1">
      <c r="A16374" s="26"/>
      <c r="B16374" s="26"/>
      <c r="C16374" s="26"/>
      <c r="D16374" s="25" t="s">
        <v>51164</v>
      </c>
      <c r="E16374" s="25"/>
      <c r="F16374" s="25"/>
      <c r="G16374" s="25"/>
    </row>
    <row r="16375" spans="1:7" ht="30.60" thickBot="1" customHeight="1">
      <c r="A16375" s="10" t="s">
        <v>51165</v>
      </c>
      <c r="B16375" s="24" t="s">
        <v>51166</v>
      </c>
      <c r="C16375" s="24" t="s">
        <v>51167</v>
      </c>
      <c r="D16375" s="25" t="s">
        <v>51168</v>
      </c>
      <c r="E16375" s="26"/>
      <c r="F16375" s="27">
        <f ca="1">ROUND(187.500*(1+G2/100),2)</f>
        <v>0</v>
      </c>
      <c r="G16375" s="26"/>
    </row>
    <row r="16376" spans="1:7" ht="76.80" thickBot="1" customHeight="1">
      <c r="A16376" s="26"/>
      <c r="B16376" s="26"/>
      <c r="C16376" s="26"/>
      <c r="D16376" s="25" t="s">
        <v>51169</v>
      </c>
      <c r="E16376" s="25"/>
      <c r="F16376" s="25"/>
      <c r="G16376" s="25"/>
    </row>
    <row r="16377" spans="1:7" ht="49.08" thickBot="1" customHeight="1">
      <c r="A16377" s="10" t="s">
        <v>51170</v>
      </c>
      <c r="B16377" s="24" t="s">
        <v>51171</v>
      </c>
      <c r="C16377" s="24" t="s">
        <v>51172</v>
      </c>
      <c r="D16377" s="25" t="s">
        <v>51173</v>
      </c>
      <c r="E16377" s="26"/>
      <c r="F16377" s="27">
        <f ca="1">ROUND(115.660*(1+G2/100),2)</f>
        <v>0</v>
      </c>
      <c r="G16377" s="26"/>
    </row>
    <row r="16378" spans="1:7" ht="49.08" thickBot="1" customHeight="1">
      <c r="A16378" s="26"/>
      <c r="B16378" s="26"/>
      <c r="C16378" s="26"/>
      <c r="D16378" s="25" t="s">
        <v>51174</v>
      </c>
      <c r="E16378" s="25"/>
      <c r="F16378" s="25"/>
      <c r="G16378" s="25"/>
    </row>
    <row r="16379" spans="1:7" ht="30.60" thickBot="1" customHeight="1">
      <c r="A16379" s="10" t="s">
        <v>51175</v>
      </c>
      <c r="B16379" s="24" t="s">
        <v>51176</v>
      </c>
      <c r="C16379" s="24" t="s">
        <v>51177</v>
      </c>
      <c r="D16379" s="25" t="s">
        <v>51178</v>
      </c>
      <c r="E16379" s="26"/>
      <c r="F16379" s="27">
        <f ca="1">ROUND(36.360*(1+G2/100),2)</f>
        <v>0</v>
      </c>
      <c r="G16379" s="26"/>
    </row>
    <row r="16380" spans="1:7" ht="86.04" thickBot="1" customHeight="1">
      <c r="A16380" s="26"/>
      <c r="B16380" s="26"/>
      <c r="C16380" s="26"/>
      <c r="D16380" s="25" t="s">
        <v>51179</v>
      </c>
      <c r="E16380" s="25"/>
      <c r="F16380" s="25"/>
      <c r="G16380" s="25"/>
    </row>
    <row r="16381" spans="1:7" ht="39.84" thickBot="1" customHeight="1">
      <c r="A16381" s="10" t="s">
        <v>51180</v>
      </c>
      <c r="B16381" s="24" t="s">
        <v>51181</v>
      </c>
      <c r="C16381" s="24" t="s">
        <v>51182</v>
      </c>
      <c r="D16381" s="25" t="s">
        <v>51183</v>
      </c>
      <c r="E16381" s="26"/>
      <c r="F16381" s="27">
        <f ca="1">ROUND(146.240*(1+G2/100),2)</f>
        <v>0</v>
      </c>
      <c r="G16381" s="26"/>
    </row>
    <row r="16382" spans="1:7" ht="123.00" thickBot="1" customHeight="1">
      <c r="A16382" s="26"/>
      <c r="B16382" s="26"/>
      <c r="C16382" s="26"/>
      <c r="D16382" s="25" t="s">
        <v>51184</v>
      </c>
      <c r="E16382" s="25"/>
      <c r="F16382" s="25"/>
      <c r="G16382" s="25"/>
    </row>
    <row r="16383" spans="1:7" ht="39.84" thickBot="1" customHeight="1">
      <c r="A16383" s="10" t="s">
        <v>51185</v>
      </c>
      <c r="B16383" s="24" t="s">
        <v>51186</v>
      </c>
      <c r="C16383" s="24" t="s">
        <v>51187</v>
      </c>
      <c r="D16383" s="25" t="s">
        <v>51188</v>
      </c>
      <c r="E16383" s="26"/>
      <c r="F16383" s="27">
        <f ca="1">ROUND(49.680*(1+G2/100),2)</f>
        <v>0</v>
      </c>
      <c r="G16383" s="26"/>
    </row>
    <row r="16384" spans="1:7" ht="49.08" thickBot="1" customHeight="1">
      <c r="A16384" s="26"/>
      <c r="B16384" s="26"/>
      <c r="C16384" s="26"/>
      <c r="D16384" s="25" t="s">
        <v>51189</v>
      </c>
      <c r="E16384" s="25"/>
      <c r="F16384" s="25"/>
      <c r="G16384" s="25"/>
    </row>
    <row r="16385" spans="1:7" ht="39.84" thickBot="1" customHeight="1">
      <c r="A16385" s="10" t="s">
        <v>51190</v>
      </c>
      <c r="B16385" s="24" t="s">
        <v>51191</v>
      </c>
      <c r="C16385" s="24" t="s">
        <v>51192</v>
      </c>
      <c r="D16385" s="25" t="s">
        <v>51193</v>
      </c>
      <c r="E16385" s="26"/>
      <c r="F16385" s="27">
        <f ca="1">ROUND(123.140*(1+G2/100),2)</f>
        <v>0</v>
      </c>
      <c r="G16385" s="26"/>
    </row>
    <row r="16386" spans="1:7" ht="141.48" thickBot="1" customHeight="1">
      <c r="A16386" s="26"/>
      <c r="B16386" s="26"/>
      <c r="C16386" s="26"/>
      <c r="D16386" s="25" t="s">
        <v>51194</v>
      </c>
      <c r="E16386" s="25"/>
      <c r="F16386" s="25"/>
      <c r="G16386" s="25"/>
    </row>
    <row r="16387" spans="1:7" ht="39.84" thickBot="1" customHeight="1">
      <c r="A16387" s="10" t="s">
        <v>51195</v>
      </c>
      <c r="B16387" s="24" t="s">
        <v>51196</v>
      </c>
      <c r="C16387" s="24" t="s">
        <v>51197</v>
      </c>
      <c r="D16387" s="25" t="s">
        <v>51198</v>
      </c>
      <c r="E16387" s="26"/>
      <c r="F16387" s="27">
        <f ca="1">ROUND(23.250*(1+G2/100),2)</f>
        <v>0</v>
      </c>
      <c r="G16387" s="26"/>
    </row>
    <row r="16388" spans="1:7" ht="67.56" thickBot="1" customHeight="1">
      <c r="A16388" s="26"/>
      <c r="B16388" s="26"/>
      <c r="C16388" s="26"/>
      <c r="D16388" s="25" t="s">
        <v>51199</v>
      </c>
      <c r="E16388" s="25"/>
      <c r="F16388" s="25"/>
      <c r="G16388" s="25"/>
    </row>
    <row r="16389" spans="1:7" ht="39.84" thickBot="1" customHeight="1">
      <c r="A16389" s="10" t="s">
        <v>51200</v>
      </c>
      <c r="B16389" s="24" t="s">
        <v>51201</v>
      </c>
      <c r="C16389" s="24" t="s">
        <v>51202</v>
      </c>
      <c r="D16389" s="25" t="s">
        <v>51203</v>
      </c>
      <c r="E16389" s="26"/>
      <c r="F16389" s="27">
        <f ca="1">ROUND(46.500*(1+G2/100),2)</f>
        <v>0</v>
      </c>
      <c r="G16389" s="26"/>
    </row>
    <row r="16390" spans="1:7" ht="67.56" thickBot="1" customHeight="1">
      <c r="A16390" s="26"/>
      <c r="B16390" s="26"/>
      <c r="C16390" s="26"/>
      <c r="D16390" s="25" t="s">
        <v>51204</v>
      </c>
      <c r="E16390" s="25"/>
      <c r="F16390" s="25"/>
      <c r="G16390" s="25"/>
    </row>
    <row r="16391" spans="1:7" ht="39.84" thickBot="1" customHeight="1">
      <c r="A16391" s="10" t="s">
        <v>51205</v>
      </c>
      <c r="B16391" s="24" t="s">
        <v>51206</v>
      </c>
      <c r="C16391" s="24" t="s">
        <v>51207</v>
      </c>
      <c r="D16391" s="25" t="s">
        <v>51208</v>
      </c>
      <c r="E16391" s="26"/>
      <c r="F16391" s="27">
        <f ca="1">ROUND(69.750*(1+G2/100),2)</f>
        <v>0</v>
      </c>
      <c r="G16391" s="26"/>
    </row>
    <row r="16392" spans="1:7" ht="67.56" thickBot="1" customHeight="1">
      <c r="A16392" s="26"/>
      <c r="B16392" s="26"/>
      <c r="C16392" s="26"/>
      <c r="D16392" s="25" t="s">
        <v>51209</v>
      </c>
      <c r="E16392" s="25"/>
      <c r="F16392" s="25"/>
      <c r="G16392" s="25"/>
    </row>
    <row r="16393" spans="1:7" ht="49.08" thickBot="1" customHeight="1">
      <c r="A16393" s="10" t="s">
        <v>51210</v>
      </c>
      <c r="B16393" s="24" t="s">
        <v>51211</v>
      </c>
      <c r="C16393" s="24" t="s">
        <v>51212</v>
      </c>
      <c r="D16393" s="25" t="s">
        <v>51213</v>
      </c>
      <c r="E16393" s="26"/>
      <c r="F16393" s="27">
        <f ca="1">ROUND(9.200*(1+G2/100),2)</f>
        <v>0</v>
      </c>
      <c r="G16393" s="26"/>
    </row>
    <row r="16394" spans="1:7" ht="49.08" thickBot="1" customHeight="1">
      <c r="A16394" s="26"/>
      <c r="B16394" s="26"/>
      <c r="C16394" s="26"/>
      <c r="D16394" s="25" t="s">
        <v>51214</v>
      </c>
      <c r="E16394" s="25"/>
      <c r="F16394" s="25"/>
      <c r="G16394" s="25"/>
    </row>
    <row r="16395" spans="1:7" ht="49.08" thickBot="1" customHeight="1">
      <c r="A16395" s="10" t="s">
        <v>51215</v>
      </c>
      <c r="B16395" s="24" t="s">
        <v>51216</v>
      </c>
      <c r="C16395" s="24" t="s">
        <v>51217</v>
      </c>
      <c r="D16395" s="25" t="s">
        <v>51218</v>
      </c>
      <c r="E16395" s="26"/>
      <c r="F16395" s="27">
        <f ca="1">ROUND(37.920*(1+G2/100),2)</f>
        <v>0</v>
      </c>
      <c r="G16395" s="26"/>
    </row>
    <row r="16396" spans="1:7" ht="49.08" thickBot="1" customHeight="1">
      <c r="A16396" s="26"/>
      <c r="B16396" s="26"/>
      <c r="C16396" s="26"/>
      <c r="D16396" s="25" t="s">
        <v>51219</v>
      </c>
      <c r="E16396" s="25"/>
      <c r="F16396" s="25"/>
      <c r="G16396" s="25"/>
    </row>
    <row r="16397" spans="1:7" ht="30.60" thickBot="1" customHeight="1">
      <c r="A16397" s="10" t="s">
        <v>51220</v>
      </c>
      <c r="B16397" s="24" t="s">
        <v>51221</v>
      </c>
      <c r="C16397" s="24" t="s">
        <v>51222</v>
      </c>
      <c r="D16397" s="25" t="s">
        <v>51223</v>
      </c>
      <c r="E16397" s="26"/>
      <c r="F16397" s="27">
        <f ca="1">ROUND(223.500*(1+G2/100),2)</f>
        <v>0</v>
      </c>
      <c r="G16397" s="26"/>
    </row>
    <row r="16398" spans="1:7" ht="132.24" thickBot="1" customHeight="1">
      <c r="A16398" s="26"/>
      <c r="B16398" s="26"/>
      <c r="C16398" s="26"/>
      <c r="D16398" s="25" t="s">
        <v>51224</v>
      </c>
      <c r="E16398" s="25"/>
      <c r="F16398" s="25"/>
      <c r="G16398" s="25"/>
    </row>
    <row r="16399" spans="1:7" ht="30.60" thickBot="1" customHeight="1">
      <c r="A16399" s="10" t="s">
        <v>51225</v>
      </c>
      <c r="B16399" s="24" t="s">
        <v>51226</v>
      </c>
      <c r="C16399" s="24" t="s">
        <v>51227</v>
      </c>
      <c r="D16399" s="25" t="s">
        <v>51228</v>
      </c>
      <c r="E16399" s="26"/>
      <c r="F16399" s="27">
        <f ca="1">ROUND(85.750*(1+G2/100),2)</f>
        <v>0</v>
      </c>
      <c r="G16399" s="26"/>
    </row>
    <row r="16400" spans="1:7" ht="113.76" thickBot="1" customHeight="1">
      <c r="A16400" s="26"/>
      <c r="B16400" s="26"/>
      <c r="C16400" s="26"/>
      <c r="D16400" s="25" t="s">
        <v>51229</v>
      </c>
      <c r="E16400" s="25"/>
      <c r="F16400" s="25"/>
      <c r="G16400" s="25"/>
    </row>
    <row r="16401" spans="1:7" ht="49.08" thickBot="1" customHeight="1">
      <c r="A16401" s="10" t="s">
        <v>51230</v>
      </c>
      <c r="B16401" s="24" t="s">
        <v>51231</v>
      </c>
      <c r="C16401" s="24" t="s">
        <v>51232</v>
      </c>
      <c r="D16401" s="25" t="s">
        <v>51233</v>
      </c>
      <c r="E16401" s="26"/>
      <c r="F16401" s="27">
        <f ca="1">ROUND(28.400*(1+G2/100),2)</f>
        <v>0</v>
      </c>
      <c r="G16401" s="26"/>
    </row>
    <row r="16402" spans="1:7" ht="39.84" thickBot="1" customHeight="1">
      <c r="A16402" s="26"/>
      <c r="B16402" s="26"/>
      <c r="C16402" s="26"/>
      <c r="D16402" s="25" t="s">
        <v>51234</v>
      </c>
      <c r="E16402" s="25"/>
      <c r="F16402" s="25"/>
      <c r="G16402" s="25"/>
    </row>
    <row r="16403" spans="1:7" ht="39.84" thickBot="1" customHeight="1">
      <c r="A16403" s="10" t="s">
        <v>51235</v>
      </c>
      <c r="B16403" s="24" t="s">
        <v>51236</v>
      </c>
      <c r="C16403" s="24" t="s">
        <v>51237</v>
      </c>
      <c r="D16403" s="25" t="s">
        <v>51238</v>
      </c>
      <c r="E16403" s="26"/>
      <c r="F16403" s="27">
        <f ca="1">ROUND(44.840*(1+G2/100),2)</f>
        <v>0</v>
      </c>
      <c r="G16403" s="26"/>
    </row>
    <row r="16404" spans="1:7" ht="67.56" thickBot="1" customHeight="1">
      <c r="A16404" s="26"/>
      <c r="B16404" s="26"/>
      <c r="C16404" s="26"/>
      <c r="D16404" s="25" t="s">
        <v>51239</v>
      </c>
      <c r="E16404" s="25"/>
      <c r="F16404" s="25"/>
      <c r="G16404" s="25"/>
    </row>
    <row r="16405" spans="1:7" ht="58.32" thickBot="1" customHeight="1">
      <c r="A16405" s="10" t="s">
        <v>51240</v>
      </c>
      <c r="B16405" s="24" t="s">
        <v>51241</v>
      </c>
      <c r="C16405" s="24" t="s">
        <v>51242</v>
      </c>
      <c r="D16405" s="25" t="s">
        <v>51243</v>
      </c>
      <c r="E16405" s="26"/>
      <c r="F16405" s="27">
        <f ca="1">ROUND(39.900*(1+G2/100),2)</f>
        <v>0</v>
      </c>
      <c r="G16405" s="26"/>
    </row>
    <row r="16406" spans="1:7" ht="76.80" thickBot="1" customHeight="1">
      <c r="A16406" s="26"/>
      <c r="B16406" s="26"/>
      <c r="C16406" s="26"/>
      <c r="D16406" s="25" t="s">
        <v>51244</v>
      </c>
      <c r="E16406" s="25"/>
      <c r="F16406" s="25"/>
      <c r="G16406" s="25"/>
    </row>
    <row r="16407" spans="1:7" ht="39.84" thickBot="1" customHeight="1">
      <c r="A16407" s="10" t="s">
        <v>51245</v>
      </c>
      <c r="B16407" s="24" t="s">
        <v>51246</v>
      </c>
      <c r="C16407" s="24" t="s">
        <v>51247</v>
      </c>
      <c r="D16407" s="25" t="s">
        <v>51248</v>
      </c>
      <c r="E16407" s="26"/>
      <c r="F16407" s="27">
        <f ca="1">ROUND(34.880*(1+G2/100),2)</f>
        <v>0</v>
      </c>
      <c r="G16407" s="26"/>
    </row>
    <row r="16408" spans="1:7" ht="76.80" thickBot="1" customHeight="1">
      <c r="A16408" s="26"/>
      <c r="B16408" s="26"/>
      <c r="C16408" s="26"/>
      <c r="D16408" s="25" t="s">
        <v>51249</v>
      </c>
      <c r="E16408" s="25"/>
      <c r="F16408" s="25"/>
      <c r="G16408" s="25"/>
    </row>
    <row r="16409" spans="1:7" ht="39.84" thickBot="1" customHeight="1">
      <c r="A16409" s="10" t="s">
        <v>51250</v>
      </c>
      <c r="B16409" s="24" t="s">
        <v>51251</v>
      </c>
      <c r="C16409" s="24" t="s">
        <v>51252</v>
      </c>
      <c r="D16409" s="25" t="s">
        <v>51253</v>
      </c>
      <c r="E16409" s="26"/>
      <c r="F16409" s="27">
        <f ca="1">ROUND(58.130*(1+G2/100),2)</f>
        <v>0</v>
      </c>
      <c r="G16409" s="26"/>
    </row>
    <row r="16410" spans="1:7" ht="76.80" thickBot="1" customHeight="1">
      <c r="A16410" s="26"/>
      <c r="B16410" s="26"/>
      <c r="C16410" s="26"/>
      <c r="D16410" s="25" t="s">
        <v>51254</v>
      </c>
      <c r="E16410" s="25"/>
      <c r="F16410" s="25"/>
      <c r="G16410" s="25"/>
    </row>
    <row r="16411" spans="1:7" ht="39.84" thickBot="1" customHeight="1">
      <c r="A16411" s="10" t="s">
        <v>51255</v>
      </c>
      <c r="B16411" s="24" t="s">
        <v>51256</v>
      </c>
      <c r="C16411" s="24" t="s">
        <v>51257</v>
      </c>
      <c r="D16411" s="25" t="s">
        <v>51258</v>
      </c>
      <c r="E16411" s="26"/>
      <c r="F16411" s="27">
        <f ca="1">ROUND(28.950*(1+G2/100),2)</f>
        <v>0</v>
      </c>
      <c r="G16411" s="26"/>
    </row>
    <row r="16412" spans="1:7" ht="76.80" thickBot="1" customHeight="1">
      <c r="A16412" s="26"/>
      <c r="B16412" s="26"/>
      <c r="C16412" s="26"/>
      <c r="D16412" s="25" t="s">
        <v>51259</v>
      </c>
      <c r="E16412" s="25"/>
      <c r="F16412" s="25"/>
      <c r="G16412" s="25"/>
    </row>
    <row r="16413" spans="1:7" ht="30.60" thickBot="1" customHeight="1">
      <c r="A16413" s="10" t="s">
        <v>51260</v>
      </c>
      <c r="B16413" s="24" t="s">
        <v>51261</v>
      </c>
      <c r="C16413" s="24" t="s">
        <v>51262</v>
      </c>
      <c r="D16413" s="25" t="s">
        <v>51263</v>
      </c>
      <c r="E16413" s="26"/>
      <c r="F16413" s="27">
        <f ca="1">ROUND(44.280*(1+G2/100),2)</f>
        <v>0</v>
      </c>
      <c r="G16413" s="26"/>
    </row>
    <row r="16414" spans="1:7" ht="58.32" thickBot="1" customHeight="1">
      <c r="A16414" s="26"/>
      <c r="B16414" s="26"/>
      <c r="C16414" s="26"/>
      <c r="D16414" s="25" t="s">
        <v>51264</v>
      </c>
      <c r="E16414" s="25"/>
      <c r="F16414" s="25"/>
      <c r="G16414" s="25"/>
    </row>
    <row r="16415" spans="1:7" ht="30.60" thickBot="1" customHeight="1">
      <c r="A16415" s="10" t="s">
        <v>51265</v>
      </c>
      <c r="B16415" s="24" t="s">
        <v>51266</v>
      </c>
      <c r="C16415" s="24" t="s">
        <v>51267</v>
      </c>
      <c r="D16415" s="25" t="s">
        <v>51268</v>
      </c>
      <c r="E16415" s="26"/>
      <c r="F16415" s="27">
        <f ca="1">ROUND(151.080*(1+G2/100),2)</f>
        <v>0</v>
      </c>
      <c r="G16415" s="26"/>
    </row>
    <row r="16416" spans="1:7" ht="58.32" thickBot="1" customHeight="1">
      <c r="A16416" s="26"/>
      <c r="B16416" s="26"/>
      <c r="C16416" s="26"/>
      <c r="D16416" s="25" t="s">
        <v>51269</v>
      </c>
      <c r="E16416" s="25"/>
      <c r="F16416" s="25"/>
      <c r="G16416" s="25"/>
    </row>
    <row r="16417" spans="1:7" ht="49.08" thickBot="1" customHeight="1">
      <c r="A16417" s="10" t="s">
        <v>51270</v>
      </c>
      <c r="B16417" s="24" t="s">
        <v>51271</v>
      </c>
      <c r="C16417" s="24" t="s">
        <v>51272</v>
      </c>
      <c r="D16417" s="25" t="s">
        <v>51273</v>
      </c>
      <c r="E16417" s="26"/>
      <c r="F16417" s="27">
        <f ca="1">ROUND(42.950*(1+G2/100),2)</f>
        <v>0</v>
      </c>
      <c r="G16417" s="26"/>
    </row>
    <row r="16418" spans="1:7" ht="67.56" thickBot="1" customHeight="1">
      <c r="A16418" s="26"/>
      <c r="B16418" s="26"/>
      <c r="C16418" s="26"/>
      <c r="D16418" s="25" t="s">
        <v>51274</v>
      </c>
      <c r="E16418" s="25"/>
      <c r="F16418" s="25"/>
      <c r="G16418" s="25"/>
    </row>
    <row r="16419" spans="1:7" ht="39.84" thickBot="1" customHeight="1">
      <c r="A16419" s="10" t="s">
        <v>51275</v>
      </c>
      <c r="B16419" s="24" t="s">
        <v>51276</v>
      </c>
      <c r="C16419" s="24" t="s">
        <v>51277</v>
      </c>
      <c r="D16419" s="25" t="s">
        <v>51278</v>
      </c>
      <c r="E16419" s="26"/>
      <c r="F16419" s="27">
        <f ca="1">ROUND(17.950*(1+G2/100),2)</f>
        <v>0</v>
      </c>
      <c r="G16419" s="26"/>
    </row>
    <row r="16420" spans="1:7" ht="39.84" thickBot="1" customHeight="1">
      <c r="A16420" s="26"/>
      <c r="B16420" s="26"/>
      <c r="C16420" s="26"/>
      <c r="D16420" s="25" t="s">
        <v>51279</v>
      </c>
      <c r="E16420" s="25"/>
      <c r="F16420" s="25"/>
      <c r="G16420" s="25"/>
    </row>
    <row r="16421" spans="1:7" ht="49.08" thickBot="1" customHeight="1">
      <c r="A16421" s="10" t="s">
        <v>51280</v>
      </c>
      <c r="B16421" s="24" t="s">
        <v>51281</v>
      </c>
      <c r="C16421" s="24" t="s">
        <v>51282</v>
      </c>
      <c r="D16421" s="25" t="s">
        <v>51283</v>
      </c>
      <c r="E16421" s="26"/>
      <c r="F16421" s="27">
        <f ca="1">ROUND(52.500*(1+G2/100),2)</f>
        <v>0</v>
      </c>
      <c r="G16421" s="26"/>
    </row>
    <row r="16422" spans="1:7" ht="206.16" thickBot="1" customHeight="1">
      <c r="A16422" s="26"/>
      <c r="B16422" s="26"/>
      <c r="C16422" s="26"/>
      <c r="D16422" s="25" t="s">
        <v>51284</v>
      </c>
      <c r="E16422" s="25"/>
      <c r="F16422" s="25"/>
      <c r="G16422" s="25"/>
    </row>
    <row r="16423" spans="1:7" ht="30.60" thickBot="1" customHeight="1">
      <c r="A16423" s="10" t="s">
        <v>51285</v>
      </c>
      <c r="B16423" s="24" t="s">
        <v>51286</v>
      </c>
      <c r="C16423" s="24" t="s">
        <v>51287</v>
      </c>
      <c r="D16423" s="25" t="s">
        <v>51288</v>
      </c>
      <c r="E16423" s="26"/>
      <c r="F16423" s="27">
        <f ca="1">ROUND(63.950*(1+G2/100),2)</f>
        <v>0</v>
      </c>
      <c r="G16423" s="26"/>
    </row>
    <row r="16424" spans="1:7" ht="243.12" thickBot="1" customHeight="1">
      <c r="A16424" s="26"/>
      <c r="B16424" s="26"/>
      <c r="C16424" s="26"/>
      <c r="D16424" s="25" t="s">
        <v>51289</v>
      </c>
      <c r="E16424" s="25"/>
      <c r="F16424" s="25"/>
      <c r="G16424" s="25"/>
    </row>
    <row r="16425" spans="1:7" ht="39.84" thickBot="1" customHeight="1">
      <c r="A16425" s="10" t="s">
        <v>51290</v>
      </c>
      <c r="B16425" s="24" t="s">
        <v>51291</v>
      </c>
      <c r="C16425" s="24" t="s">
        <v>51292</v>
      </c>
      <c r="D16425" s="25" t="s">
        <v>51293</v>
      </c>
      <c r="E16425" s="26"/>
      <c r="F16425" s="27">
        <f ca="1">ROUND(67.590*(1+G2/100),2)</f>
        <v>0</v>
      </c>
      <c r="G16425" s="26"/>
    </row>
    <row r="16426" spans="1:7" ht="76.80" thickBot="1" customHeight="1">
      <c r="A16426" s="26"/>
      <c r="B16426" s="26"/>
      <c r="C16426" s="26"/>
      <c r="D16426" s="25" t="s">
        <v>51294</v>
      </c>
      <c r="E16426" s="25"/>
      <c r="F16426" s="25"/>
      <c r="G16426" s="25"/>
    </row>
    <row r="16427" spans="1:7" ht="39.84" thickBot="1" customHeight="1">
      <c r="A16427" s="10" t="s">
        <v>51295</v>
      </c>
      <c r="B16427" s="24" t="s">
        <v>51296</v>
      </c>
      <c r="C16427" s="24" t="s">
        <v>51297</v>
      </c>
      <c r="D16427" s="25" t="s">
        <v>51298</v>
      </c>
      <c r="E16427" s="26"/>
      <c r="F16427" s="27">
        <f ca="1">ROUND(176.320*(1+G2/100),2)</f>
        <v>0</v>
      </c>
      <c r="G16427" s="26"/>
    </row>
    <row r="16428" spans="1:7" ht="261.60" thickBot="1" customHeight="1">
      <c r="A16428" s="26"/>
      <c r="B16428" s="26"/>
      <c r="C16428" s="26"/>
      <c r="D16428" s="25" t="s">
        <v>51299</v>
      </c>
      <c r="E16428" s="25"/>
      <c r="F16428" s="25"/>
      <c r="G16428" s="25"/>
    </row>
    <row r="16429" spans="1:7" ht="30.60" thickBot="1" customHeight="1">
      <c r="A16429" s="10" t="s">
        <v>51300</v>
      </c>
      <c r="B16429" s="24" t="s">
        <v>51301</v>
      </c>
      <c r="C16429" s="24" t="s">
        <v>51302</v>
      </c>
      <c r="D16429" s="25" t="s">
        <v>51303</v>
      </c>
      <c r="E16429" s="26"/>
      <c r="F16429" s="27">
        <f ca="1">ROUND(102.250*(1+G2/100),2)</f>
        <v>0</v>
      </c>
      <c r="G16429" s="26"/>
    </row>
    <row r="16430" spans="1:7" ht="141.48" thickBot="1" customHeight="1">
      <c r="A16430" s="26"/>
      <c r="B16430" s="26"/>
      <c r="C16430" s="26"/>
      <c r="D16430" s="25" t="s">
        <v>51304</v>
      </c>
      <c r="E16430" s="25"/>
      <c r="F16430" s="25"/>
      <c r="G16430" s="25"/>
    </row>
    <row r="16431" spans="1:7" ht="39.84" thickBot="1" customHeight="1">
      <c r="A16431" s="10" t="s">
        <v>51305</v>
      </c>
      <c r="B16431" s="24" t="s">
        <v>51306</v>
      </c>
      <c r="C16431" s="24" t="s">
        <v>51307</v>
      </c>
      <c r="D16431" s="25" t="s">
        <v>51308</v>
      </c>
      <c r="E16431" s="26"/>
      <c r="F16431" s="27">
        <f ca="1">ROUND(46.880*(1+G2/100),2)</f>
        <v>0</v>
      </c>
      <c r="G16431" s="26"/>
    </row>
    <row r="16432" spans="1:7" ht="49.08" thickBot="1" customHeight="1">
      <c r="A16432" s="26"/>
      <c r="B16432" s="26"/>
      <c r="C16432" s="26"/>
      <c r="D16432" s="25" t="s">
        <v>51309</v>
      </c>
      <c r="E16432" s="25"/>
      <c r="F16432" s="25"/>
      <c r="G16432" s="25"/>
    </row>
    <row r="16433" spans="1:7" ht="49.08" thickBot="1" customHeight="1">
      <c r="A16433" s="10" t="s">
        <v>51310</v>
      </c>
      <c r="B16433" s="24" t="s">
        <v>51311</v>
      </c>
      <c r="C16433" s="24" t="s">
        <v>51312</v>
      </c>
      <c r="D16433" s="25" t="s">
        <v>51313</v>
      </c>
      <c r="E16433" s="26"/>
      <c r="F16433" s="27">
        <f ca="1">ROUND(75.080*(1+G2/100),2)</f>
        <v>0</v>
      </c>
      <c r="G16433" s="26"/>
    </row>
    <row r="16434" spans="1:7" ht="113.76" thickBot="1" customHeight="1">
      <c r="A16434" s="26"/>
      <c r="B16434" s="26"/>
      <c r="C16434" s="26"/>
      <c r="D16434" s="25" t="s">
        <v>51314</v>
      </c>
      <c r="E16434" s="25"/>
      <c r="F16434" s="25"/>
      <c r="G16434" s="25"/>
    </row>
    <row r="16435" spans="1:7" ht="49.08" thickBot="1" customHeight="1">
      <c r="A16435" s="10" t="s">
        <v>51315</v>
      </c>
      <c r="B16435" s="24" t="s">
        <v>51316</v>
      </c>
      <c r="C16435" s="24" t="s">
        <v>51317</v>
      </c>
      <c r="D16435" s="25" t="s">
        <v>51318</v>
      </c>
      <c r="E16435" s="26"/>
      <c r="F16435" s="27">
        <f ca="1">ROUND(330.540*(1+G2/100),2)</f>
        <v>0</v>
      </c>
      <c r="G16435" s="26"/>
    </row>
    <row r="16436" spans="1:7" ht="86.04" thickBot="1" customHeight="1">
      <c r="A16436" s="26"/>
      <c r="B16436" s="26"/>
      <c r="C16436" s="26"/>
      <c r="D16436" s="25" t="s">
        <v>51319</v>
      </c>
      <c r="E16436" s="25"/>
      <c r="F16436" s="25"/>
      <c r="G16436" s="25"/>
    </row>
    <row r="16437" spans="1:7" ht="30.60" thickBot="1" customHeight="1">
      <c r="A16437" s="10" t="s">
        <v>51320</v>
      </c>
      <c r="B16437" s="24" t="s">
        <v>51321</v>
      </c>
      <c r="C16437" s="24" t="s">
        <v>51322</v>
      </c>
      <c r="D16437" s="25" t="s">
        <v>51323</v>
      </c>
      <c r="E16437" s="26"/>
      <c r="F16437" s="27">
        <f ca="1">ROUND(167.870*(1+G2/100),2)</f>
        <v>0</v>
      </c>
      <c r="G16437" s="26"/>
    </row>
    <row r="16438" spans="1:7" ht="67.56" thickBot="1" customHeight="1">
      <c r="A16438" s="26"/>
      <c r="B16438" s="26"/>
      <c r="C16438" s="26"/>
      <c r="D16438" s="25" t="s">
        <v>51324</v>
      </c>
      <c r="E16438" s="25"/>
      <c r="F16438" s="25"/>
      <c r="G16438" s="25"/>
    </row>
    <row r="16439" spans="1:7" ht="25.08" thickBot="1" customHeight="1">
      <c r="A16439" s="30"/>
      <c r="B16439" s="30"/>
      <c r="C16439" s="30"/>
      <c r="D16439" s="79" t="s">
        <v>51325</v>
      </c>
      <c r="E16439" s="80"/>
      <c r="F16439" s="80"/>
      <c r="G16439" s="80"/>
    </row>
    <row r="16440" spans="1:7" ht="15.48" thickBot="1" customHeight="1">
      <c r="A16440" s="52" t="s">
        <v>51326</v>
      </c>
      <c r="B16440" s="52" t="s">
        <v>51327</v>
      </c>
      <c r="C16440" s="53"/>
      <c r="D16440" s="54" t="s">
        <v>51328</v>
      </c>
      <c r="E16440" s="53"/>
      <c r="F16440" s="53"/>
      <c r="G16440" s="53"/>
    </row>
    <row r="16441" spans="1:7" ht="39.84" thickBot="1" customHeight="1">
      <c r="A16441" s="10" t="s">
        <v>51329</v>
      </c>
      <c r="B16441" s="24" t="s">
        <v>51330</v>
      </c>
      <c r="C16441" s="24" t="s">
        <v>51331</v>
      </c>
      <c r="D16441" s="25" t="s">
        <v>51332</v>
      </c>
      <c r="E16441" s="26"/>
      <c r="F16441" s="27">
        <f ca="1">ROUND(80.000*(1+G2/100),2)</f>
        <v>0</v>
      </c>
      <c r="G16441" s="26"/>
    </row>
    <row r="16442" spans="1:7" ht="49.08" thickBot="1" customHeight="1">
      <c r="A16442" s="26"/>
      <c r="B16442" s="26"/>
      <c r="C16442" s="26"/>
      <c r="D16442" s="25" t="s">
        <v>51333</v>
      </c>
      <c r="E16442" s="25"/>
      <c r="F16442" s="25"/>
      <c r="G16442" s="25"/>
    </row>
    <row r="16443" spans="1:7" ht="24.36" thickBot="1" customHeight="1">
      <c r="A16443" s="10" t="s">
        <v>51334</v>
      </c>
      <c r="B16443" s="24" t="s">
        <v>51335</v>
      </c>
      <c r="C16443" s="24" t="s">
        <v>51336</v>
      </c>
      <c r="D16443" s="25" t="s">
        <v>51337</v>
      </c>
      <c r="E16443" s="26"/>
      <c r="F16443" s="27">
        <f ca="1">ROUND(35.300*(1+G2/100),2)</f>
        <v>0</v>
      </c>
      <c r="G16443" s="26"/>
    </row>
    <row r="16444" spans="1:7" ht="30.60" thickBot="1" customHeight="1">
      <c r="A16444" s="26"/>
      <c r="B16444" s="26"/>
      <c r="C16444" s="26"/>
      <c r="D16444" s="25" t="s">
        <v>51338</v>
      </c>
      <c r="E16444" s="25"/>
      <c r="F16444" s="25"/>
      <c r="G16444" s="25"/>
    </row>
    <row r="16445" spans="1:7" ht="39.84" thickBot="1" customHeight="1">
      <c r="A16445" s="10" t="s">
        <v>51339</v>
      </c>
      <c r="B16445" s="24" t="s">
        <v>51340</v>
      </c>
      <c r="C16445" s="24" t="s">
        <v>51341</v>
      </c>
      <c r="D16445" s="25" t="s">
        <v>51342</v>
      </c>
      <c r="E16445" s="26"/>
      <c r="F16445" s="27">
        <f ca="1">ROUND(36.060*(1+G2/100),2)</f>
        <v>0</v>
      </c>
      <c r="G16445" s="26"/>
    </row>
    <row r="16446" spans="1:7" ht="113.76" thickBot="1" customHeight="1">
      <c r="A16446" s="26"/>
      <c r="B16446" s="26"/>
      <c r="C16446" s="26"/>
      <c r="D16446" s="25" t="s">
        <v>51343</v>
      </c>
      <c r="E16446" s="25"/>
      <c r="F16446" s="25"/>
      <c r="G16446" s="25"/>
    </row>
    <row r="16447" spans="1:7" ht="30.60" thickBot="1" customHeight="1">
      <c r="A16447" s="10" t="s">
        <v>51344</v>
      </c>
      <c r="B16447" s="24" t="s">
        <v>51345</v>
      </c>
      <c r="C16447" s="24" t="s">
        <v>51346</v>
      </c>
      <c r="D16447" s="25" t="s">
        <v>51347</v>
      </c>
      <c r="E16447" s="26"/>
      <c r="F16447" s="27">
        <f ca="1">ROUND(29.170*(1+G2/100),2)</f>
        <v>0</v>
      </c>
      <c r="G16447" s="26"/>
    </row>
    <row r="16448" spans="1:7" ht="132.24" thickBot="1" customHeight="1">
      <c r="A16448" s="26"/>
      <c r="B16448" s="26"/>
      <c r="C16448" s="26"/>
      <c r="D16448" s="25" t="s">
        <v>51348</v>
      </c>
      <c r="E16448" s="25"/>
      <c r="F16448" s="25"/>
      <c r="G16448" s="25"/>
    </row>
    <row r="16449" spans="1:7" ht="39.84" thickBot="1" customHeight="1">
      <c r="A16449" s="10" t="s">
        <v>51349</v>
      </c>
      <c r="B16449" s="24" t="s">
        <v>51350</v>
      </c>
      <c r="C16449" s="24" t="s">
        <v>51351</v>
      </c>
      <c r="D16449" s="25" t="s">
        <v>51352</v>
      </c>
      <c r="E16449" s="26"/>
      <c r="F16449" s="27">
        <f ca="1">ROUND(42.190*(1+G2/100),2)</f>
        <v>0</v>
      </c>
      <c r="G16449" s="26"/>
    </row>
    <row r="16450" spans="1:7" ht="104.52" thickBot="1" customHeight="1">
      <c r="A16450" s="26"/>
      <c r="B16450" s="26"/>
      <c r="C16450" s="26"/>
      <c r="D16450" s="25" t="s">
        <v>51353</v>
      </c>
      <c r="E16450" s="25"/>
      <c r="F16450" s="25"/>
      <c r="G16450" s="25"/>
    </row>
    <row r="16451" spans="1:7" ht="39.84" thickBot="1" customHeight="1">
      <c r="A16451" s="10" t="s">
        <v>51354</v>
      </c>
      <c r="B16451" s="24" t="s">
        <v>51355</v>
      </c>
      <c r="C16451" s="24" t="s">
        <v>51356</v>
      </c>
      <c r="D16451" s="25" t="s">
        <v>51357</v>
      </c>
      <c r="E16451" s="26"/>
      <c r="F16451" s="27">
        <f ca="1">ROUND(46.140*(1+G2/100),2)</f>
        <v>0</v>
      </c>
      <c r="G16451" s="26"/>
    </row>
    <row r="16452" spans="1:7" ht="67.56" thickBot="1" customHeight="1">
      <c r="A16452" s="26"/>
      <c r="B16452" s="26"/>
      <c r="C16452" s="26"/>
      <c r="D16452" s="25" t="s">
        <v>51358</v>
      </c>
      <c r="E16452" s="25"/>
      <c r="F16452" s="25"/>
      <c r="G16452" s="25"/>
    </row>
    <row r="16453" spans="1:7" ht="39.84" thickBot="1" customHeight="1">
      <c r="A16453" s="10" t="s">
        <v>51359</v>
      </c>
      <c r="B16453" s="24" t="s">
        <v>51360</v>
      </c>
      <c r="C16453" s="24" t="s">
        <v>51361</v>
      </c>
      <c r="D16453" s="25" t="s">
        <v>51362</v>
      </c>
      <c r="E16453" s="26"/>
      <c r="F16453" s="27">
        <f ca="1">ROUND(138.040*(1+G2/100),2)</f>
        <v>0</v>
      </c>
      <c r="G16453" s="26"/>
    </row>
    <row r="16454" spans="1:7" ht="159.96" thickBot="1" customHeight="1">
      <c r="A16454" s="26"/>
      <c r="B16454" s="26"/>
      <c r="C16454" s="26"/>
      <c r="D16454" s="25" t="s">
        <v>51363</v>
      </c>
      <c r="E16454" s="25"/>
      <c r="F16454" s="25"/>
      <c r="G16454" s="25"/>
    </row>
    <row r="16455" spans="1:7" ht="39.84" thickBot="1" customHeight="1">
      <c r="A16455" s="10" t="s">
        <v>51364</v>
      </c>
      <c r="B16455" s="24" t="s">
        <v>51365</v>
      </c>
      <c r="C16455" s="24" t="s">
        <v>51366</v>
      </c>
      <c r="D16455" s="25" t="s">
        <v>51367</v>
      </c>
      <c r="E16455" s="26"/>
      <c r="F16455" s="27">
        <f ca="1">ROUND(33.520*(1+G2/100),2)</f>
        <v>0</v>
      </c>
      <c r="G16455" s="26"/>
    </row>
    <row r="16456" spans="1:7" ht="159.96" thickBot="1" customHeight="1">
      <c r="A16456" s="26"/>
      <c r="B16456" s="26"/>
      <c r="C16456" s="26"/>
      <c r="D16456" s="25" t="s">
        <v>51368</v>
      </c>
      <c r="E16456" s="25"/>
      <c r="F16456" s="25"/>
      <c r="G16456" s="25"/>
    </row>
    <row r="16457" spans="1:7" ht="15.48" thickBot="1" customHeight="1">
      <c r="A16457" s="30"/>
      <c r="B16457" s="30"/>
      <c r="C16457" s="30"/>
      <c r="D16457" s="79" t="s">
        <v>51369</v>
      </c>
      <c r="E16457" s="80"/>
      <c r="F16457" s="80"/>
      <c r="G16457" s="80"/>
    </row>
    <row r="16458" spans="1:7" ht="15.48" thickBot="1" customHeight="1">
      <c r="A16458" s="34" t="s">
        <v>51370</v>
      </c>
      <c r="B16458" s="35" t="s">
        <v>51371</v>
      </c>
      <c r="C16458" s="35" t="s">
        <v>51372</v>
      </c>
      <c r="D16458" s="36" t="s">
        <v>51373</v>
      </c>
      <c r="E16458" s="37"/>
      <c r="F16458" s="38">
        <f ca="1">ROUND(0.000*(1+G2/100),2)</f>
        <v>0</v>
      </c>
      <c r="G16458" s="37"/>
    </row>
    <row r="16459" spans="1:7" ht="141.48" thickBot="1" customHeight="1">
      <c r="A16459" s="26"/>
      <c r="B16459" s="26"/>
      <c r="C16459" s="26"/>
      <c r="D16459" s="25" t="s">
        <v>51374</v>
      </c>
      <c r="E16459" s="25"/>
      <c r="F16459" s="25"/>
      <c r="G16459" s="25"/>
    </row>
    <row r="16460" spans="1:7" ht="25.08" thickBot="1" customHeight="1">
      <c r="A16460" s="18" t="s">
        <v>51375</v>
      </c>
      <c r="B16460" s="18" t="s">
        <v>51376</v>
      </c>
      <c r="C16460" s="19"/>
      <c r="D16460" s="20" t="s">
        <v>51377</v>
      </c>
      <c r="E16460" s="19"/>
      <c r="F16460" s="19"/>
      <c r="G16460" s="19"/>
    </row>
    <row r="16461" spans="1:7" ht="30.60" thickBot="1" customHeight="1">
      <c r="A16461" s="10" t="s">
        <v>51378</v>
      </c>
      <c r="B16461" s="24" t="s">
        <v>51379</v>
      </c>
      <c r="C16461" s="24" t="s">
        <v>51380</v>
      </c>
      <c r="D16461" s="25" t="s">
        <v>51381</v>
      </c>
      <c r="E16461" s="26"/>
      <c r="F16461" s="27">
        <f ca="1">ROUND(17.020*(1+G2/100),2)</f>
        <v>0</v>
      </c>
      <c r="G16461" s="26"/>
    </row>
    <row r="16462" spans="1:7" ht="12.12" thickBot="1" customHeight="1">
      <c r="A16462" s="26"/>
      <c r="B16462" s="26"/>
      <c r="C16462" s="26"/>
      <c r="D16462" s="25" t="s">
        <v>51382</v>
      </c>
      <c r="E16462" s="25"/>
      <c r="F16462" s="25"/>
      <c r="G16462" s="25"/>
    </row>
    <row r="16463" spans="1:7" ht="21.36" thickBot="1" customHeight="1">
      <c r="A16463" s="10" t="s">
        <v>51383</v>
      </c>
      <c r="B16463" s="24" t="s">
        <v>51384</v>
      </c>
      <c r="C16463" s="24" t="s">
        <v>51385</v>
      </c>
      <c r="D16463" s="25" t="s">
        <v>51386</v>
      </c>
      <c r="E16463" s="26"/>
      <c r="F16463" s="27">
        <f ca="1">ROUND(76.030*(1+G2/100),2)</f>
        <v>0</v>
      </c>
      <c r="G16463" s="26"/>
    </row>
    <row r="16464" spans="1:7" ht="21.36" thickBot="1" customHeight="1">
      <c r="A16464" s="26"/>
      <c r="B16464" s="26"/>
      <c r="C16464" s="26"/>
      <c r="D16464" s="25" t="s">
        <v>51387</v>
      </c>
      <c r="E16464" s="25"/>
      <c r="F16464" s="25"/>
      <c r="G16464" s="25"/>
    </row>
    <row r="16465" spans="1:7" ht="30.60" thickBot="1" customHeight="1">
      <c r="A16465" s="10" t="s">
        <v>51388</v>
      </c>
      <c r="B16465" s="24" t="s">
        <v>51389</v>
      </c>
      <c r="C16465" s="24" t="s">
        <v>51390</v>
      </c>
      <c r="D16465" s="25" t="s">
        <v>51391</v>
      </c>
      <c r="E16465" s="26"/>
      <c r="F16465" s="27">
        <f ca="1">ROUND(1.400*(1+G2/100),2)</f>
        <v>0</v>
      </c>
      <c r="G16465" s="26"/>
    </row>
    <row r="16466" spans="1:7" ht="21.36" thickBot="1" customHeight="1">
      <c r="A16466" s="26"/>
      <c r="B16466" s="26"/>
      <c r="C16466" s="26"/>
      <c r="D16466" s="25" t="s">
        <v>51392</v>
      </c>
      <c r="E16466" s="25"/>
      <c r="F16466" s="25"/>
      <c r="G16466" s="25"/>
    </row>
    <row r="16467" spans="1:7" ht="30.60" thickBot="1" customHeight="1">
      <c r="A16467" s="10" t="s">
        <v>51393</v>
      </c>
      <c r="B16467" s="24" t="s">
        <v>51394</v>
      </c>
      <c r="C16467" s="24" t="s">
        <v>51395</v>
      </c>
      <c r="D16467" s="25" t="s">
        <v>51396</v>
      </c>
      <c r="E16467" s="26"/>
      <c r="F16467" s="27">
        <f ca="1">ROUND(1.300*(1+G2/100),2)</f>
        <v>0</v>
      </c>
      <c r="G16467" s="26"/>
    </row>
    <row r="16468" spans="1:7" ht="21.36" thickBot="1" customHeight="1">
      <c r="A16468" s="26"/>
      <c r="B16468" s="26"/>
      <c r="C16468" s="26"/>
      <c r="D16468" s="25" t="s">
        <v>51397</v>
      </c>
      <c r="E16468" s="25"/>
      <c r="F16468" s="25"/>
      <c r="G16468" s="25"/>
    </row>
    <row r="16469" spans="1:7" ht="30.60" thickBot="1" customHeight="1">
      <c r="A16469" s="10" t="s">
        <v>51398</v>
      </c>
      <c r="B16469" s="24" t="s">
        <v>51399</v>
      </c>
      <c r="C16469" s="24" t="s">
        <v>51400</v>
      </c>
      <c r="D16469" s="25" t="s">
        <v>51401</v>
      </c>
      <c r="E16469" s="26"/>
      <c r="F16469" s="27">
        <f ca="1">ROUND(1.500*(1+G2/100),2)</f>
        <v>0</v>
      </c>
      <c r="G16469" s="26"/>
    </row>
    <row r="16470" spans="1:7" ht="12.12" thickBot="1" customHeight="1">
      <c r="A16470" s="26"/>
      <c r="B16470" s="26"/>
      <c r="C16470" s="26"/>
      <c r="D16470" s="25" t="s">
        <v>51402</v>
      </c>
      <c r="E16470" s="25"/>
      <c r="F16470" s="25"/>
      <c r="G16470" s="25"/>
    </row>
    <row r="16471" spans="1:7" ht="30.60" thickBot="1" customHeight="1">
      <c r="A16471" s="10" t="s">
        <v>51403</v>
      </c>
      <c r="B16471" s="24" t="s">
        <v>51404</v>
      </c>
      <c r="C16471" s="24" t="s">
        <v>51405</v>
      </c>
      <c r="D16471" s="25" t="s">
        <v>51406</v>
      </c>
      <c r="E16471" s="26"/>
      <c r="F16471" s="27">
        <f ca="1">ROUND(1.500*(1+G2/100),2)</f>
        <v>0</v>
      </c>
      <c r="G16471" s="26"/>
    </row>
    <row r="16472" spans="1:7" ht="12.12" thickBot="1" customHeight="1">
      <c r="A16472" s="26"/>
      <c r="B16472" s="26"/>
      <c r="C16472" s="26"/>
      <c r="D16472" s="25" t="s">
        <v>51407</v>
      </c>
      <c r="E16472" s="25"/>
      <c r="F16472" s="25"/>
      <c r="G16472" s="25"/>
    </row>
    <row r="16473" spans="1:7" ht="30.60" thickBot="1" customHeight="1">
      <c r="A16473" s="10" t="s">
        <v>51408</v>
      </c>
      <c r="B16473" s="24" t="s">
        <v>51409</v>
      </c>
      <c r="C16473" s="24" t="s">
        <v>51410</v>
      </c>
      <c r="D16473" s="25" t="s">
        <v>51411</v>
      </c>
      <c r="E16473" s="26"/>
      <c r="F16473" s="27">
        <f ca="1">ROUND(1.500*(1+G2/100),2)</f>
        <v>0</v>
      </c>
      <c r="G16473" s="26"/>
    </row>
    <row r="16474" spans="1:7" ht="12.12" thickBot="1" customHeight="1">
      <c r="A16474" s="26"/>
      <c r="B16474" s="26"/>
      <c r="C16474" s="26"/>
      <c r="D16474" s="25" t="s">
        <v>51412</v>
      </c>
      <c r="E16474" s="25"/>
      <c r="F16474" s="25"/>
      <c r="G16474" s="25"/>
    </row>
    <row r="16475" spans="1:7" ht="30.60" thickBot="1" customHeight="1">
      <c r="A16475" s="10" t="s">
        <v>51413</v>
      </c>
      <c r="B16475" s="24" t="s">
        <v>51414</v>
      </c>
      <c r="C16475" s="24" t="s">
        <v>51415</v>
      </c>
      <c r="D16475" s="25" t="s">
        <v>51416</v>
      </c>
      <c r="E16475" s="26"/>
      <c r="F16475" s="27">
        <f ca="1">ROUND(1.500*(1+G2/100),2)</f>
        <v>0</v>
      </c>
      <c r="G16475" s="26"/>
    </row>
    <row r="16476" spans="1:7" ht="12.12" thickBot="1" customHeight="1">
      <c r="A16476" s="26"/>
      <c r="B16476" s="26"/>
      <c r="C16476" s="26"/>
      <c r="D16476" s="25" t="s">
        <v>51417</v>
      </c>
      <c r="E16476" s="25"/>
      <c r="F16476" s="25"/>
      <c r="G16476" s="25"/>
    </row>
    <row r="16477" spans="1:7" ht="30.60" thickBot="1" customHeight="1">
      <c r="A16477" s="10" t="s">
        <v>51418</v>
      </c>
      <c r="B16477" s="24" t="s">
        <v>51419</v>
      </c>
      <c r="C16477" s="24" t="s">
        <v>51420</v>
      </c>
      <c r="D16477" s="25" t="s">
        <v>51421</v>
      </c>
      <c r="E16477" s="26"/>
      <c r="F16477" s="27">
        <f ca="1">ROUND(1.500*(1+G2/100),2)</f>
        <v>0</v>
      </c>
      <c r="G16477" s="26"/>
    </row>
    <row r="16478" spans="1:7" ht="12.12" thickBot="1" customHeight="1">
      <c r="A16478" s="26"/>
      <c r="B16478" s="26"/>
      <c r="C16478" s="26"/>
      <c r="D16478" s="25" t="s">
        <v>51422</v>
      </c>
      <c r="E16478" s="25"/>
      <c r="F16478" s="25"/>
      <c r="G16478" s="25"/>
    </row>
    <row r="16479" spans="1:7" ht="30.60" thickBot="1" customHeight="1">
      <c r="A16479" s="10" t="s">
        <v>51423</v>
      </c>
      <c r="B16479" s="24" t="s">
        <v>51424</v>
      </c>
      <c r="C16479" s="24" t="s">
        <v>51425</v>
      </c>
      <c r="D16479" s="25" t="s">
        <v>51426</v>
      </c>
      <c r="E16479" s="26"/>
      <c r="F16479" s="27">
        <f ca="1">ROUND(1.600*(1+G2/100),2)</f>
        <v>0</v>
      </c>
      <c r="G16479" s="26"/>
    </row>
    <row r="16480" spans="1:7" ht="12.12" thickBot="1" customHeight="1">
      <c r="A16480" s="26"/>
      <c r="B16480" s="26"/>
      <c r="C16480" s="26"/>
      <c r="D16480" s="25" t="s">
        <v>51427</v>
      </c>
      <c r="E16480" s="25"/>
      <c r="F16480" s="25"/>
      <c r="G16480" s="25"/>
    </row>
    <row r="16481" spans="1:7" ht="30.60" thickBot="1" customHeight="1">
      <c r="A16481" s="10" t="s">
        <v>51428</v>
      </c>
      <c r="B16481" s="24" t="s">
        <v>51429</v>
      </c>
      <c r="C16481" s="24" t="s">
        <v>51430</v>
      </c>
      <c r="D16481" s="25" t="s">
        <v>51431</v>
      </c>
      <c r="E16481" s="26"/>
      <c r="F16481" s="27">
        <f ca="1">ROUND(3.550*(1+G2/100),2)</f>
        <v>0</v>
      </c>
      <c r="G16481" s="26"/>
    </row>
    <row r="16482" spans="1:7" ht="21.36" thickBot="1" customHeight="1">
      <c r="A16482" s="26"/>
      <c r="B16482" s="26"/>
      <c r="C16482" s="26"/>
      <c r="D16482" s="25" t="s">
        <v>51432</v>
      </c>
      <c r="E16482" s="25"/>
      <c r="F16482" s="25"/>
      <c r="G16482" s="25"/>
    </row>
    <row r="16483" spans="1:7" ht="30.60" thickBot="1" customHeight="1">
      <c r="A16483" s="10" t="s">
        <v>51433</v>
      </c>
      <c r="B16483" s="24" t="s">
        <v>51434</v>
      </c>
      <c r="C16483" s="24" t="s">
        <v>51435</v>
      </c>
      <c r="D16483" s="25" t="s">
        <v>51436</v>
      </c>
      <c r="E16483" s="26"/>
      <c r="F16483" s="27">
        <f ca="1">ROUND(11.200*(1+G2/100),2)</f>
        <v>0</v>
      </c>
      <c r="G16483" s="26"/>
    </row>
    <row r="16484" spans="1:7" ht="21.36" thickBot="1" customHeight="1">
      <c r="A16484" s="26"/>
      <c r="B16484" s="26"/>
      <c r="C16484" s="26"/>
      <c r="D16484" s="25" t="s">
        <v>51437</v>
      </c>
      <c r="E16484" s="25"/>
      <c r="F16484" s="25"/>
      <c r="G16484" s="25"/>
    </row>
    <row r="16485" spans="1:7" ht="30.60" thickBot="1" customHeight="1">
      <c r="A16485" s="10" t="s">
        <v>51438</v>
      </c>
      <c r="B16485" s="24" t="s">
        <v>51439</v>
      </c>
      <c r="C16485" s="24" t="s">
        <v>51440</v>
      </c>
      <c r="D16485" s="25" t="s">
        <v>51441</v>
      </c>
      <c r="E16485" s="26"/>
      <c r="F16485" s="27">
        <f ca="1">ROUND(13.440*(1+G2/100),2)</f>
        <v>0</v>
      </c>
      <c r="G16485" s="26"/>
    </row>
    <row r="16486" spans="1:7" ht="21.36" thickBot="1" customHeight="1">
      <c r="A16486" s="26"/>
      <c r="B16486" s="26"/>
      <c r="C16486" s="26"/>
      <c r="D16486" s="25" t="s">
        <v>51442</v>
      </c>
      <c r="E16486" s="25"/>
      <c r="F16486" s="25"/>
      <c r="G16486" s="25"/>
    </row>
    <row r="16487" spans="1:7" ht="30.60" thickBot="1" customHeight="1">
      <c r="A16487" s="10" t="s">
        <v>51443</v>
      </c>
      <c r="B16487" s="24" t="s">
        <v>51444</v>
      </c>
      <c r="C16487" s="24" t="s">
        <v>51445</v>
      </c>
      <c r="D16487" s="25" t="s">
        <v>51446</v>
      </c>
      <c r="E16487" s="26"/>
      <c r="F16487" s="27">
        <f ca="1">ROUND(15.400*(1+G2/100),2)</f>
        <v>0</v>
      </c>
      <c r="G16487" s="26"/>
    </row>
    <row r="16488" spans="1:7" ht="21.36" thickBot="1" customHeight="1">
      <c r="A16488" s="26"/>
      <c r="B16488" s="26"/>
      <c r="C16488" s="26"/>
      <c r="D16488" s="25" t="s">
        <v>51447</v>
      </c>
      <c r="E16488" s="25"/>
      <c r="F16488" s="25"/>
      <c r="G16488" s="25"/>
    </row>
    <row r="16489" spans="1:7" ht="21.36" thickBot="1" customHeight="1">
      <c r="A16489" s="10" t="s">
        <v>51448</v>
      </c>
      <c r="B16489" s="24" t="s">
        <v>51449</v>
      </c>
      <c r="C16489" s="24" t="s">
        <v>51450</v>
      </c>
      <c r="D16489" s="25" t="s">
        <v>51451</v>
      </c>
      <c r="E16489" s="26"/>
      <c r="F16489" s="27">
        <f ca="1">ROUND(5.000*(1+G2/100),2)</f>
        <v>0</v>
      </c>
      <c r="G16489" s="26"/>
    </row>
    <row r="16490" spans="1:7" ht="12.12" thickBot="1" customHeight="1">
      <c r="A16490" s="26"/>
      <c r="B16490" s="26"/>
      <c r="C16490" s="26"/>
      <c r="D16490" s="25" t="s">
        <v>51452</v>
      </c>
      <c r="E16490" s="25"/>
      <c r="F16490" s="25"/>
      <c r="G16490" s="25"/>
    </row>
    <row r="16491" spans="1:7" ht="21.36" thickBot="1" customHeight="1">
      <c r="A16491" s="10" t="s">
        <v>51453</v>
      </c>
      <c r="B16491" s="24" t="s">
        <v>51454</v>
      </c>
      <c r="C16491" s="24" t="s">
        <v>51455</v>
      </c>
      <c r="D16491" s="25" t="s">
        <v>51456</v>
      </c>
      <c r="E16491" s="26"/>
      <c r="F16491" s="27">
        <f ca="1">ROUND(8.660*(1+G2/100),2)</f>
        <v>0</v>
      </c>
      <c r="G16491" s="26"/>
    </row>
    <row r="16492" spans="1:7" ht="12.12" thickBot="1" customHeight="1">
      <c r="A16492" s="26"/>
      <c r="B16492" s="26"/>
      <c r="C16492" s="26"/>
      <c r="D16492" s="25" t="s">
        <v>51457</v>
      </c>
      <c r="E16492" s="25"/>
      <c r="F16492" s="25"/>
      <c r="G16492" s="25"/>
    </row>
    <row r="16493" spans="1:7" ht="25.08" thickBot="1" customHeight="1">
      <c r="A16493" s="10" t="s">
        <v>51458</v>
      </c>
      <c r="B16493" s="24" t="s">
        <v>51459</v>
      </c>
      <c r="C16493" s="24" t="s">
        <v>51460</v>
      </c>
      <c r="D16493" s="25" t="s">
        <v>51461</v>
      </c>
      <c r="E16493" s="26"/>
      <c r="F16493" s="27">
        <f ca="1">ROUND(5.350*(1+G2/100),2)</f>
        <v>0</v>
      </c>
      <c r="G16493" s="26"/>
    </row>
    <row r="16494" spans="1:7" ht="12.12" thickBot="1" customHeight="1">
      <c r="A16494" s="26"/>
      <c r="B16494" s="26"/>
      <c r="C16494" s="26"/>
      <c r="D16494" s="25" t="s">
        <v>51462</v>
      </c>
      <c r="E16494" s="25"/>
      <c r="F16494" s="25"/>
      <c r="G16494" s="25"/>
    </row>
    <row r="16495" spans="1:7" ht="21.36" thickBot="1" customHeight="1">
      <c r="A16495" s="10" t="s">
        <v>51463</v>
      </c>
      <c r="B16495" s="24" t="s">
        <v>51464</v>
      </c>
      <c r="C16495" s="24" t="s">
        <v>51465</v>
      </c>
      <c r="D16495" s="25" t="s">
        <v>51466</v>
      </c>
      <c r="E16495" s="26"/>
      <c r="F16495" s="27">
        <f ca="1">ROUND(5.350*(1+G2/100),2)</f>
        <v>0</v>
      </c>
      <c r="G16495" s="26"/>
    </row>
    <row r="16496" spans="1:7" ht="12.12" thickBot="1" customHeight="1">
      <c r="A16496" s="26"/>
      <c r="B16496" s="26"/>
      <c r="C16496" s="26"/>
      <c r="D16496" s="25" t="s">
        <v>51467</v>
      </c>
      <c r="E16496" s="25"/>
      <c r="F16496" s="25"/>
      <c r="G16496" s="25"/>
    </row>
    <row r="16497" spans="1:7" ht="30.60" thickBot="1" customHeight="1">
      <c r="A16497" s="10" t="s">
        <v>51468</v>
      </c>
      <c r="B16497" s="24" t="s">
        <v>51469</v>
      </c>
      <c r="C16497" s="24" t="s">
        <v>51470</v>
      </c>
      <c r="D16497" s="25" t="s">
        <v>51471</v>
      </c>
      <c r="E16497" s="26"/>
      <c r="F16497" s="27">
        <f ca="1">ROUND(1.700*(1+G2/100),2)</f>
        <v>0</v>
      </c>
      <c r="G16497" s="26"/>
    </row>
    <row r="16498" spans="1:7" ht="12.12" thickBot="1" customHeight="1">
      <c r="A16498" s="26"/>
      <c r="B16498" s="26"/>
      <c r="C16498" s="26"/>
      <c r="D16498" s="25" t="s">
        <v>51472</v>
      </c>
      <c r="E16498" s="25"/>
      <c r="F16498" s="25"/>
      <c r="G16498" s="25"/>
    </row>
    <row r="16499" spans="1:7" ht="39.84" thickBot="1" customHeight="1">
      <c r="A16499" s="10" t="s">
        <v>51473</v>
      </c>
      <c r="B16499" s="24" t="s">
        <v>51474</v>
      </c>
      <c r="C16499" s="24" t="s">
        <v>51475</v>
      </c>
      <c r="D16499" s="25" t="s">
        <v>51476</v>
      </c>
      <c r="E16499" s="26"/>
      <c r="F16499" s="27">
        <f ca="1">ROUND(1.820*(1+G2/100),2)</f>
        <v>0</v>
      </c>
      <c r="G16499" s="26"/>
    </row>
    <row r="16500" spans="1:7" ht="21.36" thickBot="1" customHeight="1">
      <c r="A16500" s="26"/>
      <c r="B16500" s="26"/>
      <c r="C16500" s="26"/>
      <c r="D16500" s="25" t="s">
        <v>51477</v>
      </c>
      <c r="E16500" s="25"/>
      <c r="F16500" s="25"/>
      <c r="G16500" s="25"/>
    </row>
    <row r="16501" spans="1:7" ht="30.60" thickBot="1" customHeight="1">
      <c r="A16501" s="10" t="s">
        <v>51478</v>
      </c>
      <c r="B16501" s="24" t="s">
        <v>51479</v>
      </c>
      <c r="C16501" s="24" t="s">
        <v>51480</v>
      </c>
      <c r="D16501" s="25" t="s">
        <v>51481</v>
      </c>
      <c r="E16501" s="26"/>
      <c r="F16501" s="27">
        <f ca="1">ROUND(18.800*(1+G2/100),2)</f>
        <v>0</v>
      </c>
      <c r="G16501" s="26"/>
    </row>
    <row r="16502" spans="1:7" ht="21.36" thickBot="1" customHeight="1">
      <c r="A16502" s="26"/>
      <c r="B16502" s="26"/>
      <c r="C16502" s="26"/>
      <c r="D16502" s="25" t="s">
        <v>51482</v>
      </c>
      <c r="E16502" s="25"/>
      <c r="F16502" s="25"/>
      <c r="G16502" s="25"/>
    </row>
    <row r="16503" spans="1:7" ht="39.84" thickBot="1" customHeight="1">
      <c r="A16503" s="10" t="s">
        <v>51483</v>
      </c>
      <c r="B16503" s="24" t="s">
        <v>51484</v>
      </c>
      <c r="C16503" s="24" t="s">
        <v>51485</v>
      </c>
      <c r="D16503" s="25" t="s">
        <v>51486</v>
      </c>
      <c r="E16503" s="26"/>
      <c r="F16503" s="27">
        <f ca="1">ROUND(172.800*(1+G2/100),2)</f>
        <v>0</v>
      </c>
      <c r="G16503" s="26"/>
    </row>
    <row r="16504" spans="1:7" ht="21.36" thickBot="1" customHeight="1">
      <c r="A16504" s="26"/>
      <c r="B16504" s="26"/>
      <c r="C16504" s="26"/>
      <c r="D16504" s="25" t="s">
        <v>51487</v>
      </c>
      <c r="E16504" s="25"/>
      <c r="F16504" s="25"/>
      <c r="G16504" s="25"/>
    </row>
    <row r="16505" spans="1:7" ht="30.60" thickBot="1" customHeight="1">
      <c r="A16505" s="10" t="s">
        <v>51488</v>
      </c>
      <c r="B16505" s="24" t="s">
        <v>51489</v>
      </c>
      <c r="C16505" s="24" t="s">
        <v>51490</v>
      </c>
      <c r="D16505" s="25" t="s">
        <v>51491</v>
      </c>
      <c r="E16505" s="26"/>
      <c r="F16505" s="27">
        <f ca="1">ROUND(14.400*(1+G2/100),2)</f>
        <v>0</v>
      </c>
      <c r="G16505" s="26"/>
    </row>
    <row r="16506" spans="1:7" ht="21.36" thickBot="1" customHeight="1">
      <c r="A16506" s="26"/>
      <c r="B16506" s="26"/>
      <c r="C16506" s="26"/>
      <c r="D16506" s="25" t="s">
        <v>51492</v>
      </c>
      <c r="E16506" s="25"/>
      <c r="F16506" s="25"/>
      <c r="G16506" s="25"/>
    </row>
    <row r="16507" spans="1:7" ht="30.60" thickBot="1" customHeight="1">
      <c r="A16507" s="10" t="s">
        <v>51493</v>
      </c>
      <c r="B16507" s="24" t="s">
        <v>51494</v>
      </c>
      <c r="C16507" s="24" t="s">
        <v>51495</v>
      </c>
      <c r="D16507" s="25" t="s">
        <v>51496</v>
      </c>
      <c r="E16507" s="26"/>
      <c r="F16507" s="27">
        <f ca="1">ROUND(5.400*(1+G2/100),2)</f>
        <v>0</v>
      </c>
      <c r="G16507" s="26"/>
    </row>
    <row r="16508" spans="1:7" ht="21.36" thickBot="1" customHeight="1">
      <c r="A16508" s="26"/>
      <c r="B16508" s="26"/>
      <c r="C16508" s="26"/>
      <c r="D16508" s="25" t="s">
        <v>51497</v>
      </c>
      <c r="E16508" s="25"/>
      <c r="F16508" s="25"/>
      <c r="G16508" s="25"/>
    </row>
    <row r="16509" spans="1:7" ht="30.60" thickBot="1" customHeight="1">
      <c r="A16509" s="10" t="s">
        <v>51498</v>
      </c>
      <c r="B16509" s="24" t="s">
        <v>51499</v>
      </c>
      <c r="C16509" s="24" t="s">
        <v>51500</v>
      </c>
      <c r="D16509" s="25" t="s">
        <v>51501</v>
      </c>
      <c r="E16509" s="26"/>
      <c r="F16509" s="27">
        <f ca="1">ROUND(15.000*(1+G2/100),2)</f>
        <v>0</v>
      </c>
      <c r="G16509" s="26"/>
    </row>
    <row r="16510" spans="1:7" ht="21.36" thickBot="1" customHeight="1">
      <c r="A16510" s="26"/>
      <c r="B16510" s="26"/>
      <c r="C16510" s="26"/>
      <c r="D16510" s="25" t="s">
        <v>51502</v>
      </c>
      <c r="E16510" s="25"/>
      <c r="F16510" s="25"/>
      <c r="G16510" s="25"/>
    </row>
    <row r="16511" spans="1:7" ht="30.60" thickBot="1" customHeight="1">
      <c r="A16511" s="10" t="s">
        <v>51503</v>
      </c>
      <c r="B16511" s="24" t="s">
        <v>51504</v>
      </c>
      <c r="C16511" s="24" t="s">
        <v>51505</v>
      </c>
      <c r="D16511" s="25" t="s">
        <v>51506</v>
      </c>
      <c r="E16511" s="26"/>
      <c r="F16511" s="27">
        <f ca="1">ROUND(18.000*(1+G2/100),2)</f>
        <v>0</v>
      </c>
      <c r="G16511" s="26"/>
    </row>
    <row r="16512" spans="1:7" ht="21.36" thickBot="1" customHeight="1">
      <c r="A16512" s="26"/>
      <c r="B16512" s="26"/>
      <c r="C16512" s="26"/>
      <c r="D16512" s="25" t="s">
        <v>51507</v>
      </c>
      <c r="E16512" s="25"/>
      <c r="F16512" s="25"/>
      <c r="G16512" s="25"/>
    </row>
    <row r="16513" spans="1:7" ht="30.60" thickBot="1" customHeight="1">
      <c r="A16513" s="10" t="s">
        <v>51508</v>
      </c>
      <c r="B16513" s="24" t="s">
        <v>51509</v>
      </c>
      <c r="C16513" s="24" t="s">
        <v>51510</v>
      </c>
      <c r="D16513" s="25" t="s">
        <v>51511</v>
      </c>
      <c r="E16513" s="26"/>
      <c r="F16513" s="27">
        <f ca="1">ROUND(17.280*(1+G2/100),2)</f>
        <v>0</v>
      </c>
      <c r="G16513" s="26"/>
    </row>
    <row r="16514" spans="1:7" ht="21.36" thickBot="1" customHeight="1">
      <c r="A16514" s="26"/>
      <c r="B16514" s="26"/>
      <c r="C16514" s="26"/>
      <c r="D16514" s="25" t="s">
        <v>51512</v>
      </c>
      <c r="E16514" s="25"/>
      <c r="F16514" s="25"/>
      <c r="G16514" s="25"/>
    </row>
    <row r="16515" spans="1:7" ht="30.60" thickBot="1" customHeight="1">
      <c r="A16515" s="10" t="s">
        <v>51513</v>
      </c>
      <c r="B16515" s="24" t="s">
        <v>51514</v>
      </c>
      <c r="C16515" s="24" t="s">
        <v>51515</v>
      </c>
      <c r="D16515" s="25" t="s">
        <v>51516</v>
      </c>
      <c r="E16515" s="26"/>
      <c r="F16515" s="27">
        <f ca="1">ROUND(25.920*(1+G2/100),2)</f>
        <v>0</v>
      </c>
      <c r="G16515" s="26"/>
    </row>
    <row r="16516" spans="1:7" ht="30.60" thickBot="1" customHeight="1">
      <c r="A16516" s="26"/>
      <c r="B16516" s="26"/>
      <c r="C16516" s="26"/>
      <c r="D16516" s="25" t="s">
        <v>51517</v>
      </c>
      <c r="E16516" s="25"/>
      <c r="F16516" s="25"/>
      <c r="G16516" s="25"/>
    </row>
    <row r="16517" spans="1:7" ht="30.60" thickBot="1" customHeight="1">
      <c r="A16517" s="10" t="s">
        <v>51518</v>
      </c>
      <c r="B16517" s="24" t="s">
        <v>51519</v>
      </c>
      <c r="C16517" s="24" t="s">
        <v>51520</v>
      </c>
      <c r="D16517" s="25" t="s">
        <v>51521</v>
      </c>
      <c r="E16517" s="26"/>
      <c r="F16517" s="27">
        <f ca="1">ROUND(16.800*(1+G2/100),2)</f>
        <v>0</v>
      </c>
      <c r="G16517" s="26"/>
    </row>
    <row r="16518" spans="1:7" ht="21.36" thickBot="1" customHeight="1">
      <c r="A16518" s="26"/>
      <c r="B16518" s="26"/>
      <c r="C16518" s="26"/>
      <c r="D16518" s="25" t="s">
        <v>51522</v>
      </c>
      <c r="E16518" s="25"/>
      <c r="F16518" s="25"/>
      <c r="G16518" s="25"/>
    </row>
    <row r="16519" spans="1:7" ht="39.84" thickBot="1" customHeight="1">
      <c r="A16519" s="10" t="s">
        <v>51523</v>
      </c>
      <c r="B16519" s="24" t="s">
        <v>51524</v>
      </c>
      <c r="C16519" s="24" t="s">
        <v>51525</v>
      </c>
      <c r="D16519" s="25" t="s">
        <v>51526</v>
      </c>
      <c r="E16519" s="26"/>
      <c r="F16519" s="27">
        <f ca="1">ROUND(50.000*(1+G2/100),2)</f>
        <v>0</v>
      </c>
      <c r="G16519" s="26"/>
    </row>
    <row r="16520" spans="1:7" ht="21.36" thickBot="1" customHeight="1">
      <c r="A16520" s="26"/>
      <c r="B16520" s="26"/>
      <c r="C16520" s="26"/>
      <c r="D16520" s="25" t="s">
        <v>51527</v>
      </c>
      <c r="E16520" s="25"/>
      <c r="F16520" s="25"/>
      <c r="G16520" s="25"/>
    </row>
    <row r="16521" spans="1:7" ht="30.60" thickBot="1" customHeight="1">
      <c r="A16521" s="10" t="s">
        <v>51528</v>
      </c>
      <c r="B16521" s="24" t="s">
        <v>51529</v>
      </c>
      <c r="C16521" s="24" t="s">
        <v>51530</v>
      </c>
      <c r="D16521" s="25" t="s">
        <v>51531</v>
      </c>
      <c r="E16521" s="26"/>
      <c r="F16521" s="27">
        <f ca="1">ROUND(6.920*(1+G2/100),2)</f>
        <v>0</v>
      </c>
      <c r="G16521" s="26"/>
    </row>
    <row r="16522" spans="1:7" ht="21.36" thickBot="1" customHeight="1">
      <c r="A16522" s="26"/>
      <c r="B16522" s="26"/>
      <c r="C16522" s="26"/>
      <c r="D16522" s="25" t="s">
        <v>51532</v>
      </c>
      <c r="E16522" s="25"/>
      <c r="F16522" s="25"/>
      <c r="G16522" s="25"/>
    </row>
    <row r="16523" spans="1:7" ht="30.60" thickBot="1" customHeight="1">
      <c r="A16523" s="10" t="s">
        <v>51533</v>
      </c>
      <c r="B16523" s="24" t="s">
        <v>51534</v>
      </c>
      <c r="C16523" s="24" t="s">
        <v>51535</v>
      </c>
      <c r="D16523" s="25" t="s">
        <v>51536</v>
      </c>
      <c r="E16523" s="26"/>
      <c r="F16523" s="27">
        <f ca="1">ROUND(74.830*(1+G2/100),2)</f>
        <v>0</v>
      </c>
      <c r="G16523" s="26"/>
    </row>
    <row r="16524" spans="1:7" ht="12.12" thickBot="1" customHeight="1">
      <c r="A16524" s="26"/>
      <c r="B16524" s="26"/>
      <c r="C16524" s="26"/>
      <c r="D16524" s="25" t="s">
        <v>51537</v>
      </c>
      <c r="E16524" s="25"/>
      <c r="F16524" s="25"/>
      <c r="G16524" s="25"/>
    </row>
    <row r="16525" spans="1:7" ht="30.60" thickBot="1" customHeight="1">
      <c r="A16525" s="10" t="s">
        <v>51538</v>
      </c>
      <c r="B16525" s="24" t="s">
        <v>51539</v>
      </c>
      <c r="C16525" s="24" t="s">
        <v>51540</v>
      </c>
      <c r="D16525" s="25" t="s">
        <v>51541</v>
      </c>
      <c r="E16525" s="26"/>
      <c r="F16525" s="27">
        <f ca="1">ROUND(1.700*(1+G2/100),2)</f>
        <v>0</v>
      </c>
      <c r="G16525" s="26"/>
    </row>
    <row r="16526" spans="1:7" ht="21.36" thickBot="1" customHeight="1">
      <c r="A16526" s="26"/>
      <c r="B16526" s="26"/>
      <c r="C16526" s="26"/>
      <c r="D16526" s="25" t="s">
        <v>51542</v>
      </c>
      <c r="E16526" s="25"/>
      <c r="F16526" s="25"/>
      <c r="G16526" s="25"/>
    </row>
    <row r="16527" spans="1:7" ht="30.60" thickBot="1" customHeight="1">
      <c r="A16527" s="10" t="s">
        <v>51543</v>
      </c>
      <c r="B16527" s="24" t="s">
        <v>51544</v>
      </c>
      <c r="C16527" s="24" t="s">
        <v>51545</v>
      </c>
      <c r="D16527" s="25" t="s">
        <v>51546</v>
      </c>
      <c r="E16527" s="26"/>
      <c r="F16527" s="27">
        <f ca="1">ROUND(1.700*(1+G2/100),2)</f>
        <v>0</v>
      </c>
      <c r="G16527" s="26"/>
    </row>
    <row r="16528" spans="1:7" ht="21.36" thickBot="1" customHeight="1">
      <c r="A16528" s="26"/>
      <c r="B16528" s="26"/>
      <c r="C16528" s="26"/>
      <c r="D16528" s="25" t="s">
        <v>51547</v>
      </c>
      <c r="E16528" s="25"/>
      <c r="F16528" s="25"/>
      <c r="G16528" s="25"/>
    </row>
    <row r="16529" spans="1:7" ht="30.60" thickBot="1" customHeight="1">
      <c r="A16529" s="10" t="s">
        <v>51548</v>
      </c>
      <c r="B16529" s="24" t="s">
        <v>51549</v>
      </c>
      <c r="C16529" s="24" t="s">
        <v>51550</v>
      </c>
      <c r="D16529" s="25" t="s">
        <v>51551</v>
      </c>
      <c r="E16529" s="26"/>
      <c r="F16529" s="27">
        <f ca="1">ROUND(1.710*(1+G2/100),2)</f>
        <v>0</v>
      </c>
      <c r="G16529" s="26"/>
    </row>
    <row r="16530" spans="1:7" ht="12.12" thickBot="1" customHeight="1">
      <c r="A16530" s="26"/>
      <c r="B16530" s="26"/>
      <c r="C16530" s="26"/>
      <c r="D16530" s="25" t="s">
        <v>51552</v>
      </c>
      <c r="E16530" s="25"/>
      <c r="F16530" s="25"/>
      <c r="G16530" s="25"/>
    </row>
    <row r="16531" spans="1:7" ht="30.60" thickBot="1" customHeight="1">
      <c r="A16531" s="10" t="s">
        <v>51553</v>
      </c>
      <c r="B16531" s="24" t="s">
        <v>51554</v>
      </c>
      <c r="C16531" s="24" t="s">
        <v>51555</v>
      </c>
      <c r="D16531" s="25" t="s">
        <v>51556</v>
      </c>
      <c r="E16531" s="26"/>
      <c r="F16531" s="27">
        <f ca="1">ROUND(3.640*(1+G2/100),2)</f>
        <v>0</v>
      </c>
      <c r="G16531" s="26"/>
    </row>
    <row r="16532" spans="1:7" ht="21.36" thickBot="1" customHeight="1">
      <c r="A16532" s="26"/>
      <c r="B16532" s="26"/>
      <c r="C16532" s="26"/>
      <c r="D16532" s="25" t="s">
        <v>51557</v>
      </c>
      <c r="E16532" s="25"/>
      <c r="F16532" s="25"/>
      <c r="G16532" s="25"/>
    </row>
    <row r="16533" spans="1:7" ht="21.36" thickBot="1" customHeight="1">
      <c r="A16533" s="10" t="s">
        <v>51558</v>
      </c>
      <c r="B16533" s="24" t="s">
        <v>51559</v>
      </c>
      <c r="C16533" s="24" t="s">
        <v>51560</v>
      </c>
      <c r="D16533" s="25" t="s">
        <v>51561</v>
      </c>
      <c r="E16533" s="26"/>
      <c r="F16533" s="27">
        <f ca="1">ROUND(3.710*(1+G2/100),2)</f>
        <v>0</v>
      </c>
      <c r="G16533" s="26"/>
    </row>
    <row r="16534" spans="1:7" ht="67.56" thickBot="1" customHeight="1">
      <c r="A16534" s="26"/>
      <c r="B16534" s="26"/>
      <c r="C16534" s="26"/>
      <c r="D16534" s="25" t="s">
        <v>51562</v>
      </c>
      <c r="E16534" s="25"/>
      <c r="F16534" s="25"/>
      <c r="G16534" s="25"/>
    </row>
    <row r="16535" spans="1:7" ht="21.36" thickBot="1" customHeight="1">
      <c r="A16535" s="10" t="s">
        <v>51563</v>
      </c>
      <c r="B16535" s="24" t="s">
        <v>51564</v>
      </c>
      <c r="C16535" s="24" t="s">
        <v>51565</v>
      </c>
      <c r="D16535" s="25" t="s">
        <v>51566</v>
      </c>
      <c r="E16535" s="26"/>
      <c r="F16535" s="27">
        <f ca="1">ROUND(4.120*(1+G2/100),2)</f>
        <v>0</v>
      </c>
      <c r="G16535" s="26"/>
    </row>
    <row r="16536" spans="1:7" ht="67.56" thickBot="1" customHeight="1">
      <c r="A16536" s="26"/>
      <c r="B16536" s="26"/>
      <c r="C16536" s="26"/>
      <c r="D16536" s="25" t="s">
        <v>51567</v>
      </c>
      <c r="E16536" s="25"/>
      <c r="F16536" s="25"/>
      <c r="G16536" s="25"/>
    </row>
    <row r="16537" spans="1:7" ht="30.60" thickBot="1" customHeight="1">
      <c r="A16537" s="10" t="s">
        <v>51568</v>
      </c>
      <c r="B16537" s="24" t="s">
        <v>51569</v>
      </c>
      <c r="C16537" s="24" t="s">
        <v>51570</v>
      </c>
      <c r="D16537" s="25" t="s">
        <v>51571</v>
      </c>
      <c r="E16537" s="26"/>
      <c r="F16537" s="27">
        <f ca="1">ROUND(19.470*(1+G2/100),2)</f>
        <v>0</v>
      </c>
      <c r="G16537" s="26"/>
    </row>
    <row r="16538" spans="1:7" ht="21.36" thickBot="1" customHeight="1">
      <c r="A16538" s="26"/>
      <c r="B16538" s="26"/>
      <c r="C16538" s="26"/>
      <c r="D16538" s="25" t="s">
        <v>51572</v>
      </c>
      <c r="E16538" s="25"/>
      <c r="F16538" s="25"/>
      <c r="G16538" s="25"/>
    </row>
    <row r="16539" spans="1:7" ht="39.84" thickBot="1" customHeight="1">
      <c r="A16539" s="10" t="s">
        <v>51573</v>
      </c>
      <c r="B16539" s="24" t="s">
        <v>51574</v>
      </c>
      <c r="C16539" s="24" t="s">
        <v>51575</v>
      </c>
      <c r="D16539" s="25" t="s">
        <v>51576</v>
      </c>
      <c r="E16539" s="26"/>
      <c r="F16539" s="27">
        <f ca="1">ROUND(20.130*(1+G2/100),2)</f>
        <v>0</v>
      </c>
      <c r="G16539" s="26"/>
    </row>
    <row r="16540" spans="1:7" ht="49.08" thickBot="1" customHeight="1">
      <c r="A16540" s="26"/>
      <c r="B16540" s="26"/>
      <c r="C16540" s="26"/>
      <c r="D16540" s="25" t="s">
        <v>51577</v>
      </c>
      <c r="E16540" s="25"/>
      <c r="F16540" s="25"/>
      <c r="G16540" s="25"/>
    </row>
    <row r="16541" spans="1:7" ht="30.60" thickBot="1" customHeight="1">
      <c r="A16541" s="10" t="s">
        <v>51578</v>
      </c>
      <c r="B16541" s="24" t="s">
        <v>51579</v>
      </c>
      <c r="C16541" s="24" t="s">
        <v>51580</v>
      </c>
      <c r="D16541" s="25" t="s">
        <v>51581</v>
      </c>
      <c r="E16541" s="26"/>
      <c r="F16541" s="27">
        <f ca="1">ROUND(10.750*(1+G2/100),2)</f>
        <v>0</v>
      </c>
      <c r="G16541" s="26"/>
    </row>
    <row r="16542" spans="1:7" ht="21.36" thickBot="1" customHeight="1">
      <c r="A16542" s="26"/>
      <c r="B16542" s="26"/>
      <c r="C16542" s="26"/>
      <c r="D16542" s="25" t="s">
        <v>51582</v>
      </c>
      <c r="E16542" s="25"/>
      <c r="F16542" s="25"/>
      <c r="G16542" s="25"/>
    </row>
    <row r="16543" spans="1:7" ht="39.84" thickBot="1" customHeight="1">
      <c r="A16543" s="10" t="s">
        <v>51583</v>
      </c>
      <c r="B16543" s="24" t="s">
        <v>51584</v>
      </c>
      <c r="C16543" s="24" t="s">
        <v>51585</v>
      </c>
      <c r="D16543" s="25" t="s">
        <v>51586</v>
      </c>
      <c r="E16543" s="26"/>
      <c r="F16543" s="27">
        <f ca="1">ROUND(21.490*(1+G2/100),2)</f>
        <v>0</v>
      </c>
      <c r="G16543" s="26"/>
    </row>
    <row r="16544" spans="1:7" ht="30.60" thickBot="1" customHeight="1">
      <c r="A16544" s="26"/>
      <c r="B16544" s="26"/>
      <c r="C16544" s="26"/>
      <c r="D16544" s="25" t="s">
        <v>51587</v>
      </c>
      <c r="E16544" s="25"/>
      <c r="F16544" s="25"/>
      <c r="G16544" s="25"/>
    </row>
    <row r="16545" spans="1:7" ht="30.60" thickBot="1" customHeight="1">
      <c r="A16545" s="10" t="s">
        <v>51588</v>
      </c>
      <c r="B16545" s="24" t="s">
        <v>51589</v>
      </c>
      <c r="C16545" s="24" t="s">
        <v>51590</v>
      </c>
      <c r="D16545" s="25" t="s">
        <v>51591</v>
      </c>
      <c r="E16545" s="26"/>
      <c r="F16545" s="27">
        <f ca="1">ROUND(9.060*(1+G2/100),2)</f>
        <v>0</v>
      </c>
      <c r="G16545" s="26"/>
    </row>
    <row r="16546" spans="1:7" ht="12.12" thickBot="1" customHeight="1">
      <c r="A16546" s="26"/>
      <c r="B16546" s="26"/>
      <c r="C16546" s="26"/>
      <c r="D16546" s="25" t="s">
        <v>51592</v>
      </c>
      <c r="E16546" s="25"/>
      <c r="F16546" s="25"/>
      <c r="G16546" s="25"/>
    </row>
    <row r="16547" spans="1:7" ht="30.60" thickBot="1" customHeight="1">
      <c r="A16547" s="10" t="s">
        <v>51593</v>
      </c>
      <c r="B16547" s="24" t="s">
        <v>51594</v>
      </c>
      <c r="C16547" s="24" t="s">
        <v>51595</v>
      </c>
      <c r="D16547" s="25" t="s">
        <v>51596</v>
      </c>
      <c r="E16547" s="26"/>
      <c r="F16547" s="27">
        <f ca="1">ROUND(11.040*(1+G2/100),2)</f>
        <v>0</v>
      </c>
      <c r="G16547" s="26"/>
    </row>
    <row r="16548" spans="1:7" ht="12.12" thickBot="1" customHeight="1">
      <c r="A16548" s="26"/>
      <c r="B16548" s="26"/>
      <c r="C16548" s="26"/>
      <c r="D16548" s="25" t="s">
        <v>51597</v>
      </c>
      <c r="E16548" s="25"/>
      <c r="F16548" s="25"/>
      <c r="G16548" s="25"/>
    </row>
    <row r="16549" spans="1:7" ht="21.36" thickBot="1" customHeight="1">
      <c r="A16549" s="10" t="s">
        <v>51598</v>
      </c>
      <c r="B16549" s="24" t="s">
        <v>51599</v>
      </c>
      <c r="C16549" s="24" t="s">
        <v>51600</v>
      </c>
      <c r="D16549" s="25" t="s">
        <v>51601</v>
      </c>
      <c r="E16549" s="26"/>
      <c r="F16549" s="27">
        <f ca="1">ROUND(3.540*(1+G2/100),2)</f>
        <v>0</v>
      </c>
      <c r="G16549" s="26"/>
    </row>
    <row r="16550" spans="1:7" ht="21.36" thickBot="1" customHeight="1">
      <c r="A16550" s="26"/>
      <c r="B16550" s="26"/>
      <c r="C16550" s="26"/>
      <c r="D16550" s="25" t="s">
        <v>51602</v>
      </c>
      <c r="E16550" s="25"/>
      <c r="F16550" s="25"/>
      <c r="G16550" s="25"/>
    </row>
    <row r="16551" spans="1:7" ht="21.36" thickBot="1" customHeight="1">
      <c r="A16551" s="10" t="s">
        <v>51603</v>
      </c>
      <c r="B16551" s="24" t="s">
        <v>51604</v>
      </c>
      <c r="C16551" s="24" t="s">
        <v>51605</v>
      </c>
      <c r="D16551" s="25" t="s">
        <v>51606</v>
      </c>
      <c r="E16551" s="26"/>
      <c r="F16551" s="27">
        <f ca="1">ROUND(4.980*(1+G2/100),2)</f>
        <v>0</v>
      </c>
      <c r="G16551" s="26"/>
    </row>
    <row r="16552" spans="1:7" ht="21.36" thickBot="1" customHeight="1">
      <c r="A16552" s="26"/>
      <c r="B16552" s="26"/>
      <c r="C16552" s="26"/>
      <c r="D16552" s="25" t="s">
        <v>51607</v>
      </c>
      <c r="E16552" s="25"/>
      <c r="F16552" s="25"/>
      <c r="G16552" s="25"/>
    </row>
    <row r="16553" spans="1:7" ht="21.36" thickBot="1" customHeight="1">
      <c r="A16553" s="10" t="s">
        <v>51608</v>
      </c>
      <c r="B16553" s="24" t="s">
        <v>51609</v>
      </c>
      <c r="C16553" s="24" t="s">
        <v>51610</v>
      </c>
      <c r="D16553" s="25" t="s">
        <v>51611</v>
      </c>
      <c r="E16553" s="26"/>
      <c r="F16553" s="27">
        <f ca="1">ROUND(8.970*(1+G2/100),2)</f>
        <v>0</v>
      </c>
      <c r="G16553" s="26"/>
    </row>
    <row r="16554" spans="1:7" ht="21.36" thickBot="1" customHeight="1">
      <c r="A16554" s="26"/>
      <c r="B16554" s="26"/>
      <c r="C16554" s="26"/>
      <c r="D16554" s="25" t="s">
        <v>51612</v>
      </c>
      <c r="E16554" s="25"/>
      <c r="F16554" s="25"/>
      <c r="G16554" s="25"/>
    </row>
    <row r="16555" spans="1:7" ht="21.36" thickBot="1" customHeight="1">
      <c r="A16555" s="10" t="s">
        <v>51613</v>
      </c>
      <c r="B16555" s="24" t="s">
        <v>51614</v>
      </c>
      <c r="C16555" s="24" t="s">
        <v>51615</v>
      </c>
      <c r="D16555" s="25" t="s">
        <v>51616</v>
      </c>
      <c r="E16555" s="26"/>
      <c r="F16555" s="27">
        <f ca="1">ROUND(1.350*(1+G2/100),2)</f>
        <v>0</v>
      </c>
      <c r="G16555" s="26"/>
    </row>
    <row r="16556" spans="1:7" ht="21.36" thickBot="1" customHeight="1">
      <c r="A16556" s="26"/>
      <c r="B16556" s="26"/>
      <c r="C16556" s="26"/>
      <c r="D16556" s="25" t="s">
        <v>51617</v>
      </c>
      <c r="E16556" s="25"/>
      <c r="F16556" s="25"/>
      <c r="G16556" s="25"/>
    </row>
    <row r="16557" spans="1:7" ht="21.36" thickBot="1" customHeight="1">
      <c r="A16557" s="10" t="s">
        <v>51618</v>
      </c>
      <c r="B16557" s="24" t="s">
        <v>51619</v>
      </c>
      <c r="C16557" s="24" t="s">
        <v>51620</v>
      </c>
      <c r="D16557" s="25" t="s">
        <v>51621</v>
      </c>
      <c r="E16557" s="26"/>
      <c r="F16557" s="27">
        <f ca="1">ROUND(2.330*(1+G2/100),2)</f>
        <v>0</v>
      </c>
      <c r="G16557" s="26"/>
    </row>
    <row r="16558" spans="1:7" ht="21.36" thickBot="1" customHeight="1">
      <c r="A16558" s="26"/>
      <c r="B16558" s="26"/>
      <c r="C16558" s="26"/>
      <c r="D16558" s="25" t="s">
        <v>51622</v>
      </c>
      <c r="E16558" s="25"/>
      <c r="F16558" s="25"/>
      <c r="G16558" s="25"/>
    </row>
    <row r="16559" spans="1:7" ht="30.60" thickBot="1" customHeight="1">
      <c r="A16559" s="10" t="s">
        <v>51623</v>
      </c>
      <c r="B16559" s="24" t="s">
        <v>51624</v>
      </c>
      <c r="C16559" s="24" t="s">
        <v>51625</v>
      </c>
      <c r="D16559" s="25" t="s">
        <v>51626</v>
      </c>
      <c r="E16559" s="26"/>
      <c r="F16559" s="27">
        <f ca="1">ROUND(5.560*(1+G2/100),2)</f>
        <v>0</v>
      </c>
      <c r="G16559" s="26"/>
    </row>
    <row r="16560" spans="1:7" ht="12.12" thickBot="1" customHeight="1">
      <c r="A16560" s="26"/>
      <c r="B16560" s="26"/>
      <c r="C16560" s="26"/>
      <c r="D16560" s="25" t="s">
        <v>51627</v>
      </c>
      <c r="E16560" s="25"/>
      <c r="F16560" s="25"/>
      <c r="G16560" s="25"/>
    </row>
    <row r="16561" spans="1:7" ht="30.60" thickBot="1" customHeight="1">
      <c r="A16561" s="10" t="s">
        <v>51628</v>
      </c>
      <c r="B16561" s="24" t="s">
        <v>51629</v>
      </c>
      <c r="C16561" s="24" t="s">
        <v>51630</v>
      </c>
      <c r="D16561" s="25" t="s">
        <v>51631</v>
      </c>
      <c r="E16561" s="26"/>
      <c r="F16561" s="27">
        <f ca="1">ROUND(6.400*(1+G2/100),2)</f>
        <v>0</v>
      </c>
      <c r="G16561" s="26"/>
    </row>
    <row r="16562" spans="1:7" ht="12.12" thickBot="1" customHeight="1">
      <c r="A16562" s="26"/>
      <c r="B16562" s="26"/>
      <c r="C16562" s="26"/>
      <c r="D16562" s="25" t="s">
        <v>51632</v>
      </c>
      <c r="E16562" s="25"/>
      <c r="F16562" s="25"/>
      <c r="G16562" s="25"/>
    </row>
    <row r="16563" spans="1:7" ht="30.60" thickBot="1" customHeight="1">
      <c r="A16563" s="10" t="s">
        <v>51633</v>
      </c>
      <c r="B16563" s="24" t="s">
        <v>51634</v>
      </c>
      <c r="C16563" s="24" t="s">
        <v>51635</v>
      </c>
      <c r="D16563" s="25" t="s">
        <v>51636</v>
      </c>
      <c r="E16563" s="26"/>
      <c r="F16563" s="27">
        <f ca="1">ROUND(11.670*(1+G2/100),2)</f>
        <v>0</v>
      </c>
      <c r="G16563" s="26"/>
    </row>
    <row r="16564" spans="1:7" ht="12.12" thickBot="1" customHeight="1">
      <c r="A16564" s="26"/>
      <c r="B16564" s="26"/>
      <c r="C16564" s="26"/>
      <c r="D16564" s="25" t="s">
        <v>51637</v>
      </c>
      <c r="E16564" s="25"/>
      <c r="F16564" s="25"/>
      <c r="G16564" s="25"/>
    </row>
    <row r="16565" spans="1:7" ht="30.60" thickBot="1" customHeight="1">
      <c r="A16565" s="10" t="s">
        <v>51638</v>
      </c>
      <c r="B16565" s="24" t="s">
        <v>51639</v>
      </c>
      <c r="C16565" s="24" t="s">
        <v>51640</v>
      </c>
      <c r="D16565" s="25" t="s">
        <v>51641</v>
      </c>
      <c r="E16565" s="26"/>
      <c r="F16565" s="27">
        <f ca="1">ROUND(7.690*(1+G2/100),2)</f>
        <v>0</v>
      </c>
      <c r="G16565" s="26"/>
    </row>
    <row r="16566" spans="1:7" ht="12.12" thickBot="1" customHeight="1">
      <c r="A16566" s="26"/>
      <c r="B16566" s="26"/>
      <c r="C16566" s="26"/>
      <c r="D16566" s="25" t="s">
        <v>51642</v>
      </c>
      <c r="E16566" s="25"/>
      <c r="F16566" s="25"/>
      <c r="G16566" s="25"/>
    </row>
    <row r="16567" spans="1:7" ht="30.60" thickBot="1" customHeight="1">
      <c r="A16567" s="10" t="s">
        <v>51643</v>
      </c>
      <c r="B16567" s="24" t="s">
        <v>51644</v>
      </c>
      <c r="C16567" s="24" t="s">
        <v>51645</v>
      </c>
      <c r="D16567" s="25" t="s">
        <v>51646</v>
      </c>
      <c r="E16567" s="26"/>
      <c r="F16567" s="27">
        <f ca="1">ROUND(9.750*(1+G2/100),2)</f>
        <v>0</v>
      </c>
      <c r="G16567" s="26"/>
    </row>
    <row r="16568" spans="1:7" ht="12.12" thickBot="1" customHeight="1">
      <c r="A16568" s="26"/>
      <c r="B16568" s="26"/>
      <c r="C16568" s="26"/>
      <c r="D16568" s="25" t="s">
        <v>51647</v>
      </c>
      <c r="E16568" s="25"/>
      <c r="F16568" s="25"/>
      <c r="G16568" s="25"/>
    </row>
    <row r="16569" spans="1:7" ht="30.60" thickBot="1" customHeight="1">
      <c r="A16569" s="10" t="s">
        <v>51648</v>
      </c>
      <c r="B16569" s="24" t="s">
        <v>51649</v>
      </c>
      <c r="C16569" s="24" t="s">
        <v>51650</v>
      </c>
      <c r="D16569" s="25" t="s">
        <v>51651</v>
      </c>
      <c r="E16569" s="26"/>
      <c r="F16569" s="27">
        <f ca="1">ROUND(13.140*(1+G2/100),2)</f>
        <v>0</v>
      </c>
      <c r="G16569" s="26"/>
    </row>
    <row r="16570" spans="1:7" ht="12.12" thickBot="1" customHeight="1">
      <c r="A16570" s="26"/>
      <c r="B16570" s="26"/>
      <c r="C16570" s="26"/>
      <c r="D16570" s="25" t="s">
        <v>51652</v>
      </c>
      <c r="E16570" s="25"/>
      <c r="F16570" s="25"/>
      <c r="G16570" s="25"/>
    </row>
    <row r="16571" spans="1:7" ht="21.36" thickBot="1" customHeight="1">
      <c r="A16571" s="10" t="s">
        <v>51653</v>
      </c>
      <c r="B16571" s="24" t="s">
        <v>51654</v>
      </c>
      <c r="C16571" s="24" t="s">
        <v>51655</v>
      </c>
      <c r="D16571" s="25" t="s">
        <v>51656</v>
      </c>
      <c r="E16571" s="26"/>
      <c r="F16571" s="27">
        <f ca="1">ROUND(60.940*(1+G2/100),2)</f>
        <v>0</v>
      </c>
      <c r="G16571" s="26"/>
    </row>
    <row r="16572" spans="1:7" ht="30.60" thickBot="1" customHeight="1">
      <c r="A16572" s="26"/>
      <c r="B16572" s="26"/>
      <c r="C16572" s="26"/>
      <c r="D16572" s="25" t="s">
        <v>51657</v>
      </c>
      <c r="E16572" s="25"/>
      <c r="F16572" s="25"/>
      <c r="G16572" s="25"/>
    </row>
    <row r="16573" spans="1:7" ht="21.36" thickBot="1" customHeight="1">
      <c r="A16573" s="10" t="s">
        <v>51658</v>
      </c>
      <c r="B16573" s="24" t="s">
        <v>51659</v>
      </c>
      <c r="C16573" s="24" t="s">
        <v>51660</v>
      </c>
      <c r="D16573" s="25" t="s">
        <v>51661</v>
      </c>
      <c r="E16573" s="26"/>
      <c r="F16573" s="27">
        <f ca="1">ROUND(49.800*(1+G2/100),2)</f>
        <v>0</v>
      </c>
      <c r="G16573" s="26"/>
    </row>
    <row r="16574" spans="1:7" ht="30.60" thickBot="1" customHeight="1">
      <c r="A16574" s="26"/>
      <c r="B16574" s="26"/>
      <c r="C16574" s="26"/>
      <c r="D16574" s="25" t="s">
        <v>51662</v>
      </c>
      <c r="E16574" s="25"/>
      <c r="F16574" s="25"/>
      <c r="G16574" s="25"/>
    </row>
    <row r="16575" spans="1:7" ht="30.60" thickBot="1" customHeight="1">
      <c r="A16575" s="10" t="s">
        <v>51663</v>
      </c>
      <c r="B16575" s="24" t="s">
        <v>51664</v>
      </c>
      <c r="C16575" s="24" t="s">
        <v>51665</v>
      </c>
      <c r="D16575" s="25" t="s">
        <v>51666</v>
      </c>
      <c r="E16575" s="26"/>
      <c r="F16575" s="27">
        <f ca="1">ROUND(10.510*(1+G2/100),2)</f>
        <v>0</v>
      </c>
      <c r="G16575" s="26"/>
    </row>
    <row r="16576" spans="1:7" ht="30.60" thickBot="1" customHeight="1">
      <c r="A16576" s="26"/>
      <c r="B16576" s="26"/>
      <c r="C16576" s="26"/>
      <c r="D16576" s="25" t="s">
        <v>51667</v>
      </c>
      <c r="E16576" s="25"/>
      <c r="F16576" s="25"/>
      <c r="G16576" s="25"/>
    </row>
    <row r="16577" spans="1:7" ht="21.36" thickBot="1" customHeight="1">
      <c r="A16577" s="10" t="s">
        <v>51668</v>
      </c>
      <c r="B16577" s="24" t="s">
        <v>51669</v>
      </c>
      <c r="C16577" s="24" t="s">
        <v>51670</v>
      </c>
      <c r="D16577" s="25" t="s">
        <v>51671</v>
      </c>
      <c r="E16577" s="26"/>
      <c r="F16577" s="27">
        <f ca="1">ROUND(0.940*(1+G2/100),2)</f>
        <v>0</v>
      </c>
      <c r="G16577" s="26"/>
    </row>
    <row r="16578" spans="1:7" ht="21.36" thickBot="1" customHeight="1">
      <c r="A16578" s="26"/>
      <c r="B16578" s="26"/>
      <c r="C16578" s="26"/>
      <c r="D16578" s="25" t="s">
        <v>51672</v>
      </c>
      <c r="E16578" s="25"/>
      <c r="F16578" s="25"/>
      <c r="G16578" s="25"/>
    </row>
    <row r="16579" spans="1:7" ht="21.36" thickBot="1" customHeight="1">
      <c r="A16579" s="10" t="s">
        <v>51673</v>
      </c>
      <c r="B16579" s="24" t="s">
        <v>51674</v>
      </c>
      <c r="C16579" s="24" t="s">
        <v>51675</v>
      </c>
      <c r="D16579" s="25" t="s">
        <v>51676</v>
      </c>
      <c r="E16579" s="26"/>
      <c r="F16579" s="27">
        <f ca="1">ROUND(1.950*(1+G2/100),2)</f>
        <v>0</v>
      </c>
      <c r="G16579" s="26"/>
    </row>
    <row r="16580" spans="1:7" ht="21.36" thickBot="1" customHeight="1">
      <c r="A16580" s="26"/>
      <c r="B16580" s="26"/>
      <c r="C16580" s="26"/>
      <c r="D16580" s="25" t="s">
        <v>51677</v>
      </c>
      <c r="E16580" s="25"/>
      <c r="F16580" s="25"/>
      <c r="G16580" s="25"/>
    </row>
    <row r="16581" spans="1:7" ht="21.36" thickBot="1" customHeight="1">
      <c r="A16581" s="10" t="s">
        <v>51678</v>
      </c>
      <c r="B16581" s="24" t="s">
        <v>51679</v>
      </c>
      <c r="C16581" s="24" t="s">
        <v>51680</v>
      </c>
      <c r="D16581" s="25" t="s">
        <v>51681</v>
      </c>
      <c r="E16581" s="26"/>
      <c r="F16581" s="27">
        <f ca="1">ROUND(2.290*(1+G2/100),2)</f>
        <v>0</v>
      </c>
      <c r="G16581" s="26"/>
    </row>
    <row r="16582" spans="1:7" ht="21.36" thickBot="1" customHeight="1">
      <c r="A16582" s="26"/>
      <c r="B16582" s="26"/>
      <c r="C16582" s="26"/>
      <c r="D16582" s="25" t="s">
        <v>51682</v>
      </c>
      <c r="E16582" s="25"/>
      <c r="F16582" s="25"/>
      <c r="G16582" s="25"/>
    </row>
    <row r="16583" spans="1:7" ht="15.48" thickBot="1" customHeight="1">
      <c r="A16583" s="30"/>
      <c r="B16583" s="30"/>
      <c r="C16583" s="30"/>
      <c r="D16583" s="79" t="s">
        <v>51683</v>
      </c>
      <c r="E16583" s="80"/>
      <c r="F16583" s="80"/>
      <c r="G16583" s="80"/>
    </row>
    <row r="16584" spans="1:7" ht="25.08" thickBot="1" customHeight="1">
      <c r="A16584" s="52" t="s">
        <v>51684</v>
      </c>
      <c r="B16584" s="52" t="s">
        <v>51685</v>
      </c>
      <c r="C16584" s="53"/>
      <c r="D16584" s="54" t="s">
        <v>51686</v>
      </c>
      <c r="E16584" s="53"/>
      <c r="F16584" s="53"/>
      <c r="G16584" s="53"/>
    </row>
    <row r="16585" spans="1:7" ht="30.60" thickBot="1" customHeight="1">
      <c r="A16585" s="10" t="s">
        <v>51687</v>
      </c>
      <c r="B16585" s="24" t="s">
        <v>51688</v>
      </c>
      <c r="C16585" s="24" t="s">
        <v>51689</v>
      </c>
      <c r="D16585" s="25" t="s">
        <v>51690</v>
      </c>
      <c r="E16585" s="26"/>
      <c r="F16585" s="27">
        <f ca="1">ROUND(141.790*(1+G2/100),2)</f>
        <v>0</v>
      </c>
      <c r="G16585" s="26"/>
    </row>
    <row r="16586" spans="1:7" ht="159.96" thickBot="1" customHeight="1">
      <c r="A16586" s="26"/>
      <c r="B16586" s="26"/>
      <c r="C16586" s="26"/>
      <c r="D16586" s="25" t="s">
        <v>51691</v>
      </c>
      <c r="E16586" s="25"/>
      <c r="F16586" s="25"/>
      <c r="G16586" s="25"/>
    </row>
    <row r="16587" spans="1:7" ht="39.84" thickBot="1" customHeight="1">
      <c r="A16587" s="10" t="s">
        <v>51692</v>
      </c>
      <c r="B16587" s="24" t="s">
        <v>51693</v>
      </c>
      <c r="C16587" s="24" t="s">
        <v>51694</v>
      </c>
      <c r="D16587" s="25" t="s">
        <v>51695</v>
      </c>
      <c r="E16587" s="26"/>
      <c r="F16587" s="27">
        <f ca="1">ROUND(113.290*(1+G2/100),2)</f>
        <v>0</v>
      </c>
      <c r="G16587" s="26"/>
    </row>
    <row r="16588" spans="1:7" ht="178.44" thickBot="1" customHeight="1">
      <c r="A16588" s="26"/>
      <c r="B16588" s="26"/>
      <c r="C16588" s="26"/>
      <c r="D16588" s="25" t="s">
        <v>51696</v>
      </c>
      <c r="E16588" s="25"/>
      <c r="F16588" s="25"/>
      <c r="G16588" s="25"/>
    </row>
    <row r="16589" spans="1:7" ht="49.08" thickBot="1" customHeight="1">
      <c r="A16589" s="10" t="s">
        <v>51697</v>
      </c>
      <c r="B16589" s="24" t="s">
        <v>51698</v>
      </c>
      <c r="C16589" s="24" t="s">
        <v>51699</v>
      </c>
      <c r="D16589" s="25" t="s">
        <v>51700</v>
      </c>
      <c r="E16589" s="26"/>
      <c r="F16589" s="27">
        <f ca="1">ROUND(21.960*(1+G2/100),2)</f>
        <v>0</v>
      </c>
      <c r="G16589" s="26"/>
    </row>
    <row r="16590" spans="1:7" ht="58.32" thickBot="1" customHeight="1">
      <c r="A16590" s="26"/>
      <c r="B16590" s="26"/>
      <c r="C16590" s="26"/>
      <c r="D16590" s="25" t="s">
        <v>51701</v>
      </c>
      <c r="E16590" s="25"/>
      <c r="F16590" s="25"/>
      <c r="G16590" s="25"/>
    </row>
    <row r="16591" spans="1:7" ht="49.08" thickBot="1" customHeight="1">
      <c r="A16591" s="10" t="s">
        <v>51702</v>
      </c>
      <c r="B16591" s="24" t="s">
        <v>51703</v>
      </c>
      <c r="C16591" s="24" t="s">
        <v>51704</v>
      </c>
      <c r="D16591" s="25" t="s">
        <v>51705</v>
      </c>
      <c r="E16591" s="26"/>
      <c r="F16591" s="27">
        <f ca="1">ROUND(24.440*(1+G2/100),2)</f>
        <v>0</v>
      </c>
      <c r="G16591" s="26"/>
    </row>
    <row r="16592" spans="1:7" ht="58.32" thickBot="1" customHeight="1">
      <c r="A16592" s="26"/>
      <c r="B16592" s="26"/>
      <c r="C16592" s="26"/>
      <c r="D16592" s="25" t="s">
        <v>51706</v>
      </c>
      <c r="E16592" s="25"/>
      <c r="F16592" s="25"/>
      <c r="G16592" s="25"/>
    </row>
    <row r="16593" spans="1:7" ht="30.60" thickBot="1" customHeight="1">
      <c r="A16593" s="10" t="s">
        <v>51707</v>
      </c>
      <c r="B16593" s="24" t="s">
        <v>51708</v>
      </c>
      <c r="C16593" s="24" t="s">
        <v>51709</v>
      </c>
      <c r="D16593" s="25" t="s">
        <v>51710</v>
      </c>
      <c r="E16593" s="26"/>
      <c r="F16593" s="27">
        <f ca="1">ROUND(37.140*(1+G2/100),2)</f>
        <v>0</v>
      </c>
      <c r="G16593" s="26"/>
    </row>
    <row r="16594" spans="1:7" ht="76.80" thickBot="1" customHeight="1">
      <c r="A16594" s="26"/>
      <c r="B16594" s="26"/>
      <c r="C16594" s="26"/>
      <c r="D16594" s="25" t="s">
        <v>51711</v>
      </c>
      <c r="E16594" s="25"/>
      <c r="F16594" s="25"/>
      <c r="G16594" s="25"/>
    </row>
    <row r="16595" spans="1:7" ht="39.84" thickBot="1" customHeight="1">
      <c r="A16595" s="10" t="s">
        <v>51712</v>
      </c>
      <c r="B16595" s="24" t="s">
        <v>51713</v>
      </c>
      <c r="C16595" s="24" t="s">
        <v>51714</v>
      </c>
      <c r="D16595" s="25" t="s">
        <v>51715</v>
      </c>
      <c r="E16595" s="26"/>
      <c r="F16595" s="27">
        <f ca="1">ROUND(11.920*(1+G2/100),2)</f>
        <v>0</v>
      </c>
      <c r="G16595" s="26"/>
    </row>
    <row r="16596" spans="1:7" ht="21.36" thickBot="1" customHeight="1">
      <c r="A16596" s="26"/>
      <c r="B16596" s="26"/>
      <c r="C16596" s="26"/>
      <c r="D16596" s="25" t="s">
        <v>51716</v>
      </c>
      <c r="E16596" s="25"/>
      <c r="F16596" s="25"/>
      <c r="G16596" s="25"/>
    </row>
    <row r="16597" spans="1:7" ht="30.60" thickBot="1" customHeight="1">
      <c r="A16597" s="10" t="s">
        <v>51717</v>
      </c>
      <c r="B16597" s="24" t="s">
        <v>51718</v>
      </c>
      <c r="C16597" s="24" t="s">
        <v>51719</v>
      </c>
      <c r="D16597" s="25" t="s">
        <v>51720</v>
      </c>
      <c r="E16597" s="26"/>
      <c r="F16597" s="27">
        <f ca="1">ROUND(38.000*(1+G2/100),2)</f>
        <v>0</v>
      </c>
      <c r="G16597" s="26"/>
    </row>
    <row r="16598" spans="1:7" ht="58.32" thickBot="1" customHeight="1">
      <c r="A16598" s="26"/>
      <c r="B16598" s="26"/>
      <c r="C16598" s="26"/>
      <c r="D16598" s="25" t="s">
        <v>51721</v>
      </c>
      <c r="E16598" s="25"/>
      <c r="F16598" s="25"/>
      <c r="G16598" s="25"/>
    </row>
    <row r="16599" spans="1:7" ht="30.60" thickBot="1" customHeight="1">
      <c r="A16599" s="10" t="s">
        <v>51722</v>
      </c>
      <c r="B16599" s="24" t="s">
        <v>51723</v>
      </c>
      <c r="C16599" s="24" t="s">
        <v>51724</v>
      </c>
      <c r="D16599" s="25" t="s">
        <v>51725</v>
      </c>
      <c r="E16599" s="26"/>
      <c r="F16599" s="27">
        <f ca="1">ROUND(60.000*(1+G2/100),2)</f>
        <v>0</v>
      </c>
      <c r="G16599" s="26"/>
    </row>
    <row r="16600" spans="1:7" ht="21.36" thickBot="1" customHeight="1">
      <c r="A16600" s="26"/>
      <c r="B16600" s="26"/>
      <c r="C16600" s="26"/>
      <c r="D16600" s="25" t="s">
        <v>51726</v>
      </c>
      <c r="E16600" s="25"/>
      <c r="F16600" s="25"/>
      <c r="G16600" s="25"/>
    </row>
    <row r="16601" spans="1:7" ht="30.60" thickBot="1" customHeight="1">
      <c r="A16601" s="10" t="s">
        <v>51727</v>
      </c>
      <c r="B16601" s="24" t="s">
        <v>51728</v>
      </c>
      <c r="C16601" s="24" t="s">
        <v>51729</v>
      </c>
      <c r="D16601" s="25" t="s">
        <v>51730</v>
      </c>
      <c r="E16601" s="26"/>
      <c r="F16601" s="27">
        <f ca="1">ROUND(18.200*(1+G2/100),2)</f>
        <v>0</v>
      </c>
      <c r="G16601" s="26"/>
    </row>
    <row r="16602" spans="1:7" ht="21.36" thickBot="1" customHeight="1">
      <c r="A16602" s="26"/>
      <c r="B16602" s="26"/>
      <c r="C16602" s="26"/>
      <c r="D16602" s="25" t="s">
        <v>51731</v>
      </c>
      <c r="E16602" s="25"/>
      <c r="F16602" s="25"/>
      <c r="G16602" s="25"/>
    </row>
    <row r="16603" spans="1:7" ht="30.60" thickBot="1" customHeight="1">
      <c r="A16603" s="10" t="s">
        <v>51732</v>
      </c>
      <c r="B16603" s="24" t="s">
        <v>51733</v>
      </c>
      <c r="C16603" s="24" t="s">
        <v>51734</v>
      </c>
      <c r="D16603" s="25" t="s">
        <v>51735</v>
      </c>
      <c r="E16603" s="26"/>
      <c r="F16603" s="27">
        <f ca="1">ROUND(4.100*(1+G2/100),2)</f>
        <v>0</v>
      </c>
      <c r="G16603" s="26"/>
    </row>
    <row r="16604" spans="1:7" ht="21.36" thickBot="1" customHeight="1">
      <c r="A16604" s="26"/>
      <c r="B16604" s="26"/>
      <c r="C16604" s="26"/>
      <c r="D16604" s="25" t="s">
        <v>51736</v>
      </c>
      <c r="E16604" s="25"/>
      <c r="F16604" s="25"/>
      <c r="G16604" s="25"/>
    </row>
    <row r="16605" spans="1:7" ht="30.60" thickBot="1" customHeight="1">
      <c r="A16605" s="10" t="s">
        <v>51737</v>
      </c>
      <c r="B16605" s="24" t="s">
        <v>51738</v>
      </c>
      <c r="C16605" s="24" t="s">
        <v>51739</v>
      </c>
      <c r="D16605" s="25" t="s">
        <v>51740</v>
      </c>
      <c r="E16605" s="26"/>
      <c r="F16605" s="27">
        <f ca="1">ROUND(74.000*(1+G2/100),2)</f>
        <v>0</v>
      </c>
      <c r="G16605" s="26"/>
    </row>
    <row r="16606" spans="1:7" ht="21.36" thickBot="1" customHeight="1">
      <c r="A16606" s="26"/>
      <c r="B16606" s="26"/>
      <c r="C16606" s="26"/>
      <c r="D16606" s="25" t="s">
        <v>51741</v>
      </c>
      <c r="E16606" s="25"/>
      <c r="F16606" s="25"/>
      <c r="G16606" s="25"/>
    </row>
    <row r="16607" spans="1:7" ht="21.36" thickBot="1" customHeight="1">
      <c r="A16607" s="10" t="s">
        <v>51742</v>
      </c>
      <c r="B16607" s="24" t="s">
        <v>51743</v>
      </c>
      <c r="C16607" s="24" t="s">
        <v>51744</v>
      </c>
      <c r="D16607" s="25" t="s">
        <v>51745</v>
      </c>
      <c r="E16607" s="26"/>
      <c r="F16607" s="27">
        <f ca="1">ROUND(40.900*(1+G2/100),2)</f>
        <v>0</v>
      </c>
      <c r="G16607" s="26"/>
    </row>
    <row r="16608" spans="1:7" ht="12.12" thickBot="1" customHeight="1">
      <c r="A16608" s="26"/>
      <c r="B16608" s="26"/>
      <c r="C16608" s="26"/>
      <c r="D16608" s="25" t="s">
        <v>51746</v>
      </c>
      <c r="E16608" s="25"/>
      <c r="F16608" s="25"/>
      <c r="G16608" s="25"/>
    </row>
    <row r="16609" spans="1:7" ht="30.60" thickBot="1" customHeight="1">
      <c r="A16609" s="10" t="s">
        <v>51747</v>
      </c>
      <c r="B16609" s="24" t="s">
        <v>51748</v>
      </c>
      <c r="C16609" s="24" t="s">
        <v>51749</v>
      </c>
      <c r="D16609" s="25" t="s">
        <v>51750</v>
      </c>
      <c r="E16609" s="26"/>
      <c r="F16609" s="27">
        <f ca="1">ROUND(20.160*(1+G2/100),2)</f>
        <v>0</v>
      </c>
      <c r="G16609" s="26"/>
    </row>
    <row r="16610" spans="1:7" ht="21.36" thickBot="1" customHeight="1">
      <c r="A16610" s="26"/>
      <c r="B16610" s="26"/>
      <c r="C16610" s="26"/>
      <c r="D16610" s="25" t="s">
        <v>51751</v>
      </c>
      <c r="E16610" s="25"/>
      <c r="F16610" s="25"/>
      <c r="G16610" s="25"/>
    </row>
    <row r="16611" spans="1:7" ht="30.60" thickBot="1" customHeight="1">
      <c r="A16611" s="10" t="s">
        <v>51752</v>
      </c>
      <c r="B16611" s="24" t="s">
        <v>51753</v>
      </c>
      <c r="C16611" s="24" t="s">
        <v>51754</v>
      </c>
      <c r="D16611" s="25" t="s">
        <v>51755</v>
      </c>
      <c r="E16611" s="26"/>
      <c r="F16611" s="27">
        <f ca="1">ROUND(2.990*(1+G2/100),2)</f>
        <v>0</v>
      </c>
      <c r="G16611" s="26"/>
    </row>
    <row r="16612" spans="1:7" ht="67.56" thickBot="1" customHeight="1">
      <c r="A16612" s="26"/>
      <c r="B16612" s="26"/>
      <c r="C16612" s="26"/>
      <c r="D16612" s="25" t="s">
        <v>51756</v>
      </c>
      <c r="E16612" s="25"/>
      <c r="F16612" s="25"/>
      <c r="G16612" s="25"/>
    </row>
    <row r="16613" spans="1:7" ht="30.60" thickBot="1" customHeight="1">
      <c r="A16613" s="10" t="s">
        <v>51757</v>
      </c>
      <c r="B16613" s="24" t="s">
        <v>51758</v>
      </c>
      <c r="C16613" s="24" t="s">
        <v>51759</v>
      </c>
      <c r="D16613" s="25" t="s">
        <v>51760</v>
      </c>
      <c r="E16613" s="26"/>
      <c r="F16613" s="27">
        <f ca="1">ROUND(14.950*(1+G2/100),2)</f>
        <v>0</v>
      </c>
      <c r="G16613" s="26"/>
    </row>
    <row r="16614" spans="1:7" ht="21.36" thickBot="1" customHeight="1">
      <c r="A16614" s="26"/>
      <c r="B16614" s="26"/>
      <c r="C16614" s="26"/>
      <c r="D16614" s="25" t="s">
        <v>51761</v>
      </c>
      <c r="E16614" s="25"/>
      <c r="F16614" s="25"/>
      <c r="G16614" s="25"/>
    </row>
    <row r="16615" spans="1:7" ht="30.60" thickBot="1" customHeight="1">
      <c r="A16615" s="10" t="s">
        <v>51762</v>
      </c>
      <c r="B16615" s="24" t="s">
        <v>51763</v>
      </c>
      <c r="C16615" s="24" t="s">
        <v>51764</v>
      </c>
      <c r="D16615" s="25" t="s">
        <v>51765</v>
      </c>
      <c r="E16615" s="26"/>
      <c r="F16615" s="27">
        <f ca="1">ROUND(157.020*(1+G2/100),2)</f>
        <v>0</v>
      </c>
      <c r="G16615" s="26"/>
    </row>
    <row r="16616" spans="1:7" ht="30.60" thickBot="1" customHeight="1">
      <c r="A16616" s="26"/>
      <c r="B16616" s="26"/>
      <c r="C16616" s="26"/>
      <c r="D16616" s="25" t="s">
        <v>51766</v>
      </c>
      <c r="E16616" s="25"/>
      <c r="F16616" s="25"/>
      <c r="G16616" s="25"/>
    </row>
    <row r="16617" spans="1:7" ht="30.60" thickBot="1" customHeight="1">
      <c r="A16617" s="10" t="s">
        <v>51767</v>
      </c>
      <c r="B16617" s="24" t="s">
        <v>51768</v>
      </c>
      <c r="C16617" s="24" t="s">
        <v>51769</v>
      </c>
      <c r="D16617" s="25" t="s">
        <v>51770</v>
      </c>
      <c r="E16617" s="26"/>
      <c r="F16617" s="27">
        <f ca="1">ROUND(123.580*(1+G2/100),2)</f>
        <v>0</v>
      </c>
      <c r="G16617" s="26"/>
    </row>
    <row r="16618" spans="1:7" ht="30.60" thickBot="1" customHeight="1">
      <c r="A16618" s="26"/>
      <c r="B16618" s="26"/>
      <c r="C16618" s="26"/>
      <c r="D16618" s="25" t="s">
        <v>51771</v>
      </c>
      <c r="E16618" s="25"/>
      <c r="F16618" s="25"/>
      <c r="G16618" s="25"/>
    </row>
    <row r="16619" spans="1:7" ht="30.60" thickBot="1" customHeight="1">
      <c r="A16619" s="10" t="s">
        <v>51772</v>
      </c>
      <c r="B16619" s="24" t="s">
        <v>51773</v>
      </c>
      <c r="C16619" s="24" t="s">
        <v>51774</v>
      </c>
      <c r="D16619" s="25" t="s">
        <v>51775</v>
      </c>
      <c r="E16619" s="26"/>
      <c r="F16619" s="27">
        <f ca="1">ROUND(0.730*(1+G2/100),2)</f>
        <v>0</v>
      </c>
      <c r="G16619" s="26"/>
    </row>
    <row r="16620" spans="1:7" ht="30.60" thickBot="1" customHeight="1">
      <c r="A16620" s="26"/>
      <c r="B16620" s="26"/>
      <c r="C16620" s="26"/>
      <c r="D16620" s="25" t="s">
        <v>51776</v>
      </c>
      <c r="E16620" s="25"/>
      <c r="F16620" s="25"/>
      <c r="G16620" s="25"/>
    </row>
    <row r="16621" spans="1:7" ht="30.60" thickBot="1" customHeight="1">
      <c r="A16621" s="10" t="s">
        <v>51777</v>
      </c>
      <c r="B16621" s="24" t="s">
        <v>51778</v>
      </c>
      <c r="C16621" s="24" t="s">
        <v>51779</v>
      </c>
      <c r="D16621" s="25" t="s">
        <v>51780</v>
      </c>
      <c r="E16621" s="26"/>
      <c r="F16621" s="27">
        <f ca="1">ROUND(3.180*(1+G2/100),2)</f>
        <v>0</v>
      </c>
      <c r="G16621" s="26"/>
    </row>
    <row r="16622" spans="1:7" ht="30.60" thickBot="1" customHeight="1">
      <c r="A16622" s="26"/>
      <c r="B16622" s="26"/>
      <c r="C16622" s="26"/>
      <c r="D16622" s="25" t="s">
        <v>51781</v>
      </c>
      <c r="E16622" s="25"/>
      <c r="F16622" s="25"/>
      <c r="G16622" s="25"/>
    </row>
    <row r="16623" spans="1:7" ht="30.60" thickBot="1" customHeight="1">
      <c r="A16623" s="10" t="s">
        <v>51782</v>
      </c>
      <c r="B16623" s="24" t="s">
        <v>51783</v>
      </c>
      <c r="C16623" s="24" t="s">
        <v>51784</v>
      </c>
      <c r="D16623" s="25" t="s">
        <v>51785</v>
      </c>
      <c r="E16623" s="26"/>
      <c r="F16623" s="27">
        <f ca="1">ROUND(1.390*(1+G2/100),2)</f>
        <v>0</v>
      </c>
      <c r="G16623" s="26"/>
    </row>
    <row r="16624" spans="1:7" ht="30.60" thickBot="1" customHeight="1">
      <c r="A16624" s="26"/>
      <c r="B16624" s="26"/>
      <c r="C16624" s="26"/>
      <c r="D16624" s="25" t="s">
        <v>51786</v>
      </c>
      <c r="E16624" s="25"/>
      <c r="F16624" s="25"/>
      <c r="G16624" s="25"/>
    </row>
    <row r="16625" spans="1:7" ht="30.60" thickBot="1" customHeight="1">
      <c r="A16625" s="10" t="s">
        <v>51787</v>
      </c>
      <c r="B16625" s="24" t="s">
        <v>51788</v>
      </c>
      <c r="C16625" s="24" t="s">
        <v>51789</v>
      </c>
      <c r="D16625" s="25" t="s">
        <v>51790</v>
      </c>
      <c r="E16625" s="26"/>
      <c r="F16625" s="27">
        <f ca="1">ROUND(1.540*(1+G2/100),2)</f>
        <v>0</v>
      </c>
      <c r="G16625" s="26"/>
    </row>
    <row r="16626" spans="1:7" ht="30.60" thickBot="1" customHeight="1">
      <c r="A16626" s="26"/>
      <c r="B16626" s="26"/>
      <c r="C16626" s="26"/>
      <c r="D16626" s="25" t="s">
        <v>51791</v>
      </c>
      <c r="E16626" s="25"/>
      <c r="F16626" s="25"/>
      <c r="G16626" s="25"/>
    </row>
    <row r="16627" spans="1:7" ht="30.60" thickBot="1" customHeight="1">
      <c r="A16627" s="10" t="s">
        <v>51792</v>
      </c>
      <c r="B16627" s="24" t="s">
        <v>51793</v>
      </c>
      <c r="C16627" s="24" t="s">
        <v>51794</v>
      </c>
      <c r="D16627" s="25" t="s">
        <v>51795</v>
      </c>
      <c r="E16627" s="26"/>
      <c r="F16627" s="27">
        <f ca="1">ROUND(3.740*(1+G2/100),2)</f>
        <v>0</v>
      </c>
      <c r="G16627" s="26"/>
    </row>
    <row r="16628" spans="1:7" ht="30.60" thickBot="1" customHeight="1">
      <c r="A16628" s="26"/>
      <c r="B16628" s="26"/>
      <c r="C16628" s="26"/>
      <c r="D16628" s="25" t="s">
        <v>51796</v>
      </c>
      <c r="E16628" s="25"/>
      <c r="F16628" s="25"/>
      <c r="G16628" s="25"/>
    </row>
    <row r="16629" spans="1:7" ht="30.60" thickBot="1" customHeight="1">
      <c r="A16629" s="10" t="s">
        <v>51797</v>
      </c>
      <c r="B16629" s="24" t="s">
        <v>51798</v>
      </c>
      <c r="C16629" s="24" t="s">
        <v>51799</v>
      </c>
      <c r="D16629" s="25" t="s">
        <v>51800</v>
      </c>
      <c r="E16629" s="26"/>
      <c r="F16629" s="27">
        <f ca="1">ROUND(1.320*(1+G2/100),2)</f>
        <v>0</v>
      </c>
      <c r="G16629" s="26"/>
    </row>
    <row r="16630" spans="1:7" ht="30.60" thickBot="1" customHeight="1">
      <c r="A16630" s="26"/>
      <c r="B16630" s="26"/>
      <c r="C16630" s="26"/>
      <c r="D16630" s="25" t="s">
        <v>51801</v>
      </c>
      <c r="E16630" s="25"/>
      <c r="F16630" s="25"/>
      <c r="G16630" s="25"/>
    </row>
    <row r="16631" spans="1:7" ht="30.60" thickBot="1" customHeight="1">
      <c r="A16631" s="10" t="s">
        <v>51802</v>
      </c>
      <c r="B16631" s="24" t="s">
        <v>51803</v>
      </c>
      <c r="C16631" s="24" t="s">
        <v>51804</v>
      </c>
      <c r="D16631" s="25" t="s">
        <v>51805</v>
      </c>
      <c r="E16631" s="26"/>
      <c r="F16631" s="27">
        <f ca="1">ROUND(2.160*(1+G2/100),2)</f>
        <v>0</v>
      </c>
      <c r="G16631" s="26"/>
    </row>
    <row r="16632" spans="1:7" ht="30.60" thickBot="1" customHeight="1">
      <c r="A16632" s="26"/>
      <c r="B16632" s="26"/>
      <c r="C16632" s="26"/>
      <c r="D16632" s="25" t="s">
        <v>51806</v>
      </c>
      <c r="E16632" s="25"/>
      <c r="F16632" s="25"/>
      <c r="G16632" s="25"/>
    </row>
    <row r="16633" spans="1:7" ht="39.84" thickBot="1" customHeight="1">
      <c r="A16633" s="10" t="s">
        <v>51807</v>
      </c>
      <c r="B16633" s="24" t="s">
        <v>51808</v>
      </c>
      <c r="C16633" s="24" t="s">
        <v>51809</v>
      </c>
      <c r="D16633" s="25" t="s">
        <v>51810</v>
      </c>
      <c r="E16633" s="26"/>
      <c r="F16633" s="27">
        <f ca="1">ROUND(3.620*(1+G2/100),2)</f>
        <v>0</v>
      </c>
      <c r="G16633" s="26"/>
    </row>
    <row r="16634" spans="1:7" ht="30.60" thickBot="1" customHeight="1">
      <c r="A16634" s="26"/>
      <c r="B16634" s="26"/>
      <c r="C16634" s="26"/>
      <c r="D16634" s="25" t="s">
        <v>51811</v>
      </c>
      <c r="E16634" s="25"/>
      <c r="F16634" s="25"/>
      <c r="G16634" s="25"/>
    </row>
    <row r="16635" spans="1:7" ht="39.84" thickBot="1" customHeight="1">
      <c r="A16635" s="10" t="s">
        <v>51812</v>
      </c>
      <c r="B16635" s="24" t="s">
        <v>51813</v>
      </c>
      <c r="C16635" s="24" t="s">
        <v>51814</v>
      </c>
      <c r="D16635" s="25" t="s">
        <v>51815</v>
      </c>
      <c r="E16635" s="26"/>
      <c r="F16635" s="27">
        <f ca="1">ROUND(4.250*(1+G2/100),2)</f>
        <v>0</v>
      </c>
      <c r="G16635" s="26"/>
    </row>
    <row r="16636" spans="1:7" ht="30.60" thickBot="1" customHeight="1">
      <c r="A16636" s="26"/>
      <c r="B16636" s="26"/>
      <c r="C16636" s="26"/>
      <c r="D16636" s="25" t="s">
        <v>51816</v>
      </c>
      <c r="E16636" s="25"/>
      <c r="F16636" s="25"/>
      <c r="G16636" s="25"/>
    </row>
    <row r="16637" spans="1:7" ht="39.84" thickBot="1" customHeight="1">
      <c r="A16637" s="10" t="s">
        <v>51817</v>
      </c>
      <c r="B16637" s="24" t="s">
        <v>51818</v>
      </c>
      <c r="C16637" s="24" t="s">
        <v>51819</v>
      </c>
      <c r="D16637" s="25" t="s">
        <v>51820</v>
      </c>
      <c r="E16637" s="26"/>
      <c r="F16637" s="27">
        <f ca="1">ROUND(4.440*(1+G2/100),2)</f>
        <v>0</v>
      </c>
      <c r="G16637" s="26"/>
    </row>
    <row r="16638" spans="1:7" ht="30.60" thickBot="1" customHeight="1">
      <c r="A16638" s="26"/>
      <c r="B16638" s="26"/>
      <c r="C16638" s="26"/>
      <c r="D16638" s="25" t="s">
        <v>51821</v>
      </c>
      <c r="E16638" s="25"/>
      <c r="F16638" s="25"/>
      <c r="G16638" s="25"/>
    </row>
    <row r="16639" spans="1:7" ht="39.84" thickBot="1" customHeight="1">
      <c r="A16639" s="10" t="s">
        <v>51822</v>
      </c>
      <c r="B16639" s="24" t="s">
        <v>51823</v>
      </c>
      <c r="C16639" s="24" t="s">
        <v>51824</v>
      </c>
      <c r="D16639" s="25" t="s">
        <v>51825</v>
      </c>
      <c r="E16639" s="26"/>
      <c r="F16639" s="27">
        <f ca="1">ROUND(19.150*(1+G2/100),2)</f>
        <v>0</v>
      </c>
      <c r="G16639" s="26"/>
    </row>
    <row r="16640" spans="1:7" ht="21.36" thickBot="1" customHeight="1">
      <c r="A16640" s="26"/>
      <c r="B16640" s="26"/>
      <c r="C16640" s="26"/>
      <c r="D16640" s="25" t="s">
        <v>51826</v>
      </c>
      <c r="E16640" s="25"/>
      <c r="F16640" s="25"/>
      <c r="G16640" s="25"/>
    </row>
    <row r="16641" spans="1:7" ht="15.48" thickBot="1" customHeight="1">
      <c r="A16641" s="30"/>
      <c r="B16641" s="30"/>
      <c r="C16641" s="30"/>
      <c r="D16641" s="79" t="s">
        <v>51827</v>
      </c>
      <c r="E16641" s="80"/>
      <c r="F16641" s="80"/>
      <c r="G16641" s="80"/>
    </row>
    <row r="16642" spans="1:7" ht="25.08" thickBot="1" customHeight="1">
      <c r="A16642" s="52" t="s">
        <v>51828</v>
      </c>
      <c r="B16642" s="52" t="s">
        <v>51829</v>
      </c>
      <c r="C16642" s="53"/>
      <c r="D16642" s="54" t="s">
        <v>51830</v>
      </c>
      <c r="E16642" s="53"/>
      <c r="F16642" s="53"/>
      <c r="G16642" s="53"/>
    </row>
    <row r="16643" spans="1:7" ht="21.36" thickBot="1" customHeight="1">
      <c r="A16643" s="10" t="s">
        <v>51831</v>
      </c>
      <c r="B16643" s="24" t="s">
        <v>51832</v>
      </c>
      <c r="C16643" s="24" t="s">
        <v>51833</v>
      </c>
      <c r="D16643" s="25" t="s">
        <v>51834</v>
      </c>
      <c r="E16643" s="26"/>
      <c r="F16643" s="27">
        <f ca="1">ROUND(0.910*(1+G2/100),2)</f>
        <v>0</v>
      </c>
      <c r="G16643" s="26"/>
    </row>
    <row r="16644" spans="1:7" ht="21.36" thickBot="1" customHeight="1">
      <c r="A16644" s="26"/>
      <c r="B16644" s="26"/>
      <c r="C16644" s="26"/>
      <c r="D16644" s="25" t="s">
        <v>51835</v>
      </c>
      <c r="E16644" s="25"/>
      <c r="F16644" s="25"/>
      <c r="G16644" s="25"/>
    </row>
    <row r="16645" spans="1:7" ht="21.36" thickBot="1" customHeight="1">
      <c r="A16645" s="10" t="s">
        <v>51836</v>
      </c>
      <c r="B16645" s="24" t="s">
        <v>51837</v>
      </c>
      <c r="C16645" s="24" t="s">
        <v>51838</v>
      </c>
      <c r="D16645" s="25" t="s">
        <v>51839</v>
      </c>
      <c r="E16645" s="26"/>
      <c r="F16645" s="27">
        <f ca="1">ROUND(1.600*(1+G2/100),2)</f>
        <v>0</v>
      </c>
      <c r="G16645" s="26"/>
    </row>
    <row r="16646" spans="1:7" ht="21.36" thickBot="1" customHeight="1">
      <c r="A16646" s="26"/>
      <c r="B16646" s="26"/>
      <c r="C16646" s="26"/>
      <c r="D16646" s="25" t="s">
        <v>51840</v>
      </c>
      <c r="E16646" s="25"/>
      <c r="F16646" s="25"/>
      <c r="G16646" s="25"/>
    </row>
    <row r="16647" spans="1:7" ht="21.36" thickBot="1" customHeight="1">
      <c r="A16647" s="10" t="s">
        <v>51841</v>
      </c>
      <c r="B16647" s="24" t="s">
        <v>51842</v>
      </c>
      <c r="C16647" s="24" t="s">
        <v>51843</v>
      </c>
      <c r="D16647" s="25" t="s">
        <v>51844</v>
      </c>
      <c r="E16647" s="26"/>
      <c r="F16647" s="27">
        <f ca="1">ROUND(5.420*(1+G2/100),2)</f>
        <v>0</v>
      </c>
      <c r="G16647" s="26"/>
    </row>
    <row r="16648" spans="1:7" ht="21.36" thickBot="1" customHeight="1">
      <c r="A16648" s="26"/>
      <c r="B16648" s="26"/>
      <c r="C16648" s="26"/>
      <c r="D16648" s="25" t="s">
        <v>51845</v>
      </c>
      <c r="E16648" s="25"/>
      <c r="F16648" s="25"/>
      <c r="G16648" s="25"/>
    </row>
    <row r="16649" spans="1:7" ht="21.36" thickBot="1" customHeight="1">
      <c r="A16649" s="10" t="s">
        <v>51846</v>
      </c>
      <c r="B16649" s="24" t="s">
        <v>51847</v>
      </c>
      <c r="C16649" s="24" t="s">
        <v>51848</v>
      </c>
      <c r="D16649" s="25" t="s">
        <v>51849</v>
      </c>
      <c r="E16649" s="26"/>
      <c r="F16649" s="27">
        <f ca="1">ROUND(5.610*(1+G2/100),2)</f>
        <v>0</v>
      </c>
      <c r="G16649" s="26"/>
    </row>
    <row r="16650" spans="1:7" ht="21.36" thickBot="1" customHeight="1">
      <c r="A16650" s="26"/>
      <c r="B16650" s="26"/>
      <c r="C16650" s="26"/>
      <c r="D16650" s="25" t="s">
        <v>51850</v>
      </c>
      <c r="E16650" s="25"/>
      <c r="F16650" s="25"/>
      <c r="G16650" s="25"/>
    </row>
    <row r="16651" spans="1:7" ht="21.36" thickBot="1" customHeight="1">
      <c r="A16651" s="10" t="s">
        <v>51851</v>
      </c>
      <c r="B16651" s="24" t="s">
        <v>51852</v>
      </c>
      <c r="C16651" s="24" t="s">
        <v>51853</v>
      </c>
      <c r="D16651" s="25" t="s">
        <v>51854</v>
      </c>
      <c r="E16651" s="26"/>
      <c r="F16651" s="27">
        <f ca="1">ROUND(0.580*(1+G2/100),2)</f>
        <v>0</v>
      </c>
      <c r="G16651" s="26"/>
    </row>
    <row r="16652" spans="1:7" ht="21.36" thickBot="1" customHeight="1">
      <c r="A16652" s="26"/>
      <c r="B16652" s="26"/>
      <c r="C16652" s="26"/>
      <c r="D16652" s="25" t="s">
        <v>51855</v>
      </c>
      <c r="E16652" s="25"/>
      <c r="F16652" s="25"/>
      <c r="G16652" s="25"/>
    </row>
    <row r="16653" spans="1:7" ht="21.36" thickBot="1" customHeight="1">
      <c r="A16653" s="10" t="s">
        <v>51856</v>
      </c>
      <c r="B16653" s="24" t="s">
        <v>51857</v>
      </c>
      <c r="C16653" s="24" t="s">
        <v>51858</v>
      </c>
      <c r="D16653" s="25" t="s">
        <v>51859</v>
      </c>
      <c r="E16653" s="26"/>
      <c r="F16653" s="27">
        <f ca="1">ROUND(1.130*(1+G2/100),2)</f>
        <v>0</v>
      </c>
      <c r="G16653" s="26"/>
    </row>
    <row r="16654" spans="1:7" ht="21.36" thickBot="1" customHeight="1">
      <c r="A16654" s="26"/>
      <c r="B16654" s="26"/>
      <c r="C16654" s="26"/>
      <c r="D16654" s="25" t="s">
        <v>51860</v>
      </c>
      <c r="E16654" s="25"/>
      <c r="F16654" s="25"/>
      <c r="G16654" s="25"/>
    </row>
    <row r="16655" spans="1:7" ht="21.36" thickBot="1" customHeight="1">
      <c r="A16655" s="10" t="s">
        <v>51861</v>
      </c>
      <c r="B16655" s="24" t="s">
        <v>51862</v>
      </c>
      <c r="C16655" s="24" t="s">
        <v>51863</v>
      </c>
      <c r="D16655" s="25" t="s">
        <v>51864</v>
      </c>
      <c r="E16655" s="26"/>
      <c r="F16655" s="27">
        <f ca="1">ROUND(2.070*(1+G2/100),2)</f>
        <v>0</v>
      </c>
      <c r="G16655" s="26"/>
    </row>
    <row r="16656" spans="1:7" ht="21.36" thickBot="1" customHeight="1">
      <c r="A16656" s="26"/>
      <c r="B16656" s="26"/>
      <c r="C16656" s="26"/>
      <c r="D16656" s="25" t="s">
        <v>51865</v>
      </c>
      <c r="E16656" s="25"/>
      <c r="F16656" s="25"/>
      <c r="G16656" s="25"/>
    </row>
    <row r="16657" spans="1:7" ht="21.36" thickBot="1" customHeight="1">
      <c r="A16657" s="10" t="s">
        <v>51866</v>
      </c>
      <c r="B16657" s="24" t="s">
        <v>51867</v>
      </c>
      <c r="C16657" s="24" t="s">
        <v>51868</v>
      </c>
      <c r="D16657" s="25" t="s">
        <v>51869</v>
      </c>
      <c r="E16657" s="26"/>
      <c r="F16657" s="27">
        <f ca="1">ROUND(1.680*(1+G2/100),2)</f>
        <v>0</v>
      </c>
      <c r="G16657" s="26"/>
    </row>
    <row r="16658" spans="1:7" ht="21.36" thickBot="1" customHeight="1">
      <c r="A16658" s="26"/>
      <c r="B16658" s="26"/>
      <c r="C16658" s="26"/>
      <c r="D16658" s="25" t="s">
        <v>51870</v>
      </c>
      <c r="E16658" s="25"/>
      <c r="F16658" s="25"/>
      <c r="G16658" s="25"/>
    </row>
    <row r="16659" spans="1:7" ht="21.36" thickBot="1" customHeight="1">
      <c r="A16659" s="10" t="s">
        <v>51871</v>
      </c>
      <c r="B16659" s="24" t="s">
        <v>51872</v>
      </c>
      <c r="C16659" s="24" t="s">
        <v>51873</v>
      </c>
      <c r="D16659" s="25" t="s">
        <v>51874</v>
      </c>
      <c r="E16659" s="26"/>
      <c r="F16659" s="27">
        <f ca="1">ROUND(3.310*(1+G2/100),2)</f>
        <v>0</v>
      </c>
      <c r="G16659" s="26"/>
    </row>
    <row r="16660" spans="1:7" ht="21.36" thickBot="1" customHeight="1">
      <c r="A16660" s="26"/>
      <c r="B16660" s="26"/>
      <c r="C16660" s="26"/>
      <c r="D16660" s="25" t="s">
        <v>51875</v>
      </c>
      <c r="E16660" s="25"/>
      <c r="F16660" s="25"/>
      <c r="G16660" s="25"/>
    </row>
    <row r="16661" spans="1:7" ht="21.36" thickBot="1" customHeight="1">
      <c r="A16661" s="10" t="s">
        <v>51876</v>
      </c>
      <c r="B16661" s="24" t="s">
        <v>51877</v>
      </c>
      <c r="C16661" s="24" t="s">
        <v>51878</v>
      </c>
      <c r="D16661" s="25" t="s">
        <v>51879</v>
      </c>
      <c r="E16661" s="26"/>
      <c r="F16661" s="27">
        <f ca="1">ROUND(7.420*(1+G2/100),2)</f>
        <v>0</v>
      </c>
      <c r="G16661" s="26"/>
    </row>
    <row r="16662" spans="1:7" ht="21.36" thickBot="1" customHeight="1">
      <c r="A16662" s="26"/>
      <c r="B16662" s="26"/>
      <c r="C16662" s="26"/>
      <c r="D16662" s="25" t="s">
        <v>51880</v>
      </c>
      <c r="E16662" s="25"/>
      <c r="F16662" s="25"/>
      <c r="G16662" s="25"/>
    </row>
    <row r="16663" spans="1:7" ht="30.60" thickBot="1" customHeight="1">
      <c r="A16663" s="10" t="s">
        <v>51881</v>
      </c>
      <c r="B16663" s="24" t="s">
        <v>51882</v>
      </c>
      <c r="C16663" s="24" t="s">
        <v>51883</v>
      </c>
      <c r="D16663" s="25" t="s">
        <v>51884</v>
      </c>
      <c r="E16663" s="26"/>
      <c r="F16663" s="27">
        <f ca="1">ROUND(15.000*(1+G2/100),2)</f>
        <v>0</v>
      </c>
      <c r="G16663" s="26"/>
    </row>
    <row r="16664" spans="1:7" ht="21.36" thickBot="1" customHeight="1">
      <c r="A16664" s="26"/>
      <c r="B16664" s="26"/>
      <c r="C16664" s="26"/>
      <c r="D16664" s="25" t="s">
        <v>51885</v>
      </c>
      <c r="E16664" s="25"/>
      <c r="F16664" s="25"/>
      <c r="G16664" s="25"/>
    </row>
    <row r="16665" spans="1:7" ht="30.60" thickBot="1" customHeight="1">
      <c r="A16665" s="10" t="s">
        <v>51886</v>
      </c>
      <c r="B16665" s="24" t="s">
        <v>51887</v>
      </c>
      <c r="C16665" s="24" t="s">
        <v>51888</v>
      </c>
      <c r="D16665" s="25" t="s">
        <v>51889</v>
      </c>
      <c r="E16665" s="26"/>
      <c r="F16665" s="27">
        <f ca="1">ROUND(21.860*(1+G2/100),2)</f>
        <v>0</v>
      </c>
      <c r="G16665" s="26"/>
    </row>
    <row r="16666" spans="1:7" ht="21.36" thickBot="1" customHeight="1">
      <c r="A16666" s="26"/>
      <c r="B16666" s="26"/>
      <c r="C16666" s="26"/>
      <c r="D16666" s="25" t="s">
        <v>51890</v>
      </c>
      <c r="E16666" s="25"/>
      <c r="F16666" s="25"/>
      <c r="G16666" s="25"/>
    </row>
    <row r="16667" spans="1:7" ht="30.60" thickBot="1" customHeight="1">
      <c r="A16667" s="10" t="s">
        <v>51891</v>
      </c>
      <c r="B16667" s="24" t="s">
        <v>51892</v>
      </c>
      <c r="C16667" s="24" t="s">
        <v>51893</v>
      </c>
      <c r="D16667" s="25" t="s">
        <v>51894</v>
      </c>
      <c r="E16667" s="26"/>
      <c r="F16667" s="27">
        <f ca="1">ROUND(28.270*(1+G2/100),2)</f>
        <v>0</v>
      </c>
      <c r="G16667" s="26"/>
    </row>
    <row r="16668" spans="1:7" ht="21.36" thickBot="1" customHeight="1">
      <c r="A16668" s="26"/>
      <c r="B16668" s="26"/>
      <c r="C16668" s="26"/>
      <c r="D16668" s="25" t="s">
        <v>51895</v>
      </c>
      <c r="E16668" s="25"/>
      <c r="F16668" s="25"/>
      <c r="G16668" s="25"/>
    </row>
    <row r="16669" spans="1:7" ht="30.60" thickBot="1" customHeight="1">
      <c r="A16669" s="10" t="s">
        <v>51896</v>
      </c>
      <c r="B16669" s="24" t="s">
        <v>51897</v>
      </c>
      <c r="C16669" s="24" t="s">
        <v>51898</v>
      </c>
      <c r="D16669" s="25" t="s">
        <v>51899</v>
      </c>
      <c r="E16669" s="26"/>
      <c r="F16669" s="27">
        <f ca="1">ROUND(18.890*(1+G2/100),2)</f>
        <v>0</v>
      </c>
      <c r="G16669" s="26"/>
    </row>
    <row r="16670" spans="1:7" ht="104.52" thickBot="1" customHeight="1">
      <c r="A16670" s="26"/>
      <c r="B16670" s="26"/>
      <c r="C16670" s="26"/>
      <c r="D16670" s="25" t="s">
        <v>51900</v>
      </c>
      <c r="E16670" s="25"/>
      <c r="F16670" s="25"/>
      <c r="G16670" s="25"/>
    </row>
    <row r="16671" spans="1:7" ht="30.60" thickBot="1" customHeight="1">
      <c r="A16671" s="10" t="s">
        <v>51901</v>
      </c>
      <c r="B16671" s="24" t="s">
        <v>51902</v>
      </c>
      <c r="C16671" s="24" t="s">
        <v>51903</v>
      </c>
      <c r="D16671" s="25" t="s">
        <v>51904</v>
      </c>
      <c r="E16671" s="26"/>
      <c r="F16671" s="27">
        <f ca="1">ROUND(22.740*(1+G2/100),2)</f>
        <v>0</v>
      </c>
      <c r="G16671" s="26"/>
    </row>
    <row r="16672" spans="1:7" ht="95.28" thickBot="1" customHeight="1">
      <c r="A16672" s="26"/>
      <c r="B16672" s="26"/>
      <c r="C16672" s="26"/>
      <c r="D16672" s="25" t="s">
        <v>51905</v>
      </c>
      <c r="E16672" s="25"/>
      <c r="F16672" s="25"/>
      <c r="G16672" s="25"/>
    </row>
    <row r="16673" spans="1:7" ht="30.60" thickBot="1" customHeight="1">
      <c r="A16673" s="10" t="s">
        <v>51906</v>
      </c>
      <c r="B16673" s="24" t="s">
        <v>51907</v>
      </c>
      <c r="C16673" s="24" t="s">
        <v>51908</v>
      </c>
      <c r="D16673" s="25" t="s">
        <v>51909</v>
      </c>
      <c r="E16673" s="26"/>
      <c r="F16673" s="27">
        <f ca="1">ROUND(9.740*(1+G2/100),2)</f>
        <v>0</v>
      </c>
      <c r="G16673" s="26"/>
    </row>
    <row r="16674" spans="1:7" ht="39.84" thickBot="1" customHeight="1">
      <c r="A16674" s="26"/>
      <c r="B16674" s="26"/>
      <c r="C16674" s="26"/>
      <c r="D16674" s="25" t="s">
        <v>51910</v>
      </c>
      <c r="E16674" s="25"/>
      <c r="F16674" s="25"/>
      <c r="G16674" s="25"/>
    </row>
    <row r="16675" spans="1:7" ht="30.60" thickBot="1" customHeight="1">
      <c r="A16675" s="10" t="s">
        <v>51911</v>
      </c>
      <c r="B16675" s="24" t="s">
        <v>51912</v>
      </c>
      <c r="C16675" s="24" t="s">
        <v>51913</v>
      </c>
      <c r="D16675" s="25" t="s">
        <v>51914</v>
      </c>
      <c r="E16675" s="26"/>
      <c r="F16675" s="27">
        <f ca="1">ROUND(14.120*(1+G2/100),2)</f>
        <v>0</v>
      </c>
      <c r="G16675" s="26"/>
    </row>
    <row r="16676" spans="1:7" ht="39.84" thickBot="1" customHeight="1">
      <c r="A16676" s="26"/>
      <c r="B16676" s="26"/>
      <c r="C16676" s="26"/>
      <c r="D16676" s="25" t="s">
        <v>51915</v>
      </c>
      <c r="E16676" s="25"/>
      <c r="F16676" s="25"/>
      <c r="G16676" s="25"/>
    </row>
    <row r="16677" spans="1:7" ht="30.60" thickBot="1" customHeight="1">
      <c r="A16677" s="10" t="s">
        <v>51916</v>
      </c>
      <c r="B16677" s="24" t="s">
        <v>51917</v>
      </c>
      <c r="C16677" s="24" t="s">
        <v>51918</v>
      </c>
      <c r="D16677" s="25" t="s">
        <v>51919</v>
      </c>
      <c r="E16677" s="26"/>
      <c r="F16677" s="27">
        <f ca="1">ROUND(24.000*(1+G2/100),2)</f>
        <v>0</v>
      </c>
      <c r="G16677" s="26"/>
    </row>
    <row r="16678" spans="1:7" ht="39.84" thickBot="1" customHeight="1">
      <c r="A16678" s="26"/>
      <c r="B16678" s="26"/>
      <c r="C16678" s="26"/>
      <c r="D16678" s="25" t="s">
        <v>51920</v>
      </c>
      <c r="E16678" s="25"/>
      <c r="F16678" s="25"/>
      <c r="G16678" s="25"/>
    </row>
    <row r="16679" spans="1:7" ht="30.60" thickBot="1" customHeight="1">
      <c r="A16679" s="10" t="s">
        <v>51921</v>
      </c>
      <c r="B16679" s="24" t="s">
        <v>51922</v>
      </c>
      <c r="C16679" s="24" t="s">
        <v>51923</v>
      </c>
      <c r="D16679" s="25" t="s">
        <v>51924</v>
      </c>
      <c r="E16679" s="26"/>
      <c r="F16679" s="27">
        <f ca="1">ROUND(8.040*(1+G2/100),2)</f>
        <v>0</v>
      </c>
      <c r="G16679" s="26"/>
    </row>
    <row r="16680" spans="1:7" ht="39.84" thickBot="1" customHeight="1">
      <c r="A16680" s="26"/>
      <c r="B16680" s="26"/>
      <c r="C16680" s="26"/>
      <c r="D16680" s="25" t="s">
        <v>51925</v>
      </c>
      <c r="E16680" s="25"/>
      <c r="F16680" s="25"/>
      <c r="G16680" s="25"/>
    </row>
    <row r="16681" spans="1:7" ht="30.60" thickBot="1" customHeight="1">
      <c r="A16681" s="10" t="s">
        <v>51926</v>
      </c>
      <c r="B16681" s="24" t="s">
        <v>51927</v>
      </c>
      <c r="C16681" s="24" t="s">
        <v>51928</v>
      </c>
      <c r="D16681" s="25" t="s">
        <v>51929</v>
      </c>
      <c r="E16681" s="26"/>
      <c r="F16681" s="27">
        <f ca="1">ROUND(8.580*(1+G2/100),2)</f>
        <v>0</v>
      </c>
      <c r="G16681" s="26"/>
    </row>
    <row r="16682" spans="1:7" ht="39.84" thickBot="1" customHeight="1">
      <c r="A16682" s="26"/>
      <c r="B16682" s="26"/>
      <c r="C16682" s="26"/>
      <c r="D16682" s="25" t="s">
        <v>51930</v>
      </c>
      <c r="E16682" s="25"/>
      <c r="F16682" s="25"/>
      <c r="G16682" s="25"/>
    </row>
    <row r="16683" spans="1:7" ht="30.60" thickBot="1" customHeight="1">
      <c r="A16683" s="10" t="s">
        <v>51931</v>
      </c>
      <c r="B16683" s="24" t="s">
        <v>51932</v>
      </c>
      <c r="C16683" s="24" t="s">
        <v>51933</v>
      </c>
      <c r="D16683" s="25" t="s">
        <v>51934</v>
      </c>
      <c r="E16683" s="26"/>
      <c r="F16683" s="27">
        <f ca="1">ROUND(10.990*(1+G2/100),2)</f>
        <v>0</v>
      </c>
      <c r="G16683" s="26"/>
    </row>
    <row r="16684" spans="1:7" ht="39.84" thickBot="1" customHeight="1">
      <c r="A16684" s="26"/>
      <c r="B16684" s="26"/>
      <c r="C16684" s="26"/>
      <c r="D16684" s="25" t="s">
        <v>51935</v>
      </c>
      <c r="E16684" s="25"/>
      <c r="F16684" s="25"/>
      <c r="G16684" s="25"/>
    </row>
    <row r="16685" spans="1:7" ht="21.36" thickBot="1" customHeight="1">
      <c r="A16685" s="10" t="s">
        <v>51936</v>
      </c>
      <c r="B16685" s="24" t="s">
        <v>51937</v>
      </c>
      <c r="C16685" s="24" t="s">
        <v>51938</v>
      </c>
      <c r="D16685" s="25" t="s">
        <v>51939</v>
      </c>
      <c r="E16685" s="26"/>
      <c r="F16685" s="27">
        <f ca="1">ROUND(5.500*(1+G2/100),2)</f>
        <v>0</v>
      </c>
      <c r="G16685" s="26"/>
    </row>
    <row r="16686" spans="1:7" ht="30.60" thickBot="1" customHeight="1">
      <c r="A16686" s="26"/>
      <c r="B16686" s="26"/>
      <c r="C16686" s="26"/>
      <c r="D16686" s="25" t="s">
        <v>51940</v>
      </c>
      <c r="E16686" s="25"/>
      <c r="F16686" s="25"/>
      <c r="G16686" s="25"/>
    </row>
    <row r="16687" spans="1:7" ht="30.60" thickBot="1" customHeight="1">
      <c r="A16687" s="10" t="s">
        <v>51941</v>
      </c>
      <c r="B16687" s="24" t="s">
        <v>51942</v>
      </c>
      <c r="C16687" s="24" t="s">
        <v>51943</v>
      </c>
      <c r="D16687" s="25" t="s">
        <v>51944</v>
      </c>
      <c r="E16687" s="26"/>
      <c r="F16687" s="27">
        <f ca="1">ROUND(49.950*(1+G2/100),2)</f>
        <v>0</v>
      </c>
      <c r="G16687" s="26"/>
    </row>
    <row r="16688" spans="1:7" ht="12.12" thickBot="1" customHeight="1">
      <c r="A16688" s="26"/>
      <c r="B16688" s="26"/>
      <c r="C16688" s="26"/>
      <c r="D16688" s="25" t="s">
        <v>51945</v>
      </c>
      <c r="E16688" s="25"/>
      <c r="F16688" s="25"/>
      <c r="G16688" s="25"/>
    </row>
    <row r="16689" spans="1:7" ht="30.60" thickBot="1" customHeight="1">
      <c r="A16689" s="10" t="s">
        <v>51946</v>
      </c>
      <c r="B16689" s="24" t="s">
        <v>51947</v>
      </c>
      <c r="C16689" s="24" t="s">
        <v>51948</v>
      </c>
      <c r="D16689" s="25" t="s">
        <v>51949</v>
      </c>
      <c r="E16689" s="26"/>
      <c r="F16689" s="27">
        <f ca="1">ROUND(5.820*(1+G2/100),2)</f>
        <v>0</v>
      </c>
      <c r="G16689" s="26"/>
    </row>
    <row r="16690" spans="1:7" ht="86.04" thickBot="1" customHeight="1">
      <c r="A16690" s="26"/>
      <c r="B16690" s="26"/>
      <c r="C16690" s="26"/>
      <c r="D16690" s="25" t="s">
        <v>51950</v>
      </c>
      <c r="E16690" s="25"/>
      <c r="F16690" s="25"/>
      <c r="G16690" s="25"/>
    </row>
    <row r="16691" spans="1:7" ht="15.48" thickBot="1" customHeight="1">
      <c r="A16691" s="30"/>
      <c r="B16691" s="30"/>
      <c r="C16691" s="30"/>
      <c r="D16691" s="79" t="s">
        <v>51951</v>
      </c>
      <c r="E16691" s="80"/>
      <c r="F16691" s="80"/>
      <c r="G16691" s="80"/>
    </row>
    <row r="16692" spans="1:7" ht="34.68" thickBot="1" customHeight="1">
      <c r="A16692" s="52" t="s">
        <v>51952</v>
      </c>
      <c r="B16692" s="52" t="s">
        <v>51953</v>
      </c>
      <c r="C16692" s="53"/>
      <c r="D16692" s="54" t="s">
        <v>51954</v>
      </c>
      <c r="E16692" s="53"/>
      <c r="F16692" s="53"/>
      <c r="G16692" s="53"/>
    </row>
    <row r="16693" spans="1:7" ht="30.60" thickBot="1" customHeight="1">
      <c r="A16693" s="10" t="s">
        <v>51955</v>
      </c>
      <c r="B16693" s="24" t="s">
        <v>51956</v>
      </c>
      <c r="C16693" s="24" t="s">
        <v>51957</v>
      </c>
      <c r="D16693" s="25" t="s">
        <v>51958</v>
      </c>
      <c r="E16693" s="26"/>
      <c r="F16693" s="27">
        <f ca="1">ROUND(32.220*(1+G2/100),2)</f>
        <v>0</v>
      </c>
      <c r="G16693" s="26"/>
    </row>
    <row r="16694" spans="1:7" ht="21.36" thickBot="1" customHeight="1">
      <c r="A16694" s="26"/>
      <c r="B16694" s="26"/>
      <c r="C16694" s="26"/>
      <c r="D16694" s="25" t="s">
        <v>51959</v>
      </c>
      <c r="E16694" s="25"/>
      <c r="F16694" s="25"/>
      <c r="G16694" s="25"/>
    </row>
    <row r="16695" spans="1:7" ht="30.60" thickBot="1" customHeight="1">
      <c r="A16695" s="10" t="s">
        <v>51960</v>
      </c>
      <c r="B16695" s="24" t="s">
        <v>51961</v>
      </c>
      <c r="C16695" s="24" t="s">
        <v>51962</v>
      </c>
      <c r="D16695" s="25" t="s">
        <v>51963</v>
      </c>
      <c r="E16695" s="26"/>
      <c r="F16695" s="27">
        <f ca="1">ROUND(45.990*(1+G2/100),2)</f>
        <v>0</v>
      </c>
      <c r="G16695" s="26"/>
    </row>
    <row r="16696" spans="1:7" ht="39.84" thickBot="1" customHeight="1">
      <c r="A16696" s="26"/>
      <c r="B16696" s="26"/>
      <c r="C16696" s="26"/>
      <c r="D16696" s="25" t="s">
        <v>51964</v>
      </c>
      <c r="E16696" s="25"/>
      <c r="F16696" s="25"/>
      <c r="G16696" s="25"/>
    </row>
    <row r="16697" spans="1:7" ht="30.60" thickBot="1" customHeight="1">
      <c r="A16697" s="10" t="s">
        <v>51965</v>
      </c>
      <c r="B16697" s="24" t="s">
        <v>51966</v>
      </c>
      <c r="C16697" s="24" t="s">
        <v>51967</v>
      </c>
      <c r="D16697" s="25" t="s">
        <v>51968</v>
      </c>
      <c r="E16697" s="26"/>
      <c r="F16697" s="27">
        <f ca="1">ROUND(18.990*(1+G2/100),2)</f>
        <v>0</v>
      </c>
      <c r="G16697" s="26"/>
    </row>
    <row r="16698" spans="1:7" ht="58.32" thickBot="1" customHeight="1">
      <c r="A16698" s="26"/>
      <c r="B16698" s="26"/>
      <c r="C16698" s="26"/>
      <c r="D16698" s="25" t="s">
        <v>51969</v>
      </c>
      <c r="E16698" s="25"/>
      <c r="F16698" s="25"/>
      <c r="G16698" s="25"/>
    </row>
    <row r="16699" spans="1:7" ht="21.36" thickBot="1" customHeight="1">
      <c r="A16699" s="10" t="s">
        <v>51970</v>
      </c>
      <c r="B16699" s="24" t="s">
        <v>51971</v>
      </c>
      <c r="C16699" s="24" t="s">
        <v>51972</v>
      </c>
      <c r="D16699" s="25" t="s">
        <v>51973</v>
      </c>
      <c r="E16699" s="26"/>
      <c r="F16699" s="27">
        <f ca="1">ROUND(81.820*(1+G2/100),2)</f>
        <v>0</v>
      </c>
      <c r="G16699" s="26"/>
    </row>
    <row r="16700" spans="1:7" ht="67.56" thickBot="1" customHeight="1">
      <c r="A16700" s="26"/>
      <c r="B16700" s="26"/>
      <c r="C16700" s="26"/>
      <c r="D16700" s="25" t="s">
        <v>51974</v>
      </c>
      <c r="E16700" s="25"/>
      <c r="F16700" s="25"/>
      <c r="G16700" s="25"/>
    </row>
    <row r="16701" spans="1:7" ht="30.60" thickBot="1" customHeight="1">
      <c r="A16701" s="10" t="s">
        <v>51975</v>
      </c>
      <c r="B16701" s="24" t="s">
        <v>51976</v>
      </c>
      <c r="C16701" s="24" t="s">
        <v>51977</v>
      </c>
      <c r="D16701" s="25" t="s">
        <v>51978</v>
      </c>
      <c r="E16701" s="26"/>
      <c r="F16701" s="27">
        <f ca="1">ROUND(38.090*(1+G2/100),2)</f>
        <v>0</v>
      </c>
      <c r="G16701" s="26"/>
    </row>
    <row r="16702" spans="1:7" ht="113.76" thickBot="1" customHeight="1">
      <c r="A16702" s="26"/>
      <c r="B16702" s="26"/>
      <c r="C16702" s="26"/>
      <c r="D16702" s="25" t="s">
        <v>51979</v>
      </c>
      <c r="E16702" s="25"/>
      <c r="F16702" s="25"/>
      <c r="G16702" s="25"/>
    </row>
    <row r="16703" spans="1:7" ht="39.84" thickBot="1" customHeight="1">
      <c r="A16703" s="10" t="s">
        <v>51980</v>
      </c>
      <c r="B16703" s="24" t="s">
        <v>51981</v>
      </c>
      <c r="C16703" s="24" t="s">
        <v>51982</v>
      </c>
      <c r="D16703" s="25" t="s">
        <v>51983</v>
      </c>
      <c r="E16703" s="26"/>
      <c r="F16703" s="27">
        <f ca="1">ROUND(16.190*(1+G2/100),2)</f>
        <v>0</v>
      </c>
      <c r="G16703" s="26"/>
    </row>
    <row r="16704" spans="1:7" ht="39.84" thickBot="1" customHeight="1">
      <c r="A16704" s="26"/>
      <c r="B16704" s="26"/>
      <c r="C16704" s="26"/>
      <c r="D16704" s="25" t="s">
        <v>51984</v>
      </c>
      <c r="E16704" s="25"/>
      <c r="F16704" s="25"/>
      <c r="G16704" s="25"/>
    </row>
    <row r="16705" spans="1:7" ht="30.60" thickBot="1" customHeight="1">
      <c r="A16705" s="10" t="s">
        <v>51985</v>
      </c>
      <c r="B16705" s="24" t="s">
        <v>51986</v>
      </c>
      <c r="C16705" s="24" t="s">
        <v>51987</v>
      </c>
      <c r="D16705" s="25" t="s">
        <v>51988</v>
      </c>
      <c r="E16705" s="26"/>
      <c r="F16705" s="27">
        <f ca="1">ROUND(6.600*(1+G2/100),2)</f>
        <v>0</v>
      </c>
      <c r="G16705" s="26"/>
    </row>
    <row r="16706" spans="1:7" ht="39.84" thickBot="1" customHeight="1">
      <c r="A16706" s="26"/>
      <c r="B16706" s="26"/>
      <c r="C16706" s="26"/>
      <c r="D16706" s="25" t="s">
        <v>51989</v>
      </c>
      <c r="E16706" s="25"/>
      <c r="F16706" s="25"/>
      <c r="G16706" s="25"/>
    </row>
    <row r="16707" spans="1:7" ht="49.08" thickBot="1" customHeight="1">
      <c r="A16707" s="10" t="s">
        <v>51990</v>
      </c>
      <c r="B16707" s="24" t="s">
        <v>51991</v>
      </c>
      <c r="C16707" s="24" t="s">
        <v>51992</v>
      </c>
      <c r="D16707" s="25" t="s">
        <v>51993</v>
      </c>
      <c r="E16707" s="26"/>
      <c r="F16707" s="27">
        <f ca="1">ROUND(123.970*(1+G2/100),2)</f>
        <v>0</v>
      </c>
      <c r="G16707" s="26"/>
    </row>
    <row r="16708" spans="1:7" ht="58.32" thickBot="1" customHeight="1">
      <c r="A16708" s="26"/>
      <c r="B16708" s="26"/>
      <c r="C16708" s="26"/>
      <c r="D16708" s="25" t="s">
        <v>51994</v>
      </c>
      <c r="E16708" s="25"/>
      <c r="F16708" s="25"/>
      <c r="G16708" s="25"/>
    </row>
    <row r="16709" spans="1:7" ht="49.08" thickBot="1" customHeight="1">
      <c r="A16709" s="10" t="s">
        <v>51995</v>
      </c>
      <c r="B16709" s="24" t="s">
        <v>51996</v>
      </c>
      <c r="C16709" s="24" t="s">
        <v>51997</v>
      </c>
      <c r="D16709" s="25" t="s">
        <v>51998</v>
      </c>
      <c r="E16709" s="26"/>
      <c r="F16709" s="27">
        <f ca="1">ROUND(96.690*(1+G2/100),2)</f>
        <v>0</v>
      </c>
      <c r="G16709" s="26"/>
    </row>
    <row r="16710" spans="1:7" ht="233.88" thickBot="1" customHeight="1">
      <c r="A16710" s="26"/>
      <c r="B16710" s="26"/>
      <c r="C16710" s="26"/>
      <c r="D16710" s="25" t="s">
        <v>51999</v>
      </c>
      <c r="E16710" s="25"/>
      <c r="F16710" s="25"/>
      <c r="G16710" s="25"/>
    </row>
    <row r="16711" spans="1:7" ht="21.36" thickBot="1" customHeight="1">
      <c r="A16711" s="10" t="s">
        <v>52000</v>
      </c>
      <c r="B16711" s="24" t="s">
        <v>52001</v>
      </c>
      <c r="C16711" s="24" t="s">
        <v>52002</v>
      </c>
      <c r="D16711" s="25" t="s">
        <v>52003</v>
      </c>
      <c r="E16711" s="26"/>
      <c r="F16711" s="27">
        <f ca="1">ROUND(30.170*(1+G2/100),2)</f>
        <v>0</v>
      </c>
      <c r="G16711" s="26"/>
    </row>
    <row r="16712" spans="1:7" ht="39.84" thickBot="1" customHeight="1">
      <c r="A16712" s="26"/>
      <c r="B16712" s="26"/>
      <c r="C16712" s="26"/>
      <c r="D16712" s="25" t="s">
        <v>52004</v>
      </c>
      <c r="E16712" s="25"/>
      <c r="F16712" s="25"/>
      <c r="G16712" s="25"/>
    </row>
    <row r="16713" spans="1:7" ht="30.60" thickBot="1" customHeight="1">
      <c r="A16713" s="10" t="s">
        <v>52005</v>
      </c>
      <c r="B16713" s="24" t="s">
        <v>52006</v>
      </c>
      <c r="C16713" s="24" t="s">
        <v>52007</v>
      </c>
      <c r="D16713" s="25" t="s">
        <v>52008</v>
      </c>
      <c r="E16713" s="26"/>
      <c r="F16713" s="27">
        <f ca="1">ROUND(23.460*(1+G2/100),2)</f>
        <v>0</v>
      </c>
      <c r="G16713" s="26"/>
    </row>
    <row r="16714" spans="1:7" ht="76.80" thickBot="1" customHeight="1">
      <c r="A16714" s="26"/>
      <c r="B16714" s="26"/>
      <c r="C16714" s="26"/>
      <c r="D16714" s="25" t="s">
        <v>52009</v>
      </c>
      <c r="E16714" s="25"/>
      <c r="F16714" s="25"/>
      <c r="G16714" s="25"/>
    </row>
    <row r="16715" spans="1:7" ht="30.60" thickBot="1" customHeight="1">
      <c r="A16715" s="10" t="s">
        <v>52010</v>
      </c>
      <c r="B16715" s="24" t="s">
        <v>52011</v>
      </c>
      <c r="C16715" s="24" t="s">
        <v>52012</v>
      </c>
      <c r="D16715" s="25" t="s">
        <v>52013</v>
      </c>
      <c r="E16715" s="26"/>
      <c r="F16715" s="27">
        <f ca="1">ROUND(27.500*(1+G2/100),2)</f>
        <v>0</v>
      </c>
      <c r="G16715" s="26"/>
    </row>
    <row r="16716" spans="1:7" ht="12.12" thickBot="1" customHeight="1">
      <c r="A16716" s="26"/>
      <c r="B16716" s="26"/>
      <c r="C16716" s="26"/>
      <c r="D16716" s="25" t="s">
        <v>52014</v>
      </c>
      <c r="E16716" s="25"/>
      <c r="F16716" s="25"/>
      <c r="G16716" s="25"/>
    </row>
    <row r="16717" spans="1:7" ht="30.60" thickBot="1" customHeight="1">
      <c r="A16717" s="10" t="s">
        <v>52015</v>
      </c>
      <c r="B16717" s="24" t="s">
        <v>52016</v>
      </c>
      <c r="C16717" s="24" t="s">
        <v>52017</v>
      </c>
      <c r="D16717" s="25" t="s">
        <v>52018</v>
      </c>
      <c r="E16717" s="26"/>
      <c r="F16717" s="27">
        <f ca="1">ROUND(11.590*(1+G2/100),2)</f>
        <v>0</v>
      </c>
      <c r="G16717" s="26"/>
    </row>
    <row r="16718" spans="1:7" ht="12.12" thickBot="1" customHeight="1">
      <c r="A16718" s="26"/>
      <c r="B16718" s="26"/>
      <c r="C16718" s="26"/>
      <c r="D16718" s="25" t="s">
        <v>52019</v>
      </c>
      <c r="E16718" s="25"/>
      <c r="F16718" s="25"/>
      <c r="G16718" s="25"/>
    </row>
    <row r="16719" spans="1:7" ht="30.60" thickBot="1" customHeight="1">
      <c r="A16719" s="10" t="s">
        <v>52020</v>
      </c>
      <c r="B16719" s="24" t="s">
        <v>52021</v>
      </c>
      <c r="C16719" s="24" t="s">
        <v>52022</v>
      </c>
      <c r="D16719" s="25" t="s">
        <v>52023</v>
      </c>
      <c r="E16719" s="26"/>
      <c r="F16719" s="27">
        <f ca="1">ROUND(18.490*(1+G2/100),2)</f>
        <v>0</v>
      </c>
      <c r="G16719" s="26"/>
    </row>
    <row r="16720" spans="1:7" ht="12.12" thickBot="1" customHeight="1">
      <c r="A16720" s="26"/>
      <c r="B16720" s="26"/>
      <c r="C16720" s="26"/>
      <c r="D16720" s="25" t="s">
        <v>52024</v>
      </c>
      <c r="E16720" s="25"/>
      <c r="F16720" s="25"/>
      <c r="G16720" s="25"/>
    </row>
    <row r="16721" spans="1:7" ht="30.60" thickBot="1" customHeight="1">
      <c r="A16721" s="10" t="s">
        <v>52025</v>
      </c>
      <c r="B16721" s="24" t="s">
        <v>52026</v>
      </c>
      <c r="C16721" s="24" t="s">
        <v>52027</v>
      </c>
      <c r="D16721" s="25" t="s">
        <v>52028</v>
      </c>
      <c r="E16721" s="26"/>
      <c r="F16721" s="27">
        <f ca="1">ROUND(162.830*(1+G2/100),2)</f>
        <v>0</v>
      </c>
      <c r="G16721" s="26"/>
    </row>
    <row r="16722" spans="1:7" ht="39.84" thickBot="1" customHeight="1">
      <c r="A16722" s="26"/>
      <c r="B16722" s="26"/>
      <c r="C16722" s="26"/>
      <c r="D16722" s="25" t="s">
        <v>52029</v>
      </c>
      <c r="E16722" s="25"/>
      <c r="F16722" s="25"/>
      <c r="G16722" s="25"/>
    </row>
    <row r="16723" spans="1:7" ht="25.08" thickBot="1" customHeight="1">
      <c r="A16723" s="30"/>
      <c r="B16723" s="30"/>
      <c r="C16723" s="30"/>
      <c r="D16723" s="79" t="s">
        <v>52030</v>
      </c>
      <c r="E16723" s="80"/>
      <c r="F16723" s="80"/>
      <c r="G16723" s="80"/>
    </row>
    <row r="16724" spans="1:7" ht="25.08" thickBot="1" customHeight="1">
      <c r="A16724" s="52" t="s">
        <v>52031</v>
      </c>
      <c r="B16724" s="52" t="s">
        <v>52032</v>
      </c>
      <c r="C16724" s="53"/>
      <c r="D16724" s="54" t="s">
        <v>52033</v>
      </c>
      <c r="E16724" s="53"/>
      <c r="F16724" s="53"/>
      <c r="G16724" s="53"/>
    </row>
    <row r="16725" spans="1:7" ht="21.36" thickBot="1" customHeight="1">
      <c r="A16725" s="10" t="s">
        <v>52034</v>
      </c>
      <c r="B16725" s="24" t="s">
        <v>52035</v>
      </c>
      <c r="C16725" s="24" t="s">
        <v>52036</v>
      </c>
      <c r="D16725" s="25" t="s">
        <v>52037</v>
      </c>
      <c r="E16725" s="26"/>
      <c r="F16725" s="27">
        <f ca="1">ROUND(8.920*(1+G2/100),2)</f>
        <v>0</v>
      </c>
      <c r="G16725" s="26"/>
    </row>
    <row r="16726" spans="1:7" ht="39.84" thickBot="1" customHeight="1">
      <c r="A16726" s="26"/>
      <c r="B16726" s="26"/>
      <c r="C16726" s="26"/>
      <c r="D16726" s="25" t="s">
        <v>52038</v>
      </c>
      <c r="E16726" s="25"/>
      <c r="F16726" s="25"/>
      <c r="G16726" s="25"/>
    </row>
    <row r="16727" spans="1:7" ht="21.36" thickBot="1" customHeight="1">
      <c r="A16727" s="10" t="s">
        <v>52039</v>
      </c>
      <c r="B16727" s="24" t="s">
        <v>52040</v>
      </c>
      <c r="C16727" s="24" t="s">
        <v>52041</v>
      </c>
      <c r="D16727" s="25" t="s">
        <v>52042</v>
      </c>
      <c r="E16727" s="26"/>
      <c r="F16727" s="27">
        <f ca="1">ROUND(7.640*(1+G2/100),2)</f>
        <v>0</v>
      </c>
      <c r="G16727" s="26"/>
    </row>
    <row r="16728" spans="1:7" ht="39.84" thickBot="1" customHeight="1">
      <c r="A16728" s="26"/>
      <c r="B16728" s="26"/>
      <c r="C16728" s="26"/>
      <c r="D16728" s="25" t="s">
        <v>52043</v>
      </c>
      <c r="E16728" s="25"/>
      <c r="F16728" s="25"/>
      <c r="G16728" s="25"/>
    </row>
    <row r="16729" spans="1:7" ht="21.36" thickBot="1" customHeight="1">
      <c r="A16729" s="10" t="s">
        <v>52044</v>
      </c>
      <c r="B16729" s="24" t="s">
        <v>52045</v>
      </c>
      <c r="C16729" s="24" t="s">
        <v>52046</v>
      </c>
      <c r="D16729" s="25" t="s">
        <v>52047</v>
      </c>
      <c r="E16729" s="26"/>
      <c r="F16729" s="27">
        <f ca="1">ROUND(16.520*(1+G2/100),2)</f>
        <v>0</v>
      </c>
      <c r="G16729" s="26"/>
    </row>
    <row r="16730" spans="1:7" ht="39.84" thickBot="1" customHeight="1">
      <c r="A16730" s="26"/>
      <c r="B16730" s="26"/>
      <c r="C16730" s="26"/>
      <c r="D16730" s="25" t="s">
        <v>52048</v>
      </c>
      <c r="E16730" s="25"/>
      <c r="F16730" s="25"/>
      <c r="G16730" s="25"/>
    </row>
    <row r="16731" spans="1:7" ht="30.60" thickBot="1" customHeight="1">
      <c r="A16731" s="10" t="s">
        <v>52049</v>
      </c>
      <c r="B16731" s="24" t="s">
        <v>52050</v>
      </c>
      <c r="C16731" s="24" t="s">
        <v>52051</v>
      </c>
      <c r="D16731" s="25" t="s">
        <v>52052</v>
      </c>
      <c r="E16731" s="26"/>
      <c r="F16731" s="27">
        <f ca="1">ROUND(1.830*(1+G2/100),2)</f>
        <v>0</v>
      </c>
      <c r="G16731" s="26"/>
    </row>
    <row r="16732" spans="1:7" ht="21.36" thickBot="1" customHeight="1">
      <c r="A16732" s="26"/>
      <c r="B16732" s="26"/>
      <c r="C16732" s="26"/>
      <c r="D16732" s="25" t="s">
        <v>52053</v>
      </c>
      <c r="E16732" s="25"/>
      <c r="F16732" s="25"/>
      <c r="G16732" s="25"/>
    </row>
    <row r="16733" spans="1:7" ht="39.84" thickBot="1" customHeight="1">
      <c r="A16733" s="10" t="s">
        <v>52054</v>
      </c>
      <c r="B16733" s="24" t="s">
        <v>52055</v>
      </c>
      <c r="C16733" s="24" t="s">
        <v>52056</v>
      </c>
      <c r="D16733" s="25" t="s">
        <v>52057</v>
      </c>
      <c r="E16733" s="26"/>
      <c r="F16733" s="27">
        <f ca="1">ROUND(29.740*(1+G2/100),2)</f>
        <v>0</v>
      </c>
      <c r="G16733" s="26"/>
    </row>
    <row r="16734" spans="1:7" ht="39.84" thickBot="1" customHeight="1">
      <c r="A16734" s="26"/>
      <c r="B16734" s="26"/>
      <c r="C16734" s="26"/>
      <c r="D16734" s="25" t="s">
        <v>52058</v>
      </c>
      <c r="E16734" s="25"/>
      <c r="F16734" s="25"/>
      <c r="G16734" s="25"/>
    </row>
    <row r="16735" spans="1:7" ht="21.36" thickBot="1" customHeight="1">
      <c r="A16735" s="10" t="s">
        <v>52059</v>
      </c>
      <c r="B16735" s="24" t="s">
        <v>52060</v>
      </c>
      <c r="C16735" s="24" t="s">
        <v>52061</v>
      </c>
      <c r="D16735" s="25" t="s">
        <v>52062</v>
      </c>
      <c r="E16735" s="26"/>
      <c r="F16735" s="27">
        <f ca="1">ROUND(3.370*(1+G2/100),2)</f>
        <v>0</v>
      </c>
      <c r="G16735" s="26"/>
    </row>
    <row r="16736" spans="1:7" ht="12.12" thickBot="1" customHeight="1">
      <c r="A16736" s="26"/>
      <c r="B16736" s="26"/>
      <c r="C16736" s="26"/>
      <c r="D16736" s="25" t="s">
        <v>52063</v>
      </c>
      <c r="E16736" s="25"/>
      <c r="F16736" s="25"/>
      <c r="G16736" s="25"/>
    </row>
    <row r="16737" spans="1:7" ht="21.36" thickBot="1" customHeight="1">
      <c r="A16737" s="10" t="s">
        <v>52064</v>
      </c>
      <c r="B16737" s="24" t="s">
        <v>52065</v>
      </c>
      <c r="C16737" s="24" t="s">
        <v>52066</v>
      </c>
      <c r="D16737" s="25" t="s">
        <v>52067</v>
      </c>
      <c r="E16737" s="26"/>
      <c r="F16737" s="27">
        <f ca="1">ROUND(4.060*(1+G2/100),2)</f>
        <v>0</v>
      </c>
      <c r="G16737" s="26"/>
    </row>
    <row r="16738" spans="1:7" ht="12.12" thickBot="1" customHeight="1">
      <c r="A16738" s="26"/>
      <c r="B16738" s="26"/>
      <c r="C16738" s="26"/>
      <c r="D16738" s="25" t="s">
        <v>52068</v>
      </c>
      <c r="E16738" s="25"/>
      <c r="F16738" s="25"/>
      <c r="G16738" s="25"/>
    </row>
    <row r="16739" spans="1:7" ht="30.60" thickBot="1" customHeight="1">
      <c r="A16739" s="10" t="s">
        <v>52069</v>
      </c>
      <c r="B16739" s="24" t="s">
        <v>52070</v>
      </c>
      <c r="C16739" s="24" t="s">
        <v>52071</v>
      </c>
      <c r="D16739" s="25" t="s">
        <v>52072</v>
      </c>
      <c r="E16739" s="26"/>
      <c r="F16739" s="27">
        <f ca="1">ROUND(5.800*(1+G2/100),2)</f>
        <v>0</v>
      </c>
      <c r="G16739" s="26"/>
    </row>
    <row r="16740" spans="1:7" ht="30.60" thickBot="1" customHeight="1">
      <c r="A16740" s="26"/>
      <c r="B16740" s="26"/>
      <c r="C16740" s="26"/>
      <c r="D16740" s="25" t="s">
        <v>52073</v>
      </c>
      <c r="E16740" s="25"/>
      <c r="F16740" s="25"/>
      <c r="G16740" s="25"/>
    </row>
    <row r="16741" spans="1:7" ht="39.84" thickBot="1" customHeight="1">
      <c r="A16741" s="10" t="s">
        <v>52074</v>
      </c>
      <c r="B16741" s="24" t="s">
        <v>52075</v>
      </c>
      <c r="C16741" s="24" t="s">
        <v>52076</v>
      </c>
      <c r="D16741" s="25" t="s">
        <v>52077</v>
      </c>
      <c r="E16741" s="26"/>
      <c r="F16741" s="27">
        <f ca="1">ROUND(6.890*(1+G2/100),2)</f>
        <v>0</v>
      </c>
      <c r="G16741" s="26"/>
    </row>
    <row r="16742" spans="1:7" ht="30.60" thickBot="1" customHeight="1">
      <c r="A16742" s="26"/>
      <c r="B16742" s="26"/>
      <c r="C16742" s="26"/>
      <c r="D16742" s="25" t="s">
        <v>52078</v>
      </c>
      <c r="E16742" s="25"/>
      <c r="F16742" s="25"/>
      <c r="G16742" s="25"/>
    </row>
    <row r="16743" spans="1:7" ht="30.60" thickBot="1" customHeight="1">
      <c r="A16743" s="10" t="s">
        <v>52079</v>
      </c>
      <c r="B16743" s="24" t="s">
        <v>52080</v>
      </c>
      <c r="C16743" s="24" t="s">
        <v>52081</v>
      </c>
      <c r="D16743" s="25" t="s">
        <v>52082</v>
      </c>
      <c r="E16743" s="26"/>
      <c r="F16743" s="27">
        <f ca="1">ROUND(2.350*(1+G2/100),2)</f>
        <v>0</v>
      </c>
      <c r="G16743" s="26"/>
    </row>
    <row r="16744" spans="1:7" ht="39.84" thickBot="1" customHeight="1">
      <c r="A16744" s="26"/>
      <c r="B16744" s="26"/>
      <c r="C16744" s="26"/>
      <c r="D16744" s="25" t="s">
        <v>52083</v>
      </c>
      <c r="E16744" s="25"/>
      <c r="F16744" s="25"/>
      <c r="G16744" s="25"/>
    </row>
    <row r="16745" spans="1:7" ht="30.60" thickBot="1" customHeight="1">
      <c r="A16745" s="10" t="s">
        <v>52084</v>
      </c>
      <c r="B16745" s="24" t="s">
        <v>52085</v>
      </c>
      <c r="C16745" s="24" t="s">
        <v>52086</v>
      </c>
      <c r="D16745" s="25" t="s">
        <v>52087</v>
      </c>
      <c r="E16745" s="26"/>
      <c r="F16745" s="27">
        <f ca="1">ROUND(1.800*(1+G2/100),2)</f>
        <v>0</v>
      </c>
      <c r="G16745" s="26"/>
    </row>
    <row r="16746" spans="1:7" ht="39.84" thickBot="1" customHeight="1">
      <c r="A16746" s="26"/>
      <c r="B16746" s="26"/>
      <c r="C16746" s="26"/>
      <c r="D16746" s="25" t="s">
        <v>52088</v>
      </c>
      <c r="E16746" s="25"/>
      <c r="F16746" s="25"/>
      <c r="G16746" s="25"/>
    </row>
    <row r="16747" spans="1:7" ht="30.60" thickBot="1" customHeight="1">
      <c r="A16747" s="10" t="s">
        <v>52089</v>
      </c>
      <c r="B16747" s="24" t="s">
        <v>52090</v>
      </c>
      <c r="C16747" s="24" t="s">
        <v>52091</v>
      </c>
      <c r="D16747" s="25" t="s">
        <v>52092</v>
      </c>
      <c r="E16747" s="26"/>
      <c r="F16747" s="27">
        <f ca="1">ROUND(2.420*(1+G2/100),2)</f>
        <v>0</v>
      </c>
      <c r="G16747" s="26"/>
    </row>
    <row r="16748" spans="1:7" ht="39.84" thickBot="1" customHeight="1">
      <c r="A16748" s="26"/>
      <c r="B16748" s="26"/>
      <c r="C16748" s="26"/>
      <c r="D16748" s="25" t="s">
        <v>52093</v>
      </c>
      <c r="E16748" s="25"/>
      <c r="F16748" s="25"/>
      <c r="G16748" s="25"/>
    </row>
    <row r="16749" spans="1:7" ht="30.60" thickBot="1" customHeight="1">
      <c r="A16749" s="10" t="s">
        <v>52094</v>
      </c>
      <c r="B16749" s="24" t="s">
        <v>52095</v>
      </c>
      <c r="C16749" s="24" t="s">
        <v>52096</v>
      </c>
      <c r="D16749" s="25" t="s">
        <v>52097</v>
      </c>
      <c r="E16749" s="26"/>
      <c r="F16749" s="27">
        <f ca="1">ROUND(25.450*(1+G2/100),2)</f>
        <v>0</v>
      </c>
      <c r="G16749" s="26"/>
    </row>
    <row r="16750" spans="1:7" ht="21.36" thickBot="1" customHeight="1">
      <c r="A16750" s="26"/>
      <c r="B16750" s="26"/>
      <c r="C16750" s="26"/>
      <c r="D16750" s="25" t="s">
        <v>52098</v>
      </c>
      <c r="E16750" s="25"/>
      <c r="F16750" s="25"/>
      <c r="G16750" s="25"/>
    </row>
    <row r="16751" spans="1:7" ht="30.60" thickBot="1" customHeight="1">
      <c r="A16751" s="10" t="s">
        <v>52099</v>
      </c>
      <c r="B16751" s="24" t="s">
        <v>52100</v>
      </c>
      <c r="C16751" s="24" t="s">
        <v>52101</v>
      </c>
      <c r="D16751" s="25" t="s">
        <v>52102</v>
      </c>
      <c r="E16751" s="26"/>
      <c r="F16751" s="27">
        <f ca="1">ROUND(0.950*(1+G2/100),2)</f>
        <v>0</v>
      </c>
      <c r="G16751" s="26"/>
    </row>
    <row r="16752" spans="1:7" ht="12.12" thickBot="1" customHeight="1">
      <c r="A16752" s="26"/>
      <c r="B16752" s="26"/>
      <c r="C16752" s="26"/>
      <c r="D16752" s="25" t="s">
        <v>52103</v>
      </c>
      <c r="E16752" s="25"/>
      <c r="F16752" s="25"/>
      <c r="G16752" s="25"/>
    </row>
    <row r="16753" spans="1:7" ht="30.60" thickBot="1" customHeight="1">
      <c r="A16753" s="10" t="s">
        <v>52104</v>
      </c>
      <c r="B16753" s="24" t="s">
        <v>52105</v>
      </c>
      <c r="C16753" s="24" t="s">
        <v>52106</v>
      </c>
      <c r="D16753" s="25" t="s">
        <v>52107</v>
      </c>
      <c r="E16753" s="26"/>
      <c r="F16753" s="27">
        <f ca="1">ROUND(1.330*(1+G2/100),2)</f>
        <v>0</v>
      </c>
      <c r="G16753" s="26"/>
    </row>
    <row r="16754" spans="1:7" ht="12.12" thickBot="1" customHeight="1">
      <c r="A16754" s="26"/>
      <c r="B16754" s="26"/>
      <c r="C16754" s="26"/>
      <c r="D16754" s="25" t="s">
        <v>52108</v>
      </c>
      <c r="E16754" s="25"/>
      <c r="F16754" s="25"/>
      <c r="G16754" s="25"/>
    </row>
    <row r="16755" spans="1:7" ht="30.60" thickBot="1" customHeight="1">
      <c r="A16755" s="10" t="s">
        <v>52109</v>
      </c>
      <c r="B16755" s="24" t="s">
        <v>52110</v>
      </c>
      <c r="C16755" s="24" t="s">
        <v>52111</v>
      </c>
      <c r="D16755" s="25" t="s">
        <v>52112</v>
      </c>
      <c r="E16755" s="26"/>
      <c r="F16755" s="27">
        <f ca="1">ROUND(4.100*(1+G2/100),2)</f>
        <v>0</v>
      </c>
      <c r="G16755" s="26"/>
    </row>
    <row r="16756" spans="1:7" ht="67.56" thickBot="1" customHeight="1">
      <c r="A16756" s="26"/>
      <c r="B16756" s="26"/>
      <c r="C16756" s="26"/>
      <c r="D16756" s="25" t="s">
        <v>52113</v>
      </c>
      <c r="E16756" s="25"/>
      <c r="F16756" s="25"/>
      <c r="G16756" s="25"/>
    </row>
    <row r="16757" spans="1:7" ht="21.36" thickBot="1" customHeight="1">
      <c r="A16757" s="10" t="s">
        <v>52114</v>
      </c>
      <c r="B16757" s="24" t="s">
        <v>52115</v>
      </c>
      <c r="C16757" s="24" t="s">
        <v>52116</v>
      </c>
      <c r="D16757" s="25" t="s">
        <v>52117</v>
      </c>
      <c r="E16757" s="26"/>
      <c r="F16757" s="27">
        <f ca="1">ROUND(0.700*(1+G2/100),2)</f>
        <v>0</v>
      </c>
      <c r="G16757" s="26"/>
    </row>
    <row r="16758" spans="1:7" ht="58.32" thickBot="1" customHeight="1">
      <c r="A16758" s="26"/>
      <c r="B16758" s="26"/>
      <c r="C16758" s="26"/>
      <c r="D16758" s="25" t="s">
        <v>52118</v>
      </c>
      <c r="E16758" s="25"/>
      <c r="F16758" s="25"/>
      <c r="G16758" s="25"/>
    </row>
    <row r="16759" spans="1:7" ht="39.84" thickBot="1" customHeight="1">
      <c r="A16759" s="10" t="s">
        <v>52119</v>
      </c>
      <c r="B16759" s="24" t="s">
        <v>52120</v>
      </c>
      <c r="C16759" s="24" t="s">
        <v>52121</v>
      </c>
      <c r="D16759" s="25" t="s">
        <v>52122</v>
      </c>
      <c r="E16759" s="26"/>
      <c r="F16759" s="27">
        <f ca="1">ROUND(100.830*(1+G2/100),2)</f>
        <v>0</v>
      </c>
      <c r="G16759" s="26"/>
    </row>
    <row r="16760" spans="1:7" ht="49.08" thickBot="1" customHeight="1">
      <c r="A16760" s="26"/>
      <c r="B16760" s="26"/>
      <c r="C16760" s="26"/>
      <c r="D16760" s="25" t="s">
        <v>52123</v>
      </c>
      <c r="E16760" s="25"/>
      <c r="F16760" s="25"/>
      <c r="G16760" s="25"/>
    </row>
    <row r="16761" spans="1:7" ht="21.36" thickBot="1" customHeight="1">
      <c r="A16761" s="10" t="s">
        <v>52124</v>
      </c>
      <c r="B16761" s="24" t="s">
        <v>52125</v>
      </c>
      <c r="C16761" s="24" t="s">
        <v>52126</v>
      </c>
      <c r="D16761" s="25" t="s">
        <v>52127</v>
      </c>
      <c r="E16761" s="26"/>
      <c r="F16761" s="27">
        <f ca="1">ROUND(0.200*(1+G2/100),2)</f>
        <v>0</v>
      </c>
      <c r="G16761" s="26"/>
    </row>
    <row r="16762" spans="1:7" ht="30.60" thickBot="1" customHeight="1">
      <c r="A16762" s="26"/>
      <c r="B16762" s="26"/>
      <c r="C16762" s="26"/>
      <c r="D16762" s="25" t="s">
        <v>52128</v>
      </c>
      <c r="E16762" s="25"/>
      <c r="F16762" s="25"/>
      <c r="G16762" s="25"/>
    </row>
    <row r="16763" spans="1:7" ht="15.48" thickBot="1" customHeight="1">
      <c r="A16763" s="30"/>
      <c r="B16763" s="30"/>
      <c r="C16763" s="30"/>
      <c r="D16763" s="79" t="s">
        <v>52129</v>
      </c>
      <c r="E16763" s="80"/>
      <c r="F16763" s="80"/>
      <c r="G16763" s="80"/>
    </row>
    <row r="16764" spans="1:7" ht="15.48" thickBot="1" customHeight="1">
      <c r="A16764" s="34" t="s">
        <v>52130</v>
      </c>
      <c r="B16764" s="35" t="s">
        <v>52131</v>
      </c>
      <c r="C16764" s="35" t="s">
        <v>52132</v>
      </c>
      <c r="D16764" s="36" t="s">
        <v>52133</v>
      </c>
      <c r="E16764" s="37"/>
      <c r="F16764" s="38">
        <f ca="1">ROUND(0.000*(1+G2/100),2)</f>
        <v>0</v>
      </c>
      <c r="G16764" s="37"/>
    </row>
    <row r="16765" spans="1:7" ht="86.04" thickBot="1" customHeight="1">
      <c r="A16765" s="26"/>
      <c r="B16765" s="26"/>
      <c r="C16765" s="26"/>
      <c r="D16765" s="25" t="s">
        <v>52134</v>
      </c>
      <c r="E16765" s="25"/>
      <c r="F16765" s="25"/>
      <c r="G16765" s="25"/>
    </row>
    <row r="16766" spans="1:7" ht="34.68" thickBot="1" customHeight="1">
      <c r="A16766" s="18" t="s">
        <v>52135</v>
      </c>
      <c r="B16766" s="18" t="s">
        <v>52136</v>
      </c>
      <c r="C16766" s="19"/>
      <c r="D16766" s="20" t="s">
        <v>52137</v>
      </c>
      <c r="E16766" s="19"/>
      <c r="F16766" s="19"/>
      <c r="G16766" s="19"/>
    </row>
    <row r="16767" spans="1:7" ht="49.08" thickBot="1" customHeight="1">
      <c r="A16767" s="10" t="s">
        <v>52138</v>
      </c>
      <c r="B16767" s="24" t="s">
        <v>52139</v>
      </c>
      <c r="C16767" s="24" t="s">
        <v>52140</v>
      </c>
      <c r="D16767" s="25" t="s">
        <v>52141</v>
      </c>
      <c r="E16767" s="26"/>
      <c r="F16767" s="27">
        <f ca="1">ROUND(16.370*(1+G2/100),2)</f>
        <v>0</v>
      </c>
      <c r="G16767" s="26"/>
    </row>
    <row r="16768" spans="1:7" ht="363.24" thickBot="1" customHeight="1">
      <c r="A16768" s="26"/>
      <c r="B16768" s="26"/>
      <c r="C16768" s="26"/>
      <c r="D16768" s="25" t="s">
        <v>52142</v>
      </c>
      <c r="E16768" s="25"/>
      <c r="F16768" s="25"/>
      <c r="G16768" s="25"/>
    </row>
    <row r="16769" spans="1:7" ht="39.84" thickBot="1" customHeight="1">
      <c r="A16769" s="10" t="s">
        <v>52143</v>
      </c>
      <c r="B16769" s="24" t="s">
        <v>52144</v>
      </c>
      <c r="C16769" s="24" t="s">
        <v>52145</v>
      </c>
      <c r="D16769" s="25" t="s">
        <v>52146</v>
      </c>
      <c r="E16769" s="26"/>
      <c r="F16769" s="27">
        <f ca="1">ROUND(50.820*(1+G2/100),2)</f>
        <v>0</v>
      </c>
      <c r="G16769" s="26"/>
    </row>
    <row r="16770" spans="1:7" ht="270.84" thickBot="1" customHeight="1">
      <c r="A16770" s="26"/>
      <c r="B16770" s="26"/>
      <c r="C16770" s="26"/>
      <c r="D16770" s="25" t="s">
        <v>52147</v>
      </c>
      <c r="E16770" s="25"/>
      <c r="F16770" s="25"/>
      <c r="G16770" s="25"/>
    </row>
    <row r="16771" spans="1:7" ht="58.32" thickBot="1" customHeight="1">
      <c r="A16771" s="10" t="s">
        <v>52148</v>
      </c>
      <c r="B16771" s="24" t="s">
        <v>52149</v>
      </c>
      <c r="C16771" s="24" t="s">
        <v>52150</v>
      </c>
      <c r="D16771" s="25" t="s">
        <v>52151</v>
      </c>
      <c r="E16771" s="26"/>
      <c r="F16771" s="27">
        <f ca="1">ROUND(16.520*(1+G2/100),2)</f>
        <v>0</v>
      </c>
      <c r="G16771" s="26"/>
    </row>
    <row r="16772" spans="1:7" ht="95.28" thickBot="1" customHeight="1">
      <c r="A16772" s="26"/>
      <c r="B16772" s="26"/>
      <c r="C16772" s="26"/>
      <c r="D16772" s="25" t="s">
        <v>52152</v>
      </c>
      <c r="E16772" s="25"/>
      <c r="F16772" s="25"/>
      <c r="G16772" s="25"/>
    </row>
    <row r="16773" spans="1:7" ht="58.32" thickBot="1" customHeight="1">
      <c r="A16773" s="10" t="s">
        <v>52153</v>
      </c>
      <c r="B16773" s="24" t="s">
        <v>52154</v>
      </c>
      <c r="C16773" s="24" t="s">
        <v>52155</v>
      </c>
      <c r="D16773" s="25" t="s">
        <v>52156</v>
      </c>
      <c r="E16773" s="26"/>
      <c r="F16773" s="27">
        <f ca="1">ROUND(16.250*(1+G2/100),2)</f>
        <v>0</v>
      </c>
      <c r="G16773" s="26"/>
    </row>
    <row r="16774" spans="1:7" ht="95.28" thickBot="1" customHeight="1">
      <c r="A16774" s="26"/>
      <c r="B16774" s="26"/>
      <c r="C16774" s="26"/>
      <c r="D16774" s="25" t="s">
        <v>52157</v>
      </c>
      <c r="E16774" s="25"/>
      <c r="F16774" s="25"/>
      <c r="G16774" s="25"/>
    </row>
    <row r="16775" spans="1:7" ht="30.60" thickBot="1" customHeight="1">
      <c r="A16775" s="10" t="s">
        <v>52158</v>
      </c>
      <c r="B16775" s="24" t="s">
        <v>52159</v>
      </c>
      <c r="C16775" s="24" t="s">
        <v>52160</v>
      </c>
      <c r="D16775" s="25" t="s">
        <v>52161</v>
      </c>
      <c r="E16775" s="26"/>
      <c r="F16775" s="27">
        <f ca="1">ROUND(29.840*(1+G2/100),2)</f>
        <v>0</v>
      </c>
      <c r="G16775" s="26"/>
    </row>
    <row r="16776" spans="1:7" ht="224.64" thickBot="1" customHeight="1">
      <c r="A16776" s="26"/>
      <c r="B16776" s="26"/>
      <c r="C16776" s="26"/>
      <c r="D16776" s="25" t="s">
        <v>52162</v>
      </c>
      <c r="E16776" s="25"/>
      <c r="F16776" s="25"/>
      <c r="G16776" s="25"/>
    </row>
    <row r="16777" spans="1:7" ht="39.84" thickBot="1" customHeight="1">
      <c r="A16777" s="10" t="s">
        <v>52163</v>
      </c>
      <c r="B16777" s="24" t="s">
        <v>52164</v>
      </c>
      <c r="C16777" s="24" t="s">
        <v>52165</v>
      </c>
      <c r="D16777" s="25" t="s">
        <v>52166</v>
      </c>
      <c r="E16777" s="26"/>
      <c r="F16777" s="27">
        <f ca="1">ROUND(20.040*(1+G2/100),2)</f>
        <v>0</v>
      </c>
      <c r="G16777" s="26"/>
    </row>
    <row r="16778" spans="1:7" ht="67.56" thickBot="1" customHeight="1">
      <c r="A16778" s="26"/>
      <c r="B16778" s="26"/>
      <c r="C16778" s="26"/>
      <c r="D16778" s="25" t="s">
        <v>52167</v>
      </c>
      <c r="E16778" s="25"/>
      <c r="F16778" s="25"/>
      <c r="G16778" s="25"/>
    </row>
    <row r="16779" spans="1:7" ht="49.08" thickBot="1" customHeight="1">
      <c r="A16779" s="10" t="s">
        <v>52168</v>
      </c>
      <c r="B16779" s="24" t="s">
        <v>52169</v>
      </c>
      <c r="C16779" s="24" t="s">
        <v>52170</v>
      </c>
      <c r="D16779" s="25" t="s">
        <v>52171</v>
      </c>
      <c r="E16779" s="26"/>
      <c r="F16779" s="27">
        <f ca="1">ROUND(33.200*(1+G2/100),2)</f>
        <v>0</v>
      </c>
      <c r="G16779" s="26"/>
    </row>
    <row r="16780" spans="1:7" ht="132.24" thickBot="1" customHeight="1">
      <c r="A16780" s="26"/>
      <c r="B16780" s="26"/>
      <c r="C16780" s="26"/>
      <c r="D16780" s="25" t="s">
        <v>52172</v>
      </c>
      <c r="E16780" s="25"/>
      <c r="F16780" s="25"/>
      <c r="G16780" s="25"/>
    </row>
    <row r="16781" spans="1:7" ht="39.84" thickBot="1" customHeight="1">
      <c r="A16781" s="10" t="s">
        <v>52173</v>
      </c>
      <c r="B16781" s="24" t="s">
        <v>52174</v>
      </c>
      <c r="C16781" s="24" t="s">
        <v>52175</v>
      </c>
      <c r="D16781" s="25" t="s">
        <v>52176</v>
      </c>
      <c r="E16781" s="26"/>
      <c r="F16781" s="27">
        <f ca="1">ROUND(4.050*(1+G2/100),2)</f>
        <v>0</v>
      </c>
      <c r="G16781" s="26"/>
    </row>
    <row r="16782" spans="1:7" ht="58.32" thickBot="1" customHeight="1">
      <c r="A16782" s="26"/>
      <c r="B16782" s="26"/>
      <c r="C16782" s="26"/>
      <c r="D16782" s="25" t="s">
        <v>52177</v>
      </c>
      <c r="E16782" s="25"/>
      <c r="F16782" s="25"/>
      <c r="G16782" s="25"/>
    </row>
    <row r="16783" spans="1:7" ht="39.84" thickBot="1" customHeight="1">
      <c r="A16783" s="10" t="s">
        <v>52178</v>
      </c>
      <c r="B16783" s="24" t="s">
        <v>52179</v>
      </c>
      <c r="C16783" s="24" t="s">
        <v>52180</v>
      </c>
      <c r="D16783" s="25" t="s">
        <v>52181</v>
      </c>
      <c r="E16783" s="26"/>
      <c r="F16783" s="27">
        <f ca="1">ROUND(38.240*(1+G2/100),2)</f>
        <v>0</v>
      </c>
      <c r="G16783" s="26"/>
    </row>
    <row r="16784" spans="1:7" ht="67.56" thickBot="1" customHeight="1">
      <c r="A16784" s="26"/>
      <c r="B16784" s="26"/>
      <c r="C16784" s="26"/>
      <c r="D16784" s="25" t="s">
        <v>52182</v>
      </c>
      <c r="E16784" s="25"/>
      <c r="F16784" s="25"/>
      <c r="G16784" s="25"/>
    </row>
    <row r="16785" spans="1:7" ht="30.60" thickBot="1" customHeight="1">
      <c r="A16785" s="10" t="s">
        <v>52183</v>
      </c>
      <c r="B16785" s="24" t="s">
        <v>52184</v>
      </c>
      <c r="C16785" s="24" t="s">
        <v>52185</v>
      </c>
      <c r="D16785" s="25" t="s">
        <v>52186</v>
      </c>
      <c r="E16785" s="26"/>
      <c r="F16785" s="27">
        <f ca="1">ROUND(2.400*(1+G2/100),2)</f>
        <v>0</v>
      </c>
      <c r="G16785" s="26"/>
    </row>
    <row r="16786" spans="1:7" ht="86.04" thickBot="1" customHeight="1">
      <c r="A16786" s="26"/>
      <c r="B16786" s="26"/>
      <c r="C16786" s="26"/>
      <c r="D16786" s="25" t="s">
        <v>52187</v>
      </c>
      <c r="E16786" s="25"/>
      <c r="F16786" s="25"/>
      <c r="G16786" s="25"/>
    </row>
    <row r="16787" spans="1:7" ht="49.08" thickBot="1" customHeight="1">
      <c r="A16787" s="10" t="s">
        <v>52188</v>
      </c>
      <c r="B16787" s="24" t="s">
        <v>52189</v>
      </c>
      <c r="C16787" s="24" t="s">
        <v>52190</v>
      </c>
      <c r="D16787" s="25" t="s">
        <v>52191</v>
      </c>
      <c r="E16787" s="26"/>
      <c r="F16787" s="27">
        <f ca="1">ROUND(103.530*(1+G2/100),2)</f>
        <v>0</v>
      </c>
      <c r="G16787" s="26"/>
    </row>
    <row r="16788" spans="1:7" ht="39.84" thickBot="1" customHeight="1">
      <c r="A16788" s="26"/>
      <c r="B16788" s="26"/>
      <c r="C16788" s="26"/>
      <c r="D16788" s="25" t="s">
        <v>52192</v>
      </c>
      <c r="E16788" s="25"/>
      <c r="F16788" s="25"/>
      <c r="G16788" s="25"/>
    </row>
    <row r="16789" spans="1:7" ht="58.32" thickBot="1" customHeight="1">
      <c r="A16789" s="10" t="s">
        <v>52193</v>
      </c>
      <c r="B16789" s="24" t="s">
        <v>52194</v>
      </c>
      <c r="C16789" s="24" t="s">
        <v>52195</v>
      </c>
      <c r="D16789" s="25" t="s">
        <v>52196</v>
      </c>
      <c r="E16789" s="26"/>
      <c r="F16789" s="27">
        <f ca="1">ROUND(146.160*(1+G2/100),2)</f>
        <v>0</v>
      </c>
      <c r="G16789" s="26"/>
    </row>
    <row r="16790" spans="1:7" ht="196.92" thickBot="1" customHeight="1">
      <c r="A16790" s="26"/>
      <c r="B16790" s="26"/>
      <c r="C16790" s="26"/>
      <c r="D16790" s="25" t="s">
        <v>52197</v>
      </c>
      <c r="E16790" s="25"/>
      <c r="F16790" s="25"/>
      <c r="G16790" s="25"/>
    </row>
    <row r="16791" spans="1:7" ht="30.60" thickBot="1" customHeight="1">
      <c r="A16791" s="10" t="s">
        <v>52198</v>
      </c>
      <c r="B16791" s="24" t="s">
        <v>52199</v>
      </c>
      <c r="C16791" s="24" t="s">
        <v>52200</v>
      </c>
      <c r="D16791" s="25" t="s">
        <v>52201</v>
      </c>
      <c r="E16791" s="26"/>
      <c r="F16791" s="27">
        <f ca="1">ROUND(143.220*(1+G2/100),2)</f>
        <v>0</v>
      </c>
      <c r="G16791" s="26"/>
    </row>
    <row r="16792" spans="1:7" ht="30.60" thickBot="1" customHeight="1">
      <c r="A16792" s="26"/>
      <c r="B16792" s="26"/>
      <c r="C16792" s="26"/>
      <c r="D16792" s="25" t="s">
        <v>52202</v>
      </c>
      <c r="E16792" s="25"/>
      <c r="F16792" s="25"/>
      <c r="G16792" s="25"/>
    </row>
    <row r="16793" spans="1:7" ht="58.32" thickBot="1" customHeight="1">
      <c r="A16793" s="10" t="s">
        <v>52203</v>
      </c>
      <c r="B16793" s="24" t="s">
        <v>52204</v>
      </c>
      <c r="C16793" s="24" t="s">
        <v>52205</v>
      </c>
      <c r="D16793" s="25" t="s">
        <v>52206</v>
      </c>
      <c r="E16793" s="26"/>
      <c r="F16793" s="27">
        <f ca="1">ROUND(123.140*(1+G2/100),2)</f>
        <v>0</v>
      </c>
      <c r="G16793" s="26"/>
    </row>
    <row r="16794" spans="1:7" ht="86.04" thickBot="1" customHeight="1">
      <c r="A16794" s="26"/>
      <c r="B16794" s="26"/>
      <c r="C16794" s="26"/>
      <c r="D16794" s="25" t="s">
        <v>52207</v>
      </c>
      <c r="E16794" s="25"/>
      <c r="F16794" s="25"/>
      <c r="G16794" s="25"/>
    </row>
    <row r="16795" spans="1:7" ht="49.08" thickBot="1" customHeight="1">
      <c r="A16795" s="10" t="s">
        <v>52208</v>
      </c>
      <c r="B16795" s="24" t="s">
        <v>52209</v>
      </c>
      <c r="C16795" s="24" t="s">
        <v>52210</v>
      </c>
      <c r="D16795" s="25" t="s">
        <v>52211</v>
      </c>
      <c r="E16795" s="26"/>
      <c r="F16795" s="27">
        <f ca="1">ROUND(4.350*(1+G2/100),2)</f>
        <v>0</v>
      </c>
      <c r="G16795" s="26"/>
    </row>
    <row r="16796" spans="1:7" ht="150.72" thickBot="1" customHeight="1">
      <c r="A16796" s="26"/>
      <c r="B16796" s="26"/>
      <c r="C16796" s="26"/>
      <c r="D16796" s="25" t="s">
        <v>52212</v>
      </c>
      <c r="E16796" s="25"/>
      <c r="F16796" s="25"/>
      <c r="G16796" s="25"/>
    </row>
    <row r="16797" spans="1:7" ht="49.08" thickBot="1" customHeight="1">
      <c r="A16797" s="10" t="s">
        <v>52213</v>
      </c>
      <c r="B16797" s="24" t="s">
        <v>52214</v>
      </c>
      <c r="C16797" s="24" t="s">
        <v>52215</v>
      </c>
      <c r="D16797" s="25" t="s">
        <v>52216</v>
      </c>
      <c r="E16797" s="26"/>
      <c r="F16797" s="27">
        <f ca="1">ROUND(19.250*(1+G2/100),2)</f>
        <v>0</v>
      </c>
      <c r="G16797" s="26"/>
    </row>
    <row r="16798" spans="1:7" ht="123.00" thickBot="1" customHeight="1">
      <c r="A16798" s="26"/>
      <c r="B16798" s="26"/>
      <c r="C16798" s="26"/>
      <c r="D16798" s="25" t="s">
        <v>52217</v>
      </c>
      <c r="E16798" s="25"/>
      <c r="F16798" s="25"/>
      <c r="G16798" s="25"/>
    </row>
    <row r="16799" spans="1:7" ht="30.60" thickBot="1" customHeight="1">
      <c r="A16799" s="10" t="s">
        <v>52218</v>
      </c>
      <c r="B16799" s="24" t="s">
        <v>52219</v>
      </c>
      <c r="C16799" s="24" t="s">
        <v>52220</v>
      </c>
      <c r="D16799" s="25" t="s">
        <v>52221</v>
      </c>
      <c r="E16799" s="26"/>
      <c r="F16799" s="27">
        <f ca="1">ROUND(60.400*(1+G2/100),2)</f>
        <v>0</v>
      </c>
      <c r="G16799" s="26"/>
    </row>
    <row r="16800" spans="1:7" ht="49.08" thickBot="1" customHeight="1">
      <c r="A16800" s="26"/>
      <c r="B16800" s="26"/>
      <c r="C16800" s="26"/>
      <c r="D16800" s="25" t="s">
        <v>52222</v>
      </c>
      <c r="E16800" s="25"/>
      <c r="F16800" s="25"/>
      <c r="G16800" s="25"/>
    </row>
    <row r="16801" spans="1:7" ht="30.60" thickBot="1" customHeight="1">
      <c r="A16801" s="10" t="s">
        <v>52223</v>
      </c>
      <c r="B16801" s="24" t="s">
        <v>52224</v>
      </c>
      <c r="C16801" s="24" t="s">
        <v>52225</v>
      </c>
      <c r="D16801" s="25" t="s">
        <v>52226</v>
      </c>
      <c r="E16801" s="26"/>
      <c r="F16801" s="27">
        <f ca="1">ROUND(3.730*(1+G2/100),2)</f>
        <v>0</v>
      </c>
      <c r="G16801" s="26"/>
    </row>
    <row r="16802" spans="1:7" ht="67.56" thickBot="1" customHeight="1">
      <c r="A16802" s="26"/>
      <c r="B16802" s="26"/>
      <c r="C16802" s="26"/>
      <c r="D16802" s="25" t="s">
        <v>52227</v>
      </c>
      <c r="E16802" s="25"/>
      <c r="F16802" s="25"/>
      <c r="G16802" s="25"/>
    </row>
    <row r="16803" spans="1:7" ht="30.60" thickBot="1" customHeight="1">
      <c r="A16803" s="10" t="s">
        <v>52228</v>
      </c>
      <c r="B16803" s="24" t="s">
        <v>52229</v>
      </c>
      <c r="C16803" s="24" t="s">
        <v>52230</v>
      </c>
      <c r="D16803" s="25" t="s">
        <v>52231</v>
      </c>
      <c r="E16803" s="26"/>
      <c r="F16803" s="27">
        <f ca="1">ROUND(5.210*(1+G2/100),2)</f>
        <v>0</v>
      </c>
      <c r="G16803" s="26"/>
    </row>
    <row r="16804" spans="1:7" ht="58.32" thickBot="1" customHeight="1">
      <c r="A16804" s="26"/>
      <c r="B16804" s="26"/>
      <c r="C16804" s="26"/>
      <c r="D16804" s="25" t="s">
        <v>52232</v>
      </c>
      <c r="E16804" s="25"/>
      <c r="F16804" s="25"/>
      <c r="G16804" s="25"/>
    </row>
    <row r="16805" spans="1:7" ht="30.60" thickBot="1" customHeight="1">
      <c r="A16805" s="10" t="s">
        <v>52233</v>
      </c>
      <c r="B16805" s="24" t="s">
        <v>52234</v>
      </c>
      <c r="C16805" s="24" t="s">
        <v>52235</v>
      </c>
      <c r="D16805" s="25" t="s">
        <v>52236</v>
      </c>
      <c r="E16805" s="26"/>
      <c r="F16805" s="27">
        <f ca="1">ROUND(55.500*(1+G2/100),2)</f>
        <v>0</v>
      </c>
      <c r="G16805" s="26"/>
    </row>
    <row r="16806" spans="1:7" ht="49.08" thickBot="1" customHeight="1">
      <c r="A16806" s="26"/>
      <c r="B16806" s="26"/>
      <c r="C16806" s="26"/>
      <c r="D16806" s="25" t="s">
        <v>52237</v>
      </c>
      <c r="E16806" s="25"/>
      <c r="F16806" s="25"/>
      <c r="G16806" s="25"/>
    </row>
    <row r="16807" spans="1:7" ht="21.36" thickBot="1" customHeight="1">
      <c r="A16807" s="10" t="s">
        <v>52238</v>
      </c>
      <c r="B16807" s="24" t="s">
        <v>52239</v>
      </c>
      <c r="C16807" s="24" t="s">
        <v>52240</v>
      </c>
      <c r="D16807" s="25" t="s">
        <v>52241</v>
      </c>
      <c r="E16807" s="26"/>
      <c r="F16807" s="27">
        <f ca="1">ROUND(2.280*(1+G2/100),2)</f>
        <v>0</v>
      </c>
      <c r="G16807" s="26"/>
    </row>
    <row r="16808" spans="1:7" ht="113.76" thickBot="1" customHeight="1">
      <c r="A16808" s="26"/>
      <c r="B16808" s="26"/>
      <c r="C16808" s="26"/>
      <c r="D16808" s="25" t="s">
        <v>52242</v>
      </c>
      <c r="E16808" s="25"/>
      <c r="F16808" s="25"/>
      <c r="G16808" s="25"/>
    </row>
    <row r="16809" spans="1:7" ht="39.84" thickBot="1" customHeight="1">
      <c r="A16809" s="10" t="s">
        <v>52243</v>
      </c>
      <c r="B16809" s="24" t="s">
        <v>52244</v>
      </c>
      <c r="C16809" s="24" t="s">
        <v>52245</v>
      </c>
      <c r="D16809" s="25" t="s">
        <v>52246</v>
      </c>
      <c r="E16809" s="26"/>
      <c r="F16809" s="27">
        <f ca="1">ROUND(2.600*(1+G2/100),2)</f>
        <v>0</v>
      </c>
      <c r="G16809" s="26"/>
    </row>
    <row r="16810" spans="1:7" ht="67.56" thickBot="1" customHeight="1">
      <c r="A16810" s="26"/>
      <c r="B16810" s="26"/>
      <c r="C16810" s="26"/>
      <c r="D16810" s="25" t="s">
        <v>52247</v>
      </c>
      <c r="E16810" s="25"/>
      <c r="F16810" s="25"/>
      <c r="G16810" s="25"/>
    </row>
    <row r="16811" spans="1:7" ht="30.60" thickBot="1" customHeight="1">
      <c r="A16811" s="10" t="s">
        <v>52248</v>
      </c>
      <c r="B16811" s="24" t="s">
        <v>52249</v>
      </c>
      <c r="C16811" s="24" t="s">
        <v>52250</v>
      </c>
      <c r="D16811" s="25" t="s">
        <v>52251</v>
      </c>
      <c r="E16811" s="26"/>
      <c r="F16811" s="27">
        <f ca="1">ROUND(1.470*(1+G2/100),2)</f>
        <v>0</v>
      </c>
      <c r="G16811" s="26"/>
    </row>
    <row r="16812" spans="1:7" ht="67.56" thickBot="1" customHeight="1">
      <c r="A16812" s="26"/>
      <c r="B16812" s="26"/>
      <c r="C16812" s="26"/>
      <c r="D16812" s="25" t="s">
        <v>52252</v>
      </c>
      <c r="E16812" s="25"/>
      <c r="F16812" s="25"/>
      <c r="G16812" s="25"/>
    </row>
    <row r="16813" spans="1:7" ht="21.36" thickBot="1" customHeight="1">
      <c r="A16813" s="10" t="s">
        <v>52253</v>
      </c>
      <c r="B16813" s="24" t="s">
        <v>52254</v>
      </c>
      <c r="C16813" s="24" t="s">
        <v>52255</v>
      </c>
      <c r="D16813" s="25" t="s">
        <v>52256</v>
      </c>
      <c r="E16813" s="26"/>
      <c r="F16813" s="27">
        <f ca="1">ROUND(1.620*(1+G2/100),2)</f>
        <v>0</v>
      </c>
      <c r="G16813" s="26"/>
    </row>
    <row r="16814" spans="1:7" ht="86.04" thickBot="1" customHeight="1">
      <c r="A16814" s="26"/>
      <c r="B16814" s="26"/>
      <c r="C16814" s="26"/>
      <c r="D16814" s="25" t="s">
        <v>52257</v>
      </c>
      <c r="E16814" s="25"/>
      <c r="F16814" s="25"/>
      <c r="G16814" s="25"/>
    </row>
    <row r="16815" spans="1:7" ht="39.84" thickBot="1" customHeight="1">
      <c r="A16815" s="10" t="s">
        <v>52258</v>
      </c>
      <c r="B16815" s="24" t="s">
        <v>52259</v>
      </c>
      <c r="C16815" s="24" t="s">
        <v>52260</v>
      </c>
      <c r="D16815" s="25" t="s">
        <v>52261</v>
      </c>
      <c r="E16815" s="26"/>
      <c r="F16815" s="27">
        <f ca="1">ROUND(1.850*(1+G2/100),2)</f>
        <v>0</v>
      </c>
      <c r="G16815" s="26"/>
    </row>
    <row r="16816" spans="1:7" ht="49.08" thickBot="1" customHeight="1">
      <c r="A16816" s="26"/>
      <c r="B16816" s="26"/>
      <c r="C16816" s="26"/>
      <c r="D16816" s="25" t="s">
        <v>52262</v>
      </c>
      <c r="E16816" s="25"/>
      <c r="F16816" s="25"/>
      <c r="G16816" s="25"/>
    </row>
    <row r="16817" spans="1:7" ht="39.84" thickBot="1" customHeight="1">
      <c r="A16817" s="10" t="s">
        <v>52263</v>
      </c>
      <c r="B16817" s="24" t="s">
        <v>52264</v>
      </c>
      <c r="C16817" s="24" t="s">
        <v>52265</v>
      </c>
      <c r="D16817" s="25" t="s">
        <v>52266</v>
      </c>
      <c r="E16817" s="26"/>
      <c r="F16817" s="27">
        <f ca="1">ROUND(1.150*(1+G2/100),2)</f>
        <v>0</v>
      </c>
      <c r="G16817" s="26"/>
    </row>
    <row r="16818" spans="1:7" ht="49.08" thickBot="1" customHeight="1">
      <c r="A16818" s="26"/>
      <c r="B16818" s="26"/>
      <c r="C16818" s="26"/>
      <c r="D16818" s="25" t="s">
        <v>52267</v>
      </c>
      <c r="E16818" s="25"/>
      <c r="F16818" s="25"/>
      <c r="G16818" s="25"/>
    </row>
    <row r="16819" spans="1:7" ht="30.60" thickBot="1" customHeight="1">
      <c r="A16819" s="10" t="s">
        <v>52268</v>
      </c>
      <c r="B16819" s="24" t="s">
        <v>52269</v>
      </c>
      <c r="C16819" s="24" t="s">
        <v>52270</v>
      </c>
      <c r="D16819" s="25" t="s">
        <v>52271</v>
      </c>
      <c r="E16819" s="26"/>
      <c r="F16819" s="27">
        <f ca="1">ROUND(6.720*(1+G2/100),2)</f>
        <v>0</v>
      </c>
      <c r="G16819" s="26"/>
    </row>
    <row r="16820" spans="1:7" ht="76.80" thickBot="1" customHeight="1">
      <c r="A16820" s="26"/>
      <c r="B16820" s="26"/>
      <c r="C16820" s="26"/>
      <c r="D16820" s="25" t="s">
        <v>52272</v>
      </c>
      <c r="E16820" s="25"/>
      <c r="F16820" s="25"/>
      <c r="G16820" s="25"/>
    </row>
    <row r="16821" spans="1:7" ht="30.60" thickBot="1" customHeight="1">
      <c r="A16821" s="10" t="s">
        <v>52273</v>
      </c>
      <c r="B16821" s="24" t="s">
        <v>52274</v>
      </c>
      <c r="C16821" s="24" t="s">
        <v>52275</v>
      </c>
      <c r="D16821" s="25" t="s">
        <v>52276</v>
      </c>
      <c r="E16821" s="26"/>
      <c r="F16821" s="27">
        <f ca="1">ROUND(10.670*(1+G2/100),2)</f>
        <v>0</v>
      </c>
      <c r="G16821" s="26"/>
    </row>
    <row r="16822" spans="1:7" ht="206.16" thickBot="1" customHeight="1">
      <c r="A16822" s="26"/>
      <c r="B16822" s="26"/>
      <c r="C16822" s="26"/>
      <c r="D16822" s="25" t="s">
        <v>52277</v>
      </c>
      <c r="E16822" s="25"/>
      <c r="F16822" s="25"/>
      <c r="G16822" s="25"/>
    </row>
    <row r="16823" spans="1:7" ht="30.60" thickBot="1" customHeight="1">
      <c r="A16823" s="10" t="s">
        <v>52278</v>
      </c>
      <c r="B16823" s="24" t="s">
        <v>52279</v>
      </c>
      <c r="C16823" s="24" t="s">
        <v>52280</v>
      </c>
      <c r="D16823" s="25" t="s">
        <v>52281</v>
      </c>
      <c r="E16823" s="26"/>
      <c r="F16823" s="27">
        <f ca="1">ROUND(10.670*(1+G2/100),2)</f>
        <v>0</v>
      </c>
      <c r="G16823" s="26"/>
    </row>
    <row r="16824" spans="1:7" ht="206.16" thickBot="1" customHeight="1">
      <c r="A16824" s="26"/>
      <c r="B16824" s="26"/>
      <c r="C16824" s="26"/>
      <c r="D16824" s="25" t="s">
        <v>52282</v>
      </c>
      <c r="E16824" s="25"/>
      <c r="F16824" s="25"/>
      <c r="G16824" s="25"/>
    </row>
    <row r="16825" spans="1:7" ht="30.60" thickBot="1" customHeight="1">
      <c r="A16825" s="10" t="s">
        <v>52283</v>
      </c>
      <c r="B16825" s="24" t="s">
        <v>52284</v>
      </c>
      <c r="C16825" s="24" t="s">
        <v>52285</v>
      </c>
      <c r="D16825" s="25" t="s">
        <v>52286</v>
      </c>
      <c r="E16825" s="26"/>
      <c r="F16825" s="27">
        <f ca="1">ROUND(28.550*(1+G2/100),2)</f>
        <v>0</v>
      </c>
      <c r="G16825" s="26"/>
    </row>
    <row r="16826" spans="1:7" ht="49.08" thickBot="1" customHeight="1">
      <c r="A16826" s="26"/>
      <c r="B16826" s="26"/>
      <c r="C16826" s="26"/>
      <c r="D16826" s="25" t="s">
        <v>52287</v>
      </c>
      <c r="E16826" s="25"/>
      <c r="F16826" s="25"/>
      <c r="G16826" s="25"/>
    </row>
    <row r="16827" spans="1:7" ht="39.84" thickBot="1" customHeight="1">
      <c r="A16827" s="10" t="s">
        <v>52288</v>
      </c>
      <c r="B16827" s="24" t="s">
        <v>52289</v>
      </c>
      <c r="C16827" s="24" t="s">
        <v>52290</v>
      </c>
      <c r="D16827" s="25" t="s">
        <v>52291</v>
      </c>
      <c r="E16827" s="26"/>
      <c r="F16827" s="27">
        <f ca="1">ROUND(22.380*(1+G2/100),2)</f>
        <v>0</v>
      </c>
      <c r="G16827" s="26"/>
    </row>
    <row r="16828" spans="1:7" ht="49.08" thickBot="1" customHeight="1">
      <c r="A16828" s="26"/>
      <c r="B16828" s="26"/>
      <c r="C16828" s="26"/>
      <c r="D16828" s="25" t="s">
        <v>52292</v>
      </c>
      <c r="E16828" s="25"/>
      <c r="F16828" s="25"/>
      <c r="G16828" s="25"/>
    </row>
    <row r="16829" spans="1:7" ht="30.60" thickBot="1" customHeight="1">
      <c r="A16829" s="10" t="s">
        <v>52293</v>
      </c>
      <c r="B16829" s="24" t="s">
        <v>52294</v>
      </c>
      <c r="C16829" s="24" t="s">
        <v>52295</v>
      </c>
      <c r="D16829" s="25" t="s">
        <v>52296</v>
      </c>
      <c r="E16829" s="26"/>
      <c r="F16829" s="27">
        <f ca="1">ROUND(5.110*(1+G2/100),2)</f>
        <v>0</v>
      </c>
      <c r="G16829" s="26"/>
    </row>
    <row r="16830" spans="1:7" ht="123.00" thickBot="1" customHeight="1">
      <c r="A16830" s="26"/>
      <c r="B16830" s="26"/>
      <c r="C16830" s="26"/>
      <c r="D16830" s="25" t="s">
        <v>52297</v>
      </c>
      <c r="E16830" s="25"/>
      <c r="F16830" s="25"/>
      <c r="G16830" s="25"/>
    </row>
    <row r="16831" spans="1:7" ht="30.60" thickBot="1" customHeight="1">
      <c r="A16831" s="10" t="s">
        <v>52298</v>
      </c>
      <c r="B16831" s="24" t="s">
        <v>52299</v>
      </c>
      <c r="C16831" s="24" t="s">
        <v>52300</v>
      </c>
      <c r="D16831" s="25" t="s">
        <v>52301</v>
      </c>
      <c r="E16831" s="26"/>
      <c r="F16831" s="27">
        <f ca="1">ROUND(3.850*(1+G2/100),2)</f>
        <v>0</v>
      </c>
      <c r="G16831" s="26"/>
    </row>
    <row r="16832" spans="1:7" ht="67.56" thickBot="1" customHeight="1">
      <c r="A16832" s="26"/>
      <c r="B16832" s="26"/>
      <c r="C16832" s="26"/>
      <c r="D16832" s="25" t="s">
        <v>52302</v>
      </c>
      <c r="E16832" s="25"/>
      <c r="F16832" s="25"/>
      <c r="G16832" s="25"/>
    </row>
    <row r="16833" spans="1:7" ht="30.60" thickBot="1" customHeight="1">
      <c r="A16833" s="10" t="s">
        <v>52303</v>
      </c>
      <c r="B16833" s="24" t="s">
        <v>52304</v>
      </c>
      <c r="C16833" s="24" t="s">
        <v>52305</v>
      </c>
      <c r="D16833" s="25" t="s">
        <v>52306</v>
      </c>
      <c r="E16833" s="26"/>
      <c r="F16833" s="27">
        <f ca="1">ROUND(5.150*(1+G2/100),2)</f>
        <v>0</v>
      </c>
      <c r="G16833" s="26"/>
    </row>
    <row r="16834" spans="1:7" ht="86.04" thickBot="1" customHeight="1">
      <c r="A16834" s="26"/>
      <c r="B16834" s="26"/>
      <c r="C16834" s="26"/>
      <c r="D16834" s="25" t="s">
        <v>52307</v>
      </c>
      <c r="E16834" s="25"/>
      <c r="F16834" s="25"/>
      <c r="G16834" s="25"/>
    </row>
    <row r="16835" spans="1:7" ht="30.60" thickBot="1" customHeight="1">
      <c r="A16835" s="10" t="s">
        <v>52308</v>
      </c>
      <c r="B16835" s="24" t="s">
        <v>52309</v>
      </c>
      <c r="C16835" s="24" t="s">
        <v>52310</v>
      </c>
      <c r="D16835" s="25" t="s">
        <v>52311</v>
      </c>
      <c r="E16835" s="26"/>
      <c r="F16835" s="27">
        <f ca="1">ROUND(11.740*(1+G2/100),2)</f>
        <v>0</v>
      </c>
      <c r="G16835" s="26"/>
    </row>
    <row r="16836" spans="1:7" ht="49.08" thickBot="1" customHeight="1">
      <c r="A16836" s="26"/>
      <c r="B16836" s="26"/>
      <c r="C16836" s="26"/>
      <c r="D16836" s="25" t="s">
        <v>52312</v>
      </c>
      <c r="E16836" s="25"/>
      <c r="F16836" s="25"/>
      <c r="G16836" s="25"/>
    </row>
    <row r="16837" spans="1:7" ht="30.60" thickBot="1" customHeight="1">
      <c r="A16837" s="10" t="s">
        <v>52313</v>
      </c>
      <c r="B16837" s="24" t="s">
        <v>52314</v>
      </c>
      <c r="C16837" s="24" t="s">
        <v>52315</v>
      </c>
      <c r="D16837" s="25" t="s">
        <v>52316</v>
      </c>
      <c r="E16837" s="26"/>
      <c r="F16837" s="27">
        <f ca="1">ROUND(5.920*(1+G2/100),2)</f>
        <v>0</v>
      </c>
      <c r="G16837" s="26"/>
    </row>
    <row r="16838" spans="1:7" ht="58.32" thickBot="1" customHeight="1">
      <c r="A16838" s="26"/>
      <c r="B16838" s="26"/>
      <c r="C16838" s="26"/>
      <c r="D16838" s="25" t="s">
        <v>52317</v>
      </c>
      <c r="E16838" s="25"/>
      <c r="F16838" s="25"/>
      <c r="G16838" s="25"/>
    </row>
    <row r="16839" spans="1:7" ht="30.60" thickBot="1" customHeight="1">
      <c r="A16839" s="10" t="s">
        <v>52318</v>
      </c>
      <c r="B16839" s="24" t="s">
        <v>52319</v>
      </c>
      <c r="C16839" s="24" t="s">
        <v>52320</v>
      </c>
      <c r="D16839" s="25" t="s">
        <v>52321</v>
      </c>
      <c r="E16839" s="26"/>
      <c r="F16839" s="27">
        <f ca="1">ROUND(8.650*(1+G2/100),2)</f>
        <v>0</v>
      </c>
      <c r="G16839" s="26"/>
    </row>
    <row r="16840" spans="1:7" ht="58.32" thickBot="1" customHeight="1">
      <c r="A16840" s="26"/>
      <c r="B16840" s="26"/>
      <c r="C16840" s="26"/>
      <c r="D16840" s="25" t="s">
        <v>52322</v>
      </c>
      <c r="E16840" s="25"/>
      <c r="F16840" s="25"/>
      <c r="G16840" s="25"/>
    </row>
    <row r="16841" spans="1:7" ht="30.60" thickBot="1" customHeight="1">
      <c r="A16841" s="10" t="s">
        <v>52323</v>
      </c>
      <c r="B16841" s="24" t="s">
        <v>52324</v>
      </c>
      <c r="C16841" s="24" t="s">
        <v>52325</v>
      </c>
      <c r="D16841" s="25" t="s">
        <v>52326</v>
      </c>
      <c r="E16841" s="26"/>
      <c r="F16841" s="27">
        <f ca="1">ROUND(6.150*(1+G2/100),2)</f>
        <v>0</v>
      </c>
      <c r="G16841" s="26"/>
    </row>
    <row r="16842" spans="1:7" ht="39.84" thickBot="1" customHeight="1">
      <c r="A16842" s="26"/>
      <c r="B16842" s="26"/>
      <c r="C16842" s="26"/>
      <c r="D16842" s="25" t="s">
        <v>52327</v>
      </c>
      <c r="E16842" s="25"/>
      <c r="F16842" s="25"/>
      <c r="G16842" s="25"/>
    </row>
    <row r="16843" spans="1:7" ht="30.60" thickBot="1" customHeight="1">
      <c r="A16843" s="10" t="s">
        <v>52328</v>
      </c>
      <c r="B16843" s="24" t="s">
        <v>52329</v>
      </c>
      <c r="C16843" s="24" t="s">
        <v>52330</v>
      </c>
      <c r="D16843" s="25" t="s">
        <v>52331</v>
      </c>
      <c r="E16843" s="26"/>
      <c r="F16843" s="27">
        <f ca="1">ROUND(22.450*(1+G2/100),2)</f>
        <v>0</v>
      </c>
      <c r="G16843" s="26"/>
    </row>
    <row r="16844" spans="1:7" ht="30.60" thickBot="1" customHeight="1">
      <c r="A16844" s="26"/>
      <c r="B16844" s="26"/>
      <c r="C16844" s="26"/>
      <c r="D16844" s="25" t="s">
        <v>52332</v>
      </c>
      <c r="E16844" s="25"/>
      <c r="F16844" s="25"/>
      <c r="G16844" s="25"/>
    </row>
    <row r="16845" spans="1:7" ht="30.60" thickBot="1" customHeight="1">
      <c r="A16845" s="10" t="s">
        <v>52333</v>
      </c>
      <c r="B16845" s="24" t="s">
        <v>52334</v>
      </c>
      <c r="C16845" s="24" t="s">
        <v>52335</v>
      </c>
      <c r="D16845" s="25" t="s">
        <v>52336</v>
      </c>
      <c r="E16845" s="26"/>
      <c r="F16845" s="27">
        <f ca="1">ROUND(7.890*(1+G2/100),2)</f>
        <v>0</v>
      </c>
      <c r="G16845" s="26"/>
    </row>
    <row r="16846" spans="1:7" ht="49.08" thickBot="1" customHeight="1">
      <c r="A16846" s="26"/>
      <c r="B16846" s="26"/>
      <c r="C16846" s="26"/>
      <c r="D16846" s="25" t="s">
        <v>52337</v>
      </c>
      <c r="E16846" s="25"/>
      <c r="F16846" s="25"/>
      <c r="G16846" s="25"/>
    </row>
    <row r="16847" spans="1:7" ht="30.60" thickBot="1" customHeight="1">
      <c r="A16847" s="10" t="s">
        <v>52338</v>
      </c>
      <c r="B16847" s="24" t="s">
        <v>52339</v>
      </c>
      <c r="C16847" s="24" t="s">
        <v>52340</v>
      </c>
      <c r="D16847" s="25" t="s">
        <v>52341</v>
      </c>
      <c r="E16847" s="26"/>
      <c r="F16847" s="27">
        <f ca="1">ROUND(8.330*(1+G2/100),2)</f>
        <v>0</v>
      </c>
      <c r="G16847" s="26"/>
    </row>
    <row r="16848" spans="1:7" ht="49.08" thickBot="1" customHeight="1">
      <c r="A16848" s="26"/>
      <c r="B16848" s="26"/>
      <c r="C16848" s="26"/>
      <c r="D16848" s="25" t="s">
        <v>52342</v>
      </c>
      <c r="E16848" s="25"/>
      <c r="F16848" s="25"/>
      <c r="G16848" s="25"/>
    </row>
    <row r="16849" spans="1:7" ht="30.60" thickBot="1" customHeight="1">
      <c r="A16849" s="10" t="s">
        <v>52343</v>
      </c>
      <c r="B16849" s="24" t="s">
        <v>52344</v>
      </c>
      <c r="C16849" s="24" t="s">
        <v>52345</v>
      </c>
      <c r="D16849" s="25" t="s">
        <v>52346</v>
      </c>
      <c r="E16849" s="26"/>
      <c r="F16849" s="27">
        <f ca="1">ROUND(17.450*(1+G2/100),2)</f>
        <v>0</v>
      </c>
      <c r="G16849" s="26"/>
    </row>
    <row r="16850" spans="1:7" ht="30.60" thickBot="1" customHeight="1">
      <c r="A16850" s="26"/>
      <c r="B16850" s="26"/>
      <c r="C16850" s="26"/>
      <c r="D16850" s="25" t="s">
        <v>52347</v>
      </c>
      <c r="E16850" s="25"/>
      <c r="F16850" s="25"/>
      <c r="G16850" s="25"/>
    </row>
    <row r="16851" spans="1:7" ht="30.60" thickBot="1" customHeight="1">
      <c r="A16851" s="10" t="s">
        <v>52348</v>
      </c>
      <c r="B16851" s="24" t="s">
        <v>52349</v>
      </c>
      <c r="C16851" s="24" t="s">
        <v>52350</v>
      </c>
      <c r="D16851" s="25" t="s">
        <v>52351</v>
      </c>
      <c r="E16851" s="26"/>
      <c r="F16851" s="27">
        <f ca="1">ROUND(13.250*(1+G2/100),2)</f>
        <v>0</v>
      </c>
      <c r="G16851" s="26"/>
    </row>
    <row r="16852" spans="1:7" ht="49.08" thickBot="1" customHeight="1">
      <c r="A16852" s="26"/>
      <c r="B16852" s="26"/>
      <c r="C16852" s="26"/>
      <c r="D16852" s="25" t="s">
        <v>52352</v>
      </c>
      <c r="E16852" s="25"/>
      <c r="F16852" s="25"/>
      <c r="G16852" s="25"/>
    </row>
    <row r="16853" spans="1:7" ht="30.60" thickBot="1" customHeight="1">
      <c r="A16853" s="10" t="s">
        <v>52353</v>
      </c>
      <c r="B16853" s="24" t="s">
        <v>52354</v>
      </c>
      <c r="C16853" s="24" t="s">
        <v>52355</v>
      </c>
      <c r="D16853" s="25" t="s">
        <v>52356</v>
      </c>
      <c r="E16853" s="26"/>
      <c r="F16853" s="27">
        <f ca="1">ROUND(21.450*(1+G2/100),2)</f>
        <v>0</v>
      </c>
      <c r="G16853" s="26"/>
    </row>
    <row r="16854" spans="1:7" ht="39.84" thickBot="1" customHeight="1">
      <c r="A16854" s="26"/>
      <c r="B16854" s="26"/>
      <c r="C16854" s="26"/>
      <c r="D16854" s="25" t="s">
        <v>52357</v>
      </c>
      <c r="E16854" s="25"/>
      <c r="F16854" s="25"/>
      <c r="G16854" s="25"/>
    </row>
    <row r="16855" spans="1:7" ht="30.60" thickBot="1" customHeight="1">
      <c r="A16855" s="10" t="s">
        <v>52358</v>
      </c>
      <c r="B16855" s="24" t="s">
        <v>52359</v>
      </c>
      <c r="C16855" s="24" t="s">
        <v>52360</v>
      </c>
      <c r="D16855" s="25" t="s">
        <v>52361</v>
      </c>
      <c r="E16855" s="26"/>
      <c r="F16855" s="27">
        <f ca="1">ROUND(41.600*(1+G2/100),2)</f>
        <v>0</v>
      </c>
      <c r="G16855" s="26"/>
    </row>
    <row r="16856" spans="1:7" ht="76.80" thickBot="1" customHeight="1">
      <c r="A16856" s="26"/>
      <c r="B16856" s="26"/>
      <c r="C16856" s="26"/>
      <c r="D16856" s="25" t="s">
        <v>52362</v>
      </c>
      <c r="E16856" s="25"/>
      <c r="F16856" s="25"/>
      <c r="G16856" s="25"/>
    </row>
    <row r="16857" spans="1:7" ht="30.60" thickBot="1" customHeight="1">
      <c r="A16857" s="10" t="s">
        <v>52363</v>
      </c>
      <c r="B16857" s="24" t="s">
        <v>52364</v>
      </c>
      <c r="C16857" s="24" t="s">
        <v>52365</v>
      </c>
      <c r="D16857" s="25" t="s">
        <v>52366</v>
      </c>
      <c r="E16857" s="26"/>
      <c r="F16857" s="27">
        <f ca="1">ROUND(4.990*(1+G2/100),2)</f>
        <v>0</v>
      </c>
      <c r="G16857" s="26"/>
    </row>
    <row r="16858" spans="1:7" ht="86.04" thickBot="1" customHeight="1">
      <c r="A16858" s="26"/>
      <c r="B16858" s="26"/>
      <c r="C16858" s="26"/>
      <c r="D16858" s="25" t="s">
        <v>52367</v>
      </c>
      <c r="E16858" s="25"/>
      <c r="F16858" s="25"/>
      <c r="G16858" s="25"/>
    </row>
    <row r="16859" spans="1:7" ht="30.60" thickBot="1" customHeight="1">
      <c r="A16859" s="10" t="s">
        <v>52368</v>
      </c>
      <c r="B16859" s="24" t="s">
        <v>52369</v>
      </c>
      <c r="C16859" s="24" t="s">
        <v>52370</v>
      </c>
      <c r="D16859" s="25" t="s">
        <v>52371</v>
      </c>
      <c r="E16859" s="26"/>
      <c r="F16859" s="27">
        <f ca="1">ROUND(8.350*(1+G2/100),2)</f>
        <v>0</v>
      </c>
      <c r="G16859" s="26"/>
    </row>
    <row r="16860" spans="1:7" ht="150.72" thickBot="1" customHeight="1">
      <c r="A16860" s="26"/>
      <c r="B16860" s="26"/>
      <c r="C16860" s="26"/>
      <c r="D16860" s="25" t="s">
        <v>52372</v>
      </c>
      <c r="E16860" s="25"/>
      <c r="F16860" s="25"/>
      <c r="G16860" s="25"/>
    </row>
    <row r="16861" spans="1:7" ht="30.60" thickBot="1" customHeight="1">
      <c r="A16861" s="10" t="s">
        <v>52373</v>
      </c>
      <c r="B16861" s="24" t="s">
        <v>52374</v>
      </c>
      <c r="C16861" s="24" t="s">
        <v>52375</v>
      </c>
      <c r="D16861" s="25" t="s">
        <v>52376</v>
      </c>
      <c r="E16861" s="26"/>
      <c r="F16861" s="27">
        <f ca="1">ROUND(7.950*(1+G2/100),2)</f>
        <v>0</v>
      </c>
      <c r="G16861" s="26"/>
    </row>
    <row r="16862" spans="1:7" ht="150.72" thickBot="1" customHeight="1">
      <c r="A16862" s="26"/>
      <c r="B16862" s="26"/>
      <c r="C16862" s="26"/>
      <c r="D16862" s="25" t="s">
        <v>52377</v>
      </c>
      <c r="E16862" s="25"/>
      <c r="F16862" s="25"/>
      <c r="G16862" s="25"/>
    </row>
    <row r="16863" spans="1:7" ht="30.60" thickBot="1" customHeight="1">
      <c r="A16863" s="10" t="s">
        <v>52378</v>
      </c>
      <c r="B16863" s="24" t="s">
        <v>52379</v>
      </c>
      <c r="C16863" s="24" t="s">
        <v>52380</v>
      </c>
      <c r="D16863" s="25" t="s">
        <v>52381</v>
      </c>
      <c r="E16863" s="26"/>
      <c r="F16863" s="27">
        <f ca="1">ROUND(15.430*(1+G2/100),2)</f>
        <v>0</v>
      </c>
      <c r="G16863" s="26"/>
    </row>
    <row r="16864" spans="1:7" ht="86.04" thickBot="1" customHeight="1">
      <c r="A16864" s="26"/>
      <c r="B16864" s="26"/>
      <c r="C16864" s="26"/>
      <c r="D16864" s="25" t="s">
        <v>52382</v>
      </c>
      <c r="E16864" s="25"/>
      <c r="F16864" s="25"/>
      <c r="G16864" s="25"/>
    </row>
    <row r="16865" spans="1:7" ht="30.60" thickBot="1" customHeight="1">
      <c r="A16865" s="10" t="s">
        <v>52383</v>
      </c>
      <c r="B16865" s="24" t="s">
        <v>52384</v>
      </c>
      <c r="C16865" s="24" t="s">
        <v>52385</v>
      </c>
      <c r="D16865" s="25" t="s">
        <v>52386</v>
      </c>
      <c r="E16865" s="26"/>
      <c r="F16865" s="27">
        <f ca="1">ROUND(5.230*(1+G2/100),2)</f>
        <v>0</v>
      </c>
      <c r="G16865" s="26"/>
    </row>
    <row r="16866" spans="1:7" ht="21.36" thickBot="1" customHeight="1">
      <c r="A16866" s="26"/>
      <c r="B16866" s="26"/>
      <c r="C16866" s="26"/>
      <c r="D16866" s="25" t="s">
        <v>52387</v>
      </c>
      <c r="E16866" s="25"/>
      <c r="F16866" s="25"/>
      <c r="G16866" s="25"/>
    </row>
    <row r="16867" spans="1:7" ht="39.84" thickBot="1" customHeight="1">
      <c r="A16867" s="10" t="s">
        <v>52388</v>
      </c>
      <c r="B16867" s="24" t="s">
        <v>52389</v>
      </c>
      <c r="C16867" s="24" t="s">
        <v>52390</v>
      </c>
      <c r="D16867" s="25" t="s">
        <v>52391</v>
      </c>
      <c r="E16867" s="26"/>
      <c r="F16867" s="27">
        <f ca="1">ROUND(13.450*(1+G2/100),2)</f>
        <v>0</v>
      </c>
      <c r="G16867" s="26"/>
    </row>
    <row r="16868" spans="1:7" ht="95.28" thickBot="1" customHeight="1">
      <c r="A16868" s="26"/>
      <c r="B16868" s="26"/>
      <c r="C16868" s="26"/>
      <c r="D16868" s="25" t="s">
        <v>52392</v>
      </c>
      <c r="E16868" s="25"/>
      <c r="F16868" s="25"/>
      <c r="G16868" s="25"/>
    </row>
    <row r="16869" spans="1:7" ht="49.08" thickBot="1" customHeight="1">
      <c r="A16869" s="10" t="s">
        <v>52393</v>
      </c>
      <c r="B16869" s="24" t="s">
        <v>52394</v>
      </c>
      <c r="C16869" s="24" t="s">
        <v>52395</v>
      </c>
      <c r="D16869" s="25" t="s">
        <v>52396</v>
      </c>
      <c r="E16869" s="26"/>
      <c r="F16869" s="27">
        <f ca="1">ROUND(10.250*(1+G2/100),2)</f>
        <v>0</v>
      </c>
      <c r="G16869" s="26"/>
    </row>
    <row r="16870" spans="1:7" ht="113.76" thickBot="1" customHeight="1">
      <c r="A16870" s="26"/>
      <c r="B16870" s="26"/>
      <c r="C16870" s="26"/>
      <c r="D16870" s="25" t="s">
        <v>52397</v>
      </c>
      <c r="E16870" s="25"/>
      <c r="F16870" s="25"/>
      <c r="G16870" s="25"/>
    </row>
    <row r="16871" spans="1:7" ht="30.60" thickBot="1" customHeight="1">
      <c r="A16871" s="10" t="s">
        <v>52398</v>
      </c>
      <c r="B16871" s="24" t="s">
        <v>52399</v>
      </c>
      <c r="C16871" s="24" t="s">
        <v>52400</v>
      </c>
      <c r="D16871" s="25" t="s">
        <v>52401</v>
      </c>
      <c r="E16871" s="26"/>
      <c r="F16871" s="27">
        <f ca="1">ROUND(11.740*(1+G2/100),2)</f>
        <v>0</v>
      </c>
      <c r="G16871" s="26"/>
    </row>
    <row r="16872" spans="1:7" ht="86.04" thickBot="1" customHeight="1">
      <c r="A16872" s="26"/>
      <c r="B16872" s="26"/>
      <c r="C16872" s="26"/>
      <c r="D16872" s="25" t="s">
        <v>52402</v>
      </c>
      <c r="E16872" s="25"/>
      <c r="F16872" s="25"/>
      <c r="G16872" s="25"/>
    </row>
    <row r="16873" spans="1:7" ht="30.60" thickBot="1" customHeight="1">
      <c r="A16873" s="10" t="s">
        <v>52403</v>
      </c>
      <c r="B16873" s="24" t="s">
        <v>52404</v>
      </c>
      <c r="C16873" s="24" t="s">
        <v>52405</v>
      </c>
      <c r="D16873" s="25" t="s">
        <v>52406</v>
      </c>
      <c r="E16873" s="26"/>
      <c r="F16873" s="27">
        <f ca="1">ROUND(16.810*(1+G2/100),2)</f>
        <v>0</v>
      </c>
      <c r="G16873" s="26"/>
    </row>
    <row r="16874" spans="1:7" ht="215.40" thickBot="1" customHeight="1">
      <c r="A16874" s="26"/>
      <c r="B16874" s="26"/>
      <c r="C16874" s="26"/>
      <c r="D16874" s="25" t="s">
        <v>52407</v>
      </c>
      <c r="E16874" s="25"/>
      <c r="F16874" s="25"/>
      <c r="G16874" s="25"/>
    </row>
    <row r="16875" spans="1:7" ht="30.60" thickBot="1" customHeight="1">
      <c r="A16875" s="10" t="s">
        <v>52408</v>
      </c>
      <c r="B16875" s="24" t="s">
        <v>52409</v>
      </c>
      <c r="C16875" s="24" t="s">
        <v>52410</v>
      </c>
      <c r="D16875" s="25" t="s">
        <v>52411</v>
      </c>
      <c r="E16875" s="26"/>
      <c r="F16875" s="27">
        <f ca="1">ROUND(11.000*(1+G2/100),2)</f>
        <v>0</v>
      </c>
      <c r="G16875" s="26"/>
    </row>
    <row r="16876" spans="1:7" ht="86.04" thickBot="1" customHeight="1">
      <c r="A16876" s="26"/>
      <c r="B16876" s="26"/>
      <c r="C16876" s="26"/>
      <c r="D16876" s="25" t="s">
        <v>52412</v>
      </c>
      <c r="E16876" s="25"/>
      <c r="F16876" s="25"/>
      <c r="G16876" s="25"/>
    </row>
    <row r="16877" spans="1:7" ht="30.60" thickBot="1" customHeight="1">
      <c r="A16877" s="10" t="s">
        <v>52413</v>
      </c>
      <c r="B16877" s="24" t="s">
        <v>52414</v>
      </c>
      <c r="C16877" s="24" t="s">
        <v>52415</v>
      </c>
      <c r="D16877" s="25" t="s">
        <v>52416</v>
      </c>
      <c r="E16877" s="26"/>
      <c r="F16877" s="27">
        <f ca="1">ROUND(11.000*(1+G2/100),2)</f>
        <v>0</v>
      </c>
      <c r="G16877" s="26"/>
    </row>
    <row r="16878" spans="1:7" ht="86.04" thickBot="1" customHeight="1">
      <c r="A16878" s="26"/>
      <c r="B16878" s="26"/>
      <c r="C16878" s="26"/>
      <c r="D16878" s="25" t="s">
        <v>52417</v>
      </c>
      <c r="E16878" s="25"/>
      <c r="F16878" s="25"/>
      <c r="G16878" s="25"/>
    </row>
    <row r="16879" spans="1:7" ht="30.60" thickBot="1" customHeight="1">
      <c r="A16879" s="10" t="s">
        <v>52418</v>
      </c>
      <c r="B16879" s="24" t="s">
        <v>52419</v>
      </c>
      <c r="C16879" s="24" t="s">
        <v>52420</v>
      </c>
      <c r="D16879" s="25" t="s">
        <v>52421</v>
      </c>
      <c r="E16879" s="26"/>
      <c r="F16879" s="27">
        <f ca="1">ROUND(11.000*(1+G2/100),2)</f>
        <v>0</v>
      </c>
      <c r="G16879" s="26"/>
    </row>
    <row r="16880" spans="1:7" ht="86.04" thickBot="1" customHeight="1">
      <c r="A16880" s="26"/>
      <c r="B16880" s="26"/>
      <c r="C16880" s="26"/>
      <c r="D16880" s="25" t="s">
        <v>52422</v>
      </c>
      <c r="E16880" s="25"/>
      <c r="F16880" s="25"/>
      <c r="G16880" s="25"/>
    </row>
    <row r="16881" spans="1:7" ht="30.60" thickBot="1" customHeight="1">
      <c r="A16881" s="10" t="s">
        <v>52423</v>
      </c>
      <c r="B16881" s="24" t="s">
        <v>52424</v>
      </c>
      <c r="C16881" s="24" t="s">
        <v>52425</v>
      </c>
      <c r="D16881" s="25" t="s">
        <v>52426</v>
      </c>
      <c r="E16881" s="26"/>
      <c r="F16881" s="27">
        <f ca="1">ROUND(25.420*(1+G2/100),2)</f>
        <v>0</v>
      </c>
      <c r="G16881" s="26"/>
    </row>
    <row r="16882" spans="1:7" ht="150.72" thickBot="1" customHeight="1">
      <c r="A16882" s="26"/>
      <c r="B16882" s="26"/>
      <c r="C16882" s="26"/>
      <c r="D16882" s="25" t="s">
        <v>52427</v>
      </c>
      <c r="E16882" s="25"/>
      <c r="F16882" s="25"/>
      <c r="G16882" s="25"/>
    </row>
    <row r="16883" spans="1:7" ht="30.60" thickBot="1" customHeight="1">
      <c r="A16883" s="10" t="s">
        <v>52428</v>
      </c>
      <c r="B16883" s="24" t="s">
        <v>52429</v>
      </c>
      <c r="C16883" s="24" t="s">
        <v>52430</v>
      </c>
      <c r="D16883" s="25" t="s">
        <v>52431</v>
      </c>
      <c r="E16883" s="26"/>
      <c r="F16883" s="27">
        <f ca="1">ROUND(7.900*(1+G2/100),2)</f>
        <v>0</v>
      </c>
      <c r="G16883" s="26"/>
    </row>
    <row r="16884" spans="1:7" ht="86.04" thickBot="1" customHeight="1">
      <c r="A16884" s="26"/>
      <c r="B16884" s="26"/>
      <c r="C16884" s="26"/>
      <c r="D16884" s="25" t="s">
        <v>52432</v>
      </c>
      <c r="E16884" s="25"/>
      <c r="F16884" s="25"/>
      <c r="G16884" s="25"/>
    </row>
    <row r="16885" spans="1:7" ht="30.60" thickBot="1" customHeight="1">
      <c r="A16885" s="10" t="s">
        <v>52433</v>
      </c>
      <c r="B16885" s="24" t="s">
        <v>52434</v>
      </c>
      <c r="C16885" s="24" t="s">
        <v>52435</v>
      </c>
      <c r="D16885" s="25" t="s">
        <v>52436</v>
      </c>
      <c r="E16885" s="26"/>
      <c r="F16885" s="27">
        <f ca="1">ROUND(15.270*(1+G2/100),2)</f>
        <v>0</v>
      </c>
      <c r="G16885" s="26"/>
    </row>
    <row r="16886" spans="1:7" ht="76.80" thickBot="1" customHeight="1">
      <c r="A16886" s="26"/>
      <c r="B16886" s="26"/>
      <c r="C16886" s="26"/>
      <c r="D16886" s="25" t="s">
        <v>52437</v>
      </c>
      <c r="E16886" s="25"/>
      <c r="F16886" s="25"/>
      <c r="G16886" s="25"/>
    </row>
    <row r="16887" spans="1:7" ht="30.60" thickBot="1" customHeight="1">
      <c r="A16887" s="10" t="s">
        <v>52438</v>
      </c>
      <c r="B16887" s="24" t="s">
        <v>52439</v>
      </c>
      <c r="C16887" s="24" t="s">
        <v>52440</v>
      </c>
      <c r="D16887" s="25" t="s">
        <v>52441</v>
      </c>
      <c r="E16887" s="26"/>
      <c r="F16887" s="27">
        <f ca="1">ROUND(31.330*(1+G2/100),2)</f>
        <v>0</v>
      </c>
      <c r="G16887" s="26"/>
    </row>
    <row r="16888" spans="1:7" ht="123.00" thickBot="1" customHeight="1">
      <c r="A16888" s="26"/>
      <c r="B16888" s="26"/>
      <c r="C16888" s="26"/>
      <c r="D16888" s="25" t="s">
        <v>52442</v>
      </c>
      <c r="E16888" s="25"/>
      <c r="F16888" s="25"/>
      <c r="G16888" s="25"/>
    </row>
    <row r="16889" spans="1:7" ht="30.60" thickBot="1" customHeight="1">
      <c r="A16889" s="10" t="s">
        <v>52443</v>
      </c>
      <c r="B16889" s="24" t="s">
        <v>52444</v>
      </c>
      <c r="C16889" s="24" t="s">
        <v>52445</v>
      </c>
      <c r="D16889" s="25" t="s">
        <v>52446</v>
      </c>
      <c r="E16889" s="26"/>
      <c r="F16889" s="27">
        <f ca="1">ROUND(12.630*(1+G2/100),2)</f>
        <v>0</v>
      </c>
      <c r="G16889" s="26"/>
    </row>
    <row r="16890" spans="1:7" ht="86.04" thickBot="1" customHeight="1">
      <c r="A16890" s="26"/>
      <c r="B16890" s="26"/>
      <c r="C16890" s="26"/>
      <c r="D16890" s="25" t="s">
        <v>52447</v>
      </c>
      <c r="E16890" s="25"/>
      <c r="F16890" s="25"/>
      <c r="G16890" s="25"/>
    </row>
    <row r="16891" spans="1:7" ht="30.60" thickBot="1" customHeight="1">
      <c r="A16891" s="10" t="s">
        <v>52448</v>
      </c>
      <c r="B16891" s="24" t="s">
        <v>52449</v>
      </c>
      <c r="C16891" s="24" t="s">
        <v>52450</v>
      </c>
      <c r="D16891" s="25" t="s">
        <v>52451</v>
      </c>
      <c r="E16891" s="26"/>
      <c r="F16891" s="27">
        <f ca="1">ROUND(4.750*(1+G2/100),2)</f>
        <v>0</v>
      </c>
      <c r="G16891" s="26"/>
    </row>
    <row r="16892" spans="1:7" ht="113.76" thickBot="1" customHeight="1">
      <c r="A16892" s="26"/>
      <c r="B16892" s="26"/>
      <c r="C16892" s="26"/>
      <c r="D16892" s="25" t="s">
        <v>52452</v>
      </c>
      <c r="E16892" s="25"/>
      <c r="F16892" s="25"/>
      <c r="G16892" s="25"/>
    </row>
    <row r="16893" spans="1:7" ht="30.60" thickBot="1" customHeight="1">
      <c r="A16893" s="10" t="s">
        <v>52453</v>
      </c>
      <c r="B16893" s="24" t="s">
        <v>52454</v>
      </c>
      <c r="C16893" s="24" t="s">
        <v>52455</v>
      </c>
      <c r="D16893" s="25" t="s">
        <v>52456</v>
      </c>
      <c r="E16893" s="26"/>
      <c r="F16893" s="27">
        <f ca="1">ROUND(85.650*(1+G2/100),2)</f>
        <v>0</v>
      </c>
      <c r="G16893" s="26"/>
    </row>
    <row r="16894" spans="1:7" ht="39.84" thickBot="1" customHeight="1">
      <c r="A16894" s="26"/>
      <c r="B16894" s="26"/>
      <c r="C16894" s="26"/>
      <c r="D16894" s="25" t="s">
        <v>52457</v>
      </c>
      <c r="E16894" s="25"/>
      <c r="F16894" s="25"/>
      <c r="G16894" s="25"/>
    </row>
    <row r="16895" spans="1:7" ht="30.60" thickBot="1" customHeight="1">
      <c r="A16895" s="10" t="s">
        <v>52458</v>
      </c>
      <c r="B16895" s="24" t="s">
        <v>52459</v>
      </c>
      <c r="C16895" s="24" t="s">
        <v>52460</v>
      </c>
      <c r="D16895" s="25" t="s">
        <v>52461</v>
      </c>
      <c r="E16895" s="26"/>
      <c r="F16895" s="27">
        <f ca="1">ROUND(5.250*(1+G2/100),2)</f>
        <v>0</v>
      </c>
      <c r="G16895" s="26"/>
    </row>
    <row r="16896" spans="1:7" ht="39.84" thickBot="1" customHeight="1">
      <c r="A16896" s="26"/>
      <c r="B16896" s="26"/>
      <c r="C16896" s="26"/>
      <c r="D16896" s="25" t="s">
        <v>52462</v>
      </c>
      <c r="E16896" s="25"/>
      <c r="F16896" s="25"/>
      <c r="G16896" s="25"/>
    </row>
    <row r="16897" spans="1:7" ht="30.60" thickBot="1" customHeight="1">
      <c r="A16897" s="10" t="s">
        <v>52463</v>
      </c>
      <c r="B16897" s="24" t="s">
        <v>52464</v>
      </c>
      <c r="C16897" s="24" t="s">
        <v>52465</v>
      </c>
      <c r="D16897" s="25" t="s">
        <v>52466</v>
      </c>
      <c r="E16897" s="26"/>
      <c r="F16897" s="27">
        <f ca="1">ROUND(11.150*(1+G2/100),2)</f>
        <v>0</v>
      </c>
      <c r="G16897" s="26"/>
    </row>
    <row r="16898" spans="1:7" ht="159.96" thickBot="1" customHeight="1">
      <c r="A16898" s="26"/>
      <c r="B16898" s="26"/>
      <c r="C16898" s="26"/>
      <c r="D16898" s="25" t="s">
        <v>52467</v>
      </c>
      <c r="E16898" s="25"/>
      <c r="F16898" s="25"/>
      <c r="G16898" s="25"/>
    </row>
    <row r="16899" spans="1:7" ht="30.60" thickBot="1" customHeight="1">
      <c r="A16899" s="10" t="s">
        <v>52468</v>
      </c>
      <c r="B16899" s="24" t="s">
        <v>52469</v>
      </c>
      <c r="C16899" s="24" t="s">
        <v>52470</v>
      </c>
      <c r="D16899" s="25" t="s">
        <v>52471</v>
      </c>
      <c r="E16899" s="26"/>
      <c r="F16899" s="27">
        <f ca="1">ROUND(5.250*(1+G2/100),2)</f>
        <v>0</v>
      </c>
      <c r="G16899" s="26"/>
    </row>
    <row r="16900" spans="1:7" ht="39.84" thickBot="1" customHeight="1">
      <c r="A16900" s="26"/>
      <c r="B16900" s="26"/>
      <c r="C16900" s="26"/>
      <c r="D16900" s="25" t="s">
        <v>52472</v>
      </c>
      <c r="E16900" s="25"/>
      <c r="F16900" s="25"/>
      <c r="G16900" s="25"/>
    </row>
    <row r="16901" spans="1:7" ht="49.08" thickBot="1" customHeight="1">
      <c r="A16901" s="10" t="s">
        <v>52473</v>
      </c>
      <c r="B16901" s="24" t="s">
        <v>52474</v>
      </c>
      <c r="C16901" s="24" t="s">
        <v>52475</v>
      </c>
      <c r="D16901" s="25" t="s">
        <v>52476</v>
      </c>
      <c r="E16901" s="26"/>
      <c r="F16901" s="27">
        <f ca="1">ROUND(33.200*(1+G2/100),2)</f>
        <v>0</v>
      </c>
      <c r="G16901" s="26"/>
    </row>
    <row r="16902" spans="1:7" ht="132.24" thickBot="1" customHeight="1">
      <c r="A16902" s="26"/>
      <c r="B16902" s="26"/>
      <c r="C16902" s="26"/>
      <c r="D16902" s="25" t="s">
        <v>52477</v>
      </c>
      <c r="E16902" s="25"/>
      <c r="F16902" s="25"/>
      <c r="G16902" s="25"/>
    </row>
    <row r="16903" spans="1:7" ht="30.60" thickBot="1" customHeight="1">
      <c r="A16903" s="10" t="s">
        <v>52478</v>
      </c>
      <c r="B16903" s="24" t="s">
        <v>52479</v>
      </c>
      <c r="C16903" s="24" t="s">
        <v>52480</v>
      </c>
      <c r="D16903" s="25" t="s">
        <v>52481</v>
      </c>
      <c r="E16903" s="26"/>
      <c r="F16903" s="27">
        <f ca="1">ROUND(1.290*(1+G2/100),2)</f>
        <v>0</v>
      </c>
      <c r="G16903" s="26"/>
    </row>
    <row r="16904" spans="1:7" ht="95.28" thickBot="1" customHeight="1">
      <c r="A16904" s="26"/>
      <c r="B16904" s="26"/>
      <c r="C16904" s="26"/>
      <c r="D16904" s="25" t="s">
        <v>52482</v>
      </c>
      <c r="E16904" s="25"/>
      <c r="F16904" s="25"/>
      <c r="G16904" s="25"/>
    </row>
    <row r="16905" spans="1:7" ht="30.60" thickBot="1" customHeight="1">
      <c r="A16905" s="10" t="s">
        <v>52483</v>
      </c>
      <c r="B16905" s="24" t="s">
        <v>52484</v>
      </c>
      <c r="C16905" s="24" t="s">
        <v>52485</v>
      </c>
      <c r="D16905" s="25" t="s">
        <v>52486</v>
      </c>
      <c r="E16905" s="26"/>
      <c r="F16905" s="27">
        <f ca="1">ROUND(4.800*(1+G2/100),2)</f>
        <v>0</v>
      </c>
      <c r="G16905" s="26"/>
    </row>
    <row r="16906" spans="1:7" ht="270.84" thickBot="1" customHeight="1">
      <c r="A16906" s="26"/>
      <c r="B16906" s="26"/>
      <c r="C16906" s="26"/>
      <c r="D16906" s="25" t="s">
        <v>52487</v>
      </c>
      <c r="E16906" s="25"/>
      <c r="F16906" s="25"/>
      <c r="G16906" s="25"/>
    </row>
    <row r="16907" spans="1:7" ht="49.08" thickBot="1" customHeight="1">
      <c r="A16907" s="10" t="s">
        <v>52488</v>
      </c>
      <c r="B16907" s="24" t="s">
        <v>52489</v>
      </c>
      <c r="C16907" s="24" t="s">
        <v>52490</v>
      </c>
      <c r="D16907" s="25" t="s">
        <v>52491</v>
      </c>
      <c r="E16907" s="26"/>
      <c r="F16907" s="27">
        <f ca="1">ROUND(10.630*(1+G2/100),2)</f>
        <v>0</v>
      </c>
      <c r="G16907" s="26"/>
    </row>
    <row r="16908" spans="1:7" ht="76.80" thickBot="1" customHeight="1">
      <c r="A16908" s="26"/>
      <c r="B16908" s="26"/>
      <c r="C16908" s="26"/>
      <c r="D16908" s="25" t="s">
        <v>52492</v>
      </c>
      <c r="E16908" s="25"/>
      <c r="F16908" s="25"/>
      <c r="G16908" s="25"/>
    </row>
    <row r="16909" spans="1:7" ht="30.60" thickBot="1" customHeight="1">
      <c r="A16909" s="10" t="s">
        <v>52493</v>
      </c>
      <c r="B16909" s="24" t="s">
        <v>52494</v>
      </c>
      <c r="C16909" s="24" t="s">
        <v>52495</v>
      </c>
      <c r="D16909" s="25" t="s">
        <v>52496</v>
      </c>
      <c r="E16909" s="26"/>
      <c r="F16909" s="27">
        <f ca="1">ROUND(33.000*(1+G2/100),2)</f>
        <v>0</v>
      </c>
      <c r="G16909" s="26"/>
    </row>
    <row r="16910" spans="1:7" ht="67.56" thickBot="1" customHeight="1">
      <c r="A16910" s="26"/>
      <c r="B16910" s="26"/>
      <c r="C16910" s="26"/>
      <c r="D16910" s="25" t="s">
        <v>52497</v>
      </c>
      <c r="E16910" s="25"/>
      <c r="F16910" s="25"/>
      <c r="G16910" s="25"/>
    </row>
    <row r="16911" spans="1:7" ht="39.84" thickBot="1" customHeight="1">
      <c r="A16911" s="10" t="s">
        <v>52498</v>
      </c>
      <c r="B16911" s="24" t="s">
        <v>52499</v>
      </c>
      <c r="C16911" s="24" t="s">
        <v>52500</v>
      </c>
      <c r="D16911" s="25" t="s">
        <v>52501</v>
      </c>
      <c r="E16911" s="26"/>
      <c r="F16911" s="27">
        <f ca="1">ROUND(41.170*(1+G2/100),2)</f>
        <v>0</v>
      </c>
      <c r="G16911" s="26"/>
    </row>
    <row r="16912" spans="1:7" ht="187.68" thickBot="1" customHeight="1">
      <c r="A16912" s="26"/>
      <c r="B16912" s="26"/>
      <c r="C16912" s="26"/>
      <c r="D16912" s="25" t="s">
        <v>52502</v>
      </c>
      <c r="E16912" s="25"/>
      <c r="F16912" s="25"/>
      <c r="G16912" s="25"/>
    </row>
    <row r="16913" spans="1:7" ht="39.84" thickBot="1" customHeight="1">
      <c r="A16913" s="10" t="s">
        <v>52503</v>
      </c>
      <c r="B16913" s="24" t="s">
        <v>52504</v>
      </c>
      <c r="C16913" s="24" t="s">
        <v>52505</v>
      </c>
      <c r="D16913" s="25" t="s">
        <v>52506</v>
      </c>
      <c r="E16913" s="26"/>
      <c r="F16913" s="27">
        <f ca="1">ROUND(126.720*(1+G2/100),2)</f>
        <v>0</v>
      </c>
      <c r="G16913" s="26"/>
    </row>
    <row r="16914" spans="1:7" ht="233.88" thickBot="1" customHeight="1">
      <c r="A16914" s="26"/>
      <c r="B16914" s="26"/>
      <c r="C16914" s="26"/>
      <c r="D16914" s="25" t="s">
        <v>52507</v>
      </c>
      <c r="E16914" s="25"/>
      <c r="F16914" s="25"/>
      <c r="G16914" s="25"/>
    </row>
    <row r="16915" spans="1:7" ht="49.08" thickBot="1" customHeight="1">
      <c r="A16915" s="10" t="s">
        <v>52508</v>
      </c>
      <c r="B16915" s="24" t="s">
        <v>52509</v>
      </c>
      <c r="C16915" s="24" t="s">
        <v>52510</v>
      </c>
      <c r="D16915" s="25" t="s">
        <v>52511</v>
      </c>
      <c r="E16915" s="26"/>
      <c r="F16915" s="27">
        <f ca="1">ROUND(45.740*(1+G2/100),2)</f>
        <v>0</v>
      </c>
      <c r="G16915" s="26"/>
    </row>
    <row r="16916" spans="1:7" ht="159.96" thickBot="1" customHeight="1">
      <c r="A16916" s="26"/>
      <c r="B16916" s="26"/>
      <c r="C16916" s="26"/>
      <c r="D16916" s="25" t="s">
        <v>52512</v>
      </c>
      <c r="E16916" s="25"/>
      <c r="F16916" s="25"/>
      <c r="G16916" s="25"/>
    </row>
    <row r="16917" spans="1:7" ht="39.84" thickBot="1" customHeight="1">
      <c r="A16917" s="10" t="s">
        <v>52513</v>
      </c>
      <c r="B16917" s="24" t="s">
        <v>52514</v>
      </c>
      <c r="C16917" s="24" t="s">
        <v>52515</v>
      </c>
      <c r="D16917" s="25" t="s">
        <v>52516</v>
      </c>
      <c r="E16917" s="26"/>
      <c r="F16917" s="27">
        <f ca="1">ROUND(24.840*(1+G2/100),2)</f>
        <v>0</v>
      </c>
      <c r="G16917" s="26"/>
    </row>
    <row r="16918" spans="1:7" ht="76.80" thickBot="1" customHeight="1">
      <c r="A16918" s="26"/>
      <c r="B16918" s="26"/>
      <c r="C16918" s="26"/>
      <c r="D16918" s="25" t="s">
        <v>52517</v>
      </c>
      <c r="E16918" s="25"/>
      <c r="F16918" s="25"/>
      <c r="G16918" s="25"/>
    </row>
    <row r="16919" spans="1:7" ht="30.60" thickBot="1" customHeight="1">
      <c r="A16919" s="10" t="s">
        <v>52518</v>
      </c>
      <c r="B16919" s="24" t="s">
        <v>52519</v>
      </c>
      <c r="C16919" s="24" t="s">
        <v>52520</v>
      </c>
      <c r="D16919" s="25" t="s">
        <v>52521</v>
      </c>
      <c r="E16919" s="26"/>
      <c r="F16919" s="27">
        <f ca="1">ROUND(423.110*(1+G2/100),2)</f>
        <v>0</v>
      </c>
      <c r="G16919" s="26"/>
    </row>
    <row r="16920" spans="1:7" ht="86.04" thickBot="1" customHeight="1">
      <c r="A16920" s="26"/>
      <c r="B16920" s="26"/>
      <c r="C16920" s="26"/>
      <c r="D16920" s="25" t="s">
        <v>52522</v>
      </c>
      <c r="E16920" s="25"/>
      <c r="F16920" s="25"/>
      <c r="G16920" s="25"/>
    </row>
    <row r="16921" spans="1:7" ht="39.84" thickBot="1" customHeight="1">
      <c r="A16921" s="10" t="s">
        <v>52523</v>
      </c>
      <c r="B16921" s="24" t="s">
        <v>52524</v>
      </c>
      <c r="C16921" s="24" t="s">
        <v>52525</v>
      </c>
      <c r="D16921" s="25" t="s">
        <v>52526</v>
      </c>
      <c r="E16921" s="26"/>
      <c r="F16921" s="27">
        <f ca="1">ROUND(6.130*(1+G2/100),2)</f>
        <v>0</v>
      </c>
      <c r="G16921" s="26"/>
    </row>
    <row r="16922" spans="1:7" ht="159.96" thickBot="1" customHeight="1">
      <c r="A16922" s="26"/>
      <c r="B16922" s="26"/>
      <c r="C16922" s="26"/>
      <c r="D16922" s="25" t="s">
        <v>52527</v>
      </c>
      <c r="E16922" s="25"/>
      <c r="F16922" s="25"/>
      <c r="G16922" s="25"/>
    </row>
    <row r="16923" spans="1:7" ht="39.84" thickBot="1" customHeight="1">
      <c r="A16923" s="10" t="s">
        <v>52528</v>
      </c>
      <c r="B16923" s="24" t="s">
        <v>52529</v>
      </c>
      <c r="C16923" s="24" t="s">
        <v>52530</v>
      </c>
      <c r="D16923" s="25" t="s">
        <v>52531</v>
      </c>
      <c r="E16923" s="26"/>
      <c r="F16923" s="27">
        <f ca="1">ROUND(71.070*(1+G2/100),2)</f>
        <v>0</v>
      </c>
      <c r="G16923" s="26"/>
    </row>
    <row r="16924" spans="1:7" ht="21.36" thickBot="1" customHeight="1">
      <c r="A16924" s="26"/>
      <c r="B16924" s="26"/>
      <c r="C16924" s="26"/>
      <c r="D16924" s="25" t="s">
        <v>52532</v>
      </c>
      <c r="E16924" s="25"/>
      <c r="F16924" s="25"/>
      <c r="G16924" s="25"/>
    </row>
    <row r="16925" spans="1:7" ht="30.60" thickBot="1" customHeight="1">
      <c r="A16925" s="10" t="s">
        <v>52533</v>
      </c>
      <c r="B16925" s="24" t="s">
        <v>52534</v>
      </c>
      <c r="C16925" s="24" t="s">
        <v>52535</v>
      </c>
      <c r="D16925" s="25" t="s">
        <v>52536</v>
      </c>
      <c r="E16925" s="26"/>
      <c r="F16925" s="27">
        <f ca="1">ROUND(31.350*(1+G2/100),2)</f>
        <v>0</v>
      </c>
      <c r="G16925" s="26"/>
    </row>
    <row r="16926" spans="1:7" ht="95.28" thickBot="1" customHeight="1">
      <c r="A16926" s="26"/>
      <c r="B16926" s="26"/>
      <c r="C16926" s="26"/>
      <c r="D16926" s="25" t="s">
        <v>52537</v>
      </c>
      <c r="E16926" s="25"/>
      <c r="F16926" s="25"/>
      <c r="G16926" s="25"/>
    </row>
    <row r="16927" spans="1:7" ht="39.84" thickBot="1" customHeight="1">
      <c r="A16927" s="10" t="s">
        <v>52538</v>
      </c>
      <c r="B16927" s="24" t="s">
        <v>52539</v>
      </c>
      <c r="C16927" s="24" t="s">
        <v>52540</v>
      </c>
      <c r="D16927" s="25" t="s">
        <v>52541</v>
      </c>
      <c r="E16927" s="26"/>
      <c r="F16927" s="27">
        <f ca="1">ROUND(19.270*(1+G2/100),2)</f>
        <v>0</v>
      </c>
      <c r="G16927" s="26"/>
    </row>
    <row r="16928" spans="1:7" ht="76.80" thickBot="1" customHeight="1">
      <c r="A16928" s="26"/>
      <c r="B16928" s="26"/>
      <c r="C16928" s="26"/>
      <c r="D16928" s="25" t="s">
        <v>52542</v>
      </c>
      <c r="E16928" s="25"/>
      <c r="F16928" s="25"/>
      <c r="G16928" s="25"/>
    </row>
    <row r="16929" spans="1:7" ht="39.84" thickBot="1" customHeight="1">
      <c r="A16929" s="10" t="s">
        <v>52543</v>
      </c>
      <c r="B16929" s="24" t="s">
        <v>52544</v>
      </c>
      <c r="C16929" s="24" t="s">
        <v>52545</v>
      </c>
      <c r="D16929" s="25" t="s">
        <v>52546</v>
      </c>
      <c r="E16929" s="26"/>
      <c r="F16929" s="27">
        <f ca="1">ROUND(21.250*(1+G2/100),2)</f>
        <v>0</v>
      </c>
      <c r="G16929" s="26"/>
    </row>
    <row r="16930" spans="1:7" ht="39.84" thickBot="1" customHeight="1">
      <c r="A16930" s="26"/>
      <c r="B16930" s="26"/>
      <c r="C16930" s="26"/>
      <c r="D16930" s="25" t="s">
        <v>52547</v>
      </c>
      <c r="E16930" s="25"/>
      <c r="F16930" s="25"/>
      <c r="G16930" s="25"/>
    </row>
    <row r="16931" spans="1:7" ht="39.84" thickBot="1" customHeight="1">
      <c r="A16931" s="10" t="s">
        <v>52548</v>
      </c>
      <c r="B16931" s="24" t="s">
        <v>52549</v>
      </c>
      <c r="C16931" s="24" t="s">
        <v>52550</v>
      </c>
      <c r="D16931" s="25" t="s">
        <v>52551</v>
      </c>
      <c r="E16931" s="26"/>
      <c r="F16931" s="27">
        <f ca="1">ROUND(72.820*(1+G2/100),2)</f>
        <v>0</v>
      </c>
      <c r="G16931" s="26"/>
    </row>
    <row r="16932" spans="1:7" ht="104.52" thickBot="1" customHeight="1">
      <c r="A16932" s="26"/>
      <c r="B16932" s="26"/>
      <c r="C16932" s="26"/>
      <c r="D16932" s="25" t="s">
        <v>52552</v>
      </c>
      <c r="E16932" s="25"/>
      <c r="F16932" s="25"/>
      <c r="G16932" s="25"/>
    </row>
    <row r="16933" spans="1:7" ht="39.84" thickBot="1" customHeight="1">
      <c r="A16933" s="10" t="s">
        <v>52553</v>
      </c>
      <c r="B16933" s="24" t="s">
        <v>52554</v>
      </c>
      <c r="C16933" s="24" t="s">
        <v>52555</v>
      </c>
      <c r="D16933" s="25" t="s">
        <v>52556</v>
      </c>
      <c r="E16933" s="26"/>
      <c r="F16933" s="27">
        <f ca="1">ROUND(76.290*(1+G2/100),2)</f>
        <v>0</v>
      </c>
      <c r="G16933" s="26"/>
    </row>
    <row r="16934" spans="1:7" ht="104.52" thickBot="1" customHeight="1">
      <c r="A16934" s="26"/>
      <c r="B16934" s="26"/>
      <c r="C16934" s="26"/>
      <c r="D16934" s="25" t="s">
        <v>52557</v>
      </c>
      <c r="E16934" s="25"/>
      <c r="F16934" s="25"/>
      <c r="G16934" s="25"/>
    </row>
    <row r="16935" spans="1:7" ht="39.84" thickBot="1" customHeight="1">
      <c r="A16935" s="10" t="s">
        <v>52558</v>
      </c>
      <c r="B16935" s="24" t="s">
        <v>52559</v>
      </c>
      <c r="C16935" s="24" t="s">
        <v>52560</v>
      </c>
      <c r="D16935" s="25" t="s">
        <v>52561</v>
      </c>
      <c r="E16935" s="26"/>
      <c r="F16935" s="27">
        <f ca="1">ROUND(80.450*(1+G2/100),2)</f>
        <v>0</v>
      </c>
      <c r="G16935" s="26"/>
    </row>
    <row r="16936" spans="1:7" ht="104.52" thickBot="1" customHeight="1">
      <c r="A16936" s="26"/>
      <c r="B16936" s="26"/>
      <c r="C16936" s="26"/>
      <c r="D16936" s="25" t="s">
        <v>52562</v>
      </c>
      <c r="E16936" s="25"/>
      <c r="F16936" s="25"/>
      <c r="G16936" s="25"/>
    </row>
    <row r="16937" spans="1:7" ht="49.08" thickBot="1" customHeight="1">
      <c r="A16937" s="10" t="s">
        <v>52563</v>
      </c>
      <c r="B16937" s="24" t="s">
        <v>52564</v>
      </c>
      <c r="C16937" s="24" t="s">
        <v>52565</v>
      </c>
      <c r="D16937" s="25" t="s">
        <v>52566</v>
      </c>
      <c r="E16937" s="26"/>
      <c r="F16937" s="27">
        <f ca="1">ROUND(69.350*(1+G2/100),2)</f>
        <v>0</v>
      </c>
      <c r="G16937" s="26"/>
    </row>
    <row r="16938" spans="1:7" ht="104.52" thickBot="1" customHeight="1">
      <c r="A16938" s="26"/>
      <c r="B16938" s="26"/>
      <c r="C16938" s="26"/>
      <c r="D16938" s="25" t="s">
        <v>52567</v>
      </c>
      <c r="E16938" s="25"/>
      <c r="F16938" s="25"/>
      <c r="G16938" s="25"/>
    </row>
    <row r="16939" spans="1:7" ht="49.08" thickBot="1" customHeight="1">
      <c r="A16939" s="10" t="s">
        <v>52568</v>
      </c>
      <c r="B16939" s="24" t="s">
        <v>52569</v>
      </c>
      <c r="C16939" s="24" t="s">
        <v>52570</v>
      </c>
      <c r="D16939" s="25" t="s">
        <v>52571</v>
      </c>
      <c r="E16939" s="26"/>
      <c r="F16939" s="27">
        <f ca="1">ROUND(45.570*(1+G2/100),2)</f>
        <v>0</v>
      </c>
      <c r="G16939" s="26"/>
    </row>
    <row r="16940" spans="1:7" ht="224.64" thickBot="1" customHeight="1">
      <c r="A16940" s="26"/>
      <c r="B16940" s="26"/>
      <c r="C16940" s="26"/>
      <c r="D16940" s="25" t="s">
        <v>52572</v>
      </c>
      <c r="E16940" s="25"/>
      <c r="F16940" s="25"/>
      <c r="G16940" s="25"/>
    </row>
    <row r="16941" spans="1:7" ht="39.84" thickBot="1" customHeight="1">
      <c r="A16941" s="10" t="s">
        <v>52573</v>
      </c>
      <c r="B16941" s="24" t="s">
        <v>52574</v>
      </c>
      <c r="C16941" s="24" t="s">
        <v>52575</v>
      </c>
      <c r="D16941" s="25" t="s">
        <v>52576</v>
      </c>
      <c r="E16941" s="26"/>
      <c r="F16941" s="27">
        <f ca="1">ROUND(15.200*(1+G2/100),2)</f>
        <v>0</v>
      </c>
      <c r="G16941" s="26"/>
    </row>
    <row r="16942" spans="1:7" ht="49.08" thickBot="1" customHeight="1">
      <c r="A16942" s="26"/>
      <c r="B16942" s="26"/>
      <c r="C16942" s="26"/>
      <c r="D16942" s="25" t="s">
        <v>52577</v>
      </c>
      <c r="E16942" s="25"/>
      <c r="F16942" s="25"/>
      <c r="G16942" s="25"/>
    </row>
    <row r="16943" spans="1:7" ht="39.84" thickBot="1" customHeight="1">
      <c r="A16943" s="10" t="s">
        <v>52578</v>
      </c>
      <c r="B16943" s="24" t="s">
        <v>52579</v>
      </c>
      <c r="C16943" s="24" t="s">
        <v>52580</v>
      </c>
      <c r="D16943" s="25" t="s">
        <v>52581</v>
      </c>
      <c r="E16943" s="26"/>
      <c r="F16943" s="27">
        <f ca="1">ROUND(10.460*(1+G2/100),2)</f>
        <v>0</v>
      </c>
      <c r="G16943" s="26"/>
    </row>
    <row r="16944" spans="1:7" ht="58.32" thickBot="1" customHeight="1">
      <c r="A16944" s="26"/>
      <c r="B16944" s="26"/>
      <c r="C16944" s="26"/>
      <c r="D16944" s="25" t="s">
        <v>52582</v>
      </c>
      <c r="E16944" s="25"/>
      <c r="F16944" s="25"/>
      <c r="G16944" s="25"/>
    </row>
    <row r="16945" spans="1:7" ht="39.84" thickBot="1" customHeight="1">
      <c r="A16945" s="10" t="s">
        <v>52583</v>
      </c>
      <c r="B16945" s="24" t="s">
        <v>52584</v>
      </c>
      <c r="C16945" s="24" t="s">
        <v>52585</v>
      </c>
      <c r="D16945" s="25" t="s">
        <v>52586</v>
      </c>
      <c r="E16945" s="26"/>
      <c r="F16945" s="27">
        <f ca="1">ROUND(6.800*(1+G2/100),2)</f>
        <v>0</v>
      </c>
      <c r="G16945" s="26"/>
    </row>
    <row r="16946" spans="1:7" ht="95.28" thickBot="1" customHeight="1">
      <c r="A16946" s="26"/>
      <c r="B16946" s="26"/>
      <c r="C16946" s="26"/>
      <c r="D16946" s="25" t="s">
        <v>52587</v>
      </c>
      <c r="E16946" s="25"/>
      <c r="F16946" s="25"/>
      <c r="G16946" s="25"/>
    </row>
    <row r="16947" spans="1:7" ht="24.36" thickBot="1" customHeight="1">
      <c r="A16947" s="10" t="s">
        <v>52588</v>
      </c>
      <c r="B16947" s="24" t="s">
        <v>52589</v>
      </c>
      <c r="C16947" s="24" t="s">
        <v>52590</v>
      </c>
      <c r="D16947" s="25" t="s">
        <v>52591</v>
      </c>
      <c r="E16947" s="26"/>
      <c r="F16947" s="27">
        <f ca="1">ROUND(29.060*(1+G2/100),2)</f>
        <v>0</v>
      </c>
      <c r="G16947" s="26"/>
    </row>
    <row r="16948" spans="1:7" ht="159.96" thickBot="1" customHeight="1">
      <c r="A16948" s="26"/>
      <c r="B16948" s="26"/>
      <c r="C16948" s="26"/>
      <c r="D16948" s="25" t="s">
        <v>52592</v>
      </c>
      <c r="E16948" s="25"/>
      <c r="F16948" s="25"/>
      <c r="G16948" s="25"/>
    </row>
    <row r="16949" spans="1:7" ht="49.08" thickBot="1" customHeight="1">
      <c r="A16949" s="10" t="s">
        <v>52593</v>
      </c>
      <c r="B16949" s="24" t="s">
        <v>52594</v>
      </c>
      <c r="C16949" s="24" t="s">
        <v>52595</v>
      </c>
      <c r="D16949" s="25" t="s">
        <v>52596</v>
      </c>
      <c r="E16949" s="26"/>
      <c r="F16949" s="27">
        <f ca="1">ROUND(99.300*(1+G2/100),2)</f>
        <v>0</v>
      </c>
      <c r="G16949" s="26"/>
    </row>
    <row r="16950" spans="1:7" ht="169.20" thickBot="1" customHeight="1">
      <c r="A16950" s="26"/>
      <c r="B16950" s="26"/>
      <c r="C16950" s="26"/>
      <c r="D16950" s="25" t="s">
        <v>52597</v>
      </c>
      <c r="E16950" s="25"/>
      <c r="F16950" s="25"/>
      <c r="G16950" s="25"/>
    </row>
    <row r="16951" spans="1:7" ht="49.08" thickBot="1" customHeight="1">
      <c r="A16951" s="10" t="s">
        <v>52598</v>
      </c>
      <c r="B16951" s="24" t="s">
        <v>52599</v>
      </c>
      <c r="C16951" s="24" t="s">
        <v>52600</v>
      </c>
      <c r="D16951" s="25" t="s">
        <v>52601</v>
      </c>
      <c r="E16951" s="26"/>
      <c r="F16951" s="27">
        <f ca="1">ROUND(353.060*(1+G2/100),2)</f>
        <v>0</v>
      </c>
      <c r="G16951" s="26"/>
    </row>
    <row r="16952" spans="1:7" ht="169.20" thickBot="1" customHeight="1">
      <c r="A16952" s="26"/>
      <c r="B16952" s="26"/>
      <c r="C16952" s="26"/>
      <c r="D16952" s="25" t="s">
        <v>52602</v>
      </c>
      <c r="E16952" s="25"/>
      <c r="F16952" s="25"/>
      <c r="G16952" s="25"/>
    </row>
    <row r="16953" spans="1:7" ht="49.08" thickBot="1" customHeight="1">
      <c r="A16953" s="10" t="s">
        <v>52603</v>
      </c>
      <c r="B16953" s="24" t="s">
        <v>52604</v>
      </c>
      <c r="C16953" s="24" t="s">
        <v>52605</v>
      </c>
      <c r="D16953" s="25" t="s">
        <v>52606</v>
      </c>
      <c r="E16953" s="26"/>
      <c r="F16953" s="27">
        <f ca="1">ROUND(41.740*(1+G2/100),2)</f>
        <v>0</v>
      </c>
      <c r="G16953" s="26"/>
    </row>
    <row r="16954" spans="1:7" ht="104.52" thickBot="1" customHeight="1">
      <c r="A16954" s="26"/>
      <c r="B16954" s="26"/>
      <c r="C16954" s="26"/>
      <c r="D16954" s="25" t="s">
        <v>52607</v>
      </c>
      <c r="E16954" s="25"/>
      <c r="F16954" s="25"/>
      <c r="G16954" s="25"/>
    </row>
    <row r="16955" spans="1:7" ht="49.08" thickBot="1" customHeight="1">
      <c r="A16955" s="10" t="s">
        <v>52608</v>
      </c>
      <c r="B16955" s="24" t="s">
        <v>52609</v>
      </c>
      <c r="C16955" s="24" t="s">
        <v>52610</v>
      </c>
      <c r="D16955" s="25" t="s">
        <v>52611</v>
      </c>
      <c r="E16955" s="26"/>
      <c r="F16955" s="27">
        <f ca="1">ROUND(128.220*(1+G2/100),2)</f>
        <v>0</v>
      </c>
      <c r="G16955" s="26"/>
    </row>
    <row r="16956" spans="1:7" ht="104.52" thickBot="1" customHeight="1">
      <c r="A16956" s="26"/>
      <c r="B16956" s="26"/>
      <c r="C16956" s="26"/>
      <c r="D16956" s="25" t="s">
        <v>52612</v>
      </c>
      <c r="E16956" s="25"/>
      <c r="F16956" s="25"/>
      <c r="G16956" s="25"/>
    </row>
    <row r="16957" spans="1:7" ht="58.32" thickBot="1" customHeight="1">
      <c r="A16957" s="10" t="s">
        <v>52613</v>
      </c>
      <c r="B16957" s="24" t="s">
        <v>52614</v>
      </c>
      <c r="C16957" s="24" t="s">
        <v>52615</v>
      </c>
      <c r="D16957" s="25" t="s">
        <v>52616</v>
      </c>
      <c r="E16957" s="26"/>
      <c r="F16957" s="27">
        <f ca="1">ROUND(89.210*(1+G2/100),2)</f>
        <v>0</v>
      </c>
      <c r="G16957" s="26"/>
    </row>
    <row r="16958" spans="1:7" ht="104.52" thickBot="1" customHeight="1">
      <c r="A16958" s="26"/>
      <c r="B16958" s="26"/>
      <c r="C16958" s="26"/>
      <c r="D16958" s="25" t="s">
        <v>52617</v>
      </c>
      <c r="E16958" s="25"/>
      <c r="F16958" s="25"/>
      <c r="G16958" s="25"/>
    </row>
    <row r="16959" spans="1:7" ht="58.32" thickBot="1" customHeight="1">
      <c r="A16959" s="10" t="s">
        <v>52618</v>
      </c>
      <c r="B16959" s="24" t="s">
        <v>52619</v>
      </c>
      <c r="C16959" s="24" t="s">
        <v>52620</v>
      </c>
      <c r="D16959" s="25" t="s">
        <v>52621</v>
      </c>
      <c r="E16959" s="26"/>
      <c r="F16959" s="27">
        <f ca="1">ROUND(165.210*(1+G2/100),2)</f>
        <v>0</v>
      </c>
      <c r="G16959" s="26"/>
    </row>
    <row r="16960" spans="1:7" ht="76.80" thickBot="1" customHeight="1">
      <c r="A16960" s="26"/>
      <c r="B16960" s="26"/>
      <c r="C16960" s="26"/>
      <c r="D16960" s="25" t="s">
        <v>52622</v>
      </c>
      <c r="E16960" s="25"/>
      <c r="F16960" s="25"/>
      <c r="G16960" s="25"/>
    </row>
    <row r="16961" spans="1:7" ht="49.08" thickBot="1" customHeight="1">
      <c r="A16961" s="10" t="s">
        <v>52623</v>
      </c>
      <c r="B16961" s="24" t="s">
        <v>52624</v>
      </c>
      <c r="C16961" s="24" t="s">
        <v>52625</v>
      </c>
      <c r="D16961" s="25" t="s">
        <v>52626</v>
      </c>
      <c r="E16961" s="26"/>
      <c r="F16961" s="27">
        <f ca="1">ROUND(456.980*(1+G2/100),2)</f>
        <v>0</v>
      </c>
      <c r="G16961" s="26"/>
    </row>
    <row r="16962" spans="1:7" ht="141.48" thickBot="1" customHeight="1">
      <c r="A16962" s="26"/>
      <c r="B16962" s="26"/>
      <c r="C16962" s="26"/>
      <c r="D16962" s="25" t="s">
        <v>52627</v>
      </c>
      <c r="E16962" s="25"/>
      <c r="F16962" s="25"/>
      <c r="G16962" s="25"/>
    </row>
    <row r="16963" spans="1:7" ht="58.32" thickBot="1" customHeight="1">
      <c r="A16963" s="10" t="s">
        <v>52628</v>
      </c>
      <c r="B16963" s="24" t="s">
        <v>52629</v>
      </c>
      <c r="C16963" s="24" t="s">
        <v>52630</v>
      </c>
      <c r="D16963" s="25" t="s">
        <v>52631</v>
      </c>
      <c r="E16963" s="26"/>
      <c r="F16963" s="27">
        <f ca="1">ROUND(37.440*(1+G2/100),2)</f>
        <v>0</v>
      </c>
      <c r="G16963" s="26"/>
    </row>
    <row r="16964" spans="1:7" ht="206.16" thickBot="1" customHeight="1">
      <c r="A16964" s="26"/>
      <c r="B16964" s="26"/>
      <c r="C16964" s="26"/>
      <c r="D16964" s="25" t="s">
        <v>52632</v>
      </c>
      <c r="E16964" s="25"/>
      <c r="F16964" s="25"/>
      <c r="G16964" s="25"/>
    </row>
    <row r="16965" spans="1:7" ht="58.32" thickBot="1" customHeight="1">
      <c r="A16965" s="10" t="s">
        <v>52633</v>
      </c>
      <c r="B16965" s="24" t="s">
        <v>52634</v>
      </c>
      <c r="C16965" s="24" t="s">
        <v>52635</v>
      </c>
      <c r="D16965" s="25" t="s">
        <v>52636</v>
      </c>
      <c r="E16965" s="26"/>
      <c r="F16965" s="27">
        <f ca="1">ROUND(36.200*(1+G2/100),2)</f>
        <v>0</v>
      </c>
      <c r="G16965" s="26"/>
    </row>
    <row r="16966" spans="1:7" ht="206.16" thickBot="1" customHeight="1">
      <c r="A16966" s="26"/>
      <c r="B16966" s="26"/>
      <c r="C16966" s="26"/>
      <c r="D16966" s="25" t="s">
        <v>52637</v>
      </c>
      <c r="E16966" s="25"/>
      <c r="F16966" s="25"/>
      <c r="G16966" s="25"/>
    </row>
    <row r="16967" spans="1:7" ht="49.08" thickBot="1" customHeight="1">
      <c r="A16967" s="10" t="s">
        <v>52638</v>
      </c>
      <c r="B16967" s="24" t="s">
        <v>52639</v>
      </c>
      <c r="C16967" s="24" t="s">
        <v>52640</v>
      </c>
      <c r="D16967" s="25" t="s">
        <v>52641</v>
      </c>
      <c r="E16967" s="26"/>
      <c r="F16967" s="27">
        <f ca="1">ROUND(28.680*(1+G2/100),2)</f>
        <v>0</v>
      </c>
      <c r="G16967" s="26"/>
    </row>
    <row r="16968" spans="1:7" ht="501.84" thickBot="1" customHeight="1">
      <c r="A16968" s="26"/>
      <c r="B16968" s="26"/>
      <c r="C16968" s="26"/>
      <c r="D16968" s="25" t="s">
        <v>52642</v>
      </c>
      <c r="E16968" s="25"/>
      <c r="F16968" s="25"/>
      <c r="G16968" s="25"/>
    </row>
    <row r="16969" spans="1:7" ht="39.84" thickBot="1" customHeight="1">
      <c r="A16969" s="10" t="s">
        <v>52643</v>
      </c>
      <c r="B16969" s="24" t="s">
        <v>52644</v>
      </c>
      <c r="C16969" s="24" t="s">
        <v>52645</v>
      </c>
      <c r="D16969" s="25" t="s">
        <v>52646</v>
      </c>
      <c r="E16969" s="26"/>
      <c r="F16969" s="27">
        <f ca="1">ROUND(15.950*(1+G2/100),2)</f>
        <v>0</v>
      </c>
      <c r="G16969" s="26"/>
    </row>
    <row r="16970" spans="1:7" ht="169.20" thickBot="1" customHeight="1">
      <c r="A16970" s="26"/>
      <c r="B16970" s="26"/>
      <c r="C16970" s="26"/>
      <c r="D16970" s="25" t="s">
        <v>52647</v>
      </c>
      <c r="E16970" s="25"/>
      <c r="F16970" s="25"/>
      <c r="G16970" s="25"/>
    </row>
    <row r="16971" spans="1:7" ht="49.08" thickBot="1" customHeight="1">
      <c r="A16971" s="10" t="s">
        <v>52648</v>
      </c>
      <c r="B16971" s="24" t="s">
        <v>52649</v>
      </c>
      <c r="C16971" s="24" t="s">
        <v>52650</v>
      </c>
      <c r="D16971" s="25" t="s">
        <v>52651</v>
      </c>
      <c r="E16971" s="26"/>
      <c r="F16971" s="27">
        <f ca="1">ROUND(46.780*(1+G2/100),2)</f>
        <v>0</v>
      </c>
      <c r="G16971" s="26"/>
    </row>
    <row r="16972" spans="1:7" ht="132.24" thickBot="1" customHeight="1">
      <c r="A16972" s="26"/>
      <c r="B16972" s="26"/>
      <c r="C16972" s="26"/>
      <c r="D16972" s="25" t="s">
        <v>52652</v>
      </c>
      <c r="E16972" s="25"/>
      <c r="F16972" s="25"/>
      <c r="G16972" s="25"/>
    </row>
    <row r="16973" spans="1:7" ht="39.84" thickBot="1" customHeight="1">
      <c r="A16973" s="10" t="s">
        <v>52653</v>
      </c>
      <c r="B16973" s="24" t="s">
        <v>52654</v>
      </c>
      <c r="C16973" s="24" t="s">
        <v>52655</v>
      </c>
      <c r="D16973" s="25" t="s">
        <v>52656</v>
      </c>
      <c r="E16973" s="26"/>
      <c r="F16973" s="27">
        <f ca="1">ROUND(82.550*(1+G2/100),2)</f>
        <v>0</v>
      </c>
      <c r="G16973" s="26"/>
    </row>
    <row r="16974" spans="1:7" ht="67.56" thickBot="1" customHeight="1">
      <c r="A16974" s="26"/>
      <c r="B16974" s="26"/>
      <c r="C16974" s="26"/>
      <c r="D16974" s="25" t="s">
        <v>52657</v>
      </c>
      <c r="E16974" s="25"/>
      <c r="F16974" s="25"/>
      <c r="G16974" s="25"/>
    </row>
    <row r="16975" spans="1:7" ht="30.60" thickBot="1" customHeight="1">
      <c r="A16975" s="10" t="s">
        <v>52658</v>
      </c>
      <c r="B16975" s="24" t="s">
        <v>52659</v>
      </c>
      <c r="C16975" s="24" t="s">
        <v>52660</v>
      </c>
      <c r="D16975" s="25" t="s">
        <v>52661</v>
      </c>
      <c r="E16975" s="26"/>
      <c r="F16975" s="27">
        <f ca="1">ROUND(17.770*(1+G2/100),2)</f>
        <v>0</v>
      </c>
      <c r="G16975" s="26"/>
    </row>
    <row r="16976" spans="1:7" ht="270.84" thickBot="1" customHeight="1">
      <c r="A16976" s="26"/>
      <c r="B16976" s="26"/>
      <c r="C16976" s="26"/>
      <c r="D16976" s="25" t="s">
        <v>52662</v>
      </c>
      <c r="E16976" s="25"/>
      <c r="F16976" s="25"/>
      <c r="G16976" s="25"/>
    </row>
    <row r="16977" spans="1:7" ht="25.08" thickBot="1" customHeight="1">
      <c r="A16977" s="10" t="s">
        <v>52663</v>
      </c>
      <c r="B16977" s="24" t="s">
        <v>52664</v>
      </c>
      <c r="C16977" s="24" t="s">
        <v>52665</v>
      </c>
      <c r="D16977" s="25" t="s">
        <v>52666</v>
      </c>
      <c r="E16977" s="26"/>
      <c r="F16977" s="27">
        <f ca="1">ROUND(11.000*(1+G2/100),2)</f>
        <v>0</v>
      </c>
      <c r="G16977" s="26"/>
    </row>
    <row r="16978" spans="1:7" ht="187.68" thickBot="1" customHeight="1">
      <c r="A16978" s="26"/>
      <c r="B16978" s="26"/>
      <c r="C16978" s="26"/>
      <c r="D16978" s="25" t="s">
        <v>52667</v>
      </c>
      <c r="E16978" s="25"/>
      <c r="F16978" s="25"/>
      <c r="G16978" s="25"/>
    </row>
    <row r="16979" spans="1:7" ht="25.08" thickBot="1" customHeight="1">
      <c r="A16979" s="30"/>
      <c r="B16979" s="30"/>
      <c r="C16979" s="30"/>
      <c r="D16979" s="79" t="s">
        <v>52668</v>
      </c>
      <c r="E16979" s="80"/>
      <c r="F16979" s="80"/>
      <c r="G16979" s="80"/>
    </row>
    <row r="16980" spans="1:7" ht="15.48" thickBot="1" customHeight="1">
      <c r="A16980" s="34" t="s">
        <v>52669</v>
      </c>
      <c r="B16980" s="35" t="s">
        <v>52670</v>
      </c>
      <c r="C16980" s="35" t="s">
        <v>52671</v>
      </c>
      <c r="D16980" s="36" t="s">
        <v>52672</v>
      </c>
      <c r="E16980" s="37"/>
      <c r="F16980" s="38">
        <f ca="1">ROUND(0.000*(1+G2/100),2)</f>
        <v>0</v>
      </c>
      <c r="G16980" s="37"/>
    </row>
    <row r="16981" spans="1:7" ht="215.40" thickBot="1" customHeight="1">
      <c r="A16981" s="26"/>
      <c r="B16981" s="26"/>
      <c r="C16981" s="26"/>
      <c r="D16981" s="25" t="s">
        <v>52673</v>
      </c>
      <c r="E16981" s="25"/>
      <c r="F16981" s="25"/>
      <c r="G16981" s="25"/>
    </row>
    <row r="16982" spans="1:7" ht="30.60" thickBot="1" customHeight="1">
      <c r="A16982" s="10" t="s">
        <v>52674</v>
      </c>
      <c r="B16982" s="24" t="s">
        <v>52675</v>
      </c>
      <c r="C16982" s="24" t="s">
        <v>52676</v>
      </c>
      <c r="D16982" s="25" t="s">
        <v>52677</v>
      </c>
      <c r="E16982" s="26"/>
      <c r="F16982" s="27">
        <f ca="1">ROUND(0.000*(1+G2/100),2)</f>
        <v>0</v>
      </c>
      <c r="G16982" s="26"/>
    </row>
    <row r="16983" spans="1:7" ht="67.56" thickBot="1" customHeight="1">
      <c r="A16983" s="26"/>
      <c r="B16983" s="26"/>
      <c r="C16983" s="26"/>
      <c r="D16983" s="25" t="s">
        <v>52678</v>
      </c>
      <c r="E16983" s="25"/>
      <c r="F16983" s="25"/>
      <c r="G16983" s="25"/>
    </row>
    <row r="16984" spans="1:7" ht="25.08" thickBot="1" customHeight="1">
      <c r="A16984" s="18" t="s">
        <v>52679</v>
      </c>
      <c r="B16984" s="18" t="s">
        <v>52680</v>
      </c>
      <c r="C16984" s="19"/>
      <c r="D16984" s="20" t="s">
        <v>52681</v>
      </c>
      <c r="E16984" s="19"/>
      <c r="F16984" s="19"/>
      <c r="G16984" s="19"/>
    </row>
    <row r="16985" spans="1:7" ht="49.08" thickBot="1" customHeight="1">
      <c r="A16985" s="10" t="s">
        <v>52682</v>
      </c>
      <c r="B16985" s="24" t="s">
        <v>52683</v>
      </c>
      <c r="C16985" s="24" t="s">
        <v>52684</v>
      </c>
      <c r="D16985" s="25" t="s">
        <v>52685</v>
      </c>
      <c r="E16985" s="26"/>
      <c r="F16985" s="27">
        <f ca="1">ROUND(123.760*(1+G2/100),2)</f>
        <v>0</v>
      </c>
      <c r="G16985" s="26"/>
    </row>
    <row r="16986" spans="1:7" ht="317.04" thickBot="1" customHeight="1">
      <c r="A16986" s="26"/>
      <c r="B16986" s="26"/>
      <c r="C16986" s="26"/>
      <c r="D16986" s="25" t="s">
        <v>52686</v>
      </c>
      <c r="E16986" s="25"/>
      <c r="F16986" s="25"/>
      <c r="G16986" s="25"/>
    </row>
    <row r="16987" spans="1:7" ht="39.84" thickBot="1" customHeight="1">
      <c r="A16987" s="10" t="s">
        <v>52687</v>
      </c>
      <c r="B16987" s="24" t="s">
        <v>52688</v>
      </c>
      <c r="C16987" s="24" t="s">
        <v>52689</v>
      </c>
      <c r="D16987" s="25" t="s">
        <v>52690</v>
      </c>
      <c r="E16987" s="26"/>
      <c r="F16987" s="27">
        <f ca="1">ROUND(96.780*(1+G2/100),2)</f>
        <v>0</v>
      </c>
      <c r="G16987" s="26"/>
    </row>
    <row r="16988" spans="1:7" ht="132.24" thickBot="1" customHeight="1">
      <c r="A16988" s="26"/>
      <c r="B16988" s="26"/>
      <c r="C16988" s="26"/>
      <c r="D16988" s="25" t="s">
        <v>52691</v>
      </c>
      <c r="E16988" s="25"/>
      <c r="F16988" s="25"/>
      <c r="G16988" s="25"/>
    </row>
    <row r="16989" spans="1:7" ht="39.84" thickBot="1" customHeight="1">
      <c r="A16989" s="10" t="s">
        <v>52692</v>
      </c>
      <c r="B16989" s="24" t="s">
        <v>52693</v>
      </c>
      <c r="C16989" s="24" t="s">
        <v>52694</v>
      </c>
      <c r="D16989" s="25" t="s">
        <v>52695</v>
      </c>
      <c r="E16989" s="26"/>
      <c r="F16989" s="27">
        <f ca="1">ROUND(63.840*(1+G2/100),2)</f>
        <v>0</v>
      </c>
      <c r="G16989" s="26"/>
    </row>
    <row r="16990" spans="1:7" ht="67.56" thickBot="1" customHeight="1">
      <c r="A16990" s="26"/>
      <c r="B16990" s="26"/>
      <c r="C16990" s="26"/>
      <c r="D16990" s="25" t="s">
        <v>52696</v>
      </c>
      <c r="E16990" s="25"/>
      <c r="F16990" s="25"/>
      <c r="G16990" s="25"/>
    </row>
    <row r="16991" spans="1:7" ht="30.60" thickBot="1" customHeight="1">
      <c r="A16991" s="10" t="s">
        <v>52697</v>
      </c>
      <c r="B16991" s="24" t="s">
        <v>52698</v>
      </c>
      <c r="C16991" s="24" t="s">
        <v>52699</v>
      </c>
      <c r="D16991" s="25" t="s">
        <v>52700</v>
      </c>
      <c r="E16991" s="26"/>
      <c r="F16991" s="27">
        <f ca="1">ROUND(44.630*(1+G2/100),2)</f>
        <v>0</v>
      </c>
      <c r="G16991" s="26"/>
    </row>
    <row r="16992" spans="1:7" ht="39.84" thickBot="1" customHeight="1">
      <c r="A16992" s="26"/>
      <c r="B16992" s="26"/>
      <c r="C16992" s="26"/>
      <c r="D16992" s="25" t="s">
        <v>52701</v>
      </c>
      <c r="E16992" s="25"/>
      <c r="F16992" s="25"/>
      <c r="G16992" s="25"/>
    </row>
    <row r="16993" spans="1:7" ht="39.84" thickBot="1" customHeight="1">
      <c r="A16993" s="10" t="s">
        <v>52702</v>
      </c>
      <c r="B16993" s="24" t="s">
        <v>52703</v>
      </c>
      <c r="C16993" s="24" t="s">
        <v>52704</v>
      </c>
      <c r="D16993" s="25" t="s">
        <v>52705</v>
      </c>
      <c r="E16993" s="26"/>
      <c r="F16993" s="27">
        <f ca="1">ROUND(139.670*(1+G2/100),2)</f>
        <v>0</v>
      </c>
      <c r="G16993" s="26"/>
    </row>
    <row r="16994" spans="1:7" ht="58.32" thickBot="1" customHeight="1">
      <c r="A16994" s="26"/>
      <c r="B16994" s="26"/>
      <c r="C16994" s="26"/>
      <c r="D16994" s="25" t="s">
        <v>52706</v>
      </c>
      <c r="E16994" s="25"/>
      <c r="F16994" s="25"/>
      <c r="G16994" s="25"/>
    </row>
    <row r="16995" spans="1:7" ht="39.84" thickBot="1" customHeight="1">
      <c r="A16995" s="10" t="s">
        <v>52707</v>
      </c>
      <c r="B16995" s="24" t="s">
        <v>52708</v>
      </c>
      <c r="C16995" s="24" t="s">
        <v>52709</v>
      </c>
      <c r="D16995" s="25" t="s">
        <v>52710</v>
      </c>
      <c r="E16995" s="26"/>
      <c r="F16995" s="27">
        <f ca="1">ROUND(107.430*(1+G2/100),2)</f>
        <v>0</v>
      </c>
      <c r="G16995" s="26"/>
    </row>
    <row r="16996" spans="1:7" ht="289.32" thickBot="1" customHeight="1">
      <c r="A16996" s="26"/>
      <c r="B16996" s="26"/>
      <c r="C16996" s="26"/>
      <c r="D16996" s="25" t="s">
        <v>52711</v>
      </c>
      <c r="E16996" s="25"/>
      <c r="F16996" s="25"/>
      <c r="G16996" s="25"/>
    </row>
    <row r="16997" spans="1:7" ht="30.60" thickBot="1" customHeight="1">
      <c r="A16997" s="10" t="s">
        <v>52712</v>
      </c>
      <c r="B16997" s="24" t="s">
        <v>52713</v>
      </c>
      <c r="C16997" s="24" t="s">
        <v>52714</v>
      </c>
      <c r="D16997" s="25" t="s">
        <v>52715</v>
      </c>
      <c r="E16997" s="26"/>
      <c r="F16997" s="27">
        <f ca="1">ROUND(47.090*(1+G2/100),2)</f>
        <v>0</v>
      </c>
      <c r="G16997" s="26"/>
    </row>
    <row r="16998" spans="1:7" ht="86.04" thickBot="1" customHeight="1">
      <c r="A16998" s="26"/>
      <c r="B16998" s="26"/>
      <c r="C16998" s="26"/>
      <c r="D16998" s="25" t="s">
        <v>52716</v>
      </c>
      <c r="E16998" s="25"/>
      <c r="F16998" s="25"/>
      <c r="G16998" s="25"/>
    </row>
    <row r="16999" spans="1:7" ht="39.84" thickBot="1" customHeight="1">
      <c r="A16999" s="10" t="s">
        <v>52717</v>
      </c>
      <c r="B16999" s="24" t="s">
        <v>52718</v>
      </c>
      <c r="C16999" s="24" t="s">
        <v>52719</v>
      </c>
      <c r="D16999" s="25" t="s">
        <v>52720</v>
      </c>
      <c r="E16999" s="26"/>
      <c r="F16999" s="27">
        <f ca="1">ROUND(33.050*(1+G2/100),2)</f>
        <v>0</v>
      </c>
      <c r="G16999" s="26"/>
    </row>
    <row r="17000" spans="1:7" ht="150.72" thickBot="1" customHeight="1">
      <c r="A17000" s="26"/>
      <c r="B17000" s="26"/>
      <c r="C17000" s="26"/>
      <c r="D17000" s="25" t="s">
        <v>52721</v>
      </c>
      <c r="E17000" s="25"/>
      <c r="F17000" s="25"/>
      <c r="G17000" s="25"/>
    </row>
    <row r="17001" spans="1:7" ht="30.60" thickBot="1" customHeight="1">
      <c r="A17001" s="10" t="s">
        <v>52722</v>
      </c>
      <c r="B17001" s="24" t="s">
        <v>52723</v>
      </c>
      <c r="C17001" s="24" t="s">
        <v>52724</v>
      </c>
      <c r="D17001" s="25" t="s">
        <v>52725</v>
      </c>
      <c r="E17001" s="26"/>
      <c r="F17001" s="27">
        <f ca="1">ROUND(32.220*(1+G2/100),2)</f>
        <v>0</v>
      </c>
      <c r="G17001" s="26"/>
    </row>
    <row r="17002" spans="1:7" ht="95.28" thickBot="1" customHeight="1">
      <c r="A17002" s="26"/>
      <c r="B17002" s="26"/>
      <c r="C17002" s="26"/>
      <c r="D17002" s="25" t="s">
        <v>52726</v>
      </c>
      <c r="E17002" s="25"/>
      <c r="F17002" s="25"/>
      <c r="G17002" s="25"/>
    </row>
    <row r="17003" spans="1:7" ht="39.84" thickBot="1" customHeight="1">
      <c r="A17003" s="10" t="s">
        <v>52727</v>
      </c>
      <c r="B17003" s="24" t="s">
        <v>52728</v>
      </c>
      <c r="C17003" s="24" t="s">
        <v>52729</v>
      </c>
      <c r="D17003" s="25" t="s">
        <v>52730</v>
      </c>
      <c r="E17003" s="26"/>
      <c r="F17003" s="27">
        <f ca="1">ROUND(86.000*(1+G2/100),2)</f>
        <v>0</v>
      </c>
      <c r="G17003" s="26"/>
    </row>
    <row r="17004" spans="1:7" ht="344.76" thickBot="1" customHeight="1">
      <c r="A17004" s="26"/>
      <c r="B17004" s="26"/>
      <c r="C17004" s="26"/>
      <c r="D17004" s="25" t="s">
        <v>52731</v>
      </c>
      <c r="E17004" s="25"/>
      <c r="F17004" s="25"/>
      <c r="G17004" s="25"/>
    </row>
    <row r="17005" spans="1:7" ht="30.60" thickBot="1" customHeight="1">
      <c r="A17005" s="10" t="s">
        <v>52732</v>
      </c>
      <c r="B17005" s="24" t="s">
        <v>52733</v>
      </c>
      <c r="C17005" s="24" t="s">
        <v>52734</v>
      </c>
      <c r="D17005" s="25" t="s">
        <v>52735</v>
      </c>
      <c r="E17005" s="26"/>
      <c r="F17005" s="27">
        <f ca="1">ROUND(347.030*(1+G2/100),2)</f>
        <v>0</v>
      </c>
      <c r="G17005" s="26"/>
    </row>
    <row r="17006" spans="1:7" ht="67.56" thickBot="1" customHeight="1">
      <c r="A17006" s="26"/>
      <c r="B17006" s="26"/>
      <c r="C17006" s="26"/>
      <c r="D17006" s="25" t="s">
        <v>52736</v>
      </c>
      <c r="E17006" s="25"/>
      <c r="F17006" s="25"/>
      <c r="G17006" s="25"/>
    </row>
    <row r="17007" spans="1:7" ht="30.60" thickBot="1" customHeight="1">
      <c r="A17007" s="10" t="s">
        <v>52737</v>
      </c>
      <c r="B17007" s="24" t="s">
        <v>52738</v>
      </c>
      <c r="C17007" s="24" t="s">
        <v>52739</v>
      </c>
      <c r="D17007" s="25" t="s">
        <v>52740</v>
      </c>
      <c r="E17007" s="26"/>
      <c r="F17007" s="27">
        <f ca="1">ROUND(115.680*(1+G2/100),2)</f>
        <v>0</v>
      </c>
      <c r="G17007" s="26"/>
    </row>
    <row r="17008" spans="1:7" ht="67.56" thickBot="1" customHeight="1">
      <c r="A17008" s="26"/>
      <c r="B17008" s="26"/>
      <c r="C17008" s="26"/>
      <c r="D17008" s="25" t="s">
        <v>52741</v>
      </c>
      <c r="E17008" s="25"/>
      <c r="F17008" s="25"/>
      <c r="G17008" s="25"/>
    </row>
    <row r="17009" spans="1:7" ht="39.84" thickBot="1" customHeight="1">
      <c r="A17009" s="10" t="s">
        <v>52742</v>
      </c>
      <c r="B17009" s="24" t="s">
        <v>52743</v>
      </c>
      <c r="C17009" s="24" t="s">
        <v>52744</v>
      </c>
      <c r="D17009" s="25" t="s">
        <v>52745</v>
      </c>
      <c r="E17009" s="26"/>
      <c r="F17009" s="27">
        <f ca="1">ROUND(284.340*(1+G2/100),2)</f>
        <v>0</v>
      </c>
      <c r="G17009" s="26"/>
    </row>
    <row r="17010" spans="1:7" ht="113.76" thickBot="1" customHeight="1">
      <c r="A17010" s="26"/>
      <c r="B17010" s="26"/>
      <c r="C17010" s="26"/>
      <c r="D17010" s="25" t="s">
        <v>52746</v>
      </c>
      <c r="E17010" s="25"/>
      <c r="F17010" s="25"/>
      <c r="G17010" s="25"/>
    </row>
    <row r="17011" spans="1:7" ht="30.60" thickBot="1" customHeight="1">
      <c r="A17011" s="10" t="s">
        <v>52747</v>
      </c>
      <c r="B17011" s="24" t="s">
        <v>52748</v>
      </c>
      <c r="C17011" s="24" t="s">
        <v>52749</v>
      </c>
      <c r="D17011" s="25" t="s">
        <v>52750</v>
      </c>
      <c r="E17011" s="26"/>
      <c r="F17011" s="27">
        <f ca="1">ROUND(71.080*(1+G2/100),2)</f>
        <v>0</v>
      </c>
      <c r="G17011" s="26"/>
    </row>
    <row r="17012" spans="1:7" ht="113.76" thickBot="1" customHeight="1">
      <c r="A17012" s="26"/>
      <c r="B17012" s="26"/>
      <c r="C17012" s="26"/>
      <c r="D17012" s="25" t="s">
        <v>52751</v>
      </c>
      <c r="E17012" s="25"/>
      <c r="F17012" s="25"/>
      <c r="G17012" s="25"/>
    </row>
    <row r="17013" spans="1:7" ht="39.84" thickBot="1" customHeight="1">
      <c r="A17013" s="10" t="s">
        <v>52752</v>
      </c>
      <c r="B17013" s="24" t="s">
        <v>52753</v>
      </c>
      <c r="C17013" s="24" t="s">
        <v>52754</v>
      </c>
      <c r="D17013" s="25" t="s">
        <v>52755</v>
      </c>
      <c r="E17013" s="26"/>
      <c r="F17013" s="27">
        <f ca="1">ROUND(73.310*(1+G2/100),2)</f>
        <v>0</v>
      </c>
      <c r="G17013" s="26"/>
    </row>
    <row r="17014" spans="1:7" ht="95.28" thickBot="1" customHeight="1">
      <c r="A17014" s="26"/>
      <c r="B17014" s="26"/>
      <c r="C17014" s="26"/>
      <c r="D17014" s="25" t="s">
        <v>52756</v>
      </c>
      <c r="E17014" s="25"/>
      <c r="F17014" s="25"/>
      <c r="G17014" s="25"/>
    </row>
    <row r="17015" spans="1:7" ht="39.84" thickBot="1" customHeight="1">
      <c r="A17015" s="10" t="s">
        <v>52757</v>
      </c>
      <c r="B17015" s="24" t="s">
        <v>52758</v>
      </c>
      <c r="C17015" s="24" t="s">
        <v>52759</v>
      </c>
      <c r="D17015" s="25" t="s">
        <v>52760</v>
      </c>
      <c r="E17015" s="26"/>
      <c r="F17015" s="27">
        <f ca="1">ROUND(215.970*(1+G2/100),2)</f>
        <v>0</v>
      </c>
      <c r="G17015" s="26"/>
    </row>
    <row r="17016" spans="1:7" ht="86.04" thickBot="1" customHeight="1">
      <c r="A17016" s="26"/>
      <c r="B17016" s="26"/>
      <c r="C17016" s="26"/>
      <c r="D17016" s="25" t="s">
        <v>52761</v>
      </c>
      <c r="E17016" s="25"/>
      <c r="F17016" s="25"/>
      <c r="G17016" s="25"/>
    </row>
    <row r="17017" spans="1:7" ht="39.84" thickBot="1" customHeight="1">
      <c r="A17017" s="10" t="s">
        <v>52762</v>
      </c>
      <c r="B17017" s="24" t="s">
        <v>52763</v>
      </c>
      <c r="C17017" s="24" t="s">
        <v>52764</v>
      </c>
      <c r="D17017" s="25" t="s">
        <v>52765</v>
      </c>
      <c r="E17017" s="26"/>
      <c r="F17017" s="27">
        <f ca="1">ROUND(59.990*(1+G2/100),2)</f>
        <v>0</v>
      </c>
      <c r="G17017" s="26"/>
    </row>
    <row r="17018" spans="1:7" ht="86.04" thickBot="1" customHeight="1">
      <c r="A17018" s="26"/>
      <c r="B17018" s="26"/>
      <c r="C17018" s="26"/>
      <c r="D17018" s="25" t="s">
        <v>52766</v>
      </c>
      <c r="E17018" s="25"/>
      <c r="F17018" s="25"/>
      <c r="G17018" s="25"/>
    </row>
    <row r="17019" spans="1:7" ht="30.60" thickBot="1" customHeight="1">
      <c r="A17019" s="10" t="s">
        <v>52767</v>
      </c>
      <c r="B17019" s="24" t="s">
        <v>52768</v>
      </c>
      <c r="C17019" s="24" t="s">
        <v>52769</v>
      </c>
      <c r="D17019" s="25" t="s">
        <v>52770</v>
      </c>
      <c r="E17019" s="26"/>
      <c r="F17019" s="27">
        <f ca="1">ROUND(227.640*(1+G2/100),2)</f>
        <v>0</v>
      </c>
      <c r="G17019" s="26"/>
    </row>
    <row r="17020" spans="1:7" ht="49.08" thickBot="1" customHeight="1">
      <c r="A17020" s="26"/>
      <c r="B17020" s="26"/>
      <c r="C17020" s="26"/>
      <c r="D17020" s="25" t="s">
        <v>52771</v>
      </c>
      <c r="E17020" s="25"/>
      <c r="F17020" s="25"/>
      <c r="G17020" s="25"/>
    </row>
    <row r="17021" spans="1:7" ht="30.60" thickBot="1" customHeight="1">
      <c r="A17021" s="10" t="s">
        <v>52772</v>
      </c>
      <c r="B17021" s="24" t="s">
        <v>52773</v>
      </c>
      <c r="C17021" s="24" t="s">
        <v>52774</v>
      </c>
      <c r="D17021" s="25" t="s">
        <v>52775</v>
      </c>
      <c r="E17021" s="26"/>
      <c r="F17021" s="27">
        <f ca="1">ROUND(56.910*(1+G2/100),2)</f>
        <v>0</v>
      </c>
      <c r="G17021" s="26"/>
    </row>
    <row r="17022" spans="1:7" ht="49.08" thickBot="1" customHeight="1">
      <c r="A17022" s="26"/>
      <c r="B17022" s="26"/>
      <c r="C17022" s="26"/>
      <c r="D17022" s="25" t="s">
        <v>52776</v>
      </c>
      <c r="E17022" s="25"/>
      <c r="F17022" s="25"/>
      <c r="G17022" s="25"/>
    </row>
    <row r="17023" spans="1:7" ht="39.84" thickBot="1" customHeight="1">
      <c r="A17023" s="10" t="s">
        <v>52777</v>
      </c>
      <c r="B17023" s="24" t="s">
        <v>52778</v>
      </c>
      <c r="C17023" s="24" t="s">
        <v>52779</v>
      </c>
      <c r="D17023" s="25" t="s">
        <v>52780</v>
      </c>
      <c r="E17023" s="26"/>
      <c r="F17023" s="27">
        <f ca="1">ROUND(51.900*(1+G2/100),2)</f>
        <v>0</v>
      </c>
      <c r="G17023" s="26"/>
    </row>
    <row r="17024" spans="1:7" ht="39.84" thickBot="1" customHeight="1">
      <c r="A17024" s="26"/>
      <c r="B17024" s="26"/>
      <c r="C17024" s="26"/>
      <c r="D17024" s="25" t="s">
        <v>52781</v>
      </c>
      <c r="E17024" s="25"/>
      <c r="F17024" s="25"/>
      <c r="G17024" s="25"/>
    </row>
    <row r="17025" spans="1:7" ht="39.84" thickBot="1" customHeight="1">
      <c r="A17025" s="10" t="s">
        <v>52782</v>
      </c>
      <c r="B17025" s="24" t="s">
        <v>52783</v>
      </c>
      <c r="C17025" s="24" t="s">
        <v>52784</v>
      </c>
      <c r="D17025" s="25" t="s">
        <v>52785</v>
      </c>
      <c r="E17025" s="26"/>
      <c r="F17025" s="27">
        <f ca="1">ROUND(51.900*(1+G2/100),2)</f>
        <v>0</v>
      </c>
      <c r="G17025" s="26"/>
    </row>
    <row r="17026" spans="1:7" ht="58.32" thickBot="1" customHeight="1">
      <c r="A17026" s="26"/>
      <c r="B17026" s="26"/>
      <c r="C17026" s="26"/>
      <c r="D17026" s="25" t="s">
        <v>52786</v>
      </c>
      <c r="E17026" s="25"/>
      <c r="F17026" s="25"/>
      <c r="G17026" s="25"/>
    </row>
    <row r="17027" spans="1:7" ht="39.84" thickBot="1" customHeight="1">
      <c r="A17027" s="10" t="s">
        <v>52787</v>
      </c>
      <c r="B17027" s="24" t="s">
        <v>52788</v>
      </c>
      <c r="C17027" s="24" t="s">
        <v>52789</v>
      </c>
      <c r="D17027" s="25" t="s">
        <v>52790</v>
      </c>
      <c r="E17027" s="26"/>
      <c r="F17027" s="27">
        <f ca="1">ROUND(41.280*(1+G2/100),2)</f>
        <v>0</v>
      </c>
      <c r="G17027" s="26"/>
    </row>
    <row r="17028" spans="1:7" ht="39.84" thickBot="1" customHeight="1">
      <c r="A17028" s="26"/>
      <c r="B17028" s="26"/>
      <c r="C17028" s="26"/>
      <c r="D17028" s="25" t="s">
        <v>52791</v>
      </c>
      <c r="E17028" s="25"/>
      <c r="F17028" s="25"/>
      <c r="G17028" s="25"/>
    </row>
    <row r="17029" spans="1:7" ht="49.08" thickBot="1" customHeight="1">
      <c r="A17029" s="10" t="s">
        <v>52792</v>
      </c>
      <c r="B17029" s="24" t="s">
        <v>52793</v>
      </c>
      <c r="C17029" s="24" t="s">
        <v>52794</v>
      </c>
      <c r="D17029" s="25" t="s">
        <v>52795</v>
      </c>
      <c r="E17029" s="26"/>
      <c r="F17029" s="27">
        <f ca="1">ROUND(139.420*(1+G2/100),2)</f>
        <v>0</v>
      </c>
      <c r="G17029" s="26"/>
    </row>
    <row r="17030" spans="1:7" ht="76.80" thickBot="1" customHeight="1">
      <c r="A17030" s="26"/>
      <c r="B17030" s="26"/>
      <c r="C17030" s="26"/>
      <c r="D17030" s="25" t="s">
        <v>52796</v>
      </c>
      <c r="E17030" s="25"/>
      <c r="F17030" s="25"/>
      <c r="G17030" s="25"/>
    </row>
    <row r="17031" spans="1:7" ht="39.84" thickBot="1" customHeight="1">
      <c r="A17031" s="10" t="s">
        <v>52797</v>
      </c>
      <c r="B17031" s="24" t="s">
        <v>52798</v>
      </c>
      <c r="C17031" s="24" t="s">
        <v>52799</v>
      </c>
      <c r="D17031" s="25" t="s">
        <v>52800</v>
      </c>
      <c r="E17031" s="26"/>
      <c r="F17031" s="27">
        <f ca="1">ROUND(23.660*(1+G2/100),2)</f>
        <v>0</v>
      </c>
      <c r="G17031" s="26"/>
    </row>
    <row r="17032" spans="1:7" ht="58.32" thickBot="1" customHeight="1">
      <c r="A17032" s="26"/>
      <c r="B17032" s="26"/>
      <c r="C17032" s="26"/>
      <c r="D17032" s="25" t="s">
        <v>52801</v>
      </c>
      <c r="E17032" s="25"/>
      <c r="F17032" s="25"/>
      <c r="G17032" s="25"/>
    </row>
    <row r="17033" spans="1:7" ht="30.60" thickBot="1" customHeight="1">
      <c r="A17033" s="10" t="s">
        <v>52802</v>
      </c>
      <c r="B17033" s="24" t="s">
        <v>52803</v>
      </c>
      <c r="C17033" s="24" t="s">
        <v>52804</v>
      </c>
      <c r="D17033" s="25" t="s">
        <v>52805</v>
      </c>
      <c r="E17033" s="26"/>
      <c r="F17033" s="27">
        <f ca="1">ROUND(49.500*(1+G2/100),2)</f>
        <v>0</v>
      </c>
      <c r="G17033" s="26"/>
    </row>
    <row r="17034" spans="1:7" ht="113.76" thickBot="1" customHeight="1">
      <c r="A17034" s="26"/>
      <c r="B17034" s="26"/>
      <c r="C17034" s="26"/>
      <c r="D17034" s="25" t="s">
        <v>52806</v>
      </c>
      <c r="E17034" s="25"/>
      <c r="F17034" s="25"/>
      <c r="G17034" s="25"/>
    </row>
    <row r="17035" spans="1:7" ht="30.60" thickBot="1" customHeight="1">
      <c r="A17035" s="10" t="s">
        <v>52807</v>
      </c>
      <c r="B17035" s="24" t="s">
        <v>52808</v>
      </c>
      <c r="C17035" s="24" t="s">
        <v>52809</v>
      </c>
      <c r="D17035" s="25" t="s">
        <v>52810</v>
      </c>
      <c r="E17035" s="26"/>
      <c r="F17035" s="27">
        <f ca="1">ROUND(18.980*(1+G2/100),2)</f>
        <v>0</v>
      </c>
      <c r="G17035" s="26"/>
    </row>
    <row r="17036" spans="1:7" ht="113.76" thickBot="1" customHeight="1">
      <c r="A17036" s="26"/>
      <c r="B17036" s="26"/>
      <c r="C17036" s="26"/>
      <c r="D17036" s="25" t="s">
        <v>52811</v>
      </c>
      <c r="E17036" s="25"/>
      <c r="F17036" s="25"/>
      <c r="G17036" s="25"/>
    </row>
    <row r="17037" spans="1:7" ht="39.84" thickBot="1" customHeight="1">
      <c r="A17037" s="10" t="s">
        <v>52812</v>
      </c>
      <c r="B17037" s="24" t="s">
        <v>52813</v>
      </c>
      <c r="C17037" s="24" t="s">
        <v>52814</v>
      </c>
      <c r="D17037" s="25" t="s">
        <v>52815</v>
      </c>
      <c r="E17037" s="26"/>
      <c r="F17037" s="27">
        <f ca="1">ROUND(65.660*(1+G2/100),2)</f>
        <v>0</v>
      </c>
      <c r="G17037" s="26"/>
    </row>
    <row r="17038" spans="1:7" ht="113.76" thickBot="1" customHeight="1">
      <c r="A17038" s="26"/>
      <c r="B17038" s="26"/>
      <c r="C17038" s="26"/>
      <c r="D17038" s="25" t="s">
        <v>52816</v>
      </c>
      <c r="E17038" s="25"/>
      <c r="F17038" s="25"/>
      <c r="G17038" s="25"/>
    </row>
    <row r="17039" spans="1:7" ht="39.84" thickBot="1" customHeight="1">
      <c r="A17039" s="10" t="s">
        <v>52817</v>
      </c>
      <c r="B17039" s="24" t="s">
        <v>52818</v>
      </c>
      <c r="C17039" s="24" t="s">
        <v>52819</v>
      </c>
      <c r="D17039" s="25" t="s">
        <v>52820</v>
      </c>
      <c r="E17039" s="26"/>
      <c r="F17039" s="27">
        <f ca="1">ROUND(25.660*(1+G2/100),2)</f>
        <v>0</v>
      </c>
      <c r="G17039" s="26"/>
    </row>
    <row r="17040" spans="1:7" ht="113.76" thickBot="1" customHeight="1">
      <c r="A17040" s="26"/>
      <c r="B17040" s="26"/>
      <c r="C17040" s="26"/>
      <c r="D17040" s="25" t="s">
        <v>52821</v>
      </c>
      <c r="E17040" s="25"/>
      <c r="F17040" s="25"/>
      <c r="G17040" s="25"/>
    </row>
    <row r="17041" spans="1:7" ht="30.60" thickBot="1" customHeight="1">
      <c r="A17041" s="10" t="s">
        <v>52822</v>
      </c>
      <c r="B17041" s="24" t="s">
        <v>52823</v>
      </c>
      <c r="C17041" s="24" t="s">
        <v>52824</v>
      </c>
      <c r="D17041" s="25" t="s">
        <v>52825</v>
      </c>
      <c r="E17041" s="26"/>
      <c r="F17041" s="27">
        <f ca="1">ROUND(72.490*(1+G2/100),2)</f>
        <v>0</v>
      </c>
      <c r="G17041" s="26"/>
    </row>
    <row r="17042" spans="1:7" ht="104.52" thickBot="1" customHeight="1">
      <c r="A17042" s="26"/>
      <c r="B17042" s="26"/>
      <c r="C17042" s="26"/>
      <c r="D17042" s="25" t="s">
        <v>52826</v>
      </c>
      <c r="E17042" s="25"/>
      <c r="F17042" s="25"/>
      <c r="G17042" s="25"/>
    </row>
    <row r="17043" spans="1:7" ht="39.84" thickBot="1" customHeight="1">
      <c r="A17043" s="10" t="s">
        <v>52827</v>
      </c>
      <c r="B17043" s="24" t="s">
        <v>52828</v>
      </c>
      <c r="C17043" s="24" t="s">
        <v>52829</v>
      </c>
      <c r="D17043" s="25" t="s">
        <v>52830</v>
      </c>
      <c r="E17043" s="26"/>
      <c r="F17043" s="27">
        <f ca="1">ROUND(115.330*(1+G2/100),2)</f>
        <v>0</v>
      </c>
      <c r="G17043" s="26"/>
    </row>
    <row r="17044" spans="1:7" ht="150.72" thickBot="1" customHeight="1">
      <c r="A17044" s="26"/>
      <c r="B17044" s="26"/>
      <c r="C17044" s="26"/>
      <c r="D17044" s="25" t="s">
        <v>52831</v>
      </c>
      <c r="E17044" s="25"/>
      <c r="F17044" s="25"/>
      <c r="G17044" s="25"/>
    </row>
    <row r="17045" spans="1:7" ht="30.60" thickBot="1" customHeight="1">
      <c r="A17045" s="10" t="s">
        <v>52832</v>
      </c>
      <c r="B17045" s="24" t="s">
        <v>52833</v>
      </c>
      <c r="C17045" s="24" t="s">
        <v>52834</v>
      </c>
      <c r="D17045" s="25" t="s">
        <v>52835</v>
      </c>
      <c r="E17045" s="26"/>
      <c r="F17045" s="27">
        <f ca="1">ROUND(27.190*(1+G2/100),2)</f>
        <v>0</v>
      </c>
      <c r="G17045" s="26"/>
    </row>
    <row r="17046" spans="1:7" ht="150.72" thickBot="1" customHeight="1">
      <c r="A17046" s="26"/>
      <c r="B17046" s="26"/>
      <c r="C17046" s="26"/>
      <c r="D17046" s="25" t="s">
        <v>52836</v>
      </c>
      <c r="E17046" s="25"/>
      <c r="F17046" s="25"/>
      <c r="G17046" s="25"/>
    </row>
    <row r="17047" spans="1:7" ht="30.60" thickBot="1" customHeight="1">
      <c r="A17047" s="10" t="s">
        <v>52837</v>
      </c>
      <c r="B17047" s="24" t="s">
        <v>52838</v>
      </c>
      <c r="C17047" s="24" t="s">
        <v>52839</v>
      </c>
      <c r="D17047" s="25" t="s">
        <v>52840</v>
      </c>
      <c r="E17047" s="26"/>
      <c r="F17047" s="27">
        <f ca="1">ROUND(70.680*(1+G2/100),2)</f>
        <v>0</v>
      </c>
      <c r="G17047" s="26"/>
    </row>
    <row r="17048" spans="1:7" ht="150.72" thickBot="1" customHeight="1">
      <c r="A17048" s="26"/>
      <c r="B17048" s="26"/>
      <c r="C17048" s="26"/>
      <c r="D17048" s="25" t="s">
        <v>52841</v>
      </c>
      <c r="E17048" s="25"/>
      <c r="F17048" s="25"/>
      <c r="G17048" s="25"/>
    </row>
    <row r="17049" spans="1:7" ht="30.60" thickBot="1" customHeight="1">
      <c r="A17049" s="10" t="s">
        <v>52842</v>
      </c>
      <c r="B17049" s="24" t="s">
        <v>52843</v>
      </c>
      <c r="C17049" s="24" t="s">
        <v>52844</v>
      </c>
      <c r="D17049" s="25" t="s">
        <v>52845</v>
      </c>
      <c r="E17049" s="26"/>
      <c r="F17049" s="27">
        <f ca="1">ROUND(19.060*(1+G2/100),2)</f>
        <v>0</v>
      </c>
      <c r="G17049" s="26"/>
    </row>
    <row r="17050" spans="1:7" ht="150.72" thickBot="1" customHeight="1">
      <c r="A17050" s="26"/>
      <c r="B17050" s="26"/>
      <c r="C17050" s="26"/>
      <c r="D17050" s="25" t="s">
        <v>52846</v>
      </c>
      <c r="E17050" s="25"/>
      <c r="F17050" s="25"/>
      <c r="G17050" s="25"/>
    </row>
    <row r="17051" spans="1:7" ht="39.84" thickBot="1" customHeight="1">
      <c r="A17051" s="10" t="s">
        <v>52847</v>
      </c>
      <c r="B17051" s="24" t="s">
        <v>52848</v>
      </c>
      <c r="C17051" s="24" t="s">
        <v>52849</v>
      </c>
      <c r="D17051" s="25" t="s">
        <v>52850</v>
      </c>
      <c r="E17051" s="26"/>
      <c r="F17051" s="27">
        <f ca="1">ROUND(71.910*(1+G2/100),2)</f>
        <v>0</v>
      </c>
      <c r="G17051" s="26"/>
    </row>
    <row r="17052" spans="1:7" ht="86.04" thickBot="1" customHeight="1">
      <c r="A17052" s="26"/>
      <c r="B17052" s="26"/>
      <c r="C17052" s="26"/>
      <c r="D17052" s="25" t="s">
        <v>52851</v>
      </c>
      <c r="E17052" s="25"/>
      <c r="F17052" s="25"/>
      <c r="G17052" s="25"/>
    </row>
    <row r="17053" spans="1:7" ht="39.84" thickBot="1" customHeight="1">
      <c r="A17053" s="10" t="s">
        <v>52852</v>
      </c>
      <c r="B17053" s="24" t="s">
        <v>52853</v>
      </c>
      <c r="C17053" s="24" t="s">
        <v>52854</v>
      </c>
      <c r="D17053" s="25" t="s">
        <v>52855</v>
      </c>
      <c r="E17053" s="26"/>
      <c r="F17053" s="27">
        <f ca="1">ROUND(49.840*(1+G2/100),2)</f>
        <v>0</v>
      </c>
      <c r="G17053" s="26"/>
    </row>
    <row r="17054" spans="1:7" ht="58.32" thickBot="1" customHeight="1">
      <c r="A17054" s="26"/>
      <c r="B17054" s="26"/>
      <c r="C17054" s="26"/>
      <c r="D17054" s="25" t="s">
        <v>52856</v>
      </c>
      <c r="E17054" s="25"/>
      <c r="F17054" s="25"/>
      <c r="G17054" s="25"/>
    </row>
    <row r="17055" spans="1:7" ht="30.60" thickBot="1" customHeight="1">
      <c r="A17055" s="10" t="s">
        <v>52857</v>
      </c>
      <c r="B17055" s="24" t="s">
        <v>52858</v>
      </c>
      <c r="C17055" s="24" t="s">
        <v>52859</v>
      </c>
      <c r="D17055" s="25" t="s">
        <v>52860</v>
      </c>
      <c r="E17055" s="26"/>
      <c r="F17055" s="27">
        <f ca="1">ROUND(54.740*(1+G2/100),2)</f>
        <v>0</v>
      </c>
      <c r="G17055" s="26"/>
    </row>
    <row r="17056" spans="1:7" ht="123.00" thickBot="1" customHeight="1">
      <c r="A17056" s="26"/>
      <c r="B17056" s="26"/>
      <c r="C17056" s="26"/>
      <c r="D17056" s="25" t="s">
        <v>52861</v>
      </c>
      <c r="E17056" s="25"/>
      <c r="F17056" s="25"/>
      <c r="G17056" s="25"/>
    </row>
    <row r="17057" spans="1:7" ht="30.60" thickBot="1" customHeight="1">
      <c r="A17057" s="10" t="s">
        <v>52862</v>
      </c>
      <c r="B17057" s="24" t="s">
        <v>52863</v>
      </c>
      <c r="C17057" s="24" t="s">
        <v>52864</v>
      </c>
      <c r="D17057" s="25" t="s">
        <v>52865</v>
      </c>
      <c r="E17057" s="26"/>
      <c r="F17057" s="27">
        <f ca="1">ROUND(154.460*(1+G2/100),2)</f>
        <v>0</v>
      </c>
      <c r="G17057" s="26"/>
    </row>
    <row r="17058" spans="1:7" ht="49.08" thickBot="1" customHeight="1">
      <c r="A17058" s="26"/>
      <c r="B17058" s="26"/>
      <c r="C17058" s="26"/>
      <c r="D17058" s="25" t="s">
        <v>52866</v>
      </c>
      <c r="E17058" s="25"/>
      <c r="F17058" s="25"/>
      <c r="G17058" s="25"/>
    </row>
    <row r="17059" spans="1:7" ht="39.84" thickBot="1" customHeight="1">
      <c r="A17059" s="10" t="s">
        <v>52867</v>
      </c>
      <c r="B17059" s="24" t="s">
        <v>52868</v>
      </c>
      <c r="C17059" s="24" t="s">
        <v>52869</v>
      </c>
      <c r="D17059" s="25" t="s">
        <v>52870</v>
      </c>
      <c r="E17059" s="26"/>
      <c r="F17059" s="27">
        <f ca="1">ROUND(16.650*(1+G2/100),2)</f>
        <v>0</v>
      </c>
      <c r="G17059" s="26"/>
    </row>
    <row r="17060" spans="1:7" ht="39.84" thickBot="1" customHeight="1">
      <c r="A17060" s="26"/>
      <c r="B17060" s="26"/>
      <c r="C17060" s="26"/>
      <c r="D17060" s="25" t="s">
        <v>52871</v>
      </c>
      <c r="E17060" s="25"/>
      <c r="F17060" s="25"/>
      <c r="G17060" s="25"/>
    </row>
    <row r="17061" spans="1:7" ht="49.08" thickBot="1" customHeight="1">
      <c r="A17061" s="10" t="s">
        <v>52872</v>
      </c>
      <c r="B17061" s="24" t="s">
        <v>52873</v>
      </c>
      <c r="C17061" s="24" t="s">
        <v>52874</v>
      </c>
      <c r="D17061" s="25" t="s">
        <v>52875</v>
      </c>
      <c r="E17061" s="26"/>
      <c r="F17061" s="27">
        <f ca="1">ROUND(163.750*(1+G2/100),2)</f>
        <v>0</v>
      </c>
      <c r="G17061" s="26"/>
    </row>
    <row r="17062" spans="1:7" ht="113.76" thickBot="1" customHeight="1">
      <c r="A17062" s="26"/>
      <c r="B17062" s="26"/>
      <c r="C17062" s="26"/>
      <c r="D17062" s="25" t="s">
        <v>52876</v>
      </c>
      <c r="E17062" s="25"/>
      <c r="F17062" s="25"/>
      <c r="G17062" s="25"/>
    </row>
    <row r="17063" spans="1:7" ht="49.08" thickBot="1" customHeight="1">
      <c r="A17063" s="10" t="s">
        <v>52877</v>
      </c>
      <c r="B17063" s="24" t="s">
        <v>52878</v>
      </c>
      <c r="C17063" s="24" t="s">
        <v>52879</v>
      </c>
      <c r="D17063" s="25" t="s">
        <v>52880</v>
      </c>
      <c r="E17063" s="26"/>
      <c r="F17063" s="27">
        <f ca="1">ROUND(71.310*(1+G2/100),2)</f>
        <v>0</v>
      </c>
      <c r="G17063" s="26"/>
    </row>
    <row r="17064" spans="1:7" ht="113.76" thickBot="1" customHeight="1">
      <c r="A17064" s="26"/>
      <c r="B17064" s="26"/>
      <c r="C17064" s="26"/>
      <c r="D17064" s="25" t="s">
        <v>52881</v>
      </c>
      <c r="E17064" s="25"/>
      <c r="F17064" s="25"/>
      <c r="G17064" s="25"/>
    </row>
    <row r="17065" spans="1:7" ht="39.84" thickBot="1" customHeight="1">
      <c r="A17065" s="10" t="s">
        <v>52882</v>
      </c>
      <c r="B17065" s="24" t="s">
        <v>52883</v>
      </c>
      <c r="C17065" s="24" t="s">
        <v>52884</v>
      </c>
      <c r="D17065" s="25" t="s">
        <v>52885</v>
      </c>
      <c r="E17065" s="26"/>
      <c r="F17065" s="27">
        <f ca="1">ROUND(30.570*(1+G2/100),2)</f>
        <v>0</v>
      </c>
      <c r="G17065" s="26"/>
    </row>
    <row r="17066" spans="1:7" ht="95.28" thickBot="1" customHeight="1">
      <c r="A17066" s="26"/>
      <c r="B17066" s="26"/>
      <c r="C17066" s="26"/>
      <c r="D17066" s="25" t="s">
        <v>52886</v>
      </c>
      <c r="E17066" s="25"/>
      <c r="F17066" s="25"/>
      <c r="G17066" s="25"/>
    </row>
    <row r="17067" spans="1:7" ht="30.60" thickBot="1" customHeight="1">
      <c r="A17067" s="10" t="s">
        <v>52887</v>
      </c>
      <c r="B17067" s="24" t="s">
        <v>52888</v>
      </c>
      <c r="C17067" s="24" t="s">
        <v>52889</v>
      </c>
      <c r="D17067" s="25" t="s">
        <v>52890</v>
      </c>
      <c r="E17067" s="26"/>
      <c r="F17067" s="27">
        <f ca="1">ROUND(22.720*(1+G2/100),2)</f>
        <v>0</v>
      </c>
      <c r="G17067" s="26"/>
    </row>
    <row r="17068" spans="1:7" ht="58.32" thickBot="1" customHeight="1">
      <c r="A17068" s="26"/>
      <c r="B17068" s="26"/>
      <c r="C17068" s="26"/>
      <c r="D17068" s="25" t="s">
        <v>52891</v>
      </c>
      <c r="E17068" s="25"/>
      <c r="F17068" s="25"/>
      <c r="G17068" s="25"/>
    </row>
    <row r="17069" spans="1:7" ht="39.84" thickBot="1" customHeight="1">
      <c r="A17069" s="10" t="s">
        <v>52892</v>
      </c>
      <c r="B17069" s="24" t="s">
        <v>52893</v>
      </c>
      <c r="C17069" s="24" t="s">
        <v>52894</v>
      </c>
      <c r="D17069" s="25" t="s">
        <v>52895</v>
      </c>
      <c r="E17069" s="26"/>
      <c r="F17069" s="27">
        <f ca="1">ROUND(106.610*(1+G2/100),2)</f>
        <v>0</v>
      </c>
      <c r="G17069" s="26"/>
    </row>
    <row r="17070" spans="1:7" ht="169.20" thickBot="1" customHeight="1">
      <c r="A17070" s="26"/>
      <c r="B17070" s="26"/>
      <c r="C17070" s="26"/>
      <c r="D17070" s="25" t="s">
        <v>52896</v>
      </c>
      <c r="E17070" s="25"/>
      <c r="F17070" s="25"/>
      <c r="G17070" s="25"/>
    </row>
    <row r="17071" spans="1:7" ht="49.08" thickBot="1" customHeight="1">
      <c r="A17071" s="10" t="s">
        <v>52897</v>
      </c>
      <c r="B17071" s="24" t="s">
        <v>52898</v>
      </c>
      <c r="C17071" s="24" t="s">
        <v>52899</v>
      </c>
      <c r="D17071" s="25" t="s">
        <v>52900</v>
      </c>
      <c r="E17071" s="26"/>
      <c r="F17071" s="27">
        <f ca="1">ROUND(32.220*(1+G2/100),2)</f>
        <v>0</v>
      </c>
      <c r="G17071" s="26"/>
    </row>
    <row r="17072" spans="1:7" ht="67.56" thickBot="1" customHeight="1">
      <c r="A17072" s="26"/>
      <c r="B17072" s="26"/>
      <c r="C17072" s="26"/>
      <c r="D17072" s="25" t="s">
        <v>52901</v>
      </c>
      <c r="E17072" s="25"/>
      <c r="F17072" s="25"/>
      <c r="G17072" s="25"/>
    </row>
    <row r="17073" spans="1:7" ht="49.08" thickBot="1" customHeight="1">
      <c r="A17073" s="10" t="s">
        <v>52902</v>
      </c>
      <c r="B17073" s="24" t="s">
        <v>52903</v>
      </c>
      <c r="C17073" s="24" t="s">
        <v>52904</v>
      </c>
      <c r="D17073" s="25" t="s">
        <v>52905</v>
      </c>
      <c r="E17073" s="26"/>
      <c r="F17073" s="27">
        <f ca="1">ROUND(32.220*(1+G2/100),2)</f>
        <v>0</v>
      </c>
      <c r="G17073" s="26"/>
    </row>
    <row r="17074" spans="1:7" ht="67.56" thickBot="1" customHeight="1">
      <c r="A17074" s="26"/>
      <c r="B17074" s="26"/>
      <c r="C17074" s="26"/>
      <c r="D17074" s="25" t="s">
        <v>52906</v>
      </c>
      <c r="E17074" s="25"/>
      <c r="F17074" s="25"/>
      <c r="G17074" s="25"/>
    </row>
    <row r="17075" spans="1:7" ht="30.60" thickBot="1" customHeight="1">
      <c r="A17075" s="10" t="s">
        <v>52907</v>
      </c>
      <c r="B17075" s="24" t="s">
        <v>52908</v>
      </c>
      <c r="C17075" s="24" t="s">
        <v>52909</v>
      </c>
      <c r="D17075" s="25" t="s">
        <v>52910</v>
      </c>
      <c r="E17075" s="26"/>
      <c r="F17075" s="27">
        <f ca="1">ROUND(65.990*(1+G2/100),2)</f>
        <v>0</v>
      </c>
      <c r="G17075" s="26"/>
    </row>
    <row r="17076" spans="1:7" ht="95.28" thickBot="1" customHeight="1">
      <c r="A17076" s="26"/>
      <c r="B17076" s="26"/>
      <c r="C17076" s="26"/>
      <c r="D17076" s="25" t="s">
        <v>52911</v>
      </c>
      <c r="E17076" s="25"/>
      <c r="F17076" s="25"/>
      <c r="G17076" s="25"/>
    </row>
    <row r="17077" spans="1:7" ht="39.84" thickBot="1" customHeight="1">
      <c r="A17077" s="10" t="s">
        <v>52912</v>
      </c>
      <c r="B17077" s="24" t="s">
        <v>52913</v>
      </c>
      <c r="C17077" s="24" t="s">
        <v>52914</v>
      </c>
      <c r="D17077" s="25" t="s">
        <v>52915</v>
      </c>
      <c r="E17077" s="26"/>
      <c r="F17077" s="27">
        <f ca="1">ROUND(285.000*(1+G2/100),2)</f>
        <v>0</v>
      </c>
      <c r="G17077" s="26"/>
    </row>
    <row r="17078" spans="1:7" ht="86.04" thickBot="1" customHeight="1">
      <c r="A17078" s="26"/>
      <c r="B17078" s="26"/>
      <c r="C17078" s="26"/>
      <c r="D17078" s="25" t="s">
        <v>52916</v>
      </c>
      <c r="E17078" s="25"/>
      <c r="F17078" s="25"/>
      <c r="G17078" s="25"/>
    </row>
    <row r="17079" spans="1:7" ht="30.60" thickBot="1" customHeight="1">
      <c r="A17079" s="10" t="s">
        <v>52917</v>
      </c>
      <c r="B17079" s="24" t="s">
        <v>52918</v>
      </c>
      <c r="C17079" s="24" t="s">
        <v>52919</v>
      </c>
      <c r="D17079" s="25" t="s">
        <v>52920</v>
      </c>
      <c r="E17079" s="26"/>
      <c r="F17079" s="27">
        <f ca="1">ROUND(128.450*(1+G2/100),2)</f>
        <v>0</v>
      </c>
      <c r="G17079" s="26"/>
    </row>
    <row r="17080" spans="1:7" ht="67.56" thickBot="1" customHeight="1">
      <c r="A17080" s="26"/>
      <c r="B17080" s="26"/>
      <c r="C17080" s="26"/>
      <c r="D17080" s="25" t="s">
        <v>52921</v>
      </c>
      <c r="E17080" s="25"/>
      <c r="F17080" s="25"/>
      <c r="G17080" s="25"/>
    </row>
    <row r="17081" spans="1:7" ht="30.60" thickBot="1" customHeight="1">
      <c r="A17081" s="10" t="s">
        <v>52922</v>
      </c>
      <c r="B17081" s="24" t="s">
        <v>52923</v>
      </c>
      <c r="C17081" s="24" t="s">
        <v>52924</v>
      </c>
      <c r="D17081" s="25" t="s">
        <v>52925</v>
      </c>
      <c r="E17081" s="26"/>
      <c r="F17081" s="27">
        <f ca="1">ROUND(41.960*(1+G2/100),2)</f>
        <v>0</v>
      </c>
      <c r="G17081" s="26"/>
    </row>
    <row r="17082" spans="1:7" ht="67.56" thickBot="1" customHeight="1">
      <c r="A17082" s="26"/>
      <c r="B17082" s="26"/>
      <c r="C17082" s="26"/>
      <c r="D17082" s="25" t="s">
        <v>52926</v>
      </c>
      <c r="E17082" s="25"/>
      <c r="F17082" s="25"/>
      <c r="G17082" s="25"/>
    </row>
    <row r="17083" spans="1:7" ht="39.84" thickBot="1" customHeight="1">
      <c r="A17083" s="10" t="s">
        <v>52927</v>
      </c>
      <c r="B17083" s="24" t="s">
        <v>52928</v>
      </c>
      <c r="C17083" s="24" t="s">
        <v>52929</v>
      </c>
      <c r="D17083" s="25" t="s">
        <v>52930</v>
      </c>
      <c r="E17083" s="26"/>
      <c r="F17083" s="27">
        <f ca="1">ROUND(12.980*(1+G2/100),2)</f>
        <v>0</v>
      </c>
      <c r="G17083" s="26"/>
    </row>
    <row r="17084" spans="1:7" ht="76.80" thickBot="1" customHeight="1">
      <c r="A17084" s="26"/>
      <c r="B17084" s="26"/>
      <c r="C17084" s="26"/>
      <c r="D17084" s="25" t="s">
        <v>52931</v>
      </c>
      <c r="E17084" s="25"/>
      <c r="F17084" s="25"/>
      <c r="G17084" s="25"/>
    </row>
    <row r="17085" spans="1:7" ht="39.84" thickBot="1" customHeight="1">
      <c r="A17085" s="10" t="s">
        <v>52932</v>
      </c>
      <c r="B17085" s="24" t="s">
        <v>52933</v>
      </c>
      <c r="C17085" s="24" t="s">
        <v>52934</v>
      </c>
      <c r="D17085" s="25" t="s">
        <v>52935</v>
      </c>
      <c r="E17085" s="26"/>
      <c r="F17085" s="27">
        <f ca="1">ROUND(53.440*(1+G2/100),2)</f>
        <v>0</v>
      </c>
      <c r="G17085" s="26"/>
    </row>
    <row r="17086" spans="1:7" ht="76.80" thickBot="1" customHeight="1">
      <c r="A17086" s="26"/>
      <c r="B17086" s="26"/>
      <c r="C17086" s="26"/>
      <c r="D17086" s="25" t="s">
        <v>52936</v>
      </c>
      <c r="E17086" s="25"/>
      <c r="F17086" s="25"/>
      <c r="G17086" s="25"/>
    </row>
    <row r="17087" spans="1:7" ht="30.60" thickBot="1" customHeight="1">
      <c r="A17087" s="10" t="s">
        <v>52937</v>
      </c>
      <c r="B17087" s="24" t="s">
        <v>52938</v>
      </c>
      <c r="C17087" s="24" t="s">
        <v>52939</v>
      </c>
      <c r="D17087" s="25" t="s">
        <v>52940</v>
      </c>
      <c r="E17087" s="26"/>
      <c r="F17087" s="27">
        <f ca="1">ROUND(42.000*(1+G2/100),2)</f>
        <v>0</v>
      </c>
      <c r="G17087" s="26"/>
    </row>
    <row r="17088" spans="1:7" ht="39.84" thickBot="1" customHeight="1">
      <c r="A17088" s="26"/>
      <c r="B17088" s="26"/>
      <c r="C17088" s="26"/>
      <c r="D17088" s="25" t="s">
        <v>52941</v>
      </c>
      <c r="E17088" s="25"/>
      <c r="F17088" s="25"/>
      <c r="G17088" s="25"/>
    </row>
    <row r="17089" spans="1:7" ht="39.84" thickBot="1" customHeight="1">
      <c r="A17089" s="10" t="s">
        <v>52942</v>
      </c>
      <c r="B17089" s="24" t="s">
        <v>52943</v>
      </c>
      <c r="C17089" s="24" t="s">
        <v>52944</v>
      </c>
      <c r="D17089" s="25" t="s">
        <v>52945</v>
      </c>
      <c r="E17089" s="26"/>
      <c r="F17089" s="27">
        <f ca="1">ROUND(45.710*(1+G2/100),2)</f>
        <v>0</v>
      </c>
      <c r="G17089" s="26"/>
    </row>
    <row r="17090" spans="1:7" ht="49.08" thickBot="1" customHeight="1">
      <c r="A17090" s="26"/>
      <c r="B17090" s="26"/>
      <c r="C17090" s="26"/>
      <c r="D17090" s="25" t="s">
        <v>52946</v>
      </c>
      <c r="E17090" s="25"/>
      <c r="F17090" s="25"/>
      <c r="G17090" s="25"/>
    </row>
    <row r="17091" spans="1:7" ht="30.60" thickBot="1" customHeight="1">
      <c r="A17091" s="10" t="s">
        <v>52947</v>
      </c>
      <c r="B17091" s="24" t="s">
        <v>52948</v>
      </c>
      <c r="C17091" s="24" t="s">
        <v>52949</v>
      </c>
      <c r="D17091" s="25" t="s">
        <v>52950</v>
      </c>
      <c r="E17091" s="26"/>
      <c r="F17091" s="27">
        <f ca="1">ROUND(44.200*(1+G2/100),2)</f>
        <v>0</v>
      </c>
      <c r="G17091" s="26"/>
    </row>
    <row r="17092" spans="1:7" ht="39.84" thickBot="1" customHeight="1">
      <c r="A17092" s="26"/>
      <c r="B17092" s="26"/>
      <c r="C17092" s="26"/>
      <c r="D17092" s="25" t="s">
        <v>52951</v>
      </c>
      <c r="E17092" s="25"/>
      <c r="F17092" s="25"/>
      <c r="G17092" s="25"/>
    </row>
    <row r="17093" spans="1:7" ht="24.36" thickBot="1" customHeight="1">
      <c r="A17093" s="10" t="s">
        <v>52952</v>
      </c>
      <c r="B17093" s="24" t="s">
        <v>52953</v>
      </c>
      <c r="C17093" s="24" t="s">
        <v>52954</v>
      </c>
      <c r="D17093" s="25" t="s">
        <v>52955</v>
      </c>
      <c r="E17093" s="26"/>
      <c r="F17093" s="27">
        <f ca="1">ROUND(9.600*(1+G2/100),2)</f>
        <v>0</v>
      </c>
      <c r="G17093" s="26"/>
    </row>
    <row r="17094" spans="1:7" ht="12.12" thickBot="1" customHeight="1">
      <c r="A17094" s="26"/>
      <c r="B17094" s="26"/>
      <c r="C17094" s="26"/>
      <c r="D17094" s="25" t="s">
        <v>52956</v>
      </c>
      <c r="E17094" s="25"/>
      <c r="F17094" s="25"/>
      <c r="G17094" s="25"/>
    </row>
    <row r="17095" spans="1:7" ht="39.84" thickBot="1" customHeight="1">
      <c r="A17095" s="10" t="s">
        <v>52957</v>
      </c>
      <c r="B17095" s="24" t="s">
        <v>52958</v>
      </c>
      <c r="C17095" s="24" t="s">
        <v>52959</v>
      </c>
      <c r="D17095" s="25" t="s">
        <v>52960</v>
      </c>
      <c r="E17095" s="26"/>
      <c r="F17095" s="27">
        <f ca="1">ROUND(69.000*(1+G2/100),2)</f>
        <v>0</v>
      </c>
      <c r="G17095" s="26"/>
    </row>
    <row r="17096" spans="1:7" ht="95.28" thickBot="1" customHeight="1">
      <c r="A17096" s="26"/>
      <c r="B17096" s="26"/>
      <c r="C17096" s="26"/>
      <c r="D17096" s="25" t="s">
        <v>52961</v>
      </c>
      <c r="E17096" s="25"/>
      <c r="F17096" s="25"/>
      <c r="G17096" s="25"/>
    </row>
    <row r="17097" spans="1:7" ht="39.84" thickBot="1" customHeight="1">
      <c r="A17097" s="10" t="s">
        <v>52962</v>
      </c>
      <c r="B17097" s="24" t="s">
        <v>52963</v>
      </c>
      <c r="C17097" s="24" t="s">
        <v>52964</v>
      </c>
      <c r="D17097" s="25" t="s">
        <v>52965</v>
      </c>
      <c r="E17097" s="26"/>
      <c r="F17097" s="27">
        <f ca="1">ROUND(63.340*(1+G2/100),2)</f>
        <v>0</v>
      </c>
      <c r="G17097" s="26"/>
    </row>
    <row r="17098" spans="1:7" ht="206.16" thickBot="1" customHeight="1">
      <c r="A17098" s="26"/>
      <c r="B17098" s="26"/>
      <c r="C17098" s="26"/>
      <c r="D17098" s="25" t="s">
        <v>52966</v>
      </c>
      <c r="E17098" s="25"/>
      <c r="F17098" s="25"/>
      <c r="G17098" s="25"/>
    </row>
    <row r="17099" spans="1:7" ht="30.60" thickBot="1" customHeight="1">
      <c r="A17099" s="10" t="s">
        <v>52967</v>
      </c>
      <c r="B17099" s="24" t="s">
        <v>52968</v>
      </c>
      <c r="C17099" s="24" t="s">
        <v>52969</v>
      </c>
      <c r="D17099" s="25" t="s">
        <v>52970</v>
      </c>
      <c r="E17099" s="26"/>
      <c r="F17099" s="27">
        <f ca="1">ROUND(50.950*(1+G2/100),2)</f>
        <v>0</v>
      </c>
      <c r="G17099" s="26"/>
    </row>
    <row r="17100" spans="1:7" ht="76.80" thickBot="1" customHeight="1">
      <c r="A17100" s="26"/>
      <c r="B17100" s="26"/>
      <c r="C17100" s="26"/>
      <c r="D17100" s="25" t="s">
        <v>52971</v>
      </c>
      <c r="E17100" s="25"/>
      <c r="F17100" s="25"/>
      <c r="G17100" s="25"/>
    </row>
    <row r="17101" spans="1:7" ht="39.84" thickBot="1" customHeight="1">
      <c r="A17101" s="10" t="s">
        <v>52972</v>
      </c>
      <c r="B17101" s="24" t="s">
        <v>52973</v>
      </c>
      <c r="C17101" s="24" t="s">
        <v>52974</v>
      </c>
      <c r="D17101" s="25" t="s">
        <v>52975</v>
      </c>
      <c r="E17101" s="26"/>
      <c r="F17101" s="27">
        <f ca="1">ROUND(41.280*(1+G2/100),2)</f>
        <v>0</v>
      </c>
      <c r="G17101" s="26"/>
    </row>
    <row r="17102" spans="1:7" ht="39.84" thickBot="1" customHeight="1">
      <c r="A17102" s="26"/>
      <c r="B17102" s="26"/>
      <c r="C17102" s="26"/>
      <c r="D17102" s="25" t="s">
        <v>52976</v>
      </c>
      <c r="E17102" s="25"/>
      <c r="F17102" s="25"/>
      <c r="G17102" s="25"/>
    </row>
    <row r="17103" spans="1:7" ht="49.08" thickBot="1" customHeight="1">
      <c r="A17103" s="10" t="s">
        <v>52977</v>
      </c>
      <c r="B17103" s="24" t="s">
        <v>52978</v>
      </c>
      <c r="C17103" s="24" t="s">
        <v>52979</v>
      </c>
      <c r="D17103" s="25" t="s">
        <v>52980</v>
      </c>
      <c r="E17103" s="26"/>
      <c r="F17103" s="27">
        <f ca="1">ROUND(59.090*(1+G2/100),2)</f>
        <v>0</v>
      </c>
      <c r="G17103" s="26"/>
    </row>
    <row r="17104" spans="1:7" ht="30.60" thickBot="1" customHeight="1">
      <c r="A17104" s="26"/>
      <c r="B17104" s="26"/>
      <c r="C17104" s="26"/>
      <c r="D17104" s="25" t="s">
        <v>52981</v>
      </c>
      <c r="E17104" s="25"/>
      <c r="F17104" s="25"/>
      <c r="G17104" s="25"/>
    </row>
    <row r="17105" spans="1:7" ht="39.84" thickBot="1" customHeight="1">
      <c r="A17105" s="10" t="s">
        <v>52982</v>
      </c>
      <c r="B17105" s="24" t="s">
        <v>52983</v>
      </c>
      <c r="C17105" s="24" t="s">
        <v>52984</v>
      </c>
      <c r="D17105" s="25" t="s">
        <v>52985</v>
      </c>
      <c r="E17105" s="26"/>
      <c r="F17105" s="27">
        <f ca="1">ROUND(70.410*(1+G2/100),2)</f>
        <v>0</v>
      </c>
      <c r="G17105" s="26"/>
    </row>
    <row r="17106" spans="1:7" ht="104.52" thickBot="1" customHeight="1">
      <c r="A17106" s="26"/>
      <c r="B17106" s="26"/>
      <c r="C17106" s="26"/>
      <c r="D17106" s="25" t="s">
        <v>52986</v>
      </c>
      <c r="E17106" s="25"/>
      <c r="F17106" s="25"/>
      <c r="G17106" s="25"/>
    </row>
    <row r="17107" spans="1:7" ht="39.84" thickBot="1" customHeight="1">
      <c r="A17107" s="10" t="s">
        <v>52987</v>
      </c>
      <c r="B17107" s="24" t="s">
        <v>52988</v>
      </c>
      <c r="C17107" s="24" t="s">
        <v>52989</v>
      </c>
      <c r="D17107" s="25" t="s">
        <v>52990</v>
      </c>
      <c r="E17107" s="26"/>
      <c r="F17107" s="27">
        <f ca="1">ROUND(41.780*(1+G2/100),2)</f>
        <v>0</v>
      </c>
      <c r="G17107" s="26"/>
    </row>
    <row r="17108" spans="1:7" ht="30.60" thickBot="1" customHeight="1">
      <c r="A17108" s="26"/>
      <c r="B17108" s="26"/>
      <c r="C17108" s="26"/>
      <c r="D17108" s="25" t="s">
        <v>52991</v>
      </c>
      <c r="E17108" s="25"/>
      <c r="F17108" s="25"/>
      <c r="G17108" s="25"/>
    </row>
    <row r="17109" spans="1:7" ht="39.84" thickBot="1" customHeight="1">
      <c r="A17109" s="10" t="s">
        <v>52992</v>
      </c>
      <c r="B17109" s="24" t="s">
        <v>52993</v>
      </c>
      <c r="C17109" s="24" t="s">
        <v>52994</v>
      </c>
      <c r="D17109" s="25" t="s">
        <v>52995</v>
      </c>
      <c r="E17109" s="26"/>
      <c r="F17109" s="27">
        <f ca="1">ROUND(57.840*(1+G2/100),2)</f>
        <v>0</v>
      </c>
      <c r="G17109" s="26"/>
    </row>
    <row r="17110" spans="1:7" ht="30.60" thickBot="1" customHeight="1">
      <c r="A17110" s="26"/>
      <c r="B17110" s="26"/>
      <c r="C17110" s="26"/>
      <c r="D17110" s="25" t="s">
        <v>52996</v>
      </c>
      <c r="E17110" s="25"/>
      <c r="F17110" s="25"/>
      <c r="G17110" s="25"/>
    </row>
    <row r="17111" spans="1:7" ht="49.08" thickBot="1" customHeight="1">
      <c r="A17111" s="10" t="s">
        <v>52997</v>
      </c>
      <c r="B17111" s="24" t="s">
        <v>52998</v>
      </c>
      <c r="C17111" s="24" t="s">
        <v>52999</v>
      </c>
      <c r="D17111" s="25" t="s">
        <v>53000</v>
      </c>
      <c r="E17111" s="26"/>
      <c r="F17111" s="27">
        <f ca="1">ROUND(57.850*(1+G2/100),2)</f>
        <v>0</v>
      </c>
      <c r="G17111" s="26"/>
    </row>
    <row r="17112" spans="1:7" ht="39.84" thickBot="1" customHeight="1">
      <c r="A17112" s="26"/>
      <c r="B17112" s="26"/>
      <c r="C17112" s="26"/>
      <c r="D17112" s="25" t="s">
        <v>53001</v>
      </c>
      <c r="E17112" s="25"/>
      <c r="F17112" s="25"/>
      <c r="G17112" s="25"/>
    </row>
    <row r="17113" spans="1:7" ht="39.84" thickBot="1" customHeight="1">
      <c r="A17113" s="10" t="s">
        <v>53002</v>
      </c>
      <c r="B17113" s="24" t="s">
        <v>53003</v>
      </c>
      <c r="C17113" s="24" t="s">
        <v>53004</v>
      </c>
      <c r="D17113" s="25" t="s">
        <v>53005</v>
      </c>
      <c r="E17113" s="26"/>
      <c r="F17113" s="27">
        <f ca="1">ROUND(114.750*(1+G2/100),2)</f>
        <v>0</v>
      </c>
      <c r="G17113" s="26"/>
    </row>
    <row r="17114" spans="1:7" ht="49.08" thickBot="1" customHeight="1">
      <c r="A17114" s="26"/>
      <c r="B17114" s="26"/>
      <c r="C17114" s="26"/>
      <c r="D17114" s="25" t="s">
        <v>53006</v>
      </c>
      <c r="E17114" s="25"/>
      <c r="F17114" s="25"/>
      <c r="G17114" s="25"/>
    </row>
    <row r="17115" spans="1:7" ht="39.84" thickBot="1" customHeight="1">
      <c r="A17115" s="10" t="s">
        <v>53007</v>
      </c>
      <c r="B17115" s="24" t="s">
        <v>53008</v>
      </c>
      <c r="C17115" s="24" t="s">
        <v>53009</v>
      </c>
      <c r="D17115" s="25" t="s">
        <v>53010</v>
      </c>
      <c r="E17115" s="26"/>
      <c r="F17115" s="27">
        <f ca="1">ROUND(43.020*(1+G2/100),2)</f>
        <v>0</v>
      </c>
      <c r="G17115" s="26"/>
    </row>
    <row r="17116" spans="1:7" ht="58.32" thickBot="1" customHeight="1">
      <c r="A17116" s="26"/>
      <c r="B17116" s="26"/>
      <c r="C17116" s="26"/>
      <c r="D17116" s="25" t="s">
        <v>53011</v>
      </c>
      <c r="E17116" s="25"/>
      <c r="F17116" s="25"/>
      <c r="G17116" s="25"/>
    </row>
    <row r="17117" spans="1:7" ht="39.84" thickBot="1" customHeight="1">
      <c r="A17117" s="10" t="s">
        <v>53012</v>
      </c>
      <c r="B17117" s="24" t="s">
        <v>53013</v>
      </c>
      <c r="C17117" s="24" t="s">
        <v>53014</v>
      </c>
      <c r="D17117" s="25" t="s">
        <v>53015</v>
      </c>
      <c r="E17117" s="26"/>
      <c r="F17117" s="27">
        <f ca="1">ROUND(110.700*(1+G2/100),2)</f>
        <v>0</v>
      </c>
      <c r="G17117" s="26"/>
    </row>
    <row r="17118" spans="1:7" ht="67.56" thickBot="1" customHeight="1">
      <c r="A17118" s="26"/>
      <c r="B17118" s="26"/>
      <c r="C17118" s="26"/>
      <c r="D17118" s="25" t="s">
        <v>53016</v>
      </c>
      <c r="E17118" s="25"/>
      <c r="F17118" s="25"/>
      <c r="G17118" s="25"/>
    </row>
    <row r="17119" spans="1:7" ht="30.60" thickBot="1" customHeight="1">
      <c r="A17119" s="10" t="s">
        <v>53017</v>
      </c>
      <c r="B17119" s="24" t="s">
        <v>53018</v>
      </c>
      <c r="C17119" s="24" t="s">
        <v>53019</v>
      </c>
      <c r="D17119" s="25" t="s">
        <v>53020</v>
      </c>
      <c r="E17119" s="26"/>
      <c r="F17119" s="27">
        <f ca="1">ROUND(42.660*(1+G2/100),2)</f>
        <v>0</v>
      </c>
      <c r="G17119" s="26"/>
    </row>
    <row r="17120" spans="1:7" ht="67.56" thickBot="1" customHeight="1">
      <c r="A17120" s="26"/>
      <c r="B17120" s="26"/>
      <c r="C17120" s="26"/>
      <c r="D17120" s="25" t="s">
        <v>53021</v>
      </c>
      <c r="E17120" s="25"/>
      <c r="F17120" s="25"/>
      <c r="G17120" s="25"/>
    </row>
    <row r="17121" spans="1:7" ht="39.84" thickBot="1" customHeight="1">
      <c r="A17121" s="10" t="s">
        <v>53022</v>
      </c>
      <c r="B17121" s="24" t="s">
        <v>53023</v>
      </c>
      <c r="C17121" s="24" t="s">
        <v>53024</v>
      </c>
      <c r="D17121" s="25" t="s">
        <v>53025</v>
      </c>
      <c r="E17121" s="26"/>
      <c r="F17121" s="27">
        <f ca="1">ROUND(88.930*(1+G2/100),2)</f>
        <v>0</v>
      </c>
      <c r="G17121" s="26"/>
    </row>
    <row r="17122" spans="1:7" ht="86.04" thickBot="1" customHeight="1">
      <c r="A17122" s="26"/>
      <c r="B17122" s="26"/>
      <c r="C17122" s="26"/>
      <c r="D17122" s="25" t="s">
        <v>53026</v>
      </c>
      <c r="E17122" s="25"/>
      <c r="F17122" s="25"/>
      <c r="G17122" s="25"/>
    </row>
    <row r="17123" spans="1:7" ht="39.84" thickBot="1" customHeight="1">
      <c r="A17123" s="10" t="s">
        <v>53027</v>
      </c>
      <c r="B17123" s="24" t="s">
        <v>53028</v>
      </c>
      <c r="C17123" s="24" t="s">
        <v>53029</v>
      </c>
      <c r="D17123" s="25" t="s">
        <v>53030</v>
      </c>
      <c r="E17123" s="26"/>
      <c r="F17123" s="27">
        <f ca="1">ROUND(27.050*(1+G2/100),2)</f>
        <v>0</v>
      </c>
      <c r="G17123" s="26"/>
    </row>
    <row r="17124" spans="1:7" ht="86.04" thickBot="1" customHeight="1">
      <c r="A17124" s="26"/>
      <c r="B17124" s="26"/>
      <c r="C17124" s="26"/>
      <c r="D17124" s="25" t="s">
        <v>53031</v>
      </c>
      <c r="E17124" s="25"/>
      <c r="F17124" s="25"/>
      <c r="G17124" s="25"/>
    </row>
    <row r="17125" spans="1:7" ht="30.60" thickBot="1" customHeight="1">
      <c r="A17125" s="10" t="s">
        <v>53032</v>
      </c>
      <c r="B17125" s="24" t="s">
        <v>53033</v>
      </c>
      <c r="C17125" s="24" t="s">
        <v>53034</v>
      </c>
      <c r="D17125" s="25" t="s">
        <v>53035</v>
      </c>
      <c r="E17125" s="26"/>
      <c r="F17125" s="27">
        <f ca="1">ROUND(5.820*(1+G2/100),2)</f>
        <v>0</v>
      </c>
      <c r="G17125" s="26"/>
    </row>
    <row r="17126" spans="1:7" ht="86.04" thickBot="1" customHeight="1">
      <c r="A17126" s="26"/>
      <c r="B17126" s="26"/>
      <c r="C17126" s="26"/>
      <c r="D17126" s="25" t="s">
        <v>53036</v>
      </c>
      <c r="E17126" s="25"/>
      <c r="F17126" s="25"/>
      <c r="G17126" s="25"/>
    </row>
    <row r="17127" spans="1:7" ht="39.84" thickBot="1" customHeight="1">
      <c r="A17127" s="10" t="s">
        <v>53037</v>
      </c>
      <c r="B17127" s="24" t="s">
        <v>53038</v>
      </c>
      <c r="C17127" s="24" t="s">
        <v>53039</v>
      </c>
      <c r="D17127" s="25" t="s">
        <v>53040</v>
      </c>
      <c r="E17127" s="26"/>
      <c r="F17127" s="27">
        <f ca="1">ROUND(29.780*(1+G2/100),2)</f>
        <v>0</v>
      </c>
      <c r="G17127" s="26"/>
    </row>
    <row r="17128" spans="1:7" ht="58.32" thickBot="1" customHeight="1">
      <c r="A17128" s="26"/>
      <c r="B17128" s="26"/>
      <c r="C17128" s="26"/>
      <c r="D17128" s="25" t="s">
        <v>53041</v>
      </c>
      <c r="E17128" s="25"/>
      <c r="F17128" s="25"/>
      <c r="G17128" s="25"/>
    </row>
    <row r="17129" spans="1:7" ht="30.60" thickBot="1" customHeight="1">
      <c r="A17129" s="10" t="s">
        <v>53042</v>
      </c>
      <c r="B17129" s="24" t="s">
        <v>53043</v>
      </c>
      <c r="C17129" s="24" t="s">
        <v>53044</v>
      </c>
      <c r="D17129" s="25" t="s">
        <v>53045</v>
      </c>
      <c r="E17129" s="26"/>
      <c r="F17129" s="27">
        <f ca="1">ROUND(14.220*(1+G2/100),2)</f>
        <v>0</v>
      </c>
      <c r="G17129" s="26"/>
    </row>
    <row r="17130" spans="1:7" ht="67.56" thickBot="1" customHeight="1">
      <c r="A17130" s="26"/>
      <c r="B17130" s="26"/>
      <c r="C17130" s="26"/>
      <c r="D17130" s="25" t="s">
        <v>53046</v>
      </c>
      <c r="E17130" s="25"/>
      <c r="F17130" s="25"/>
      <c r="G17130" s="25"/>
    </row>
    <row r="17131" spans="1:7" ht="30.60" thickBot="1" customHeight="1">
      <c r="A17131" s="10" t="s">
        <v>53047</v>
      </c>
      <c r="B17131" s="24" t="s">
        <v>53048</v>
      </c>
      <c r="C17131" s="24" t="s">
        <v>53049</v>
      </c>
      <c r="D17131" s="25" t="s">
        <v>53050</v>
      </c>
      <c r="E17131" s="26"/>
      <c r="F17131" s="27">
        <f ca="1">ROUND(82.880*(1+G2/100),2)</f>
        <v>0</v>
      </c>
      <c r="G17131" s="26"/>
    </row>
    <row r="17132" spans="1:7" ht="113.76" thickBot="1" customHeight="1">
      <c r="A17132" s="26"/>
      <c r="B17132" s="26"/>
      <c r="C17132" s="26"/>
      <c r="D17132" s="25" t="s">
        <v>53051</v>
      </c>
      <c r="E17132" s="25"/>
      <c r="F17132" s="25"/>
      <c r="G17132" s="25"/>
    </row>
    <row r="17133" spans="1:7" ht="49.08" thickBot="1" customHeight="1">
      <c r="A17133" s="10" t="s">
        <v>53052</v>
      </c>
      <c r="B17133" s="24" t="s">
        <v>53053</v>
      </c>
      <c r="C17133" s="24" t="s">
        <v>53054</v>
      </c>
      <c r="D17133" s="25" t="s">
        <v>53055</v>
      </c>
      <c r="E17133" s="26"/>
      <c r="F17133" s="27">
        <f ca="1">ROUND(85.040*(1+G2/100),2)</f>
        <v>0</v>
      </c>
      <c r="G17133" s="26"/>
    </row>
    <row r="17134" spans="1:7" ht="67.56" thickBot="1" customHeight="1">
      <c r="A17134" s="26"/>
      <c r="B17134" s="26"/>
      <c r="C17134" s="26"/>
      <c r="D17134" s="25" t="s">
        <v>53056</v>
      </c>
      <c r="E17134" s="25"/>
      <c r="F17134" s="25"/>
      <c r="G17134" s="25"/>
    </row>
    <row r="17135" spans="1:7" ht="39.84" thickBot="1" customHeight="1">
      <c r="A17135" s="10" t="s">
        <v>53057</v>
      </c>
      <c r="B17135" s="24" t="s">
        <v>53058</v>
      </c>
      <c r="C17135" s="24" t="s">
        <v>53059</v>
      </c>
      <c r="D17135" s="25" t="s">
        <v>53060</v>
      </c>
      <c r="E17135" s="26"/>
      <c r="F17135" s="27">
        <f ca="1">ROUND(86.210*(1+G2/100),2)</f>
        <v>0</v>
      </c>
      <c r="G17135" s="26"/>
    </row>
    <row r="17136" spans="1:7" ht="104.52" thickBot="1" customHeight="1">
      <c r="A17136" s="26"/>
      <c r="B17136" s="26"/>
      <c r="C17136" s="26"/>
      <c r="D17136" s="25" t="s">
        <v>53061</v>
      </c>
      <c r="E17136" s="25"/>
      <c r="F17136" s="25"/>
      <c r="G17136" s="25"/>
    </row>
    <row r="17137" spans="1:7" ht="39.84" thickBot="1" customHeight="1">
      <c r="A17137" s="10" t="s">
        <v>53062</v>
      </c>
      <c r="B17137" s="24" t="s">
        <v>53063</v>
      </c>
      <c r="C17137" s="24" t="s">
        <v>53064</v>
      </c>
      <c r="D17137" s="25" t="s">
        <v>53065</v>
      </c>
      <c r="E17137" s="26"/>
      <c r="F17137" s="27">
        <f ca="1">ROUND(117.570*(1+G2/100),2)</f>
        <v>0</v>
      </c>
      <c r="G17137" s="26"/>
    </row>
    <row r="17138" spans="1:7" ht="58.32" thickBot="1" customHeight="1">
      <c r="A17138" s="26"/>
      <c r="B17138" s="26"/>
      <c r="C17138" s="26"/>
      <c r="D17138" s="25" t="s">
        <v>53066</v>
      </c>
      <c r="E17138" s="25"/>
      <c r="F17138" s="25"/>
      <c r="G17138" s="25"/>
    </row>
    <row r="17139" spans="1:7" ht="58.32" thickBot="1" customHeight="1">
      <c r="A17139" s="10" t="s">
        <v>53067</v>
      </c>
      <c r="B17139" s="24" t="s">
        <v>53068</v>
      </c>
      <c r="C17139" s="24" t="s">
        <v>53069</v>
      </c>
      <c r="D17139" s="25" t="s">
        <v>53070</v>
      </c>
      <c r="E17139" s="26"/>
      <c r="F17139" s="27">
        <f ca="1">ROUND(47.370*(1+G2/100),2)</f>
        <v>0</v>
      </c>
      <c r="G17139" s="26"/>
    </row>
    <row r="17140" spans="1:7" ht="30.60" thickBot="1" customHeight="1">
      <c r="A17140" s="26"/>
      <c r="B17140" s="26"/>
      <c r="C17140" s="26"/>
      <c r="D17140" s="25" t="s">
        <v>53071</v>
      </c>
      <c r="E17140" s="25"/>
      <c r="F17140" s="25"/>
      <c r="G17140" s="25"/>
    </row>
    <row r="17141" spans="1:7" ht="49.08" thickBot="1" customHeight="1">
      <c r="A17141" s="10" t="s">
        <v>53072</v>
      </c>
      <c r="B17141" s="24" t="s">
        <v>53073</v>
      </c>
      <c r="C17141" s="24" t="s">
        <v>53074</v>
      </c>
      <c r="D17141" s="25" t="s">
        <v>53075</v>
      </c>
      <c r="E17141" s="26"/>
      <c r="F17141" s="27">
        <f ca="1">ROUND(34.480*(1+G2/100),2)</f>
        <v>0</v>
      </c>
      <c r="G17141" s="26"/>
    </row>
    <row r="17142" spans="1:7" ht="39.84" thickBot="1" customHeight="1">
      <c r="A17142" s="26"/>
      <c r="B17142" s="26"/>
      <c r="C17142" s="26"/>
      <c r="D17142" s="25" t="s">
        <v>53076</v>
      </c>
      <c r="E17142" s="25"/>
      <c r="F17142" s="25"/>
      <c r="G17142" s="25"/>
    </row>
    <row r="17143" spans="1:7" ht="49.08" thickBot="1" customHeight="1">
      <c r="A17143" s="10" t="s">
        <v>53077</v>
      </c>
      <c r="B17143" s="24" t="s">
        <v>53078</v>
      </c>
      <c r="C17143" s="24" t="s">
        <v>53079</v>
      </c>
      <c r="D17143" s="25" t="s">
        <v>53080</v>
      </c>
      <c r="E17143" s="26"/>
      <c r="F17143" s="27">
        <f ca="1">ROUND(80.340*(1+G2/100),2)</f>
        <v>0</v>
      </c>
      <c r="G17143" s="26"/>
    </row>
    <row r="17144" spans="1:7" ht="39.84" thickBot="1" customHeight="1">
      <c r="A17144" s="26"/>
      <c r="B17144" s="26"/>
      <c r="C17144" s="26"/>
      <c r="D17144" s="25" t="s">
        <v>53081</v>
      </c>
      <c r="E17144" s="25"/>
      <c r="F17144" s="25"/>
      <c r="G17144" s="25"/>
    </row>
    <row r="17145" spans="1:7" ht="39.84" thickBot="1" customHeight="1">
      <c r="A17145" s="10" t="s">
        <v>53082</v>
      </c>
      <c r="B17145" s="24" t="s">
        <v>53083</v>
      </c>
      <c r="C17145" s="24" t="s">
        <v>53084</v>
      </c>
      <c r="D17145" s="25" t="s">
        <v>53085</v>
      </c>
      <c r="E17145" s="26"/>
      <c r="F17145" s="27">
        <f ca="1">ROUND(104.850*(1+G2/100),2)</f>
        <v>0</v>
      </c>
      <c r="G17145" s="26"/>
    </row>
    <row r="17146" spans="1:7" ht="58.32" thickBot="1" customHeight="1">
      <c r="A17146" s="26"/>
      <c r="B17146" s="26"/>
      <c r="C17146" s="26"/>
      <c r="D17146" s="25" t="s">
        <v>53086</v>
      </c>
      <c r="E17146" s="25"/>
      <c r="F17146" s="25"/>
      <c r="G17146" s="25"/>
    </row>
    <row r="17147" spans="1:7" ht="39.84" thickBot="1" customHeight="1">
      <c r="A17147" s="10" t="s">
        <v>53087</v>
      </c>
      <c r="B17147" s="24" t="s">
        <v>53088</v>
      </c>
      <c r="C17147" s="24" t="s">
        <v>53089</v>
      </c>
      <c r="D17147" s="25" t="s">
        <v>53090</v>
      </c>
      <c r="E17147" s="26"/>
      <c r="F17147" s="27">
        <f ca="1">ROUND(42.660*(1+G2/100),2)</f>
        <v>0</v>
      </c>
      <c r="G17147" s="26"/>
    </row>
    <row r="17148" spans="1:7" ht="141.48" thickBot="1" customHeight="1">
      <c r="A17148" s="26"/>
      <c r="B17148" s="26"/>
      <c r="C17148" s="26"/>
      <c r="D17148" s="25" t="s">
        <v>53091</v>
      </c>
      <c r="E17148" s="25"/>
      <c r="F17148" s="25"/>
      <c r="G17148" s="25"/>
    </row>
    <row r="17149" spans="1:7" ht="39.84" thickBot="1" customHeight="1">
      <c r="A17149" s="10" t="s">
        <v>53092</v>
      </c>
      <c r="B17149" s="24" t="s">
        <v>53093</v>
      </c>
      <c r="C17149" s="24" t="s">
        <v>53094</v>
      </c>
      <c r="D17149" s="25" t="s">
        <v>53095</v>
      </c>
      <c r="E17149" s="26"/>
      <c r="F17149" s="27">
        <f ca="1">ROUND(8.530*(1+G2/100),2)</f>
        <v>0</v>
      </c>
      <c r="G17149" s="26"/>
    </row>
    <row r="17150" spans="1:7" ht="141.48" thickBot="1" customHeight="1">
      <c r="A17150" s="26"/>
      <c r="B17150" s="26"/>
      <c r="C17150" s="26"/>
      <c r="D17150" s="25" t="s">
        <v>53096</v>
      </c>
      <c r="E17150" s="25"/>
      <c r="F17150" s="25"/>
      <c r="G17150" s="25"/>
    </row>
    <row r="17151" spans="1:7" ht="58.32" thickBot="1" customHeight="1">
      <c r="A17151" s="10" t="s">
        <v>53097</v>
      </c>
      <c r="B17151" s="24" t="s">
        <v>53098</v>
      </c>
      <c r="C17151" s="24" t="s">
        <v>53099</v>
      </c>
      <c r="D17151" s="25" t="s">
        <v>53100</v>
      </c>
      <c r="E17151" s="26"/>
      <c r="F17151" s="27">
        <f ca="1">ROUND(172.500*(1+G2/100),2)</f>
        <v>0</v>
      </c>
      <c r="G17151" s="26"/>
    </row>
    <row r="17152" spans="1:7" ht="30.60" thickBot="1" customHeight="1">
      <c r="A17152" s="26"/>
      <c r="B17152" s="26"/>
      <c r="C17152" s="26"/>
      <c r="D17152" s="25" t="s">
        <v>53101</v>
      </c>
      <c r="E17152" s="25"/>
      <c r="F17152" s="25"/>
      <c r="G17152" s="25"/>
    </row>
    <row r="17153" spans="1:7" ht="58.32" thickBot="1" customHeight="1">
      <c r="A17153" s="10" t="s">
        <v>53102</v>
      </c>
      <c r="B17153" s="24" t="s">
        <v>53103</v>
      </c>
      <c r="C17153" s="24" t="s">
        <v>53104</v>
      </c>
      <c r="D17153" s="25" t="s">
        <v>53105</v>
      </c>
      <c r="E17153" s="26"/>
      <c r="F17153" s="27">
        <f ca="1">ROUND(117.570*(1+G2/100),2)</f>
        <v>0</v>
      </c>
      <c r="G17153" s="26"/>
    </row>
    <row r="17154" spans="1:7" ht="30.60" thickBot="1" customHeight="1">
      <c r="A17154" s="26"/>
      <c r="B17154" s="26"/>
      <c r="C17154" s="26"/>
      <c r="D17154" s="25" t="s">
        <v>53106</v>
      </c>
      <c r="E17154" s="25"/>
      <c r="F17154" s="25"/>
      <c r="G17154" s="25"/>
    </row>
    <row r="17155" spans="1:7" ht="30.60" thickBot="1" customHeight="1">
      <c r="A17155" s="10" t="s">
        <v>53107</v>
      </c>
      <c r="B17155" s="24" t="s">
        <v>53108</v>
      </c>
      <c r="C17155" s="24" t="s">
        <v>53109</v>
      </c>
      <c r="D17155" s="25" t="s">
        <v>53110</v>
      </c>
      <c r="E17155" s="26"/>
      <c r="F17155" s="27">
        <f ca="1">ROUND(434.780*(1+G2/100),2)</f>
        <v>0</v>
      </c>
      <c r="G17155" s="26"/>
    </row>
    <row r="17156" spans="1:7" ht="132.24" thickBot="1" customHeight="1">
      <c r="A17156" s="26"/>
      <c r="B17156" s="26"/>
      <c r="C17156" s="26"/>
      <c r="D17156" s="25" t="s">
        <v>53111</v>
      </c>
      <c r="E17156" s="25"/>
      <c r="F17156" s="25"/>
      <c r="G17156" s="25"/>
    </row>
    <row r="17157" spans="1:7" ht="39.84" thickBot="1" customHeight="1">
      <c r="A17157" s="10" t="s">
        <v>53112</v>
      </c>
      <c r="B17157" s="24" t="s">
        <v>53113</v>
      </c>
      <c r="C17157" s="24" t="s">
        <v>53114</v>
      </c>
      <c r="D17157" s="25" t="s">
        <v>53115</v>
      </c>
      <c r="E17157" s="26"/>
      <c r="F17157" s="27">
        <f ca="1">ROUND(268.110*(1+G2/100),2)</f>
        <v>0</v>
      </c>
      <c r="G17157" s="26"/>
    </row>
    <row r="17158" spans="1:7" ht="39.84" thickBot="1" customHeight="1">
      <c r="A17158" s="26"/>
      <c r="B17158" s="26"/>
      <c r="C17158" s="26"/>
      <c r="D17158" s="25" t="s">
        <v>53116</v>
      </c>
      <c r="E17158" s="25"/>
      <c r="F17158" s="25"/>
      <c r="G17158" s="25"/>
    </row>
    <row r="17159" spans="1:7" ht="39.84" thickBot="1" customHeight="1">
      <c r="A17159" s="10" t="s">
        <v>53117</v>
      </c>
      <c r="B17159" s="24" t="s">
        <v>53118</v>
      </c>
      <c r="C17159" s="24" t="s">
        <v>53119</v>
      </c>
      <c r="D17159" s="25" t="s">
        <v>53120</v>
      </c>
      <c r="E17159" s="26"/>
      <c r="F17159" s="27">
        <f ca="1">ROUND(35.530*(1+G2/100),2)</f>
        <v>0</v>
      </c>
      <c r="G17159" s="26"/>
    </row>
    <row r="17160" spans="1:7" ht="39.84" thickBot="1" customHeight="1">
      <c r="A17160" s="26"/>
      <c r="B17160" s="26"/>
      <c r="C17160" s="26"/>
      <c r="D17160" s="25" t="s">
        <v>53121</v>
      </c>
      <c r="E17160" s="25"/>
      <c r="F17160" s="25"/>
      <c r="G17160" s="25"/>
    </row>
    <row r="17161" spans="1:7" ht="39.84" thickBot="1" customHeight="1">
      <c r="A17161" s="10" t="s">
        <v>53122</v>
      </c>
      <c r="B17161" s="24" t="s">
        <v>53123</v>
      </c>
      <c r="C17161" s="24" t="s">
        <v>53124</v>
      </c>
      <c r="D17161" s="25" t="s">
        <v>53125</v>
      </c>
      <c r="E17161" s="26"/>
      <c r="F17161" s="27">
        <f ca="1">ROUND(57.680*(1+G2/100),2)</f>
        <v>0</v>
      </c>
      <c r="G17161" s="26"/>
    </row>
    <row r="17162" spans="1:7" ht="49.08" thickBot="1" customHeight="1">
      <c r="A17162" s="26"/>
      <c r="B17162" s="26"/>
      <c r="C17162" s="26"/>
      <c r="D17162" s="25" t="s">
        <v>53126</v>
      </c>
      <c r="E17162" s="25"/>
      <c r="F17162" s="25"/>
      <c r="G17162" s="25"/>
    </row>
    <row r="17163" spans="1:7" ht="39.84" thickBot="1" customHeight="1">
      <c r="A17163" s="10" t="s">
        <v>53127</v>
      </c>
      <c r="B17163" s="24" t="s">
        <v>53128</v>
      </c>
      <c r="C17163" s="24" t="s">
        <v>53129</v>
      </c>
      <c r="D17163" s="25" t="s">
        <v>53130</v>
      </c>
      <c r="E17163" s="26"/>
      <c r="F17163" s="27">
        <f ca="1">ROUND(42.810*(1+G2/100),2)</f>
        <v>0</v>
      </c>
      <c r="G17163" s="26"/>
    </row>
    <row r="17164" spans="1:7" ht="49.08" thickBot="1" customHeight="1">
      <c r="A17164" s="26"/>
      <c r="B17164" s="26"/>
      <c r="C17164" s="26"/>
      <c r="D17164" s="25" t="s">
        <v>53131</v>
      </c>
      <c r="E17164" s="25"/>
      <c r="F17164" s="25"/>
      <c r="G17164" s="25"/>
    </row>
    <row r="17165" spans="1:7" ht="39.84" thickBot="1" customHeight="1">
      <c r="A17165" s="10" t="s">
        <v>53132</v>
      </c>
      <c r="B17165" s="24" t="s">
        <v>53133</v>
      </c>
      <c r="C17165" s="24" t="s">
        <v>53134</v>
      </c>
      <c r="D17165" s="25" t="s">
        <v>53135</v>
      </c>
      <c r="E17165" s="26"/>
      <c r="F17165" s="27">
        <f ca="1">ROUND(94.710*(1+G2/100),2)</f>
        <v>0</v>
      </c>
      <c r="G17165" s="26"/>
    </row>
    <row r="17166" spans="1:7" ht="141.48" thickBot="1" customHeight="1">
      <c r="A17166" s="26"/>
      <c r="B17166" s="26"/>
      <c r="C17166" s="26"/>
      <c r="D17166" s="25" t="s">
        <v>53136</v>
      </c>
      <c r="E17166" s="25"/>
      <c r="F17166" s="25"/>
      <c r="G17166" s="25"/>
    </row>
    <row r="17167" spans="1:7" ht="49.08" thickBot="1" customHeight="1">
      <c r="A17167" s="10" t="s">
        <v>53137</v>
      </c>
      <c r="B17167" s="24" t="s">
        <v>53138</v>
      </c>
      <c r="C17167" s="24" t="s">
        <v>53139</v>
      </c>
      <c r="D17167" s="25" t="s">
        <v>53140</v>
      </c>
      <c r="E17167" s="26"/>
      <c r="F17167" s="27">
        <f ca="1">ROUND(120.250*(1+G2/100),2)</f>
        <v>0</v>
      </c>
      <c r="G17167" s="26"/>
    </row>
    <row r="17168" spans="1:7" ht="141.48" thickBot="1" customHeight="1">
      <c r="A17168" s="26"/>
      <c r="B17168" s="26"/>
      <c r="C17168" s="26"/>
      <c r="D17168" s="25" t="s">
        <v>53141</v>
      </c>
      <c r="E17168" s="25"/>
      <c r="F17168" s="25"/>
      <c r="G17168" s="25"/>
    </row>
    <row r="17169" spans="1:7" ht="39.84" thickBot="1" customHeight="1">
      <c r="A17169" s="10" t="s">
        <v>53142</v>
      </c>
      <c r="B17169" s="24" t="s">
        <v>53143</v>
      </c>
      <c r="C17169" s="24" t="s">
        <v>53144</v>
      </c>
      <c r="D17169" s="25" t="s">
        <v>53145</v>
      </c>
      <c r="E17169" s="26"/>
      <c r="F17169" s="27">
        <f ca="1">ROUND(103.910*(1+G2/100),2)</f>
        <v>0</v>
      </c>
      <c r="G17169" s="26"/>
    </row>
    <row r="17170" spans="1:7" ht="76.80" thickBot="1" customHeight="1">
      <c r="A17170" s="26"/>
      <c r="B17170" s="26"/>
      <c r="C17170" s="26"/>
      <c r="D17170" s="25" t="s">
        <v>53146</v>
      </c>
      <c r="E17170" s="25"/>
      <c r="F17170" s="25"/>
      <c r="G17170" s="25"/>
    </row>
    <row r="17171" spans="1:7" ht="39.84" thickBot="1" customHeight="1">
      <c r="A17171" s="10" t="s">
        <v>53147</v>
      </c>
      <c r="B17171" s="24" t="s">
        <v>53148</v>
      </c>
      <c r="C17171" s="24" t="s">
        <v>53149</v>
      </c>
      <c r="D17171" s="25" t="s">
        <v>53150</v>
      </c>
      <c r="E17171" s="26"/>
      <c r="F17171" s="27">
        <f ca="1">ROUND(36.950*(1+G2/100),2)</f>
        <v>0</v>
      </c>
      <c r="G17171" s="26"/>
    </row>
    <row r="17172" spans="1:7" ht="76.80" thickBot="1" customHeight="1">
      <c r="A17172" s="26"/>
      <c r="B17172" s="26"/>
      <c r="C17172" s="26"/>
      <c r="D17172" s="25" t="s">
        <v>53151</v>
      </c>
      <c r="E17172" s="25"/>
      <c r="F17172" s="25"/>
      <c r="G17172" s="25"/>
    </row>
    <row r="17173" spans="1:7" ht="39.84" thickBot="1" customHeight="1">
      <c r="A17173" s="10" t="s">
        <v>53152</v>
      </c>
      <c r="B17173" s="24" t="s">
        <v>53153</v>
      </c>
      <c r="C17173" s="24" t="s">
        <v>53154</v>
      </c>
      <c r="D17173" s="25" t="s">
        <v>53155</v>
      </c>
      <c r="E17173" s="26"/>
      <c r="F17173" s="27">
        <f ca="1">ROUND(39.300*(1+G2/100),2)</f>
        <v>0</v>
      </c>
      <c r="G17173" s="26"/>
    </row>
    <row r="17174" spans="1:7" ht="76.80" thickBot="1" customHeight="1">
      <c r="A17174" s="26"/>
      <c r="B17174" s="26"/>
      <c r="C17174" s="26"/>
      <c r="D17174" s="25" t="s">
        <v>53156</v>
      </c>
      <c r="E17174" s="25"/>
      <c r="F17174" s="25"/>
      <c r="G17174" s="25"/>
    </row>
    <row r="17175" spans="1:7" ht="39.84" thickBot="1" customHeight="1">
      <c r="A17175" s="10" t="s">
        <v>53157</v>
      </c>
      <c r="B17175" s="24" t="s">
        <v>53158</v>
      </c>
      <c r="C17175" s="24" t="s">
        <v>53159</v>
      </c>
      <c r="D17175" s="25" t="s">
        <v>53160</v>
      </c>
      <c r="E17175" s="26"/>
      <c r="F17175" s="27">
        <f ca="1">ROUND(9.610*(1+G2/100),2)</f>
        <v>0</v>
      </c>
      <c r="G17175" s="26"/>
    </row>
    <row r="17176" spans="1:7" ht="86.04" thickBot="1" customHeight="1">
      <c r="A17176" s="26"/>
      <c r="B17176" s="26"/>
      <c r="C17176" s="26"/>
      <c r="D17176" s="25" t="s">
        <v>53161</v>
      </c>
      <c r="E17176" s="25"/>
      <c r="F17176" s="25"/>
      <c r="G17176" s="25"/>
    </row>
    <row r="17177" spans="1:7" ht="39.84" thickBot="1" customHeight="1">
      <c r="A17177" s="10" t="s">
        <v>53162</v>
      </c>
      <c r="B17177" s="24" t="s">
        <v>53163</v>
      </c>
      <c r="C17177" s="24" t="s">
        <v>53164</v>
      </c>
      <c r="D17177" s="25" t="s">
        <v>53165</v>
      </c>
      <c r="E17177" s="26"/>
      <c r="F17177" s="27">
        <f ca="1">ROUND(78.400*(1+G2/100),2)</f>
        <v>0</v>
      </c>
      <c r="G17177" s="26"/>
    </row>
    <row r="17178" spans="1:7" ht="21.36" thickBot="1" customHeight="1">
      <c r="A17178" s="26"/>
      <c r="B17178" s="26"/>
      <c r="C17178" s="26"/>
      <c r="D17178" s="25" t="s">
        <v>53166</v>
      </c>
      <c r="E17178" s="25"/>
      <c r="F17178" s="25"/>
      <c r="G17178" s="25"/>
    </row>
    <row r="17179" spans="1:7" ht="39.84" thickBot="1" customHeight="1">
      <c r="A17179" s="10" t="s">
        <v>53167</v>
      </c>
      <c r="B17179" s="24" t="s">
        <v>53168</v>
      </c>
      <c r="C17179" s="24" t="s">
        <v>53169</v>
      </c>
      <c r="D17179" s="25" t="s">
        <v>53170</v>
      </c>
      <c r="E17179" s="26"/>
      <c r="F17179" s="27">
        <f ca="1">ROUND(19.170*(1+G2/100),2)</f>
        <v>0</v>
      </c>
      <c r="G17179" s="26"/>
    </row>
    <row r="17180" spans="1:7" ht="21.36" thickBot="1" customHeight="1">
      <c r="A17180" s="26"/>
      <c r="B17180" s="26"/>
      <c r="C17180" s="26"/>
      <c r="D17180" s="25" t="s">
        <v>53171</v>
      </c>
      <c r="E17180" s="25"/>
      <c r="F17180" s="25"/>
      <c r="G17180" s="25"/>
    </row>
    <row r="17181" spans="1:7" ht="30.60" thickBot="1" customHeight="1">
      <c r="A17181" s="10" t="s">
        <v>53172</v>
      </c>
      <c r="B17181" s="24" t="s">
        <v>53173</v>
      </c>
      <c r="C17181" s="24" t="s">
        <v>53174</v>
      </c>
      <c r="D17181" s="25" t="s">
        <v>53175</v>
      </c>
      <c r="E17181" s="26"/>
      <c r="F17181" s="27">
        <f ca="1">ROUND(43.750*(1+G2/100),2)</f>
        <v>0</v>
      </c>
      <c r="G17181" s="26"/>
    </row>
    <row r="17182" spans="1:7" ht="150.72" thickBot="1" customHeight="1">
      <c r="A17182" s="26"/>
      <c r="B17182" s="26"/>
      <c r="C17182" s="26"/>
      <c r="D17182" s="25" t="s">
        <v>53176</v>
      </c>
      <c r="E17182" s="25"/>
      <c r="F17182" s="25"/>
      <c r="G17182" s="25"/>
    </row>
    <row r="17183" spans="1:7" ht="39.84" thickBot="1" customHeight="1">
      <c r="A17183" s="10" t="s">
        <v>53177</v>
      </c>
      <c r="B17183" s="24" t="s">
        <v>53178</v>
      </c>
      <c r="C17183" s="24" t="s">
        <v>53179</v>
      </c>
      <c r="D17183" s="25" t="s">
        <v>53180</v>
      </c>
      <c r="E17183" s="26"/>
      <c r="F17183" s="27">
        <f ca="1">ROUND(38.310*(1+G2/100),2)</f>
        <v>0</v>
      </c>
      <c r="G17183" s="26"/>
    </row>
    <row r="17184" spans="1:7" ht="95.28" thickBot="1" customHeight="1">
      <c r="A17184" s="26"/>
      <c r="B17184" s="26"/>
      <c r="C17184" s="26"/>
      <c r="D17184" s="25" t="s">
        <v>53181</v>
      </c>
      <c r="E17184" s="25"/>
      <c r="F17184" s="25"/>
      <c r="G17184" s="25"/>
    </row>
    <row r="17185" spans="1:7" ht="39.84" thickBot="1" customHeight="1">
      <c r="A17185" s="10" t="s">
        <v>53182</v>
      </c>
      <c r="B17185" s="24" t="s">
        <v>53183</v>
      </c>
      <c r="C17185" s="24" t="s">
        <v>53184</v>
      </c>
      <c r="D17185" s="25" t="s">
        <v>53185</v>
      </c>
      <c r="E17185" s="26"/>
      <c r="F17185" s="27">
        <f ca="1">ROUND(96.710*(1+G2/100),2)</f>
        <v>0</v>
      </c>
      <c r="G17185" s="26"/>
    </row>
    <row r="17186" spans="1:7" ht="141.48" thickBot="1" customHeight="1">
      <c r="A17186" s="26"/>
      <c r="B17186" s="26"/>
      <c r="C17186" s="26"/>
      <c r="D17186" s="25" t="s">
        <v>53186</v>
      </c>
      <c r="E17186" s="25"/>
      <c r="F17186" s="25"/>
      <c r="G17186" s="25"/>
    </row>
    <row r="17187" spans="1:7" ht="39.84" thickBot="1" customHeight="1">
      <c r="A17187" s="10" t="s">
        <v>53187</v>
      </c>
      <c r="B17187" s="24" t="s">
        <v>53188</v>
      </c>
      <c r="C17187" s="24" t="s">
        <v>53189</v>
      </c>
      <c r="D17187" s="25" t="s">
        <v>53190</v>
      </c>
      <c r="E17187" s="26"/>
      <c r="F17187" s="27">
        <f ca="1">ROUND(29.840*(1+G2/100),2)</f>
        <v>0</v>
      </c>
      <c r="G17187" s="26"/>
    </row>
    <row r="17188" spans="1:7" ht="141.48" thickBot="1" customHeight="1">
      <c r="A17188" s="26"/>
      <c r="B17188" s="26"/>
      <c r="C17188" s="26"/>
      <c r="D17188" s="25" t="s">
        <v>53191</v>
      </c>
      <c r="E17188" s="25"/>
      <c r="F17188" s="25"/>
      <c r="G17188" s="25"/>
    </row>
    <row r="17189" spans="1:7" ht="39.84" thickBot="1" customHeight="1">
      <c r="A17189" s="10" t="s">
        <v>53192</v>
      </c>
      <c r="B17189" s="24" t="s">
        <v>53193</v>
      </c>
      <c r="C17189" s="24" t="s">
        <v>53194</v>
      </c>
      <c r="D17189" s="25" t="s">
        <v>53195</v>
      </c>
      <c r="E17189" s="26"/>
      <c r="F17189" s="27">
        <f ca="1">ROUND(16.500*(1+G2/100),2)</f>
        <v>0</v>
      </c>
      <c r="G17189" s="26"/>
    </row>
    <row r="17190" spans="1:7" ht="95.28" thickBot="1" customHeight="1">
      <c r="A17190" s="26"/>
      <c r="B17190" s="26"/>
      <c r="C17190" s="26"/>
      <c r="D17190" s="25" t="s">
        <v>53196</v>
      </c>
      <c r="E17190" s="25"/>
      <c r="F17190" s="25"/>
      <c r="G17190" s="25"/>
    </row>
    <row r="17191" spans="1:7" ht="30.60" thickBot="1" customHeight="1">
      <c r="A17191" s="10" t="s">
        <v>53197</v>
      </c>
      <c r="B17191" s="24" t="s">
        <v>53198</v>
      </c>
      <c r="C17191" s="24" t="s">
        <v>53199</v>
      </c>
      <c r="D17191" s="25" t="s">
        <v>53200</v>
      </c>
      <c r="E17191" s="26"/>
      <c r="F17191" s="27">
        <f ca="1">ROUND(20.750*(1+G2/100),2)</f>
        <v>0</v>
      </c>
      <c r="G17191" s="26"/>
    </row>
    <row r="17192" spans="1:7" ht="86.04" thickBot="1" customHeight="1">
      <c r="A17192" s="26"/>
      <c r="B17192" s="26"/>
      <c r="C17192" s="26"/>
      <c r="D17192" s="25" t="s">
        <v>53201</v>
      </c>
      <c r="E17192" s="25"/>
      <c r="F17192" s="25"/>
      <c r="G17192" s="25"/>
    </row>
    <row r="17193" spans="1:7" ht="39.84" thickBot="1" customHeight="1">
      <c r="A17193" s="10" t="s">
        <v>53202</v>
      </c>
      <c r="B17193" s="24" t="s">
        <v>53203</v>
      </c>
      <c r="C17193" s="24" t="s">
        <v>53204</v>
      </c>
      <c r="D17193" s="25" t="s">
        <v>53205</v>
      </c>
      <c r="E17193" s="26"/>
      <c r="F17193" s="27">
        <f ca="1">ROUND(57.460*(1+G2/100),2)</f>
        <v>0</v>
      </c>
      <c r="G17193" s="26"/>
    </row>
    <row r="17194" spans="1:7" ht="49.08" thickBot="1" customHeight="1">
      <c r="A17194" s="26"/>
      <c r="B17194" s="26"/>
      <c r="C17194" s="26"/>
      <c r="D17194" s="25" t="s">
        <v>53206</v>
      </c>
      <c r="E17194" s="25"/>
      <c r="F17194" s="25"/>
      <c r="G17194" s="25"/>
    </row>
    <row r="17195" spans="1:7" ht="58.32" thickBot="1" customHeight="1">
      <c r="A17195" s="10" t="s">
        <v>53207</v>
      </c>
      <c r="B17195" s="24" t="s">
        <v>53208</v>
      </c>
      <c r="C17195" s="24" t="s">
        <v>53209</v>
      </c>
      <c r="D17195" s="25" t="s">
        <v>53210</v>
      </c>
      <c r="E17195" s="26"/>
      <c r="F17195" s="27">
        <f ca="1">ROUND(60.640*(1+G2/100),2)</f>
        <v>0</v>
      </c>
      <c r="G17195" s="26"/>
    </row>
    <row r="17196" spans="1:7" ht="49.08" thickBot="1" customHeight="1">
      <c r="A17196" s="26"/>
      <c r="B17196" s="26"/>
      <c r="C17196" s="26"/>
      <c r="D17196" s="25" t="s">
        <v>53211</v>
      </c>
      <c r="E17196" s="25"/>
      <c r="F17196" s="25"/>
      <c r="G17196" s="25"/>
    </row>
    <row r="17197" spans="1:7" ht="58.32" thickBot="1" customHeight="1">
      <c r="A17197" s="10" t="s">
        <v>53212</v>
      </c>
      <c r="B17197" s="24" t="s">
        <v>53213</v>
      </c>
      <c r="C17197" s="24" t="s">
        <v>53214</v>
      </c>
      <c r="D17197" s="25" t="s">
        <v>53215</v>
      </c>
      <c r="E17197" s="26"/>
      <c r="F17197" s="27">
        <f ca="1">ROUND(173.430*(1+G2/100),2)</f>
        <v>0</v>
      </c>
      <c r="G17197" s="26"/>
    </row>
    <row r="17198" spans="1:7" ht="86.04" thickBot="1" customHeight="1">
      <c r="A17198" s="26"/>
      <c r="B17198" s="26"/>
      <c r="C17198" s="26"/>
      <c r="D17198" s="25" t="s">
        <v>53216</v>
      </c>
      <c r="E17198" s="25"/>
      <c r="F17198" s="25"/>
      <c r="G17198" s="25"/>
    </row>
    <row r="17199" spans="1:7" ht="49.08" thickBot="1" customHeight="1">
      <c r="A17199" s="10" t="s">
        <v>53217</v>
      </c>
      <c r="B17199" s="24" t="s">
        <v>53218</v>
      </c>
      <c r="C17199" s="24" t="s">
        <v>53219</v>
      </c>
      <c r="D17199" s="25" t="s">
        <v>53220</v>
      </c>
      <c r="E17199" s="26"/>
      <c r="F17199" s="27">
        <f ca="1">ROUND(31.680*(1+G2/100),2)</f>
        <v>0</v>
      </c>
      <c r="G17199" s="26"/>
    </row>
    <row r="17200" spans="1:7" ht="39.84" thickBot="1" customHeight="1">
      <c r="A17200" s="26"/>
      <c r="B17200" s="26"/>
      <c r="C17200" s="26"/>
      <c r="D17200" s="25" t="s">
        <v>53221</v>
      </c>
      <c r="E17200" s="25"/>
      <c r="F17200" s="25"/>
      <c r="G17200" s="25"/>
    </row>
    <row r="17201" spans="1:7" ht="39.84" thickBot="1" customHeight="1">
      <c r="A17201" s="10" t="s">
        <v>53222</v>
      </c>
      <c r="B17201" s="24" t="s">
        <v>53223</v>
      </c>
      <c r="C17201" s="24" t="s">
        <v>53224</v>
      </c>
      <c r="D17201" s="25" t="s">
        <v>53225</v>
      </c>
      <c r="E17201" s="26"/>
      <c r="F17201" s="27">
        <f ca="1">ROUND(35.180*(1+G2/100),2)</f>
        <v>0</v>
      </c>
      <c r="G17201" s="26"/>
    </row>
    <row r="17202" spans="1:7" ht="141.48" thickBot="1" customHeight="1">
      <c r="A17202" s="26"/>
      <c r="B17202" s="26"/>
      <c r="C17202" s="26"/>
      <c r="D17202" s="25" t="s">
        <v>53226</v>
      </c>
      <c r="E17202" s="25"/>
      <c r="F17202" s="25"/>
      <c r="G17202" s="25"/>
    </row>
    <row r="17203" spans="1:7" ht="39.84" thickBot="1" customHeight="1">
      <c r="A17203" s="10" t="s">
        <v>53227</v>
      </c>
      <c r="B17203" s="24" t="s">
        <v>53228</v>
      </c>
      <c r="C17203" s="24" t="s">
        <v>53229</v>
      </c>
      <c r="D17203" s="25" t="s">
        <v>53230</v>
      </c>
      <c r="E17203" s="26"/>
      <c r="F17203" s="27">
        <f ca="1">ROUND(66.550*(1+G2/100),2)</f>
        <v>0</v>
      </c>
      <c r="G17203" s="26"/>
    </row>
    <row r="17204" spans="1:7" ht="58.32" thickBot="1" customHeight="1">
      <c r="A17204" s="26"/>
      <c r="B17204" s="26"/>
      <c r="C17204" s="26"/>
      <c r="D17204" s="25" t="s">
        <v>53231</v>
      </c>
      <c r="E17204" s="25"/>
      <c r="F17204" s="25"/>
      <c r="G17204" s="25"/>
    </row>
    <row r="17205" spans="1:7" ht="39.84" thickBot="1" customHeight="1">
      <c r="A17205" s="10" t="s">
        <v>53232</v>
      </c>
      <c r="B17205" s="24" t="s">
        <v>53233</v>
      </c>
      <c r="C17205" s="24" t="s">
        <v>53234</v>
      </c>
      <c r="D17205" s="25" t="s">
        <v>53235</v>
      </c>
      <c r="E17205" s="26"/>
      <c r="F17205" s="27">
        <f ca="1">ROUND(66.550*(1+G2/100),2)</f>
        <v>0</v>
      </c>
      <c r="G17205" s="26"/>
    </row>
    <row r="17206" spans="1:7" ht="58.32" thickBot="1" customHeight="1">
      <c r="A17206" s="26"/>
      <c r="B17206" s="26"/>
      <c r="C17206" s="26"/>
      <c r="D17206" s="25" t="s">
        <v>53236</v>
      </c>
      <c r="E17206" s="25"/>
      <c r="F17206" s="25"/>
      <c r="G17206" s="25"/>
    </row>
    <row r="17207" spans="1:7" ht="39.84" thickBot="1" customHeight="1">
      <c r="A17207" s="10" t="s">
        <v>53237</v>
      </c>
      <c r="B17207" s="24" t="s">
        <v>53238</v>
      </c>
      <c r="C17207" s="24" t="s">
        <v>53239</v>
      </c>
      <c r="D17207" s="25" t="s">
        <v>53240</v>
      </c>
      <c r="E17207" s="26"/>
      <c r="F17207" s="27">
        <f ca="1">ROUND(66.550*(1+G2/100),2)</f>
        <v>0</v>
      </c>
      <c r="G17207" s="26"/>
    </row>
    <row r="17208" spans="1:7" ht="58.32" thickBot="1" customHeight="1">
      <c r="A17208" s="26"/>
      <c r="B17208" s="26"/>
      <c r="C17208" s="26"/>
      <c r="D17208" s="25" t="s">
        <v>53241</v>
      </c>
      <c r="E17208" s="25"/>
      <c r="F17208" s="25"/>
      <c r="G17208" s="25"/>
    </row>
    <row r="17209" spans="1:7" ht="30.60" thickBot="1" customHeight="1">
      <c r="A17209" s="10" t="s">
        <v>53242</v>
      </c>
      <c r="B17209" s="24" t="s">
        <v>53243</v>
      </c>
      <c r="C17209" s="24" t="s">
        <v>53244</v>
      </c>
      <c r="D17209" s="25" t="s">
        <v>53245</v>
      </c>
      <c r="E17209" s="26"/>
      <c r="F17209" s="27">
        <f ca="1">ROUND(62.420*(1+G2/100),2)</f>
        <v>0</v>
      </c>
      <c r="G17209" s="26"/>
    </row>
    <row r="17210" spans="1:7" ht="86.04" thickBot="1" customHeight="1">
      <c r="A17210" s="26"/>
      <c r="B17210" s="26"/>
      <c r="C17210" s="26"/>
      <c r="D17210" s="25" t="s">
        <v>53246</v>
      </c>
      <c r="E17210" s="25"/>
      <c r="F17210" s="25"/>
      <c r="G17210" s="25"/>
    </row>
    <row r="17211" spans="1:7" ht="15.48" thickBot="1" customHeight="1">
      <c r="A17211" s="30"/>
      <c r="B17211" s="30"/>
      <c r="C17211" s="30"/>
      <c r="D17211" s="79" t="s">
        <v>53247</v>
      </c>
      <c r="E17211" s="80"/>
      <c r="F17211" s="80"/>
      <c r="G17211" s="80"/>
    </row>
    <row r="17212" spans="1:7" ht="31.68" thickBot="1" customHeight="1">
      <c r="A17212" s="52" t="s">
        <v>53248</v>
      </c>
      <c r="B17212" s="52" t="s">
        <v>53249</v>
      </c>
      <c r="C17212" s="53"/>
      <c r="D17212" s="54" t="s">
        <v>53250</v>
      </c>
      <c r="E17212" s="53"/>
      <c r="F17212" s="53"/>
      <c r="G17212" s="53"/>
    </row>
    <row r="17213" spans="1:7" ht="39.84" thickBot="1" customHeight="1">
      <c r="A17213" s="10" t="s">
        <v>53251</v>
      </c>
      <c r="B17213" s="24" t="s">
        <v>53252</v>
      </c>
      <c r="C17213" s="24" t="s">
        <v>53253</v>
      </c>
      <c r="D17213" s="25" t="s">
        <v>53254</v>
      </c>
      <c r="E17213" s="26"/>
      <c r="F17213" s="27">
        <f ca="1">ROUND(3.960*(1+G2/100),2)</f>
        <v>0</v>
      </c>
      <c r="G17213" s="26"/>
    </row>
    <row r="17214" spans="1:7" ht="113.76" thickBot="1" customHeight="1">
      <c r="A17214" s="26"/>
      <c r="B17214" s="26"/>
      <c r="C17214" s="26"/>
      <c r="D17214" s="25" t="s">
        <v>53255</v>
      </c>
      <c r="E17214" s="25"/>
      <c r="F17214" s="25"/>
      <c r="G17214" s="25"/>
    </row>
    <row r="17215" spans="1:7" ht="39.84" thickBot="1" customHeight="1">
      <c r="A17215" s="10" t="s">
        <v>53256</v>
      </c>
      <c r="B17215" s="24" t="s">
        <v>53257</v>
      </c>
      <c r="C17215" s="24" t="s">
        <v>53258</v>
      </c>
      <c r="D17215" s="25" t="s">
        <v>53259</v>
      </c>
      <c r="E17215" s="26"/>
      <c r="F17215" s="27">
        <f ca="1">ROUND(29.210*(1+G2/100),2)</f>
        <v>0</v>
      </c>
      <c r="G17215" s="26"/>
    </row>
    <row r="17216" spans="1:7" ht="39.84" thickBot="1" customHeight="1">
      <c r="A17216" s="26"/>
      <c r="B17216" s="26"/>
      <c r="C17216" s="26"/>
      <c r="D17216" s="25" t="s">
        <v>53260</v>
      </c>
      <c r="E17216" s="25"/>
      <c r="F17216" s="25"/>
      <c r="G17216" s="25"/>
    </row>
    <row r="17217" spans="1:7" ht="30.60" thickBot="1" customHeight="1">
      <c r="A17217" s="10" t="s">
        <v>53261</v>
      </c>
      <c r="B17217" s="24" t="s">
        <v>53262</v>
      </c>
      <c r="C17217" s="24" t="s">
        <v>53263</v>
      </c>
      <c r="D17217" s="25" t="s">
        <v>53264</v>
      </c>
      <c r="E17217" s="26"/>
      <c r="F17217" s="27">
        <f ca="1">ROUND(7.960*(1+G2/100),2)</f>
        <v>0</v>
      </c>
      <c r="G17217" s="26"/>
    </row>
    <row r="17218" spans="1:7" ht="67.56" thickBot="1" customHeight="1">
      <c r="A17218" s="26"/>
      <c r="B17218" s="26"/>
      <c r="C17218" s="26"/>
      <c r="D17218" s="25" t="s">
        <v>53265</v>
      </c>
      <c r="E17218" s="25"/>
      <c r="F17218" s="25"/>
      <c r="G17218" s="25"/>
    </row>
    <row r="17219" spans="1:7" ht="21.36" thickBot="1" customHeight="1">
      <c r="A17219" s="10" t="s">
        <v>53266</v>
      </c>
      <c r="B17219" s="24" t="s">
        <v>53267</v>
      </c>
      <c r="C17219" s="24" t="s">
        <v>53268</v>
      </c>
      <c r="D17219" s="25" t="s">
        <v>53269</v>
      </c>
      <c r="E17219" s="26"/>
      <c r="F17219" s="27">
        <f ca="1">ROUND(7.390*(1+G2/100),2)</f>
        <v>0</v>
      </c>
      <c r="G17219" s="26"/>
    </row>
    <row r="17220" spans="1:7" ht="39.84" thickBot="1" customHeight="1">
      <c r="A17220" s="26"/>
      <c r="B17220" s="26"/>
      <c r="C17220" s="26"/>
      <c r="D17220" s="25" t="s">
        <v>53270</v>
      </c>
      <c r="E17220" s="25"/>
      <c r="F17220" s="25"/>
      <c r="G17220" s="25"/>
    </row>
    <row r="17221" spans="1:7" ht="39.84" thickBot="1" customHeight="1">
      <c r="A17221" s="10" t="s">
        <v>53271</v>
      </c>
      <c r="B17221" s="24" t="s">
        <v>53272</v>
      </c>
      <c r="C17221" s="24" t="s">
        <v>53273</v>
      </c>
      <c r="D17221" s="25" t="s">
        <v>53274</v>
      </c>
      <c r="E17221" s="26"/>
      <c r="F17221" s="27">
        <f ca="1">ROUND(2.940*(1+G2/100),2)</f>
        <v>0</v>
      </c>
      <c r="G17221" s="26"/>
    </row>
    <row r="17222" spans="1:7" ht="30.60" thickBot="1" customHeight="1">
      <c r="A17222" s="26"/>
      <c r="B17222" s="26"/>
      <c r="C17222" s="26"/>
      <c r="D17222" s="25" t="s">
        <v>53275</v>
      </c>
      <c r="E17222" s="25"/>
      <c r="F17222" s="25"/>
      <c r="G17222" s="25"/>
    </row>
    <row r="17223" spans="1:7" ht="39.84" thickBot="1" customHeight="1">
      <c r="A17223" s="10" t="s">
        <v>53276</v>
      </c>
      <c r="B17223" s="24" t="s">
        <v>53277</v>
      </c>
      <c r="C17223" s="24" t="s">
        <v>53278</v>
      </c>
      <c r="D17223" s="25" t="s">
        <v>53279</v>
      </c>
      <c r="E17223" s="26"/>
      <c r="F17223" s="27">
        <f ca="1">ROUND(5.760*(1+G2/100),2)</f>
        <v>0</v>
      </c>
      <c r="G17223" s="26"/>
    </row>
    <row r="17224" spans="1:7" ht="30.60" thickBot="1" customHeight="1">
      <c r="A17224" s="26"/>
      <c r="B17224" s="26"/>
      <c r="C17224" s="26"/>
      <c r="D17224" s="25" t="s">
        <v>53280</v>
      </c>
      <c r="E17224" s="25"/>
      <c r="F17224" s="25"/>
      <c r="G17224" s="25"/>
    </row>
    <row r="17225" spans="1:7" ht="39.84" thickBot="1" customHeight="1">
      <c r="A17225" s="10" t="s">
        <v>53281</v>
      </c>
      <c r="B17225" s="24" t="s">
        <v>53282</v>
      </c>
      <c r="C17225" s="24" t="s">
        <v>53283</v>
      </c>
      <c r="D17225" s="25" t="s">
        <v>53284</v>
      </c>
      <c r="E17225" s="26"/>
      <c r="F17225" s="27">
        <f ca="1">ROUND(1.920*(1+G2/100),2)</f>
        <v>0</v>
      </c>
      <c r="G17225" s="26"/>
    </row>
    <row r="17226" spans="1:7" ht="30.60" thickBot="1" customHeight="1">
      <c r="A17226" s="26"/>
      <c r="B17226" s="26"/>
      <c r="C17226" s="26"/>
      <c r="D17226" s="25" t="s">
        <v>53285</v>
      </c>
      <c r="E17226" s="25"/>
      <c r="F17226" s="25"/>
      <c r="G17226" s="25"/>
    </row>
    <row r="17227" spans="1:7" ht="39.84" thickBot="1" customHeight="1">
      <c r="A17227" s="10" t="s">
        <v>53286</v>
      </c>
      <c r="B17227" s="24" t="s">
        <v>53287</v>
      </c>
      <c r="C17227" s="24" t="s">
        <v>53288</v>
      </c>
      <c r="D17227" s="25" t="s">
        <v>53289</v>
      </c>
      <c r="E17227" s="26"/>
      <c r="F17227" s="27">
        <f ca="1">ROUND(0.960*(1+G2/100),2)</f>
        <v>0</v>
      </c>
      <c r="G17227" s="26"/>
    </row>
    <row r="17228" spans="1:7" ht="30.60" thickBot="1" customHeight="1">
      <c r="A17228" s="26"/>
      <c r="B17228" s="26"/>
      <c r="C17228" s="26"/>
      <c r="D17228" s="25" t="s">
        <v>53290</v>
      </c>
      <c r="E17228" s="25"/>
      <c r="F17228" s="25"/>
      <c r="G17228" s="25"/>
    </row>
    <row r="17229" spans="1:7" ht="21.36" thickBot="1" customHeight="1">
      <c r="A17229" s="10" t="s">
        <v>53291</v>
      </c>
      <c r="B17229" s="24" t="s">
        <v>53292</v>
      </c>
      <c r="C17229" s="24" t="s">
        <v>53293</v>
      </c>
      <c r="D17229" s="25" t="s">
        <v>53294</v>
      </c>
      <c r="E17229" s="26"/>
      <c r="F17229" s="27">
        <f ca="1">ROUND(7.280*(1+G2/100),2)</f>
        <v>0</v>
      </c>
      <c r="G17229" s="26"/>
    </row>
    <row r="17230" spans="1:7" ht="30.60" thickBot="1" customHeight="1">
      <c r="A17230" s="26"/>
      <c r="B17230" s="26"/>
      <c r="C17230" s="26"/>
      <c r="D17230" s="25" t="s">
        <v>53295</v>
      </c>
      <c r="E17230" s="25"/>
      <c r="F17230" s="25"/>
      <c r="G17230" s="25"/>
    </row>
    <row r="17231" spans="1:7" ht="21.36" thickBot="1" customHeight="1">
      <c r="A17231" s="10" t="s">
        <v>53296</v>
      </c>
      <c r="B17231" s="24" t="s">
        <v>53297</v>
      </c>
      <c r="C17231" s="24" t="s">
        <v>53298</v>
      </c>
      <c r="D17231" s="25" t="s">
        <v>53299</v>
      </c>
      <c r="E17231" s="26"/>
      <c r="F17231" s="27">
        <f ca="1">ROUND(9.280*(1+G2/100),2)</f>
        <v>0</v>
      </c>
      <c r="G17231" s="26"/>
    </row>
    <row r="17232" spans="1:7" ht="30.60" thickBot="1" customHeight="1">
      <c r="A17232" s="26"/>
      <c r="B17232" s="26"/>
      <c r="C17232" s="26"/>
      <c r="D17232" s="25" t="s">
        <v>53300</v>
      </c>
      <c r="E17232" s="25"/>
      <c r="F17232" s="25"/>
      <c r="G17232" s="25"/>
    </row>
    <row r="17233" spans="1:7" ht="21.36" thickBot="1" customHeight="1">
      <c r="A17233" s="10" t="s">
        <v>53301</v>
      </c>
      <c r="B17233" s="24" t="s">
        <v>53302</v>
      </c>
      <c r="C17233" s="24" t="s">
        <v>53303</v>
      </c>
      <c r="D17233" s="25" t="s">
        <v>53304</v>
      </c>
      <c r="E17233" s="26"/>
      <c r="F17233" s="27">
        <f ca="1">ROUND(7.990*(1+G2/100),2)</f>
        <v>0</v>
      </c>
      <c r="G17233" s="26"/>
    </row>
    <row r="17234" spans="1:7" ht="30.60" thickBot="1" customHeight="1">
      <c r="A17234" s="26"/>
      <c r="B17234" s="26"/>
      <c r="C17234" s="26"/>
      <c r="D17234" s="25" t="s">
        <v>53305</v>
      </c>
      <c r="E17234" s="25"/>
      <c r="F17234" s="25"/>
      <c r="G17234" s="25"/>
    </row>
    <row r="17235" spans="1:7" ht="30.60" thickBot="1" customHeight="1">
      <c r="A17235" s="10" t="s">
        <v>53306</v>
      </c>
      <c r="B17235" s="24" t="s">
        <v>53307</v>
      </c>
      <c r="C17235" s="24" t="s">
        <v>53308</v>
      </c>
      <c r="D17235" s="25" t="s">
        <v>53309</v>
      </c>
      <c r="E17235" s="26"/>
      <c r="F17235" s="27">
        <f ca="1">ROUND(11.290*(1+G2/100),2)</f>
        <v>0</v>
      </c>
      <c r="G17235" s="26"/>
    </row>
    <row r="17236" spans="1:7" ht="76.80" thickBot="1" customHeight="1">
      <c r="A17236" s="26"/>
      <c r="B17236" s="26"/>
      <c r="C17236" s="26"/>
      <c r="D17236" s="25" t="s">
        <v>53310</v>
      </c>
      <c r="E17236" s="25"/>
      <c r="F17236" s="25"/>
      <c r="G17236" s="25"/>
    </row>
    <row r="17237" spans="1:7" ht="30.60" thickBot="1" customHeight="1">
      <c r="A17237" s="10" t="s">
        <v>53311</v>
      </c>
      <c r="B17237" s="24" t="s">
        <v>53312</v>
      </c>
      <c r="C17237" s="24" t="s">
        <v>53313</v>
      </c>
      <c r="D17237" s="25" t="s">
        <v>53314</v>
      </c>
      <c r="E17237" s="26"/>
      <c r="F17237" s="27">
        <f ca="1">ROUND(4.440*(1+G2/100),2)</f>
        <v>0</v>
      </c>
      <c r="G17237" s="26"/>
    </row>
    <row r="17238" spans="1:7" ht="76.80" thickBot="1" customHeight="1">
      <c r="A17238" s="26"/>
      <c r="B17238" s="26"/>
      <c r="C17238" s="26"/>
      <c r="D17238" s="25" t="s">
        <v>53315</v>
      </c>
      <c r="E17238" s="25"/>
      <c r="F17238" s="25"/>
      <c r="G17238" s="25"/>
    </row>
    <row r="17239" spans="1:7" ht="39.84" thickBot="1" customHeight="1">
      <c r="A17239" s="10" t="s">
        <v>53316</v>
      </c>
      <c r="B17239" s="24" t="s">
        <v>53317</v>
      </c>
      <c r="C17239" s="24" t="s">
        <v>53318</v>
      </c>
      <c r="D17239" s="25" t="s">
        <v>53319</v>
      </c>
      <c r="E17239" s="26"/>
      <c r="F17239" s="27">
        <f ca="1">ROUND(6.680*(1+G2/100),2)</f>
        <v>0</v>
      </c>
      <c r="G17239" s="26"/>
    </row>
    <row r="17240" spans="1:7" ht="49.08" thickBot="1" customHeight="1">
      <c r="A17240" s="26"/>
      <c r="B17240" s="26"/>
      <c r="C17240" s="26"/>
      <c r="D17240" s="25" t="s">
        <v>53320</v>
      </c>
      <c r="E17240" s="25"/>
      <c r="F17240" s="25"/>
      <c r="G17240" s="25"/>
    </row>
    <row r="17241" spans="1:7" ht="30.60" thickBot="1" customHeight="1">
      <c r="A17241" s="10" t="s">
        <v>53321</v>
      </c>
      <c r="B17241" s="24" t="s">
        <v>53322</v>
      </c>
      <c r="C17241" s="24" t="s">
        <v>53323</v>
      </c>
      <c r="D17241" s="25" t="s">
        <v>53324</v>
      </c>
      <c r="E17241" s="26"/>
      <c r="F17241" s="27">
        <f ca="1">ROUND(20.920*(1+G2/100),2)</f>
        <v>0</v>
      </c>
      <c r="G17241" s="26"/>
    </row>
    <row r="17242" spans="1:7" ht="49.08" thickBot="1" customHeight="1">
      <c r="A17242" s="26"/>
      <c r="B17242" s="26"/>
      <c r="C17242" s="26"/>
      <c r="D17242" s="25" t="s">
        <v>53325</v>
      </c>
      <c r="E17242" s="25"/>
      <c r="F17242" s="25"/>
      <c r="G17242" s="25"/>
    </row>
    <row r="17243" spans="1:7" ht="21.36" thickBot="1" customHeight="1">
      <c r="A17243" s="10" t="s">
        <v>53326</v>
      </c>
      <c r="B17243" s="24" t="s">
        <v>53327</v>
      </c>
      <c r="C17243" s="24" t="s">
        <v>53328</v>
      </c>
      <c r="D17243" s="25" t="s">
        <v>53329</v>
      </c>
      <c r="E17243" s="26"/>
      <c r="F17243" s="27">
        <f ca="1">ROUND(27.990*(1+G2/100),2)</f>
        <v>0</v>
      </c>
      <c r="G17243" s="26"/>
    </row>
    <row r="17244" spans="1:7" ht="21.36" thickBot="1" customHeight="1">
      <c r="A17244" s="26"/>
      <c r="B17244" s="26"/>
      <c r="C17244" s="26"/>
      <c r="D17244" s="25" t="s">
        <v>53330</v>
      </c>
      <c r="E17244" s="25"/>
      <c r="F17244" s="25"/>
      <c r="G17244" s="25"/>
    </row>
    <row r="17245" spans="1:7" ht="21.36" thickBot="1" customHeight="1">
      <c r="A17245" s="10" t="s">
        <v>53331</v>
      </c>
      <c r="B17245" s="24" t="s">
        <v>53332</v>
      </c>
      <c r="C17245" s="24" t="s">
        <v>53333</v>
      </c>
      <c r="D17245" s="25" t="s">
        <v>53334</v>
      </c>
      <c r="E17245" s="26"/>
      <c r="F17245" s="27">
        <f ca="1">ROUND(31.650*(1+G2/100),2)</f>
        <v>0</v>
      </c>
      <c r="G17245" s="26"/>
    </row>
    <row r="17246" spans="1:7" ht="21.36" thickBot="1" customHeight="1">
      <c r="A17246" s="26"/>
      <c r="B17246" s="26"/>
      <c r="C17246" s="26"/>
      <c r="D17246" s="25" t="s">
        <v>53335</v>
      </c>
      <c r="E17246" s="25"/>
      <c r="F17246" s="25"/>
      <c r="G17246" s="25"/>
    </row>
    <row r="17247" spans="1:7" ht="49.08" thickBot="1" customHeight="1">
      <c r="A17247" s="10" t="s">
        <v>53336</v>
      </c>
      <c r="B17247" s="24" t="s">
        <v>53337</v>
      </c>
      <c r="C17247" s="24" t="s">
        <v>53338</v>
      </c>
      <c r="D17247" s="25" t="s">
        <v>53339</v>
      </c>
      <c r="E17247" s="26"/>
      <c r="F17247" s="27">
        <f ca="1">ROUND(12.560*(1+G2/100),2)</f>
        <v>0</v>
      </c>
      <c r="G17247" s="26"/>
    </row>
    <row r="17248" spans="1:7" ht="58.32" thickBot="1" customHeight="1">
      <c r="A17248" s="26"/>
      <c r="B17248" s="26"/>
      <c r="C17248" s="26"/>
      <c r="D17248" s="25" t="s">
        <v>53340</v>
      </c>
      <c r="E17248" s="25"/>
      <c r="F17248" s="25"/>
      <c r="G17248" s="25"/>
    </row>
    <row r="17249" spans="1:7" ht="39.84" thickBot="1" customHeight="1">
      <c r="A17249" s="10" t="s">
        <v>53341</v>
      </c>
      <c r="B17249" s="24" t="s">
        <v>53342</v>
      </c>
      <c r="C17249" s="24" t="s">
        <v>53343</v>
      </c>
      <c r="D17249" s="25" t="s">
        <v>53344</v>
      </c>
      <c r="E17249" s="26"/>
      <c r="F17249" s="27">
        <f ca="1">ROUND(46.250*(1+G2/100),2)</f>
        <v>0</v>
      </c>
      <c r="G17249" s="26"/>
    </row>
    <row r="17250" spans="1:7" ht="21.36" thickBot="1" customHeight="1">
      <c r="A17250" s="26"/>
      <c r="B17250" s="26"/>
      <c r="C17250" s="26"/>
      <c r="D17250" s="25" t="s">
        <v>53345</v>
      </c>
      <c r="E17250" s="25"/>
      <c r="F17250" s="25"/>
      <c r="G17250" s="25"/>
    </row>
    <row r="17251" spans="1:7" ht="49.08" thickBot="1" customHeight="1">
      <c r="A17251" s="10" t="s">
        <v>53346</v>
      </c>
      <c r="B17251" s="24" t="s">
        <v>53347</v>
      </c>
      <c r="C17251" s="24" t="s">
        <v>53348</v>
      </c>
      <c r="D17251" s="25" t="s">
        <v>53349</v>
      </c>
      <c r="E17251" s="26"/>
      <c r="F17251" s="27">
        <f ca="1">ROUND(67.850*(1+G2/100),2)</f>
        <v>0</v>
      </c>
      <c r="G17251" s="26"/>
    </row>
    <row r="17252" spans="1:7" ht="21.36" thickBot="1" customHeight="1">
      <c r="A17252" s="26"/>
      <c r="B17252" s="26"/>
      <c r="C17252" s="26"/>
      <c r="D17252" s="25" t="s">
        <v>53350</v>
      </c>
      <c r="E17252" s="25"/>
      <c r="F17252" s="25"/>
      <c r="G17252" s="25"/>
    </row>
    <row r="17253" spans="1:7" ht="21.36" thickBot="1" customHeight="1">
      <c r="A17253" s="10" t="s">
        <v>53351</v>
      </c>
      <c r="B17253" s="24" t="s">
        <v>53352</v>
      </c>
      <c r="C17253" s="24" t="s">
        <v>53353</v>
      </c>
      <c r="D17253" s="25" t="s">
        <v>53354</v>
      </c>
      <c r="E17253" s="26"/>
      <c r="F17253" s="27">
        <f ca="1">ROUND(6.870*(1+G2/100),2)</f>
        <v>0</v>
      </c>
      <c r="G17253" s="26"/>
    </row>
    <row r="17254" spans="1:7" ht="30.60" thickBot="1" customHeight="1">
      <c r="A17254" s="26"/>
      <c r="B17254" s="26"/>
      <c r="C17254" s="26"/>
      <c r="D17254" s="25" t="s">
        <v>53355</v>
      </c>
      <c r="E17254" s="25"/>
      <c r="F17254" s="25"/>
      <c r="G17254" s="25"/>
    </row>
    <row r="17255" spans="1:7" ht="30.60" thickBot="1" customHeight="1">
      <c r="A17255" s="10" t="s">
        <v>53356</v>
      </c>
      <c r="B17255" s="24" t="s">
        <v>53357</v>
      </c>
      <c r="C17255" s="24" t="s">
        <v>53358</v>
      </c>
      <c r="D17255" s="25" t="s">
        <v>53359</v>
      </c>
      <c r="E17255" s="26"/>
      <c r="F17255" s="27">
        <f ca="1">ROUND(19.500*(1+G2/100),2)</f>
        <v>0</v>
      </c>
      <c r="G17255" s="26"/>
    </row>
    <row r="17256" spans="1:7" ht="21.36" thickBot="1" customHeight="1">
      <c r="A17256" s="26"/>
      <c r="B17256" s="26"/>
      <c r="C17256" s="26"/>
      <c r="D17256" s="25" t="s">
        <v>53360</v>
      </c>
      <c r="E17256" s="25"/>
      <c r="F17256" s="25"/>
      <c r="G17256" s="25"/>
    </row>
    <row r="17257" spans="1:7" ht="30.60" thickBot="1" customHeight="1">
      <c r="A17257" s="10" t="s">
        <v>53361</v>
      </c>
      <c r="B17257" s="24" t="s">
        <v>53362</v>
      </c>
      <c r="C17257" s="24" t="s">
        <v>53363</v>
      </c>
      <c r="D17257" s="25" t="s">
        <v>53364</v>
      </c>
      <c r="E17257" s="26"/>
      <c r="F17257" s="27">
        <f ca="1">ROUND(13.620*(1+G2/100),2)</f>
        <v>0</v>
      </c>
      <c r="G17257" s="26"/>
    </row>
    <row r="17258" spans="1:7" ht="21.36" thickBot="1" customHeight="1">
      <c r="A17258" s="26"/>
      <c r="B17258" s="26"/>
      <c r="C17258" s="26"/>
      <c r="D17258" s="25" t="s">
        <v>53365</v>
      </c>
      <c r="E17258" s="25"/>
      <c r="F17258" s="25"/>
      <c r="G17258" s="25"/>
    </row>
    <row r="17259" spans="1:7" ht="30.60" thickBot="1" customHeight="1">
      <c r="A17259" s="10" t="s">
        <v>53366</v>
      </c>
      <c r="B17259" s="24" t="s">
        <v>53367</v>
      </c>
      <c r="C17259" s="24" t="s">
        <v>53368</v>
      </c>
      <c r="D17259" s="25" t="s">
        <v>53369</v>
      </c>
      <c r="E17259" s="26"/>
      <c r="F17259" s="27">
        <f ca="1">ROUND(10.510*(1+G2/100),2)</f>
        <v>0</v>
      </c>
      <c r="G17259" s="26"/>
    </row>
    <row r="17260" spans="1:7" ht="67.56" thickBot="1" customHeight="1">
      <c r="A17260" s="26"/>
      <c r="B17260" s="26"/>
      <c r="C17260" s="26"/>
      <c r="D17260" s="25" t="s">
        <v>53370</v>
      </c>
      <c r="E17260" s="25"/>
      <c r="F17260" s="25"/>
      <c r="G17260" s="25"/>
    </row>
    <row r="17261" spans="1:7" ht="30.60" thickBot="1" customHeight="1">
      <c r="A17261" s="10" t="s">
        <v>53371</v>
      </c>
      <c r="B17261" s="24" t="s">
        <v>53372</v>
      </c>
      <c r="C17261" s="24" t="s">
        <v>53373</v>
      </c>
      <c r="D17261" s="25" t="s">
        <v>53374</v>
      </c>
      <c r="E17261" s="26"/>
      <c r="F17261" s="27">
        <f ca="1">ROUND(9.420*(1+G2/100),2)</f>
        <v>0</v>
      </c>
      <c r="G17261" s="26"/>
    </row>
    <row r="17262" spans="1:7" ht="67.56" thickBot="1" customHeight="1">
      <c r="A17262" s="26"/>
      <c r="B17262" s="26"/>
      <c r="C17262" s="26"/>
      <c r="D17262" s="25" t="s">
        <v>53375</v>
      </c>
      <c r="E17262" s="25"/>
      <c r="F17262" s="25"/>
      <c r="G17262" s="25"/>
    </row>
    <row r="17263" spans="1:7" ht="30.60" thickBot="1" customHeight="1">
      <c r="A17263" s="10" t="s">
        <v>53376</v>
      </c>
      <c r="B17263" s="24" t="s">
        <v>53377</v>
      </c>
      <c r="C17263" s="24" t="s">
        <v>53378</v>
      </c>
      <c r="D17263" s="25" t="s">
        <v>53379</v>
      </c>
      <c r="E17263" s="26"/>
      <c r="F17263" s="27">
        <f ca="1">ROUND(10.620*(1+G2/100),2)</f>
        <v>0</v>
      </c>
      <c r="G17263" s="26"/>
    </row>
    <row r="17264" spans="1:7" ht="76.80" thickBot="1" customHeight="1">
      <c r="A17264" s="26"/>
      <c r="B17264" s="26"/>
      <c r="C17264" s="26"/>
      <c r="D17264" s="25" t="s">
        <v>53380</v>
      </c>
      <c r="E17264" s="25"/>
      <c r="F17264" s="25"/>
      <c r="G17264" s="25"/>
    </row>
    <row r="17265" spans="1:7" ht="30.60" thickBot="1" customHeight="1">
      <c r="A17265" s="10" t="s">
        <v>53381</v>
      </c>
      <c r="B17265" s="24" t="s">
        <v>53382</v>
      </c>
      <c r="C17265" s="24" t="s">
        <v>53383</v>
      </c>
      <c r="D17265" s="25" t="s">
        <v>53384</v>
      </c>
      <c r="E17265" s="26"/>
      <c r="F17265" s="27">
        <f ca="1">ROUND(19.150*(1+G2/100),2)</f>
        <v>0</v>
      </c>
      <c r="G17265" s="26"/>
    </row>
    <row r="17266" spans="1:7" ht="76.80" thickBot="1" customHeight="1">
      <c r="A17266" s="26"/>
      <c r="B17266" s="26"/>
      <c r="C17266" s="26"/>
      <c r="D17266" s="25" t="s">
        <v>53385</v>
      </c>
      <c r="E17266" s="25"/>
      <c r="F17266" s="25"/>
      <c r="G17266" s="25"/>
    </row>
    <row r="17267" spans="1:7" ht="30.60" thickBot="1" customHeight="1">
      <c r="A17267" s="10" t="s">
        <v>53386</v>
      </c>
      <c r="B17267" s="24" t="s">
        <v>53387</v>
      </c>
      <c r="C17267" s="24" t="s">
        <v>53388</v>
      </c>
      <c r="D17267" s="25" t="s">
        <v>53389</v>
      </c>
      <c r="E17267" s="26"/>
      <c r="F17267" s="27">
        <f ca="1">ROUND(20.970*(1+G2/100),2)</f>
        <v>0</v>
      </c>
      <c r="G17267" s="26"/>
    </row>
    <row r="17268" spans="1:7" ht="104.52" thickBot="1" customHeight="1">
      <c r="A17268" s="26"/>
      <c r="B17268" s="26"/>
      <c r="C17268" s="26"/>
      <c r="D17268" s="25" t="s">
        <v>53390</v>
      </c>
      <c r="E17268" s="25"/>
      <c r="F17268" s="25"/>
      <c r="G17268" s="25"/>
    </row>
    <row r="17269" spans="1:7" ht="30.60" thickBot="1" customHeight="1">
      <c r="A17269" s="10" t="s">
        <v>53391</v>
      </c>
      <c r="B17269" s="24" t="s">
        <v>53392</v>
      </c>
      <c r="C17269" s="24" t="s">
        <v>53393</v>
      </c>
      <c r="D17269" s="25" t="s">
        <v>53394</v>
      </c>
      <c r="E17269" s="26"/>
      <c r="F17269" s="27">
        <f ca="1">ROUND(2.490*(1+G2/100),2)</f>
        <v>0</v>
      </c>
      <c r="G17269" s="26"/>
    </row>
    <row r="17270" spans="1:7" ht="67.56" thickBot="1" customHeight="1">
      <c r="A17270" s="26"/>
      <c r="B17270" s="26"/>
      <c r="C17270" s="26"/>
      <c r="D17270" s="25" t="s">
        <v>53395</v>
      </c>
      <c r="E17270" s="25"/>
      <c r="F17270" s="25"/>
      <c r="G17270" s="25"/>
    </row>
    <row r="17271" spans="1:7" ht="30.60" thickBot="1" customHeight="1">
      <c r="A17271" s="10" t="s">
        <v>53396</v>
      </c>
      <c r="B17271" s="24" t="s">
        <v>53397</v>
      </c>
      <c r="C17271" s="24" t="s">
        <v>53398</v>
      </c>
      <c r="D17271" s="25" t="s">
        <v>53399</v>
      </c>
      <c r="E17271" s="26"/>
      <c r="F17271" s="27">
        <f ca="1">ROUND(2.290*(1+G2/100),2)</f>
        <v>0</v>
      </c>
      <c r="G17271" s="26"/>
    </row>
    <row r="17272" spans="1:7" ht="58.32" thickBot="1" customHeight="1">
      <c r="A17272" s="26"/>
      <c r="B17272" s="26"/>
      <c r="C17272" s="26"/>
      <c r="D17272" s="25" t="s">
        <v>53400</v>
      </c>
      <c r="E17272" s="25"/>
      <c r="F17272" s="25"/>
      <c r="G17272" s="25"/>
    </row>
    <row r="17273" spans="1:7" ht="30.60" thickBot="1" customHeight="1">
      <c r="A17273" s="10" t="s">
        <v>53401</v>
      </c>
      <c r="B17273" s="24" t="s">
        <v>53402</v>
      </c>
      <c r="C17273" s="24" t="s">
        <v>53403</v>
      </c>
      <c r="D17273" s="25" t="s">
        <v>53404</v>
      </c>
      <c r="E17273" s="26"/>
      <c r="F17273" s="27">
        <f ca="1">ROUND(2.910*(1+G2/100),2)</f>
        <v>0</v>
      </c>
      <c r="G17273" s="26"/>
    </row>
    <row r="17274" spans="1:7" ht="49.08" thickBot="1" customHeight="1">
      <c r="A17274" s="26"/>
      <c r="B17274" s="26"/>
      <c r="C17274" s="26"/>
      <c r="D17274" s="25" t="s">
        <v>53405</v>
      </c>
      <c r="E17274" s="25"/>
      <c r="F17274" s="25"/>
      <c r="G17274" s="25"/>
    </row>
    <row r="17275" spans="1:7" ht="30.60" thickBot="1" customHeight="1">
      <c r="A17275" s="10" t="s">
        <v>53406</v>
      </c>
      <c r="B17275" s="24" t="s">
        <v>53407</v>
      </c>
      <c r="C17275" s="24" t="s">
        <v>53408</v>
      </c>
      <c r="D17275" s="25" t="s">
        <v>53409</v>
      </c>
      <c r="E17275" s="26"/>
      <c r="F17275" s="27">
        <f ca="1">ROUND(2.370*(1+G2/100),2)</f>
        <v>0</v>
      </c>
      <c r="G17275" s="26"/>
    </row>
    <row r="17276" spans="1:7" ht="30.60" thickBot="1" customHeight="1">
      <c r="A17276" s="26"/>
      <c r="B17276" s="26"/>
      <c r="C17276" s="26"/>
      <c r="D17276" s="25" t="s">
        <v>53410</v>
      </c>
      <c r="E17276" s="25"/>
      <c r="F17276" s="25"/>
      <c r="G17276" s="25"/>
    </row>
    <row r="17277" spans="1:7" ht="30.60" thickBot="1" customHeight="1">
      <c r="A17277" s="10" t="s">
        <v>53411</v>
      </c>
      <c r="B17277" s="24" t="s">
        <v>53412</v>
      </c>
      <c r="C17277" s="24" t="s">
        <v>53413</v>
      </c>
      <c r="D17277" s="25" t="s">
        <v>53414</v>
      </c>
      <c r="E17277" s="26"/>
      <c r="F17277" s="27">
        <f ca="1">ROUND(2.100*(1+G2/100),2)</f>
        <v>0</v>
      </c>
      <c r="G17277" s="26"/>
    </row>
    <row r="17278" spans="1:7" ht="39.84" thickBot="1" customHeight="1">
      <c r="A17278" s="26"/>
      <c r="B17278" s="26"/>
      <c r="C17278" s="26"/>
      <c r="D17278" s="25" t="s">
        <v>53415</v>
      </c>
      <c r="E17278" s="25"/>
      <c r="F17278" s="25"/>
      <c r="G17278" s="25"/>
    </row>
    <row r="17279" spans="1:7" ht="30.60" thickBot="1" customHeight="1">
      <c r="A17279" s="10" t="s">
        <v>53416</v>
      </c>
      <c r="B17279" s="24" t="s">
        <v>53417</v>
      </c>
      <c r="C17279" s="24" t="s">
        <v>53418</v>
      </c>
      <c r="D17279" s="25" t="s">
        <v>53419</v>
      </c>
      <c r="E17279" s="26"/>
      <c r="F17279" s="27">
        <f ca="1">ROUND(4.140*(1+G2/100),2)</f>
        <v>0</v>
      </c>
      <c r="G17279" s="26"/>
    </row>
    <row r="17280" spans="1:7" ht="58.32" thickBot="1" customHeight="1">
      <c r="A17280" s="26"/>
      <c r="B17280" s="26"/>
      <c r="C17280" s="26"/>
      <c r="D17280" s="25" t="s">
        <v>53420</v>
      </c>
      <c r="E17280" s="25"/>
      <c r="F17280" s="25"/>
      <c r="G17280" s="25"/>
    </row>
    <row r="17281" spans="1:7" ht="30.60" thickBot="1" customHeight="1">
      <c r="A17281" s="10" t="s">
        <v>53421</v>
      </c>
      <c r="B17281" s="24" t="s">
        <v>53422</v>
      </c>
      <c r="C17281" s="24" t="s">
        <v>53423</v>
      </c>
      <c r="D17281" s="25" t="s">
        <v>53424</v>
      </c>
      <c r="E17281" s="26"/>
      <c r="F17281" s="27">
        <f ca="1">ROUND(17.490*(1+G2/100),2)</f>
        <v>0</v>
      </c>
      <c r="G17281" s="26"/>
    </row>
    <row r="17282" spans="1:7" ht="21.36" thickBot="1" customHeight="1">
      <c r="A17282" s="26"/>
      <c r="B17282" s="26"/>
      <c r="C17282" s="26"/>
      <c r="D17282" s="25" t="s">
        <v>53425</v>
      </c>
      <c r="E17282" s="25"/>
      <c r="F17282" s="25"/>
      <c r="G17282" s="25"/>
    </row>
    <row r="17283" spans="1:7" ht="30.60" thickBot="1" customHeight="1">
      <c r="A17283" s="10" t="s">
        <v>53426</v>
      </c>
      <c r="B17283" s="24" t="s">
        <v>53427</v>
      </c>
      <c r="C17283" s="24" t="s">
        <v>53428</v>
      </c>
      <c r="D17283" s="25" t="s">
        <v>53429</v>
      </c>
      <c r="E17283" s="26"/>
      <c r="F17283" s="27">
        <f ca="1">ROUND(23.500*(1+G2/100),2)</f>
        <v>0</v>
      </c>
      <c r="G17283" s="26"/>
    </row>
    <row r="17284" spans="1:7" ht="21.36" thickBot="1" customHeight="1">
      <c r="A17284" s="26"/>
      <c r="B17284" s="26"/>
      <c r="C17284" s="26"/>
      <c r="D17284" s="25" t="s">
        <v>53430</v>
      </c>
      <c r="E17284" s="25"/>
      <c r="F17284" s="25"/>
      <c r="G17284" s="25"/>
    </row>
    <row r="17285" spans="1:7" ht="30.60" thickBot="1" customHeight="1">
      <c r="A17285" s="10" t="s">
        <v>53431</v>
      </c>
      <c r="B17285" s="24" t="s">
        <v>53432</v>
      </c>
      <c r="C17285" s="24" t="s">
        <v>53433</v>
      </c>
      <c r="D17285" s="25" t="s">
        <v>53434</v>
      </c>
      <c r="E17285" s="26"/>
      <c r="F17285" s="27">
        <f ca="1">ROUND(45.000*(1+G2/100),2)</f>
        <v>0</v>
      </c>
      <c r="G17285" s="26"/>
    </row>
    <row r="17286" spans="1:7" ht="21.36" thickBot="1" customHeight="1">
      <c r="A17286" s="26"/>
      <c r="B17286" s="26"/>
      <c r="C17286" s="26"/>
      <c r="D17286" s="25" t="s">
        <v>53435</v>
      </c>
      <c r="E17286" s="25"/>
      <c r="F17286" s="25"/>
      <c r="G17286" s="25"/>
    </row>
    <row r="17287" spans="1:7" ht="30.60" thickBot="1" customHeight="1">
      <c r="A17287" s="10" t="s">
        <v>53436</v>
      </c>
      <c r="B17287" s="24" t="s">
        <v>53437</v>
      </c>
      <c r="C17287" s="24" t="s">
        <v>53438</v>
      </c>
      <c r="D17287" s="25" t="s">
        <v>53439</v>
      </c>
      <c r="E17287" s="26"/>
      <c r="F17287" s="27">
        <f ca="1">ROUND(55.000*(1+G2/100),2)</f>
        <v>0</v>
      </c>
      <c r="G17287" s="26"/>
    </row>
    <row r="17288" spans="1:7" ht="21.36" thickBot="1" customHeight="1">
      <c r="A17288" s="26"/>
      <c r="B17288" s="26"/>
      <c r="C17288" s="26"/>
      <c r="D17288" s="25" t="s">
        <v>53440</v>
      </c>
      <c r="E17288" s="25"/>
      <c r="F17288" s="25"/>
      <c r="G17288" s="25"/>
    </row>
    <row r="17289" spans="1:7" ht="30.60" thickBot="1" customHeight="1">
      <c r="A17289" s="10" t="s">
        <v>53441</v>
      </c>
      <c r="B17289" s="24" t="s">
        <v>53442</v>
      </c>
      <c r="C17289" s="24" t="s">
        <v>53443</v>
      </c>
      <c r="D17289" s="25" t="s">
        <v>53444</v>
      </c>
      <c r="E17289" s="26"/>
      <c r="F17289" s="27">
        <f ca="1">ROUND(1.320*(1+G2/100),2)</f>
        <v>0</v>
      </c>
      <c r="G17289" s="26"/>
    </row>
    <row r="17290" spans="1:7" ht="39.84" thickBot="1" customHeight="1">
      <c r="A17290" s="26"/>
      <c r="B17290" s="26"/>
      <c r="C17290" s="26"/>
      <c r="D17290" s="25" t="s">
        <v>53445</v>
      </c>
      <c r="E17290" s="25"/>
      <c r="F17290" s="25"/>
      <c r="G17290" s="25"/>
    </row>
    <row r="17291" spans="1:7" ht="30.60" thickBot="1" customHeight="1">
      <c r="A17291" s="10" t="s">
        <v>53446</v>
      </c>
      <c r="B17291" s="24" t="s">
        <v>53447</v>
      </c>
      <c r="C17291" s="24" t="s">
        <v>53448</v>
      </c>
      <c r="D17291" s="25" t="s">
        <v>53449</v>
      </c>
      <c r="E17291" s="26"/>
      <c r="F17291" s="27">
        <f ca="1">ROUND(2.370*(1+G2/100),2)</f>
        <v>0</v>
      </c>
      <c r="G17291" s="26"/>
    </row>
    <row r="17292" spans="1:7" ht="49.08" thickBot="1" customHeight="1">
      <c r="A17292" s="26"/>
      <c r="B17292" s="26"/>
      <c r="C17292" s="26"/>
      <c r="D17292" s="25" t="s">
        <v>53450</v>
      </c>
      <c r="E17292" s="25"/>
      <c r="F17292" s="25"/>
      <c r="G17292" s="25"/>
    </row>
    <row r="17293" spans="1:7" ht="30.60" thickBot="1" customHeight="1">
      <c r="A17293" s="10" t="s">
        <v>53451</v>
      </c>
      <c r="B17293" s="24" t="s">
        <v>53452</v>
      </c>
      <c r="C17293" s="24" t="s">
        <v>53453</v>
      </c>
      <c r="D17293" s="25" t="s">
        <v>53454</v>
      </c>
      <c r="E17293" s="26"/>
      <c r="F17293" s="27">
        <f ca="1">ROUND(1.980*(1+G2/100),2)</f>
        <v>0</v>
      </c>
      <c r="G17293" s="26"/>
    </row>
    <row r="17294" spans="1:7" ht="39.84" thickBot="1" customHeight="1">
      <c r="A17294" s="26"/>
      <c r="B17294" s="26"/>
      <c r="C17294" s="26"/>
      <c r="D17294" s="25" t="s">
        <v>53455</v>
      </c>
      <c r="E17294" s="25"/>
      <c r="F17294" s="25"/>
      <c r="G17294" s="25"/>
    </row>
    <row r="17295" spans="1:7" ht="21.36" thickBot="1" customHeight="1">
      <c r="A17295" s="10" t="s">
        <v>53456</v>
      </c>
      <c r="B17295" s="24" t="s">
        <v>53457</v>
      </c>
      <c r="C17295" s="24" t="s">
        <v>53458</v>
      </c>
      <c r="D17295" s="25" t="s">
        <v>53459</v>
      </c>
      <c r="E17295" s="26"/>
      <c r="F17295" s="27">
        <f ca="1">ROUND(13.750*(1+G2/100),2)</f>
        <v>0</v>
      </c>
      <c r="G17295" s="26"/>
    </row>
    <row r="17296" spans="1:7" ht="76.80" thickBot="1" customHeight="1">
      <c r="A17296" s="26"/>
      <c r="B17296" s="26"/>
      <c r="C17296" s="26"/>
      <c r="D17296" s="25" t="s">
        <v>53460</v>
      </c>
      <c r="E17296" s="25"/>
      <c r="F17296" s="25"/>
      <c r="G17296" s="25"/>
    </row>
    <row r="17297" spans="1:7" ht="21.36" thickBot="1" customHeight="1">
      <c r="A17297" s="10" t="s">
        <v>53461</v>
      </c>
      <c r="B17297" s="24" t="s">
        <v>53462</v>
      </c>
      <c r="C17297" s="24" t="s">
        <v>53463</v>
      </c>
      <c r="D17297" s="25" t="s">
        <v>53464</v>
      </c>
      <c r="E17297" s="26"/>
      <c r="F17297" s="27">
        <f ca="1">ROUND(14.870*(1+G2/100),2)</f>
        <v>0</v>
      </c>
      <c r="G17297" s="26"/>
    </row>
    <row r="17298" spans="1:7" ht="76.80" thickBot="1" customHeight="1">
      <c r="A17298" s="26"/>
      <c r="B17298" s="26"/>
      <c r="C17298" s="26"/>
      <c r="D17298" s="25" t="s">
        <v>53465</v>
      </c>
      <c r="E17298" s="25"/>
      <c r="F17298" s="25"/>
      <c r="G17298" s="25"/>
    </row>
    <row r="17299" spans="1:7" ht="21.36" thickBot="1" customHeight="1">
      <c r="A17299" s="10" t="s">
        <v>53466</v>
      </c>
      <c r="B17299" s="24" t="s">
        <v>53467</v>
      </c>
      <c r="C17299" s="24" t="s">
        <v>53468</v>
      </c>
      <c r="D17299" s="25" t="s">
        <v>53469</v>
      </c>
      <c r="E17299" s="26"/>
      <c r="F17299" s="27">
        <f ca="1">ROUND(8.350*(1+G2/100),2)</f>
        <v>0</v>
      </c>
      <c r="G17299" s="26"/>
    </row>
    <row r="17300" spans="1:7" ht="39.84" thickBot="1" customHeight="1">
      <c r="A17300" s="26"/>
      <c r="B17300" s="26"/>
      <c r="C17300" s="26"/>
      <c r="D17300" s="25" t="s">
        <v>53470</v>
      </c>
      <c r="E17300" s="25"/>
      <c r="F17300" s="25"/>
      <c r="G17300" s="25"/>
    </row>
    <row r="17301" spans="1:7" ht="39.84" thickBot="1" customHeight="1">
      <c r="A17301" s="10" t="s">
        <v>53471</v>
      </c>
      <c r="B17301" s="24" t="s">
        <v>53472</v>
      </c>
      <c r="C17301" s="24" t="s">
        <v>53473</v>
      </c>
      <c r="D17301" s="25" t="s">
        <v>53474</v>
      </c>
      <c r="E17301" s="26"/>
      <c r="F17301" s="27">
        <f ca="1">ROUND(5.550*(1+G2/100),2)</f>
        <v>0</v>
      </c>
      <c r="G17301" s="26"/>
    </row>
    <row r="17302" spans="1:7" ht="30.60" thickBot="1" customHeight="1">
      <c r="A17302" s="26"/>
      <c r="B17302" s="26"/>
      <c r="C17302" s="26"/>
      <c r="D17302" s="25" t="s">
        <v>53475</v>
      </c>
      <c r="E17302" s="25"/>
      <c r="F17302" s="25"/>
      <c r="G17302" s="25"/>
    </row>
    <row r="17303" spans="1:7" ht="15.48" thickBot="1" customHeight="1">
      <c r="A17303" s="30"/>
      <c r="B17303" s="30"/>
      <c r="C17303" s="30"/>
      <c r="D17303" s="79" t="s">
        <v>53476</v>
      </c>
      <c r="E17303" s="80"/>
      <c r="F17303" s="80"/>
      <c r="G17303" s="80"/>
    </row>
    <row r="17304" spans="1:7" ht="50.88" thickBot="1" customHeight="1">
      <c r="A17304" s="52" t="s">
        <v>53477</v>
      </c>
      <c r="B17304" s="52" t="s">
        <v>53478</v>
      </c>
      <c r="C17304" s="53"/>
      <c r="D17304" s="54" t="s">
        <v>53479</v>
      </c>
      <c r="E17304" s="53"/>
      <c r="F17304" s="81">
        <v>0.00</v>
      </c>
      <c r="G17304" s="53"/>
    </row>
    <row r="17305" spans="1:7" ht="15.48" thickBot="1" customHeight="1">
      <c r="A17305" s="30"/>
      <c r="B17305" s="30"/>
      <c r="C17305" s="30"/>
      <c r="D17305" s="79" t="s">
        <v>53480</v>
      </c>
      <c r="E17305" s="80"/>
      <c r="F17305" s="80"/>
      <c r="G17305" s="80"/>
    </row>
    <row r="17306" spans="1:7" ht="25.08" thickBot="1" customHeight="1">
      <c r="A17306" s="52" t="s">
        <v>53481</v>
      </c>
      <c r="B17306" s="52" t="s">
        <v>53482</v>
      </c>
      <c r="C17306" s="53"/>
      <c r="D17306" s="54" t="s">
        <v>53483</v>
      </c>
      <c r="E17306" s="53"/>
      <c r="F17306" s="53"/>
      <c r="G17306" s="53"/>
    </row>
    <row r="17307" spans="1:7" ht="25.08" thickBot="1" customHeight="1">
      <c r="A17307" s="21" t="s">
        <v>53484</v>
      </c>
      <c r="B17307" s="21" t="s">
        <v>53485</v>
      </c>
      <c r="C17307" s="22"/>
      <c r="D17307" s="23" t="s">
        <v>53486</v>
      </c>
      <c r="E17307" s="22"/>
      <c r="F17307" s="22"/>
      <c r="G17307" s="22"/>
    </row>
    <row r="17308" spans="1:7" ht="30.60" thickBot="1" customHeight="1">
      <c r="A17308" s="10" t="s">
        <v>53487</v>
      </c>
      <c r="B17308" s="24" t="s">
        <v>53488</v>
      </c>
      <c r="C17308" s="24" t="s">
        <v>53489</v>
      </c>
      <c r="D17308" s="25" t="s">
        <v>53490</v>
      </c>
      <c r="E17308" s="26"/>
      <c r="F17308" s="27">
        <f ca="1">ROUND(110.660*(1+G2/100),2)</f>
        <v>0</v>
      </c>
      <c r="G17308" s="26"/>
    </row>
    <row r="17309" spans="1:7" ht="86.04" thickBot="1" customHeight="1">
      <c r="A17309" s="26"/>
      <c r="B17309" s="26"/>
      <c r="C17309" s="26"/>
      <c r="D17309" s="25" t="s">
        <v>53491</v>
      </c>
      <c r="E17309" s="25"/>
      <c r="F17309" s="25"/>
      <c r="G17309" s="25"/>
    </row>
    <row r="17310" spans="1:7" ht="30.60" thickBot="1" customHeight="1">
      <c r="A17310" s="10" t="s">
        <v>53492</v>
      </c>
      <c r="B17310" s="24" t="s">
        <v>53493</v>
      </c>
      <c r="C17310" s="24" t="s">
        <v>53494</v>
      </c>
      <c r="D17310" s="25" t="s">
        <v>53495</v>
      </c>
      <c r="E17310" s="26"/>
      <c r="F17310" s="27">
        <f ca="1">ROUND(12.390*(1+G2/100),2)</f>
        <v>0</v>
      </c>
      <c r="G17310" s="26"/>
    </row>
    <row r="17311" spans="1:7" ht="21.36" thickBot="1" customHeight="1">
      <c r="A17311" s="26"/>
      <c r="B17311" s="26"/>
      <c r="C17311" s="26"/>
      <c r="D17311" s="25" t="s">
        <v>53496</v>
      </c>
      <c r="E17311" s="25"/>
      <c r="F17311" s="25"/>
      <c r="G17311" s="25"/>
    </row>
    <row r="17312" spans="1:7" ht="39.84" thickBot="1" customHeight="1">
      <c r="A17312" s="10" t="s">
        <v>53497</v>
      </c>
      <c r="B17312" s="24" t="s">
        <v>53498</v>
      </c>
      <c r="C17312" s="24" t="s">
        <v>53499</v>
      </c>
      <c r="D17312" s="25" t="s">
        <v>53500</v>
      </c>
      <c r="E17312" s="26"/>
      <c r="F17312" s="27">
        <f ca="1">ROUND(6.990*(1+G2/100),2)</f>
        <v>0</v>
      </c>
      <c r="G17312" s="26"/>
    </row>
    <row r="17313" spans="1:7" ht="30.60" thickBot="1" customHeight="1">
      <c r="A17313" s="26"/>
      <c r="B17313" s="26"/>
      <c r="C17313" s="26"/>
      <c r="D17313" s="25" t="s">
        <v>53501</v>
      </c>
      <c r="E17313" s="25"/>
      <c r="F17313" s="25"/>
      <c r="G17313" s="25"/>
    </row>
    <row r="17314" spans="1:7" ht="30.60" thickBot="1" customHeight="1">
      <c r="A17314" s="10" t="s">
        <v>53502</v>
      </c>
      <c r="B17314" s="24" t="s">
        <v>53503</v>
      </c>
      <c r="C17314" s="24" t="s">
        <v>53504</v>
      </c>
      <c r="D17314" s="25" t="s">
        <v>53505</v>
      </c>
      <c r="E17314" s="26"/>
      <c r="F17314" s="27">
        <f ca="1">ROUND(73.890*(1+G2/100),2)</f>
        <v>0</v>
      </c>
      <c r="G17314" s="26"/>
    </row>
    <row r="17315" spans="1:7" ht="49.08" thickBot="1" customHeight="1">
      <c r="A17315" s="26"/>
      <c r="B17315" s="26"/>
      <c r="C17315" s="26"/>
      <c r="D17315" s="25" t="s">
        <v>53506</v>
      </c>
      <c r="E17315" s="25"/>
      <c r="F17315" s="25"/>
      <c r="G17315" s="25"/>
    </row>
    <row r="17316" spans="1:7" ht="30.60" thickBot="1" customHeight="1">
      <c r="A17316" s="10" t="s">
        <v>53507</v>
      </c>
      <c r="B17316" s="24" t="s">
        <v>53508</v>
      </c>
      <c r="C17316" s="24" t="s">
        <v>53509</v>
      </c>
      <c r="D17316" s="25" t="s">
        <v>53510</v>
      </c>
      <c r="E17316" s="26"/>
      <c r="F17316" s="27">
        <f ca="1">ROUND(9.040*(1+G2/100),2)</f>
        <v>0</v>
      </c>
      <c r="G17316" s="26"/>
    </row>
    <row r="17317" spans="1:7" ht="67.56" thickBot="1" customHeight="1">
      <c r="A17317" s="26"/>
      <c r="B17317" s="26"/>
      <c r="C17317" s="26"/>
      <c r="D17317" s="25" t="s">
        <v>53511</v>
      </c>
      <c r="E17317" s="25"/>
      <c r="F17317" s="25"/>
      <c r="G17317" s="25"/>
    </row>
    <row r="17318" spans="1:7" ht="39.84" thickBot="1" customHeight="1">
      <c r="A17318" s="10" t="s">
        <v>53512</v>
      </c>
      <c r="B17318" s="24" t="s">
        <v>53513</v>
      </c>
      <c r="C17318" s="24" t="s">
        <v>53514</v>
      </c>
      <c r="D17318" s="25" t="s">
        <v>53515</v>
      </c>
      <c r="E17318" s="26"/>
      <c r="F17318" s="27">
        <f ca="1">ROUND(23.990*(1+G2/100),2)</f>
        <v>0</v>
      </c>
      <c r="G17318" s="26"/>
    </row>
    <row r="17319" spans="1:7" ht="49.08" thickBot="1" customHeight="1">
      <c r="A17319" s="26"/>
      <c r="B17319" s="26"/>
      <c r="C17319" s="26"/>
      <c r="D17319" s="25" t="s">
        <v>53516</v>
      </c>
      <c r="E17319" s="25"/>
      <c r="F17319" s="25"/>
      <c r="G17319" s="25"/>
    </row>
    <row r="17320" spans="1:7" ht="30.60" thickBot="1" customHeight="1">
      <c r="A17320" s="10" t="s">
        <v>53517</v>
      </c>
      <c r="B17320" s="24" t="s">
        <v>53518</v>
      </c>
      <c r="C17320" s="24" t="s">
        <v>53519</v>
      </c>
      <c r="D17320" s="25" t="s">
        <v>53520</v>
      </c>
      <c r="E17320" s="26"/>
      <c r="F17320" s="27">
        <f ca="1">ROUND(43.890*(1+G2/100),2)</f>
        <v>0</v>
      </c>
      <c r="G17320" s="26"/>
    </row>
    <row r="17321" spans="1:7" ht="49.08" thickBot="1" customHeight="1">
      <c r="A17321" s="26"/>
      <c r="B17321" s="26"/>
      <c r="C17321" s="26"/>
      <c r="D17321" s="25" t="s">
        <v>53521</v>
      </c>
      <c r="E17321" s="25"/>
      <c r="F17321" s="25"/>
      <c r="G17321" s="25"/>
    </row>
    <row r="17322" spans="1:7" ht="30.60" thickBot="1" customHeight="1">
      <c r="A17322" s="10" t="s">
        <v>53522</v>
      </c>
      <c r="B17322" s="24" t="s">
        <v>53523</v>
      </c>
      <c r="C17322" s="24" t="s">
        <v>53524</v>
      </c>
      <c r="D17322" s="25" t="s">
        <v>53525</v>
      </c>
      <c r="E17322" s="26"/>
      <c r="F17322" s="27">
        <f ca="1">ROUND(62.730*(1+G2/100),2)</f>
        <v>0</v>
      </c>
      <c r="G17322" s="26"/>
    </row>
    <row r="17323" spans="1:7" ht="39.84" thickBot="1" customHeight="1">
      <c r="A17323" s="26"/>
      <c r="B17323" s="26"/>
      <c r="C17323" s="26"/>
      <c r="D17323" s="25" t="s">
        <v>53526</v>
      </c>
      <c r="E17323" s="25"/>
      <c r="F17323" s="25"/>
      <c r="G17323" s="25"/>
    </row>
    <row r="17324" spans="1:7" ht="15.48" thickBot="1" customHeight="1">
      <c r="A17324" s="30"/>
      <c r="B17324" s="30"/>
      <c r="C17324" s="30"/>
      <c r="D17324" s="61" t="s">
        <v>53527</v>
      </c>
      <c r="E17324" s="62"/>
      <c r="F17324" s="62"/>
      <c r="G17324" s="62"/>
    </row>
    <row r="17325" spans="1:7" ht="25.08" thickBot="1" customHeight="1">
      <c r="A17325" s="42" t="s">
        <v>53528</v>
      </c>
      <c r="B17325" s="42" t="s">
        <v>53529</v>
      </c>
      <c r="C17325" s="43"/>
      <c r="D17325" s="44" t="s">
        <v>53530</v>
      </c>
      <c r="E17325" s="43"/>
      <c r="F17325" s="43"/>
      <c r="G17325" s="43"/>
    </row>
    <row r="17326" spans="1:7" ht="39.84" thickBot="1" customHeight="1">
      <c r="A17326" s="10" t="s">
        <v>53531</v>
      </c>
      <c r="B17326" s="24" t="s">
        <v>53532</v>
      </c>
      <c r="C17326" s="24" t="s">
        <v>53533</v>
      </c>
      <c r="D17326" s="25" t="s">
        <v>53534</v>
      </c>
      <c r="E17326" s="26"/>
      <c r="F17326" s="27">
        <f ca="1">ROUND(64.060*(1+G2/100),2)</f>
        <v>0</v>
      </c>
      <c r="G17326" s="26"/>
    </row>
    <row r="17327" spans="1:7" ht="39.84" thickBot="1" customHeight="1">
      <c r="A17327" s="26"/>
      <c r="B17327" s="26"/>
      <c r="C17327" s="26"/>
      <c r="D17327" s="25" t="s">
        <v>53535</v>
      </c>
      <c r="E17327" s="25"/>
      <c r="F17327" s="25"/>
      <c r="G17327" s="25"/>
    </row>
    <row r="17328" spans="1:7" ht="49.08" thickBot="1" customHeight="1">
      <c r="A17328" s="10" t="s">
        <v>53536</v>
      </c>
      <c r="B17328" s="24" t="s">
        <v>53537</v>
      </c>
      <c r="C17328" s="24" t="s">
        <v>53538</v>
      </c>
      <c r="D17328" s="25" t="s">
        <v>53539</v>
      </c>
      <c r="E17328" s="26"/>
      <c r="F17328" s="27">
        <f ca="1">ROUND(8.930*(1+G2/100),2)</f>
        <v>0</v>
      </c>
      <c r="G17328" s="26"/>
    </row>
    <row r="17329" spans="1:7" ht="104.52" thickBot="1" customHeight="1">
      <c r="A17329" s="26"/>
      <c r="B17329" s="26"/>
      <c r="C17329" s="26"/>
      <c r="D17329" s="25" t="s">
        <v>53540</v>
      </c>
      <c r="E17329" s="25"/>
      <c r="F17329" s="25"/>
      <c r="G17329" s="25"/>
    </row>
    <row r="17330" spans="1:7" ht="30.60" thickBot="1" customHeight="1">
      <c r="A17330" s="10" t="s">
        <v>53541</v>
      </c>
      <c r="B17330" s="24" t="s">
        <v>53542</v>
      </c>
      <c r="C17330" s="24" t="s">
        <v>53543</v>
      </c>
      <c r="D17330" s="25" t="s">
        <v>53544</v>
      </c>
      <c r="E17330" s="26"/>
      <c r="F17330" s="27">
        <f ca="1">ROUND(6.320*(1+G2/100),2)</f>
        <v>0</v>
      </c>
      <c r="G17330" s="26"/>
    </row>
    <row r="17331" spans="1:7" ht="123.00" thickBot="1" customHeight="1">
      <c r="A17331" s="26"/>
      <c r="B17331" s="26"/>
      <c r="C17331" s="26"/>
      <c r="D17331" s="25" t="s">
        <v>53545</v>
      </c>
      <c r="E17331" s="25"/>
      <c r="F17331" s="25"/>
      <c r="G17331" s="25"/>
    </row>
    <row r="17332" spans="1:7" ht="30.60" thickBot="1" customHeight="1">
      <c r="A17332" s="10" t="s">
        <v>53546</v>
      </c>
      <c r="B17332" s="24" t="s">
        <v>53547</v>
      </c>
      <c r="C17332" s="24" t="s">
        <v>53548</v>
      </c>
      <c r="D17332" s="25" t="s">
        <v>53549</v>
      </c>
      <c r="E17332" s="26"/>
      <c r="F17332" s="27">
        <f ca="1">ROUND(6.320*(1+G2/100),2)</f>
        <v>0</v>
      </c>
      <c r="G17332" s="26"/>
    </row>
    <row r="17333" spans="1:7" ht="104.52" thickBot="1" customHeight="1">
      <c r="A17333" s="26"/>
      <c r="B17333" s="26"/>
      <c r="C17333" s="26"/>
      <c r="D17333" s="25" t="s">
        <v>53550</v>
      </c>
      <c r="E17333" s="25"/>
      <c r="F17333" s="25"/>
      <c r="G17333" s="25"/>
    </row>
    <row r="17334" spans="1:7" ht="39.84" thickBot="1" customHeight="1">
      <c r="A17334" s="10" t="s">
        <v>53551</v>
      </c>
      <c r="B17334" s="24" t="s">
        <v>53552</v>
      </c>
      <c r="C17334" s="24" t="s">
        <v>53553</v>
      </c>
      <c r="D17334" s="25" t="s">
        <v>53554</v>
      </c>
      <c r="E17334" s="26"/>
      <c r="F17334" s="27">
        <f ca="1">ROUND(89.900*(1+G2/100),2)</f>
        <v>0</v>
      </c>
      <c r="G17334" s="26"/>
    </row>
    <row r="17335" spans="1:7" ht="95.28" thickBot="1" customHeight="1">
      <c r="A17335" s="26"/>
      <c r="B17335" s="26"/>
      <c r="C17335" s="26"/>
      <c r="D17335" s="25" t="s">
        <v>53555</v>
      </c>
      <c r="E17335" s="25"/>
      <c r="F17335" s="25"/>
      <c r="G17335" s="25"/>
    </row>
    <row r="17336" spans="1:7" ht="30.60" thickBot="1" customHeight="1">
      <c r="A17336" s="10" t="s">
        <v>53556</v>
      </c>
      <c r="B17336" s="24" t="s">
        <v>53557</v>
      </c>
      <c r="C17336" s="24" t="s">
        <v>53558</v>
      </c>
      <c r="D17336" s="25" t="s">
        <v>53559</v>
      </c>
      <c r="E17336" s="26"/>
      <c r="F17336" s="27">
        <f ca="1">ROUND(4.400*(1+G2/100),2)</f>
        <v>0</v>
      </c>
      <c r="G17336" s="26"/>
    </row>
    <row r="17337" spans="1:7" ht="67.56" thickBot="1" customHeight="1">
      <c r="A17337" s="26"/>
      <c r="B17337" s="26"/>
      <c r="C17337" s="26"/>
      <c r="D17337" s="25" t="s">
        <v>53560</v>
      </c>
      <c r="E17337" s="25"/>
      <c r="F17337" s="25"/>
      <c r="G17337" s="25"/>
    </row>
    <row r="17338" spans="1:7" ht="39.84" thickBot="1" customHeight="1">
      <c r="A17338" s="10" t="s">
        <v>53561</v>
      </c>
      <c r="B17338" s="24" t="s">
        <v>53562</v>
      </c>
      <c r="C17338" s="24" t="s">
        <v>53563</v>
      </c>
      <c r="D17338" s="25" t="s">
        <v>53564</v>
      </c>
      <c r="E17338" s="26"/>
      <c r="F17338" s="27">
        <f ca="1">ROUND(4.650*(1+G2/100),2)</f>
        <v>0</v>
      </c>
      <c r="G17338" s="26"/>
    </row>
    <row r="17339" spans="1:7" ht="67.56" thickBot="1" customHeight="1">
      <c r="A17339" s="26"/>
      <c r="B17339" s="26"/>
      <c r="C17339" s="26"/>
      <c r="D17339" s="25" t="s">
        <v>53565</v>
      </c>
      <c r="E17339" s="25"/>
      <c r="F17339" s="25"/>
      <c r="G17339" s="25"/>
    </row>
    <row r="17340" spans="1:7" ht="30.60" thickBot="1" customHeight="1">
      <c r="A17340" s="10" t="s">
        <v>53566</v>
      </c>
      <c r="B17340" s="24" t="s">
        <v>53567</v>
      </c>
      <c r="C17340" s="24" t="s">
        <v>53568</v>
      </c>
      <c r="D17340" s="25" t="s">
        <v>53569</v>
      </c>
      <c r="E17340" s="26"/>
      <c r="F17340" s="27">
        <f ca="1">ROUND(3.700*(1+G2/100),2)</f>
        <v>0</v>
      </c>
      <c r="G17340" s="26"/>
    </row>
    <row r="17341" spans="1:7" ht="123.00" thickBot="1" customHeight="1">
      <c r="A17341" s="26"/>
      <c r="B17341" s="26"/>
      <c r="C17341" s="26"/>
      <c r="D17341" s="25" t="s">
        <v>53570</v>
      </c>
      <c r="E17341" s="25"/>
      <c r="F17341" s="25"/>
      <c r="G17341" s="25"/>
    </row>
    <row r="17342" spans="1:7" ht="30.60" thickBot="1" customHeight="1">
      <c r="A17342" s="10" t="s">
        <v>53571</v>
      </c>
      <c r="B17342" s="24" t="s">
        <v>53572</v>
      </c>
      <c r="C17342" s="24" t="s">
        <v>53573</v>
      </c>
      <c r="D17342" s="25" t="s">
        <v>53574</v>
      </c>
      <c r="E17342" s="26"/>
      <c r="F17342" s="27">
        <f ca="1">ROUND(6.190*(1+G2/100),2)</f>
        <v>0</v>
      </c>
      <c r="G17342" s="26"/>
    </row>
    <row r="17343" spans="1:7" ht="123.00" thickBot="1" customHeight="1">
      <c r="A17343" s="26"/>
      <c r="B17343" s="26"/>
      <c r="C17343" s="26"/>
      <c r="D17343" s="25" t="s">
        <v>53575</v>
      </c>
      <c r="E17343" s="25"/>
      <c r="F17343" s="25"/>
      <c r="G17343" s="25"/>
    </row>
    <row r="17344" spans="1:7" ht="30.60" thickBot="1" customHeight="1">
      <c r="A17344" s="10" t="s">
        <v>53576</v>
      </c>
      <c r="B17344" s="24" t="s">
        <v>53577</v>
      </c>
      <c r="C17344" s="24" t="s">
        <v>53578</v>
      </c>
      <c r="D17344" s="25" t="s">
        <v>53579</v>
      </c>
      <c r="E17344" s="26"/>
      <c r="F17344" s="27">
        <f ca="1">ROUND(3.700*(1+G2/100),2)</f>
        <v>0</v>
      </c>
      <c r="G17344" s="26"/>
    </row>
    <row r="17345" spans="1:7" ht="123.00" thickBot="1" customHeight="1">
      <c r="A17345" s="26"/>
      <c r="B17345" s="26"/>
      <c r="C17345" s="26"/>
      <c r="D17345" s="25" t="s">
        <v>53580</v>
      </c>
      <c r="E17345" s="25"/>
      <c r="F17345" s="25"/>
      <c r="G17345" s="25"/>
    </row>
    <row r="17346" spans="1:7" ht="30.60" thickBot="1" customHeight="1">
      <c r="A17346" s="10" t="s">
        <v>53581</v>
      </c>
      <c r="B17346" s="24" t="s">
        <v>53582</v>
      </c>
      <c r="C17346" s="24" t="s">
        <v>53583</v>
      </c>
      <c r="D17346" s="25" t="s">
        <v>53584</v>
      </c>
      <c r="E17346" s="26"/>
      <c r="F17346" s="27">
        <f ca="1">ROUND(3.700*(1+G2/100),2)</f>
        <v>0</v>
      </c>
      <c r="G17346" s="26"/>
    </row>
    <row r="17347" spans="1:7" ht="123.00" thickBot="1" customHeight="1">
      <c r="A17347" s="26"/>
      <c r="B17347" s="26"/>
      <c r="C17347" s="26"/>
      <c r="D17347" s="25" t="s">
        <v>53585</v>
      </c>
      <c r="E17347" s="25"/>
      <c r="F17347" s="25"/>
      <c r="G17347" s="25"/>
    </row>
    <row r="17348" spans="1:7" ht="30.60" thickBot="1" customHeight="1">
      <c r="A17348" s="10" t="s">
        <v>53586</v>
      </c>
      <c r="B17348" s="24" t="s">
        <v>53587</v>
      </c>
      <c r="C17348" s="24" t="s">
        <v>53588</v>
      </c>
      <c r="D17348" s="25" t="s">
        <v>53589</v>
      </c>
      <c r="E17348" s="26"/>
      <c r="F17348" s="27">
        <f ca="1">ROUND(6.190*(1+G2/100),2)</f>
        <v>0</v>
      </c>
      <c r="G17348" s="26"/>
    </row>
    <row r="17349" spans="1:7" ht="123.00" thickBot="1" customHeight="1">
      <c r="A17349" s="26"/>
      <c r="B17349" s="26"/>
      <c r="C17349" s="26"/>
      <c r="D17349" s="25" t="s">
        <v>53590</v>
      </c>
      <c r="E17349" s="25"/>
      <c r="F17349" s="25"/>
      <c r="G17349" s="25"/>
    </row>
    <row r="17350" spans="1:7" ht="30.60" thickBot="1" customHeight="1">
      <c r="A17350" s="10" t="s">
        <v>53591</v>
      </c>
      <c r="B17350" s="24" t="s">
        <v>53592</v>
      </c>
      <c r="C17350" s="24" t="s">
        <v>53593</v>
      </c>
      <c r="D17350" s="25" t="s">
        <v>53594</v>
      </c>
      <c r="E17350" s="26"/>
      <c r="F17350" s="27">
        <f ca="1">ROUND(6.190*(1+G2/100),2)</f>
        <v>0</v>
      </c>
      <c r="G17350" s="26"/>
    </row>
    <row r="17351" spans="1:7" ht="123.00" thickBot="1" customHeight="1">
      <c r="A17351" s="26"/>
      <c r="B17351" s="26"/>
      <c r="C17351" s="26"/>
      <c r="D17351" s="25" t="s">
        <v>53595</v>
      </c>
      <c r="E17351" s="25"/>
      <c r="F17351" s="25"/>
      <c r="G17351" s="25"/>
    </row>
    <row r="17352" spans="1:7" ht="15.48" thickBot="1" customHeight="1">
      <c r="A17352" s="30"/>
      <c r="B17352" s="30"/>
      <c r="C17352" s="30"/>
      <c r="D17352" s="61" t="s">
        <v>53596</v>
      </c>
      <c r="E17352" s="62"/>
      <c r="F17352" s="62"/>
      <c r="G17352" s="62"/>
    </row>
    <row r="17353" spans="1:7" ht="39.84" thickBot="1" customHeight="1">
      <c r="A17353" s="34" t="s">
        <v>53597</v>
      </c>
      <c r="B17353" s="35" t="s">
        <v>53598</v>
      </c>
      <c r="C17353" s="35" t="s">
        <v>53599</v>
      </c>
      <c r="D17353" s="36" t="s">
        <v>53600</v>
      </c>
      <c r="E17353" s="37"/>
      <c r="F17353" s="38">
        <f ca="1">ROUND(34.710*(1+G2/100),2)</f>
        <v>0</v>
      </c>
      <c r="G17353" s="37"/>
    </row>
    <row r="17354" spans="1:7" ht="307.80" thickBot="1" customHeight="1">
      <c r="A17354" s="26"/>
      <c r="B17354" s="26"/>
      <c r="C17354" s="26"/>
      <c r="D17354" s="25" t="s">
        <v>53601</v>
      </c>
      <c r="E17354" s="25"/>
      <c r="F17354" s="25"/>
      <c r="G17354" s="25"/>
    </row>
    <row r="17355" spans="1:7" ht="39.84" thickBot="1" customHeight="1">
      <c r="A17355" s="10" t="s">
        <v>53602</v>
      </c>
      <c r="B17355" s="24" t="s">
        <v>53603</v>
      </c>
      <c r="C17355" s="24" t="s">
        <v>53604</v>
      </c>
      <c r="D17355" s="25" t="s">
        <v>53605</v>
      </c>
      <c r="E17355" s="26"/>
      <c r="F17355" s="27">
        <f ca="1">ROUND(148.760*(1+G2/100),2)</f>
        <v>0</v>
      </c>
      <c r="G17355" s="26"/>
    </row>
    <row r="17356" spans="1:7" ht="307.80" thickBot="1" customHeight="1">
      <c r="A17356" s="26"/>
      <c r="B17356" s="26"/>
      <c r="C17356" s="26"/>
      <c r="D17356" s="25" t="s">
        <v>53606</v>
      </c>
      <c r="E17356" s="25"/>
      <c r="F17356" s="25"/>
      <c r="G17356" s="25"/>
    </row>
    <row r="17357" spans="1:7" ht="30.60" thickBot="1" customHeight="1">
      <c r="A17357" s="10" t="s">
        <v>53607</v>
      </c>
      <c r="B17357" s="24" t="s">
        <v>53608</v>
      </c>
      <c r="C17357" s="24" t="s">
        <v>53609</v>
      </c>
      <c r="D17357" s="25" t="s">
        <v>53610</v>
      </c>
      <c r="E17357" s="26"/>
      <c r="F17357" s="27">
        <f ca="1">ROUND(196.200*(1+G2/100),2)</f>
        <v>0</v>
      </c>
      <c r="G17357" s="26"/>
    </row>
    <row r="17358" spans="1:7" ht="141.48" thickBot="1" customHeight="1">
      <c r="A17358" s="26"/>
      <c r="B17358" s="26"/>
      <c r="C17358" s="26"/>
      <c r="D17358" s="25" t="s">
        <v>53611</v>
      </c>
      <c r="E17358" s="25"/>
      <c r="F17358" s="25"/>
      <c r="G17358" s="25"/>
    </row>
    <row r="17359" spans="1:7" ht="30.60" thickBot="1" customHeight="1">
      <c r="A17359" s="10" t="s">
        <v>53612</v>
      </c>
      <c r="B17359" s="24" t="s">
        <v>53613</v>
      </c>
      <c r="C17359" s="24" t="s">
        <v>53614</v>
      </c>
      <c r="D17359" s="25" t="s">
        <v>53615</v>
      </c>
      <c r="E17359" s="26"/>
      <c r="F17359" s="27">
        <f ca="1">ROUND(5.360*(1+G2/100),2)</f>
        <v>0</v>
      </c>
      <c r="G17359" s="26"/>
    </row>
    <row r="17360" spans="1:7" ht="49.08" thickBot="1" customHeight="1">
      <c r="A17360" s="26"/>
      <c r="B17360" s="26"/>
      <c r="C17360" s="26"/>
      <c r="D17360" s="25" t="s">
        <v>53616</v>
      </c>
      <c r="E17360" s="25"/>
      <c r="F17360" s="25"/>
      <c r="G17360" s="25"/>
    </row>
    <row r="17361" spans="1:7" ht="39.84" thickBot="1" customHeight="1">
      <c r="A17361" s="10" t="s">
        <v>53617</v>
      </c>
      <c r="B17361" s="24" t="s">
        <v>53618</v>
      </c>
      <c r="C17361" s="24" t="s">
        <v>53619</v>
      </c>
      <c r="D17361" s="25" t="s">
        <v>53620</v>
      </c>
      <c r="E17361" s="26"/>
      <c r="F17361" s="27">
        <f ca="1">ROUND(5.700*(1+G2/100),2)</f>
        <v>0</v>
      </c>
      <c r="G17361" s="26"/>
    </row>
    <row r="17362" spans="1:7" ht="39.84" thickBot="1" customHeight="1">
      <c r="A17362" s="26"/>
      <c r="B17362" s="26"/>
      <c r="C17362" s="26"/>
      <c r="D17362" s="25" t="s">
        <v>53621</v>
      </c>
      <c r="E17362" s="25"/>
      <c r="F17362" s="25"/>
      <c r="G17362" s="25"/>
    </row>
    <row r="17363" spans="1:7" ht="30.60" thickBot="1" customHeight="1">
      <c r="A17363" s="10" t="s">
        <v>53622</v>
      </c>
      <c r="B17363" s="24" t="s">
        <v>53623</v>
      </c>
      <c r="C17363" s="24" t="s">
        <v>53624</v>
      </c>
      <c r="D17363" s="25" t="s">
        <v>53625</v>
      </c>
      <c r="E17363" s="26"/>
      <c r="F17363" s="27">
        <f ca="1">ROUND(2.560*(1+G2/100),2)</f>
        <v>0</v>
      </c>
      <c r="G17363" s="26"/>
    </row>
    <row r="17364" spans="1:7" ht="58.32" thickBot="1" customHeight="1">
      <c r="A17364" s="26"/>
      <c r="B17364" s="26"/>
      <c r="C17364" s="26"/>
      <c r="D17364" s="25" t="s">
        <v>53626</v>
      </c>
      <c r="E17364" s="25"/>
      <c r="F17364" s="25"/>
      <c r="G17364" s="25"/>
    </row>
    <row r="17365" spans="1:7" ht="30.60" thickBot="1" customHeight="1">
      <c r="A17365" s="10" t="s">
        <v>53627</v>
      </c>
      <c r="B17365" s="24" t="s">
        <v>53628</v>
      </c>
      <c r="C17365" s="24" t="s">
        <v>53629</v>
      </c>
      <c r="D17365" s="25" t="s">
        <v>53630</v>
      </c>
      <c r="E17365" s="26"/>
      <c r="F17365" s="27">
        <f ca="1">ROUND(11.950*(1+G2/100),2)</f>
        <v>0</v>
      </c>
      <c r="G17365" s="26"/>
    </row>
    <row r="17366" spans="1:7" ht="141.48" thickBot="1" customHeight="1">
      <c r="A17366" s="26"/>
      <c r="B17366" s="26"/>
      <c r="C17366" s="26"/>
      <c r="D17366" s="25" t="s">
        <v>53631</v>
      </c>
      <c r="E17366" s="25"/>
      <c r="F17366" s="25"/>
      <c r="G17366" s="25"/>
    </row>
    <row r="17367" spans="1:7" ht="30.60" thickBot="1" customHeight="1">
      <c r="A17367" s="10" t="s">
        <v>53632</v>
      </c>
      <c r="B17367" s="24" t="s">
        <v>53633</v>
      </c>
      <c r="C17367" s="24" t="s">
        <v>53634</v>
      </c>
      <c r="D17367" s="25" t="s">
        <v>53635</v>
      </c>
      <c r="E17367" s="26"/>
      <c r="F17367" s="27">
        <f ca="1">ROUND(11.740*(1+G2/100),2)</f>
        <v>0</v>
      </c>
      <c r="G17367" s="26"/>
    </row>
    <row r="17368" spans="1:7" ht="67.56" thickBot="1" customHeight="1">
      <c r="A17368" s="26"/>
      <c r="B17368" s="26"/>
      <c r="C17368" s="26"/>
      <c r="D17368" s="25" t="s">
        <v>53636</v>
      </c>
      <c r="E17368" s="25"/>
      <c r="F17368" s="25"/>
      <c r="G17368" s="25"/>
    </row>
    <row r="17369" spans="1:7" ht="30.60" thickBot="1" customHeight="1">
      <c r="A17369" s="10" t="s">
        <v>53637</v>
      </c>
      <c r="B17369" s="24" t="s">
        <v>53638</v>
      </c>
      <c r="C17369" s="24" t="s">
        <v>53639</v>
      </c>
      <c r="D17369" s="25" t="s">
        <v>53640</v>
      </c>
      <c r="E17369" s="26"/>
      <c r="F17369" s="27">
        <f ca="1">ROUND(59.900*(1+G2/100),2)</f>
        <v>0</v>
      </c>
      <c r="G17369" s="26"/>
    </row>
    <row r="17370" spans="1:7" ht="363.24" thickBot="1" customHeight="1">
      <c r="A17370" s="26"/>
      <c r="B17370" s="26"/>
      <c r="C17370" s="26"/>
      <c r="D17370" s="25" t="s">
        <v>53641</v>
      </c>
      <c r="E17370" s="25"/>
      <c r="F17370" s="25"/>
      <c r="G17370" s="25"/>
    </row>
    <row r="17371" spans="1:7" ht="30.60" thickBot="1" customHeight="1">
      <c r="A17371" s="10" t="s">
        <v>53642</v>
      </c>
      <c r="B17371" s="24" t="s">
        <v>53643</v>
      </c>
      <c r="C17371" s="24" t="s">
        <v>53644</v>
      </c>
      <c r="D17371" s="25" t="s">
        <v>53645</v>
      </c>
      <c r="E17371" s="26"/>
      <c r="F17371" s="27">
        <f ca="1">ROUND(43.630*(1+G2/100),2)</f>
        <v>0</v>
      </c>
      <c r="G17371" s="26"/>
    </row>
    <row r="17372" spans="1:7" ht="187.68" thickBot="1" customHeight="1">
      <c r="A17372" s="26"/>
      <c r="B17372" s="26"/>
      <c r="C17372" s="26"/>
      <c r="D17372" s="25" t="s">
        <v>53646</v>
      </c>
      <c r="E17372" s="25"/>
      <c r="F17372" s="25"/>
      <c r="G17372" s="25"/>
    </row>
    <row r="17373" spans="1:7" ht="24.36" thickBot="1" customHeight="1">
      <c r="A17373" s="10" t="s">
        <v>53647</v>
      </c>
      <c r="B17373" s="24" t="s">
        <v>53648</v>
      </c>
      <c r="C17373" s="24" t="s">
        <v>53649</v>
      </c>
      <c r="D17373" s="25" t="s">
        <v>53650</v>
      </c>
      <c r="E17373" s="26"/>
      <c r="F17373" s="27">
        <f ca="1">ROUND(22.310*(1+G2/100),2)</f>
        <v>0</v>
      </c>
      <c r="G17373" s="26"/>
    </row>
    <row r="17374" spans="1:7" ht="30.60" thickBot="1" customHeight="1">
      <c r="A17374" s="26"/>
      <c r="B17374" s="26"/>
      <c r="C17374" s="26"/>
      <c r="D17374" s="25" t="s">
        <v>53651</v>
      </c>
      <c r="E17374" s="25"/>
      <c r="F17374" s="25"/>
      <c r="G17374" s="25"/>
    </row>
    <row r="17375" spans="1:7" ht="21.36" thickBot="1" customHeight="1">
      <c r="A17375" s="10" t="s">
        <v>53652</v>
      </c>
      <c r="B17375" s="24" t="s">
        <v>53653</v>
      </c>
      <c r="C17375" s="24" t="s">
        <v>53654</v>
      </c>
      <c r="D17375" s="25" t="s">
        <v>53655</v>
      </c>
      <c r="E17375" s="26"/>
      <c r="F17375" s="27">
        <f ca="1">ROUND(11.000*(1+G2/100),2)</f>
        <v>0</v>
      </c>
      <c r="G17375" s="26"/>
    </row>
    <row r="17376" spans="1:7" ht="86.04" thickBot="1" customHeight="1">
      <c r="A17376" s="26"/>
      <c r="B17376" s="26"/>
      <c r="C17376" s="26"/>
      <c r="D17376" s="25" t="s">
        <v>53656</v>
      </c>
      <c r="E17376" s="25"/>
      <c r="F17376" s="25"/>
      <c r="G17376" s="25"/>
    </row>
    <row r="17377" spans="1:7" ht="30.60" thickBot="1" customHeight="1">
      <c r="A17377" s="10" t="s">
        <v>53657</v>
      </c>
      <c r="B17377" s="24" t="s">
        <v>53658</v>
      </c>
      <c r="C17377" s="24" t="s">
        <v>53659</v>
      </c>
      <c r="D17377" s="25" t="s">
        <v>53660</v>
      </c>
      <c r="E17377" s="26"/>
      <c r="F17377" s="27">
        <f ca="1">ROUND(12.800*(1+G2/100),2)</f>
        <v>0</v>
      </c>
      <c r="G17377" s="26"/>
    </row>
    <row r="17378" spans="1:7" ht="39.84" thickBot="1" customHeight="1">
      <c r="A17378" s="26"/>
      <c r="B17378" s="26"/>
      <c r="C17378" s="26"/>
      <c r="D17378" s="25" t="s">
        <v>53661</v>
      </c>
      <c r="E17378" s="25"/>
      <c r="F17378" s="25"/>
      <c r="G17378" s="25"/>
    </row>
    <row r="17379" spans="1:7" ht="30.60" thickBot="1" customHeight="1">
      <c r="A17379" s="10" t="s">
        <v>53662</v>
      </c>
      <c r="B17379" s="24" t="s">
        <v>53663</v>
      </c>
      <c r="C17379" s="24" t="s">
        <v>53664</v>
      </c>
      <c r="D17379" s="25" t="s">
        <v>53665</v>
      </c>
      <c r="E17379" s="26"/>
      <c r="F17379" s="27">
        <f ca="1">ROUND(227.360*(1+G2/100),2)</f>
        <v>0</v>
      </c>
      <c r="G17379" s="26"/>
    </row>
    <row r="17380" spans="1:7" ht="95.28" thickBot="1" customHeight="1">
      <c r="A17380" s="26"/>
      <c r="B17380" s="26"/>
      <c r="C17380" s="26"/>
      <c r="D17380" s="25" t="s">
        <v>53666</v>
      </c>
      <c r="E17380" s="25"/>
      <c r="F17380" s="25"/>
      <c r="G17380" s="25"/>
    </row>
    <row r="17381" spans="1:7" ht="30.60" thickBot="1" customHeight="1">
      <c r="A17381" s="10" t="s">
        <v>53667</v>
      </c>
      <c r="B17381" s="24" t="s">
        <v>53668</v>
      </c>
      <c r="C17381" s="24" t="s">
        <v>53669</v>
      </c>
      <c r="D17381" s="25" t="s">
        <v>53670</v>
      </c>
      <c r="E17381" s="26"/>
      <c r="F17381" s="27">
        <f ca="1">ROUND(39.850*(1+G2/100),2)</f>
        <v>0</v>
      </c>
      <c r="G17381" s="26"/>
    </row>
    <row r="17382" spans="1:7" ht="169.20" thickBot="1" customHeight="1">
      <c r="A17382" s="26"/>
      <c r="B17382" s="26"/>
      <c r="C17382" s="26"/>
      <c r="D17382" s="25" t="s">
        <v>53671</v>
      </c>
      <c r="E17382" s="25"/>
      <c r="F17382" s="25"/>
      <c r="G17382" s="25"/>
    </row>
    <row r="17383" spans="1:7" ht="24.36" thickBot="1" customHeight="1">
      <c r="A17383" s="10" t="s">
        <v>53672</v>
      </c>
      <c r="B17383" s="24" t="s">
        <v>53673</v>
      </c>
      <c r="C17383" s="24" t="s">
        <v>53674</v>
      </c>
      <c r="D17383" s="25" t="s">
        <v>53675</v>
      </c>
      <c r="E17383" s="26"/>
      <c r="F17383" s="27">
        <f ca="1">ROUND(6.850*(1+G2/100),2)</f>
        <v>0</v>
      </c>
      <c r="G17383" s="26"/>
    </row>
    <row r="17384" spans="1:7" ht="104.52" thickBot="1" customHeight="1">
      <c r="A17384" s="26"/>
      <c r="B17384" s="26"/>
      <c r="C17384" s="26"/>
      <c r="D17384" s="25" t="s">
        <v>53676</v>
      </c>
      <c r="E17384" s="25"/>
      <c r="F17384" s="25"/>
      <c r="G17384" s="25"/>
    </row>
    <row r="17385" spans="1:7" ht="30.60" thickBot="1" customHeight="1">
      <c r="A17385" s="10" t="s">
        <v>53677</v>
      </c>
      <c r="B17385" s="24" t="s">
        <v>53678</v>
      </c>
      <c r="C17385" s="24" t="s">
        <v>53679</v>
      </c>
      <c r="D17385" s="25" t="s">
        <v>53680</v>
      </c>
      <c r="E17385" s="26"/>
      <c r="F17385" s="27">
        <f ca="1">ROUND(4.820*(1+G2/100),2)</f>
        <v>0</v>
      </c>
      <c r="G17385" s="26"/>
    </row>
    <row r="17386" spans="1:7" ht="67.56" thickBot="1" customHeight="1">
      <c r="A17386" s="26"/>
      <c r="B17386" s="26"/>
      <c r="C17386" s="26"/>
      <c r="D17386" s="25" t="s">
        <v>53681</v>
      </c>
      <c r="E17386" s="25"/>
      <c r="F17386" s="25"/>
      <c r="G17386" s="25"/>
    </row>
    <row r="17387" spans="1:7" ht="24.36" thickBot="1" customHeight="1">
      <c r="A17387" s="10" t="s">
        <v>53682</v>
      </c>
      <c r="B17387" s="24" t="s">
        <v>53683</v>
      </c>
      <c r="C17387" s="24" t="s">
        <v>53684</v>
      </c>
      <c r="D17387" s="25" t="s">
        <v>53685</v>
      </c>
      <c r="E17387" s="26"/>
      <c r="F17387" s="27">
        <f ca="1">ROUND(5.800*(1+G2/100),2)</f>
        <v>0</v>
      </c>
      <c r="G17387" s="26"/>
    </row>
    <row r="17388" spans="1:7" ht="39.84" thickBot="1" customHeight="1">
      <c r="A17388" s="26"/>
      <c r="B17388" s="26"/>
      <c r="C17388" s="26"/>
      <c r="D17388" s="25" t="s">
        <v>53686</v>
      </c>
      <c r="E17388" s="25"/>
      <c r="F17388" s="25"/>
      <c r="G17388" s="25"/>
    </row>
    <row r="17389" spans="1:7" ht="24.36" thickBot="1" customHeight="1">
      <c r="A17389" s="10" t="s">
        <v>53687</v>
      </c>
      <c r="B17389" s="24" t="s">
        <v>53688</v>
      </c>
      <c r="C17389" s="24" t="s">
        <v>53689</v>
      </c>
      <c r="D17389" s="25" t="s">
        <v>53690</v>
      </c>
      <c r="E17389" s="26"/>
      <c r="F17389" s="27">
        <f ca="1">ROUND(8.230*(1+G2/100),2)</f>
        <v>0</v>
      </c>
      <c r="G17389" s="26"/>
    </row>
    <row r="17390" spans="1:7" ht="39.84" thickBot="1" customHeight="1">
      <c r="A17390" s="26"/>
      <c r="B17390" s="26"/>
      <c r="C17390" s="26"/>
      <c r="D17390" s="25" t="s">
        <v>53691</v>
      </c>
      <c r="E17390" s="25"/>
      <c r="F17390" s="25"/>
      <c r="G17390" s="25"/>
    </row>
    <row r="17391" spans="1:7" ht="24.36" thickBot="1" customHeight="1">
      <c r="A17391" s="10" t="s">
        <v>53692</v>
      </c>
      <c r="B17391" s="24" t="s">
        <v>53693</v>
      </c>
      <c r="C17391" s="24" t="s">
        <v>53694</v>
      </c>
      <c r="D17391" s="25" t="s">
        <v>53695</v>
      </c>
      <c r="E17391" s="26"/>
      <c r="F17391" s="27">
        <f ca="1">ROUND(9.480*(1+G2/100),2)</f>
        <v>0</v>
      </c>
      <c r="G17391" s="26"/>
    </row>
    <row r="17392" spans="1:7" ht="39.84" thickBot="1" customHeight="1">
      <c r="A17392" s="26"/>
      <c r="B17392" s="26"/>
      <c r="C17392" s="26"/>
      <c r="D17392" s="25" t="s">
        <v>53696</v>
      </c>
      <c r="E17392" s="25"/>
      <c r="F17392" s="25"/>
      <c r="G17392" s="25"/>
    </row>
    <row r="17393" spans="1:7" ht="30.60" thickBot="1" customHeight="1">
      <c r="A17393" s="10" t="s">
        <v>53697</v>
      </c>
      <c r="B17393" s="24" t="s">
        <v>53698</v>
      </c>
      <c r="C17393" s="24" t="s">
        <v>53699</v>
      </c>
      <c r="D17393" s="25" t="s">
        <v>53700</v>
      </c>
      <c r="E17393" s="26"/>
      <c r="F17393" s="27">
        <f ca="1">ROUND(10.550*(1+G2/100),2)</f>
        <v>0</v>
      </c>
      <c r="G17393" s="26"/>
    </row>
    <row r="17394" spans="1:7" ht="49.08" thickBot="1" customHeight="1">
      <c r="A17394" s="26"/>
      <c r="B17394" s="26"/>
      <c r="C17394" s="26"/>
      <c r="D17394" s="25" t="s">
        <v>53701</v>
      </c>
      <c r="E17394" s="25"/>
      <c r="F17394" s="25"/>
      <c r="G17394" s="25"/>
    </row>
    <row r="17395" spans="1:7" ht="30.60" thickBot="1" customHeight="1">
      <c r="A17395" s="10" t="s">
        <v>53702</v>
      </c>
      <c r="B17395" s="24" t="s">
        <v>53703</v>
      </c>
      <c r="C17395" s="24" t="s">
        <v>53704</v>
      </c>
      <c r="D17395" s="25" t="s">
        <v>53705</v>
      </c>
      <c r="E17395" s="26"/>
      <c r="F17395" s="27">
        <f ca="1">ROUND(18.440*(1+G2/100),2)</f>
        <v>0</v>
      </c>
      <c r="G17395" s="26"/>
    </row>
    <row r="17396" spans="1:7" ht="49.08" thickBot="1" customHeight="1">
      <c r="A17396" s="26"/>
      <c r="B17396" s="26"/>
      <c r="C17396" s="26"/>
      <c r="D17396" s="25" t="s">
        <v>53706</v>
      </c>
      <c r="E17396" s="25"/>
      <c r="F17396" s="25"/>
      <c r="G17396" s="25"/>
    </row>
    <row r="17397" spans="1:7" ht="30.60" thickBot="1" customHeight="1">
      <c r="A17397" s="10" t="s">
        <v>53707</v>
      </c>
      <c r="B17397" s="24" t="s">
        <v>53708</v>
      </c>
      <c r="C17397" s="24" t="s">
        <v>53709</v>
      </c>
      <c r="D17397" s="25" t="s">
        <v>53710</v>
      </c>
      <c r="E17397" s="26"/>
      <c r="F17397" s="27">
        <f ca="1">ROUND(14.090*(1+G2/100),2)</f>
        <v>0</v>
      </c>
      <c r="G17397" s="26"/>
    </row>
    <row r="17398" spans="1:7" ht="49.08" thickBot="1" customHeight="1">
      <c r="A17398" s="26"/>
      <c r="B17398" s="26"/>
      <c r="C17398" s="26"/>
      <c r="D17398" s="25" t="s">
        <v>53711</v>
      </c>
      <c r="E17398" s="25"/>
      <c r="F17398" s="25"/>
      <c r="G17398" s="25"/>
    </row>
    <row r="17399" spans="1:7" ht="30.60" thickBot="1" customHeight="1">
      <c r="A17399" s="10" t="s">
        <v>53712</v>
      </c>
      <c r="B17399" s="24" t="s">
        <v>53713</v>
      </c>
      <c r="C17399" s="24" t="s">
        <v>53714</v>
      </c>
      <c r="D17399" s="25" t="s">
        <v>53715</v>
      </c>
      <c r="E17399" s="26"/>
      <c r="F17399" s="27">
        <f ca="1">ROUND(14.290*(1+G2/100),2)</f>
        <v>0</v>
      </c>
      <c r="G17399" s="26"/>
    </row>
    <row r="17400" spans="1:7" ht="67.56" thickBot="1" customHeight="1">
      <c r="A17400" s="26"/>
      <c r="B17400" s="26"/>
      <c r="C17400" s="26"/>
      <c r="D17400" s="25" t="s">
        <v>53716</v>
      </c>
      <c r="E17400" s="25"/>
      <c r="F17400" s="25"/>
      <c r="G17400" s="25"/>
    </row>
    <row r="17401" spans="1:7" ht="30.60" thickBot="1" customHeight="1">
      <c r="A17401" s="10" t="s">
        <v>53717</v>
      </c>
      <c r="B17401" s="24" t="s">
        <v>53718</v>
      </c>
      <c r="C17401" s="24" t="s">
        <v>53719</v>
      </c>
      <c r="D17401" s="25" t="s">
        <v>53720</v>
      </c>
      <c r="E17401" s="26"/>
      <c r="F17401" s="27">
        <f ca="1">ROUND(14.090*(1+G2/100),2)</f>
        <v>0</v>
      </c>
      <c r="G17401" s="26"/>
    </row>
    <row r="17402" spans="1:7" ht="39.84" thickBot="1" customHeight="1">
      <c r="A17402" s="26"/>
      <c r="B17402" s="26"/>
      <c r="C17402" s="26"/>
      <c r="D17402" s="25" t="s">
        <v>53721</v>
      </c>
      <c r="E17402" s="25"/>
      <c r="F17402" s="25"/>
      <c r="G17402" s="25"/>
    </row>
    <row r="17403" spans="1:7" ht="30.60" thickBot="1" customHeight="1">
      <c r="A17403" s="10" t="s">
        <v>53722</v>
      </c>
      <c r="B17403" s="24" t="s">
        <v>53723</v>
      </c>
      <c r="C17403" s="24" t="s">
        <v>53724</v>
      </c>
      <c r="D17403" s="25" t="s">
        <v>53725</v>
      </c>
      <c r="E17403" s="26"/>
      <c r="F17403" s="27">
        <f ca="1">ROUND(3.880*(1+G2/100),2)</f>
        <v>0</v>
      </c>
      <c r="G17403" s="26"/>
    </row>
    <row r="17404" spans="1:7" ht="76.80" thickBot="1" customHeight="1">
      <c r="A17404" s="26"/>
      <c r="B17404" s="26"/>
      <c r="C17404" s="26"/>
      <c r="D17404" s="25" t="s">
        <v>53726</v>
      </c>
      <c r="E17404" s="25"/>
      <c r="F17404" s="25"/>
      <c r="G17404" s="25"/>
    </row>
    <row r="17405" spans="1:7" ht="30.60" thickBot="1" customHeight="1">
      <c r="A17405" s="10" t="s">
        <v>53727</v>
      </c>
      <c r="B17405" s="24" t="s">
        <v>53728</v>
      </c>
      <c r="C17405" s="24" t="s">
        <v>53729</v>
      </c>
      <c r="D17405" s="25" t="s">
        <v>53730</v>
      </c>
      <c r="E17405" s="26"/>
      <c r="F17405" s="27">
        <f ca="1">ROUND(7.950*(1+G2/100),2)</f>
        <v>0</v>
      </c>
      <c r="G17405" s="26"/>
    </row>
    <row r="17406" spans="1:7" ht="187.68" thickBot="1" customHeight="1">
      <c r="A17406" s="26"/>
      <c r="B17406" s="26"/>
      <c r="C17406" s="26"/>
      <c r="D17406" s="25" t="s">
        <v>53731</v>
      </c>
      <c r="E17406" s="25"/>
      <c r="F17406" s="25"/>
      <c r="G17406" s="25"/>
    </row>
    <row r="17407" spans="1:7" ht="30.60" thickBot="1" customHeight="1">
      <c r="A17407" s="10" t="s">
        <v>53732</v>
      </c>
      <c r="B17407" s="24" t="s">
        <v>53733</v>
      </c>
      <c r="C17407" s="24" t="s">
        <v>53734</v>
      </c>
      <c r="D17407" s="25" t="s">
        <v>53735</v>
      </c>
      <c r="E17407" s="26"/>
      <c r="F17407" s="27">
        <f ca="1">ROUND(31.650*(1+G2/100),2)</f>
        <v>0</v>
      </c>
      <c r="G17407" s="26"/>
    </row>
    <row r="17408" spans="1:7" ht="187.68" thickBot="1" customHeight="1">
      <c r="A17408" s="26"/>
      <c r="B17408" s="26"/>
      <c r="C17408" s="26"/>
      <c r="D17408" s="25" t="s">
        <v>53736</v>
      </c>
      <c r="E17408" s="25"/>
      <c r="F17408" s="25"/>
      <c r="G17408" s="25"/>
    </row>
    <row r="17409" spans="1:7" ht="39.84" thickBot="1" customHeight="1">
      <c r="A17409" s="10" t="s">
        <v>53737</v>
      </c>
      <c r="B17409" s="24" t="s">
        <v>53738</v>
      </c>
      <c r="C17409" s="24" t="s">
        <v>53739</v>
      </c>
      <c r="D17409" s="25" t="s">
        <v>53740</v>
      </c>
      <c r="E17409" s="26"/>
      <c r="F17409" s="27">
        <f ca="1">ROUND(9.130*(1+G2/100),2)</f>
        <v>0</v>
      </c>
      <c r="G17409" s="26"/>
    </row>
    <row r="17410" spans="1:7" ht="123.00" thickBot="1" customHeight="1">
      <c r="A17410" s="26"/>
      <c r="B17410" s="26"/>
      <c r="C17410" s="26"/>
      <c r="D17410" s="25" t="s">
        <v>53741</v>
      </c>
      <c r="E17410" s="25"/>
      <c r="F17410" s="25"/>
      <c r="G17410" s="25"/>
    </row>
    <row r="17411" spans="1:7" ht="30.60" thickBot="1" customHeight="1">
      <c r="A17411" s="10" t="s">
        <v>53742</v>
      </c>
      <c r="B17411" s="24" t="s">
        <v>53743</v>
      </c>
      <c r="C17411" s="24" t="s">
        <v>53744</v>
      </c>
      <c r="D17411" s="25" t="s">
        <v>53745</v>
      </c>
      <c r="E17411" s="26"/>
      <c r="F17411" s="27">
        <f ca="1">ROUND(70.300*(1+G2/100),2)</f>
        <v>0</v>
      </c>
      <c r="G17411" s="26"/>
    </row>
    <row r="17412" spans="1:7" ht="67.56" thickBot="1" customHeight="1">
      <c r="A17412" s="26"/>
      <c r="B17412" s="26"/>
      <c r="C17412" s="26"/>
      <c r="D17412" s="25" t="s">
        <v>53746</v>
      </c>
      <c r="E17412" s="25"/>
      <c r="F17412" s="25"/>
      <c r="G17412" s="25"/>
    </row>
    <row r="17413" spans="1:7" ht="30.60" thickBot="1" customHeight="1">
      <c r="A17413" s="10" t="s">
        <v>53747</v>
      </c>
      <c r="B17413" s="24" t="s">
        <v>53748</v>
      </c>
      <c r="C17413" s="24" t="s">
        <v>53749</v>
      </c>
      <c r="D17413" s="25" t="s">
        <v>53750</v>
      </c>
      <c r="E17413" s="26"/>
      <c r="F17413" s="27">
        <f ca="1">ROUND(4.590*(1+G2/100),2)</f>
        <v>0</v>
      </c>
      <c r="G17413" s="26"/>
    </row>
    <row r="17414" spans="1:7" ht="58.32" thickBot="1" customHeight="1">
      <c r="A17414" s="26"/>
      <c r="B17414" s="26"/>
      <c r="C17414" s="26"/>
      <c r="D17414" s="25" t="s">
        <v>53751</v>
      </c>
      <c r="E17414" s="25"/>
      <c r="F17414" s="25"/>
      <c r="G17414" s="25"/>
    </row>
    <row r="17415" spans="1:7" ht="24.36" thickBot="1" customHeight="1">
      <c r="A17415" s="10" t="s">
        <v>53752</v>
      </c>
      <c r="B17415" s="24" t="s">
        <v>53753</v>
      </c>
      <c r="C17415" s="24" t="s">
        <v>53754</v>
      </c>
      <c r="D17415" s="25" t="s">
        <v>53755</v>
      </c>
      <c r="E17415" s="26"/>
      <c r="F17415" s="27">
        <f ca="1">ROUND(4.630*(1+G2/100),2)</f>
        <v>0</v>
      </c>
      <c r="G17415" s="26"/>
    </row>
    <row r="17416" spans="1:7" ht="39.84" thickBot="1" customHeight="1">
      <c r="A17416" s="26"/>
      <c r="B17416" s="26"/>
      <c r="C17416" s="26"/>
      <c r="D17416" s="25" t="s">
        <v>53756</v>
      </c>
      <c r="E17416" s="25"/>
      <c r="F17416" s="25"/>
      <c r="G17416" s="25"/>
    </row>
    <row r="17417" spans="1:7" ht="30.60" thickBot="1" customHeight="1">
      <c r="A17417" s="10" t="s">
        <v>53757</v>
      </c>
      <c r="B17417" s="24" t="s">
        <v>53758</v>
      </c>
      <c r="C17417" s="24" t="s">
        <v>53759</v>
      </c>
      <c r="D17417" s="25" t="s">
        <v>53760</v>
      </c>
      <c r="E17417" s="26"/>
      <c r="F17417" s="27">
        <f ca="1">ROUND(6.090*(1+G2/100),2)</f>
        <v>0</v>
      </c>
      <c r="G17417" s="26"/>
    </row>
    <row r="17418" spans="1:7" ht="30.60" thickBot="1" customHeight="1">
      <c r="A17418" s="26"/>
      <c r="B17418" s="26"/>
      <c r="C17418" s="26"/>
      <c r="D17418" s="25" t="s">
        <v>53761</v>
      </c>
      <c r="E17418" s="25"/>
      <c r="F17418" s="25"/>
      <c r="G17418" s="25"/>
    </row>
    <row r="17419" spans="1:7" ht="30.60" thickBot="1" customHeight="1">
      <c r="A17419" s="10" t="s">
        <v>53762</v>
      </c>
      <c r="B17419" s="24" t="s">
        <v>53763</v>
      </c>
      <c r="C17419" s="24" t="s">
        <v>53764</v>
      </c>
      <c r="D17419" s="25" t="s">
        <v>53765</v>
      </c>
      <c r="E17419" s="26"/>
      <c r="F17419" s="27">
        <f ca="1">ROUND(4.580*(1+G2/100),2)</f>
        <v>0</v>
      </c>
      <c r="G17419" s="26"/>
    </row>
    <row r="17420" spans="1:7" ht="30.60" thickBot="1" customHeight="1">
      <c r="A17420" s="26"/>
      <c r="B17420" s="26"/>
      <c r="C17420" s="26"/>
      <c r="D17420" s="25" t="s">
        <v>53766</v>
      </c>
      <c r="E17420" s="25"/>
      <c r="F17420" s="25"/>
      <c r="G17420" s="25"/>
    </row>
    <row r="17421" spans="1:7" ht="39.84" thickBot="1" customHeight="1">
      <c r="A17421" s="10" t="s">
        <v>53767</v>
      </c>
      <c r="B17421" s="24" t="s">
        <v>53768</v>
      </c>
      <c r="C17421" s="24" t="s">
        <v>53769</v>
      </c>
      <c r="D17421" s="25" t="s">
        <v>53770</v>
      </c>
      <c r="E17421" s="26"/>
      <c r="F17421" s="27">
        <f ca="1">ROUND(31.250*(1+G2/100),2)</f>
        <v>0</v>
      </c>
      <c r="G17421" s="26"/>
    </row>
    <row r="17422" spans="1:7" ht="169.20" thickBot="1" customHeight="1">
      <c r="A17422" s="26"/>
      <c r="B17422" s="26"/>
      <c r="C17422" s="26"/>
      <c r="D17422" s="25" t="s">
        <v>53771</v>
      </c>
      <c r="E17422" s="25"/>
      <c r="F17422" s="25"/>
      <c r="G17422" s="25"/>
    </row>
    <row r="17423" spans="1:7" ht="30.60" thickBot="1" customHeight="1">
      <c r="A17423" s="10" t="s">
        <v>53772</v>
      </c>
      <c r="B17423" s="24" t="s">
        <v>53773</v>
      </c>
      <c r="C17423" s="24" t="s">
        <v>53774</v>
      </c>
      <c r="D17423" s="25" t="s">
        <v>53775</v>
      </c>
      <c r="E17423" s="26"/>
      <c r="F17423" s="27">
        <f ca="1">ROUND(24.700*(1+G2/100),2)</f>
        <v>0</v>
      </c>
      <c r="G17423" s="26"/>
    </row>
    <row r="17424" spans="1:7" ht="298.56" thickBot="1" customHeight="1">
      <c r="A17424" s="26"/>
      <c r="B17424" s="26"/>
      <c r="C17424" s="26"/>
      <c r="D17424" s="25" t="s">
        <v>53776</v>
      </c>
      <c r="E17424" s="25"/>
      <c r="F17424" s="25"/>
      <c r="G17424" s="25"/>
    </row>
    <row r="17425" spans="1:7" ht="30.60" thickBot="1" customHeight="1">
      <c r="A17425" s="10" t="s">
        <v>53777</v>
      </c>
      <c r="B17425" s="24" t="s">
        <v>53778</v>
      </c>
      <c r="C17425" s="24" t="s">
        <v>53779</v>
      </c>
      <c r="D17425" s="25" t="s">
        <v>53780</v>
      </c>
      <c r="E17425" s="26"/>
      <c r="F17425" s="27">
        <f ca="1">ROUND(82.560*(1+G2/100),2)</f>
        <v>0</v>
      </c>
      <c r="G17425" s="26"/>
    </row>
    <row r="17426" spans="1:7" ht="298.56" thickBot="1" customHeight="1">
      <c r="A17426" s="26"/>
      <c r="B17426" s="26"/>
      <c r="C17426" s="26"/>
      <c r="D17426" s="25" t="s">
        <v>53781</v>
      </c>
      <c r="E17426" s="25"/>
      <c r="F17426" s="25"/>
      <c r="G17426" s="25"/>
    </row>
    <row r="17427" spans="1:7" ht="30.60" thickBot="1" customHeight="1">
      <c r="A17427" s="10" t="s">
        <v>53782</v>
      </c>
      <c r="B17427" s="24" t="s">
        <v>53783</v>
      </c>
      <c r="C17427" s="24" t="s">
        <v>53784</v>
      </c>
      <c r="D17427" s="25" t="s">
        <v>53785</v>
      </c>
      <c r="E17427" s="26"/>
      <c r="F17427" s="27">
        <f ca="1">ROUND(247.850*(1+G2/100),2)</f>
        <v>0</v>
      </c>
      <c r="G17427" s="26"/>
    </row>
    <row r="17428" spans="1:7" ht="298.56" thickBot="1" customHeight="1">
      <c r="A17428" s="26"/>
      <c r="B17428" s="26"/>
      <c r="C17428" s="26"/>
      <c r="D17428" s="25" t="s">
        <v>53786</v>
      </c>
      <c r="E17428" s="25"/>
      <c r="F17428" s="25"/>
      <c r="G17428" s="25"/>
    </row>
    <row r="17429" spans="1:7" ht="30.60" thickBot="1" customHeight="1">
      <c r="A17429" s="10" t="s">
        <v>53787</v>
      </c>
      <c r="B17429" s="24" t="s">
        <v>53788</v>
      </c>
      <c r="C17429" s="24" t="s">
        <v>53789</v>
      </c>
      <c r="D17429" s="25" t="s">
        <v>53790</v>
      </c>
      <c r="E17429" s="26"/>
      <c r="F17429" s="27">
        <f ca="1">ROUND(5.290*(1+G2/100),2)</f>
        <v>0</v>
      </c>
      <c r="G17429" s="26"/>
    </row>
    <row r="17430" spans="1:7" ht="49.08" thickBot="1" customHeight="1">
      <c r="A17430" s="26"/>
      <c r="B17430" s="26"/>
      <c r="C17430" s="26"/>
      <c r="D17430" s="25" t="s">
        <v>53791</v>
      </c>
      <c r="E17430" s="25"/>
      <c r="F17430" s="25"/>
      <c r="G17430" s="25"/>
    </row>
    <row r="17431" spans="1:7" ht="30.60" thickBot="1" customHeight="1">
      <c r="A17431" s="10" t="s">
        <v>53792</v>
      </c>
      <c r="B17431" s="24" t="s">
        <v>53793</v>
      </c>
      <c r="C17431" s="24" t="s">
        <v>53794</v>
      </c>
      <c r="D17431" s="25" t="s">
        <v>53795</v>
      </c>
      <c r="E17431" s="26"/>
      <c r="F17431" s="27">
        <f ca="1">ROUND(24.470*(1+G2/100),2)</f>
        <v>0</v>
      </c>
      <c r="G17431" s="26"/>
    </row>
    <row r="17432" spans="1:7" ht="21.36" thickBot="1" customHeight="1">
      <c r="A17432" s="26"/>
      <c r="B17432" s="26"/>
      <c r="C17432" s="26"/>
      <c r="D17432" s="25" t="s">
        <v>53796</v>
      </c>
      <c r="E17432" s="25"/>
      <c r="F17432" s="25"/>
      <c r="G17432" s="25"/>
    </row>
    <row r="17433" spans="1:7" ht="39.84" thickBot="1" customHeight="1">
      <c r="A17433" s="10" t="s">
        <v>53797</v>
      </c>
      <c r="B17433" s="24" t="s">
        <v>53798</v>
      </c>
      <c r="C17433" s="24" t="s">
        <v>53799</v>
      </c>
      <c r="D17433" s="25" t="s">
        <v>53800</v>
      </c>
      <c r="E17433" s="26"/>
      <c r="F17433" s="27">
        <f ca="1">ROUND(40.990*(1+G2/100),2)</f>
        <v>0</v>
      </c>
      <c r="G17433" s="26"/>
    </row>
    <row r="17434" spans="1:7" ht="261.60" thickBot="1" customHeight="1">
      <c r="A17434" s="26"/>
      <c r="B17434" s="26"/>
      <c r="C17434" s="26"/>
      <c r="D17434" s="25" t="s">
        <v>53801</v>
      </c>
      <c r="E17434" s="25"/>
      <c r="F17434" s="25"/>
      <c r="G17434" s="25"/>
    </row>
    <row r="17435" spans="1:7" ht="30.60" thickBot="1" customHeight="1">
      <c r="A17435" s="10" t="s">
        <v>53802</v>
      </c>
      <c r="B17435" s="24" t="s">
        <v>53803</v>
      </c>
      <c r="C17435" s="24" t="s">
        <v>53804</v>
      </c>
      <c r="D17435" s="25" t="s">
        <v>53805</v>
      </c>
      <c r="E17435" s="26"/>
      <c r="F17435" s="27">
        <f ca="1">ROUND(23.480*(1+G2/100),2)</f>
        <v>0</v>
      </c>
      <c r="G17435" s="26"/>
    </row>
    <row r="17436" spans="1:7" ht="270.84" thickBot="1" customHeight="1">
      <c r="A17436" s="26"/>
      <c r="B17436" s="26"/>
      <c r="C17436" s="26"/>
      <c r="D17436" s="25" t="s">
        <v>53806</v>
      </c>
      <c r="E17436" s="25"/>
      <c r="F17436" s="25"/>
      <c r="G17436" s="25"/>
    </row>
    <row r="17437" spans="1:7" ht="30.60" thickBot="1" customHeight="1">
      <c r="A17437" s="10" t="s">
        <v>53807</v>
      </c>
      <c r="B17437" s="24" t="s">
        <v>53808</v>
      </c>
      <c r="C17437" s="24" t="s">
        <v>53809</v>
      </c>
      <c r="D17437" s="25" t="s">
        <v>53810</v>
      </c>
      <c r="E17437" s="26"/>
      <c r="F17437" s="27">
        <f ca="1">ROUND(48.900*(1+G2/100),2)</f>
        <v>0</v>
      </c>
      <c r="G17437" s="26"/>
    </row>
    <row r="17438" spans="1:7" ht="206.16" thickBot="1" customHeight="1">
      <c r="A17438" s="26"/>
      <c r="B17438" s="26"/>
      <c r="C17438" s="26"/>
      <c r="D17438" s="25" t="s">
        <v>53811</v>
      </c>
      <c r="E17438" s="25"/>
      <c r="F17438" s="25"/>
      <c r="G17438" s="25"/>
    </row>
    <row r="17439" spans="1:7" ht="39.84" thickBot="1" customHeight="1">
      <c r="A17439" s="10" t="s">
        <v>53812</v>
      </c>
      <c r="B17439" s="24" t="s">
        <v>53813</v>
      </c>
      <c r="C17439" s="24" t="s">
        <v>53814</v>
      </c>
      <c r="D17439" s="25" t="s">
        <v>53815</v>
      </c>
      <c r="E17439" s="26"/>
      <c r="F17439" s="27">
        <f ca="1">ROUND(11.830*(1+G2/100),2)</f>
        <v>0</v>
      </c>
      <c r="G17439" s="26"/>
    </row>
    <row r="17440" spans="1:7" ht="39.84" thickBot="1" customHeight="1">
      <c r="A17440" s="26"/>
      <c r="B17440" s="26"/>
      <c r="C17440" s="26"/>
      <c r="D17440" s="25" t="s">
        <v>53816</v>
      </c>
      <c r="E17440" s="25"/>
      <c r="F17440" s="25"/>
      <c r="G17440" s="25"/>
    </row>
    <row r="17441" spans="1:7" ht="39.84" thickBot="1" customHeight="1">
      <c r="A17441" s="10" t="s">
        <v>53817</v>
      </c>
      <c r="B17441" s="24" t="s">
        <v>53818</v>
      </c>
      <c r="C17441" s="24" t="s">
        <v>53819</v>
      </c>
      <c r="D17441" s="25" t="s">
        <v>53820</v>
      </c>
      <c r="E17441" s="26"/>
      <c r="F17441" s="27">
        <f ca="1">ROUND(96.400*(1+G2/100),2)</f>
        <v>0</v>
      </c>
      <c r="G17441" s="26"/>
    </row>
    <row r="17442" spans="1:7" ht="86.04" thickBot="1" customHeight="1">
      <c r="A17442" s="26"/>
      <c r="B17442" s="26"/>
      <c r="C17442" s="26"/>
      <c r="D17442" s="25" t="s">
        <v>53821</v>
      </c>
      <c r="E17442" s="25"/>
      <c r="F17442" s="25"/>
      <c r="G17442" s="25"/>
    </row>
    <row r="17443" spans="1:7" ht="39.84" thickBot="1" customHeight="1">
      <c r="A17443" s="10" t="s">
        <v>53822</v>
      </c>
      <c r="B17443" s="24" t="s">
        <v>53823</v>
      </c>
      <c r="C17443" s="24" t="s">
        <v>53824</v>
      </c>
      <c r="D17443" s="25" t="s">
        <v>53825</v>
      </c>
      <c r="E17443" s="26"/>
      <c r="F17443" s="27">
        <f ca="1">ROUND(8.970*(1+G2/100),2)</f>
        <v>0</v>
      </c>
      <c r="G17443" s="26"/>
    </row>
    <row r="17444" spans="1:7" ht="39.84" thickBot="1" customHeight="1">
      <c r="A17444" s="26"/>
      <c r="B17444" s="26"/>
      <c r="C17444" s="26"/>
      <c r="D17444" s="25" t="s">
        <v>53826</v>
      </c>
      <c r="E17444" s="25"/>
      <c r="F17444" s="25"/>
      <c r="G17444" s="25"/>
    </row>
    <row r="17445" spans="1:7" ht="15.48" thickBot="1" customHeight="1">
      <c r="A17445" s="30"/>
      <c r="B17445" s="30"/>
      <c r="C17445" s="30"/>
      <c r="D17445" s="79" t="s">
        <v>53827</v>
      </c>
      <c r="E17445" s="80"/>
      <c r="F17445" s="80"/>
      <c r="G17445" s="80"/>
    </row>
    <row r="17446" spans="1:7" ht="22.08" thickBot="1" customHeight="1">
      <c r="A17446" s="52" t="s">
        <v>53828</v>
      </c>
      <c r="B17446" s="52" t="s">
        <v>53829</v>
      </c>
      <c r="C17446" s="53"/>
      <c r="D17446" s="54" t="s">
        <v>53830</v>
      </c>
      <c r="E17446" s="53"/>
      <c r="F17446" s="53"/>
      <c r="G17446" s="53"/>
    </row>
    <row r="17447" spans="1:7" ht="22.08" thickBot="1" customHeight="1">
      <c r="A17447" s="21" t="s">
        <v>53831</v>
      </c>
      <c r="B17447" s="21" t="s">
        <v>53832</v>
      </c>
      <c r="C17447" s="22"/>
      <c r="D17447" s="23" t="s">
        <v>53833</v>
      </c>
      <c r="E17447" s="22"/>
      <c r="F17447" s="22"/>
      <c r="G17447" s="22"/>
    </row>
    <row r="17448" spans="1:7" ht="49.08" thickBot="1" customHeight="1">
      <c r="A17448" s="10" t="s">
        <v>53834</v>
      </c>
      <c r="B17448" s="24" t="s">
        <v>53835</v>
      </c>
      <c r="C17448" s="24" t="s">
        <v>53836</v>
      </c>
      <c r="D17448" s="25" t="s">
        <v>53837</v>
      </c>
      <c r="E17448" s="26"/>
      <c r="F17448" s="27">
        <f ca="1">ROUND(80.150*(1+G2/100),2)</f>
        <v>0</v>
      </c>
      <c r="G17448" s="26"/>
    </row>
    <row r="17449" spans="1:7" ht="67.56" thickBot="1" customHeight="1">
      <c r="A17449" s="26"/>
      <c r="B17449" s="26"/>
      <c r="C17449" s="26"/>
      <c r="D17449" s="25" t="s">
        <v>53838</v>
      </c>
      <c r="E17449" s="25"/>
      <c r="F17449" s="25"/>
      <c r="G17449" s="25"/>
    </row>
    <row r="17450" spans="1:7" ht="39.84" thickBot="1" customHeight="1">
      <c r="A17450" s="10" t="s">
        <v>53839</v>
      </c>
      <c r="B17450" s="24" t="s">
        <v>53840</v>
      </c>
      <c r="C17450" s="24" t="s">
        <v>53841</v>
      </c>
      <c r="D17450" s="25" t="s">
        <v>53842</v>
      </c>
      <c r="E17450" s="26"/>
      <c r="F17450" s="27">
        <f ca="1">ROUND(68.650*(1+G2/100),2)</f>
        <v>0</v>
      </c>
      <c r="G17450" s="26"/>
    </row>
    <row r="17451" spans="1:7" ht="39.84" thickBot="1" customHeight="1">
      <c r="A17451" s="26"/>
      <c r="B17451" s="26"/>
      <c r="C17451" s="26"/>
      <c r="D17451" s="25" t="s">
        <v>53843</v>
      </c>
      <c r="E17451" s="25"/>
      <c r="F17451" s="25"/>
      <c r="G17451" s="25"/>
    </row>
    <row r="17452" spans="1:7" ht="39.84" thickBot="1" customHeight="1">
      <c r="A17452" s="10" t="s">
        <v>53844</v>
      </c>
      <c r="B17452" s="24" t="s">
        <v>53845</v>
      </c>
      <c r="C17452" s="24" t="s">
        <v>53846</v>
      </c>
      <c r="D17452" s="25" t="s">
        <v>53847</v>
      </c>
      <c r="E17452" s="26"/>
      <c r="F17452" s="27">
        <f ca="1">ROUND(67.600*(1+G2/100),2)</f>
        <v>0</v>
      </c>
      <c r="G17452" s="26"/>
    </row>
    <row r="17453" spans="1:7" ht="39.84" thickBot="1" customHeight="1">
      <c r="A17453" s="26"/>
      <c r="B17453" s="26"/>
      <c r="C17453" s="26"/>
      <c r="D17453" s="25" t="s">
        <v>53848</v>
      </c>
      <c r="E17453" s="25"/>
      <c r="F17453" s="25"/>
      <c r="G17453" s="25"/>
    </row>
    <row r="17454" spans="1:7" ht="49.08" thickBot="1" customHeight="1">
      <c r="A17454" s="10" t="s">
        <v>53849</v>
      </c>
      <c r="B17454" s="24" t="s">
        <v>53850</v>
      </c>
      <c r="C17454" s="24" t="s">
        <v>53851</v>
      </c>
      <c r="D17454" s="25" t="s">
        <v>53852</v>
      </c>
      <c r="E17454" s="26"/>
      <c r="F17454" s="27">
        <f ca="1">ROUND(113.250*(1+G2/100),2)</f>
        <v>0</v>
      </c>
      <c r="G17454" s="26"/>
    </row>
    <row r="17455" spans="1:7" ht="30.60" thickBot="1" customHeight="1">
      <c r="A17455" s="26"/>
      <c r="B17455" s="26"/>
      <c r="C17455" s="26"/>
      <c r="D17455" s="25" t="s">
        <v>53853</v>
      </c>
      <c r="E17455" s="25"/>
      <c r="F17455" s="25"/>
      <c r="G17455" s="25"/>
    </row>
    <row r="17456" spans="1:7" ht="39.84" thickBot="1" customHeight="1">
      <c r="A17456" s="10" t="s">
        <v>53854</v>
      </c>
      <c r="B17456" s="24" t="s">
        <v>53855</v>
      </c>
      <c r="C17456" s="24" t="s">
        <v>53856</v>
      </c>
      <c r="D17456" s="25" t="s">
        <v>53857</v>
      </c>
      <c r="E17456" s="26"/>
      <c r="F17456" s="27">
        <f ca="1">ROUND(22.000*(1+G2/100),2)</f>
        <v>0</v>
      </c>
      <c r="G17456" s="26"/>
    </row>
    <row r="17457" spans="1:7" ht="86.04" thickBot="1" customHeight="1">
      <c r="A17457" s="26"/>
      <c r="B17457" s="26"/>
      <c r="C17457" s="26"/>
      <c r="D17457" s="25" t="s">
        <v>53858</v>
      </c>
      <c r="E17457" s="25"/>
      <c r="F17457" s="25"/>
      <c r="G17457" s="25"/>
    </row>
    <row r="17458" spans="1:7" ht="30.60" thickBot="1" customHeight="1">
      <c r="A17458" s="10" t="s">
        <v>53859</v>
      </c>
      <c r="B17458" s="24" t="s">
        <v>53860</v>
      </c>
      <c r="C17458" s="24" t="s">
        <v>53861</v>
      </c>
      <c r="D17458" s="25" t="s">
        <v>53862</v>
      </c>
      <c r="E17458" s="26"/>
      <c r="F17458" s="27">
        <f ca="1">ROUND(69.200*(1+G2/100),2)</f>
        <v>0</v>
      </c>
      <c r="G17458" s="26"/>
    </row>
    <row r="17459" spans="1:7" ht="39.84" thickBot="1" customHeight="1">
      <c r="A17459" s="26"/>
      <c r="B17459" s="26"/>
      <c r="C17459" s="26"/>
      <c r="D17459" s="25" t="s">
        <v>53863</v>
      </c>
      <c r="E17459" s="25"/>
      <c r="F17459" s="25"/>
      <c r="G17459" s="25"/>
    </row>
    <row r="17460" spans="1:7" ht="15.48" thickBot="1" customHeight="1">
      <c r="A17460" s="30"/>
      <c r="B17460" s="30"/>
      <c r="C17460" s="30"/>
      <c r="D17460" s="61" t="s">
        <v>53864</v>
      </c>
      <c r="E17460" s="62"/>
      <c r="F17460" s="62"/>
      <c r="G17460" s="62"/>
    </row>
    <row r="17461" spans="1:7" ht="22.08" thickBot="1" customHeight="1">
      <c r="A17461" s="42" t="s">
        <v>53865</v>
      </c>
      <c r="B17461" s="42" t="s">
        <v>53866</v>
      </c>
      <c r="C17461" s="43"/>
      <c r="D17461" s="44" t="s">
        <v>53867</v>
      </c>
      <c r="E17461" s="43"/>
      <c r="F17461" s="43"/>
      <c r="G17461" s="43"/>
    </row>
    <row r="17462" spans="1:7" ht="39.84" thickBot="1" customHeight="1">
      <c r="A17462" s="10" t="s">
        <v>53868</v>
      </c>
      <c r="B17462" s="24" t="s">
        <v>53869</v>
      </c>
      <c r="C17462" s="24" t="s">
        <v>53870</v>
      </c>
      <c r="D17462" s="25" t="s">
        <v>53871</v>
      </c>
      <c r="E17462" s="26"/>
      <c r="F17462" s="27">
        <f ca="1">ROUND(129.000*(1+G2/100),2)</f>
        <v>0</v>
      </c>
      <c r="G17462" s="26"/>
    </row>
    <row r="17463" spans="1:7" ht="113.76" thickBot="1" customHeight="1">
      <c r="A17463" s="26"/>
      <c r="B17463" s="26"/>
      <c r="C17463" s="26"/>
      <c r="D17463" s="25" t="s">
        <v>53872</v>
      </c>
      <c r="E17463" s="25"/>
      <c r="F17463" s="25"/>
      <c r="G17463" s="25"/>
    </row>
    <row r="17464" spans="1:7" ht="39.84" thickBot="1" customHeight="1">
      <c r="A17464" s="10" t="s">
        <v>53873</v>
      </c>
      <c r="B17464" s="24" t="s">
        <v>53874</v>
      </c>
      <c r="C17464" s="24" t="s">
        <v>53875</v>
      </c>
      <c r="D17464" s="25" t="s">
        <v>53876</v>
      </c>
      <c r="E17464" s="26"/>
      <c r="F17464" s="27">
        <f ca="1">ROUND(129.000*(1+G2/100),2)</f>
        <v>0</v>
      </c>
      <c r="G17464" s="26"/>
    </row>
    <row r="17465" spans="1:7" ht="113.76" thickBot="1" customHeight="1">
      <c r="A17465" s="26"/>
      <c r="B17465" s="26"/>
      <c r="C17465" s="26"/>
      <c r="D17465" s="25" t="s">
        <v>53877</v>
      </c>
      <c r="E17465" s="25"/>
      <c r="F17465" s="25"/>
      <c r="G17465" s="25"/>
    </row>
    <row r="17466" spans="1:7" ht="39.84" thickBot="1" customHeight="1">
      <c r="A17466" s="10" t="s">
        <v>53878</v>
      </c>
      <c r="B17466" s="24" t="s">
        <v>53879</v>
      </c>
      <c r="C17466" s="24" t="s">
        <v>53880</v>
      </c>
      <c r="D17466" s="25" t="s">
        <v>53881</v>
      </c>
      <c r="E17466" s="26"/>
      <c r="F17466" s="27">
        <f ca="1">ROUND(129.000*(1+G2/100),2)</f>
        <v>0</v>
      </c>
      <c r="G17466" s="26"/>
    </row>
    <row r="17467" spans="1:7" ht="113.76" thickBot="1" customHeight="1">
      <c r="A17467" s="26"/>
      <c r="B17467" s="26"/>
      <c r="C17467" s="26"/>
      <c r="D17467" s="25" t="s">
        <v>53882</v>
      </c>
      <c r="E17467" s="25"/>
      <c r="F17467" s="25"/>
      <c r="G17467" s="25"/>
    </row>
    <row r="17468" spans="1:7" ht="39.84" thickBot="1" customHeight="1">
      <c r="A17468" s="10" t="s">
        <v>53883</v>
      </c>
      <c r="B17468" s="24" t="s">
        <v>53884</v>
      </c>
      <c r="C17468" s="24" t="s">
        <v>53885</v>
      </c>
      <c r="D17468" s="25" t="s">
        <v>53886</v>
      </c>
      <c r="E17468" s="26"/>
      <c r="F17468" s="27">
        <f ca="1">ROUND(263.080*(1+G2/100),2)</f>
        <v>0</v>
      </c>
      <c r="G17468" s="26"/>
    </row>
    <row r="17469" spans="1:7" ht="76.80" thickBot="1" customHeight="1">
      <c r="A17469" s="26"/>
      <c r="B17469" s="26"/>
      <c r="C17469" s="26"/>
      <c r="D17469" s="25" t="s">
        <v>53887</v>
      </c>
      <c r="E17469" s="25"/>
      <c r="F17469" s="25"/>
      <c r="G17469" s="25"/>
    </row>
    <row r="17470" spans="1:7" ht="49.08" thickBot="1" customHeight="1">
      <c r="A17470" s="10" t="s">
        <v>53888</v>
      </c>
      <c r="B17470" s="24" t="s">
        <v>53889</v>
      </c>
      <c r="C17470" s="24" t="s">
        <v>53890</v>
      </c>
      <c r="D17470" s="25" t="s">
        <v>53891</v>
      </c>
      <c r="E17470" s="26"/>
      <c r="F17470" s="27">
        <f ca="1">ROUND(56.250*(1+G2/100),2)</f>
        <v>0</v>
      </c>
      <c r="G17470" s="26"/>
    </row>
    <row r="17471" spans="1:7" ht="224.64" thickBot="1" customHeight="1">
      <c r="A17471" s="26"/>
      <c r="B17471" s="26"/>
      <c r="C17471" s="26"/>
      <c r="D17471" s="25" t="s">
        <v>53892</v>
      </c>
      <c r="E17471" s="25"/>
      <c r="F17471" s="25"/>
      <c r="G17471" s="25"/>
    </row>
    <row r="17472" spans="1:7" ht="49.08" thickBot="1" customHeight="1">
      <c r="A17472" s="10" t="s">
        <v>53893</v>
      </c>
      <c r="B17472" s="24" t="s">
        <v>53894</v>
      </c>
      <c r="C17472" s="24" t="s">
        <v>53895</v>
      </c>
      <c r="D17472" s="25" t="s">
        <v>53896</v>
      </c>
      <c r="E17472" s="26"/>
      <c r="F17472" s="27">
        <f ca="1">ROUND(11.830*(1+G2/100),2)</f>
        <v>0</v>
      </c>
      <c r="G17472" s="26"/>
    </row>
    <row r="17473" spans="1:7" ht="58.32" thickBot="1" customHeight="1">
      <c r="A17473" s="26"/>
      <c r="B17473" s="26"/>
      <c r="C17473" s="26"/>
      <c r="D17473" s="25" t="s">
        <v>53897</v>
      </c>
      <c r="E17473" s="25"/>
      <c r="F17473" s="25"/>
      <c r="G17473" s="25"/>
    </row>
    <row r="17474" spans="1:7" ht="49.08" thickBot="1" customHeight="1">
      <c r="A17474" s="10" t="s">
        <v>53898</v>
      </c>
      <c r="B17474" s="24" t="s">
        <v>53899</v>
      </c>
      <c r="C17474" s="24" t="s">
        <v>53900</v>
      </c>
      <c r="D17474" s="25" t="s">
        <v>53901</v>
      </c>
      <c r="E17474" s="26"/>
      <c r="F17474" s="27">
        <f ca="1">ROUND(21.750*(1+G2/100),2)</f>
        <v>0</v>
      </c>
      <c r="G17474" s="26"/>
    </row>
    <row r="17475" spans="1:7" ht="141.48" thickBot="1" customHeight="1">
      <c r="A17475" s="26"/>
      <c r="B17475" s="26"/>
      <c r="C17475" s="26"/>
      <c r="D17475" s="25" t="s">
        <v>53902</v>
      </c>
      <c r="E17475" s="25"/>
      <c r="F17475" s="25"/>
      <c r="G17475" s="25"/>
    </row>
    <row r="17476" spans="1:7" ht="49.08" thickBot="1" customHeight="1">
      <c r="A17476" s="10" t="s">
        <v>53903</v>
      </c>
      <c r="B17476" s="24" t="s">
        <v>53904</v>
      </c>
      <c r="C17476" s="24" t="s">
        <v>53905</v>
      </c>
      <c r="D17476" s="25" t="s">
        <v>53906</v>
      </c>
      <c r="E17476" s="26"/>
      <c r="F17476" s="27">
        <f ca="1">ROUND(168.670*(1+G2/100),2)</f>
        <v>0</v>
      </c>
      <c r="G17476" s="26"/>
    </row>
    <row r="17477" spans="1:7" ht="95.28" thickBot="1" customHeight="1">
      <c r="A17477" s="26"/>
      <c r="B17477" s="26"/>
      <c r="C17477" s="26"/>
      <c r="D17477" s="25" t="s">
        <v>53907</v>
      </c>
      <c r="E17477" s="25"/>
      <c r="F17477" s="25"/>
      <c r="G17477" s="25"/>
    </row>
    <row r="17478" spans="1:7" ht="39.84" thickBot="1" customHeight="1">
      <c r="A17478" s="10" t="s">
        <v>53908</v>
      </c>
      <c r="B17478" s="24" t="s">
        <v>53909</v>
      </c>
      <c r="C17478" s="24" t="s">
        <v>53910</v>
      </c>
      <c r="D17478" s="25" t="s">
        <v>53911</v>
      </c>
      <c r="E17478" s="26"/>
      <c r="F17478" s="27">
        <f ca="1">ROUND(138.020*(1+G2/100),2)</f>
        <v>0</v>
      </c>
      <c r="G17478" s="26"/>
    </row>
    <row r="17479" spans="1:7" ht="86.04" thickBot="1" customHeight="1">
      <c r="A17479" s="26"/>
      <c r="B17479" s="26"/>
      <c r="C17479" s="26"/>
      <c r="D17479" s="25" t="s">
        <v>53912</v>
      </c>
      <c r="E17479" s="25"/>
      <c r="F17479" s="25"/>
      <c r="G17479" s="25"/>
    </row>
    <row r="17480" spans="1:7" ht="49.08" thickBot="1" customHeight="1">
      <c r="A17480" s="10" t="s">
        <v>53913</v>
      </c>
      <c r="B17480" s="24" t="s">
        <v>53914</v>
      </c>
      <c r="C17480" s="24" t="s">
        <v>53915</v>
      </c>
      <c r="D17480" s="25" t="s">
        <v>53916</v>
      </c>
      <c r="E17480" s="26"/>
      <c r="F17480" s="27">
        <f ca="1">ROUND(83.540*(1+G2/100),2)</f>
        <v>0</v>
      </c>
      <c r="G17480" s="26"/>
    </row>
    <row r="17481" spans="1:7" ht="30.60" thickBot="1" customHeight="1">
      <c r="A17481" s="26"/>
      <c r="B17481" s="26"/>
      <c r="C17481" s="26"/>
      <c r="D17481" s="25" t="s">
        <v>53917</v>
      </c>
      <c r="E17481" s="25"/>
      <c r="F17481" s="25"/>
      <c r="G17481" s="25"/>
    </row>
    <row r="17482" spans="1:7" ht="49.08" thickBot="1" customHeight="1">
      <c r="A17482" s="10" t="s">
        <v>53918</v>
      </c>
      <c r="B17482" s="24" t="s">
        <v>53919</v>
      </c>
      <c r="C17482" s="24" t="s">
        <v>53920</v>
      </c>
      <c r="D17482" s="25" t="s">
        <v>53921</v>
      </c>
      <c r="E17482" s="26"/>
      <c r="F17482" s="27">
        <f ca="1">ROUND(3.160*(1+G2/100),2)</f>
        <v>0</v>
      </c>
      <c r="G17482" s="26"/>
    </row>
    <row r="17483" spans="1:7" ht="39.84" thickBot="1" customHeight="1">
      <c r="A17483" s="26"/>
      <c r="B17483" s="26"/>
      <c r="C17483" s="26"/>
      <c r="D17483" s="25" t="s">
        <v>53922</v>
      </c>
      <c r="E17483" s="25"/>
      <c r="F17483" s="25"/>
      <c r="G17483" s="25"/>
    </row>
    <row r="17484" spans="1:7" ht="58.32" thickBot="1" customHeight="1">
      <c r="A17484" s="10" t="s">
        <v>53923</v>
      </c>
      <c r="B17484" s="24" t="s">
        <v>53924</v>
      </c>
      <c r="C17484" s="24" t="s">
        <v>53925</v>
      </c>
      <c r="D17484" s="25" t="s">
        <v>53926</v>
      </c>
      <c r="E17484" s="26"/>
      <c r="F17484" s="27">
        <f ca="1">ROUND(16.040*(1+G2/100),2)</f>
        <v>0</v>
      </c>
      <c r="G17484" s="26"/>
    </row>
    <row r="17485" spans="1:7" ht="39.84" thickBot="1" customHeight="1">
      <c r="A17485" s="26"/>
      <c r="B17485" s="26"/>
      <c r="C17485" s="26"/>
      <c r="D17485" s="25" t="s">
        <v>53927</v>
      </c>
      <c r="E17485" s="25"/>
      <c r="F17485" s="25"/>
      <c r="G17485" s="25"/>
    </row>
    <row r="17486" spans="1:7" ht="58.32" thickBot="1" customHeight="1">
      <c r="A17486" s="10" t="s">
        <v>53928</v>
      </c>
      <c r="B17486" s="24" t="s">
        <v>53929</v>
      </c>
      <c r="C17486" s="24" t="s">
        <v>53930</v>
      </c>
      <c r="D17486" s="25" t="s">
        <v>53931</v>
      </c>
      <c r="E17486" s="26"/>
      <c r="F17486" s="27">
        <f ca="1">ROUND(14.510*(1+G2/100),2)</f>
        <v>0</v>
      </c>
      <c r="G17486" s="26"/>
    </row>
    <row r="17487" spans="1:7" ht="39.84" thickBot="1" customHeight="1">
      <c r="A17487" s="26"/>
      <c r="B17487" s="26"/>
      <c r="C17487" s="26"/>
      <c r="D17487" s="25" t="s">
        <v>53932</v>
      </c>
      <c r="E17487" s="25"/>
      <c r="F17487" s="25"/>
      <c r="G17487" s="25"/>
    </row>
    <row r="17488" spans="1:7" ht="49.08" thickBot="1" customHeight="1">
      <c r="A17488" s="10" t="s">
        <v>53933</v>
      </c>
      <c r="B17488" s="24" t="s">
        <v>53934</v>
      </c>
      <c r="C17488" s="24" t="s">
        <v>53935</v>
      </c>
      <c r="D17488" s="25" t="s">
        <v>53936</v>
      </c>
      <c r="E17488" s="26"/>
      <c r="F17488" s="27">
        <f ca="1">ROUND(21.380*(1+G2/100),2)</f>
        <v>0</v>
      </c>
      <c r="G17488" s="26"/>
    </row>
    <row r="17489" spans="1:7" ht="30.60" thickBot="1" customHeight="1">
      <c r="A17489" s="26"/>
      <c r="B17489" s="26"/>
      <c r="C17489" s="26"/>
      <c r="D17489" s="25" t="s">
        <v>53937</v>
      </c>
      <c r="E17489" s="25"/>
      <c r="F17489" s="25"/>
      <c r="G17489" s="25"/>
    </row>
    <row r="17490" spans="1:7" ht="49.08" thickBot="1" customHeight="1">
      <c r="A17490" s="10" t="s">
        <v>53938</v>
      </c>
      <c r="B17490" s="24" t="s">
        <v>53939</v>
      </c>
      <c r="C17490" s="24" t="s">
        <v>53940</v>
      </c>
      <c r="D17490" s="25" t="s">
        <v>53941</v>
      </c>
      <c r="E17490" s="26"/>
      <c r="F17490" s="27">
        <f ca="1">ROUND(125.330*(1+G2/100),2)</f>
        <v>0</v>
      </c>
      <c r="G17490" s="26"/>
    </row>
    <row r="17491" spans="1:7" ht="132.24" thickBot="1" customHeight="1">
      <c r="A17491" s="26"/>
      <c r="B17491" s="26"/>
      <c r="C17491" s="26"/>
      <c r="D17491" s="25" t="s">
        <v>53942</v>
      </c>
      <c r="E17491" s="25"/>
      <c r="F17491" s="25"/>
      <c r="G17491" s="25"/>
    </row>
    <row r="17492" spans="1:7" ht="39.84" thickBot="1" customHeight="1">
      <c r="A17492" s="10" t="s">
        <v>53943</v>
      </c>
      <c r="B17492" s="24" t="s">
        <v>53944</v>
      </c>
      <c r="C17492" s="24" t="s">
        <v>53945</v>
      </c>
      <c r="D17492" s="25" t="s">
        <v>53946</v>
      </c>
      <c r="E17492" s="26"/>
      <c r="F17492" s="27">
        <f ca="1">ROUND(42.850*(1+G2/100),2)</f>
        <v>0</v>
      </c>
      <c r="G17492" s="26"/>
    </row>
    <row r="17493" spans="1:7" ht="86.04" thickBot="1" customHeight="1">
      <c r="A17493" s="26"/>
      <c r="B17493" s="26"/>
      <c r="C17493" s="26"/>
      <c r="D17493" s="25" t="s">
        <v>53947</v>
      </c>
      <c r="E17493" s="25"/>
      <c r="F17493" s="25"/>
      <c r="G17493" s="25"/>
    </row>
    <row r="17494" spans="1:7" ht="49.08" thickBot="1" customHeight="1">
      <c r="A17494" s="10" t="s">
        <v>53948</v>
      </c>
      <c r="B17494" s="24" t="s">
        <v>53949</v>
      </c>
      <c r="C17494" s="24" t="s">
        <v>53950</v>
      </c>
      <c r="D17494" s="25" t="s">
        <v>53951</v>
      </c>
      <c r="E17494" s="26"/>
      <c r="F17494" s="27">
        <f ca="1">ROUND(0.230*(1+G2/100),2)</f>
        <v>0</v>
      </c>
      <c r="G17494" s="26"/>
    </row>
    <row r="17495" spans="1:7" ht="76.80" thickBot="1" customHeight="1">
      <c r="A17495" s="26"/>
      <c r="B17495" s="26"/>
      <c r="C17495" s="26"/>
      <c r="D17495" s="25" t="s">
        <v>53952</v>
      </c>
      <c r="E17495" s="25"/>
      <c r="F17495" s="25"/>
      <c r="G17495" s="25"/>
    </row>
    <row r="17496" spans="1:7" ht="49.08" thickBot="1" customHeight="1">
      <c r="A17496" s="10" t="s">
        <v>53953</v>
      </c>
      <c r="B17496" s="24" t="s">
        <v>53954</v>
      </c>
      <c r="C17496" s="24" t="s">
        <v>53955</v>
      </c>
      <c r="D17496" s="25" t="s">
        <v>53956</v>
      </c>
      <c r="E17496" s="26"/>
      <c r="F17496" s="27">
        <f ca="1">ROUND(0.254*(1+G2/100),2)</f>
        <v>0</v>
      </c>
      <c r="G17496" s="26"/>
    </row>
    <row r="17497" spans="1:7" ht="76.80" thickBot="1" customHeight="1">
      <c r="A17497" s="26"/>
      <c r="B17497" s="26"/>
      <c r="C17497" s="26"/>
      <c r="D17497" s="25" t="s">
        <v>53957</v>
      </c>
      <c r="E17497" s="25"/>
      <c r="F17497" s="25"/>
      <c r="G17497" s="25"/>
    </row>
    <row r="17498" spans="1:7" ht="49.08" thickBot="1" customHeight="1">
      <c r="A17498" s="10" t="s">
        <v>53958</v>
      </c>
      <c r="B17498" s="24" t="s">
        <v>53959</v>
      </c>
      <c r="C17498" s="24" t="s">
        <v>53960</v>
      </c>
      <c r="D17498" s="25" t="s">
        <v>53961</v>
      </c>
      <c r="E17498" s="26"/>
      <c r="F17498" s="27">
        <f ca="1">ROUND(7.540*(1+G2/100),2)</f>
        <v>0</v>
      </c>
      <c r="G17498" s="26"/>
    </row>
    <row r="17499" spans="1:7" ht="39.84" thickBot="1" customHeight="1">
      <c r="A17499" s="26"/>
      <c r="B17499" s="26"/>
      <c r="C17499" s="26"/>
      <c r="D17499" s="25" t="s">
        <v>53962</v>
      </c>
      <c r="E17499" s="25"/>
      <c r="F17499" s="25"/>
      <c r="G17499" s="25"/>
    </row>
    <row r="17500" spans="1:7" ht="39.84" thickBot="1" customHeight="1">
      <c r="A17500" s="10" t="s">
        <v>53963</v>
      </c>
      <c r="B17500" s="24" t="s">
        <v>53964</v>
      </c>
      <c r="C17500" s="24" t="s">
        <v>53965</v>
      </c>
      <c r="D17500" s="25" t="s">
        <v>53966</v>
      </c>
      <c r="E17500" s="26"/>
      <c r="F17500" s="27">
        <f ca="1">ROUND(56.000*(1+G2/100),2)</f>
        <v>0</v>
      </c>
      <c r="G17500" s="26"/>
    </row>
    <row r="17501" spans="1:7" ht="39.84" thickBot="1" customHeight="1">
      <c r="A17501" s="26"/>
      <c r="B17501" s="26"/>
      <c r="C17501" s="26"/>
      <c r="D17501" s="25" t="s">
        <v>53967</v>
      </c>
      <c r="E17501" s="25"/>
      <c r="F17501" s="25"/>
      <c r="G17501" s="25"/>
    </row>
    <row r="17502" spans="1:7" ht="49.08" thickBot="1" customHeight="1">
      <c r="A17502" s="10" t="s">
        <v>53968</v>
      </c>
      <c r="B17502" s="24" t="s">
        <v>53969</v>
      </c>
      <c r="C17502" s="24" t="s">
        <v>53970</v>
      </c>
      <c r="D17502" s="25" t="s">
        <v>53971</v>
      </c>
      <c r="E17502" s="26"/>
      <c r="F17502" s="27">
        <f ca="1">ROUND(9.010*(1+G2/100),2)</f>
        <v>0</v>
      </c>
      <c r="G17502" s="26"/>
    </row>
    <row r="17503" spans="1:7" ht="123.00" thickBot="1" customHeight="1">
      <c r="A17503" s="26"/>
      <c r="B17503" s="26"/>
      <c r="C17503" s="26"/>
      <c r="D17503" s="25" t="s">
        <v>53972</v>
      </c>
      <c r="E17503" s="25"/>
      <c r="F17503" s="25"/>
      <c r="G17503" s="25"/>
    </row>
    <row r="17504" spans="1:7" ht="39.84" thickBot="1" customHeight="1">
      <c r="A17504" s="10" t="s">
        <v>53973</v>
      </c>
      <c r="B17504" s="24" t="s">
        <v>53974</v>
      </c>
      <c r="C17504" s="24" t="s">
        <v>53975</v>
      </c>
      <c r="D17504" s="25" t="s">
        <v>53976</v>
      </c>
      <c r="E17504" s="26"/>
      <c r="F17504" s="27">
        <f ca="1">ROUND(35.950*(1+G2/100),2)</f>
        <v>0</v>
      </c>
      <c r="G17504" s="26"/>
    </row>
    <row r="17505" spans="1:7" ht="30.60" thickBot="1" customHeight="1">
      <c r="A17505" s="26"/>
      <c r="B17505" s="26"/>
      <c r="C17505" s="26"/>
      <c r="D17505" s="25" t="s">
        <v>53977</v>
      </c>
      <c r="E17505" s="25"/>
      <c r="F17505" s="25"/>
      <c r="G17505" s="25"/>
    </row>
    <row r="17506" spans="1:7" ht="39.84" thickBot="1" customHeight="1">
      <c r="A17506" s="10" t="s">
        <v>53978</v>
      </c>
      <c r="B17506" s="24" t="s">
        <v>53979</v>
      </c>
      <c r="C17506" s="24" t="s">
        <v>53980</v>
      </c>
      <c r="D17506" s="25" t="s">
        <v>53981</v>
      </c>
      <c r="E17506" s="26"/>
      <c r="F17506" s="27">
        <f ca="1">ROUND(100.000*(1+G2/100),2)</f>
        <v>0</v>
      </c>
      <c r="G17506" s="26"/>
    </row>
    <row r="17507" spans="1:7" ht="95.28" thickBot="1" customHeight="1">
      <c r="A17507" s="26"/>
      <c r="B17507" s="26"/>
      <c r="C17507" s="26"/>
      <c r="D17507" s="25" t="s">
        <v>53982</v>
      </c>
      <c r="E17507" s="25"/>
      <c r="F17507" s="25"/>
      <c r="G17507" s="25"/>
    </row>
    <row r="17508" spans="1:7" ht="49.08" thickBot="1" customHeight="1">
      <c r="A17508" s="10" t="s">
        <v>53983</v>
      </c>
      <c r="B17508" s="24" t="s">
        <v>53984</v>
      </c>
      <c r="C17508" s="24" t="s">
        <v>53985</v>
      </c>
      <c r="D17508" s="25" t="s">
        <v>53986</v>
      </c>
      <c r="E17508" s="26"/>
      <c r="F17508" s="27">
        <f ca="1">ROUND(138.590*(1+G2/100),2)</f>
        <v>0</v>
      </c>
      <c r="G17508" s="26"/>
    </row>
    <row r="17509" spans="1:7" ht="58.32" thickBot="1" customHeight="1">
      <c r="A17509" s="26"/>
      <c r="B17509" s="26"/>
      <c r="C17509" s="26"/>
      <c r="D17509" s="25" t="s">
        <v>53987</v>
      </c>
      <c r="E17509" s="25"/>
      <c r="F17509" s="25"/>
      <c r="G17509" s="25"/>
    </row>
    <row r="17510" spans="1:7" ht="49.08" thickBot="1" customHeight="1">
      <c r="A17510" s="10" t="s">
        <v>53988</v>
      </c>
      <c r="B17510" s="24" t="s">
        <v>53989</v>
      </c>
      <c r="C17510" s="24" t="s">
        <v>53990</v>
      </c>
      <c r="D17510" s="25" t="s">
        <v>53991</v>
      </c>
      <c r="E17510" s="26"/>
      <c r="F17510" s="27">
        <f ca="1">ROUND(15.000*(1+G2/100),2)</f>
        <v>0</v>
      </c>
      <c r="G17510" s="26"/>
    </row>
    <row r="17511" spans="1:7" ht="30.60" thickBot="1" customHeight="1">
      <c r="A17511" s="26"/>
      <c r="B17511" s="26"/>
      <c r="C17511" s="26"/>
      <c r="D17511" s="25" t="s">
        <v>53992</v>
      </c>
      <c r="E17511" s="25"/>
      <c r="F17511" s="25"/>
      <c r="G17511" s="25"/>
    </row>
    <row r="17512" spans="1:7" ht="58.32" thickBot="1" customHeight="1">
      <c r="A17512" s="10" t="s">
        <v>53993</v>
      </c>
      <c r="B17512" s="24" t="s">
        <v>53994</v>
      </c>
      <c r="C17512" s="24" t="s">
        <v>53995</v>
      </c>
      <c r="D17512" s="25" t="s">
        <v>53996</v>
      </c>
      <c r="E17512" s="26"/>
      <c r="F17512" s="27">
        <f ca="1">ROUND(85.480*(1+G2/100),2)</f>
        <v>0</v>
      </c>
      <c r="G17512" s="26"/>
    </row>
    <row r="17513" spans="1:7" ht="58.32" thickBot="1" customHeight="1">
      <c r="A17513" s="26"/>
      <c r="B17513" s="26"/>
      <c r="C17513" s="26"/>
      <c r="D17513" s="25" t="s">
        <v>53997</v>
      </c>
      <c r="E17513" s="25"/>
      <c r="F17513" s="25"/>
      <c r="G17513" s="25"/>
    </row>
    <row r="17514" spans="1:7" ht="58.32" thickBot="1" customHeight="1">
      <c r="A17514" s="10" t="s">
        <v>53998</v>
      </c>
      <c r="B17514" s="24" t="s">
        <v>53999</v>
      </c>
      <c r="C17514" s="24" t="s">
        <v>54000</v>
      </c>
      <c r="D17514" s="25" t="s">
        <v>54001</v>
      </c>
      <c r="E17514" s="26"/>
      <c r="F17514" s="27">
        <f ca="1">ROUND(85.480*(1+G2/100),2)</f>
        <v>0</v>
      </c>
      <c r="G17514" s="26"/>
    </row>
    <row r="17515" spans="1:7" ht="76.80" thickBot="1" customHeight="1">
      <c r="A17515" s="26"/>
      <c r="B17515" s="26"/>
      <c r="C17515" s="26"/>
      <c r="D17515" s="25" t="s">
        <v>54002</v>
      </c>
      <c r="E17515" s="25"/>
      <c r="F17515" s="25"/>
      <c r="G17515" s="25"/>
    </row>
    <row r="17516" spans="1:7" ht="58.32" thickBot="1" customHeight="1">
      <c r="A17516" s="10" t="s">
        <v>54003</v>
      </c>
      <c r="B17516" s="24" t="s">
        <v>54004</v>
      </c>
      <c r="C17516" s="24" t="s">
        <v>54005</v>
      </c>
      <c r="D17516" s="25" t="s">
        <v>54006</v>
      </c>
      <c r="E17516" s="26"/>
      <c r="F17516" s="27">
        <f ca="1">ROUND(5.120*(1+G2/100),2)</f>
        <v>0</v>
      </c>
      <c r="G17516" s="26"/>
    </row>
    <row r="17517" spans="1:7" ht="67.56" thickBot="1" customHeight="1">
      <c r="A17517" s="26"/>
      <c r="B17517" s="26"/>
      <c r="C17517" s="26"/>
      <c r="D17517" s="25" t="s">
        <v>54007</v>
      </c>
      <c r="E17517" s="25"/>
      <c r="F17517" s="25"/>
      <c r="G17517" s="25"/>
    </row>
    <row r="17518" spans="1:7" ht="67.56" thickBot="1" customHeight="1">
      <c r="A17518" s="10" t="s">
        <v>54008</v>
      </c>
      <c r="B17518" s="24" t="s">
        <v>54009</v>
      </c>
      <c r="C17518" s="24" t="s">
        <v>54010</v>
      </c>
      <c r="D17518" s="25" t="s">
        <v>54011</v>
      </c>
      <c r="E17518" s="26"/>
      <c r="F17518" s="27">
        <f ca="1">ROUND(47.870*(1+G2/100),2)</f>
        <v>0</v>
      </c>
      <c r="G17518" s="26"/>
    </row>
    <row r="17519" spans="1:7" ht="76.80" thickBot="1" customHeight="1">
      <c r="A17519" s="26"/>
      <c r="B17519" s="26"/>
      <c r="C17519" s="26"/>
      <c r="D17519" s="25" t="s">
        <v>54012</v>
      </c>
      <c r="E17519" s="25"/>
      <c r="F17519" s="25"/>
      <c r="G17519" s="25"/>
    </row>
    <row r="17520" spans="1:7" ht="58.32" thickBot="1" customHeight="1">
      <c r="A17520" s="10" t="s">
        <v>54013</v>
      </c>
      <c r="B17520" s="24" t="s">
        <v>54014</v>
      </c>
      <c r="C17520" s="24" t="s">
        <v>54015</v>
      </c>
      <c r="D17520" s="25" t="s">
        <v>54016</v>
      </c>
      <c r="E17520" s="26"/>
      <c r="F17520" s="27">
        <f ca="1">ROUND(85.480*(1+G2/100),2)</f>
        <v>0</v>
      </c>
      <c r="G17520" s="26"/>
    </row>
    <row r="17521" spans="1:7" ht="67.56" thickBot="1" customHeight="1">
      <c r="A17521" s="26"/>
      <c r="B17521" s="26"/>
      <c r="C17521" s="26"/>
      <c r="D17521" s="25" t="s">
        <v>54017</v>
      </c>
      <c r="E17521" s="25"/>
      <c r="F17521" s="25"/>
      <c r="G17521" s="25"/>
    </row>
    <row r="17522" spans="1:7" ht="49.08" thickBot="1" customHeight="1">
      <c r="A17522" s="10" t="s">
        <v>54018</v>
      </c>
      <c r="B17522" s="24" t="s">
        <v>54019</v>
      </c>
      <c r="C17522" s="24" t="s">
        <v>54020</v>
      </c>
      <c r="D17522" s="25" t="s">
        <v>54021</v>
      </c>
      <c r="E17522" s="26"/>
      <c r="F17522" s="27">
        <f ca="1">ROUND(13.300*(1+G2/100),2)</f>
        <v>0</v>
      </c>
      <c r="G17522" s="26"/>
    </row>
    <row r="17523" spans="1:7" ht="67.56" thickBot="1" customHeight="1">
      <c r="A17523" s="26"/>
      <c r="B17523" s="26"/>
      <c r="C17523" s="26"/>
      <c r="D17523" s="25" t="s">
        <v>54022</v>
      </c>
      <c r="E17523" s="25"/>
      <c r="F17523" s="25"/>
      <c r="G17523" s="25"/>
    </row>
    <row r="17524" spans="1:7" ht="15.48" thickBot="1" customHeight="1">
      <c r="A17524" s="30"/>
      <c r="B17524" s="30"/>
      <c r="C17524" s="30"/>
      <c r="D17524" s="61" t="s">
        <v>54023</v>
      </c>
      <c r="E17524" s="62"/>
      <c r="F17524" s="62"/>
      <c r="G17524" s="62"/>
    </row>
    <row r="17525" spans="1:7" ht="22.08" thickBot="1" customHeight="1">
      <c r="A17525" s="42" t="s">
        <v>54024</v>
      </c>
      <c r="B17525" s="42" t="s">
        <v>54025</v>
      </c>
      <c r="C17525" s="43"/>
      <c r="D17525" s="44" t="s">
        <v>54026</v>
      </c>
      <c r="E17525" s="43"/>
      <c r="F17525" s="43"/>
      <c r="G17525" s="43"/>
    </row>
    <row r="17526" spans="1:7" ht="30.60" thickBot="1" customHeight="1">
      <c r="A17526" s="10" t="s">
        <v>54027</v>
      </c>
      <c r="B17526" s="24" t="s">
        <v>54028</v>
      </c>
      <c r="C17526" s="24" t="s">
        <v>54029</v>
      </c>
      <c r="D17526" s="25" t="s">
        <v>54030</v>
      </c>
      <c r="E17526" s="26"/>
      <c r="F17526" s="27">
        <f ca="1">ROUND(29.860*(1+G2/100),2)</f>
        <v>0</v>
      </c>
      <c r="G17526" s="26"/>
    </row>
    <row r="17527" spans="1:7" ht="39.84" thickBot="1" customHeight="1">
      <c r="A17527" s="26"/>
      <c r="B17527" s="26"/>
      <c r="C17527" s="26"/>
      <c r="D17527" s="25" t="s">
        <v>54031</v>
      </c>
      <c r="E17527" s="25"/>
      <c r="F17527" s="25"/>
      <c r="G17527" s="25"/>
    </row>
    <row r="17528" spans="1:7" ht="30.60" thickBot="1" customHeight="1">
      <c r="A17528" s="10" t="s">
        <v>54032</v>
      </c>
      <c r="B17528" s="24" t="s">
        <v>54033</v>
      </c>
      <c r="C17528" s="24" t="s">
        <v>54034</v>
      </c>
      <c r="D17528" s="25" t="s">
        <v>54035</v>
      </c>
      <c r="E17528" s="26"/>
      <c r="F17528" s="27">
        <f ca="1">ROUND(44.840*(1+G2/100),2)</f>
        <v>0</v>
      </c>
      <c r="G17528" s="26"/>
    </row>
    <row r="17529" spans="1:7" ht="67.56" thickBot="1" customHeight="1">
      <c r="A17529" s="26"/>
      <c r="B17529" s="26"/>
      <c r="C17529" s="26"/>
      <c r="D17529" s="25" t="s">
        <v>54036</v>
      </c>
      <c r="E17529" s="25"/>
      <c r="F17529" s="25"/>
      <c r="G17529" s="25"/>
    </row>
    <row r="17530" spans="1:7" ht="21.36" thickBot="1" customHeight="1">
      <c r="A17530" s="10" t="s">
        <v>54037</v>
      </c>
      <c r="B17530" s="24" t="s">
        <v>54038</v>
      </c>
      <c r="C17530" s="24" t="s">
        <v>54039</v>
      </c>
      <c r="D17530" s="25" t="s">
        <v>54040</v>
      </c>
      <c r="E17530" s="26"/>
      <c r="F17530" s="27">
        <f ca="1">ROUND(75.350*(1+G2/100),2)</f>
        <v>0</v>
      </c>
      <c r="G17530" s="26"/>
    </row>
    <row r="17531" spans="1:7" ht="58.32" thickBot="1" customHeight="1">
      <c r="A17531" s="26"/>
      <c r="B17531" s="26"/>
      <c r="C17531" s="26"/>
      <c r="D17531" s="25" t="s">
        <v>54041</v>
      </c>
      <c r="E17531" s="25"/>
      <c r="F17531" s="25"/>
      <c r="G17531" s="25"/>
    </row>
    <row r="17532" spans="1:7" ht="30.60" thickBot="1" customHeight="1">
      <c r="A17532" s="10" t="s">
        <v>54042</v>
      </c>
      <c r="B17532" s="24" t="s">
        <v>54043</v>
      </c>
      <c r="C17532" s="24" t="s">
        <v>54044</v>
      </c>
      <c r="D17532" s="25" t="s">
        <v>54045</v>
      </c>
      <c r="E17532" s="26"/>
      <c r="F17532" s="27">
        <f ca="1">ROUND(2.900*(1+G2/100),2)</f>
        <v>0</v>
      </c>
      <c r="G17532" s="26"/>
    </row>
    <row r="17533" spans="1:7" ht="58.32" thickBot="1" customHeight="1">
      <c r="A17533" s="26"/>
      <c r="B17533" s="26"/>
      <c r="C17533" s="26"/>
      <c r="D17533" s="25" t="s">
        <v>54046</v>
      </c>
      <c r="E17533" s="25"/>
      <c r="F17533" s="25"/>
      <c r="G17533" s="25"/>
    </row>
    <row r="17534" spans="1:7" ht="30.60" thickBot="1" customHeight="1">
      <c r="A17534" s="10" t="s">
        <v>54047</v>
      </c>
      <c r="B17534" s="24" t="s">
        <v>54048</v>
      </c>
      <c r="C17534" s="24" t="s">
        <v>54049</v>
      </c>
      <c r="D17534" s="25" t="s">
        <v>54050</v>
      </c>
      <c r="E17534" s="26"/>
      <c r="F17534" s="27">
        <f ca="1">ROUND(13.030*(1+G2/100),2)</f>
        <v>0</v>
      </c>
      <c r="G17534" s="26"/>
    </row>
    <row r="17535" spans="1:7" ht="58.32" thickBot="1" customHeight="1">
      <c r="A17535" s="26"/>
      <c r="B17535" s="26"/>
      <c r="C17535" s="26"/>
      <c r="D17535" s="25" t="s">
        <v>54051</v>
      </c>
      <c r="E17535" s="25"/>
      <c r="F17535" s="25"/>
      <c r="G17535" s="25"/>
    </row>
    <row r="17536" spans="1:7" ht="49.08" thickBot="1" customHeight="1">
      <c r="A17536" s="10" t="s">
        <v>54052</v>
      </c>
      <c r="B17536" s="24" t="s">
        <v>54053</v>
      </c>
      <c r="C17536" s="24" t="s">
        <v>54054</v>
      </c>
      <c r="D17536" s="25" t="s">
        <v>54055</v>
      </c>
      <c r="E17536" s="26"/>
      <c r="F17536" s="27">
        <f ca="1">ROUND(63.210*(1+G2/100),2)</f>
        <v>0</v>
      </c>
      <c r="G17536" s="26"/>
    </row>
    <row r="17537" spans="1:7" ht="86.04" thickBot="1" customHeight="1">
      <c r="A17537" s="26"/>
      <c r="B17537" s="26"/>
      <c r="C17537" s="26"/>
      <c r="D17537" s="25" t="s">
        <v>54056</v>
      </c>
      <c r="E17537" s="25"/>
      <c r="F17537" s="25"/>
      <c r="G17537" s="25"/>
    </row>
    <row r="17538" spans="1:7" ht="39.84" thickBot="1" customHeight="1">
      <c r="A17538" s="10" t="s">
        <v>54057</v>
      </c>
      <c r="B17538" s="24" t="s">
        <v>54058</v>
      </c>
      <c r="C17538" s="24" t="s">
        <v>54059</v>
      </c>
      <c r="D17538" s="25" t="s">
        <v>54060</v>
      </c>
      <c r="E17538" s="26"/>
      <c r="F17538" s="27">
        <f ca="1">ROUND(15.490*(1+G2/100),2)</f>
        <v>0</v>
      </c>
      <c r="G17538" s="26"/>
    </row>
    <row r="17539" spans="1:7" ht="49.08" thickBot="1" customHeight="1">
      <c r="A17539" s="26"/>
      <c r="B17539" s="26"/>
      <c r="C17539" s="26"/>
      <c r="D17539" s="25" t="s">
        <v>54061</v>
      </c>
      <c r="E17539" s="25"/>
      <c r="F17539" s="25"/>
      <c r="G17539" s="25"/>
    </row>
    <row r="17540" spans="1:7" ht="30.60" thickBot="1" customHeight="1">
      <c r="A17540" s="10" t="s">
        <v>54062</v>
      </c>
      <c r="B17540" s="24" t="s">
        <v>54063</v>
      </c>
      <c r="C17540" s="24" t="s">
        <v>54064</v>
      </c>
      <c r="D17540" s="25" t="s">
        <v>54065</v>
      </c>
      <c r="E17540" s="26"/>
      <c r="F17540" s="27">
        <f ca="1">ROUND(7.650*(1+G2/100),2)</f>
        <v>0</v>
      </c>
      <c r="G17540" s="26"/>
    </row>
    <row r="17541" spans="1:7" ht="12.12" thickBot="1" customHeight="1">
      <c r="A17541" s="26"/>
      <c r="B17541" s="26"/>
      <c r="C17541" s="26"/>
      <c r="D17541" s="25" t="s">
        <v>54066</v>
      </c>
      <c r="E17541" s="25"/>
      <c r="F17541" s="25"/>
      <c r="G17541" s="25"/>
    </row>
    <row r="17542" spans="1:7" ht="30.60" thickBot="1" customHeight="1">
      <c r="A17542" s="10" t="s">
        <v>54067</v>
      </c>
      <c r="B17542" s="24" t="s">
        <v>54068</v>
      </c>
      <c r="C17542" s="24" t="s">
        <v>54069</v>
      </c>
      <c r="D17542" s="25" t="s">
        <v>54070</v>
      </c>
      <c r="E17542" s="26"/>
      <c r="F17542" s="27">
        <f ca="1">ROUND(10.100*(1+G2/100),2)</f>
        <v>0</v>
      </c>
      <c r="G17542" s="26"/>
    </row>
    <row r="17543" spans="1:7" ht="58.32" thickBot="1" customHeight="1">
      <c r="A17543" s="26"/>
      <c r="B17543" s="26"/>
      <c r="C17543" s="26"/>
      <c r="D17543" s="25" t="s">
        <v>54071</v>
      </c>
      <c r="E17543" s="25"/>
      <c r="F17543" s="25"/>
      <c r="G17543" s="25"/>
    </row>
    <row r="17544" spans="1:7" ht="30.60" thickBot="1" customHeight="1">
      <c r="A17544" s="10" t="s">
        <v>54072</v>
      </c>
      <c r="B17544" s="24" t="s">
        <v>54073</v>
      </c>
      <c r="C17544" s="24" t="s">
        <v>54074</v>
      </c>
      <c r="D17544" s="25" t="s">
        <v>54075</v>
      </c>
      <c r="E17544" s="26"/>
      <c r="F17544" s="27">
        <f ca="1">ROUND(36.650*(1+G2/100),2)</f>
        <v>0</v>
      </c>
      <c r="G17544" s="26"/>
    </row>
    <row r="17545" spans="1:7" ht="76.80" thickBot="1" customHeight="1">
      <c r="A17545" s="26"/>
      <c r="B17545" s="26"/>
      <c r="C17545" s="26"/>
      <c r="D17545" s="25" t="s">
        <v>54076</v>
      </c>
      <c r="E17545" s="25"/>
      <c r="F17545" s="25"/>
      <c r="G17545" s="25"/>
    </row>
    <row r="17546" spans="1:7" ht="30.60" thickBot="1" customHeight="1">
      <c r="A17546" s="10" t="s">
        <v>54077</v>
      </c>
      <c r="B17546" s="24" t="s">
        <v>54078</v>
      </c>
      <c r="C17546" s="24" t="s">
        <v>54079</v>
      </c>
      <c r="D17546" s="25" t="s">
        <v>54080</v>
      </c>
      <c r="E17546" s="26"/>
      <c r="F17546" s="27">
        <f ca="1">ROUND(97.710*(1+G2/100),2)</f>
        <v>0</v>
      </c>
      <c r="G17546" s="26"/>
    </row>
    <row r="17547" spans="1:7" ht="58.32" thickBot="1" customHeight="1">
      <c r="A17547" s="26"/>
      <c r="B17547" s="26"/>
      <c r="C17547" s="26"/>
      <c r="D17547" s="25" t="s">
        <v>54081</v>
      </c>
      <c r="E17547" s="25"/>
      <c r="F17547" s="25"/>
      <c r="G17547" s="25"/>
    </row>
    <row r="17548" spans="1:7" ht="25.08" thickBot="1" customHeight="1">
      <c r="A17548" s="10" t="s">
        <v>54082</v>
      </c>
      <c r="B17548" s="24" t="s">
        <v>54083</v>
      </c>
      <c r="C17548" s="24" t="s">
        <v>54084</v>
      </c>
      <c r="D17548" s="25" t="s">
        <v>54085</v>
      </c>
      <c r="E17548" s="26"/>
      <c r="F17548" s="27">
        <f ca="1">ROUND(6.550*(1+G2/100),2)</f>
        <v>0</v>
      </c>
      <c r="G17548" s="26"/>
    </row>
    <row r="17549" spans="1:7" ht="12.12" thickBot="1" customHeight="1">
      <c r="A17549" s="26"/>
      <c r="B17549" s="26"/>
      <c r="C17549" s="26"/>
      <c r="D17549" s="25" t="s">
        <v>54086</v>
      </c>
      <c r="E17549" s="25"/>
      <c r="F17549" s="25"/>
      <c r="G17549" s="25"/>
    </row>
    <row r="17550" spans="1:7" ht="30.60" thickBot="1" customHeight="1">
      <c r="A17550" s="10" t="s">
        <v>54087</v>
      </c>
      <c r="B17550" s="24" t="s">
        <v>54088</v>
      </c>
      <c r="C17550" s="24" t="s">
        <v>54089</v>
      </c>
      <c r="D17550" s="25" t="s">
        <v>54090</v>
      </c>
      <c r="E17550" s="26"/>
      <c r="F17550" s="27">
        <f ca="1">ROUND(4.310*(1+G2/100),2)</f>
        <v>0</v>
      </c>
      <c r="G17550" s="26"/>
    </row>
    <row r="17551" spans="1:7" ht="12.12" thickBot="1" customHeight="1">
      <c r="A17551" s="26"/>
      <c r="B17551" s="26"/>
      <c r="C17551" s="26"/>
      <c r="D17551" s="25" t="s">
        <v>54091</v>
      </c>
      <c r="E17551" s="25"/>
      <c r="F17551" s="25"/>
      <c r="G17551" s="25"/>
    </row>
    <row r="17552" spans="1:7" ht="21.36" thickBot="1" customHeight="1">
      <c r="A17552" s="10" t="s">
        <v>54092</v>
      </c>
      <c r="B17552" s="24" t="s">
        <v>54093</v>
      </c>
      <c r="C17552" s="24" t="s">
        <v>54094</v>
      </c>
      <c r="D17552" s="25" t="s">
        <v>54095</v>
      </c>
      <c r="E17552" s="26"/>
      <c r="F17552" s="27">
        <f ca="1">ROUND(63.250*(1+G2/100),2)</f>
        <v>0</v>
      </c>
      <c r="G17552" s="26"/>
    </row>
    <row r="17553" spans="1:7" ht="12.12" thickBot="1" customHeight="1">
      <c r="A17553" s="26"/>
      <c r="B17553" s="26"/>
      <c r="C17553" s="26"/>
      <c r="D17553" s="25" t="s">
        <v>54096</v>
      </c>
      <c r="E17553" s="25"/>
      <c r="F17553" s="25"/>
      <c r="G17553" s="25"/>
    </row>
    <row r="17554" spans="1:7" ht="39.84" thickBot="1" customHeight="1">
      <c r="A17554" s="10" t="s">
        <v>54097</v>
      </c>
      <c r="B17554" s="24" t="s">
        <v>54098</v>
      </c>
      <c r="C17554" s="24" t="s">
        <v>54099</v>
      </c>
      <c r="D17554" s="25" t="s">
        <v>54100</v>
      </c>
      <c r="E17554" s="26"/>
      <c r="F17554" s="27">
        <f ca="1">ROUND(53.230*(1+G2/100),2)</f>
        <v>0</v>
      </c>
      <c r="G17554" s="26"/>
    </row>
    <row r="17555" spans="1:7" ht="58.32" thickBot="1" customHeight="1">
      <c r="A17555" s="26"/>
      <c r="B17555" s="26"/>
      <c r="C17555" s="26"/>
      <c r="D17555" s="25" t="s">
        <v>54101</v>
      </c>
      <c r="E17555" s="25"/>
      <c r="F17555" s="25"/>
      <c r="G17555" s="25"/>
    </row>
    <row r="17556" spans="1:7" ht="49.08" thickBot="1" customHeight="1">
      <c r="A17556" s="10" t="s">
        <v>54102</v>
      </c>
      <c r="B17556" s="24" t="s">
        <v>54103</v>
      </c>
      <c r="C17556" s="24" t="s">
        <v>54104</v>
      </c>
      <c r="D17556" s="25" t="s">
        <v>54105</v>
      </c>
      <c r="E17556" s="26"/>
      <c r="F17556" s="27">
        <f ca="1">ROUND(53.350*(1+G2/100),2)</f>
        <v>0</v>
      </c>
      <c r="G17556" s="26"/>
    </row>
    <row r="17557" spans="1:7" ht="21.36" thickBot="1" customHeight="1">
      <c r="A17557" s="26"/>
      <c r="B17557" s="26"/>
      <c r="C17557" s="26"/>
      <c r="D17557" s="25" t="s">
        <v>54106</v>
      </c>
      <c r="E17557" s="25"/>
      <c r="F17557" s="25"/>
      <c r="G17557" s="25"/>
    </row>
    <row r="17558" spans="1:7" ht="39.84" thickBot="1" customHeight="1">
      <c r="A17558" s="10" t="s">
        <v>54107</v>
      </c>
      <c r="B17558" s="24" t="s">
        <v>54108</v>
      </c>
      <c r="C17558" s="24" t="s">
        <v>54109</v>
      </c>
      <c r="D17558" s="25" t="s">
        <v>54110</v>
      </c>
      <c r="E17558" s="26"/>
      <c r="F17558" s="27">
        <f ca="1">ROUND(14.850*(1+G2/100),2)</f>
        <v>0</v>
      </c>
      <c r="G17558" s="26"/>
    </row>
    <row r="17559" spans="1:7" ht="21.36" thickBot="1" customHeight="1">
      <c r="A17559" s="26"/>
      <c r="B17559" s="26"/>
      <c r="C17559" s="26"/>
      <c r="D17559" s="25" t="s">
        <v>54111</v>
      </c>
      <c r="E17559" s="25"/>
      <c r="F17559" s="25"/>
      <c r="G17559" s="25"/>
    </row>
    <row r="17560" spans="1:7" ht="30.60" thickBot="1" customHeight="1">
      <c r="A17560" s="10" t="s">
        <v>54112</v>
      </c>
      <c r="B17560" s="24" t="s">
        <v>54113</v>
      </c>
      <c r="C17560" s="24" t="s">
        <v>54114</v>
      </c>
      <c r="D17560" s="25" t="s">
        <v>54115</v>
      </c>
      <c r="E17560" s="26"/>
      <c r="F17560" s="27">
        <f ca="1">ROUND(2.420*(1+G2/100),2)</f>
        <v>0</v>
      </c>
      <c r="G17560" s="26"/>
    </row>
    <row r="17561" spans="1:7" ht="12.12" thickBot="1" customHeight="1">
      <c r="A17561" s="26"/>
      <c r="B17561" s="26"/>
      <c r="C17561" s="26"/>
      <c r="D17561" s="25" t="s">
        <v>54116</v>
      </c>
      <c r="E17561" s="25"/>
      <c r="F17561" s="25"/>
      <c r="G17561" s="25"/>
    </row>
    <row r="17562" spans="1:7" ht="30.60" thickBot="1" customHeight="1">
      <c r="A17562" s="10" t="s">
        <v>54117</v>
      </c>
      <c r="B17562" s="24" t="s">
        <v>54118</v>
      </c>
      <c r="C17562" s="24" t="s">
        <v>54119</v>
      </c>
      <c r="D17562" s="25" t="s">
        <v>54120</v>
      </c>
      <c r="E17562" s="26"/>
      <c r="F17562" s="27">
        <f ca="1">ROUND(5.760*(1+G2/100),2)</f>
        <v>0</v>
      </c>
      <c r="G17562" s="26"/>
    </row>
    <row r="17563" spans="1:7" ht="21.36" thickBot="1" customHeight="1">
      <c r="A17563" s="26"/>
      <c r="B17563" s="26"/>
      <c r="C17563" s="26"/>
      <c r="D17563" s="25" t="s">
        <v>54121</v>
      </c>
      <c r="E17563" s="25"/>
      <c r="F17563" s="25"/>
      <c r="G17563" s="25"/>
    </row>
    <row r="17564" spans="1:7" ht="30.60" thickBot="1" customHeight="1">
      <c r="A17564" s="10" t="s">
        <v>54122</v>
      </c>
      <c r="B17564" s="24" t="s">
        <v>54123</v>
      </c>
      <c r="C17564" s="24" t="s">
        <v>54124</v>
      </c>
      <c r="D17564" s="25" t="s">
        <v>54125</v>
      </c>
      <c r="E17564" s="26"/>
      <c r="F17564" s="27">
        <f ca="1">ROUND(8.530*(1+G2/100),2)</f>
        <v>0</v>
      </c>
      <c r="G17564" s="26"/>
    </row>
    <row r="17565" spans="1:7" ht="21.36" thickBot="1" customHeight="1">
      <c r="A17565" s="26"/>
      <c r="B17565" s="26"/>
      <c r="C17565" s="26"/>
      <c r="D17565" s="25" t="s">
        <v>54126</v>
      </c>
      <c r="E17565" s="25"/>
      <c r="F17565" s="25"/>
      <c r="G17565" s="25"/>
    </row>
    <row r="17566" spans="1:7" ht="39.84" thickBot="1" customHeight="1">
      <c r="A17566" s="10" t="s">
        <v>54127</v>
      </c>
      <c r="B17566" s="24" t="s">
        <v>54128</v>
      </c>
      <c r="C17566" s="24" t="s">
        <v>54129</v>
      </c>
      <c r="D17566" s="25" t="s">
        <v>54130</v>
      </c>
      <c r="E17566" s="26"/>
      <c r="F17566" s="27">
        <f ca="1">ROUND(9.990*(1+G2/100),2)</f>
        <v>0</v>
      </c>
      <c r="G17566" s="26"/>
    </row>
    <row r="17567" spans="1:7" ht="21.36" thickBot="1" customHeight="1">
      <c r="A17567" s="26"/>
      <c r="B17567" s="26"/>
      <c r="C17567" s="26"/>
      <c r="D17567" s="25" t="s">
        <v>54131</v>
      </c>
      <c r="E17567" s="25"/>
      <c r="F17567" s="25"/>
      <c r="G17567" s="25"/>
    </row>
    <row r="17568" spans="1:7" ht="39.84" thickBot="1" customHeight="1">
      <c r="A17568" s="10" t="s">
        <v>54132</v>
      </c>
      <c r="B17568" s="24" t="s">
        <v>54133</v>
      </c>
      <c r="C17568" s="24" t="s">
        <v>54134</v>
      </c>
      <c r="D17568" s="25" t="s">
        <v>54135</v>
      </c>
      <c r="E17568" s="26"/>
      <c r="F17568" s="27">
        <f ca="1">ROUND(9.990*(1+G2/100),2)</f>
        <v>0</v>
      </c>
      <c r="G17568" s="26"/>
    </row>
    <row r="17569" spans="1:7" ht="21.36" thickBot="1" customHeight="1">
      <c r="A17569" s="26"/>
      <c r="B17569" s="26"/>
      <c r="C17569" s="26"/>
      <c r="D17569" s="25" t="s">
        <v>54136</v>
      </c>
      <c r="E17569" s="25"/>
      <c r="F17569" s="25"/>
      <c r="G17569" s="25"/>
    </row>
    <row r="17570" spans="1:7" ht="30.60" thickBot="1" customHeight="1">
      <c r="A17570" s="10" t="s">
        <v>54137</v>
      </c>
      <c r="B17570" s="24" t="s">
        <v>54138</v>
      </c>
      <c r="C17570" s="24" t="s">
        <v>54139</v>
      </c>
      <c r="D17570" s="25" t="s">
        <v>54140</v>
      </c>
      <c r="E17570" s="26"/>
      <c r="F17570" s="27">
        <f ca="1">ROUND(11.000*(1+G2/100),2)</f>
        <v>0</v>
      </c>
      <c r="G17570" s="26"/>
    </row>
    <row r="17571" spans="1:7" ht="21.36" thickBot="1" customHeight="1">
      <c r="A17571" s="26"/>
      <c r="B17571" s="26"/>
      <c r="C17571" s="26"/>
      <c r="D17571" s="25" t="s">
        <v>54141</v>
      </c>
      <c r="E17571" s="25"/>
      <c r="F17571" s="25"/>
      <c r="G17571" s="25"/>
    </row>
    <row r="17572" spans="1:7" ht="39.84" thickBot="1" customHeight="1">
      <c r="A17572" s="10" t="s">
        <v>54142</v>
      </c>
      <c r="B17572" s="24" t="s">
        <v>54143</v>
      </c>
      <c r="C17572" s="24" t="s">
        <v>54144</v>
      </c>
      <c r="D17572" s="25" t="s">
        <v>54145</v>
      </c>
      <c r="E17572" s="26"/>
      <c r="F17572" s="27">
        <f ca="1">ROUND(29.110*(1+G2/100),2)</f>
        <v>0</v>
      </c>
      <c r="G17572" s="26"/>
    </row>
    <row r="17573" spans="1:7" ht="21.36" thickBot="1" customHeight="1">
      <c r="A17573" s="26"/>
      <c r="B17573" s="26"/>
      <c r="C17573" s="26"/>
      <c r="D17573" s="25" t="s">
        <v>54146</v>
      </c>
      <c r="E17573" s="25"/>
      <c r="F17573" s="25"/>
      <c r="G17573" s="25"/>
    </row>
    <row r="17574" spans="1:7" ht="39.84" thickBot="1" customHeight="1">
      <c r="A17574" s="10" t="s">
        <v>54147</v>
      </c>
      <c r="B17574" s="24" t="s">
        <v>54148</v>
      </c>
      <c r="C17574" s="24" t="s">
        <v>54149</v>
      </c>
      <c r="D17574" s="25" t="s">
        <v>54150</v>
      </c>
      <c r="E17574" s="26"/>
      <c r="F17574" s="27">
        <f ca="1">ROUND(15.450*(1+G2/100),2)</f>
        <v>0</v>
      </c>
      <c r="G17574" s="26"/>
    </row>
    <row r="17575" spans="1:7" ht="21.36" thickBot="1" customHeight="1">
      <c r="A17575" s="26"/>
      <c r="B17575" s="26"/>
      <c r="C17575" s="26"/>
      <c r="D17575" s="25" t="s">
        <v>54151</v>
      </c>
      <c r="E17575" s="25"/>
      <c r="F17575" s="25"/>
      <c r="G17575" s="25"/>
    </row>
    <row r="17576" spans="1:7" ht="15.48" thickBot="1" customHeight="1">
      <c r="A17576" s="30"/>
      <c r="B17576" s="30"/>
      <c r="C17576" s="30"/>
      <c r="D17576" s="61" t="s">
        <v>54152</v>
      </c>
      <c r="E17576" s="62"/>
      <c r="F17576" s="62"/>
      <c r="G17576" s="62"/>
    </row>
    <row r="17577" spans="1:7" ht="22.08" thickBot="1" customHeight="1">
      <c r="A17577" s="42" t="s">
        <v>54153</v>
      </c>
      <c r="B17577" s="42" t="s">
        <v>54154</v>
      </c>
      <c r="C17577" s="43"/>
      <c r="D17577" s="44" t="s">
        <v>54155</v>
      </c>
      <c r="E17577" s="43"/>
      <c r="F17577" s="43"/>
      <c r="G17577" s="43"/>
    </row>
    <row r="17578" spans="1:7" ht="39.84" thickBot="1" customHeight="1">
      <c r="A17578" s="10" t="s">
        <v>54156</v>
      </c>
      <c r="B17578" s="24" t="s">
        <v>54157</v>
      </c>
      <c r="C17578" s="24" t="s">
        <v>54158</v>
      </c>
      <c r="D17578" s="25" t="s">
        <v>54159</v>
      </c>
      <c r="E17578" s="26"/>
      <c r="F17578" s="27">
        <f ca="1">ROUND(5.040*(1+G2/100),2)</f>
        <v>0</v>
      </c>
      <c r="G17578" s="26"/>
    </row>
    <row r="17579" spans="1:7" ht="49.08" thickBot="1" customHeight="1">
      <c r="A17579" s="26"/>
      <c r="B17579" s="26"/>
      <c r="C17579" s="26"/>
      <c r="D17579" s="25" t="s">
        <v>54160</v>
      </c>
      <c r="E17579" s="25"/>
      <c r="F17579" s="25"/>
      <c r="G17579" s="25"/>
    </row>
    <row r="17580" spans="1:7" ht="49.08" thickBot="1" customHeight="1">
      <c r="A17580" s="10" t="s">
        <v>54161</v>
      </c>
      <c r="B17580" s="24" t="s">
        <v>54162</v>
      </c>
      <c r="C17580" s="24" t="s">
        <v>54163</v>
      </c>
      <c r="D17580" s="25" t="s">
        <v>54164</v>
      </c>
      <c r="E17580" s="26"/>
      <c r="F17580" s="27">
        <f ca="1">ROUND(45.570*(1+G2/100),2)</f>
        <v>0</v>
      </c>
      <c r="G17580" s="26"/>
    </row>
    <row r="17581" spans="1:7" ht="224.64" thickBot="1" customHeight="1">
      <c r="A17581" s="26"/>
      <c r="B17581" s="26"/>
      <c r="C17581" s="26"/>
      <c r="D17581" s="25" t="s">
        <v>54165</v>
      </c>
      <c r="E17581" s="25"/>
      <c r="F17581" s="25"/>
      <c r="G17581" s="25"/>
    </row>
    <row r="17582" spans="1:7" ht="39.84" thickBot="1" customHeight="1">
      <c r="A17582" s="10" t="s">
        <v>54166</v>
      </c>
      <c r="B17582" s="24" t="s">
        <v>54167</v>
      </c>
      <c r="C17582" s="24" t="s">
        <v>54168</v>
      </c>
      <c r="D17582" s="25" t="s">
        <v>54169</v>
      </c>
      <c r="E17582" s="26"/>
      <c r="F17582" s="27">
        <f ca="1">ROUND(133.310*(1+G2/100),2)</f>
        <v>0</v>
      </c>
      <c r="G17582" s="26"/>
    </row>
    <row r="17583" spans="1:7" ht="95.28" thickBot="1" customHeight="1">
      <c r="A17583" s="26"/>
      <c r="B17583" s="26"/>
      <c r="C17583" s="26"/>
      <c r="D17583" s="25" t="s">
        <v>54170</v>
      </c>
      <c r="E17583" s="25"/>
      <c r="F17583" s="25"/>
      <c r="G17583" s="25"/>
    </row>
    <row r="17584" spans="1:7" ht="30.60" thickBot="1" customHeight="1">
      <c r="A17584" s="10" t="s">
        <v>54171</v>
      </c>
      <c r="B17584" s="24" t="s">
        <v>54172</v>
      </c>
      <c r="C17584" s="24" t="s">
        <v>54173</v>
      </c>
      <c r="D17584" s="25" t="s">
        <v>54174</v>
      </c>
      <c r="E17584" s="26"/>
      <c r="F17584" s="27">
        <f ca="1">ROUND(102.000*(1+G2/100),2)</f>
        <v>0</v>
      </c>
      <c r="G17584" s="26"/>
    </row>
    <row r="17585" spans="1:7" ht="30.60" thickBot="1" customHeight="1">
      <c r="A17585" s="26"/>
      <c r="B17585" s="26"/>
      <c r="C17585" s="26"/>
      <c r="D17585" s="25" t="s">
        <v>54175</v>
      </c>
      <c r="E17585" s="25"/>
      <c r="F17585" s="25"/>
      <c r="G17585" s="25"/>
    </row>
    <row r="17586" spans="1:7" ht="39.84" thickBot="1" customHeight="1">
      <c r="A17586" s="10" t="s">
        <v>54176</v>
      </c>
      <c r="B17586" s="24" t="s">
        <v>54177</v>
      </c>
      <c r="C17586" s="24" t="s">
        <v>54178</v>
      </c>
      <c r="D17586" s="25" t="s">
        <v>54179</v>
      </c>
      <c r="E17586" s="26"/>
      <c r="F17586" s="27">
        <f ca="1">ROUND(42.370*(1+G2/100),2)</f>
        <v>0</v>
      </c>
      <c r="G17586" s="26"/>
    </row>
    <row r="17587" spans="1:7" ht="270.84" thickBot="1" customHeight="1">
      <c r="A17587" s="26"/>
      <c r="B17587" s="26"/>
      <c r="C17587" s="26"/>
      <c r="D17587" s="25" t="s">
        <v>54180</v>
      </c>
      <c r="E17587" s="25"/>
      <c r="F17587" s="25"/>
      <c r="G17587" s="25"/>
    </row>
    <row r="17588" spans="1:7" ht="49.08" thickBot="1" customHeight="1">
      <c r="A17588" s="10" t="s">
        <v>54181</v>
      </c>
      <c r="B17588" s="24" t="s">
        <v>54182</v>
      </c>
      <c r="C17588" s="24" t="s">
        <v>54183</v>
      </c>
      <c r="D17588" s="25" t="s">
        <v>54184</v>
      </c>
      <c r="E17588" s="26"/>
      <c r="F17588" s="27">
        <f ca="1">ROUND(71.960*(1+G2/100),2)</f>
        <v>0</v>
      </c>
      <c r="G17588" s="26"/>
    </row>
    <row r="17589" spans="1:7" ht="49.08" thickBot="1" customHeight="1">
      <c r="A17589" s="26"/>
      <c r="B17589" s="26"/>
      <c r="C17589" s="26"/>
      <c r="D17589" s="25" t="s">
        <v>54185</v>
      </c>
      <c r="E17589" s="25"/>
      <c r="F17589" s="25"/>
      <c r="G17589" s="25"/>
    </row>
    <row r="17590" spans="1:7" ht="49.08" thickBot="1" customHeight="1">
      <c r="A17590" s="10" t="s">
        <v>54186</v>
      </c>
      <c r="B17590" s="24" t="s">
        <v>54187</v>
      </c>
      <c r="C17590" s="24" t="s">
        <v>54188</v>
      </c>
      <c r="D17590" s="25" t="s">
        <v>54189</v>
      </c>
      <c r="E17590" s="26"/>
      <c r="F17590" s="27">
        <f ca="1">ROUND(72.450*(1+G2/100),2)</f>
        <v>0</v>
      </c>
      <c r="G17590" s="26"/>
    </row>
    <row r="17591" spans="1:7" ht="49.08" thickBot="1" customHeight="1">
      <c r="A17591" s="26"/>
      <c r="B17591" s="26"/>
      <c r="C17591" s="26"/>
      <c r="D17591" s="25" t="s">
        <v>54190</v>
      </c>
      <c r="E17591" s="25"/>
      <c r="F17591" s="25"/>
      <c r="G17591" s="25"/>
    </row>
    <row r="17592" spans="1:7" ht="49.08" thickBot="1" customHeight="1">
      <c r="A17592" s="10" t="s">
        <v>54191</v>
      </c>
      <c r="B17592" s="24" t="s">
        <v>54192</v>
      </c>
      <c r="C17592" s="24" t="s">
        <v>54193</v>
      </c>
      <c r="D17592" s="25" t="s">
        <v>54194</v>
      </c>
      <c r="E17592" s="26"/>
      <c r="F17592" s="27">
        <f ca="1">ROUND(119.710*(1+G2/100),2)</f>
        <v>0</v>
      </c>
      <c r="G17592" s="26"/>
    </row>
    <row r="17593" spans="1:7" ht="49.08" thickBot="1" customHeight="1">
      <c r="A17593" s="26"/>
      <c r="B17593" s="26"/>
      <c r="C17593" s="26"/>
      <c r="D17593" s="25" t="s">
        <v>54195</v>
      </c>
      <c r="E17593" s="25"/>
      <c r="F17593" s="25"/>
      <c r="G17593" s="25"/>
    </row>
    <row r="17594" spans="1:7" ht="49.08" thickBot="1" customHeight="1">
      <c r="A17594" s="10" t="s">
        <v>54196</v>
      </c>
      <c r="B17594" s="24" t="s">
        <v>54197</v>
      </c>
      <c r="C17594" s="24" t="s">
        <v>54198</v>
      </c>
      <c r="D17594" s="25" t="s">
        <v>54199</v>
      </c>
      <c r="E17594" s="26"/>
      <c r="F17594" s="27">
        <f ca="1">ROUND(178.460*(1+G2/100),2)</f>
        <v>0</v>
      </c>
      <c r="G17594" s="26"/>
    </row>
    <row r="17595" spans="1:7" ht="49.08" thickBot="1" customHeight="1">
      <c r="A17595" s="26"/>
      <c r="B17595" s="26"/>
      <c r="C17595" s="26"/>
      <c r="D17595" s="25" t="s">
        <v>54200</v>
      </c>
      <c r="E17595" s="25"/>
      <c r="F17595" s="25"/>
      <c r="G17595" s="25"/>
    </row>
    <row r="17596" spans="1:7" ht="49.08" thickBot="1" customHeight="1">
      <c r="A17596" s="10" t="s">
        <v>54201</v>
      </c>
      <c r="B17596" s="24" t="s">
        <v>54202</v>
      </c>
      <c r="C17596" s="24" t="s">
        <v>54203</v>
      </c>
      <c r="D17596" s="25" t="s">
        <v>54204</v>
      </c>
      <c r="E17596" s="26"/>
      <c r="F17596" s="27">
        <f ca="1">ROUND(92.200*(1+G2/100),2)</f>
        <v>0</v>
      </c>
      <c r="G17596" s="26"/>
    </row>
    <row r="17597" spans="1:7" ht="76.80" thickBot="1" customHeight="1">
      <c r="A17597" s="26"/>
      <c r="B17597" s="26"/>
      <c r="C17597" s="26"/>
      <c r="D17597" s="25" t="s">
        <v>54205</v>
      </c>
      <c r="E17597" s="25"/>
      <c r="F17597" s="25"/>
      <c r="G17597" s="25"/>
    </row>
    <row r="17598" spans="1:7" ht="49.08" thickBot="1" customHeight="1">
      <c r="A17598" s="10" t="s">
        <v>54206</v>
      </c>
      <c r="B17598" s="24" t="s">
        <v>54207</v>
      </c>
      <c r="C17598" s="24" t="s">
        <v>54208</v>
      </c>
      <c r="D17598" s="25" t="s">
        <v>54209</v>
      </c>
      <c r="E17598" s="26"/>
      <c r="F17598" s="27">
        <f ca="1">ROUND(92.200*(1+G2/100),2)</f>
        <v>0</v>
      </c>
      <c r="G17598" s="26"/>
    </row>
    <row r="17599" spans="1:7" ht="76.80" thickBot="1" customHeight="1">
      <c r="A17599" s="26"/>
      <c r="B17599" s="26"/>
      <c r="C17599" s="26"/>
      <c r="D17599" s="25" t="s">
        <v>54210</v>
      </c>
      <c r="E17599" s="25"/>
      <c r="F17599" s="25"/>
      <c r="G17599" s="25"/>
    </row>
    <row r="17600" spans="1:7" ht="49.08" thickBot="1" customHeight="1">
      <c r="A17600" s="10" t="s">
        <v>54211</v>
      </c>
      <c r="B17600" s="24" t="s">
        <v>54212</v>
      </c>
      <c r="C17600" s="24" t="s">
        <v>54213</v>
      </c>
      <c r="D17600" s="25" t="s">
        <v>54214</v>
      </c>
      <c r="E17600" s="26"/>
      <c r="F17600" s="27">
        <f ca="1">ROUND(114.950*(1+G2/100),2)</f>
        <v>0</v>
      </c>
      <c r="G17600" s="26"/>
    </row>
    <row r="17601" spans="1:7" ht="132.24" thickBot="1" customHeight="1">
      <c r="A17601" s="26"/>
      <c r="B17601" s="26"/>
      <c r="C17601" s="26"/>
      <c r="D17601" s="25" t="s">
        <v>54215</v>
      </c>
      <c r="E17601" s="25"/>
      <c r="F17601" s="25"/>
      <c r="G17601" s="25"/>
    </row>
    <row r="17602" spans="1:7" ht="30.60" thickBot="1" customHeight="1">
      <c r="A17602" s="10" t="s">
        <v>54216</v>
      </c>
      <c r="B17602" s="24" t="s">
        <v>54217</v>
      </c>
      <c r="C17602" s="24" t="s">
        <v>54218</v>
      </c>
      <c r="D17602" s="25" t="s">
        <v>54219</v>
      </c>
      <c r="E17602" s="26"/>
      <c r="F17602" s="27">
        <f ca="1">ROUND(75.520*(1+G2/100),2)</f>
        <v>0</v>
      </c>
      <c r="G17602" s="26"/>
    </row>
    <row r="17603" spans="1:7" ht="58.32" thickBot="1" customHeight="1">
      <c r="A17603" s="26"/>
      <c r="B17603" s="26"/>
      <c r="C17603" s="26"/>
      <c r="D17603" s="25" t="s">
        <v>54220</v>
      </c>
      <c r="E17603" s="25"/>
      <c r="F17603" s="25"/>
      <c r="G17603" s="25"/>
    </row>
    <row r="17604" spans="1:7" ht="39.84" thickBot="1" customHeight="1">
      <c r="A17604" s="10" t="s">
        <v>54221</v>
      </c>
      <c r="B17604" s="24" t="s">
        <v>54222</v>
      </c>
      <c r="C17604" s="24" t="s">
        <v>54223</v>
      </c>
      <c r="D17604" s="25" t="s">
        <v>54224</v>
      </c>
      <c r="E17604" s="26"/>
      <c r="F17604" s="27">
        <f ca="1">ROUND(14.730*(1+G2/100),2)</f>
        <v>0</v>
      </c>
      <c r="G17604" s="26"/>
    </row>
    <row r="17605" spans="1:7" ht="67.56" thickBot="1" customHeight="1">
      <c r="A17605" s="26"/>
      <c r="B17605" s="26"/>
      <c r="C17605" s="26"/>
      <c r="D17605" s="25" t="s">
        <v>54225</v>
      </c>
      <c r="E17605" s="25"/>
      <c r="F17605" s="25"/>
      <c r="G17605" s="25"/>
    </row>
    <row r="17606" spans="1:7" ht="30.60" thickBot="1" customHeight="1">
      <c r="A17606" s="10" t="s">
        <v>54226</v>
      </c>
      <c r="B17606" s="24" t="s">
        <v>54227</v>
      </c>
      <c r="C17606" s="24" t="s">
        <v>54228</v>
      </c>
      <c r="D17606" s="25" t="s">
        <v>54229</v>
      </c>
      <c r="E17606" s="26"/>
      <c r="F17606" s="27">
        <f ca="1">ROUND(2.800*(1+G2/100),2)</f>
        <v>0</v>
      </c>
      <c r="G17606" s="26"/>
    </row>
    <row r="17607" spans="1:7" ht="30.60" thickBot="1" customHeight="1">
      <c r="A17607" s="26"/>
      <c r="B17607" s="26"/>
      <c r="C17607" s="26"/>
      <c r="D17607" s="25" t="s">
        <v>54230</v>
      </c>
      <c r="E17607" s="25"/>
      <c r="F17607" s="25"/>
      <c r="G17607" s="25"/>
    </row>
    <row r="17608" spans="1:7" ht="49.08" thickBot="1" customHeight="1">
      <c r="A17608" s="10" t="s">
        <v>54231</v>
      </c>
      <c r="B17608" s="24" t="s">
        <v>54232</v>
      </c>
      <c r="C17608" s="24" t="s">
        <v>54233</v>
      </c>
      <c r="D17608" s="25" t="s">
        <v>54234</v>
      </c>
      <c r="E17608" s="26"/>
      <c r="F17608" s="27">
        <f ca="1">ROUND(52.270*(1+G2/100),2)</f>
        <v>0</v>
      </c>
      <c r="G17608" s="26"/>
    </row>
    <row r="17609" spans="1:7" ht="49.08" thickBot="1" customHeight="1">
      <c r="A17609" s="26"/>
      <c r="B17609" s="26"/>
      <c r="C17609" s="26"/>
      <c r="D17609" s="25" t="s">
        <v>54235</v>
      </c>
      <c r="E17609" s="25"/>
      <c r="F17609" s="25"/>
      <c r="G17609" s="25"/>
    </row>
    <row r="17610" spans="1:7" ht="39.84" thickBot="1" customHeight="1">
      <c r="A17610" s="10" t="s">
        <v>54236</v>
      </c>
      <c r="B17610" s="24" t="s">
        <v>54237</v>
      </c>
      <c r="C17610" s="24" t="s">
        <v>54238</v>
      </c>
      <c r="D17610" s="25" t="s">
        <v>54239</v>
      </c>
      <c r="E17610" s="26"/>
      <c r="F17610" s="27">
        <f ca="1">ROUND(10.060*(1+G2/100),2)</f>
        <v>0</v>
      </c>
      <c r="G17610" s="26"/>
    </row>
    <row r="17611" spans="1:7" ht="49.08" thickBot="1" customHeight="1">
      <c r="A17611" s="26"/>
      <c r="B17611" s="26"/>
      <c r="C17611" s="26"/>
      <c r="D17611" s="25" t="s">
        <v>54240</v>
      </c>
      <c r="E17611" s="25"/>
      <c r="F17611" s="25"/>
      <c r="G17611" s="25"/>
    </row>
    <row r="17612" spans="1:7" ht="39.84" thickBot="1" customHeight="1">
      <c r="A17612" s="10" t="s">
        <v>54241</v>
      </c>
      <c r="B17612" s="24" t="s">
        <v>54242</v>
      </c>
      <c r="C17612" s="24" t="s">
        <v>54243</v>
      </c>
      <c r="D17612" s="25" t="s">
        <v>54244</v>
      </c>
      <c r="E17612" s="26"/>
      <c r="F17612" s="27">
        <f ca="1">ROUND(19.110*(1+G2/100),2)</f>
        <v>0</v>
      </c>
      <c r="G17612" s="26"/>
    </row>
    <row r="17613" spans="1:7" ht="49.08" thickBot="1" customHeight="1">
      <c r="A17613" s="26"/>
      <c r="B17613" s="26"/>
      <c r="C17613" s="26"/>
      <c r="D17613" s="25" t="s">
        <v>54245</v>
      </c>
      <c r="E17613" s="25"/>
      <c r="F17613" s="25"/>
      <c r="G17613" s="25"/>
    </row>
    <row r="17614" spans="1:7" ht="39.84" thickBot="1" customHeight="1">
      <c r="A17614" s="10" t="s">
        <v>54246</v>
      </c>
      <c r="B17614" s="24" t="s">
        <v>54247</v>
      </c>
      <c r="C17614" s="24" t="s">
        <v>54248</v>
      </c>
      <c r="D17614" s="25" t="s">
        <v>54249</v>
      </c>
      <c r="E17614" s="26"/>
      <c r="F17614" s="27">
        <f ca="1">ROUND(94.920*(1+G2/100),2)</f>
        <v>0</v>
      </c>
      <c r="G17614" s="26"/>
    </row>
    <row r="17615" spans="1:7" ht="49.08" thickBot="1" customHeight="1">
      <c r="A17615" s="26"/>
      <c r="B17615" s="26"/>
      <c r="C17615" s="26"/>
      <c r="D17615" s="25" t="s">
        <v>54250</v>
      </c>
      <c r="E17615" s="25"/>
      <c r="F17615" s="25"/>
      <c r="G17615" s="25"/>
    </row>
    <row r="17616" spans="1:7" ht="49.08" thickBot="1" customHeight="1">
      <c r="A17616" s="10" t="s">
        <v>54251</v>
      </c>
      <c r="B17616" s="24" t="s">
        <v>54252</v>
      </c>
      <c r="C17616" s="24" t="s">
        <v>54253</v>
      </c>
      <c r="D17616" s="25" t="s">
        <v>54254</v>
      </c>
      <c r="E17616" s="26"/>
      <c r="F17616" s="27">
        <f ca="1">ROUND(123.340*(1+G2/100),2)</f>
        <v>0</v>
      </c>
      <c r="G17616" s="26"/>
    </row>
    <row r="17617" spans="1:7" ht="39.84" thickBot="1" customHeight="1">
      <c r="A17617" s="26"/>
      <c r="B17617" s="26"/>
      <c r="C17617" s="26"/>
      <c r="D17617" s="25" t="s">
        <v>54255</v>
      </c>
      <c r="E17617" s="25"/>
      <c r="F17617" s="25"/>
      <c r="G17617" s="25"/>
    </row>
    <row r="17618" spans="1:7" ht="39.84" thickBot="1" customHeight="1">
      <c r="A17618" s="10" t="s">
        <v>54256</v>
      </c>
      <c r="B17618" s="24" t="s">
        <v>54257</v>
      </c>
      <c r="C17618" s="24" t="s">
        <v>54258</v>
      </c>
      <c r="D17618" s="25" t="s">
        <v>54259</v>
      </c>
      <c r="E17618" s="26"/>
      <c r="F17618" s="27">
        <f ca="1">ROUND(10.490*(1+G2/100),2)</f>
        <v>0</v>
      </c>
      <c r="G17618" s="26"/>
    </row>
    <row r="17619" spans="1:7" ht="58.32" thickBot="1" customHeight="1">
      <c r="A17619" s="26"/>
      <c r="B17619" s="26"/>
      <c r="C17619" s="26"/>
      <c r="D17619" s="25" t="s">
        <v>54260</v>
      </c>
      <c r="E17619" s="25"/>
      <c r="F17619" s="25"/>
      <c r="G17619" s="25"/>
    </row>
    <row r="17620" spans="1:7" ht="30.60" thickBot="1" customHeight="1">
      <c r="A17620" s="10" t="s">
        <v>54261</v>
      </c>
      <c r="B17620" s="24" t="s">
        <v>54262</v>
      </c>
      <c r="C17620" s="24" t="s">
        <v>54263</v>
      </c>
      <c r="D17620" s="25" t="s">
        <v>54264</v>
      </c>
      <c r="E17620" s="26"/>
      <c r="F17620" s="27">
        <f ca="1">ROUND(11.100*(1+G2/100),2)</f>
        <v>0</v>
      </c>
      <c r="G17620" s="26"/>
    </row>
    <row r="17621" spans="1:7" ht="39.84" thickBot="1" customHeight="1">
      <c r="A17621" s="26"/>
      <c r="B17621" s="26"/>
      <c r="C17621" s="26"/>
      <c r="D17621" s="25" t="s">
        <v>54265</v>
      </c>
      <c r="E17621" s="25"/>
      <c r="F17621" s="25"/>
      <c r="G17621" s="25"/>
    </row>
    <row r="17622" spans="1:7" ht="39.84" thickBot="1" customHeight="1">
      <c r="A17622" s="10" t="s">
        <v>54266</v>
      </c>
      <c r="B17622" s="24" t="s">
        <v>54267</v>
      </c>
      <c r="C17622" s="24" t="s">
        <v>54268</v>
      </c>
      <c r="D17622" s="25" t="s">
        <v>54269</v>
      </c>
      <c r="E17622" s="26"/>
      <c r="F17622" s="27">
        <f ca="1">ROUND(11.260*(1+G2/100),2)</f>
        <v>0</v>
      </c>
      <c r="G17622" s="26"/>
    </row>
    <row r="17623" spans="1:7" ht="39.84" thickBot="1" customHeight="1">
      <c r="A17623" s="26"/>
      <c r="B17623" s="26"/>
      <c r="C17623" s="26"/>
      <c r="D17623" s="25" t="s">
        <v>54270</v>
      </c>
      <c r="E17623" s="25"/>
      <c r="F17623" s="25"/>
      <c r="G17623" s="25"/>
    </row>
    <row r="17624" spans="1:7" ht="30.60" thickBot="1" customHeight="1">
      <c r="A17624" s="10" t="s">
        <v>54271</v>
      </c>
      <c r="B17624" s="24" t="s">
        <v>54272</v>
      </c>
      <c r="C17624" s="24" t="s">
        <v>54273</v>
      </c>
      <c r="D17624" s="25" t="s">
        <v>54274</v>
      </c>
      <c r="E17624" s="26"/>
      <c r="F17624" s="27">
        <f ca="1">ROUND(28.000*(1+G2/100),2)</f>
        <v>0</v>
      </c>
      <c r="G17624" s="26"/>
    </row>
    <row r="17625" spans="1:7" ht="76.80" thickBot="1" customHeight="1">
      <c r="A17625" s="26"/>
      <c r="B17625" s="26"/>
      <c r="C17625" s="26"/>
      <c r="D17625" s="25" t="s">
        <v>54275</v>
      </c>
      <c r="E17625" s="25"/>
      <c r="F17625" s="25"/>
      <c r="G17625" s="25"/>
    </row>
    <row r="17626" spans="1:7" ht="39.84" thickBot="1" customHeight="1">
      <c r="A17626" s="10" t="s">
        <v>54276</v>
      </c>
      <c r="B17626" s="24" t="s">
        <v>54277</v>
      </c>
      <c r="C17626" s="24" t="s">
        <v>54278</v>
      </c>
      <c r="D17626" s="25" t="s">
        <v>54279</v>
      </c>
      <c r="E17626" s="26"/>
      <c r="F17626" s="27">
        <f ca="1">ROUND(104.030*(1+G2/100),2)</f>
        <v>0</v>
      </c>
      <c r="G17626" s="26"/>
    </row>
    <row r="17627" spans="1:7" ht="39.84" thickBot="1" customHeight="1">
      <c r="A17627" s="26"/>
      <c r="B17627" s="26"/>
      <c r="C17627" s="26"/>
      <c r="D17627" s="25" t="s">
        <v>54280</v>
      </c>
      <c r="E17627" s="25"/>
      <c r="F17627" s="25"/>
      <c r="G17627" s="25"/>
    </row>
    <row r="17628" spans="1:7" ht="49.08" thickBot="1" customHeight="1">
      <c r="A17628" s="10" t="s">
        <v>54281</v>
      </c>
      <c r="B17628" s="24" t="s">
        <v>54282</v>
      </c>
      <c r="C17628" s="24" t="s">
        <v>54283</v>
      </c>
      <c r="D17628" s="25" t="s">
        <v>54284</v>
      </c>
      <c r="E17628" s="26"/>
      <c r="F17628" s="27">
        <f ca="1">ROUND(151.460*(1+G2/100),2)</f>
        <v>0</v>
      </c>
      <c r="G17628" s="26"/>
    </row>
    <row r="17629" spans="1:7" ht="49.08" thickBot="1" customHeight="1">
      <c r="A17629" s="26"/>
      <c r="B17629" s="26"/>
      <c r="C17629" s="26"/>
      <c r="D17629" s="25" t="s">
        <v>54285</v>
      </c>
      <c r="E17629" s="25"/>
      <c r="F17629" s="25"/>
      <c r="G17629" s="25"/>
    </row>
    <row r="17630" spans="1:7" ht="39.84" thickBot="1" customHeight="1">
      <c r="A17630" s="10" t="s">
        <v>54286</v>
      </c>
      <c r="B17630" s="24" t="s">
        <v>54287</v>
      </c>
      <c r="C17630" s="24" t="s">
        <v>54288</v>
      </c>
      <c r="D17630" s="25" t="s">
        <v>54289</v>
      </c>
      <c r="E17630" s="26"/>
      <c r="F17630" s="27">
        <f ca="1">ROUND(133.310*(1+G2/100),2)</f>
        <v>0</v>
      </c>
      <c r="G17630" s="26"/>
    </row>
    <row r="17631" spans="1:7" ht="95.28" thickBot="1" customHeight="1">
      <c r="A17631" s="26"/>
      <c r="B17631" s="26"/>
      <c r="C17631" s="26"/>
      <c r="D17631" s="25" t="s">
        <v>54290</v>
      </c>
      <c r="E17631" s="25"/>
      <c r="F17631" s="25"/>
      <c r="G17631" s="25"/>
    </row>
    <row r="17632" spans="1:7" ht="39.84" thickBot="1" customHeight="1">
      <c r="A17632" s="10" t="s">
        <v>54291</v>
      </c>
      <c r="B17632" s="24" t="s">
        <v>54292</v>
      </c>
      <c r="C17632" s="24" t="s">
        <v>54293</v>
      </c>
      <c r="D17632" s="25" t="s">
        <v>54294</v>
      </c>
      <c r="E17632" s="26"/>
      <c r="F17632" s="27">
        <f ca="1">ROUND(301.400*(1+G2/100),2)</f>
        <v>0</v>
      </c>
      <c r="G17632" s="26"/>
    </row>
    <row r="17633" spans="1:7" ht="104.52" thickBot="1" customHeight="1">
      <c r="A17633" s="26"/>
      <c r="B17633" s="26"/>
      <c r="C17633" s="26"/>
      <c r="D17633" s="25" t="s">
        <v>54295</v>
      </c>
      <c r="E17633" s="25"/>
      <c r="F17633" s="25"/>
      <c r="G17633" s="25"/>
    </row>
    <row r="17634" spans="1:7" ht="39.84" thickBot="1" customHeight="1">
      <c r="A17634" s="10" t="s">
        <v>54296</v>
      </c>
      <c r="B17634" s="24" t="s">
        <v>54297</v>
      </c>
      <c r="C17634" s="24" t="s">
        <v>54298</v>
      </c>
      <c r="D17634" s="25" t="s">
        <v>54299</v>
      </c>
      <c r="E17634" s="26"/>
      <c r="F17634" s="27">
        <f ca="1">ROUND(15.200*(1+G2/100),2)</f>
        <v>0</v>
      </c>
      <c r="G17634" s="26"/>
    </row>
    <row r="17635" spans="1:7" ht="49.08" thickBot="1" customHeight="1">
      <c r="A17635" s="26"/>
      <c r="B17635" s="26"/>
      <c r="C17635" s="26"/>
      <c r="D17635" s="25" t="s">
        <v>54300</v>
      </c>
      <c r="E17635" s="25"/>
      <c r="F17635" s="25"/>
      <c r="G17635" s="25"/>
    </row>
    <row r="17636" spans="1:7" ht="49.08" thickBot="1" customHeight="1">
      <c r="A17636" s="10" t="s">
        <v>54301</v>
      </c>
      <c r="B17636" s="24" t="s">
        <v>54302</v>
      </c>
      <c r="C17636" s="24" t="s">
        <v>54303</v>
      </c>
      <c r="D17636" s="25" t="s">
        <v>54304</v>
      </c>
      <c r="E17636" s="26"/>
      <c r="F17636" s="27">
        <f ca="1">ROUND(75.840*(1+G2/100),2)</f>
        <v>0</v>
      </c>
      <c r="G17636" s="26"/>
    </row>
    <row r="17637" spans="1:7" ht="49.08" thickBot="1" customHeight="1">
      <c r="A17637" s="26"/>
      <c r="B17637" s="26"/>
      <c r="C17637" s="26"/>
      <c r="D17637" s="25" t="s">
        <v>54305</v>
      </c>
      <c r="E17637" s="25"/>
      <c r="F17637" s="25"/>
      <c r="G17637" s="25"/>
    </row>
    <row r="17638" spans="1:7" ht="49.08" thickBot="1" customHeight="1">
      <c r="A17638" s="10" t="s">
        <v>54306</v>
      </c>
      <c r="B17638" s="24" t="s">
        <v>54307</v>
      </c>
      <c r="C17638" s="24" t="s">
        <v>54308</v>
      </c>
      <c r="D17638" s="25" t="s">
        <v>54309</v>
      </c>
      <c r="E17638" s="26"/>
      <c r="F17638" s="27">
        <f ca="1">ROUND(80.180*(1+G2/100),2)</f>
        <v>0</v>
      </c>
      <c r="G17638" s="26"/>
    </row>
    <row r="17639" spans="1:7" ht="49.08" thickBot="1" customHeight="1">
      <c r="A17639" s="26"/>
      <c r="B17639" s="26"/>
      <c r="C17639" s="26"/>
      <c r="D17639" s="25" t="s">
        <v>54310</v>
      </c>
      <c r="E17639" s="25"/>
      <c r="F17639" s="25"/>
      <c r="G17639" s="25"/>
    </row>
    <row r="17640" spans="1:7" ht="49.08" thickBot="1" customHeight="1">
      <c r="A17640" s="10" t="s">
        <v>54311</v>
      </c>
      <c r="B17640" s="24" t="s">
        <v>54312</v>
      </c>
      <c r="C17640" s="24" t="s">
        <v>54313</v>
      </c>
      <c r="D17640" s="25" t="s">
        <v>54314</v>
      </c>
      <c r="E17640" s="26"/>
      <c r="F17640" s="27">
        <f ca="1">ROUND(118.610*(1+G2/100),2)</f>
        <v>0</v>
      </c>
      <c r="G17640" s="26"/>
    </row>
    <row r="17641" spans="1:7" ht="49.08" thickBot="1" customHeight="1">
      <c r="A17641" s="26"/>
      <c r="B17641" s="26"/>
      <c r="C17641" s="26"/>
      <c r="D17641" s="25" t="s">
        <v>54315</v>
      </c>
      <c r="E17641" s="25"/>
      <c r="F17641" s="25"/>
      <c r="G17641" s="25"/>
    </row>
    <row r="17642" spans="1:7" ht="39.84" thickBot="1" customHeight="1">
      <c r="A17642" s="10" t="s">
        <v>54316</v>
      </c>
      <c r="B17642" s="24" t="s">
        <v>54317</v>
      </c>
      <c r="C17642" s="24" t="s">
        <v>54318</v>
      </c>
      <c r="D17642" s="25" t="s">
        <v>54319</v>
      </c>
      <c r="E17642" s="26"/>
      <c r="F17642" s="27">
        <f ca="1">ROUND(93.670*(1+G2/100),2)</f>
        <v>0</v>
      </c>
      <c r="G17642" s="26"/>
    </row>
    <row r="17643" spans="1:7" ht="58.32" thickBot="1" customHeight="1">
      <c r="A17643" s="26"/>
      <c r="B17643" s="26"/>
      <c r="C17643" s="26"/>
      <c r="D17643" s="25" t="s">
        <v>54320</v>
      </c>
      <c r="E17643" s="25"/>
      <c r="F17643" s="25"/>
      <c r="G17643" s="25"/>
    </row>
    <row r="17644" spans="1:7" ht="15.48" thickBot="1" customHeight="1">
      <c r="A17644" s="30"/>
      <c r="B17644" s="30"/>
      <c r="C17644" s="30"/>
      <c r="D17644" s="61" t="s">
        <v>54321</v>
      </c>
      <c r="E17644" s="62"/>
      <c r="F17644" s="62"/>
      <c r="G17644" s="62"/>
    </row>
    <row r="17645" spans="1:7" ht="39.84" thickBot="1" customHeight="1">
      <c r="A17645" s="34" t="s">
        <v>54322</v>
      </c>
      <c r="B17645" s="35" t="s">
        <v>54323</v>
      </c>
      <c r="C17645" s="35" t="s">
        <v>54324</v>
      </c>
      <c r="D17645" s="36" t="s">
        <v>54325</v>
      </c>
      <c r="E17645" s="37"/>
      <c r="F17645" s="38">
        <f ca="1">ROUND(9.080*(1+G2/100),2)</f>
        <v>0</v>
      </c>
      <c r="G17645" s="37"/>
    </row>
    <row r="17646" spans="1:7" ht="49.08" thickBot="1" customHeight="1">
      <c r="A17646" s="26"/>
      <c r="B17646" s="26"/>
      <c r="C17646" s="26"/>
      <c r="D17646" s="25" t="s">
        <v>54326</v>
      </c>
      <c r="E17646" s="25"/>
      <c r="F17646" s="25"/>
      <c r="G17646" s="25"/>
    </row>
    <row r="17647" spans="1:7" ht="39.84" thickBot="1" customHeight="1">
      <c r="A17647" s="10" t="s">
        <v>54327</v>
      </c>
      <c r="B17647" s="24" t="s">
        <v>54328</v>
      </c>
      <c r="C17647" s="24" t="s">
        <v>54329</v>
      </c>
      <c r="D17647" s="25" t="s">
        <v>54330</v>
      </c>
      <c r="E17647" s="26"/>
      <c r="F17647" s="27">
        <f ca="1">ROUND(3.050*(1+G2/100),2)</f>
        <v>0</v>
      </c>
      <c r="G17647" s="26"/>
    </row>
    <row r="17648" spans="1:7" ht="49.08" thickBot="1" customHeight="1">
      <c r="A17648" s="26"/>
      <c r="B17648" s="26"/>
      <c r="C17648" s="26"/>
      <c r="D17648" s="25" t="s">
        <v>54331</v>
      </c>
      <c r="E17648" s="25"/>
      <c r="F17648" s="25"/>
      <c r="G17648" s="25"/>
    </row>
    <row r="17649" spans="1:7" ht="39.84" thickBot="1" customHeight="1">
      <c r="A17649" s="10" t="s">
        <v>54332</v>
      </c>
      <c r="B17649" s="24" t="s">
        <v>54333</v>
      </c>
      <c r="C17649" s="24" t="s">
        <v>54334</v>
      </c>
      <c r="D17649" s="25" t="s">
        <v>54335</v>
      </c>
      <c r="E17649" s="26"/>
      <c r="F17649" s="27">
        <f ca="1">ROUND(4.120*(1+G2/100),2)</f>
        <v>0</v>
      </c>
      <c r="G17649" s="26"/>
    </row>
    <row r="17650" spans="1:7" ht="49.08" thickBot="1" customHeight="1">
      <c r="A17650" s="26"/>
      <c r="B17650" s="26"/>
      <c r="C17650" s="26"/>
      <c r="D17650" s="25" t="s">
        <v>54336</v>
      </c>
      <c r="E17650" s="25"/>
      <c r="F17650" s="25"/>
      <c r="G17650" s="25"/>
    </row>
    <row r="17651" spans="1:7" ht="39.84" thickBot="1" customHeight="1">
      <c r="A17651" s="10" t="s">
        <v>54337</v>
      </c>
      <c r="B17651" s="24" t="s">
        <v>54338</v>
      </c>
      <c r="C17651" s="24" t="s">
        <v>54339</v>
      </c>
      <c r="D17651" s="25" t="s">
        <v>54340</v>
      </c>
      <c r="E17651" s="26"/>
      <c r="F17651" s="27">
        <f ca="1">ROUND(1.640*(1+G2/100),2)</f>
        <v>0</v>
      </c>
      <c r="G17651" s="26"/>
    </row>
    <row r="17652" spans="1:7" ht="49.08" thickBot="1" customHeight="1">
      <c r="A17652" s="26"/>
      <c r="B17652" s="26"/>
      <c r="C17652" s="26"/>
      <c r="D17652" s="25" t="s">
        <v>54341</v>
      </c>
      <c r="E17652" s="25"/>
      <c r="F17652" s="25"/>
      <c r="G17652" s="25"/>
    </row>
    <row r="17653" spans="1:7" ht="58.32" thickBot="1" customHeight="1">
      <c r="A17653" s="10" t="s">
        <v>54342</v>
      </c>
      <c r="B17653" s="24" t="s">
        <v>54343</v>
      </c>
      <c r="C17653" s="24" t="s">
        <v>54344</v>
      </c>
      <c r="D17653" s="25" t="s">
        <v>54345</v>
      </c>
      <c r="E17653" s="26"/>
      <c r="F17653" s="27">
        <f ca="1">ROUND(106.070*(1+G2/100),2)</f>
        <v>0</v>
      </c>
      <c r="G17653" s="26"/>
    </row>
    <row r="17654" spans="1:7" ht="21.36" thickBot="1" customHeight="1">
      <c r="A17654" s="26"/>
      <c r="B17654" s="26"/>
      <c r="C17654" s="26"/>
      <c r="D17654" s="25" t="s">
        <v>54346</v>
      </c>
      <c r="E17654" s="25"/>
      <c r="F17654" s="25"/>
      <c r="G17654" s="25"/>
    </row>
    <row r="17655" spans="1:7" ht="58.32" thickBot="1" customHeight="1">
      <c r="A17655" s="10" t="s">
        <v>54347</v>
      </c>
      <c r="B17655" s="24" t="s">
        <v>54348</v>
      </c>
      <c r="C17655" s="24" t="s">
        <v>54349</v>
      </c>
      <c r="D17655" s="25" t="s">
        <v>54350</v>
      </c>
      <c r="E17655" s="26"/>
      <c r="F17655" s="27">
        <f ca="1">ROUND(112.840*(1+G2/100),2)</f>
        <v>0</v>
      </c>
      <c r="G17655" s="26"/>
    </row>
    <row r="17656" spans="1:7" ht="21.36" thickBot="1" customHeight="1">
      <c r="A17656" s="26"/>
      <c r="B17656" s="26"/>
      <c r="C17656" s="26"/>
      <c r="D17656" s="25" t="s">
        <v>54351</v>
      </c>
      <c r="E17656" s="25"/>
      <c r="F17656" s="25"/>
      <c r="G17656" s="25"/>
    </row>
    <row r="17657" spans="1:7" ht="39.84" thickBot="1" customHeight="1">
      <c r="A17657" s="10" t="s">
        <v>54352</v>
      </c>
      <c r="B17657" s="24" t="s">
        <v>54353</v>
      </c>
      <c r="C17657" s="24" t="s">
        <v>54354</v>
      </c>
      <c r="D17657" s="25" t="s">
        <v>54355</v>
      </c>
      <c r="E17657" s="26"/>
      <c r="F17657" s="27">
        <f ca="1">ROUND(63.660*(1+G2/100),2)</f>
        <v>0</v>
      </c>
      <c r="G17657" s="26"/>
    </row>
    <row r="17658" spans="1:7" ht="86.04" thickBot="1" customHeight="1">
      <c r="A17658" s="26"/>
      <c r="B17658" s="26"/>
      <c r="C17658" s="26"/>
      <c r="D17658" s="25" t="s">
        <v>54356</v>
      </c>
      <c r="E17658" s="25"/>
      <c r="F17658" s="25"/>
      <c r="G17658" s="25"/>
    </row>
    <row r="17659" spans="1:7" ht="39.84" thickBot="1" customHeight="1">
      <c r="A17659" s="10" t="s">
        <v>54357</v>
      </c>
      <c r="B17659" s="24" t="s">
        <v>54358</v>
      </c>
      <c r="C17659" s="24" t="s">
        <v>54359</v>
      </c>
      <c r="D17659" s="25" t="s">
        <v>54360</v>
      </c>
      <c r="E17659" s="26"/>
      <c r="F17659" s="27">
        <f ca="1">ROUND(15.780*(1+G2/100),2)</f>
        <v>0</v>
      </c>
      <c r="G17659" s="26"/>
    </row>
    <row r="17660" spans="1:7" ht="49.08" thickBot="1" customHeight="1">
      <c r="A17660" s="26"/>
      <c r="B17660" s="26"/>
      <c r="C17660" s="26"/>
      <c r="D17660" s="25" t="s">
        <v>54361</v>
      </c>
      <c r="E17660" s="25"/>
      <c r="F17660" s="25"/>
      <c r="G17660" s="25"/>
    </row>
    <row r="17661" spans="1:7" ht="39.84" thickBot="1" customHeight="1">
      <c r="A17661" s="10" t="s">
        <v>54362</v>
      </c>
      <c r="B17661" s="24" t="s">
        <v>54363</v>
      </c>
      <c r="C17661" s="24" t="s">
        <v>54364</v>
      </c>
      <c r="D17661" s="25" t="s">
        <v>54365</v>
      </c>
      <c r="E17661" s="26"/>
      <c r="F17661" s="27">
        <f ca="1">ROUND(9.920*(1+G2/100),2)</f>
        <v>0</v>
      </c>
      <c r="G17661" s="26"/>
    </row>
    <row r="17662" spans="1:7" ht="49.08" thickBot="1" customHeight="1">
      <c r="A17662" s="26"/>
      <c r="B17662" s="26"/>
      <c r="C17662" s="26"/>
      <c r="D17662" s="25" t="s">
        <v>54366</v>
      </c>
      <c r="E17662" s="25"/>
      <c r="F17662" s="25"/>
      <c r="G17662" s="25"/>
    </row>
    <row r="17663" spans="1:7" ht="39.84" thickBot="1" customHeight="1">
      <c r="A17663" s="10" t="s">
        <v>54367</v>
      </c>
      <c r="B17663" s="24" t="s">
        <v>54368</v>
      </c>
      <c r="C17663" s="24" t="s">
        <v>54369</v>
      </c>
      <c r="D17663" s="25" t="s">
        <v>54370</v>
      </c>
      <c r="E17663" s="26"/>
      <c r="F17663" s="27">
        <f ca="1">ROUND(10.660*(1+G2/100),2)</f>
        <v>0</v>
      </c>
      <c r="G17663" s="26"/>
    </row>
    <row r="17664" spans="1:7" ht="49.08" thickBot="1" customHeight="1">
      <c r="A17664" s="26"/>
      <c r="B17664" s="26"/>
      <c r="C17664" s="26"/>
      <c r="D17664" s="25" t="s">
        <v>54371</v>
      </c>
      <c r="E17664" s="25"/>
      <c r="F17664" s="25"/>
      <c r="G17664" s="25"/>
    </row>
    <row r="17665" spans="1:7" ht="39.84" thickBot="1" customHeight="1">
      <c r="A17665" s="10" t="s">
        <v>54372</v>
      </c>
      <c r="B17665" s="24" t="s">
        <v>54373</v>
      </c>
      <c r="C17665" s="24" t="s">
        <v>54374</v>
      </c>
      <c r="D17665" s="25" t="s">
        <v>54375</v>
      </c>
      <c r="E17665" s="26"/>
      <c r="F17665" s="27">
        <f ca="1">ROUND(24.650*(1+G2/100),2)</f>
        <v>0</v>
      </c>
      <c r="G17665" s="26"/>
    </row>
    <row r="17666" spans="1:7" ht="58.32" thickBot="1" customHeight="1">
      <c r="A17666" s="26"/>
      <c r="B17666" s="26"/>
      <c r="C17666" s="26"/>
      <c r="D17666" s="25" t="s">
        <v>54376</v>
      </c>
      <c r="E17666" s="25"/>
      <c r="F17666" s="25"/>
      <c r="G17666" s="25"/>
    </row>
    <row r="17667" spans="1:7" ht="39.84" thickBot="1" customHeight="1">
      <c r="A17667" s="10" t="s">
        <v>54377</v>
      </c>
      <c r="B17667" s="24" t="s">
        <v>54378</v>
      </c>
      <c r="C17667" s="24" t="s">
        <v>54379</v>
      </c>
      <c r="D17667" s="25" t="s">
        <v>54380</v>
      </c>
      <c r="E17667" s="26"/>
      <c r="F17667" s="27">
        <f ca="1">ROUND(26.720*(1+G2/100),2)</f>
        <v>0</v>
      </c>
      <c r="G17667" s="26"/>
    </row>
    <row r="17668" spans="1:7" ht="58.32" thickBot="1" customHeight="1">
      <c r="A17668" s="26"/>
      <c r="B17668" s="26"/>
      <c r="C17668" s="26"/>
      <c r="D17668" s="25" t="s">
        <v>54381</v>
      </c>
      <c r="E17668" s="25"/>
      <c r="F17668" s="25"/>
      <c r="G17668" s="25"/>
    </row>
    <row r="17669" spans="1:7" ht="30.60" thickBot="1" customHeight="1">
      <c r="A17669" s="10" t="s">
        <v>54382</v>
      </c>
      <c r="B17669" s="24" t="s">
        <v>54383</v>
      </c>
      <c r="C17669" s="24" t="s">
        <v>54384</v>
      </c>
      <c r="D17669" s="25" t="s">
        <v>54385</v>
      </c>
      <c r="E17669" s="26"/>
      <c r="F17669" s="27">
        <f ca="1">ROUND(3.380*(1+G2/100),2)</f>
        <v>0</v>
      </c>
      <c r="G17669" s="26"/>
    </row>
    <row r="17670" spans="1:7" ht="76.80" thickBot="1" customHeight="1">
      <c r="A17670" s="26"/>
      <c r="B17670" s="26"/>
      <c r="C17670" s="26"/>
      <c r="D17670" s="25" t="s">
        <v>54386</v>
      </c>
      <c r="E17670" s="25"/>
      <c r="F17670" s="25"/>
      <c r="G17670" s="25"/>
    </row>
    <row r="17671" spans="1:7" ht="30.60" thickBot="1" customHeight="1">
      <c r="A17671" s="10" t="s">
        <v>54387</v>
      </c>
      <c r="B17671" s="24" t="s">
        <v>54388</v>
      </c>
      <c r="C17671" s="24" t="s">
        <v>54389</v>
      </c>
      <c r="D17671" s="25" t="s">
        <v>54390</v>
      </c>
      <c r="E17671" s="26"/>
      <c r="F17671" s="27">
        <f ca="1">ROUND(36.370*(1+G2/100),2)</f>
        <v>0</v>
      </c>
      <c r="G17671" s="26"/>
    </row>
    <row r="17672" spans="1:7" ht="39.84" thickBot="1" customHeight="1">
      <c r="A17672" s="26"/>
      <c r="B17672" s="26"/>
      <c r="C17672" s="26"/>
      <c r="D17672" s="25" t="s">
        <v>54391</v>
      </c>
      <c r="E17672" s="25"/>
      <c r="F17672" s="25"/>
      <c r="G17672" s="25"/>
    </row>
    <row r="17673" spans="1:7" ht="30.60" thickBot="1" customHeight="1">
      <c r="A17673" s="10" t="s">
        <v>54392</v>
      </c>
      <c r="B17673" s="24" t="s">
        <v>54393</v>
      </c>
      <c r="C17673" s="24" t="s">
        <v>54394</v>
      </c>
      <c r="D17673" s="25" t="s">
        <v>54395</v>
      </c>
      <c r="E17673" s="26"/>
      <c r="F17673" s="27">
        <f ca="1">ROUND(28.500*(1+G2/100),2)</f>
        <v>0</v>
      </c>
      <c r="G17673" s="26"/>
    </row>
    <row r="17674" spans="1:7" ht="39.84" thickBot="1" customHeight="1">
      <c r="A17674" s="26"/>
      <c r="B17674" s="26"/>
      <c r="C17674" s="26"/>
      <c r="D17674" s="25" t="s">
        <v>54396</v>
      </c>
      <c r="E17674" s="25"/>
      <c r="F17674" s="25"/>
      <c r="G17674" s="25"/>
    </row>
    <row r="17675" spans="1:7" ht="30.60" thickBot="1" customHeight="1">
      <c r="A17675" s="10" t="s">
        <v>54397</v>
      </c>
      <c r="B17675" s="24" t="s">
        <v>54398</v>
      </c>
      <c r="C17675" s="24" t="s">
        <v>54399</v>
      </c>
      <c r="D17675" s="25" t="s">
        <v>54400</v>
      </c>
      <c r="E17675" s="26"/>
      <c r="F17675" s="27">
        <f ca="1">ROUND(33.600*(1+G2/100),2)</f>
        <v>0</v>
      </c>
      <c r="G17675" s="26"/>
    </row>
    <row r="17676" spans="1:7" ht="39.84" thickBot="1" customHeight="1">
      <c r="A17676" s="26"/>
      <c r="B17676" s="26"/>
      <c r="C17676" s="26"/>
      <c r="D17676" s="25" t="s">
        <v>54401</v>
      </c>
      <c r="E17676" s="25"/>
      <c r="F17676" s="25"/>
      <c r="G17676" s="25"/>
    </row>
    <row r="17677" spans="1:7" ht="30.60" thickBot="1" customHeight="1">
      <c r="A17677" s="10" t="s">
        <v>54402</v>
      </c>
      <c r="B17677" s="24" t="s">
        <v>54403</v>
      </c>
      <c r="C17677" s="24" t="s">
        <v>54404</v>
      </c>
      <c r="D17677" s="25" t="s">
        <v>54405</v>
      </c>
      <c r="E17677" s="26"/>
      <c r="F17677" s="27">
        <f ca="1">ROUND(31.990*(1+G2/100),2)</f>
        <v>0</v>
      </c>
      <c r="G17677" s="26"/>
    </row>
    <row r="17678" spans="1:7" ht="39.84" thickBot="1" customHeight="1">
      <c r="A17678" s="26"/>
      <c r="B17678" s="26"/>
      <c r="C17678" s="26"/>
      <c r="D17678" s="25" t="s">
        <v>54406</v>
      </c>
      <c r="E17678" s="25"/>
      <c r="F17678" s="25"/>
      <c r="G17678" s="25"/>
    </row>
    <row r="17679" spans="1:7" ht="49.08" thickBot="1" customHeight="1">
      <c r="A17679" s="10" t="s">
        <v>54407</v>
      </c>
      <c r="B17679" s="24" t="s">
        <v>54408</v>
      </c>
      <c r="C17679" s="24" t="s">
        <v>54409</v>
      </c>
      <c r="D17679" s="25" t="s">
        <v>54410</v>
      </c>
      <c r="E17679" s="26"/>
      <c r="F17679" s="27">
        <f ca="1">ROUND(35.690*(1+G2/100),2)</f>
        <v>0</v>
      </c>
      <c r="G17679" s="26"/>
    </row>
    <row r="17680" spans="1:7" ht="30.60" thickBot="1" customHeight="1">
      <c r="A17680" s="26"/>
      <c r="B17680" s="26"/>
      <c r="C17680" s="26"/>
      <c r="D17680" s="25" t="s">
        <v>54411</v>
      </c>
      <c r="E17680" s="25"/>
      <c r="F17680" s="25"/>
      <c r="G17680" s="25"/>
    </row>
    <row r="17681" spans="1:7" ht="49.08" thickBot="1" customHeight="1">
      <c r="A17681" s="10" t="s">
        <v>54412</v>
      </c>
      <c r="B17681" s="24" t="s">
        <v>54413</v>
      </c>
      <c r="C17681" s="24" t="s">
        <v>54414</v>
      </c>
      <c r="D17681" s="25" t="s">
        <v>54415</v>
      </c>
      <c r="E17681" s="26"/>
      <c r="F17681" s="27">
        <f ca="1">ROUND(27.460*(1+G2/100),2)</f>
        <v>0</v>
      </c>
      <c r="G17681" s="26"/>
    </row>
    <row r="17682" spans="1:7" ht="39.84" thickBot="1" customHeight="1">
      <c r="A17682" s="26"/>
      <c r="B17682" s="26"/>
      <c r="C17682" s="26"/>
      <c r="D17682" s="25" t="s">
        <v>54416</v>
      </c>
      <c r="E17682" s="25"/>
      <c r="F17682" s="25"/>
      <c r="G17682" s="25"/>
    </row>
    <row r="17683" spans="1:7" ht="39.84" thickBot="1" customHeight="1">
      <c r="A17683" s="10" t="s">
        <v>54417</v>
      </c>
      <c r="B17683" s="24" t="s">
        <v>54418</v>
      </c>
      <c r="C17683" s="24" t="s">
        <v>54419</v>
      </c>
      <c r="D17683" s="25" t="s">
        <v>54420</v>
      </c>
      <c r="E17683" s="26"/>
      <c r="F17683" s="27">
        <f ca="1">ROUND(22.480*(1+G2/100),2)</f>
        <v>0</v>
      </c>
      <c r="G17683" s="26"/>
    </row>
    <row r="17684" spans="1:7" ht="49.08" thickBot="1" customHeight="1">
      <c r="A17684" s="26"/>
      <c r="B17684" s="26"/>
      <c r="C17684" s="26"/>
      <c r="D17684" s="25" t="s">
        <v>54421</v>
      </c>
      <c r="E17684" s="25"/>
      <c r="F17684" s="25"/>
      <c r="G17684" s="25"/>
    </row>
    <row r="17685" spans="1:7" ht="30.60" thickBot="1" customHeight="1">
      <c r="A17685" s="10" t="s">
        <v>54422</v>
      </c>
      <c r="B17685" s="24" t="s">
        <v>54423</v>
      </c>
      <c r="C17685" s="24" t="s">
        <v>54424</v>
      </c>
      <c r="D17685" s="25" t="s">
        <v>54425</v>
      </c>
      <c r="E17685" s="26"/>
      <c r="F17685" s="27">
        <f ca="1">ROUND(2.340*(1+G2/100),2)</f>
        <v>0</v>
      </c>
      <c r="G17685" s="26"/>
    </row>
    <row r="17686" spans="1:7" ht="30.60" thickBot="1" customHeight="1">
      <c r="A17686" s="26"/>
      <c r="B17686" s="26"/>
      <c r="C17686" s="26"/>
      <c r="D17686" s="25" t="s">
        <v>54426</v>
      </c>
      <c r="E17686" s="25"/>
      <c r="F17686" s="25"/>
      <c r="G17686" s="25"/>
    </row>
    <row r="17687" spans="1:7" ht="30.60" thickBot="1" customHeight="1">
      <c r="A17687" s="10" t="s">
        <v>54427</v>
      </c>
      <c r="B17687" s="24" t="s">
        <v>54428</v>
      </c>
      <c r="C17687" s="24" t="s">
        <v>54429</v>
      </c>
      <c r="D17687" s="25" t="s">
        <v>54430</v>
      </c>
      <c r="E17687" s="26"/>
      <c r="F17687" s="27">
        <f ca="1">ROUND(4.680*(1+G2/100),2)</f>
        <v>0</v>
      </c>
      <c r="G17687" s="26"/>
    </row>
    <row r="17688" spans="1:7" ht="30.60" thickBot="1" customHeight="1">
      <c r="A17688" s="26"/>
      <c r="B17688" s="26"/>
      <c r="C17688" s="26"/>
      <c r="D17688" s="25" t="s">
        <v>54431</v>
      </c>
      <c r="E17688" s="25"/>
      <c r="F17688" s="25"/>
      <c r="G17688" s="25"/>
    </row>
    <row r="17689" spans="1:7" ht="30.60" thickBot="1" customHeight="1">
      <c r="A17689" s="10" t="s">
        <v>54432</v>
      </c>
      <c r="B17689" s="24" t="s">
        <v>54433</v>
      </c>
      <c r="C17689" s="24" t="s">
        <v>54434</v>
      </c>
      <c r="D17689" s="25" t="s">
        <v>54435</v>
      </c>
      <c r="E17689" s="26"/>
      <c r="F17689" s="27">
        <f ca="1">ROUND(5.840*(1+G2/100),2)</f>
        <v>0</v>
      </c>
      <c r="G17689" s="26"/>
    </row>
    <row r="17690" spans="1:7" ht="30.60" thickBot="1" customHeight="1">
      <c r="A17690" s="26"/>
      <c r="B17690" s="26"/>
      <c r="C17690" s="26"/>
      <c r="D17690" s="25" t="s">
        <v>54436</v>
      </c>
      <c r="E17690" s="25"/>
      <c r="F17690" s="25"/>
      <c r="G17690" s="25"/>
    </row>
    <row r="17691" spans="1:7" ht="30.60" thickBot="1" customHeight="1">
      <c r="A17691" s="10" t="s">
        <v>54437</v>
      </c>
      <c r="B17691" s="24" t="s">
        <v>54438</v>
      </c>
      <c r="C17691" s="24" t="s">
        <v>54439</v>
      </c>
      <c r="D17691" s="25" t="s">
        <v>54440</v>
      </c>
      <c r="E17691" s="26"/>
      <c r="F17691" s="27">
        <f ca="1">ROUND(52.250*(1+G2/100),2)</f>
        <v>0</v>
      </c>
      <c r="G17691" s="26"/>
    </row>
    <row r="17692" spans="1:7" ht="21.36" thickBot="1" customHeight="1">
      <c r="A17692" s="26"/>
      <c r="B17692" s="26"/>
      <c r="C17692" s="26"/>
      <c r="D17692" s="25" t="s">
        <v>54441</v>
      </c>
      <c r="E17692" s="25"/>
      <c r="F17692" s="25"/>
      <c r="G17692" s="25"/>
    </row>
    <row r="17693" spans="1:7" ht="39.84" thickBot="1" customHeight="1">
      <c r="A17693" s="10" t="s">
        <v>54442</v>
      </c>
      <c r="B17693" s="24" t="s">
        <v>54443</v>
      </c>
      <c r="C17693" s="24" t="s">
        <v>54444</v>
      </c>
      <c r="D17693" s="25" t="s">
        <v>54445</v>
      </c>
      <c r="E17693" s="26"/>
      <c r="F17693" s="27">
        <f ca="1">ROUND(59.830*(1+G2/100),2)</f>
        <v>0</v>
      </c>
      <c r="G17693" s="26"/>
    </row>
    <row r="17694" spans="1:7" ht="86.04" thickBot="1" customHeight="1">
      <c r="A17694" s="26"/>
      <c r="B17694" s="26"/>
      <c r="C17694" s="26"/>
      <c r="D17694" s="25" t="s">
        <v>54446</v>
      </c>
      <c r="E17694" s="25"/>
      <c r="F17694" s="25"/>
      <c r="G17694" s="25"/>
    </row>
    <row r="17695" spans="1:7" ht="39.84" thickBot="1" customHeight="1">
      <c r="A17695" s="10" t="s">
        <v>54447</v>
      </c>
      <c r="B17695" s="24" t="s">
        <v>54448</v>
      </c>
      <c r="C17695" s="24" t="s">
        <v>54449</v>
      </c>
      <c r="D17695" s="25" t="s">
        <v>54450</v>
      </c>
      <c r="E17695" s="26"/>
      <c r="F17695" s="27">
        <f ca="1">ROUND(123.710*(1+G2/100),2)</f>
        <v>0</v>
      </c>
      <c r="G17695" s="26"/>
    </row>
    <row r="17696" spans="1:7" ht="49.08" thickBot="1" customHeight="1">
      <c r="A17696" s="26"/>
      <c r="B17696" s="26"/>
      <c r="C17696" s="26"/>
      <c r="D17696" s="25" t="s">
        <v>54451</v>
      </c>
      <c r="E17696" s="25"/>
      <c r="F17696" s="25"/>
      <c r="G17696" s="25"/>
    </row>
    <row r="17697" spans="1:7" ht="49.08" thickBot="1" customHeight="1">
      <c r="A17697" s="10" t="s">
        <v>54452</v>
      </c>
      <c r="B17697" s="24" t="s">
        <v>54453</v>
      </c>
      <c r="C17697" s="24" t="s">
        <v>54454</v>
      </c>
      <c r="D17697" s="25" t="s">
        <v>54455</v>
      </c>
      <c r="E17697" s="26"/>
      <c r="F17697" s="27">
        <f ca="1">ROUND(43.550*(1+G2/100),2)</f>
        <v>0</v>
      </c>
      <c r="G17697" s="26"/>
    </row>
    <row r="17698" spans="1:7" ht="39.84" thickBot="1" customHeight="1">
      <c r="A17698" s="26"/>
      <c r="B17698" s="26"/>
      <c r="C17698" s="26"/>
      <c r="D17698" s="25" t="s">
        <v>54456</v>
      </c>
      <c r="E17698" s="25"/>
      <c r="F17698" s="25"/>
      <c r="G17698" s="25"/>
    </row>
    <row r="17699" spans="1:7" ht="49.08" thickBot="1" customHeight="1">
      <c r="A17699" s="10" t="s">
        <v>54457</v>
      </c>
      <c r="B17699" s="24" t="s">
        <v>54458</v>
      </c>
      <c r="C17699" s="24" t="s">
        <v>54459</v>
      </c>
      <c r="D17699" s="25" t="s">
        <v>54460</v>
      </c>
      <c r="E17699" s="26"/>
      <c r="F17699" s="27">
        <f ca="1">ROUND(46.950*(1+G2/100),2)</f>
        <v>0</v>
      </c>
      <c r="G17699" s="26"/>
    </row>
    <row r="17700" spans="1:7" ht="39.84" thickBot="1" customHeight="1">
      <c r="A17700" s="26"/>
      <c r="B17700" s="26"/>
      <c r="C17700" s="26"/>
      <c r="D17700" s="25" t="s">
        <v>54461</v>
      </c>
      <c r="E17700" s="25"/>
      <c r="F17700" s="25"/>
      <c r="G17700" s="25"/>
    </row>
    <row r="17701" spans="1:7" ht="15.48" thickBot="1" customHeight="1">
      <c r="A17701" s="30"/>
      <c r="B17701" s="30"/>
      <c r="C17701" s="30"/>
      <c r="D17701" s="79" t="s">
        <v>54462</v>
      </c>
      <c r="E17701" s="80"/>
      <c r="F17701" s="80"/>
      <c r="G17701" s="80"/>
    </row>
    <row r="17702" spans="1:7" ht="31.68" thickBot="1" customHeight="1">
      <c r="A17702" s="52" t="s">
        <v>54463</v>
      </c>
      <c r="B17702" s="52" t="s">
        <v>54464</v>
      </c>
      <c r="C17702" s="53"/>
      <c r="D17702" s="54" t="s">
        <v>54465</v>
      </c>
      <c r="E17702" s="53"/>
      <c r="F17702" s="53"/>
      <c r="G17702" s="53"/>
    </row>
    <row r="17703" spans="1:7" ht="30.60" thickBot="1" customHeight="1">
      <c r="A17703" s="10" t="s">
        <v>54466</v>
      </c>
      <c r="B17703" s="24" t="s">
        <v>54467</v>
      </c>
      <c r="C17703" s="24" t="s">
        <v>54468</v>
      </c>
      <c r="D17703" s="25" t="s">
        <v>54469</v>
      </c>
      <c r="E17703" s="26"/>
      <c r="F17703" s="27">
        <f ca="1">ROUND(188.660*(1+G2/100),2)</f>
        <v>0</v>
      </c>
      <c r="G17703" s="26"/>
    </row>
    <row r="17704" spans="1:7" ht="76.80" thickBot="1" customHeight="1">
      <c r="A17704" s="26"/>
      <c r="B17704" s="26"/>
      <c r="C17704" s="26"/>
      <c r="D17704" s="25" t="s">
        <v>54470</v>
      </c>
      <c r="E17704" s="25"/>
      <c r="F17704" s="25"/>
      <c r="G17704" s="25"/>
    </row>
    <row r="17705" spans="1:7" ht="30.60" thickBot="1" customHeight="1">
      <c r="A17705" s="10" t="s">
        <v>54471</v>
      </c>
      <c r="B17705" s="24" t="s">
        <v>54472</v>
      </c>
      <c r="C17705" s="24" t="s">
        <v>54473</v>
      </c>
      <c r="D17705" s="25" t="s">
        <v>54474</v>
      </c>
      <c r="E17705" s="26"/>
      <c r="F17705" s="27">
        <f ca="1">ROUND(2092.380*(1+G2/100),2)</f>
        <v>0</v>
      </c>
      <c r="G17705" s="26"/>
    </row>
    <row r="17706" spans="1:7" ht="39.84" thickBot="1" customHeight="1">
      <c r="A17706" s="26"/>
      <c r="B17706" s="26"/>
      <c r="C17706" s="26"/>
      <c r="D17706" s="25" t="s">
        <v>54475</v>
      </c>
      <c r="E17706" s="25"/>
      <c r="F17706" s="25"/>
      <c r="G17706" s="25"/>
    </row>
    <row r="17707" spans="1:7" ht="39.84" thickBot="1" customHeight="1">
      <c r="A17707" s="10" t="s">
        <v>54476</v>
      </c>
      <c r="B17707" s="24" t="s">
        <v>54477</v>
      </c>
      <c r="C17707" s="24" t="s">
        <v>54478</v>
      </c>
      <c r="D17707" s="25" t="s">
        <v>54479</v>
      </c>
      <c r="E17707" s="26"/>
      <c r="F17707" s="27">
        <f ca="1">ROUND(291.290*(1+G2/100),2)</f>
        <v>0</v>
      </c>
      <c r="G17707" s="26"/>
    </row>
    <row r="17708" spans="1:7" ht="67.56" thickBot="1" customHeight="1">
      <c r="A17708" s="26"/>
      <c r="B17708" s="26"/>
      <c r="C17708" s="26"/>
      <c r="D17708" s="25" t="s">
        <v>54480</v>
      </c>
      <c r="E17708" s="25"/>
      <c r="F17708" s="25"/>
      <c r="G17708" s="25"/>
    </row>
    <row r="17709" spans="1:7" ht="15.48" thickBot="1" customHeight="1">
      <c r="A17709" s="30"/>
      <c r="B17709" s="30"/>
      <c r="C17709" s="30"/>
      <c r="D17709" s="79" t="s">
        <v>54481</v>
      </c>
      <c r="E17709" s="80"/>
      <c r="F17709" s="80"/>
      <c r="G17709" s="80"/>
    </row>
    <row r="17710" spans="1:7" ht="31.68" thickBot="1" customHeight="1">
      <c r="A17710" s="52" t="s">
        <v>54482</v>
      </c>
      <c r="B17710" s="52" t="s">
        <v>54483</v>
      </c>
      <c r="C17710" s="53"/>
      <c r="D17710" s="54" t="s">
        <v>54484</v>
      </c>
      <c r="E17710" s="53"/>
      <c r="F17710" s="53"/>
      <c r="G17710" s="53"/>
    </row>
    <row r="17711" spans="1:7" ht="39.84" thickBot="1" customHeight="1">
      <c r="A17711" s="10" t="s">
        <v>54485</v>
      </c>
      <c r="B17711" s="24" t="s">
        <v>54486</v>
      </c>
      <c r="C17711" s="24" t="s">
        <v>54487</v>
      </c>
      <c r="D17711" s="25" t="s">
        <v>54488</v>
      </c>
      <c r="E17711" s="26"/>
      <c r="F17711" s="27">
        <f ca="1">ROUND(17.100*(1+G2/100),2)</f>
        <v>0</v>
      </c>
      <c r="G17711" s="26"/>
    </row>
    <row r="17712" spans="1:7" ht="30.60" thickBot="1" customHeight="1">
      <c r="A17712" s="26"/>
      <c r="B17712" s="26"/>
      <c r="C17712" s="26"/>
      <c r="D17712" s="25" t="s">
        <v>54489</v>
      </c>
      <c r="E17712" s="25"/>
      <c r="F17712" s="25"/>
      <c r="G17712" s="25"/>
    </row>
    <row r="17713" spans="1:7" ht="39.84" thickBot="1" customHeight="1">
      <c r="A17713" s="10" t="s">
        <v>54490</v>
      </c>
      <c r="B17713" s="24" t="s">
        <v>54491</v>
      </c>
      <c r="C17713" s="24" t="s">
        <v>54492</v>
      </c>
      <c r="D17713" s="25" t="s">
        <v>54493</v>
      </c>
      <c r="E17713" s="26"/>
      <c r="F17713" s="27">
        <f ca="1">ROUND(18.620*(1+G2/100),2)</f>
        <v>0</v>
      </c>
      <c r="G17713" s="26"/>
    </row>
    <row r="17714" spans="1:7" ht="30.60" thickBot="1" customHeight="1">
      <c r="A17714" s="26"/>
      <c r="B17714" s="26"/>
      <c r="C17714" s="26"/>
      <c r="D17714" s="25" t="s">
        <v>54494</v>
      </c>
      <c r="E17714" s="25"/>
      <c r="F17714" s="25"/>
      <c r="G17714" s="25"/>
    </row>
    <row r="17715" spans="1:7" ht="39.84" thickBot="1" customHeight="1">
      <c r="A17715" s="10" t="s">
        <v>54495</v>
      </c>
      <c r="B17715" s="24" t="s">
        <v>54496</v>
      </c>
      <c r="C17715" s="24" t="s">
        <v>54497</v>
      </c>
      <c r="D17715" s="25" t="s">
        <v>54498</v>
      </c>
      <c r="E17715" s="26"/>
      <c r="F17715" s="27">
        <f ca="1">ROUND(18.870*(1+G2/100),2)</f>
        <v>0</v>
      </c>
      <c r="G17715" s="26"/>
    </row>
    <row r="17716" spans="1:7" ht="30.60" thickBot="1" customHeight="1">
      <c r="A17716" s="26"/>
      <c r="B17716" s="26"/>
      <c r="C17716" s="26"/>
      <c r="D17716" s="25" t="s">
        <v>54499</v>
      </c>
      <c r="E17716" s="25"/>
      <c r="F17716" s="25"/>
      <c r="G17716" s="25"/>
    </row>
    <row r="17717" spans="1:7" ht="39.84" thickBot="1" customHeight="1">
      <c r="A17717" s="10" t="s">
        <v>54500</v>
      </c>
      <c r="B17717" s="24" t="s">
        <v>54501</v>
      </c>
      <c r="C17717" s="24" t="s">
        <v>54502</v>
      </c>
      <c r="D17717" s="25" t="s">
        <v>54503</v>
      </c>
      <c r="E17717" s="26"/>
      <c r="F17717" s="27">
        <f ca="1">ROUND(17.340*(1+G2/100),2)</f>
        <v>0</v>
      </c>
      <c r="G17717" s="26"/>
    </row>
    <row r="17718" spans="1:7" ht="30.60" thickBot="1" customHeight="1">
      <c r="A17718" s="26"/>
      <c r="B17718" s="26"/>
      <c r="C17718" s="26"/>
      <c r="D17718" s="25" t="s">
        <v>54504</v>
      </c>
      <c r="E17718" s="25"/>
      <c r="F17718" s="25"/>
      <c r="G17718" s="25"/>
    </row>
    <row r="17719" spans="1:7" ht="30.60" thickBot="1" customHeight="1">
      <c r="A17719" s="10" t="s">
        <v>54505</v>
      </c>
      <c r="B17719" s="24" t="s">
        <v>54506</v>
      </c>
      <c r="C17719" s="24" t="s">
        <v>54507</v>
      </c>
      <c r="D17719" s="25" t="s">
        <v>54508</v>
      </c>
      <c r="E17719" s="26"/>
      <c r="F17719" s="27">
        <f ca="1">ROUND(17.620*(1+G2/100),2)</f>
        <v>0</v>
      </c>
      <c r="G17719" s="26"/>
    </row>
    <row r="17720" spans="1:7" ht="30.60" thickBot="1" customHeight="1">
      <c r="A17720" s="26"/>
      <c r="B17720" s="26"/>
      <c r="C17720" s="26"/>
      <c r="D17720" s="25" t="s">
        <v>54509</v>
      </c>
      <c r="E17720" s="25"/>
      <c r="F17720" s="25"/>
      <c r="G17720" s="25"/>
    </row>
    <row r="17721" spans="1:7" ht="30.60" thickBot="1" customHeight="1">
      <c r="A17721" s="10" t="s">
        <v>54510</v>
      </c>
      <c r="B17721" s="24" t="s">
        <v>54511</v>
      </c>
      <c r="C17721" s="24" t="s">
        <v>54512</v>
      </c>
      <c r="D17721" s="25" t="s">
        <v>54513</v>
      </c>
      <c r="E17721" s="26"/>
      <c r="F17721" s="27">
        <f ca="1">ROUND(25.500*(1+G2/100),2)</f>
        <v>0</v>
      </c>
      <c r="G17721" s="26"/>
    </row>
    <row r="17722" spans="1:7" ht="67.56" thickBot="1" customHeight="1">
      <c r="A17722" s="26"/>
      <c r="B17722" s="26"/>
      <c r="C17722" s="26"/>
      <c r="D17722" s="25" t="s">
        <v>54514</v>
      </c>
      <c r="E17722" s="25"/>
      <c r="F17722" s="25"/>
      <c r="G17722" s="25"/>
    </row>
    <row r="17723" spans="1:7" ht="30.60" thickBot="1" customHeight="1">
      <c r="A17723" s="10" t="s">
        <v>54515</v>
      </c>
      <c r="B17723" s="24" t="s">
        <v>54516</v>
      </c>
      <c r="C17723" s="24" t="s">
        <v>54517</v>
      </c>
      <c r="D17723" s="25" t="s">
        <v>54518</v>
      </c>
      <c r="E17723" s="26"/>
      <c r="F17723" s="27">
        <f ca="1">ROUND(159.170*(1+G2/100),2)</f>
        <v>0</v>
      </c>
      <c r="G17723" s="26"/>
    </row>
    <row r="17724" spans="1:7" ht="58.32" thickBot="1" customHeight="1">
      <c r="A17724" s="26"/>
      <c r="B17724" s="26"/>
      <c r="C17724" s="26"/>
      <c r="D17724" s="25" t="s">
        <v>54519</v>
      </c>
      <c r="E17724" s="25"/>
      <c r="F17724" s="25"/>
      <c r="G17724" s="25"/>
    </row>
    <row r="17725" spans="1:7" ht="30.60" thickBot="1" customHeight="1">
      <c r="A17725" s="10" t="s">
        <v>54520</v>
      </c>
      <c r="B17725" s="24" t="s">
        <v>54521</v>
      </c>
      <c r="C17725" s="24" t="s">
        <v>54522</v>
      </c>
      <c r="D17725" s="25" t="s">
        <v>54523</v>
      </c>
      <c r="E17725" s="26"/>
      <c r="F17725" s="27">
        <f ca="1">ROUND(17.920*(1+G2/100),2)</f>
        <v>0</v>
      </c>
      <c r="G17725" s="26"/>
    </row>
    <row r="17726" spans="1:7" ht="58.32" thickBot="1" customHeight="1">
      <c r="A17726" s="26"/>
      <c r="B17726" s="26"/>
      <c r="C17726" s="26"/>
      <c r="D17726" s="25" t="s">
        <v>54524</v>
      </c>
      <c r="E17726" s="25"/>
      <c r="F17726" s="25"/>
      <c r="G17726" s="25"/>
    </row>
    <row r="17727" spans="1:7" ht="30.60" thickBot="1" customHeight="1">
      <c r="A17727" s="10" t="s">
        <v>54525</v>
      </c>
      <c r="B17727" s="24" t="s">
        <v>54526</v>
      </c>
      <c r="C17727" s="24" t="s">
        <v>54527</v>
      </c>
      <c r="D17727" s="25" t="s">
        <v>54528</v>
      </c>
      <c r="E17727" s="26"/>
      <c r="F17727" s="27">
        <f ca="1">ROUND(23.080*(1+G2/100),2)</f>
        <v>0</v>
      </c>
      <c r="G17727" s="26"/>
    </row>
    <row r="17728" spans="1:7" ht="58.32" thickBot="1" customHeight="1">
      <c r="A17728" s="26"/>
      <c r="B17728" s="26"/>
      <c r="C17728" s="26"/>
      <c r="D17728" s="25" t="s">
        <v>54529</v>
      </c>
      <c r="E17728" s="25"/>
      <c r="F17728" s="25"/>
      <c r="G17728" s="25"/>
    </row>
    <row r="17729" spans="1:7" ht="30.60" thickBot="1" customHeight="1">
      <c r="A17729" s="10" t="s">
        <v>54530</v>
      </c>
      <c r="B17729" s="24" t="s">
        <v>54531</v>
      </c>
      <c r="C17729" s="24" t="s">
        <v>54532</v>
      </c>
      <c r="D17729" s="25" t="s">
        <v>54533</v>
      </c>
      <c r="E17729" s="26"/>
      <c r="F17729" s="27">
        <f ca="1">ROUND(7.700*(1+G2/100),2)</f>
        <v>0</v>
      </c>
      <c r="G17729" s="26"/>
    </row>
    <row r="17730" spans="1:7" ht="67.56" thickBot="1" customHeight="1">
      <c r="A17730" s="26"/>
      <c r="B17730" s="26"/>
      <c r="C17730" s="26"/>
      <c r="D17730" s="25" t="s">
        <v>54534</v>
      </c>
      <c r="E17730" s="25"/>
      <c r="F17730" s="25"/>
      <c r="G17730" s="25"/>
    </row>
    <row r="17731" spans="1:7" ht="30.60" thickBot="1" customHeight="1">
      <c r="A17731" s="10" t="s">
        <v>54535</v>
      </c>
      <c r="B17731" s="24" t="s">
        <v>54536</v>
      </c>
      <c r="C17731" s="24" t="s">
        <v>54537</v>
      </c>
      <c r="D17731" s="25" t="s">
        <v>54538</v>
      </c>
      <c r="E17731" s="26"/>
      <c r="F17731" s="27">
        <f ca="1">ROUND(86.150*(1+G2/100),2)</f>
        <v>0</v>
      </c>
      <c r="G17731" s="26"/>
    </row>
    <row r="17732" spans="1:7" ht="67.56" thickBot="1" customHeight="1">
      <c r="A17732" s="26"/>
      <c r="B17732" s="26"/>
      <c r="C17732" s="26"/>
      <c r="D17732" s="25" t="s">
        <v>54539</v>
      </c>
      <c r="E17732" s="25"/>
      <c r="F17732" s="25"/>
      <c r="G17732" s="25"/>
    </row>
    <row r="17733" spans="1:7" ht="39.84" thickBot="1" customHeight="1">
      <c r="A17733" s="10" t="s">
        <v>54540</v>
      </c>
      <c r="B17733" s="24" t="s">
        <v>54541</v>
      </c>
      <c r="C17733" s="24" t="s">
        <v>54542</v>
      </c>
      <c r="D17733" s="25" t="s">
        <v>54543</v>
      </c>
      <c r="E17733" s="26"/>
      <c r="F17733" s="27">
        <f ca="1">ROUND(79.770*(1+G2/100),2)</f>
        <v>0</v>
      </c>
      <c r="G17733" s="26"/>
    </row>
    <row r="17734" spans="1:7" ht="21.36" thickBot="1" customHeight="1">
      <c r="A17734" s="26"/>
      <c r="B17734" s="26"/>
      <c r="C17734" s="26"/>
      <c r="D17734" s="25" t="s">
        <v>54544</v>
      </c>
      <c r="E17734" s="25"/>
      <c r="F17734" s="25"/>
      <c r="G17734" s="25"/>
    </row>
    <row r="17735" spans="1:7" ht="30.60" thickBot="1" customHeight="1">
      <c r="A17735" s="10" t="s">
        <v>54545</v>
      </c>
      <c r="B17735" s="24" t="s">
        <v>54546</v>
      </c>
      <c r="C17735" s="24" t="s">
        <v>54547</v>
      </c>
      <c r="D17735" s="25" t="s">
        <v>54548</v>
      </c>
      <c r="E17735" s="26"/>
      <c r="F17735" s="27">
        <f ca="1">ROUND(16.470*(1+G2/100),2)</f>
        <v>0</v>
      </c>
      <c r="G17735" s="26"/>
    </row>
    <row r="17736" spans="1:7" ht="21.36" thickBot="1" customHeight="1">
      <c r="A17736" s="26"/>
      <c r="B17736" s="26"/>
      <c r="C17736" s="26"/>
      <c r="D17736" s="25" t="s">
        <v>54549</v>
      </c>
      <c r="E17736" s="25"/>
      <c r="F17736" s="25"/>
      <c r="G17736" s="25"/>
    </row>
    <row r="17737" spans="1:7" ht="30.60" thickBot="1" customHeight="1">
      <c r="A17737" s="10" t="s">
        <v>54550</v>
      </c>
      <c r="B17737" s="24" t="s">
        <v>54551</v>
      </c>
      <c r="C17737" s="24" t="s">
        <v>54552</v>
      </c>
      <c r="D17737" s="25" t="s">
        <v>54553</v>
      </c>
      <c r="E17737" s="26"/>
      <c r="F17737" s="27">
        <f ca="1">ROUND(6.330*(1+G2/100),2)</f>
        <v>0</v>
      </c>
      <c r="G17737" s="26"/>
    </row>
    <row r="17738" spans="1:7" ht="21.36" thickBot="1" customHeight="1">
      <c r="A17738" s="26"/>
      <c r="B17738" s="26"/>
      <c r="C17738" s="26"/>
      <c r="D17738" s="25" t="s">
        <v>54554</v>
      </c>
      <c r="E17738" s="25"/>
      <c r="F17738" s="25"/>
      <c r="G17738" s="25"/>
    </row>
    <row r="17739" spans="1:7" ht="30.60" thickBot="1" customHeight="1">
      <c r="A17739" s="10" t="s">
        <v>54555</v>
      </c>
      <c r="B17739" s="24" t="s">
        <v>54556</v>
      </c>
      <c r="C17739" s="24" t="s">
        <v>54557</v>
      </c>
      <c r="D17739" s="25" t="s">
        <v>54558</v>
      </c>
      <c r="E17739" s="26"/>
      <c r="F17739" s="27">
        <f ca="1">ROUND(54.940*(1+G2/100),2)</f>
        <v>0</v>
      </c>
      <c r="G17739" s="26"/>
    </row>
    <row r="17740" spans="1:7" ht="21.36" thickBot="1" customHeight="1">
      <c r="A17740" s="26"/>
      <c r="B17740" s="26"/>
      <c r="C17740" s="26"/>
      <c r="D17740" s="25" t="s">
        <v>54559</v>
      </c>
      <c r="E17740" s="25"/>
      <c r="F17740" s="25"/>
      <c r="G17740" s="25"/>
    </row>
    <row r="17741" spans="1:7" ht="39.84" thickBot="1" customHeight="1">
      <c r="A17741" s="10" t="s">
        <v>54560</v>
      </c>
      <c r="B17741" s="24" t="s">
        <v>54561</v>
      </c>
      <c r="C17741" s="24" t="s">
        <v>54562</v>
      </c>
      <c r="D17741" s="25" t="s">
        <v>54563</v>
      </c>
      <c r="E17741" s="26"/>
      <c r="F17741" s="27">
        <f ca="1">ROUND(61.390*(1+G2/100),2)</f>
        <v>0</v>
      </c>
      <c r="G17741" s="26"/>
    </row>
    <row r="17742" spans="1:7" ht="21.36" thickBot="1" customHeight="1">
      <c r="A17742" s="26"/>
      <c r="B17742" s="26"/>
      <c r="C17742" s="26"/>
      <c r="D17742" s="25" t="s">
        <v>54564</v>
      </c>
      <c r="E17742" s="25"/>
      <c r="F17742" s="25"/>
      <c r="G17742" s="25"/>
    </row>
    <row r="17743" spans="1:7" ht="39.84" thickBot="1" customHeight="1">
      <c r="A17743" s="10" t="s">
        <v>54565</v>
      </c>
      <c r="B17743" s="24" t="s">
        <v>54566</v>
      </c>
      <c r="C17743" s="24" t="s">
        <v>54567</v>
      </c>
      <c r="D17743" s="25" t="s">
        <v>54568</v>
      </c>
      <c r="E17743" s="26"/>
      <c r="F17743" s="27">
        <f ca="1">ROUND(9.750*(1+G2/100),2)</f>
        <v>0</v>
      </c>
      <c r="G17743" s="26"/>
    </row>
    <row r="17744" spans="1:7" ht="21.36" thickBot="1" customHeight="1">
      <c r="A17744" s="26"/>
      <c r="B17744" s="26"/>
      <c r="C17744" s="26"/>
      <c r="D17744" s="25" t="s">
        <v>54569</v>
      </c>
      <c r="E17744" s="25"/>
      <c r="F17744" s="25"/>
      <c r="G17744" s="25"/>
    </row>
    <row r="17745" spans="1:7" ht="39.84" thickBot="1" customHeight="1">
      <c r="A17745" s="10" t="s">
        <v>54570</v>
      </c>
      <c r="B17745" s="24" t="s">
        <v>54571</v>
      </c>
      <c r="C17745" s="24" t="s">
        <v>54572</v>
      </c>
      <c r="D17745" s="25" t="s">
        <v>54573</v>
      </c>
      <c r="E17745" s="26"/>
      <c r="F17745" s="27">
        <f ca="1">ROUND(11.340*(1+G2/100),2)</f>
        <v>0</v>
      </c>
      <c r="G17745" s="26"/>
    </row>
    <row r="17746" spans="1:7" ht="21.36" thickBot="1" customHeight="1">
      <c r="A17746" s="26"/>
      <c r="B17746" s="26"/>
      <c r="C17746" s="26"/>
      <c r="D17746" s="25" t="s">
        <v>54574</v>
      </c>
      <c r="E17746" s="25"/>
      <c r="F17746" s="25"/>
      <c r="G17746" s="25"/>
    </row>
    <row r="17747" spans="1:7" ht="39.84" thickBot="1" customHeight="1">
      <c r="A17747" s="10" t="s">
        <v>54575</v>
      </c>
      <c r="B17747" s="24" t="s">
        <v>54576</v>
      </c>
      <c r="C17747" s="24" t="s">
        <v>54577</v>
      </c>
      <c r="D17747" s="25" t="s">
        <v>54578</v>
      </c>
      <c r="E17747" s="26"/>
      <c r="F17747" s="27">
        <f ca="1">ROUND(16.680*(1+G2/100),2)</f>
        <v>0</v>
      </c>
      <c r="G17747" s="26"/>
    </row>
    <row r="17748" spans="1:7" ht="21.36" thickBot="1" customHeight="1">
      <c r="A17748" s="26"/>
      <c r="B17748" s="26"/>
      <c r="C17748" s="26"/>
      <c r="D17748" s="25" t="s">
        <v>54579</v>
      </c>
      <c r="E17748" s="25"/>
      <c r="F17748" s="25"/>
      <c r="G17748" s="25"/>
    </row>
    <row r="17749" spans="1:7" ht="30.60" thickBot="1" customHeight="1">
      <c r="A17749" s="10" t="s">
        <v>54580</v>
      </c>
      <c r="B17749" s="24" t="s">
        <v>54581</v>
      </c>
      <c r="C17749" s="24" t="s">
        <v>54582</v>
      </c>
      <c r="D17749" s="25" t="s">
        <v>54583</v>
      </c>
      <c r="E17749" s="26"/>
      <c r="F17749" s="27">
        <f ca="1">ROUND(2.920*(1+G2/100),2)</f>
        <v>0</v>
      </c>
      <c r="G17749" s="26"/>
    </row>
    <row r="17750" spans="1:7" ht="21.36" thickBot="1" customHeight="1">
      <c r="A17750" s="26"/>
      <c r="B17750" s="26"/>
      <c r="C17750" s="26"/>
      <c r="D17750" s="25" t="s">
        <v>54584</v>
      </c>
      <c r="E17750" s="25"/>
      <c r="F17750" s="25"/>
      <c r="G17750" s="25"/>
    </row>
    <row r="17751" spans="1:7" ht="39.84" thickBot="1" customHeight="1">
      <c r="A17751" s="10" t="s">
        <v>54585</v>
      </c>
      <c r="B17751" s="24" t="s">
        <v>54586</v>
      </c>
      <c r="C17751" s="24" t="s">
        <v>54587</v>
      </c>
      <c r="D17751" s="25" t="s">
        <v>54588</v>
      </c>
      <c r="E17751" s="26"/>
      <c r="F17751" s="27">
        <f ca="1">ROUND(3.700*(1+G2/100),2)</f>
        <v>0</v>
      </c>
      <c r="G17751" s="26"/>
    </row>
    <row r="17752" spans="1:7" ht="21.36" thickBot="1" customHeight="1">
      <c r="A17752" s="26"/>
      <c r="B17752" s="26"/>
      <c r="C17752" s="26"/>
      <c r="D17752" s="25" t="s">
        <v>54589</v>
      </c>
      <c r="E17752" s="25"/>
      <c r="F17752" s="25"/>
      <c r="G17752" s="25"/>
    </row>
    <row r="17753" spans="1:7" ht="39.84" thickBot="1" customHeight="1">
      <c r="A17753" s="10" t="s">
        <v>54590</v>
      </c>
      <c r="B17753" s="24" t="s">
        <v>54591</v>
      </c>
      <c r="C17753" s="24" t="s">
        <v>54592</v>
      </c>
      <c r="D17753" s="25" t="s">
        <v>54593</v>
      </c>
      <c r="E17753" s="26"/>
      <c r="F17753" s="27">
        <f ca="1">ROUND(5.840*(1+G2/100),2)</f>
        <v>0</v>
      </c>
      <c r="G17753" s="26"/>
    </row>
    <row r="17754" spans="1:7" ht="21.36" thickBot="1" customHeight="1">
      <c r="A17754" s="26"/>
      <c r="B17754" s="26"/>
      <c r="C17754" s="26"/>
      <c r="D17754" s="25" t="s">
        <v>54594</v>
      </c>
      <c r="E17754" s="25"/>
      <c r="F17754" s="25"/>
      <c r="G17754" s="25"/>
    </row>
    <row r="17755" spans="1:7" ht="30.60" thickBot="1" customHeight="1">
      <c r="A17755" s="10" t="s">
        <v>54595</v>
      </c>
      <c r="B17755" s="24" t="s">
        <v>54596</v>
      </c>
      <c r="C17755" s="24" t="s">
        <v>54597</v>
      </c>
      <c r="D17755" s="25" t="s">
        <v>54598</v>
      </c>
      <c r="E17755" s="26"/>
      <c r="F17755" s="27">
        <f ca="1">ROUND(57.880*(1+G2/100),2)</f>
        <v>0</v>
      </c>
      <c r="G17755" s="26"/>
    </row>
    <row r="17756" spans="1:7" ht="21.36" thickBot="1" customHeight="1">
      <c r="A17756" s="26"/>
      <c r="B17756" s="26"/>
      <c r="C17756" s="26"/>
      <c r="D17756" s="25" t="s">
        <v>54599</v>
      </c>
      <c r="E17756" s="25"/>
      <c r="F17756" s="25"/>
      <c r="G17756" s="25"/>
    </row>
    <row r="17757" spans="1:7" ht="30.60" thickBot="1" customHeight="1">
      <c r="A17757" s="10" t="s">
        <v>54600</v>
      </c>
      <c r="B17757" s="24" t="s">
        <v>54601</v>
      </c>
      <c r="C17757" s="24" t="s">
        <v>54602</v>
      </c>
      <c r="D17757" s="25" t="s">
        <v>54603</v>
      </c>
      <c r="E17757" s="26"/>
      <c r="F17757" s="27">
        <f ca="1">ROUND(20.550*(1+G2/100),2)</f>
        <v>0</v>
      </c>
      <c r="G17757" s="26"/>
    </row>
    <row r="17758" spans="1:7" ht="12.12" thickBot="1" customHeight="1">
      <c r="A17758" s="26"/>
      <c r="B17758" s="26"/>
      <c r="C17758" s="26"/>
      <c r="D17758" s="25" t="s">
        <v>54604</v>
      </c>
      <c r="E17758" s="25"/>
      <c r="F17758" s="25"/>
      <c r="G17758" s="25"/>
    </row>
    <row r="17759" spans="1:7" ht="30.60" thickBot="1" customHeight="1">
      <c r="A17759" s="10" t="s">
        <v>54605</v>
      </c>
      <c r="B17759" s="24" t="s">
        <v>54606</v>
      </c>
      <c r="C17759" s="24" t="s">
        <v>54607</v>
      </c>
      <c r="D17759" s="25" t="s">
        <v>54608</v>
      </c>
      <c r="E17759" s="26"/>
      <c r="F17759" s="27">
        <f ca="1">ROUND(20.910*(1+G2/100),2)</f>
        <v>0</v>
      </c>
      <c r="G17759" s="26"/>
    </row>
    <row r="17760" spans="1:7" ht="21.36" thickBot="1" customHeight="1">
      <c r="A17760" s="26"/>
      <c r="B17760" s="26"/>
      <c r="C17760" s="26"/>
      <c r="D17760" s="25" t="s">
        <v>54609</v>
      </c>
      <c r="E17760" s="25"/>
      <c r="F17760" s="25"/>
      <c r="G17760" s="25"/>
    </row>
    <row r="17761" spans="1:7" ht="30.60" thickBot="1" customHeight="1">
      <c r="A17761" s="10" t="s">
        <v>54610</v>
      </c>
      <c r="B17761" s="24" t="s">
        <v>54611</v>
      </c>
      <c r="C17761" s="24" t="s">
        <v>54612</v>
      </c>
      <c r="D17761" s="25" t="s">
        <v>54613</v>
      </c>
      <c r="E17761" s="26"/>
      <c r="F17761" s="27">
        <f ca="1">ROUND(40.600*(1+G2/100),2)</f>
        <v>0</v>
      </c>
      <c r="G17761" s="26"/>
    </row>
    <row r="17762" spans="1:7" ht="21.36" thickBot="1" customHeight="1">
      <c r="A17762" s="26"/>
      <c r="B17762" s="26"/>
      <c r="C17762" s="26"/>
      <c r="D17762" s="25" t="s">
        <v>54614</v>
      </c>
      <c r="E17762" s="25"/>
      <c r="F17762" s="25"/>
      <c r="G17762" s="25"/>
    </row>
    <row r="17763" spans="1:7" ht="30.60" thickBot="1" customHeight="1">
      <c r="A17763" s="10" t="s">
        <v>54615</v>
      </c>
      <c r="B17763" s="24" t="s">
        <v>54616</v>
      </c>
      <c r="C17763" s="24" t="s">
        <v>54617</v>
      </c>
      <c r="D17763" s="25" t="s">
        <v>54618</v>
      </c>
      <c r="E17763" s="26"/>
      <c r="F17763" s="27">
        <f ca="1">ROUND(32.590*(1+G2/100),2)</f>
        <v>0</v>
      </c>
      <c r="G17763" s="26"/>
    </row>
    <row r="17764" spans="1:7" ht="21.36" thickBot="1" customHeight="1">
      <c r="A17764" s="26"/>
      <c r="B17764" s="26"/>
      <c r="C17764" s="26"/>
      <c r="D17764" s="25" t="s">
        <v>54619</v>
      </c>
      <c r="E17764" s="25"/>
      <c r="F17764" s="25"/>
      <c r="G17764" s="25"/>
    </row>
    <row r="17765" spans="1:7" ht="39.84" thickBot="1" customHeight="1">
      <c r="A17765" s="10" t="s">
        <v>54620</v>
      </c>
      <c r="B17765" s="24" t="s">
        <v>54621</v>
      </c>
      <c r="C17765" s="24" t="s">
        <v>54622</v>
      </c>
      <c r="D17765" s="25" t="s">
        <v>54623</v>
      </c>
      <c r="E17765" s="26"/>
      <c r="F17765" s="27">
        <f ca="1">ROUND(48.890*(1+G2/100),2)</f>
        <v>0</v>
      </c>
      <c r="G17765" s="26"/>
    </row>
    <row r="17766" spans="1:7" ht="21.36" thickBot="1" customHeight="1">
      <c r="A17766" s="26"/>
      <c r="B17766" s="26"/>
      <c r="C17766" s="26"/>
      <c r="D17766" s="25" t="s">
        <v>54624</v>
      </c>
      <c r="E17766" s="25"/>
      <c r="F17766" s="25"/>
      <c r="G17766" s="25"/>
    </row>
    <row r="17767" spans="1:7" ht="30.60" thickBot="1" customHeight="1">
      <c r="A17767" s="10" t="s">
        <v>54625</v>
      </c>
      <c r="B17767" s="24" t="s">
        <v>54626</v>
      </c>
      <c r="C17767" s="24" t="s">
        <v>54627</v>
      </c>
      <c r="D17767" s="25" t="s">
        <v>54628</v>
      </c>
      <c r="E17767" s="26"/>
      <c r="F17767" s="27">
        <f ca="1">ROUND(27.070*(1+G2/100),2)</f>
        <v>0</v>
      </c>
      <c r="G17767" s="26"/>
    </row>
    <row r="17768" spans="1:7" ht="21.36" thickBot="1" customHeight="1">
      <c r="A17768" s="26"/>
      <c r="B17768" s="26"/>
      <c r="C17768" s="26"/>
      <c r="D17768" s="25" t="s">
        <v>54629</v>
      </c>
      <c r="E17768" s="25"/>
      <c r="F17768" s="25"/>
      <c r="G17768" s="25"/>
    </row>
    <row r="17769" spans="1:7" ht="21.36" thickBot="1" customHeight="1">
      <c r="A17769" s="10" t="s">
        <v>54630</v>
      </c>
      <c r="B17769" s="24" t="s">
        <v>54631</v>
      </c>
      <c r="C17769" s="24" t="s">
        <v>54632</v>
      </c>
      <c r="D17769" s="25" t="s">
        <v>54633</v>
      </c>
      <c r="E17769" s="26"/>
      <c r="F17769" s="27">
        <f ca="1">ROUND(34.090*(1+G2/100),2)</f>
        <v>0</v>
      </c>
      <c r="G17769" s="26"/>
    </row>
    <row r="17770" spans="1:7" ht="178.44" thickBot="1" customHeight="1">
      <c r="A17770" s="26"/>
      <c r="B17770" s="26"/>
      <c r="C17770" s="26"/>
      <c r="D17770" s="25" t="s">
        <v>54634</v>
      </c>
      <c r="E17770" s="25"/>
      <c r="F17770" s="25"/>
      <c r="G17770" s="25"/>
    </row>
    <row r="17771" spans="1:7" ht="21.36" thickBot="1" customHeight="1">
      <c r="A17771" s="10" t="s">
        <v>54635</v>
      </c>
      <c r="B17771" s="24" t="s">
        <v>54636</v>
      </c>
      <c r="C17771" s="24" t="s">
        <v>54637</v>
      </c>
      <c r="D17771" s="25" t="s">
        <v>54638</v>
      </c>
      <c r="E17771" s="26"/>
      <c r="F17771" s="27">
        <f ca="1">ROUND(27.970*(1+G2/100),2)</f>
        <v>0</v>
      </c>
      <c r="G17771" s="26"/>
    </row>
    <row r="17772" spans="1:7" ht="178.44" thickBot="1" customHeight="1">
      <c r="A17772" s="26"/>
      <c r="B17772" s="26"/>
      <c r="C17772" s="26"/>
      <c r="D17772" s="25" t="s">
        <v>54639</v>
      </c>
      <c r="E17772" s="25"/>
      <c r="F17772" s="25"/>
      <c r="G17772" s="25"/>
    </row>
    <row r="17773" spans="1:7" ht="21.36" thickBot="1" customHeight="1">
      <c r="A17773" s="10" t="s">
        <v>54640</v>
      </c>
      <c r="B17773" s="24" t="s">
        <v>54641</v>
      </c>
      <c r="C17773" s="24" t="s">
        <v>54642</v>
      </c>
      <c r="D17773" s="25" t="s">
        <v>54643</v>
      </c>
      <c r="E17773" s="26"/>
      <c r="F17773" s="27">
        <f ca="1">ROUND(31.070*(1+G2/100),2)</f>
        <v>0</v>
      </c>
      <c r="G17773" s="26"/>
    </row>
    <row r="17774" spans="1:7" ht="178.44" thickBot="1" customHeight="1">
      <c r="A17774" s="26"/>
      <c r="B17774" s="26"/>
      <c r="C17774" s="26"/>
      <c r="D17774" s="25" t="s">
        <v>54644</v>
      </c>
      <c r="E17774" s="25"/>
      <c r="F17774" s="25"/>
      <c r="G17774" s="25"/>
    </row>
    <row r="17775" spans="1:7" ht="39.84" thickBot="1" customHeight="1">
      <c r="A17775" s="10" t="s">
        <v>54645</v>
      </c>
      <c r="B17775" s="24" t="s">
        <v>54646</v>
      </c>
      <c r="C17775" s="24" t="s">
        <v>54647</v>
      </c>
      <c r="D17775" s="25" t="s">
        <v>54648</v>
      </c>
      <c r="E17775" s="26"/>
      <c r="F17775" s="27">
        <f ca="1">ROUND(64.000*(1+G2/100),2)</f>
        <v>0</v>
      </c>
      <c r="G17775" s="26"/>
    </row>
    <row r="17776" spans="1:7" ht="132.24" thickBot="1" customHeight="1">
      <c r="A17776" s="26"/>
      <c r="B17776" s="26"/>
      <c r="C17776" s="26"/>
      <c r="D17776" s="25" t="s">
        <v>54649</v>
      </c>
      <c r="E17776" s="25"/>
      <c r="F17776" s="25"/>
      <c r="G17776" s="25"/>
    </row>
    <row r="17777" spans="1:7" ht="15.48" thickBot="1" customHeight="1">
      <c r="A17777" s="30"/>
      <c r="B17777" s="30"/>
      <c r="C17777" s="30"/>
      <c r="D17777" s="79" t="s">
        <v>54650</v>
      </c>
      <c r="E17777" s="80"/>
      <c r="F17777" s="80"/>
      <c r="G17777" s="80"/>
    </row>
    <row r="17778" spans="1:7" ht="25.08" thickBot="1" customHeight="1">
      <c r="A17778" s="52" t="s">
        <v>54651</v>
      </c>
      <c r="B17778" s="52" t="s">
        <v>54652</v>
      </c>
      <c r="C17778" s="53"/>
      <c r="D17778" s="54" t="s">
        <v>54653</v>
      </c>
      <c r="E17778" s="53"/>
      <c r="F17778" s="53"/>
      <c r="G17778" s="53"/>
    </row>
    <row r="17779" spans="1:7" ht="30.60" thickBot="1" customHeight="1">
      <c r="A17779" s="10" t="s">
        <v>54654</v>
      </c>
      <c r="B17779" s="24" t="s">
        <v>54655</v>
      </c>
      <c r="C17779" s="24" t="s">
        <v>54656</v>
      </c>
      <c r="D17779" s="25" t="s">
        <v>54657</v>
      </c>
      <c r="E17779" s="26"/>
      <c r="F17779" s="27">
        <f ca="1">ROUND(15.870*(1+G2/100),2)</f>
        <v>0</v>
      </c>
      <c r="G17779" s="26"/>
    </row>
    <row r="17780" spans="1:7" ht="30.60" thickBot="1" customHeight="1">
      <c r="A17780" s="26"/>
      <c r="B17780" s="26"/>
      <c r="C17780" s="26"/>
      <c r="D17780" s="25" t="s">
        <v>54658</v>
      </c>
      <c r="E17780" s="25"/>
      <c r="F17780" s="25"/>
      <c r="G17780" s="25"/>
    </row>
    <row r="17781" spans="1:7" ht="30.60" thickBot="1" customHeight="1">
      <c r="A17781" s="10" t="s">
        <v>54659</v>
      </c>
      <c r="B17781" s="24" t="s">
        <v>54660</v>
      </c>
      <c r="C17781" s="24" t="s">
        <v>54661</v>
      </c>
      <c r="D17781" s="25" t="s">
        <v>54662</v>
      </c>
      <c r="E17781" s="26"/>
      <c r="F17781" s="27">
        <f ca="1">ROUND(3.990*(1+G2/100),2)</f>
        <v>0</v>
      </c>
      <c r="G17781" s="26"/>
    </row>
    <row r="17782" spans="1:7" ht="39.84" thickBot="1" customHeight="1">
      <c r="A17782" s="26"/>
      <c r="B17782" s="26"/>
      <c r="C17782" s="26"/>
      <c r="D17782" s="25" t="s">
        <v>54663</v>
      </c>
      <c r="E17782" s="25"/>
      <c r="F17782" s="25"/>
      <c r="G17782" s="25"/>
    </row>
    <row r="17783" spans="1:7" ht="30.60" thickBot="1" customHeight="1">
      <c r="A17783" s="10" t="s">
        <v>54664</v>
      </c>
      <c r="B17783" s="24" t="s">
        <v>54665</v>
      </c>
      <c r="C17783" s="24" t="s">
        <v>54666</v>
      </c>
      <c r="D17783" s="25" t="s">
        <v>54667</v>
      </c>
      <c r="E17783" s="26"/>
      <c r="F17783" s="27">
        <f ca="1">ROUND(24.990*(1+G2/100),2)</f>
        <v>0</v>
      </c>
      <c r="G17783" s="26"/>
    </row>
    <row r="17784" spans="1:7" ht="104.52" thickBot="1" customHeight="1">
      <c r="A17784" s="26"/>
      <c r="B17784" s="26"/>
      <c r="C17784" s="26"/>
      <c r="D17784" s="25" t="s">
        <v>54668</v>
      </c>
      <c r="E17784" s="25"/>
      <c r="F17784" s="25"/>
      <c r="G17784" s="25"/>
    </row>
    <row r="17785" spans="1:7" ht="30.60" thickBot="1" customHeight="1">
      <c r="A17785" s="10" t="s">
        <v>54669</v>
      </c>
      <c r="B17785" s="24" t="s">
        <v>54670</v>
      </c>
      <c r="C17785" s="24" t="s">
        <v>54671</v>
      </c>
      <c r="D17785" s="25" t="s">
        <v>54672</v>
      </c>
      <c r="E17785" s="26"/>
      <c r="F17785" s="27">
        <f ca="1">ROUND(2.410*(1+G2/100),2)</f>
        <v>0</v>
      </c>
      <c r="G17785" s="26"/>
    </row>
    <row r="17786" spans="1:7" ht="39.84" thickBot="1" customHeight="1">
      <c r="A17786" s="26"/>
      <c r="B17786" s="26"/>
      <c r="C17786" s="26"/>
      <c r="D17786" s="25" t="s">
        <v>54673</v>
      </c>
      <c r="E17786" s="25"/>
      <c r="F17786" s="25"/>
      <c r="G17786" s="25"/>
    </row>
    <row r="17787" spans="1:7" ht="39.84" thickBot="1" customHeight="1">
      <c r="A17787" s="10" t="s">
        <v>54674</v>
      </c>
      <c r="B17787" s="24" t="s">
        <v>54675</v>
      </c>
      <c r="C17787" s="24" t="s">
        <v>54676</v>
      </c>
      <c r="D17787" s="25" t="s">
        <v>54677</v>
      </c>
      <c r="E17787" s="26"/>
      <c r="F17787" s="27">
        <f ca="1">ROUND(4.290*(1+G2/100),2)</f>
        <v>0</v>
      </c>
      <c r="G17787" s="26"/>
    </row>
    <row r="17788" spans="1:7" ht="39.84" thickBot="1" customHeight="1">
      <c r="A17788" s="26"/>
      <c r="B17788" s="26"/>
      <c r="C17788" s="26"/>
      <c r="D17788" s="25" t="s">
        <v>54678</v>
      </c>
      <c r="E17788" s="25"/>
      <c r="F17788" s="25"/>
      <c r="G17788" s="25"/>
    </row>
    <row r="17789" spans="1:7" ht="21.36" thickBot="1" customHeight="1">
      <c r="A17789" s="10" t="s">
        <v>54679</v>
      </c>
      <c r="B17789" s="24" t="s">
        <v>54680</v>
      </c>
      <c r="C17789" s="24" t="s">
        <v>54681</v>
      </c>
      <c r="D17789" s="25" t="s">
        <v>54682</v>
      </c>
      <c r="E17789" s="26"/>
      <c r="F17789" s="27">
        <f ca="1">ROUND(3.470*(1+G2/100),2)</f>
        <v>0</v>
      </c>
      <c r="G17789" s="26"/>
    </row>
    <row r="17790" spans="1:7" ht="39.84" thickBot="1" customHeight="1">
      <c r="A17790" s="26"/>
      <c r="B17790" s="26"/>
      <c r="C17790" s="26"/>
      <c r="D17790" s="25" t="s">
        <v>54683</v>
      </c>
      <c r="E17790" s="25"/>
      <c r="F17790" s="25"/>
      <c r="G17790" s="25"/>
    </row>
    <row r="17791" spans="1:7" ht="30.60" thickBot="1" customHeight="1">
      <c r="A17791" s="10" t="s">
        <v>54684</v>
      </c>
      <c r="B17791" s="24" t="s">
        <v>54685</v>
      </c>
      <c r="C17791" s="24" t="s">
        <v>54686</v>
      </c>
      <c r="D17791" s="25" t="s">
        <v>54687</v>
      </c>
      <c r="E17791" s="26"/>
      <c r="F17791" s="27">
        <f ca="1">ROUND(30.260*(1+G2/100),2)</f>
        <v>0</v>
      </c>
      <c r="G17791" s="26"/>
    </row>
    <row r="17792" spans="1:7" ht="30.60" thickBot="1" customHeight="1">
      <c r="A17792" s="26"/>
      <c r="B17792" s="26"/>
      <c r="C17792" s="26"/>
      <c r="D17792" s="25" t="s">
        <v>54688</v>
      </c>
      <c r="E17792" s="25"/>
      <c r="F17792" s="25"/>
      <c r="G17792" s="25"/>
    </row>
    <row r="17793" spans="1:7" ht="30.60" thickBot="1" customHeight="1">
      <c r="A17793" s="10" t="s">
        <v>54689</v>
      </c>
      <c r="B17793" s="24" t="s">
        <v>54690</v>
      </c>
      <c r="C17793" s="24" t="s">
        <v>54691</v>
      </c>
      <c r="D17793" s="25" t="s">
        <v>54692</v>
      </c>
      <c r="E17793" s="26"/>
      <c r="F17793" s="27">
        <f ca="1">ROUND(7.810*(1+G2/100),2)</f>
        <v>0</v>
      </c>
      <c r="G17793" s="26"/>
    </row>
    <row r="17794" spans="1:7" ht="30.60" thickBot="1" customHeight="1">
      <c r="A17794" s="26"/>
      <c r="B17794" s="26"/>
      <c r="C17794" s="26"/>
      <c r="D17794" s="25" t="s">
        <v>54693</v>
      </c>
      <c r="E17794" s="25"/>
      <c r="F17794" s="25"/>
      <c r="G17794" s="25"/>
    </row>
    <row r="17795" spans="1:7" ht="39.84" thickBot="1" customHeight="1">
      <c r="A17795" s="10" t="s">
        <v>54694</v>
      </c>
      <c r="B17795" s="24" t="s">
        <v>54695</v>
      </c>
      <c r="C17795" s="24" t="s">
        <v>54696</v>
      </c>
      <c r="D17795" s="25" t="s">
        <v>54697</v>
      </c>
      <c r="E17795" s="26"/>
      <c r="F17795" s="27">
        <f ca="1">ROUND(3.720*(1+G2/100),2)</f>
        <v>0</v>
      </c>
      <c r="G17795" s="26"/>
    </row>
    <row r="17796" spans="1:7" ht="21.36" thickBot="1" customHeight="1">
      <c r="A17796" s="26"/>
      <c r="B17796" s="26"/>
      <c r="C17796" s="26"/>
      <c r="D17796" s="25" t="s">
        <v>54698</v>
      </c>
      <c r="E17796" s="25"/>
      <c r="F17796" s="25"/>
      <c r="G17796" s="25"/>
    </row>
    <row r="17797" spans="1:7" ht="30.60" thickBot="1" customHeight="1">
      <c r="A17797" s="10" t="s">
        <v>54699</v>
      </c>
      <c r="B17797" s="24" t="s">
        <v>54700</v>
      </c>
      <c r="C17797" s="24" t="s">
        <v>54701</v>
      </c>
      <c r="D17797" s="25" t="s">
        <v>54702</v>
      </c>
      <c r="E17797" s="26"/>
      <c r="F17797" s="27">
        <f ca="1">ROUND(3.610*(1+G2/100),2)</f>
        <v>0</v>
      </c>
      <c r="G17797" s="26"/>
    </row>
    <row r="17798" spans="1:7" ht="39.84" thickBot="1" customHeight="1">
      <c r="A17798" s="26"/>
      <c r="B17798" s="26"/>
      <c r="C17798" s="26"/>
      <c r="D17798" s="25" t="s">
        <v>54703</v>
      </c>
      <c r="E17798" s="25"/>
      <c r="F17798" s="25"/>
      <c r="G17798" s="25"/>
    </row>
    <row r="17799" spans="1:7" ht="30.60" thickBot="1" customHeight="1">
      <c r="A17799" s="10" t="s">
        <v>54704</v>
      </c>
      <c r="B17799" s="24" t="s">
        <v>54705</v>
      </c>
      <c r="C17799" s="24" t="s">
        <v>54706</v>
      </c>
      <c r="D17799" s="25" t="s">
        <v>54707</v>
      </c>
      <c r="E17799" s="26"/>
      <c r="F17799" s="27">
        <f ca="1">ROUND(13.460*(1+G2/100),2)</f>
        <v>0</v>
      </c>
      <c r="G17799" s="26"/>
    </row>
    <row r="17800" spans="1:7" ht="21.36" thickBot="1" customHeight="1">
      <c r="A17800" s="26"/>
      <c r="B17800" s="26"/>
      <c r="C17800" s="26"/>
      <c r="D17800" s="25" t="s">
        <v>54708</v>
      </c>
      <c r="E17800" s="25"/>
      <c r="F17800" s="25"/>
      <c r="G17800" s="25"/>
    </row>
    <row r="17801" spans="1:7" ht="30.60" thickBot="1" customHeight="1">
      <c r="A17801" s="10" t="s">
        <v>54709</v>
      </c>
      <c r="B17801" s="24" t="s">
        <v>54710</v>
      </c>
      <c r="C17801" s="24" t="s">
        <v>54711</v>
      </c>
      <c r="D17801" s="25" t="s">
        <v>54712</v>
      </c>
      <c r="E17801" s="26"/>
      <c r="F17801" s="27">
        <f ca="1">ROUND(21.500*(1+G2/100),2)</f>
        <v>0</v>
      </c>
      <c r="G17801" s="26"/>
    </row>
    <row r="17802" spans="1:7" ht="58.32" thickBot="1" customHeight="1">
      <c r="A17802" s="26"/>
      <c r="B17802" s="26"/>
      <c r="C17802" s="26"/>
      <c r="D17802" s="25" t="s">
        <v>54713</v>
      </c>
      <c r="E17802" s="25"/>
      <c r="F17802" s="25"/>
      <c r="G17802" s="25"/>
    </row>
    <row r="17803" spans="1:7" ht="21.36" thickBot="1" customHeight="1">
      <c r="A17803" s="10" t="s">
        <v>54714</v>
      </c>
      <c r="B17803" s="24" t="s">
        <v>54715</v>
      </c>
      <c r="C17803" s="24" t="s">
        <v>54716</v>
      </c>
      <c r="D17803" s="25" t="s">
        <v>54717</v>
      </c>
      <c r="E17803" s="26"/>
      <c r="F17803" s="27">
        <f ca="1">ROUND(28.500*(1+G2/100),2)</f>
        <v>0</v>
      </c>
      <c r="G17803" s="26"/>
    </row>
    <row r="17804" spans="1:7" ht="12.12" thickBot="1" customHeight="1">
      <c r="A17804" s="26"/>
      <c r="B17804" s="26"/>
      <c r="C17804" s="26"/>
      <c r="D17804" s="25" t="s">
        <v>54718</v>
      </c>
      <c r="E17804" s="25"/>
      <c r="F17804" s="25"/>
      <c r="G17804" s="25"/>
    </row>
    <row r="17805" spans="1:7" ht="30.60" thickBot="1" customHeight="1">
      <c r="A17805" s="10" t="s">
        <v>54719</v>
      </c>
      <c r="B17805" s="24" t="s">
        <v>54720</v>
      </c>
      <c r="C17805" s="24" t="s">
        <v>54721</v>
      </c>
      <c r="D17805" s="25" t="s">
        <v>54722</v>
      </c>
      <c r="E17805" s="26"/>
      <c r="F17805" s="27">
        <f ca="1">ROUND(3.100*(1+G2/100),2)</f>
        <v>0</v>
      </c>
      <c r="G17805" s="26"/>
    </row>
    <row r="17806" spans="1:7" ht="21.36" thickBot="1" customHeight="1">
      <c r="A17806" s="26"/>
      <c r="B17806" s="26"/>
      <c r="C17806" s="26"/>
      <c r="D17806" s="25" t="s">
        <v>54723</v>
      </c>
      <c r="E17806" s="25"/>
      <c r="F17806" s="25"/>
      <c r="G17806" s="25"/>
    </row>
    <row r="17807" spans="1:7" ht="30.60" thickBot="1" customHeight="1">
      <c r="A17807" s="10" t="s">
        <v>54724</v>
      </c>
      <c r="B17807" s="24" t="s">
        <v>54725</v>
      </c>
      <c r="C17807" s="24" t="s">
        <v>54726</v>
      </c>
      <c r="D17807" s="25" t="s">
        <v>54727</v>
      </c>
      <c r="E17807" s="26"/>
      <c r="F17807" s="27">
        <f ca="1">ROUND(3.100*(1+G2/100),2)</f>
        <v>0</v>
      </c>
      <c r="G17807" s="26"/>
    </row>
    <row r="17808" spans="1:7" ht="21.36" thickBot="1" customHeight="1">
      <c r="A17808" s="26"/>
      <c r="B17808" s="26"/>
      <c r="C17808" s="26"/>
      <c r="D17808" s="25" t="s">
        <v>54728</v>
      </c>
      <c r="E17808" s="25"/>
      <c r="F17808" s="25"/>
      <c r="G17808" s="25"/>
    </row>
    <row r="17809" spans="1:7" ht="30.60" thickBot="1" customHeight="1">
      <c r="A17809" s="10" t="s">
        <v>54729</v>
      </c>
      <c r="B17809" s="24" t="s">
        <v>54730</v>
      </c>
      <c r="C17809" s="24" t="s">
        <v>54731</v>
      </c>
      <c r="D17809" s="25" t="s">
        <v>54732</v>
      </c>
      <c r="E17809" s="26"/>
      <c r="F17809" s="27">
        <f ca="1">ROUND(3.100*(1+G2/100),2)</f>
        <v>0</v>
      </c>
      <c r="G17809" s="26"/>
    </row>
    <row r="17810" spans="1:7" ht="21.36" thickBot="1" customHeight="1">
      <c r="A17810" s="26"/>
      <c r="B17810" s="26"/>
      <c r="C17810" s="26"/>
      <c r="D17810" s="25" t="s">
        <v>54733</v>
      </c>
      <c r="E17810" s="25"/>
      <c r="F17810" s="25"/>
      <c r="G17810" s="25"/>
    </row>
    <row r="17811" spans="1:7" ht="30.60" thickBot="1" customHeight="1">
      <c r="A17811" s="10" t="s">
        <v>54734</v>
      </c>
      <c r="B17811" s="24" t="s">
        <v>54735</v>
      </c>
      <c r="C17811" s="24" t="s">
        <v>54736</v>
      </c>
      <c r="D17811" s="25" t="s">
        <v>54737</v>
      </c>
      <c r="E17811" s="26"/>
      <c r="F17811" s="27">
        <f ca="1">ROUND(32.940*(1+G2/100),2)</f>
        <v>0</v>
      </c>
      <c r="G17811" s="26"/>
    </row>
    <row r="17812" spans="1:7" ht="49.08" thickBot="1" customHeight="1">
      <c r="A17812" s="26"/>
      <c r="B17812" s="26"/>
      <c r="C17812" s="26"/>
      <c r="D17812" s="25" t="s">
        <v>54738</v>
      </c>
      <c r="E17812" s="25"/>
      <c r="F17812" s="25"/>
      <c r="G17812" s="25"/>
    </row>
    <row r="17813" spans="1:7" ht="39.84" thickBot="1" customHeight="1">
      <c r="A17813" s="10" t="s">
        <v>54739</v>
      </c>
      <c r="B17813" s="24" t="s">
        <v>54740</v>
      </c>
      <c r="C17813" s="24" t="s">
        <v>54741</v>
      </c>
      <c r="D17813" s="25" t="s">
        <v>54742</v>
      </c>
      <c r="E17813" s="26"/>
      <c r="F17813" s="27">
        <f ca="1">ROUND(35.700*(1+G2/100),2)</f>
        <v>0</v>
      </c>
      <c r="G17813" s="26"/>
    </row>
    <row r="17814" spans="1:7" ht="49.08" thickBot="1" customHeight="1">
      <c r="A17814" s="26"/>
      <c r="B17814" s="26"/>
      <c r="C17814" s="26"/>
      <c r="D17814" s="25" t="s">
        <v>54743</v>
      </c>
      <c r="E17814" s="25"/>
      <c r="F17814" s="25"/>
      <c r="G17814" s="25"/>
    </row>
    <row r="17815" spans="1:7" ht="30.60" thickBot="1" customHeight="1">
      <c r="A17815" s="10" t="s">
        <v>54744</v>
      </c>
      <c r="B17815" s="24" t="s">
        <v>54745</v>
      </c>
      <c r="C17815" s="24" t="s">
        <v>54746</v>
      </c>
      <c r="D17815" s="25" t="s">
        <v>54747</v>
      </c>
      <c r="E17815" s="26"/>
      <c r="F17815" s="27">
        <f ca="1">ROUND(92.030*(1+G2/100),2)</f>
        <v>0</v>
      </c>
      <c r="G17815" s="26"/>
    </row>
    <row r="17816" spans="1:7" ht="39.84" thickBot="1" customHeight="1">
      <c r="A17816" s="26"/>
      <c r="B17816" s="26"/>
      <c r="C17816" s="26"/>
      <c r="D17816" s="25" t="s">
        <v>54748</v>
      </c>
      <c r="E17816" s="25"/>
      <c r="F17816" s="25"/>
      <c r="G17816" s="25"/>
    </row>
    <row r="17817" spans="1:7" ht="21.36" thickBot="1" customHeight="1">
      <c r="A17817" s="10" t="s">
        <v>54749</v>
      </c>
      <c r="B17817" s="24" t="s">
        <v>54750</v>
      </c>
      <c r="C17817" s="24" t="s">
        <v>54751</v>
      </c>
      <c r="D17817" s="25" t="s">
        <v>54752</v>
      </c>
      <c r="E17817" s="26"/>
      <c r="F17817" s="27">
        <f ca="1">ROUND(49.980*(1+G2/100),2)</f>
        <v>0</v>
      </c>
      <c r="G17817" s="26"/>
    </row>
    <row r="17818" spans="1:7" ht="58.32" thickBot="1" customHeight="1">
      <c r="A17818" s="26"/>
      <c r="B17818" s="26"/>
      <c r="C17818" s="26"/>
      <c r="D17818" s="25" t="s">
        <v>54753</v>
      </c>
      <c r="E17818" s="25"/>
      <c r="F17818" s="25"/>
      <c r="G17818" s="25"/>
    </row>
    <row r="17819" spans="1:7" ht="30.60" thickBot="1" customHeight="1">
      <c r="A17819" s="10" t="s">
        <v>54754</v>
      </c>
      <c r="B17819" s="24" t="s">
        <v>54755</v>
      </c>
      <c r="C17819" s="24" t="s">
        <v>54756</v>
      </c>
      <c r="D17819" s="25" t="s">
        <v>54757</v>
      </c>
      <c r="E17819" s="26"/>
      <c r="F17819" s="27">
        <f ca="1">ROUND(30.770*(1+G2/100),2)</f>
        <v>0</v>
      </c>
      <c r="G17819" s="26"/>
    </row>
    <row r="17820" spans="1:7" ht="39.84" thickBot="1" customHeight="1">
      <c r="A17820" s="26"/>
      <c r="B17820" s="26"/>
      <c r="C17820" s="26"/>
      <c r="D17820" s="25" t="s">
        <v>54758</v>
      </c>
      <c r="E17820" s="25"/>
      <c r="F17820" s="25"/>
      <c r="G17820" s="25"/>
    </row>
    <row r="17821" spans="1:7" ht="30.60" thickBot="1" customHeight="1">
      <c r="A17821" s="10" t="s">
        <v>54759</v>
      </c>
      <c r="B17821" s="24" t="s">
        <v>54760</v>
      </c>
      <c r="C17821" s="24" t="s">
        <v>54761</v>
      </c>
      <c r="D17821" s="25" t="s">
        <v>54762</v>
      </c>
      <c r="E17821" s="26"/>
      <c r="F17821" s="27">
        <f ca="1">ROUND(42.000*(1+G2/100),2)</f>
        <v>0</v>
      </c>
      <c r="G17821" s="26"/>
    </row>
    <row r="17822" spans="1:7" ht="76.80" thickBot="1" customHeight="1">
      <c r="A17822" s="26"/>
      <c r="B17822" s="26"/>
      <c r="C17822" s="26"/>
      <c r="D17822" s="25" t="s">
        <v>54763</v>
      </c>
      <c r="E17822" s="25"/>
      <c r="F17822" s="25"/>
      <c r="G17822" s="25"/>
    </row>
    <row r="17823" spans="1:7" ht="30.60" thickBot="1" customHeight="1">
      <c r="A17823" s="10" t="s">
        <v>54764</v>
      </c>
      <c r="B17823" s="24" t="s">
        <v>54765</v>
      </c>
      <c r="C17823" s="24" t="s">
        <v>54766</v>
      </c>
      <c r="D17823" s="25" t="s">
        <v>54767</v>
      </c>
      <c r="E17823" s="26"/>
      <c r="F17823" s="27">
        <f ca="1">ROUND(26.680*(1+G2/100),2)</f>
        <v>0</v>
      </c>
      <c r="G17823" s="26"/>
    </row>
    <row r="17824" spans="1:7" ht="30.60" thickBot="1" customHeight="1">
      <c r="A17824" s="26"/>
      <c r="B17824" s="26"/>
      <c r="C17824" s="26"/>
      <c r="D17824" s="25" t="s">
        <v>54768</v>
      </c>
      <c r="E17824" s="25"/>
      <c r="F17824" s="25"/>
      <c r="G17824" s="25"/>
    </row>
    <row r="17825" spans="1:7" ht="30.60" thickBot="1" customHeight="1">
      <c r="A17825" s="10" t="s">
        <v>54769</v>
      </c>
      <c r="B17825" s="24" t="s">
        <v>54770</v>
      </c>
      <c r="C17825" s="24" t="s">
        <v>54771</v>
      </c>
      <c r="D17825" s="25" t="s">
        <v>54772</v>
      </c>
      <c r="E17825" s="26"/>
      <c r="F17825" s="27">
        <f ca="1">ROUND(37.280*(1+G2/100),2)</f>
        <v>0</v>
      </c>
      <c r="G17825" s="26"/>
    </row>
    <row r="17826" spans="1:7" ht="30.60" thickBot="1" customHeight="1">
      <c r="A17826" s="26"/>
      <c r="B17826" s="26"/>
      <c r="C17826" s="26"/>
      <c r="D17826" s="25" t="s">
        <v>54773</v>
      </c>
      <c r="E17826" s="25"/>
      <c r="F17826" s="25"/>
      <c r="G17826" s="25"/>
    </row>
    <row r="17827" spans="1:7" ht="30.60" thickBot="1" customHeight="1">
      <c r="A17827" s="10" t="s">
        <v>54774</v>
      </c>
      <c r="B17827" s="24" t="s">
        <v>54775</v>
      </c>
      <c r="C17827" s="24" t="s">
        <v>54776</v>
      </c>
      <c r="D17827" s="25" t="s">
        <v>54777</v>
      </c>
      <c r="E17827" s="26"/>
      <c r="F17827" s="27">
        <f ca="1">ROUND(41.940*(1+G2/100),2)</f>
        <v>0</v>
      </c>
      <c r="G17827" s="26"/>
    </row>
    <row r="17828" spans="1:7" ht="30.60" thickBot="1" customHeight="1">
      <c r="A17828" s="26"/>
      <c r="B17828" s="26"/>
      <c r="C17828" s="26"/>
      <c r="D17828" s="25" t="s">
        <v>54778</v>
      </c>
      <c r="E17828" s="25"/>
      <c r="F17828" s="25"/>
      <c r="G17828" s="25"/>
    </row>
    <row r="17829" spans="1:7" ht="21.36" thickBot="1" customHeight="1">
      <c r="A17829" s="10" t="s">
        <v>54779</v>
      </c>
      <c r="B17829" s="24" t="s">
        <v>54780</v>
      </c>
      <c r="C17829" s="24" t="s">
        <v>54781</v>
      </c>
      <c r="D17829" s="25" t="s">
        <v>54782</v>
      </c>
      <c r="E17829" s="26"/>
      <c r="F17829" s="27">
        <f ca="1">ROUND(6.320*(1+G2/100),2)</f>
        <v>0</v>
      </c>
      <c r="G17829" s="26"/>
    </row>
    <row r="17830" spans="1:7" ht="21.36" thickBot="1" customHeight="1">
      <c r="A17830" s="26"/>
      <c r="B17830" s="26"/>
      <c r="C17830" s="26"/>
      <c r="D17830" s="25" t="s">
        <v>54783</v>
      </c>
      <c r="E17830" s="25"/>
      <c r="F17830" s="25"/>
      <c r="G17830" s="25"/>
    </row>
    <row r="17831" spans="1:7" ht="30.60" thickBot="1" customHeight="1">
      <c r="A17831" s="10" t="s">
        <v>54784</v>
      </c>
      <c r="B17831" s="24" t="s">
        <v>54785</v>
      </c>
      <c r="C17831" s="24" t="s">
        <v>54786</v>
      </c>
      <c r="D17831" s="25" t="s">
        <v>54787</v>
      </c>
      <c r="E17831" s="26"/>
      <c r="F17831" s="27">
        <f ca="1">ROUND(119.000*(1+G2/100),2)</f>
        <v>0</v>
      </c>
      <c r="G17831" s="26"/>
    </row>
    <row r="17832" spans="1:7" ht="21.36" thickBot="1" customHeight="1">
      <c r="A17832" s="26"/>
      <c r="B17832" s="26"/>
      <c r="C17832" s="26"/>
      <c r="D17832" s="25" t="s">
        <v>54788</v>
      </c>
      <c r="E17832" s="25"/>
      <c r="F17832" s="25"/>
      <c r="G17832" s="25"/>
    </row>
    <row r="17833" spans="1:7" ht="21.36" thickBot="1" customHeight="1">
      <c r="A17833" s="10" t="s">
        <v>54789</v>
      </c>
      <c r="B17833" s="24" t="s">
        <v>54790</v>
      </c>
      <c r="C17833" s="24" t="s">
        <v>54791</v>
      </c>
      <c r="D17833" s="25" t="s">
        <v>54792</v>
      </c>
      <c r="E17833" s="26"/>
      <c r="F17833" s="27">
        <f ca="1">ROUND(12.120*(1+G2/100),2)</f>
        <v>0</v>
      </c>
      <c r="G17833" s="26"/>
    </row>
    <row r="17834" spans="1:7" ht="12.12" thickBot="1" customHeight="1">
      <c r="A17834" s="26"/>
      <c r="B17834" s="26"/>
      <c r="C17834" s="26"/>
      <c r="D17834" s="25" t="s">
        <v>54793</v>
      </c>
      <c r="E17834" s="25"/>
      <c r="F17834" s="25"/>
      <c r="G17834" s="25"/>
    </row>
    <row r="17835" spans="1:7" ht="30.60" thickBot="1" customHeight="1">
      <c r="A17835" s="10" t="s">
        <v>54794</v>
      </c>
      <c r="B17835" s="24" t="s">
        <v>54795</v>
      </c>
      <c r="C17835" s="24" t="s">
        <v>54796</v>
      </c>
      <c r="D17835" s="25" t="s">
        <v>54797</v>
      </c>
      <c r="E17835" s="26"/>
      <c r="F17835" s="27">
        <f ca="1">ROUND(23.060*(1+G2/100),2)</f>
        <v>0</v>
      </c>
      <c r="G17835" s="26"/>
    </row>
    <row r="17836" spans="1:7" ht="21.36" thickBot="1" customHeight="1">
      <c r="A17836" s="26"/>
      <c r="B17836" s="26"/>
      <c r="C17836" s="26"/>
      <c r="D17836" s="25" t="s">
        <v>54798</v>
      </c>
      <c r="E17836" s="25"/>
      <c r="F17836" s="25"/>
      <c r="G17836" s="25"/>
    </row>
    <row r="17837" spans="1:7" ht="30.60" thickBot="1" customHeight="1">
      <c r="A17837" s="10" t="s">
        <v>54799</v>
      </c>
      <c r="B17837" s="24" t="s">
        <v>54800</v>
      </c>
      <c r="C17837" s="24" t="s">
        <v>54801</v>
      </c>
      <c r="D17837" s="25" t="s">
        <v>54802</v>
      </c>
      <c r="E17837" s="26"/>
      <c r="F17837" s="27">
        <f ca="1">ROUND(172.000*(1+G2/100),2)</f>
        <v>0</v>
      </c>
      <c r="G17837" s="26"/>
    </row>
    <row r="17838" spans="1:7" ht="12.12" thickBot="1" customHeight="1">
      <c r="A17838" s="26"/>
      <c r="B17838" s="26"/>
      <c r="C17838" s="26"/>
      <c r="D17838" s="25" t="s">
        <v>54803</v>
      </c>
      <c r="E17838" s="25"/>
      <c r="F17838" s="25"/>
      <c r="G17838" s="25"/>
    </row>
    <row r="17839" spans="1:7" ht="30.60" thickBot="1" customHeight="1">
      <c r="A17839" s="10" t="s">
        <v>54804</v>
      </c>
      <c r="B17839" s="24" t="s">
        <v>54805</v>
      </c>
      <c r="C17839" s="24" t="s">
        <v>54806</v>
      </c>
      <c r="D17839" s="25" t="s">
        <v>54807</v>
      </c>
      <c r="E17839" s="26"/>
      <c r="F17839" s="27">
        <f ca="1">ROUND(1.000*(1+G2/100),2)</f>
        <v>0</v>
      </c>
      <c r="G17839" s="26"/>
    </row>
    <row r="17840" spans="1:7" ht="30.60" thickBot="1" customHeight="1">
      <c r="A17840" s="26"/>
      <c r="B17840" s="26"/>
      <c r="C17840" s="26"/>
      <c r="D17840" s="25" t="s">
        <v>54808</v>
      </c>
      <c r="E17840" s="25"/>
      <c r="F17840" s="25"/>
      <c r="G17840" s="25"/>
    </row>
    <row r="17841" spans="1:7" ht="21.36" thickBot="1" customHeight="1">
      <c r="A17841" s="10" t="s">
        <v>54809</v>
      </c>
      <c r="B17841" s="24" t="s">
        <v>54810</v>
      </c>
      <c r="C17841" s="24" t="s">
        <v>54811</v>
      </c>
      <c r="D17841" s="25" t="s">
        <v>54812</v>
      </c>
      <c r="E17841" s="26"/>
      <c r="F17841" s="27">
        <f ca="1">ROUND(3.200*(1+G2/100),2)</f>
        <v>0</v>
      </c>
      <c r="G17841" s="26"/>
    </row>
    <row r="17842" spans="1:7" ht="21.36" thickBot="1" customHeight="1">
      <c r="A17842" s="26"/>
      <c r="B17842" s="26"/>
      <c r="C17842" s="26"/>
      <c r="D17842" s="25" t="s">
        <v>54813</v>
      </c>
      <c r="E17842" s="25"/>
      <c r="F17842" s="25"/>
      <c r="G17842" s="25"/>
    </row>
    <row r="17843" spans="1:7" ht="30.60" thickBot="1" customHeight="1">
      <c r="A17843" s="10" t="s">
        <v>54814</v>
      </c>
      <c r="B17843" s="24" t="s">
        <v>54815</v>
      </c>
      <c r="C17843" s="24" t="s">
        <v>54816</v>
      </c>
      <c r="D17843" s="25" t="s">
        <v>54817</v>
      </c>
      <c r="E17843" s="26"/>
      <c r="F17843" s="27">
        <f ca="1">ROUND(7.980*(1+G2/100),2)</f>
        <v>0</v>
      </c>
      <c r="G17843" s="26"/>
    </row>
    <row r="17844" spans="1:7" ht="30.60" thickBot="1" customHeight="1">
      <c r="A17844" s="26"/>
      <c r="B17844" s="26"/>
      <c r="C17844" s="26"/>
      <c r="D17844" s="25" t="s">
        <v>54818</v>
      </c>
      <c r="E17844" s="25"/>
      <c r="F17844" s="25"/>
      <c r="G17844" s="25"/>
    </row>
    <row r="17845" spans="1:7" ht="30.60" thickBot="1" customHeight="1">
      <c r="A17845" s="10" t="s">
        <v>54819</v>
      </c>
      <c r="B17845" s="24" t="s">
        <v>54820</v>
      </c>
      <c r="C17845" s="24" t="s">
        <v>54821</v>
      </c>
      <c r="D17845" s="25" t="s">
        <v>54822</v>
      </c>
      <c r="E17845" s="26"/>
      <c r="F17845" s="27">
        <f ca="1">ROUND(17.180*(1+G2/100),2)</f>
        <v>0</v>
      </c>
      <c r="G17845" s="26"/>
    </row>
    <row r="17846" spans="1:7" ht="30.60" thickBot="1" customHeight="1">
      <c r="A17846" s="26"/>
      <c r="B17846" s="26"/>
      <c r="C17846" s="26"/>
      <c r="D17846" s="25" t="s">
        <v>54823</v>
      </c>
      <c r="E17846" s="25"/>
      <c r="F17846" s="25"/>
      <c r="G17846" s="25"/>
    </row>
    <row r="17847" spans="1:7" ht="39.84" thickBot="1" customHeight="1">
      <c r="A17847" s="10" t="s">
        <v>54824</v>
      </c>
      <c r="B17847" s="24" t="s">
        <v>54825</v>
      </c>
      <c r="C17847" s="24" t="s">
        <v>54826</v>
      </c>
      <c r="D17847" s="25" t="s">
        <v>54827</v>
      </c>
      <c r="E17847" s="26"/>
      <c r="F17847" s="27">
        <f ca="1">ROUND(36.980*(1+G2/100),2)</f>
        <v>0</v>
      </c>
      <c r="G17847" s="26"/>
    </row>
    <row r="17848" spans="1:7" ht="30.60" thickBot="1" customHeight="1">
      <c r="A17848" s="26"/>
      <c r="B17848" s="26"/>
      <c r="C17848" s="26"/>
      <c r="D17848" s="25" t="s">
        <v>54828</v>
      </c>
      <c r="E17848" s="25"/>
      <c r="F17848" s="25"/>
      <c r="G17848" s="25"/>
    </row>
    <row r="17849" spans="1:7" ht="39.84" thickBot="1" customHeight="1">
      <c r="A17849" s="10" t="s">
        <v>54829</v>
      </c>
      <c r="B17849" s="24" t="s">
        <v>54830</v>
      </c>
      <c r="C17849" s="24" t="s">
        <v>54831</v>
      </c>
      <c r="D17849" s="25" t="s">
        <v>54832</v>
      </c>
      <c r="E17849" s="26"/>
      <c r="F17849" s="27">
        <f ca="1">ROUND(20.000*(1+G2/100),2)</f>
        <v>0</v>
      </c>
      <c r="G17849" s="26"/>
    </row>
    <row r="17850" spans="1:7" ht="49.08" thickBot="1" customHeight="1">
      <c r="A17850" s="26"/>
      <c r="B17850" s="26"/>
      <c r="C17850" s="26"/>
      <c r="D17850" s="25" t="s">
        <v>54833</v>
      </c>
      <c r="E17850" s="25"/>
      <c r="F17850" s="25"/>
      <c r="G17850" s="25"/>
    </row>
    <row r="17851" spans="1:7" ht="30.60" thickBot="1" customHeight="1">
      <c r="A17851" s="10" t="s">
        <v>54834</v>
      </c>
      <c r="B17851" s="24" t="s">
        <v>54835</v>
      </c>
      <c r="C17851" s="24" t="s">
        <v>54836</v>
      </c>
      <c r="D17851" s="25" t="s">
        <v>54837</v>
      </c>
      <c r="E17851" s="26"/>
      <c r="F17851" s="27">
        <f ca="1">ROUND(130.000*(1+G2/100),2)</f>
        <v>0</v>
      </c>
      <c r="G17851" s="26"/>
    </row>
    <row r="17852" spans="1:7" ht="49.08" thickBot="1" customHeight="1">
      <c r="A17852" s="26"/>
      <c r="B17852" s="26"/>
      <c r="C17852" s="26"/>
      <c r="D17852" s="25" t="s">
        <v>54838</v>
      </c>
      <c r="E17852" s="25"/>
      <c r="F17852" s="25"/>
      <c r="G17852" s="25"/>
    </row>
    <row r="17853" spans="1:7" ht="15.48" thickBot="1" customHeight="1">
      <c r="A17853" s="30"/>
      <c r="B17853" s="30"/>
      <c r="C17853" s="30"/>
      <c r="D17853" s="79" t="s">
        <v>54839</v>
      </c>
      <c r="E17853" s="80"/>
      <c r="F17853" s="80"/>
      <c r="G17853" s="80"/>
    </row>
    <row r="17854" spans="1:7" ht="25.08" thickBot="1" customHeight="1">
      <c r="A17854" s="52" t="s">
        <v>54840</v>
      </c>
      <c r="B17854" s="52" t="s">
        <v>54841</v>
      </c>
      <c r="C17854" s="53"/>
      <c r="D17854" s="54" t="s">
        <v>54842</v>
      </c>
      <c r="E17854" s="53"/>
      <c r="F17854" s="53"/>
      <c r="G17854" s="53"/>
    </row>
    <row r="17855" spans="1:7" ht="39.84" thickBot="1" customHeight="1">
      <c r="A17855" s="10" t="s">
        <v>54843</v>
      </c>
      <c r="B17855" s="24" t="s">
        <v>54844</v>
      </c>
      <c r="C17855" s="24" t="s">
        <v>54845</v>
      </c>
      <c r="D17855" s="25" t="s">
        <v>54846</v>
      </c>
      <c r="E17855" s="26"/>
      <c r="F17855" s="27">
        <f ca="1">ROUND(17.300*(1+G2/100),2)</f>
        <v>0</v>
      </c>
      <c r="G17855" s="26"/>
    </row>
    <row r="17856" spans="1:7" ht="58.32" thickBot="1" customHeight="1">
      <c r="A17856" s="26"/>
      <c r="B17856" s="26"/>
      <c r="C17856" s="26"/>
      <c r="D17856" s="25" t="s">
        <v>54847</v>
      </c>
      <c r="E17856" s="25"/>
      <c r="F17856" s="25"/>
      <c r="G17856" s="25"/>
    </row>
    <row r="17857" spans="1:7" ht="30.60" thickBot="1" customHeight="1">
      <c r="A17857" s="10" t="s">
        <v>54848</v>
      </c>
      <c r="B17857" s="24" t="s">
        <v>54849</v>
      </c>
      <c r="C17857" s="24" t="s">
        <v>54850</v>
      </c>
      <c r="D17857" s="25" t="s">
        <v>54851</v>
      </c>
      <c r="E17857" s="26"/>
      <c r="F17857" s="27">
        <f ca="1">ROUND(8.680*(1+G2/100),2)</f>
        <v>0</v>
      </c>
      <c r="G17857" s="26"/>
    </row>
    <row r="17858" spans="1:7" ht="58.32" thickBot="1" customHeight="1">
      <c r="A17858" s="26"/>
      <c r="B17858" s="26"/>
      <c r="C17858" s="26"/>
      <c r="D17858" s="25" t="s">
        <v>54852</v>
      </c>
      <c r="E17858" s="25"/>
      <c r="F17858" s="25"/>
      <c r="G17858" s="25"/>
    </row>
    <row r="17859" spans="1:7" ht="30.60" thickBot="1" customHeight="1">
      <c r="A17859" s="10" t="s">
        <v>54853</v>
      </c>
      <c r="B17859" s="24" t="s">
        <v>54854</v>
      </c>
      <c r="C17859" s="24" t="s">
        <v>54855</v>
      </c>
      <c r="D17859" s="25" t="s">
        <v>54856</v>
      </c>
      <c r="E17859" s="26"/>
      <c r="F17859" s="27">
        <f ca="1">ROUND(4.920*(1+G2/100),2)</f>
        <v>0</v>
      </c>
      <c r="G17859" s="26"/>
    </row>
    <row r="17860" spans="1:7" ht="21.36" thickBot="1" customHeight="1">
      <c r="A17860" s="26"/>
      <c r="B17860" s="26"/>
      <c r="C17860" s="26"/>
      <c r="D17860" s="25" t="s">
        <v>54857</v>
      </c>
      <c r="E17860" s="25"/>
      <c r="F17860" s="25"/>
      <c r="G17860" s="25"/>
    </row>
    <row r="17861" spans="1:7" ht="30.60" thickBot="1" customHeight="1">
      <c r="A17861" s="10" t="s">
        <v>54858</v>
      </c>
      <c r="B17861" s="24" t="s">
        <v>54859</v>
      </c>
      <c r="C17861" s="24" t="s">
        <v>54860</v>
      </c>
      <c r="D17861" s="25" t="s">
        <v>54861</v>
      </c>
      <c r="E17861" s="26"/>
      <c r="F17861" s="27">
        <f ca="1">ROUND(7.890*(1+G2/100),2)</f>
        <v>0</v>
      </c>
      <c r="G17861" s="26"/>
    </row>
    <row r="17862" spans="1:7" ht="21.36" thickBot="1" customHeight="1">
      <c r="A17862" s="26"/>
      <c r="B17862" s="26"/>
      <c r="C17862" s="26"/>
      <c r="D17862" s="25" t="s">
        <v>54862</v>
      </c>
      <c r="E17862" s="25"/>
      <c r="F17862" s="25"/>
      <c r="G17862" s="25"/>
    </row>
    <row r="17863" spans="1:7" ht="30.60" thickBot="1" customHeight="1">
      <c r="A17863" s="10" t="s">
        <v>54863</v>
      </c>
      <c r="B17863" s="24" t="s">
        <v>54864</v>
      </c>
      <c r="C17863" s="24" t="s">
        <v>54865</v>
      </c>
      <c r="D17863" s="25" t="s">
        <v>54866</v>
      </c>
      <c r="E17863" s="26"/>
      <c r="F17863" s="27">
        <f ca="1">ROUND(6.820*(1+G2/100),2)</f>
        <v>0</v>
      </c>
      <c r="G17863" s="26"/>
    </row>
    <row r="17864" spans="1:7" ht="21.36" thickBot="1" customHeight="1">
      <c r="A17864" s="26"/>
      <c r="B17864" s="26"/>
      <c r="C17864" s="26"/>
      <c r="D17864" s="25" t="s">
        <v>54867</v>
      </c>
      <c r="E17864" s="25"/>
      <c r="F17864" s="25"/>
      <c r="G17864" s="25"/>
    </row>
    <row r="17865" spans="1:7" ht="30.60" thickBot="1" customHeight="1">
      <c r="A17865" s="10" t="s">
        <v>54868</v>
      </c>
      <c r="B17865" s="24" t="s">
        <v>54869</v>
      </c>
      <c r="C17865" s="24" t="s">
        <v>54870</v>
      </c>
      <c r="D17865" s="25" t="s">
        <v>54871</v>
      </c>
      <c r="E17865" s="26"/>
      <c r="F17865" s="27">
        <f ca="1">ROUND(15.740*(1+G2/100),2)</f>
        <v>0</v>
      </c>
      <c r="G17865" s="26"/>
    </row>
    <row r="17866" spans="1:7" ht="21.36" thickBot="1" customHeight="1">
      <c r="A17866" s="26"/>
      <c r="B17866" s="26"/>
      <c r="C17866" s="26"/>
      <c r="D17866" s="25" t="s">
        <v>54872</v>
      </c>
      <c r="E17866" s="25"/>
      <c r="F17866" s="25"/>
      <c r="G17866" s="25"/>
    </row>
    <row r="17867" spans="1:7" ht="49.08" thickBot="1" customHeight="1">
      <c r="A17867" s="10" t="s">
        <v>54873</v>
      </c>
      <c r="B17867" s="24" t="s">
        <v>54874</v>
      </c>
      <c r="C17867" s="24" t="s">
        <v>54875</v>
      </c>
      <c r="D17867" s="25" t="s">
        <v>54876</v>
      </c>
      <c r="E17867" s="26"/>
      <c r="F17867" s="27">
        <f ca="1">ROUND(59.840*(1+G2/100),2)</f>
        <v>0</v>
      </c>
      <c r="G17867" s="26"/>
    </row>
    <row r="17868" spans="1:7" ht="21.36" thickBot="1" customHeight="1">
      <c r="A17868" s="26"/>
      <c r="B17868" s="26"/>
      <c r="C17868" s="26"/>
      <c r="D17868" s="25" t="s">
        <v>54877</v>
      </c>
      <c r="E17868" s="25"/>
      <c r="F17868" s="25"/>
      <c r="G17868" s="25"/>
    </row>
    <row r="17869" spans="1:7" ht="39.84" thickBot="1" customHeight="1">
      <c r="A17869" s="10" t="s">
        <v>54878</v>
      </c>
      <c r="B17869" s="24" t="s">
        <v>54879</v>
      </c>
      <c r="C17869" s="24" t="s">
        <v>54880</v>
      </c>
      <c r="D17869" s="25" t="s">
        <v>54881</v>
      </c>
      <c r="E17869" s="26"/>
      <c r="F17869" s="27">
        <f ca="1">ROUND(56.040*(1+G2/100),2)</f>
        <v>0</v>
      </c>
      <c r="G17869" s="26"/>
    </row>
    <row r="17870" spans="1:7" ht="169.20" thickBot="1" customHeight="1">
      <c r="A17870" s="26"/>
      <c r="B17870" s="26"/>
      <c r="C17870" s="26"/>
      <c r="D17870" s="25" t="s">
        <v>54882</v>
      </c>
      <c r="E17870" s="25"/>
      <c r="F17870" s="25"/>
      <c r="G17870" s="25"/>
    </row>
    <row r="17871" spans="1:7" ht="39.84" thickBot="1" customHeight="1">
      <c r="A17871" s="10" t="s">
        <v>54883</v>
      </c>
      <c r="B17871" s="24" t="s">
        <v>54884</v>
      </c>
      <c r="C17871" s="24" t="s">
        <v>54885</v>
      </c>
      <c r="D17871" s="25" t="s">
        <v>54886</v>
      </c>
      <c r="E17871" s="26"/>
      <c r="F17871" s="27">
        <f ca="1">ROUND(45.520*(1+G2/100),2)</f>
        <v>0</v>
      </c>
      <c r="G17871" s="26"/>
    </row>
    <row r="17872" spans="1:7" ht="169.20" thickBot="1" customHeight="1">
      <c r="A17872" s="26"/>
      <c r="B17872" s="26"/>
      <c r="C17872" s="26"/>
      <c r="D17872" s="25" t="s">
        <v>54887</v>
      </c>
      <c r="E17872" s="25"/>
      <c r="F17872" s="25"/>
      <c r="G17872" s="25"/>
    </row>
    <row r="17873" spans="1:7" ht="39.84" thickBot="1" customHeight="1">
      <c r="A17873" s="10" t="s">
        <v>54888</v>
      </c>
      <c r="B17873" s="24" t="s">
        <v>54889</v>
      </c>
      <c r="C17873" s="24" t="s">
        <v>54890</v>
      </c>
      <c r="D17873" s="25" t="s">
        <v>54891</v>
      </c>
      <c r="E17873" s="26"/>
      <c r="F17873" s="27">
        <f ca="1">ROUND(76.270*(1+G2/100),2)</f>
        <v>0</v>
      </c>
      <c r="G17873" s="26"/>
    </row>
    <row r="17874" spans="1:7" ht="169.20" thickBot="1" customHeight="1">
      <c r="A17874" s="26"/>
      <c r="B17874" s="26"/>
      <c r="C17874" s="26"/>
      <c r="D17874" s="25" t="s">
        <v>54892</v>
      </c>
      <c r="E17874" s="25"/>
      <c r="F17874" s="25"/>
      <c r="G17874" s="25"/>
    </row>
    <row r="17875" spans="1:7" ht="49.08" thickBot="1" customHeight="1">
      <c r="A17875" s="10" t="s">
        <v>54893</v>
      </c>
      <c r="B17875" s="24" t="s">
        <v>54894</v>
      </c>
      <c r="C17875" s="24" t="s">
        <v>54895</v>
      </c>
      <c r="D17875" s="25" t="s">
        <v>54896</v>
      </c>
      <c r="E17875" s="26"/>
      <c r="F17875" s="27">
        <f ca="1">ROUND(47.890*(1+G2/100),2)</f>
        <v>0</v>
      </c>
      <c r="G17875" s="26"/>
    </row>
    <row r="17876" spans="1:7" ht="21.36" thickBot="1" customHeight="1">
      <c r="A17876" s="26"/>
      <c r="B17876" s="26"/>
      <c r="C17876" s="26"/>
      <c r="D17876" s="25" t="s">
        <v>54897</v>
      </c>
      <c r="E17876" s="25"/>
      <c r="F17876" s="25"/>
      <c r="G17876" s="25"/>
    </row>
    <row r="17877" spans="1:7" ht="39.84" thickBot="1" customHeight="1">
      <c r="A17877" s="10" t="s">
        <v>54898</v>
      </c>
      <c r="B17877" s="24" t="s">
        <v>54899</v>
      </c>
      <c r="C17877" s="24" t="s">
        <v>54900</v>
      </c>
      <c r="D17877" s="25" t="s">
        <v>54901</v>
      </c>
      <c r="E17877" s="26"/>
      <c r="F17877" s="27">
        <f ca="1">ROUND(69.300*(1+G2/100),2)</f>
        <v>0</v>
      </c>
      <c r="G17877" s="26"/>
    </row>
    <row r="17878" spans="1:7" ht="169.20" thickBot="1" customHeight="1">
      <c r="A17878" s="26"/>
      <c r="B17878" s="26"/>
      <c r="C17878" s="26"/>
      <c r="D17878" s="25" t="s">
        <v>54902</v>
      </c>
      <c r="E17878" s="25"/>
      <c r="F17878" s="25"/>
      <c r="G17878" s="25"/>
    </row>
    <row r="17879" spans="1:7" ht="39.84" thickBot="1" customHeight="1">
      <c r="A17879" s="10" t="s">
        <v>54903</v>
      </c>
      <c r="B17879" s="24" t="s">
        <v>54904</v>
      </c>
      <c r="C17879" s="24" t="s">
        <v>54905</v>
      </c>
      <c r="D17879" s="25" t="s">
        <v>54906</v>
      </c>
      <c r="E17879" s="26"/>
      <c r="F17879" s="27">
        <f ca="1">ROUND(106.970*(1+G2/100),2)</f>
        <v>0</v>
      </c>
      <c r="G17879" s="26"/>
    </row>
    <row r="17880" spans="1:7" ht="169.20" thickBot="1" customHeight="1">
      <c r="A17880" s="26"/>
      <c r="B17880" s="26"/>
      <c r="C17880" s="26"/>
      <c r="D17880" s="25" t="s">
        <v>54907</v>
      </c>
      <c r="E17880" s="25"/>
      <c r="F17880" s="25"/>
      <c r="G17880" s="25"/>
    </row>
    <row r="17881" spans="1:7" ht="49.08" thickBot="1" customHeight="1">
      <c r="A17881" s="10" t="s">
        <v>54908</v>
      </c>
      <c r="B17881" s="24" t="s">
        <v>54909</v>
      </c>
      <c r="C17881" s="24" t="s">
        <v>54910</v>
      </c>
      <c r="D17881" s="25" t="s">
        <v>54911</v>
      </c>
      <c r="E17881" s="26"/>
      <c r="F17881" s="27">
        <f ca="1">ROUND(59.840*(1+G2/100),2)</f>
        <v>0</v>
      </c>
      <c r="G17881" s="26"/>
    </row>
    <row r="17882" spans="1:7" ht="21.36" thickBot="1" customHeight="1">
      <c r="A17882" s="26"/>
      <c r="B17882" s="26"/>
      <c r="C17882" s="26"/>
      <c r="D17882" s="25" t="s">
        <v>54912</v>
      </c>
      <c r="E17882" s="25"/>
      <c r="F17882" s="25"/>
      <c r="G17882" s="25"/>
    </row>
    <row r="17883" spans="1:7" ht="49.08" thickBot="1" customHeight="1">
      <c r="A17883" s="10" t="s">
        <v>54913</v>
      </c>
      <c r="B17883" s="24" t="s">
        <v>54914</v>
      </c>
      <c r="C17883" s="24" t="s">
        <v>54915</v>
      </c>
      <c r="D17883" s="25" t="s">
        <v>54916</v>
      </c>
      <c r="E17883" s="26"/>
      <c r="F17883" s="27">
        <f ca="1">ROUND(214.140*(1+G2/100),2)</f>
        <v>0</v>
      </c>
      <c r="G17883" s="26"/>
    </row>
    <row r="17884" spans="1:7" ht="21.36" thickBot="1" customHeight="1">
      <c r="A17884" s="26"/>
      <c r="B17884" s="26"/>
      <c r="C17884" s="26"/>
      <c r="D17884" s="25" t="s">
        <v>54917</v>
      </c>
      <c r="E17884" s="25"/>
      <c r="F17884" s="25"/>
      <c r="G17884" s="25"/>
    </row>
    <row r="17885" spans="1:7" ht="49.08" thickBot="1" customHeight="1">
      <c r="A17885" s="10" t="s">
        <v>54918</v>
      </c>
      <c r="B17885" s="24" t="s">
        <v>54919</v>
      </c>
      <c r="C17885" s="24" t="s">
        <v>54920</v>
      </c>
      <c r="D17885" s="25" t="s">
        <v>54921</v>
      </c>
      <c r="E17885" s="26"/>
      <c r="F17885" s="27">
        <f ca="1">ROUND(235.380*(1+G2/100),2)</f>
        <v>0</v>
      </c>
      <c r="G17885" s="26"/>
    </row>
    <row r="17886" spans="1:7" ht="21.36" thickBot="1" customHeight="1">
      <c r="A17886" s="26"/>
      <c r="B17886" s="26"/>
      <c r="C17886" s="26"/>
      <c r="D17886" s="25" t="s">
        <v>54922</v>
      </c>
      <c r="E17886" s="25"/>
      <c r="F17886" s="25"/>
      <c r="G17886" s="25"/>
    </row>
    <row r="17887" spans="1:7" ht="39.84" thickBot="1" customHeight="1">
      <c r="A17887" s="10" t="s">
        <v>54923</v>
      </c>
      <c r="B17887" s="24" t="s">
        <v>54924</v>
      </c>
      <c r="C17887" s="24" t="s">
        <v>54925</v>
      </c>
      <c r="D17887" s="25" t="s">
        <v>54926</v>
      </c>
      <c r="E17887" s="26"/>
      <c r="F17887" s="27">
        <f ca="1">ROUND(59.720*(1+G2/100),2)</f>
        <v>0</v>
      </c>
      <c r="G17887" s="26"/>
    </row>
    <row r="17888" spans="1:7" ht="169.20" thickBot="1" customHeight="1">
      <c r="A17888" s="26"/>
      <c r="B17888" s="26"/>
      <c r="C17888" s="26"/>
      <c r="D17888" s="25" t="s">
        <v>54927</v>
      </c>
      <c r="E17888" s="25"/>
      <c r="F17888" s="25"/>
      <c r="G17888" s="25"/>
    </row>
    <row r="17889" spans="1:7" ht="39.84" thickBot="1" customHeight="1">
      <c r="A17889" s="10" t="s">
        <v>54928</v>
      </c>
      <c r="B17889" s="24" t="s">
        <v>54929</v>
      </c>
      <c r="C17889" s="24" t="s">
        <v>54930</v>
      </c>
      <c r="D17889" s="25" t="s">
        <v>54931</v>
      </c>
      <c r="E17889" s="26"/>
      <c r="F17889" s="27">
        <f ca="1">ROUND(35.420*(1+G2/100),2)</f>
        <v>0</v>
      </c>
      <c r="G17889" s="26"/>
    </row>
    <row r="17890" spans="1:7" ht="169.20" thickBot="1" customHeight="1">
      <c r="A17890" s="26"/>
      <c r="B17890" s="26"/>
      <c r="C17890" s="26"/>
      <c r="D17890" s="25" t="s">
        <v>54932</v>
      </c>
      <c r="E17890" s="25"/>
      <c r="F17890" s="25"/>
      <c r="G17890" s="25"/>
    </row>
    <row r="17891" spans="1:7" ht="39.84" thickBot="1" customHeight="1">
      <c r="A17891" s="10" t="s">
        <v>54933</v>
      </c>
      <c r="B17891" s="24" t="s">
        <v>54934</v>
      </c>
      <c r="C17891" s="24" t="s">
        <v>54935</v>
      </c>
      <c r="D17891" s="25" t="s">
        <v>54936</v>
      </c>
      <c r="E17891" s="26"/>
      <c r="F17891" s="27">
        <f ca="1">ROUND(43.460*(1+G2/100),2)</f>
        <v>0</v>
      </c>
      <c r="G17891" s="26"/>
    </row>
    <row r="17892" spans="1:7" ht="169.20" thickBot="1" customHeight="1">
      <c r="A17892" s="26"/>
      <c r="B17892" s="26"/>
      <c r="C17892" s="26"/>
      <c r="D17892" s="25" t="s">
        <v>54937</v>
      </c>
      <c r="E17892" s="25"/>
      <c r="F17892" s="25"/>
      <c r="G17892" s="25"/>
    </row>
    <row r="17893" spans="1:7" ht="39.84" thickBot="1" customHeight="1">
      <c r="A17893" s="10" t="s">
        <v>54938</v>
      </c>
      <c r="B17893" s="24" t="s">
        <v>54939</v>
      </c>
      <c r="C17893" s="24" t="s">
        <v>54940</v>
      </c>
      <c r="D17893" s="25" t="s">
        <v>54941</v>
      </c>
      <c r="E17893" s="26"/>
      <c r="F17893" s="27">
        <f ca="1">ROUND(82.030*(1+G2/100),2)</f>
        <v>0</v>
      </c>
      <c r="G17893" s="26"/>
    </row>
    <row r="17894" spans="1:7" ht="169.20" thickBot="1" customHeight="1">
      <c r="A17894" s="26"/>
      <c r="B17894" s="26"/>
      <c r="C17894" s="26"/>
      <c r="D17894" s="25" t="s">
        <v>54942</v>
      </c>
      <c r="E17894" s="25"/>
      <c r="F17894" s="25"/>
      <c r="G17894" s="25"/>
    </row>
    <row r="17895" spans="1:7" ht="39.84" thickBot="1" customHeight="1">
      <c r="A17895" s="10" t="s">
        <v>54943</v>
      </c>
      <c r="B17895" s="24" t="s">
        <v>54944</v>
      </c>
      <c r="C17895" s="24" t="s">
        <v>54945</v>
      </c>
      <c r="D17895" s="25" t="s">
        <v>54946</v>
      </c>
      <c r="E17895" s="26"/>
      <c r="F17895" s="27">
        <f ca="1">ROUND(110.300*(1+G2/100),2)</f>
        <v>0</v>
      </c>
      <c r="G17895" s="26"/>
    </row>
    <row r="17896" spans="1:7" ht="169.20" thickBot="1" customHeight="1">
      <c r="A17896" s="26"/>
      <c r="B17896" s="26"/>
      <c r="C17896" s="26"/>
      <c r="D17896" s="25" t="s">
        <v>54947</v>
      </c>
      <c r="E17896" s="25"/>
      <c r="F17896" s="25"/>
      <c r="G17896" s="25"/>
    </row>
    <row r="17897" spans="1:7" ht="39.84" thickBot="1" customHeight="1">
      <c r="A17897" s="10" t="s">
        <v>54948</v>
      </c>
      <c r="B17897" s="24" t="s">
        <v>54949</v>
      </c>
      <c r="C17897" s="24" t="s">
        <v>54950</v>
      </c>
      <c r="D17897" s="25" t="s">
        <v>54951</v>
      </c>
      <c r="E17897" s="26"/>
      <c r="F17897" s="27">
        <f ca="1">ROUND(15.000*(1+G2/100),2)</f>
        <v>0</v>
      </c>
      <c r="G17897" s="26"/>
    </row>
    <row r="17898" spans="1:7" ht="21.36" thickBot="1" customHeight="1">
      <c r="A17898" s="26"/>
      <c r="B17898" s="26"/>
      <c r="C17898" s="26"/>
      <c r="D17898" s="25" t="s">
        <v>54952</v>
      </c>
      <c r="E17898" s="25"/>
      <c r="F17898" s="25"/>
      <c r="G17898" s="25"/>
    </row>
    <row r="17899" spans="1:7" ht="39.84" thickBot="1" customHeight="1">
      <c r="A17899" s="10" t="s">
        <v>54953</v>
      </c>
      <c r="B17899" s="24" t="s">
        <v>54954</v>
      </c>
      <c r="C17899" s="24" t="s">
        <v>54955</v>
      </c>
      <c r="D17899" s="25" t="s">
        <v>54956</v>
      </c>
      <c r="E17899" s="26"/>
      <c r="F17899" s="27">
        <f ca="1">ROUND(31.000*(1+G2/100),2)</f>
        <v>0</v>
      </c>
      <c r="G17899" s="26"/>
    </row>
    <row r="17900" spans="1:7" ht="21.36" thickBot="1" customHeight="1">
      <c r="A17900" s="26"/>
      <c r="B17900" s="26"/>
      <c r="C17900" s="26"/>
      <c r="D17900" s="25" t="s">
        <v>54957</v>
      </c>
      <c r="E17900" s="25"/>
      <c r="F17900" s="25"/>
      <c r="G17900" s="25"/>
    </row>
    <row r="17901" spans="1:7" ht="39.84" thickBot="1" customHeight="1">
      <c r="A17901" s="10" t="s">
        <v>54958</v>
      </c>
      <c r="B17901" s="24" t="s">
        <v>54959</v>
      </c>
      <c r="C17901" s="24" t="s">
        <v>54960</v>
      </c>
      <c r="D17901" s="25" t="s">
        <v>54961</v>
      </c>
      <c r="E17901" s="26"/>
      <c r="F17901" s="27">
        <f ca="1">ROUND(5.000*(1+G2/100),2)</f>
        <v>0</v>
      </c>
      <c r="G17901" s="26"/>
    </row>
    <row r="17902" spans="1:7" ht="21.36" thickBot="1" customHeight="1">
      <c r="A17902" s="26"/>
      <c r="B17902" s="26"/>
      <c r="C17902" s="26"/>
      <c r="D17902" s="25" t="s">
        <v>54962</v>
      </c>
      <c r="E17902" s="25"/>
      <c r="F17902" s="25"/>
      <c r="G17902" s="25"/>
    </row>
    <row r="17903" spans="1:7" ht="39.84" thickBot="1" customHeight="1">
      <c r="A17903" s="10" t="s">
        <v>54963</v>
      </c>
      <c r="B17903" s="24" t="s">
        <v>54964</v>
      </c>
      <c r="C17903" s="24" t="s">
        <v>54965</v>
      </c>
      <c r="D17903" s="25" t="s">
        <v>54966</v>
      </c>
      <c r="E17903" s="26"/>
      <c r="F17903" s="27">
        <f ca="1">ROUND(6.000*(1+G2/100),2)</f>
        <v>0</v>
      </c>
      <c r="G17903" s="26"/>
    </row>
    <row r="17904" spans="1:7" ht="21.36" thickBot="1" customHeight="1">
      <c r="A17904" s="26"/>
      <c r="B17904" s="26"/>
      <c r="C17904" s="26"/>
      <c r="D17904" s="25" t="s">
        <v>54967</v>
      </c>
      <c r="E17904" s="25"/>
      <c r="F17904" s="25"/>
      <c r="G17904" s="25"/>
    </row>
    <row r="17905" spans="1:7" ht="30.60" thickBot="1" customHeight="1">
      <c r="A17905" s="10" t="s">
        <v>54968</v>
      </c>
      <c r="B17905" s="24" t="s">
        <v>54969</v>
      </c>
      <c r="C17905" s="24" t="s">
        <v>54970</v>
      </c>
      <c r="D17905" s="25" t="s">
        <v>54971</v>
      </c>
      <c r="E17905" s="26"/>
      <c r="F17905" s="27">
        <f ca="1">ROUND(4.000*(1+G2/100),2)</f>
        <v>0</v>
      </c>
      <c r="G17905" s="26"/>
    </row>
    <row r="17906" spans="1:7" ht="21.36" thickBot="1" customHeight="1">
      <c r="A17906" s="26"/>
      <c r="B17906" s="26"/>
      <c r="C17906" s="26"/>
      <c r="D17906" s="25" t="s">
        <v>54972</v>
      </c>
      <c r="E17906" s="25"/>
      <c r="F17906" s="25"/>
      <c r="G17906" s="25"/>
    </row>
    <row r="17907" spans="1:7" ht="30.60" thickBot="1" customHeight="1">
      <c r="A17907" s="10" t="s">
        <v>54973</v>
      </c>
      <c r="B17907" s="24" t="s">
        <v>54974</v>
      </c>
      <c r="C17907" s="24" t="s">
        <v>54975</v>
      </c>
      <c r="D17907" s="25" t="s">
        <v>54976</v>
      </c>
      <c r="E17907" s="26"/>
      <c r="F17907" s="27">
        <f ca="1">ROUND(7.000*(1+G2/100),2)</f>
        <v>0</v>
      </c>
      <c r="G17907" s="26"/>
    </row>
    <row r="17908" spans="1:7" ht="21.36" thickBot="1" customHeight="1">
      <c r="A17908" s="26"/>
      <c r="B17908" s="26"/>
      <c r="C17908" s="26"/>
      <c r="D17908" s="25" t="s">
        <v>54977</v>
      </c>
      <c r="E17908" s="25"/>
      <c r="F17908" s="25"/>
      <c r="G17908" s="25"/>
    </row>
    <row r="17909" spans="1:7" ht="39.84" thickBot="1" customHeight="1">
      <c r="A17909" s="10" t="s">
        <v>54978</v>
      </c>
      <c r="B17909" s="24" t="s">
        <v>54979</v>
      </c>
      <c r="C17909" s="24" t="s">
        <v>54980</v>
      </c>
      <c r="D17909" s="25" t="s">
        <v>54981</v>
      </c>
      <c r="E17909" s="26"/>
      <c r="F17909" s="27">
        <f ca="1">ROUND(29.000*(1+G2/100),2)</f>
        <v>0</v>
      </c>
      <c r="G17909" s="26"/>
    </row>
    <row r="17910" spans="1:7" ht="21.36" thickBot="1" customHeight="1">
      <c r="A17910" s="26"/>
      <c r="B17910" s="26"/>
      <c r="C17910" s="26"/>
      <c r="D17910" s="25" t="s">
        <v>54982</v>
      </c>
      <c r="E17910" s="25"/>
      <c r="F17910" s="25"/>
      <c r="G17910" s="25"/>
    </row>
    <row r="17911" spans="1:7" ht="39.84" thickBot="1" customHeight="1">
      <c r="A17911" s="10" t="s">
        <v>54983</v>
      </c>
      <c r="B17911" s="24" t="s">
        <v>54984</v>
      </c>
      <c r="C17911" s="24" t="s">
        <v>54985</v>
      </c>
      <c r="D17911" s="25" t="s">
        <v>54986</v>
      </c>
      <c r="E17911" s="26"/>
      <c r="F17911" s="27">
        <f ca="1">ROUND(46.000*(1+G2/100),2)</f>
        <v>0</v>
      </c>
      <c r="G17911" s="26"/>
    </row>
    <row r="17912" spans="1:7" ht="21.36" thickBot="1" customHeight="1">
      <c r="A17912" s="26"/>
      <c r="B17912" s="26"/>
      <c r="C17912" s="26"/>
      <c r="D17912" s="25" t="s">
        <v>54987</v>
      </c>
      <c r="E17912" s="25"/>
      <c r="F17912" s="25"/>
      <c r="G17912" s="25"/>
    </row>
    <row r="17913" spans="1:7" ht="39.84" thickBot="1" customHeight="1">
      <c r="A17913" s="10" t="s">
        <v>54988</v>
      </c>
      <c r="B17913" s="24" t="s">
        <v>54989</v>
      </c>
      <c r="C17913" s="24" t="s">
        <v>54990</v>
      </c>
      <c r="D17913" s="25" t="s">
        <v>54991</v>
      </c>
      <c r="E17913" s="26"/>
      <c r="F17913" s="27">
        <f ca="1">ROUND(12.000*(1+G2/100),2)</f>
        <v>0</v>
      </c>
      <c r="G17913" s="26"/>
    </row>
    <row r="17914" spans="1:7" ht="21.36" thickBot="1" customHeight="1">
      <c r="A17914" s="26"/>
      <c r="B17914" s="26"/>
      <c r="C17914" s="26"/>
      <c r="D17914" s="25" t="s">
        <v>54992</v>
      </c>
      <c r="E17914" s="25"/>
      <c r="F17914" s="25"/>
      <c r="G17914" s="25"/>
    </row>
    <row r="17915" spans="1:7" ht="39.84" thickBot="1" customHeight="1">
      <c r="A17915" s="10" t="s">
        <v>54993</v>
      </c>
      <c r="B17915" s="24" t="s">
        <v>54994</v>
      </c>
      <c r="C17915" s="24" t="s">
        <v>54995</v>
      </c>
      <c r="D17915" s="25" t="s">
        <v>54996</v>
      </c>
      <c r="E17915" s="26"/>
      <c r="F17915" s="27">
        <f ca="1">ROUND(23.000*(1+G2/100),2)</f>
        <v>0</v>
      </c>
      <c r="G17915" s="26"/>
    </row>
    <row r="17916" spans="1:7" ht="21.36" thickBot="1" customHeight="1">
      <c r="A17916" s="26"/>
      <c r="B17916" s="26"/>
      <c r="C17916" s="26"/>
      <c r="D17916" s="25" t="s">
        <v>54997</v>
      </c>
      <c r="E17916" s="25"/>
      <c r="F17916" s="25"/>
      <c r="G17916" s="25"/>
    </row>
    <row r="17917" spans="1:7" ht="39.84" thickBot="1" customHeight="1">
      <c r="A17917" s="10" t="s">
        <v>54998</v>
      </c>
      <c r="B17917" s="24" t="s">
        <v>54999</v>
      </c>
      <c r="C17917" s="24" t="s">
        <v>55000</v>
      </c>
      <c r="D17917" s="25" t="s">
        <v>55001</v>
      </c>
      <c r="E17917" s="26"/>
      <c r="F17917" s="27">
        <f ca="1">ROUND(18.000*(1+G2/100),2)</f>
        <v>0</v>
      </c>
      <c r="G17917" s="26"/>
    </row>
    <row r="17918" spans="1:7" ht="21.36" thickBot="1" customHeight="1">
      <c r="A17918" s="26"/>
      <c r="B17918" s="26"/>
      <c r="C17918" s="26"/>
      <c r="D17918" s="25" t="s">
        <v>55002</v>
      </c>
      <c r="E17918" s="25"/>
      <c r="F17918" s="25"/>
      <c r="G17918" s="25"/>
    </row>
    <row r="17919" spans="1:7" ht="39.84" thickBot="1" customHeight="1">
      <c r="A17919" s="10" t="s">
        <v>55003</v>
      </c>
      <c r="B17919" s="24" t="s">
        <v>55004</v>
      </c>
      <c r="C17919" s="24" t="s">
        <v>55005</v>
      </c>
      <c r="D17919" s="25" t="s">
        <v>55006</v>
      </c>
      <c r="E17919" s="26"/>
      <c r="F17919" s="27">
        <f ca="1">ROUND(44.000*(1+G2/100),2)</f>
        <v>0</v>
      </c>
      <c r="G17919" s="26"/>
    </row>
    <row r="17920" spans="1:7" ht="21.36" thickBot="1" customHeight="1">
      <c r="A17920" s="26"/>
      <c r="B17920" s="26"/>
      <c r="C17920" s="26"/>
      <c r="D17920" s="25" t="s">
        <v>55007</v>
      </c>
      <c r="E17920" s="25"/>
      <c r="F17920" s="25"/>
      <c r="G17920" s="25"/>
    </row>
    <row r="17921" spans="1:7" ht="39.84" thickBot="1" customHeight="1">
      <c r="A17921" s="10" t="s">
        <v>55008</v>
      </c>
      <c r="B17921" s="24" t="s">
        <v>55009</v>
      </c>
      <c r="C17921" s="24" t="s">
        <v>55010</v>
      </c>
      <c r="D17921" s="25" t="s">
        <v>55011</v>
      </c>
      <c r="E17921" s="26"/>
      <c r="F17921" s="27">
        <f ca="1">ROUND(30.000*(1+G2/100),2)</f>
        <v>0</v>
      </c>
      <c r="G17921" s="26"/>
    </row>
    <row r="17922" spans="1:7" ht="21.36" thickBot="1" customHeight="1">
      <c r="A17922" s="26"/>
      <c r="B17922" s="26"/>
      <c r="C17922" s="26"/>
      <c r="D17922" s="25" t="s">
        <v>55012</v>
      </c>
      <c r="E17922" s="25"/>
      <c r="F17922" s="25"/>
      <c r="G17922" s="25"/>
    </row>
    <row r="17923" spans="1:7" ht="39.84" thickBot="1" customHeight="1">
      <c r="A17923" s="10" t="s">
        <v>55013</v>
      </c>
      <c r="B17923" s="24" t="s">
        <v>55014</v>
      </c>
      <c r="C17923" s="24" t="s">
        <v>55015</v>
      </c>
      <c r="D17923" s="25" t="s">
        <v>55016</v>
      </c>
      <c r="E17923" s="26"/>
      <c r="F17923" s="27">
        <f ca="1">ROUND(71.000*(1+G2/100),2)</f>
        <v>0</v>
      </c>
      <c r="G17923" s="26"/>
    </row>
    <row r="17924" spans="1:7" ht="21.36" thickBot="1" customHeight="1">
      <c r="A17924" s="26"/>
      <c r="B17924" s="26"/>
      <c r="C17924" s="26"/>
      <c r="D17924" s="25" t="s">
        <v>55017</v>
      </c>
      <c r="E17924" s="25"/>
      <c r="F17924" s="25"/>
      <c r="G17924" s="25"/>
    </row>
    <row r="17925" spans="1:7" ht="39.84" thickBot="1" customHeight="1">
      <c r="A17925" s="10" t="s">
        <v>55018</v>
      </c>
      <c r="B17925" s="24" t="s">
        <v>55019</v>
      </c>
      <c r="C17925" s="24" t="s">
        <v>55020</v>
      </c>
      <c r="D17925" s="25" t="s">
        <v>55021</v>
      </c>
      <c r="E17925" s="26"/>
      <c r="F17925" s="27">
        <f ca="1">ROUND(30.000*(1+G2/100),2)</f>
        <v>0</v>
      </c>
      <c r="G17925" s="26"/>
    </row>
    <row r="17926" spans="1:7" ht="21.36" thickBot="1" customHeight="1">
      <c r="A17926" s="26"/>
      <c r="B17926" s="26"/>
      <c r="C17926" s="26"/>
      <c r="D17926" s="25" t="s">
        <v>55022</v>
      </c>
      <c r="E17926" s="25"/>
      <c r="F17926" s="25"/>
      <c r="G17926" s="25"/>
    </row>
    <row r="17927" spans="1:7" ht="39.84" thickBot="1" customHeight="1">
      <c r="A17927" s="10" t="s">
        <v>55023</v>
      </c>
      <c r="B17927" s="24" t="s">
        <v>55024</v>
      </c>
      <c r="C17927" s="24" t="s">
        <v>55025</v>
      </c>
      <c r="D17927" s="25" t="s">
        <v>55026</v>
      </c>
      <c r="E17927" s="26"/>
      <c r="F17927" s="27">
        <f ca="1">ROUND(71.000*(1+G2/100),2)</f>
        <v>0</v>
      </c>
      <c r="G17927" s="26"/>
    </row>
    <row r="17928" spans="1:7" ht="21.36" thickBot="1" customHeight="1">
      <c r="A17928" s="26"/>
      <c r="B17928" s="26"/>
      <c r="C17928" s="26"/>
      <c r="D17928" s="25" t="s">
        <v>55027</v>
      </c>
      <c r="E17928" s="25"/>
      <c r="F17928" s="25"/>
      <c r="G17928" s="25"/>
    </row>
    <row r="17929" spans="1:7" ht="39.84" thickBot="1" customHeight="1">
      <c r="A17929" s="10" t="s">
        <v>55028</v>
      </c>
      <c r="B17929" s="24" t="s">
        <v>55029</v>
      </c>
      <c r="C17929" s="24" t="s">
        <v>55030</v>
      </c>
      <c r="D17929" s="25" t="s">
        <v>55031</v>
      </c>
      <c r="E17929" s="26"/>
      <c r="F17929" s="27">
        <f ca="1">ROUND(10.980*(1+G2/100),2)</f>
        <v>0</v>
      </c>
      <c r="G17929" s="26"/>
    </row>
    <row r="17930" spans="1:7" ht="30.60" thickBot="1" customHeight="1">
      <c r="A17930" s="26"/>
      <c r="B17930" s="26"/>
      <c r="C17930" s="26"/>
      <c r="D17930" s="25" t="s">
        <v>55032</v>
      </c>
      <c r="E17930" s="25"/>
      <c r="F17930" s="25"/>
      <c r="G17930" s="25"/>
    </row>
    <row r="17931" spans="1:7" ht="30.60" thickBot="1" customHeight="1">
      <c r="A17931" s="10" t="s">
        <v>55033</v>
      </c>
      <c r="B17931" s="24" t="s">
        <v>55034</v>
      </c>
      <c r="C17931" s="24" t="s">
        <v>55035</v>
      </c>
      <c r="D17931" s="25" t="s">
        <v>55036</v>
      </c>
      <c r="E17931" s="26"/>
      <c r="F17931" s="27">
        <f ca="1">ROUND(47.100*(1+G2/100),2)</f>
        <v>0</v>
      </c>
      <c r="G17931" s="26"/>
    </row>
    <row r="17932" spans="1:7" ht="30.60" thickBot="1" customHeight="1">
      <c r="A17932" s="26"/>
      <c r="B17932" s="26"/>
      <c r="C17932" s="26"/>
      <c r="D17932" s="25" t="s">
        <v>55037</v>
      </c>
      <c r="E17932" s="25"/>
      <c r="F17932" s="25"/>
      <c r="G17932" s="25"/>
    </row>
    <row r="17933" spans="1:7" ht="39.84" thickBot="1" customHeight="1">
      <c r="A17933" s="10" t="s">
        <v>55038</v>
      </c>
      <c r="B17933" s="24" t="s">
        <v>55039</v>
      </c>
      <c r="C17933" s="24" t="s">
        <v>55040</v>
      </c>
      <c r="D17933" s="25" t="s">
        <v>55041</v>
      </c>
      <c r="E17933" s="26"/>
      <c r="F17933" s="27">
        <f ca="1">ROUND(37.180*(1+G2/100),2)</f>
        <v>0</v>
      </c>
      <c r="G17933" s="26"/>
    </row>
    <row r="17934" spans="1:7" ht="30.60" thickBot="1" customHeight="1">
      <c r="A17934" s="26"/>
      <c r="B17934" s="26"/>
      <c r="C17934" s="26"/>
      <c r="D17934" s="25" t="s">
        <v>55042</v>
      </c>
      <c r="E17934" s="25"/>
      <c r="F17934" s="25"/>
      <c r="G17934" s="25"/>
    </row>
    <row r="17935" spans="1:7" ht="30.60" thickBot="1" customHeight="1">
      <c r="A17935" s="10" t="s">
        <v>55043</v>
      </c>
      <c r="B17935" s="24" t="s">
        <v>55044</v>
      </c>
      <c r="C17935" s="24" t="s">
        <v>55045</v>
      </c>
      <c r="D17935" s="25" t="s">
        <v>55046</v>
      </c>
      <c r="E17935" s="26"/>
      <c r="F17935" s="27">
        <f ca="1">ROUND(52.880*(1+G2/100),2)</f>
        <v>0</v>
      </c>
      <c r="G17935" s="26"/>
    </row>
    <row r="17936" spans="1:7" ht="30.60" thickBot="1" customHeight="1">
      <c r="A17936" s="26"/>
      <c r="B17936" s="26"/>
      <c r="C17936" s="26"/>
      <c r="D17936" s="25" t="s">
        <v>55047</v>
      </c>
      <c r="E17936" s="25"/>
      <c r="F17936" s="25"/>
      <c r="G17936" s="25"/>
    </row>
    <row r="17937" spans="1:7" ht="30.60" thickBot="1" customHeight="1">
      <c r="A17937" s="10" t="s">
        <v>55048</v>
      </c>
      <c r="B17937" s="24" t="s">
        <v>55049</v>
      </c>
      <c r="C17937" s="24" t="s">
        <v>55050</v>
      </c>
      <c r="D17937" s="25" t="s">
        <v>55051</v>
      </c>
      <c r="E17937" s="26"/>
      <c r="F17937" s="27">
        <f ca="1">ROUND(27.270*(1+G2/100),2)</f>
        <v>0</v>
      </c>
      <c r="G17937" s="26"/>
    </row>
    <row r="17938" spans="1:7" ht="30.60" thickBot="1" customHeight="1">
      <c r="A17938" s="26"/>
      <c r="B17938" s="26"/>
      <c r="C17938" s="26"/>
      <c r="D17938" s="25" t="s">
        <v>55052</v>
      </c>
      <c r="E17938" s="25"/>
      <c r="F17938" s="25"/>
      <c r="G17938" s="25"/>
    </row>
    <row r="17939" spans="1:7" ht="30.60" thickBot="1" customHeight="1">
      <c r="A17939" s="10" t="s">
        <v>55053</v>
      </c>
      <c r="B17939" s="24" t="s">
        <v>55054</v>
      </c>
      <c r="C17939" s="24" t="s">
        <v>55055</v>
      </c>
      <c r="D17939" s="25" t="s">
        <v>55056</v>
      </c>
      <c r="E17939" s="26"/>
      <c r="F17939" s="27">
        <f ca="1">ROUND(5.360*(1+G2/100),2)</f>
        <v>0</v>
      </c>
      <c r="G17939" s="26"/>
    </row>
    <row r="17940" spans="1:7" ht="30.60" thickBot="1" customHeight="1">
      <c r="A17940" s="26"/>
      <c r="B17940" s="26"/>
      <c r="C17940" s="26"/>
      <c r="D17940" s="25" t="s">
        <v>55057</v>
      </c>
      <c r="E17940" s="25"/>
      <c r="F17940" s="25"/>
      <c r="G17940" s="25"/>
    </row>
    <row r="17941" spans="1:7" ht="39.84" thickBot="1" customHeight="1">
      <c r="A17941" s="10" t="s">
        <v>55058</v>
      </c>
      <c r="B17941" s="24" t="s">
        <v>55059</v>
      </c>
      <c r="C17941" s="24" t="s">
        <v>55060</v>
      </c>
      <c r="D17941" s="25" t="s">
        <v>55061</v>
      </c>
      <c r="E17941" s="26"/>
      <c r="F17941" s="27">
        <f ca="1">ROUND(19.000*(1+G2/100),2)</f>
        <v>0</v>
      </c>
      <c r="G17941" s="26"/>
    </row>
    <row r="17942" spans="1:7" ht="30.60" thickBot="1" customHeight="1">
      <c r="A17942" s="26"/>
      <c r="B17942" s="26"/>
      <c r="C17942" s="26"/>
      <c r="D17942" s="25" t="s">
        <v>55062</v>
      </c>
      <c r="E17942" s="25"/>
      <c r="F17942" s="25"/>
      <c r="G17942" s="25"/>
    </row>
    <row r="17943" spans="1:7" ht="30.60" thickBot="1" customHeight="1">
      <c r="A17943" s="10" t="s">
        <v>55063</v>
      </c>
      <c r="B17943" s="24" t="s">
        <v>55064</v>
      </c>
      <c r="C17943" s="24" t="s">
        <v>55065</v>
      </c>
      <c r="D17943" s="25" t="s">
        <v>55066</v>
      </c>
      <c r="E17943" s="26"/>
      <c r="F17943" s="27">
        <f ca="1">ROUND(42.140*(1+G2/100),2)</f>
        <v>0</v>
      </c>
      <c r="G17943" s="26"/>
    </row>
    <row r="17944" spans="1:7" ht="30.60" thickBot="1" customHeight="1">
      <c r="A17944" s="26"/>
      <c r="B17944" s="26"/>
      <c r="C17944" s="26"/>
      <c r="D17944" s="25" t="s">
        <v>55067</v>
      </c>
      <c r="E17944" s="25"/>
      <c r="F17944" s="25"/>
      <c r="G17944" s="25"/>
    </row>
    <row r="17945" spans="1:7" ht="30.60" thickBot="1" customHeight="1">
      <c r="A17945" s="10" t="s">
        <v>55068</v>
      </c>
      <c r="B17945" s="24" t="s">
        <v>55069</v>
      </c>
      <c r="C17945" s="24" t="s">
        <v>55070</v>
      </c>
      <c r="D17945" s="25" t="s">
        <v>55071</v>
      </c>
      <c r="E17945" s="26"/>
      <c r="F17945" s="27">
        <f ca="1">ROUND(21.480*(1+G2/100),2)</f>
        <v>0</v>
      </c>
      <c r="G17945" s="26"/>
    </row>
    <row r="17946" spans="1:7" ht="30.60" thickBot="1" customHeight="1">
      <c r="A17946" s="26"/>
      <c r="B17946" s="26"/>
      <c r="C17946" s="26"/>
      <c r="D17946" s="25" t="s">
        <v>55072</v>
      </c>
      <c r="E17946" s="25"/>
      <c r="F17946" s="25"/>
      <c r="G17946" s="25"/>
    </row>
    <row r="17947" spans="1:7" ht="30.60" thickBot="1" customHeight="1">
      <c r="A17947" s="10" t="s">
        <v>55073</v>
      </c>
      <c r="B17947" s="24" t="s">
        <v>55074</v>
      </c>
      <c r="C17947" s="24" t="s">
        <v>55075</v>
      </c>
      <c r="D17947" s="25" t="s">
        <v>55076</v>
      </c>
      <c r="E17947" s="26"/>
      <c r="F17947" s="27">
        <f ca="1">ROUND(61.150*(1+G2/100),2)</f>
        <v>0</v>
      </c>
      <c r="G17947" s="26"/>
    </row>
    <row r="17948" spans="1:7" ht="30.60" thickBot="1" customHeight="1">
      <c r="A17948" s="26"/>
      <c r="B17948" s="26"/>
      <c r="C17948" s="26"/>
      <c r="D17948" s="25" t="s">
        <v>55077</v>
      </c>
      <c r="E17948" s="25"/>
      <c r="F17948" s="25"/>
      <c r="G17948" s="25"/>
    </row>
    <row r="17949" spans="1:7" ht="30.60" thickBot="1" customHeight="1">
      <c r="A17949" s="10" t="s">
        <v>55078</v>
      </c>
      <c r="B17949" s="24" t="s">
        <v>55079</v>
      </c>
      <c r="C17949" s="24" t="s">
        <v>55080</v>
      </c>
      <c r="D17949" s="25" t="s">
        <v>55081</v>
      </c>
      <c r="E17949" s="26"/>
      <c r="F17949" s="27">
        <f ca="1">ROUND(23.790*(1+G2/100),2)</f>
        <v>0</v>
      </c>
      <c r="G17949" s="26"/>
    </row>
    <row r="17950" spans="1:7" ht="30.60" thickBot="1" customHeight="1">
      <c r="A17950" s="26"/>
      <c r="B17950" s="26"/>
      <c r="C17950" s="26"/>
      <c r="D17950" s="25" t="s">
        <v>55082</v>
      </c>
      <c r="E17950" s="25"/>
      <c r="F17950" s="25"/>
      <c r="G17950" s="25"/>
    </row>
    <row r="17951" spans="1:7" ht="39.84" thickBot="1" customHeight="1">
      <c r="A17951" s="10" t="s">
        <v>55083</v>
      </c>
      <c r="B17951" s="24" t="s">
        <v>55084</v>
      </c>
      <c r="C17951" s="24" t="s">
        <v>55085</v>
      </c>
      <c r="D17951" s="25" t="s">
        <v>55086</v>
      </c>
      <c r="E17951" s="26"/>
      <c r="F17951" s="27">
        <f ca="1">ROUND(35.530*(1+G2/100),2)</f>
        <v>0</v>
      </c>
      <c r="G17951" s="26"/>
    </row>
    <row r="17952" spans="1:7" ht="30.60" thickBot="1" customHeight="1">
      <c r="A17952" s="26"/>
      <c r="B17952" s="26"/>
      <c r="C17952" s="26"/>
      <c r="D17952" s="25" t="s">
        <v>55087</v>
      </c>
      <c r="E17952" s="25"/>
      <c r="F17952" s="25"/>
      <c r="G17952" s="25"/>
    </row>
    <row r="17953" spans="1:7" ht="30.60" thickBot="1" customHeight="1">
      <c r="A17953" s="10" t="s">
        <v>55088</v>
      </c>
      <c r="B17953" s="24" t="s">
        <v>55089</v>
      </c>
      <c r="C17953" s="24" t="s">
        <v>55090</v>
      </c>
      <c r="D17953" s="25" t="s">
        <v>55091</v>
      </c>
      <c r="E17953" s="26"/>
      <c r="F17953" s="27">
        <f ca="1">ROUND(82.650*(1+G2/100),2)</f>
        <v>0</v>
      </c>
      <c r="G17953" s="26"/>
    </row>
    <row r="17954" spans="1:7" ht="30.60" thickBot="1" customHeight="1">
      <c r="A17954" s="26"/>
      <c r="B17954" s="26"/>
      <c r="C17954" s="26"/>
      <c r="D17954" s="25" t="s">
        <v>55092</v>
      </c>
      <c r="E17954" s="25"/>
      <c r="F17954" s="25"/>
      <c r="G17954" s="25"/>
    </row>
    <row r="17955" spans="1:7" ht="39.84" thickBot="1" customHeight="1">
      <c r="A17955" s="10" t="s">
        <v>55093</v>
      </c>
      <c r="B17955" s="24" t="s">
        <v>55094</v>
      </c>
      <c r="C17955" s="24" t="s">
        <v>55095</v>
      </c>
      <c r="D17955" s="25" t="s">
        <v>55096</v>
      </c>
      <c r="E17955" s="26"/>
      <c r="F17955" s="27">
        <f ca="1">ROUND(15.280*(1+G2/100),2)</f>
        <v>0</v>
      </c>
      <c r="G17955" s="26"/>
    </row>
    <row r="17956" spans="1:7" ht="30.60" thickBot="1" customHeight="1">
      <c r="A17956" s="26"/>
      <c r="B17956" s="26"/>
      <c r="C17956" s="26"/>
      <c r="D17956" s="25" t="s">
        <v>55097</v>
      </c>
      <c r="E17956" s="25"/>
      <c r="F17956" s="25"/>
      <c r="G17956" s="25"/>
    </row>
    <row r="17957" spans="1:7" ht="30.60" thickBot="1" customHeight="1">
      <c r="A17957" s="10" t="s">
        <v>55098</v>
      </c>
      <c r="B17957" s="24" t="s">
        <v>55099</v>
      </c>
      <c r="C17957" s="24" t="s">
        <v>55100</v>
      </c>
      <c r="D17957" s="25" t="s">
        <v>55101</v>
      </c>
      <c r="E17957" s="26"/>
      <c r="F17957" s="27">
        <f ca="1">ROUND(57.840*(1+G2/100),2)</f>
        <v>0</v>
      </c>
      <c r="G17957" s="26"/>
    </row>
    <row r="17958" spans="1:7" ht="30.60" thickBot="1" customHeight="1">
      <c r="A17958" s="26"/>
      <c r="B17958" s="26"/>
      <c r="C17958" s="26"/>
      <c r="D17958" s="25" t="s">
        <v>55102</v>
      </c>
      <c r="E17958" s="25"/>
      <c r="F17958" s="25"/>
      <c r="G17958" s="25"/>
    </row>
    <row r="17959" spans="1:7" ht="30.60" thickBot="1" customHeight="1">
      <c r="A17959" s="10" t="s">
        <v>55103</v>
      </c>
      <c r="B17959" s="24" t="s">
        <v>55104</v>
      </c>
      <c r="C17959" s="24" t="s">
        <v>55105</v>
      </c>
      <c r="D17959" s="25" t="s">
        <v>55106</v>
      </c>
      <c r="E17959" s="26"/>
      <c r="F17959" s="27">
        <f ca="1">ROUND(12.340*(1+G2/100),2)</f>
        <v>0</v>
      </c>
      <c r="G17959" s="26"/>
    </row>
    <row r="17960" spans="1:7" ht="21.36" thickBot="1" customHeight="1">
      <c r="A17960" s="26"/>
      <c r="B17960" s="26"/>
      <c r="C17960" s="26"/>
      <c r="D17960" s="25" t="s">
        <v>55107</v>
      </c>
      <c r="E17960" s="25"/>
      <c r="F17960" s="25"/>
      <c r="G17960" s="25"/>
    </row>
    <row r="17961" spans="1:7" ht="30.60" thickBot="1" customHeight="1">
      <c r="A17961" s="10" t="s">
        <v>55108</v>
      </c>
      <c r="B17961" s="24" t="s">
        <v>55109</v>
      </c>
      <c r="C17961" s="24" t="s">
        <v>55110</v>
      </c>
      <c r="D17961" s="25" t="s">
        <v>55111</v>
      </c>
      <c r="E17961" s="26"/>
      <c r="F17961" s="27">
        <f ca="1">ROUND(13.640*(1+G2/100),2)</f>
        <v>0</v>
      </c>
      <c r="G17961" s="26"/>
    </row>
    <row r="17962" spans="1:7" ht="21.36" thickBot="1" customHeight="1">
      <c r="A17962" s="26"/>
      <c r="B17962" s="26"/>
      <c r="C17962" s="26"/>
      <c r="D17962" s="25" t="s">
        <v>55112</v>
      </c>
      <c r="E17962" s="25"/>
      <c r="F17962" s="25"/>
      <c r="G17962" s="25"/>
    </row>
    <row r="17963" spans="1:7" ht="30.60" thickBot="1" customHeight="1">
      <c r="A17963" s="10" t="s">
        <v>55113</v>
      </c>
      <c r="B17963" s="24" t="s">
        <v>55114</v>
      </c>
      <c r="C17963" s="24" t="s">
        <v>55115</v>
      </c>
      <c r="D17963" s="25" t="s">
        <v>55116</v>
      </c>
      <c r="E17963" s="26"/>
      <c r="F17963" s="27">
        <f ca="1">ROUND(4.670*(1+G2/100),2)</f>
        <v>0</v>
      </c>
      <c r="G17963" s="26"/>
    </row>
    <row r="17964" spans="1:7" ht="21.36" thickBot="1" customHeight="1">
      <c r="A17964" s="26"/>
      <c r="B17964" s="26"/>
      <c r="C17964" s="26"/>
      <c r="D17964" s="25" t="s">
        <v>55117</v>
      </c>
      <c r="E17964" s="25"/>
      <c r="F17964" s="25"/>
      <c r="G17964" s="25"/>
    </row>
    <row r="17965" spans="1:7" ht="30.60" thickBot="1" customHeight="1">
      <c r="A17965" s="10" t="s">
        <v>55118</v>
      </c>
      <c r="B17965" s="24" t="s">
        <v>55119</v>
      </c>
      <c r="C17965" s="24" t="s">
        <v>55120</v>
      </c>
      <c r="D17965" s="25" t="s">
        <v>55121</v>
      </c>
      <c r="E17965" s="26"/>
      <c r="F17965" s="27">
        <f ca="1">ROUND(24.370*(1+G2/100),2)</f>
        <v>0</v>
      </c>
      <c r="G17965" s="26"/>
    </row>
    <row r="17966" spans="1:7" ht="21.36" thickBot="1" customHeight="1">
      <c r="A17966" s="26"/>
      <c r="B17966" s="26"/>
      <c r="C17966" s="26"/>
      <c r="D17966" s="25" t="s">
        <v>55122</v>
      </c>
      <c r="E17966" s="25"/>
      <c r="F17966" s="25"/>
      <c r="G17966" s="25"/>
    </row>
    <row r="17967" spans="1:7" ht="30.60" thickBot="1" customHeight="1">
      <c r="A17967" s="10" t="s">
        <v>55123</v>
      </c>
      <c r="B17967" s="24" t="s">
        <v>55124</v>
      </c>
      <c r="C17967" s="24" t="s">
        <v>55125</v>
      </c>
      <c r="D17967" s="25" t="s">
        <v>55126</v>
      </c>
      <c r="E17967" s="26"/>
      <c r="F17967" s="27">
        <f ca="1">ROUND(11.030*(1+G2/100),2)</f>
        <v>0</v>
      </c>
      <c r="G17967" s="26"/>
    </row>
    <row r="17968" spans="1:7" ht="21.36" thickBot="1" customHeight="1">
      <c r="A17968" s="26"/>
      <c r="B17968" s="26"/>
      <c r="C17968" s="26"/>
      <c r="D17968" s="25" t="s">
        <v>55127</v>
      </c>
      <c r="E17968" s="25"/>
      <c r="F17968" s="25"/>
      <c r="G17968" s="25"/>
    </row>
    <row r="17969" spans="1:7" ht="30.60" thickBot="1" customHeight="1">
      <c r="A17969" s="10" t="s">
        <v>55128</v>
      </c>
      <c r="B17969" s="24" t="s">
        <v>55129</v>
      </c>
      <c r="C17969" s="24" t="s">
        <v>55130</v>
      </c>
      <c r="D17969" s="25" t="s">
        <v>55131</v>
      </c>
      <c r="E17969" s="26"/>
      <c r="F17969" s="27">
        <f ca="1">ROUND(20.500*(1+G2/100),2)</f>
        <v>0</v>
      </c>
      <c r="G17969" s="26"/>
    </row>
    <row r="17970" spans="1:7" ht="21.36" thickBot="1" customHeight="1">
      <c r="A17970" s="26"/>
      <c r="B17970" s="26"/>
      <c r="C17970" s="26"/>
      <c r="D17970" s="25" t="s">
        <v>55132</v>
      </c>
      <c r="E17970" s="25"/>
      <c r="F17970" s="25"/>
      <c r="G17970" s="25"/>
    </row>
    <row r="17971" spans="1:7" ht="39.84" thickBot="1" customHeight="1">
      <c r="A17971" s="10" t="s">
        <v>55133</v>
      </c>
      <c r="B17971" s="24" t="s">
        <v>55134</v>
      </c>
      <c r="C17971" s="24" t="s">
        <v>55135</v>
      </c>
      <c r="D17971" s="25" t="s">
        <v>55136</v>
      </c>
      <c r="E17971" s="26"/>
      <c r="F17971" s="27">
        <f ca="1">ROUND(19.460*(1+G2/100),2)</f>
        <v>0</v>
      </c>
      <c r="G17971" s="26"/>
    </row>
    <row r="17972" spans="1:7" ht="39.84" thickBot="1" customHeight="1">
      <c r="A17972" s="26"/>
      <c r="B17972" s="26"/>
      <c r="C17972" s="26"/>
      <c r="D17972" s="25" t="s">
        <v>55137</v>
      </c>
      <c r="E17972" s="25"/>
      <c r="F17972" s="25"/>
      <c r="G17972" s="25"/>
    </row>
    <row r="17973" spans="1:7" ht="39.84" thickBot="1" customHeight="1">
      <c r="A17973" s="10" t="s">
        <v>55138</v>
      </c>
      <c r="B17973" s="24" t="s">
        <v>55139</v>
      </c>
      <c r="C17973" s="24" t="s">
        <v>55140</v>
      </c>
      <c r="D17973" s="25" t="s">
        <v>55141</v>
      </c>
      <c r="E17973" s="26"/>
      <c r="F17973" s="27">
        <f ca="1">ROUND(19.020*(1+G2/100),2)</f>
        <v>0</v>
      </c>
      <c r="G17973" s="26"/>
    </row>
    <row r="17974" spans="1:7" ht="39.84" thickBot="1" customHeight="1">
      <c r="A17974" s="26"/>
      <c r="B17974" s="26"/>
      <c r="C17974" s="26"/>
      <c r="D17974" s="25" t="s">
        <v>55142</v>
      </c>
      <c r="E17974" s="25"/>
      <c r="F17974" s="25"/>
      <c r="G17974" s="25"/>
    </row>
    <row r="17975" spans="1:7" ht="39.84" thickBot="1" customHeight="1">
      <c r="A17975" s="10" t="s">
        <v>55143</v>
      </c>
      <c r="B17975" s="24" t="s">
        <v>55144</v>
      </c>
      <c r="C17975" s="24" t="s">
        <v>55145</v>
      </c>
      <c r="D17975" s="25" t="s">
        <v>55146</v>
      </c>
      <c r="E17975" s="26"/>
      <c r="F17975" s="27">
        <f ca="1">ROUND(2.310*(1+G2/100),2)</f>
        <v>0</v>
      </c>
      <c r="G17975" s="26"/>
    </row>
    <row r="17976" spans="1:7" ht="21.36" thickBot="1" customHeight="1">
      <c r="A17976" s="26"/>
      <c r="B17976" s="26"/>
      <c r="C17976" s="26"/>
      <c r="D17976" s="25" t="s">
        <v>55147</v>
      </c>
      <c r="E17976" s="25"/>
      <c r="F17976" s="25"/>
      <c r="G17976" s="25"/>
    </row>
    <row r="17977" spans="1:7" ht="39.84" thickBot="1" customHeight="1">
      <c r="A17977" s="10" t="s">
        <v>55148</v>
      </c>
      <c r="B17977" s="24" t="s">
        <v>55149</v>
      </c>
      <c r="C17977" s="24" t="s">
        <v>55150</v>
      </c>
      <c r="D17977" s="25" t="s">
        <v>55151</v>
      </c>
      <c r="E17977" s="26"/>
      <c r="F17977" s="27">
        <f ca="1">ROUND(3.840*(1+G2/100),2)</f>
        <v>0</v>
      </c>
      <c r="G17977" s="26"/>
    </row>
    <row r="17978" spans="1:7" ht="21.36" thickBot="1" customHeight="1">
      <c r="A17978" s="26"/>
      <c r="B17978" s="26"/>
      <c r="C17978" s="26"/>
      <c r="D17978" s="25" t="s">
        <v>55152</v>
      </c>
      <c r="E17978" s="25"/>
      <c r="F17978" s="25"/>
      <c r="G17978" s="25"/>
    </row>
    <row r="17979" spans="1:7" ht="39.84" thickBot="1" customHeight="1">
      <c r="A17979" s="10" t="s">
        <v>55153</v>
      </c>
      <c r="B17979" s="24" t="s">
        <v>55154</v>
      </c>
      <c r="C17979" s="24" t="s">
        <v>55155</v>
      </c>
      <c r="D17979" s="25" t="s">
        <v>55156</v>
      </c>
      <c r="E17979" s="26"/>
      <c r="F17979" s="27">
        <f ca="1">ROUND(5.000*(1+G2/100),2)</f>
        <v>0</v>
      </c>
      <c r="G17979" s="26"/>
    </row>
    <row r="17980" spans="1:7" ht="21.36" thickBot="1" customHeight="1">
      <c r="A17980" s="26"/>
      <c r="B17980" s="26"/>
      <c r="C17980" s="26"/>
      <c r="D17980" s="25" t="s">
        <v>55157</v>
      </c>
      <c r="E17980" s="25"/>
      <c r="F17980" s="25"/>
      <c r="G17980" s="25"/>
    </row>
    <row r="17981" spans="1:7" ht="39.84" thickBot="1" customHeight="1">
      <c r="A17981" s="10" t="s">
        <v>55158</v>
      </c>
      <c r="B17981" s="24" t="s">
        <v>55159</v>
      </c>
      <c r="C17981" s="24" t="s">
        <v>55160</v>
      </c>
      <c r="D17981" s="25" t="s">
        <v>55161</v>
      </c>
      <c r="E17981" s="26"/>
      <c r="F17981" s="27">
        <f ca="1">ROUND(9.160*(1+G2/100),2)</f>
        <v>0</v>
      </c>
      <c r="G17981" s="26"/>
    </row>
    <row r="17982" spans="1:7" ht="21.36" thickBot="1" customHeight="1">
      <c r="A17982" s="26"/>
      <c r="B17982" s="26"/>
      <c r="C17982" s="26"/>
      <c r="D17982" s="25" t="s">
        <v>55162</v>
      </c>
      <c r="E17982" s="25"/>
      <c r="F17982" s="25"/>
      <c r="G17982" s="25"/>
    </row>
    <row r="17983" spans="1:7" ht="39.84" thickBot="1" customHeight="1">
      <c r="A17983" s="10" t="s">
        <v>55163</v>
      </c>
      <c r="B17983" s="24" t="s">
        <v>55164</v>
      </c>
      <c r="C17983" s="24" t="s">
        <v>55165</v>
      </c>
      <c r="D17983" s="25" t="s">
        <v>55166</v>
      </c>
      <c r="E17983" s="26"/>
      <c r="F17983" s="27">
        <f ca="1">ROUND(3.160*(1+G2/100),2)</f>
        <v>0</v>
      </c>
      <c r="G17983" s="26"/>
    </row>
    <row r="17984" spans="1:7" ht="21.36" thickBot="1" customHeight="1">
      <c r="A17984" s="26"/>
      <c r="B17984" s="26"/>
      <c r="C17984" s="26"/>
      <c r="D17984" s="25" t="s">
        <v>55167</v>
      </c>
      <c r="E17984" s="25"/>
      <c r="F17984" s="25"/>
      <c r="G17984" s="25"/>
    </row>
    <row r="17985" spans="1:7" ht="39.84" thickBot="1" customHeight="1">
      <c r="A17985" s="10" t="s">
        <v>55168</v>
      </c>
      <c r="B17985" s="24" t="s">
        <v>55169</v>
      </c>
      <c r="C17985" s="24" t="s">
        <v>55170</v>
      </c>
      <c r="D17985" s="25" t="s">
        <v>55171</v>
      </c>
      <c r="E17985" s="26"/>
      <c r="F17985" s="27">
        <f ca="1">ROUND(6.840*(1+G2/100),2)</f>
        <v>0</v>
      </c>
      <c r="G17985" s="26"/>
    </row>
    <row r="17986" spans="1:7" ht="21.36" thickBot="1" customHeight="1">
      <c r="A17986" s="26"/>
      <c r="B17986" s="26"/>
      <c r="C17986" s="26"/>
      <c r="D17986" s="25" t="s">
        <v>55172</v>
      </c>
      <c r="E17986" s="25"/>
      <c r="F17986" s="25"/>
      <c r="G17986" s="25"/>
    </row>
    <row r="17987" spans="1:7" ht="39.84" thickBot="1" customHeight="1">
      <c r="A17987" s="10" t="s">
        <v>55173</v>
      </c>
      <c r="B17987" s="24" t="s">
        <v>55174</v>
      </c>
      <c r="C17987" s="24" t="s">
        <v>55175</v>
      </c>
      <c r="D17987" s="25" t="s">
        <v>55176</v>
      </c>
      <c r="E17987" s="26"/>
      <c r="F17987" s="27">
        <f ca="1">ROUND(6.840*(1+G2/100),2)</f>
        <v>0</v>
      </c>
      <c r="G17987" s="26"/>
    </row>
    <row r="17988" spans="1:7" ht="21.36" thickBot="1" customHeight="1">
      <c r="A17988" s="26"/>
      <c r="B17988" s="26"/>
      <c r="C17988" s="26"/>
      <c r="D17988" s="25" t="s">
        <v>55177</v>
      </c>
      <c r="E17988" s="25"/>
      <c r="F17988" s="25"/>
      <c r="G17988" s="25"/>
    </row>
    <row r="17989" spans="1:7" ht="39.84" thickBot="1" customHeight="1">
      <c r="A17989" s="10" t="s">
        <v>55178</v>
      </c>
      <c r="B17989" s="24" t="s">
        <v>55179</v>
      </c>
      <c r="C17989" s="24" t="s">
        <v>55180</v>
      </c>
      <c r="D17989" s="25" t="s">
        <v>55181</v>
      </c>
      <c r="E17989" s="26"/>
      <c r="F17989" s="27">
        <f ca="1">ROUND(27.730*(1+G2/100),2)</f>
        <v>0</v>
      </c>
      <c r="G17989" s="26"/>
    </row>
    <row r="17990" spans="1:7" ht="21.36" thickBot="1" customHeight="1">
      <c r="A17990" s="26"/>
      <c r="B17990" s="26"/>
      <c r="C17990" s="26"/>
      <c r="D17990" s="25" t="s">
        <v>55182</v>
      </c>
      <c r="E17990" s="25"/>
      <c r="F17990" s="25"/>
      <c r="G17990" s="25"/>
    </row>
    <row r="17991" spans="1:7" ht="15.48" thickBot="1" customHeight="1">
      <c r="A17991" s="30"/>
      <c r="B17991" s="30"/>
      <c r="C17991" s="30"/>
      <c r="D17991" s="79" t="s">
        <v>55183</v>
      </c>
      <c r="E17991" s="80"/>
      <c r="F17991" s="80"/>
      <c r="G17991" s="80"/>
    </row>
    <row r="17992" spans="1:7" ht="39.84" thickBot="1" customHeight="1">
      <c r="A17992" s="34" t="s">
        <v>55184</v>
      </c>
      <c r="B17992" s="35" t="s">
        <v>55185</v>
      </c>
      <c r="C17992" s="35" t="s">
        <v>55186</v>
      </c>
      <c r="D17992" s="36" t="s">
        <v>55187</v>
      </c>
      <c r="E17992" s="37"/>
      <c r="F17992" s="38">
        <f ca="1">ROUND(29.500*(1+G2/100),2)</f>
        <v>0</v>
      </c>
      <c r="G17992" s="37"/>
    </row>
    <row r="17993" spans="1:7" ht="95.28" thickBot="1" customHeight="1">
      <c r="A17993" s="26"/>
      <c r="B17993" s="26"/>
      <c r="C17993" s="26"/>
      <c r="D17993" s="25" t="s">
        <v>55188</v>
      </c>
      <c r="E17993" s="25"/>
      <c r="F17993" s="25"/>
      <c r="G17993" s="25"/>
    </row>
    <row r="17994" spans="1:7" ht="49.08" thickBot="1" customHeight="1">
      <c r="A17994" s="10" t="s">
        <v>55189</v>
      </c>
      <c r="B17994" s="24" t="s">
        <v>55190</v>
      </c>
      <c r="C17994" s="24" t="s">
        <v>55191</v>
      </c>
      <c r="D17994" s="25" t="s">
        <v>55192</v>
      </c>
      <c r="E17994" s="26"/>
      <c r="F17994" s="27">
        <f ca="1">ROUND(5.250*(1+G2/100),2)</f>
        <v>0</v>
      </c>
      <c r="G17994" s="26"/>
    </row>
    <row r="17995" spans="1:7" ht="49.08" thickBot="1" customHeight="1">
      <c r="A17995" s="26"/>
      <c r="B17995" s="26"/>
      <c r="C17995" s="26"/>
      <c r="D17995" s="25" t="s">
        <v>55193</v>
      </c>
      <c r="E17995" s="25"/>
      <c r="F17995" s="25"/>
      <c r="G17995" s="25"/>
    </row>
    <row r="17996" spans="1:7" ht="39.84" thickBot="1" customHeight="1">
      <c r="A17996" s="10" t="s">
        <v>55194</v>
      </c>
      <c r="B17996" s="24" t="s">
        <v>55195</v>
      </c>
      <c r="C17996" s="24" t="s">
        <v>55196</v>
      </c>
      <c r="D17996" s="25" t="s">
        <v>55197</v>
      </c>
      <c r="E17996" s="26"/>
      <c r="F17996" s="27">
        <f ca="1">ROUND(133.200*(1+G2/100),2)</f>
        <v>0</v>
      </c>
      <c r="G17996" s="26"/>
    </row>
    <row r="17997" spans="1:7" ht="132.24" thickBot="1" customHeight="1">
      <c r="A17997" s="26"/>
      <c r="B17997" s="26"/>
      <c r="C17997" s="26"/>
      <c r="D17997" s="25" t="s">
        <v>55198</v>
      </c>
      <c r="E17997" s="25"/>
      <c r="F17997" s="25"/>
      <c r="G17997" s="25"/>
    </row>
    <row r="17998" spans="1:7" ht="30.60" thickBot="1" customHeight="1">
      <c r="A17998" s="10" t="s">
        <v>55199</v>
      </c>
      <c r="B17998" s="24" t="s">
        <v>55200</v>
      </c>
      <c r="C17998" s="24" t="s">
        <v>55201</v>
      </c>
      <c r="D17998" s="25" t="s">
        <v>55202</v>
      </c>
      <c r="E17998" s="26"/>
      <c r="F17998" s="27">
        <f ca="1">ROUND(0.630*(1+G2/100),2)</f>
        <v>0</v>
      </c>
      <c r="G17998" s="26"/>
    </row>
    <row r="17999" spans="1:7" ht="49.08" thickBot="1" customHeight="1">
      <c r="A17999" s="26"/>
      <c r="B17999" s="26"/>
      <c r="C17999" s="26"/>
      <c r="D17999" s="25" t="s">
        <v>55203</v>
      </c>
      <c r="E17999" s="25"/>
      <c r="F17999" s="25"/>
      <c r="G17999" s="25"/>
    </row>
    <row r="18000" spans="1:7" ht="30.60" thickBot="1" customHeight="1">
      <c r="A18000" s="10" t="s">
        <v>55204</v>
      </c>
      <c r="B18000" s="24" t="s">
        <v>55205</v>
      </c>
      <c r="C18000" s="24" t="s">
        <v>55206</v>
      </c>
      <c r="D18000" s="25" t="s">
        <v>55207</v>
      </c>
      <c r="E18000" s="26"/>
      <c r="F18000" s="27">
        <f ca="1">ROUND(5.790*(1+G2/100),2)</f>
        <v>0</v>
      </c>
      <c r="G18000" s="26"/>
    </row>
    <row r="18001" spans="1:7" ht="49.08" thickBot="1" customHeight="1">
      <c r="A18001" s="26"/>
      <c r="B18001" s="26"/>
      <c r="C18001" s="26"/>
      <c r="D18001" s="25" t="s">
        <v>55208</v>
      </c>
      <c r="E18001" s="25"/>
      <c r="F18001" s="25"/>
      <c r="G18001" s="25"/>
    </row>
    <row r="18002" spans="1:7" ht="30.60" thickBot="1" customHeight="1">
      <c r="A18002" s="10" t="s">
        <v>55209</v>
      </c>
      <c r="B18002" s="24" t="s">
        <v>55210</v>
      </c>
      <c r="C18002" s="24" t="s">
        <v>55211</v>
      </c>
      <c r="D18002" s="25" t="s">
        <v>55212</v>
      </c>
      <c r="E18002" s="26"/>
      <c r="F18002" s="27">
        <f ca="1">ROUND(1.570*(1+G2/100),2)</f>
        <v>0</v>
      </c>
      <c r="G18002" s="26"/>
    </row>
    <row r="18003" spans="1:7" ht="21.36" thickBot="1" customHeight="1">
      <c r="A18003" s="26"/>
      <c r="B18003" s="26"/>
      <c r="C18003" s="26"/>
      <c r="D18003" s="25" t="s">
        <v>55213</v>
      </c>
      <c r="E18003" s="25"/>
      <c r="F18003" s="25"/>
      <c r="G18003" s="25"/>
    </row>
    <row r="18004" spans="1:7" ht="30.60" thickBot="1" customHeight="1">
      <c r="A18004" s="10" t="s">
        <v>55214</v>
      </c>
      <c r="B18004" s="24" t="s">
        <v>55215</v>
      </c>
      <c r="C18004" s="24" t="s">
        <v>55216</v>
      </c>
      <c r="D18004" s="25" t="s">
        <v>55217</v>
      </c>
      <c r="E18004" s="26"/>
      <c r="F18004" s="27">
        <f ca="1">ROUND(706.990*(1+G2/100),2)</f>
        <v>0</v>
      </c>
      <c r="G18004" s="26"/>
    </row>
    <row r="18005" spans="1:7" ht="123.00" thickBot="1" customHeight="1">
      <c r="A18005" s="26"/>
      <c r="B18005" s="26"/>
      <c r="C18005" s="26"/>
      <c r="D18005" s="25" t="s">
        <v>55218</v>
      </c>
      <c r="E18005" s="25"/>
      <c r="F18005" s="25"/>
      <c r="G18005" s="25"/>
    </row>
    <row r="18006" spans="1:7" ht="39.84" thickBot="1" customHeight="1">
      <c r="A18006" s="10" t="s">
        <v>55219</v>
      </c>
      <c r="B18006" s="24" t="s">
        <v>55220</v>
      </c>
      <c r="C18006" s="24" t="s">
        <v>55221</v>
      </c>
      <c r="D18006" s="25" t="s">
        <v>55222</v>
      </c>
      <c r="E18006" s="26"/>
      <c r="F18006" s="27">
        <f ca="1">ROUND(14.020*(1+G2/100),2)</f>
        <v>0</v>
      </c>
      <c r="G18006" s="26"/>
    </row>
    <row r="18007" spans="1:7" ht="21.36" thickBot="1" customHeight="1">
      <c r="A18007" s="26"/>
      <c r="B18007" s="26"/>
      <c r="C18007" s="26"/>
      <c r="D18007" s="25" t="s">
        <v>55223</v>
      </c>
      <c r="E18007" s="25"/>
      <c r="F18007" s="25"/>
      <c r="G18007" s="25"/>
    </row>
    <row r="18008" spans="1:7" ht="39.84" thickBot="1" customHeight="1">
      <c r="A18008" s="10" t="s">
        <v>55224</v>
      </c>
      <c r="B18008" s="24" t="s">
        <v>55225</v>
      </c>
      <c r="C18008" s="24" t="s">
        <v>55226</v>
      </c>
      <c r="D18008" s="25" t="s">
        <v>55227</v>
      </c>
      <c r="E18008" s="26"/>
      <c r="F18008" s="27">
        <f ca="1">ROUND(79.000*(1+G2/100),2)</f>
        <v>0</v>
      </c>
      <c r="G18008" s="26"/>
    </row>
    <row r="18009" spans="1:7" ht="178.44" thickBot="1" customHeight="1">
      <c r="A18009" s="26"/>
      <c r="B18009" s="26"/>
      <c r="C18009" s="26"/>
      <c r="D18009" s="25" t="s">
        <v>55228</v>
      </c>
      <c r="E18009" s="25"/>
      <c r="F18009" s="25"/>
      <c r="G18009" s="25"/>
    </row>
    <row r="18010" spans="1:7" ht="39.84" thickBot="1" customHeight="1">
      <c r="A18010" s="10" t="s">
        <v>55229</v>
      </c>
      <c r="B18010" s="24" t="s">
        <v>55230</v>
      </c>
      <c r="C18010" s="24" t="s">
        <v>55231</v>
      </c>
      <c r="D18010" s="25" t="s">
        <v>55232</v>
      </c>
      <c r="E18010" s="26"/>
      <c r="F18010" s="27">
        <f ca="1">ROUND(34.500*(1+G2/100),2)</f>
        <v>0</v>
      </c>
      <c r="G18010" s="26"/>
    </row>
    <row r="18011" spans="1:7" ht="178.44" thickBot="1" customHeight="1">
      <c r="A18011" s="26"/>
      <c r="B18011" s="26"/>
      <c r="C18011" s="26"/>
      <c r="D18011" s="25" t="s">
        <v>55233</v>
      </c>
      <c r="E18011" s="25"/>
      <c r="F18011" s="25"/>
      <c r="G18011" s="25"/>
    </row>
    <row r="18012" spans="1:7" ht="39.84" thickBot="1" customHeight="1">
      <c r="A18012" s="10" t="s">
        <v>55234</v>
      </c>
      <c r="B18012" s="24" t="s">
        <v>55235</v>
      </c>
      <c r="C18012" s="24" t="s">
        <v>55236</v>
      </c>
      <c r="D18012" s="25" t="s">
        <v>55237</v>
      </c>
      <c r="E18012" s="26"/>
      <c r="F18012" s="27">
        <f ca="1">ROUND(94.390*(1+G2/100),2)</f>
        <v>0</v>
      </c>
      <c r="G18012" s="26"/>
    </row>
    <row r="18013" spans="1:7" ht="76.80" thickBot="1" customHeight="1">
      <c r="A18013" s="26"/>
      <c r="B18013" s="26"/>
      <c r="C18013" s="26"/>
      <c r="D18013" s="25" t="s">
        <v>55238</v>
      </c>
      <c r="E18013" s="25"/>
      <c r="F18013" s="25"/>
      <c r="G18013" s="25"/>
    </row>
    <row r="18014" spans="1:7" ht="39.84" thickBot="1" customHeight="1">
      <c r="A18014" s="10" t="s">
        <v>55239</v>
      </c>
      <c r="B18014" s="24" t="s">
        <v>55240</v>
      </c>
      <c r="C18014" s="24" t="s">
        <v>55241</v>
      </c>
      <c r="D18014" s="25" t="s">
        <v>55242</v>
      </c>
      <c r="E18014" s="26"/>
      <c r="F18014" s="27">
        <f ca="1">ROUND(37.760*(1+G2/100),2)</f>
        <v>0</v>
      </c>
      <c r="G18014" s="26"/>
    </row>
    <row r="18015" spans="1:7" ht="76.80" thickBot="1" customHeight="1">
      <c r="A18015" s="26"/>
      <c r="B18015" s="26"/>
      <c r="C18015" s="26"/>
      <c r="D18015" s="25" t="s">
        <v>55243</v>
      </c>
      <c r="E18015" s="25"/>
      <c r="F18015" s="25"/>
      <c r="G18015" s="25"/>
    </row>
    <row r="18016" spans="1:7" ht="39.84" thickBot="1" customHeight="1">
      <c r="A18016" s="10" t="s">
        <v>55244</v>
      </c>
      <c r="B18016" s="24" t="s">
        <v>55245</v>
      </c>
      <c r="C18016" s="24" t="s">
        <v>55246</v>
      </c>
      <c r="D18016" s="25" t="s">
        <v>55247</v>
      </c>
      <c r="E18016" s="26"/>
      <c r="F18016" s="27">
        <f ca="1">ROUND(109.000*(1+G2/100),2)</f>
        <v>0</v>
      </c>
      <c r="G18016" s="26"/>
    </row>
    <row r="18017" spans="1:7" ht="21.36" thickBot="1" customHeight="1">
      <c r="A18017" s="26"/>
      <c r="B18017" s="26"/>
      <c r="C18017" s="26"/>
      <c r="D18017" s="25" t="s">
        <v>55248</v>
      </c>
      <c r="E18017" s="25"/>
      <c r="F18017" s="25"/>
      <c r="G18017" s="25"/>
    </row>
    <row r="18018" spans="1:7" ht="49.08" thickBot="1" customHeight="1">
      <c r="A18018" s="10" t="s">
        <v>55249</v>
      </c>
      <c r="B18018" s="24" t="s">
        <v>55250</v>
      </c>
      <c r="C18018" s="24" t="s">
        <v>55251</v>
      </c>
      <c r="D18018" s="25" t="s">
        <v>55252</v>
      </c>
      <c r="E18018" s="26"/>
      <c r="F18018" s="27">
        <f ca="1">ROUND(65.370*(1+G2/100),2)</f>
        <v>0</v>
      </c>
      <c r="G18018" s="26"/>
    </row>
    <row r="18019" spans="1:7" ht="21.36" thickBot="1" customHeight="1">
      <c r="A18019" s="26"/>
      <c r="B18019" s="26"/>
      <c r="C18019" s="26"/>
      <c r="D18019" s="25" t="s">
        <v>55253</v>
      </c>
      <c r="E18019" s="25"/>
      <c r="F18019" s="25"/>
      <c r="G18019" s="25"/>
    </row>
    <row r="18020" spans="1:7" ht="49.08" thickBot="1" customHeight="1">
      <c r="A18020" s="10" t="s">
        <v>55254</v>
      </c>
      <c r="B18020" s="24" t="s">
        <v>55255</v>
      </c>
      <c r="C18020" s="24" t="s">
        <v>55256</v>
      </c>
      <c r="D18020" s="25" t="s">
        <v>55257</v>
      </c>
      <c r="E18020" s="26"/>
      <c r="F18020" s="27">
        <f ca="1">ROUND(51.260*(1+G2/100),2)</f>
        <v>0</v>
      </c>
      <c r="G18020" s="26"/>
    </row>
    <row r="18021" spans="1:7" ht="21.36" thickBot="1" customHeight="1">
      <c r="A18021" s="26"/>
      <c r="B18021" s="26"/>
      <c r="C18021" s="26"/>
      <c r="D18021" s="25" t="s">
        <v>55258</v>
      </c>
      <c r="E18021" s="25"/>
      <c r="F18021" s="25"/>
      <c r="G18021" s="25"/>
    </row>
    <row r="18022" spans="1:7" ht="49.08" thickBot="1" customHeight="1">
      <c r="A18022" s="10" t="s">
        <v>55259</v>
      </c>
      <c r="B18022" s="24" t="s">
        <v>55260</v>
      </c>
      <c r="C18022" s="24" t="s">
        <v>55261</v>
      </c>
      <c r="D18022" s="25" t="s">
        <v>55262</v>
      </c>
      <c r="E18022" s="26"/>
      <c r="F18022" s="27">
        <f ca="1">ROUND(51.780*(1+G2/100),2)</f>
        <v>0</v>
      </c>
      <c r="G18022" s="26"/>
    </row>
    <row r="18023" spans="1:7" ht="21.36" thickBot="1" customHeight="1">
      <c r="A18023" s="26"/>
      <c r="B18023" s="26"/>
      <c r="C18023" s="26"/>
      <c r="D18023" s="25" t="s">
        <v>55263</v>
      </c>
      <c r="E18023" s="25"/>
      <c r="F18023" s="25"/>
      <c r="G18023" s="25"/>
    </row>
    <row r="18024" spans="1:7" ht="30.60" thickBot="1" customHeight="1">
      <c r="A18024" s="10" t="s">
        <v>55264</v>
      </c>
      <c r="B18024" s="24" t="s">
        <v>55265</v>
      </c>
      <c r="C18024" s="24" t="s">
        <v>55266</v>
      </c>
      <c r="D18024" s="25" t="s">
        <v>55267</v>
      </c>
      <c r="E18024" s="26"/>
      <c r="F18024" s="27">
        <f ca="1">ROUND(30.610*(1+G2/100),2)</f>
        <v>0</v>
      </c>
      <c r="G18024" s="26"/>
    </row>
    <row r="18025" spans="1:7" ht="21.36" thickBot="1" customHeight="1">
      <c r="A18025" s="26"/>
      <c r="B18025" s="26"/>
      <c r="C18025" s="26"/>
      <c r="D18025" s="25" t="s">
        <v>55268</v>
      </c>
      <c r="E18025" s="25"/>
      <c r="F18025" s="25"/>
      <c r="G18025" s="25"/>
    </row>
    <row r="18026" spans="1:7" ht="30.60" thickBot="1" customHeight="1">
      <c r="A18026" s="10" t="s">
        <v>55269</v>
      </c>
      <c r="B18026" s="24" t="s">
        <v>55270</v>
      </c>
      <c r="C18026" s="24" t="s">
        <v>55271</v>
      </c>
      <c r="D18026" s="25" t="s">
        <v>55272</v>
      </c>
      <c r="E18026" s="26"/>
      <c r="F18026" s="27">
        <f ca="1">ROUND(17.810*(1+G2/100),2)</f>
        <v>0</v>
      </c>
      <c r="G18026" s="26"/>
    </row>
    <row r="18027" spans="1:7" ht="21.36" thickBot="1" customHeight="1">
      <c r="A18027" s="26"/>
      <c r="B18027" s="26"/>
      <c r="C18027" s="26"/>
      <c r="D18027" s="25" t="s">
        <v>55273</v>
      </c>
      <c r="E18027" s="25"/>
      <c r="F18027" s="25"/>
      <c r="G18027" s="25"/>
    </row>
    <row r="18028" spans="1:7" ht="30.60" thickBot="1" customHeight="1">
      <c r="A18028" s="10" t="s">
        <v>55274</v>
      </c>
      <c r="B18028" s="24" t="s">
        <v>55275</v>
      </c>
      <c r="C18028" s="24" t="s">
        <v>55276</v>
      </c>
      <c r="D18028" s="25" t="s">
        <v>55277</v>
      </c>
      <c r="E18028" s="26"/>
      <c r="F18028" s="27">
        <f ca="1">ROUND(12.470*(1+G2/100),2)</f>
        <v>0</v>
      </c>
      <c r="G18028" s="26"/>
    </row>
    <row r="18029" spans="1:7" ht="21.36" thickBot="1" customHeight="1">
      <c r="A18029" s="26"/>
      <c r="B18029" s="26"/>
      <c r="C18029" s="26"/>
      <c r="D18029" s="25" t="s">
        <v>55278</v>
      </c>
      <c r="E18029" s="25"/>
      <c r="F18029" s="25"/>
      <c r="G18029" s="25"/>
    </row>
    <row r="18030" spans="1:7" ht="39.84" thickBot="1" customHeight="1">
      <c r="A18030" s="10" t="s">
        <v>55279</v>
      </c>
      <c r="B18030" s="24" t="s">
        <v>55280</v>
      </c>
      <c r="C18030" s="24" t="s">
        <v>55281</v>
      </c>
      <c r="D18030" s="25" t="s">
        <v>55282</v>
      </c>
      <c r="E18030" s="26"/>
      <c r="F18030" s="27">
        <f ca="1">ROUND(2.220*(1+G2/100),2)</f>
        <v>0</v>
      </c>
      <c r="G18030" s="26"/>
    </row>
    <row r="18031" spans="1:7" ht="95.28" thickBot="1" customHeight="1">
      <c r="A18031" s="26"/>
      <c r="B18031" s="26"/>
      <c r="C18031" s="26"/>
      <c r="D18031" s="25" t="s">
        <v>55283</v>
      </c>
      <c r="E18031" s="25"/>
      <c r="F18031" s="25"/>
      <c r="G18031" s="25"/>
    </row>
    <row r="18032" spans="1:7" ht="30.60" thickBot="1" customHeight="1">
      <c r="A18032" s="10" t="s">
        <v>55284</v>
      </c>
      <c r="B18032" s="24" t="s">
        <v>55285</v>
      </c>
      <c r="C18032" s="24" t="s">
        <v>55286</v>
      </c>
      <c r="D18032" s="25" t="s">
        <v>55287</v>
      </c>
      <c r="E18032" s="26"/>
      <c r="F18032" s="27">
        <f ca="1">ROUND(8.180*(1+G2/100),2)</f>
        <v>0</v>
      </c>
      <c r="G18032" s="26"/>
    </row>
    <row r="18033" spans="1:7" ht="30.60" thickBot="1" customHeight="1">
      <c r="A18033" s="26"/>
      <c r="B18033" s="26"/>
      <c r="C18033" s="26"/>
      <c r="D18033" s="25" t="s">
        <v>55288</v>
      </c>
      <c r="E18033" s="25"/>
      <c r="F18033" s="25"/>
      <c r="G18033" s="25"/>
    </row>
    <row r="18034" spans="1:7" ht="30.60" thickBot="1" customHeight="1">
      <c r="A18034" s="10" t="s">
        <v>55289</v>
      </c>
      <c r="B18034" s="24" t="s">
        <v>55290</v>
      </c>
      <c r="C18034" s="24" t="s">
        <v>55291</v>
      </c>
      <c r="D18034" s="25" t="s">
        <v>55292</v>
      </c>
      <c r="E18034" s="26"/>
      <c r="F18034" s="27">
        <f ca="1">ROUND(4.990*(1+G2/100),2)</f>
        <v>0</v>
      </c>
      <c r="G18034" s="26"/>
    </row>
    <row r="18035" spans="1:7" ht="39.84" thickBot="1" customHeight="1">
      <c r="A18035" s="26"/>
      <c r="B18035" s="26"/>
      <c r="C18035" s="26"/>
      <c r="D18035" s="25" t="s">
        <v>55293</v>
      </c>
      <c r="E18035" s="25"/>
      <c r="F18035" s="25"/>
      <c r="G18035" s="25"/>
    </row>
    <row r="18036" spans="1:7" ht="30.60" thickBot="1" customHeight="1">
      <c r="A18036" s="10" t="s">
        <v>55294</v>
      </c>
      <c r="B18036" s="24" t="s">
        <v>55295</v>
      </c>
      <c r="C18036" s="24" t="s">
        <v>55296</v>
      </c>
      <c r="D18036" s="25" t="s">
        <v>55297</v>
      </c>
      <c r="E18036" s="26"/>
      <c r="F18036" s="27">
        <f ca="1">ROUND(10.700*(1+G2/100),2)</f>
        <v>0</v>
      </c>
      <c r="G18036" s="26"/>
    </row>
    <row r="18037" spans="1:7" ht="39.84" thickBot="1" customHeight="1">
      <c r="A18037" s="26"/>
      <c r="B18037" s="26"/>
      <c r="C18037" s="26"/>
      <c r="D18037" s="25" t="s">
        <v>55298</v>
      </c>
      <c r="E18037" s="25"/>
      <c r="F18037" s="25"/>
      <c r="G18037" s="25"/>
    </row>
    <row r="18038" spans="1:7" ht="30.60" thickBot="1" customHeight="1">
      <c r="A18038" s="10" t="s">
        <v>55299</v>
      </c>
      <c r="B18038" s="24" t="s">
        <v>55300</v>
      </c>
      <c r="C18038" s="24" t="s">
        <v>55301</v>
      </c>
      <c r="D18038" s="25" t="s">
        <v>55302</v>
      </c>
      <c r="E18038" s="26"/>
      <c r="F18038" s="27">
        <f ca="1">ROUND(0.950*(1+G2/100),2)</f>
        <v>0</v>
      </c>
      <c r="G18038" s="26"/>
    </row>
    <row r="18039" spans="1:7" ht="30.60" thickBot="1" customHeight="1">
      <c r="A18039" s="26"/>
      <c r="B18039" s="26"/>
      <c r="C18039" s="26"/>
      <c r="D18039" s="25" t="s">
        <v>55303</v>
      </c>
      <c r="E18039" s="25"/>
      <c r="F18039" s="25"/>
      <c r="G18039" s="25"/>
    </row>
    <row r="18040" spans="1:7" ht="30.60" thickBot="1" customHeight="1">
      <c r="A18040" s="10" t="s">
        <v>55304</v>
      </c>
      <c r="B18040" s="24" t="s">
        <v>55305</v>
      </c>
      <c r="C18040" s="24" t="s">
        <v>55306</v>
      </c>
      <c r="D18040" s="25" t="s">
        <v>55307</v>
      </c>
      <c r="E18040" s="26"/>
      <c r="F18040" s="27">
        <f ca="1">ROUND(0.560*(1+G2/100),2)</f>
        <v>0</v>
      </c>
      <c r="G18040" s="26"/>
    </row>
    <row r="18041" spans="1:7" ht="30.60" thickBot="1" customHeight="1">
      <c r="A18041" s="26"/>
      <c r="B18041" s="26"/>
      <c r="C18041" s="26"/>
      <c r="D18041" s="25" t="s">
        <v>55308</v>
      </c>
      <c r="E18041" s="25"/>
      <c r="F18041" s="25"/>
      <c r="G18041" s="25"/>
    </row>
    <row r="18042" spans="1:7" ht="24.36" thickBot="1" customHeight="1">
      <c r="A18042" s="10" t="s">
        <v>55309</v>
      </c>
      <c r="B18042" s="24" t="s">
        <v>55310</v>
      </c>
      <c r="C18042" s="24" t="s">
        <v>55311</v>
      </c>
      <c r="D18042" s="25" t="s">
        <v>55312</v>
      </c>
      <c r="E18042" s="26"/>
      <c r="F18042" s="27">
        <f ca="1">ROUND(27.230*(1+G2/100),2)</f>
        <v>0</v>
      </c>
      <c r="G18042" s="26"/>
    </row>
    <row r="18043" spans="1:7" ht="233.88" thickBot="1" customHeight="1">
      <c r="A18043" s="26"/>
      <c r="B18043" s="26"/>
      <c r="C18043" s="26"/>
      <c r="D18043" s="25" t="s">
        <v>55313</v>
      </c>
      <c r="E18043" s="25"/>
      <c r="F18043" s="25"/>
      <c r="G18043" s="25"/>
    </row>
    <row r="18044" spans="1:7" ht="30.60" thickBot="1" customHeight="1">
      <c r="A18044" s="10" t="s">
        <v>55314</v>
      </c>
      <c r="B18044" s="24" t="s">
        <v>55315</v>
      </c>
      <c r="C18044" s="24" t="s">
        <v>55316</v>
      </c>
      <c r="D18044" s="25" t="s">
        <v>55317</v>
      </c>
      <c r="E18044" s="26"/>
      <c r="F18044" s="27">
        <f ca="1">ROUND(35.530*(1+G2/100),2)</f>
        <v>0</v>
      </c>
      <c r="G18044" s="26"/>
    </row>
    <row r="18045" spans="1:7" ht="39.84" thickBot="1" customHeight="1">
      <c r="A18045" s="26"/>
      <c r="B18045" s="26"/>
      <c r="C18045" s="26"/>
      <c r="D18045" s="25" t="s">
        <v>55318</v>
      </c>
      <c r="E18045" s="25"/>
      <c r="F18045" s="25"/>
      <c r="G18045" s="25"/>
    </row>
    <row r="18046" spans="1:7" ht="39.84" thickBot="1" customHeight="1">
      <c r="A18046" s="10" t="s">
        <v>55319</v>
      </c>
      <c r="B18046" s="24" t="s">
        <v>55320</v>
      </c>
      <c r="C18046" s="24" t="s">
        <v>55321</v>
      </c>
      <c r="D18046" s="25" t="s">
        <v>55322</v>
      </c>
      <c r="E18046" s="26"/>
      <c r="F18046" s="27">
        <f ca="1">ROUND(31.410*(1+G2/100),2)</f>
        <v>0</v>
      </c>
      <c r="G18046" s="26"/>
    </row>
    <row r="18047" spans="1:7" ht="58.32" thickBot="1" customHeight="1">
      <c r="A18047" s="26"/>
      <c r="B18047" s="26"/>
      <c r="C18047" s="26"/>
      <c r="D18047" s="25" t="s">
        <v>55323</v>
      </c>
      <c r="E18047" s="25"/>
      <c r="F18047" s="25"/>
      <c r="G18047" s="25"/>
    </row>
    <row r="18048" spans="1:7" ht="30.60" thickBot="1" customHeight="1">
      <c r="A18048" s="10" t="s">
        <v>55324</v>
      </c>
      <c r="B18048" s="24" t="s">
        <v>55325</v>
      </c>
      <c r="C18048" s="24" t="s">
        <v>55326</v>
      </c>
      <c r="D18048" s="25" t="s">
        <v>55327</v>
      </c>
      <c r="E18048" s="26"/>
      <c r="F18048" s="27">
        <f ca="1">ROUND(86.310*(1+G2/100),2)</f>
        <v>0</v>
      </c>
      <c r="G18048" s="26"/>
    </row>
    <row r="18049" spans="1:7" ht="49.08" thickBot="1" customHeight="1">
      <c r="A18049" s="26"/>
      <c r="B18049" s="26"/>
      <c r="C18049" s="26"/>
      <c r="D18049" s="25" t="s">
        <v>55328</v>
      </c>
      <c r="E18049" s="25"/>
      <c r="F18049" s="25"/>
      <c r="G18049" s="25"/>
    </row>
    <row r="18050" spans="1:7" ht="30.60" thickBot="1" customHeight="1">
      <c r="A18050" s="10" t="s">
        <v>55329</v>
      </c>
      <c r="B18050" s="24" t="s">
        <v>55330</v>
      </c>
      <c r="C18050" s="24" t="s">
        <v>55331</v>
      </c>
      <c r="D18050" s="25" t="s">
        <v>55332</v>
      </c>
      <c r="E18050" s="26"/>
      <c r="F18050" s="27">
        <f ca="1">ROUND(39.500*(1+G2/100),2)</f>
        <v>0</v>
      </c>
      <c r="G18050" s="26"/>
    </row>
    <row r="18051" spans="1:7" ht="21.36" thickBot="1" customHeight="1">
      <c r="A18051" s="26"/>
      <c r="B18051" s="26"/>
      <c r="C18051" s="26"/>
      <c r="D18051" s="25" t="s">
        <v>55333</v>
      </c>
      <c r="E18051" s="25"/>
      <c r="F18051" s="25"/>
      <c r="G18051" s="25"/>
    </row>
    <row r="18052" spans="1:7" ht="30.60" thickBot="1" customHeight="1">
      <c r="A18052" s="10" t="s">
        <v>55334</v>
      </c>
      <c r="B18052" s="24" t="s">
        <v>55335</v>
      </c>
      <c r="C18052" s="24" t="s">
        <v>55336</v>
      </c>
      <c r="D18052" s="25" t="s">
        <v>55337</v>
      </c>
      <c r="E18052" s="26"/>
      <c r="F18052" s="27">
        <f ca="1">ROUND(54.200*(1+G2/100),2)</f>
        <v>0</v>
      </c>
      <c r="G18052" s="26"/>
    </row>
    <row r="18053" spans="1:7" ht="58.32" thickBot="1" customHeight="1">
      <c r="A18053" s="26"/>
      <c r="B18053" s="26"/>
      <c r="C18053" s="26"/>
      <c r="D18053" s="25" t="s">
        <v>55338</v>
      </c>
      <c r="E18053" s="25"/>
      <c r="F18053" s="25"/>
      <c r="G18053" s="25"/>
    </row>
    <row r="18054" spans="1:7" ht="30.60" thickBot="1" customHeight="1">
      <c r="A18054" s="10" t="s">
        <v>55339</v>
      </c>
      <c r="B18054" s="24" t="s">
        <v>55340</v>
      </c>
      <c r="C18054" s="24" t="s">
        <v>55341</v>
      </c>
      <c r="D18054" s="25" t="s">
        <v>55342</v>
      </c>
      <c r="E18054" s="26"/>
      <c r="F18054" s="27">
        <f ca="1">ROUND(9.000*(1+G2/100),2)</f>
        <v>0</v>
      </c>
      <c r="G18054" s="26"/>
    </row>
    <row r="18055" spans="1:7" ht="49.08" thickBot="1" customHeight="1">
      <c r="A18055" s="26"/>
      <c r="B18055" s="26"/>
      <c r="C18055" s="26"/>
      <c r="D18055" s="25" t="s">
        <v>55343</v>
      </c>
      <c r="E18055" s="25"/>
      <c r="F18055" s="25"/>
      <c r="G18055" s="25"/>
    </row>
    <row r="18056" spans="1:7" ht="21.36" thickBot="1" customHeight="1">
      <c r="A18056" s="10" t="s">
        <v>55344</v>
      </c>
      <c r="B18056" s="24" t="s">
        <v>55345</v>
      </c>
      <c r="C18056" s="24" t="s">
        <v>55346</v>
      </c>
      <c r="D18056" s="25" t="s">
        <v>55347</v>
      </c>
      <c r="E18056" s="26"/>
      <c r="F18056" s="27">
        <f ca="1">ROUND(1.050*(1+G2/100),2)</f>
        <v>0</v>
      </c>
      <c r="G18056" s="26"/>
    </row>
    <row r="18057" spans="1:7" ht="21.36" thickBot="1" customHeight="1">
      <c r="A18057" s="26"/>
      <c r="B18057" s="26"/>
      <c r="C18057" s="26"/>
      <c r="D18057" s="25" t="s">
        <v>55348</v>
      </c>
      <c r="E18057" s="25"/>
      <c r="F18057" s="25"/>
      <c r="G18057" s="25"/>
    </row>
    <row r="18058" spans="1:7" ht="30.60" thickBot="1" customHeight="1">
      <c r="A18058" s="10" t="s">
        <v>55349</v>
      </c>
      <c r="B18058" s="24" t="s">
        <v>55350</v>
      </c>
      <c r="C18058" s="24" t="s">
        <v>55351</v>
      </c>
      <c r="D18058" s="25" t="s">
        <v>55352</v>
      </c>
      <c r="E18058" s="26"/>
      <c r="F18058" s="27">
        <f ca="1">ROUND(30.510*(1+G2/100),2)</f>
        <v>0</v>
      </c>
      <c r="G18058" s="26"/>
    </row>
    <row r="18059" spans="1:7" ht="30.60" thickBot="1" customHeight="1">
      <c r="A18059" s="26"/>
      <c r="B18059" s="26"/>
      <c r="C18059" s="26"/>
      <c r="D18059" s="25" t="s">
        <v>55353</v>
      </c>
      <c r="E18059" s="25"/>
      <c r="F18059" s="25"/>
      <c r="G18059" s="25"/>
    </row>
    <row r="18060" spans="1:7" ht="30.60" thickBot="1" customHeight="1">
      <c r="A18060" s="10" t="s">
        <v>55354</v>
      </c>
      <c r="B18060" s="24" t="s">
        <v>55355</v>
      </c>
      <c r="C18060" s="24" t="s">
        <v>55356</v>
      </c>
      <c r="D18060" s="25" t="s">
        <v>55357</v>
      </c>
      <c r="E18060" s="26"/>
      <c r="F18060" s="27">
        <f ca="1">ROUND(27.500*(1+G2/100),2)</f>
        <v>0</v>
      </c>
      <c r="G18060" s="26"/>
    </row>
    <row r="18061" spans="1:7" ht="206.16" thickBot="1" customHeight="1">
      <c r="A18061" s="26"/>
      <c r="B18061" s="26"/>
      <c r="C18061" s="26"/>
      <c r="D18061" s="25" t="s">
        <v>55358</v>
      </c>
      <c r="E18061" s="25"/>
      <c r="F18061" s="25"/>
      <c r="G18061" s="25"/>
    </row>
    <row r="18062" spans="1:7" ht="30.60" thickBot="1" customHeight="1">
      <c r="A18062" s="10" t="s">
        <v>55359</v>
      </c>
      <c r="B18062" s="24" t="s">
        <v>55360</v>
      </c>
      <c r="C18062" s="24" t="s">
        <v>55361</v>
      </c>
      <c r="D18062" s="25" t="s">
        <v>55362</v>
      </c>
      <c r="E18062" s="26"/>
      <c r="F18062" s="27">
        <f ca="1">ROUND(39.500*(1+G2/100),2)</f>
        <v>0</v>
      </c>
      <c r="G18062" s="26"/>
    </row>
    <row r="18063" spans="1:7" ht="67.56" thickBot="1" customHeight="1">
      <c r="A18063" s="26"/>
      <c r="B18063" s="26"/>
      <c r="C18063" s="26"/>
      <c r="D18063" s="25" t="s">
        <v>55363</v>
      </c>
      <c r="E18063" s="25"/>
      <c r="F18063" s="25"/>
      <c r="G18063" s="25"/>
    </row>
    <row r="18064" spans="1:7" ht="30.60" thickBot="1" customHeight="1">
      <c r="A18064" s="10" t="s">
        <v>55364</v>
      </c>
      <c r="B18064" s="24" t="s">
        <v>55365</v>
      </c>
      <c r="C18064" s="24" t="s">
        <v>55366</v>
      </c>
      <c r="D18064" s="25" t="s">
        <v>55367</v>
      </c>
      <c r="E18064" s="26"/>
      <c r="F18064" s="27">
        <f ca="1">ROUND(28.600*(1+G2/100),2)</f>
        <v>0</v>
      </c>
      <c r="G18064" s="26"/>
    </row>
    <row r="18065" spans="1:7" ht="39.84" thickBot="1" customHeight="1">
      <c r="A18065" s="26"/>
      <c r="B18065" s="26"/>
      <c r="C18065" s="26"/>
      <c r="D18065" s="25" t="s">
        <v>55368</v>
      </c>
      <c r="E18065" s="25"/>
      <c r="F18065" s="25"/>
      <c r="G18065" s="25"/>
    </row>
    <row r="18066" spans="1:7" ht="30.60" thickBot="1" customHeight="1">
      <c r="A18066" s="10" t="s">
        <v>55369</v>
      </c>
      <c r="B18066" s="24" t="s">
        <v>55370</v>
      </c>
      <c r="C18066" s="24" t="s">
        <v>55371</v>
      </c>
      <c r="D18066" s="25" t="s">
        <v>55372</v>
      </c>
      <c r="E18066" s="26"/>
      <c r="F18066" s="27">
        <f ca="1">ROUND(449.000*(1+G2/100),2)</f>
        <v>0</v>
      </c>
      <c r="G18066" s="26"/>
    </row>
    <row r="18067" spans="1:7" ht="95.28" thickBot="1" customHeight="1">
      <c r="A18067" s="26"/>
      <c r="B18067" s="26"/>
      <c r="C18067" s="26"/>
      <c r="D18067" s="25" t="s">
        <v>55373</v>
      </c>
      <c r="E18067" s="25"/>
      <c r="F18067" s="25"/>
      <c r="G18067" s="25"/>
    </row>
    <row r="18068" spans="1:7" ht="30.60" thickBot="1" customHeight="1">
      <c r="A18068" s="10" t="s">
        <v>55374</v>
      </c>
      <c r="B18068" s="24" t="s">
        <v>55375</v>
      </c>
      <c r="C18068" s="24" t="s">
        <v>55376</v>
      </c>
      <c r="D18068" s="25" t="s">
        <v>55377</v>
      </c>
      <c r="E18068" s="26"/>
      <c r="F18068" s="27">
        <f ca="1">ROUND(6.520*(1+G2/100),2)</f>
        <v>0</v>
      </c>
      <c r="G18068" s="26"/>
    </row>
    <row r="18069" spans="1:7" ht="30.60" thickBot="1" customHeight="1">
      <c r="A18069" s="26"/>
      <c r="B18069" s="26"/>
      <c r="C18069" s="26"/>
      <c r="D18069" s="25" t="s">
        <v>55378</v>
      </c>
      <c r="E18069" s="25"/>
      <c r="F18069" s="25"/>
      <c r="G18069" s="25"/>
    </row>
    <row r="18070" spans="1:7" ht="21.36" thickBot="1" customHeight="1">
      <c r="A18070" s="10" t="s">
        <v>55379</v>
      </c>
      <c r="B18070" s="24" t="s">
        <v>55380</v>
      </c>
      <c r="C18070" s="24" t="s">
        <v>55381</v>
      </c>
      <c r="D18070" s="25" t="s">
        <v>55382</v>
      </c>
      <c r="E18070" s="26"/>
      <c r="F18070" s="27">
        <f ca="1">ROUND(0.840*(1+G2/100),2)</f>
        <v>0</v>
      </c>
      <c r="G18070" s="26"/>
    </row>
    <row r="18071" spans="1:7" ht="21.36" thickBot="1" customHeight="1">
      <c r="A18071" s="26"/>
      <c r="B18071" s="26"/>
      <c r="C18071" s="26"/>
      <c r="D18071" s="25" t="s">
        <v>55383</v>
      </c>
      <c r="E18071" s="25"/>
      <c r="F18071" s="25"/>
      <c r="G18071" s="25"/>
    </row>
    <row r="18072" spans="1:7" ht="30.60" thickBot="1" customHeight="1">
      <c r="A18072" s="10" t="s">
        <v>55384</v>
      </c>
      <c r="B18072" s="24" t="s">
        <v>55385</v>
      </c>
      <c r="C18072" s="24" t="s">
        <v>55386</v>
      </c>
      <c r="D18072" s="25" t="s">
        <v>55387</v>
      </c>
      <c r="E18072" s="26"/>
      <c r="F18072" s="27">
        <f ca="1">ROUND(0.170*(1+G2/100),2)</f>
        <v>0</v>
      </c>
      <c r="G18072" s="26"/>
    </row>
    <row r="18073" spans="1:7" ht="30.60" thickBot="1" customHeight="1">
      <c r="A18073" s="26"/>
      <c r="B18073" s="26"/>
      <c r="C18073" s="26"/>
      <c r="D18073" s="25" t="s">
        <v>55388</v>
      </c>
      <c r="E18073" s="25"/>
      <c r="F18073" s="25"/>
      <c r="G18073" s="25"/>
    </row>
    <row r="18074" spans="1:7" ht="21.36" thickBot="1" customHeight="1">
      <c r="A18074" s="10" t="s">
        <v>55389</v>
      </c>
      <c r="B18074" s="24" t="s">
        <v>55390</v>
      </c>
      <c r="C18074" s="24" t="s">
        <v>55391</v>
      </c>
      <c r="D18074" s="25" t="s">
        <v>55392</v>
      </c>
      <c r="E18074" s="26"/>
      <c r="F18074" s="27">
        <f ca="1">ROUND(13.140*(1+G2/100),2)</f>
        <v>0</v>
      </c>
      <c r="G18074" s="26"/>
    </row>
    <row r="18075" spans="1:7" ht="30.60" thickBot="1" customHeight="1">
      <c r="A18075" s="26"/>
      <c r="B18075" s="26"/>
      <c r="C18075" s="26"/>
      <c r="D18075" s="25" t="s">
        <v>55393</v>
      </c>
      <c r="E18075" s="25"/>
      <c r="F18075" s="25"/>
      <c r="G18075" s="25"/>
    </row>
    <row r="18076" spans="1:7" ht="30.60" thickBot="1" customHeight="1">
      <c r="A18076" s="10" t="s">
        <v>55394</v>
      </c>
      <c r="B18076" s="24" t="s">
        <v>55395</v>
      </c>
      <c r="C18076" s="24" t="s">
        <v>55396</v>
      </c>
      <c r="D18076" s="25" t="s">
        <v>55397</v>
      </c>
      <c r="E18076" s="26"/>
      <c r="F18076" s="27">
        <f ca="1">ROUND(1.760*(1+G2/100),2)</f>
        <v>0</v>
      </c>
      <c r="G18076" s="26"/>
    </row>
    <row r="18077" spans="1:7" ht="21.36" thickBot="1" customHeight="1">
      <c r="A18077" s="26"/>
      <c r="B18077" s="26"/>
      <c r="C18077" s="26"/>
      <c r="D18077" s="25" t="s">
        <v>55398</v>
      </c>
      <c r="E18077" s="25"/>
      <c r="F18077" s="25"/>
      <c r="G18077" s="25"/>
    </row>
    <row r="18078" spans="1:7" ht="30.60" thickBot="1" customHeight="1">
      <c r="A18078" s="10" t="s">
        <v>55399</v>
      </c>
      <c r="B18078" s="24" t="s">
        <v>55400</v>
      </c>
      <c r="C18078" s="24" t="s">
        <v>55401</v>
      </c>
      <c r="D18078" s="25" t="s">
        <v>55402</v>
      </c>
      <c r="E18078" s="26"/>
      <c r="F18078" s="27">
        <f ca="1">ROUND(1.190*(1+G2/100),2)</f>
        <v>0</v>
      </c>
      <c r="G18078" s="26"/>
    </row>
    <row r="18079" spans="1:7" ht="21.36" thickBot="1" customHeight="1">
      <c r="A18079" s="26"/>
      <c r="B18079" s="26"/>
      <c r="C18079" s="26"/>
      <c r="D18079" s="25" t="s">
        <v>55403</v>
      </c>
      <c r="E18079" s="25"/>
      <c r="F18079" s="25"/>
      <c r="G18079" s="25"/>
    </row>
    <row r="18080" spans="1:7" ht="30.60" thickBot="1" customHeight="1">
      <c r="A18080" s="10" t="s">
        <v>55404</v>
      </c>
      <c r="B18080" s="24" t="s">
        <v>55405</v>
      </c>
      <c r="C18080" s="24" t="s">
        <v>55406</v>
      </c>
      <c r="D18080" s="25" t="s">
        <v>55407</v>
      </c>
      <c r="E18080" s="26"/>
      <c r="F18080" s="27">
        <f ca="1">ROUND(216.230*(1+G2/100),2)</f>
        <v>0</v>
      </c>
      <c r="G18080" s="26"/>
    </row>
    <row r="18081" spans="1:7" ht="58.32" thickBot="1" customHeight="1">
      <c r="A18081" s="26"/>
      <c r="B18081" s="26"/>
      <c r="C18081" s="26"/>
      <c r="D18081" s="25" t="s">
        <v>55408</v>
      </c>
      <c r="E18081" s="25"/>
      <c r="F18081" s="25"/>
      <c r="G18081" s="25"/>
    </row>
    <row r="18082" spans="1:7" ht="30.60" thickBot="1" customHeight="1">
      <c r="A18082" s="10" t="s">
        <v>55409</v>
      </c>
      <c r="B18082" s="24" t="s">
        <v>55410</v>
      </c>
      <c r="C18082" s="24" t="s">
        <v>55411</v>
      </c>
      <c r="D18082" s="25" t="s">
        <v>55412</v>
      </c>
      <c r="E18082" s="26"/>
      <c r="F18082" s="27">
        <f ca="1">ROUND(216.230*(1+G2/100),2)</f>
        <v>0</v>
      </c>
      <c r="G18082" s="26"/>
    </row>
    <row r="18083" spans="1:7" ht="58.32" thickBot="1" customHeight="1">
      <c r="A18083" s="26"/>
      <c r="B18083" s="26"/>
      <c r="C18083" s="26"/>
      <c r="D18083" s="25" t="s">
        <v>55413</v>
      </c>
      <c r="E18083" s="25"/>
      <c r="F18083" s="25"/>
      <c r="G18083" s="25"/>
    </row>
    <row r="18084" spans="1:7" ht="39.84" thickBot="1" customHeight="1">
      <c r="A18084" s="10" t="s">
        <v>55414</v>
      </c>
      <c r="B18084" s="24" t="s">
        <v>55415</v>
      </c>
      <c r="C18084" s="24" t="s">
        <v>55416</v>
      </c>
      <c r="D18084" s="25" t="s">
        <v>55417</v>
      </c>
      <c r="E18084" s="26"/>
      <c r="F18084" s="27">
        <f ca="1">ROUND(41.250*(1+G2/100),2)</f>
        <v>0</v>
      </c>
      <c r="G18084" s="26"/>
    </row>
    <row r="18085" spans="1:7" ht="67.56" thickBot="1" customHeight="1">
      <c r="A18085" s="26"/>
      <c r="B18085" s="26"/>
      <c r="C18085" s="26"/>
      <c r="D18085" s="25" t="s">
        <v>55418</v>
      </c>
      <c r="E18085" s="25"/>
      <c r="F18085" s="25"/>
      <c r="G18085" s="25"/>
    </row>
    <row r="18086" spans="1:7" ht="21.36" thickBot="1" customHeight="1">
      <c r="A18086" s="10" t="s">
        <v>55419</v>
      </c>
      <c r="B18086" s="24" t="s">
        <v>55420</v>
      </c>
      <c r="C18086" s="24" t="s">
        <v>55421</v>
      </c>
      <c r="D18086" s="25" t="s">
        <v>55422</v>
      </c>
      <c r="E18086" s="26"/>
      <c r="F18086" s="27">
        <f ca="1">ROUND(28.250*(1+G2/100),2)</f>
        <v>0</v>
      </c>
      <c r="G18086" s="26"/>
    </row>
    <row r="18087" spans="1:7" ht="49.08" thickBot="1" customHeight="1">
      <c r="A18087" s="26"/>
      <c r="B18087" s="26"/>
      <c r="C18087" s="26"/>
      <c r="D18087" s="25" t="s">
        <v>55423</v>
      </c>
      <c r="E18087" s="25"/>
      <c r="F18087" s="25"/>
      <c r="G18087" s="25"/>
    </row>
    <row r="18088" spans="1:7" ht="30.60" thickBot="1" customHeight="1">
      <c r="A18088" s="10" t="s">
        <v>55424</v>
      </c>
      <c r="B18088" s="24" t="s">
        <v>55425</v>
      </c>
      <c r="C18088" s="24" t="s">
        <v>55426</v>
      </c>
      <c r="D18088" s="25" t="s">
        <v>55427</v>
      </c>
      <c r="E18088" s="26"/>
      <c r="F18088" s="27">
        <f ca="1">ROUND(0.160*(1+G2/100),2)</f>
        <v>0</v>
      </c>
      <c r="G18088" s="26"/>
    </row>
    <row r="18089" spans="1:7" ht="21.36" thickBot="1" customHeight="1">
      <c r="A18089" s="26"/>
      <c r="B18089" s="26"/>
      <c r="C18089" s="26"/>
      <c r="D18089" s="25" t="s">
        <v>55428</v>
      </c>
      <c r="E18089" s="25"/>
      <c r="F18089" s="25"/>
      <c r="G18089" s="25"/>
    </row>
    <row r="18090" spans="1:7" ht="39.84" thickBot="1" customHeight="1">
      <c r="A18090" s="10" t="s">
        <v>55429</v>
      </c>
      <c r="B18090" s="24" t="s">
        <v>55430</v>
      </c>
      <c r="C18090" s="24" t="s">
        <v>55431</v>
      </c>
      <c r="D18090" s="25" t="s">
        <v>55432</v>
      </c>
      <c r="E18090" s="26"/>
      <c r="F18090" s="27">
        <f ca="1">ROUND(2.630*(1+G2/100),2)</f>
        <v>0</v>
      </c>
      <c r="G18090" s="26"/>
    </row>
    <row r="18091" spans="1:7" ht="39.84" thickBot="1" customHeight="1">
      <c r="A18091" s="26"/>
      <c r="B18091" s="26"/>
      <c r="C18091" s="26"/>
      <c r="D18091" s="25" t="s">
        <v>55433</v>
      </c>
      <c r="E18091" s="25"/>
      <c r="F18091" s="25"/>
      <c r="G18091" s="25"/>
    </row>
    <row r="18092" spans="1:7" ht="30.60" thickBot="1" customHeight="1">
      <c r="A18092" s="10" t="s">
        <v>55434</v>
      </c>
      <c r="B18092" s="24" t="s">
        <v>55435</v>
      </c>
      <c r="C18092" s="24" t="s">
        <v>55436</v>
      </c>
      <c r="D18092" s="25" t="s">
        <v>55437</v>
      </c>
      <c r="E18092" s="26"/>
      <c r="F18092" s="27">
        <f ca="1">ROUND(30.450*(1+G2/100),2)</f>
        <v>0</v>
      </c>
      <c r="G18092" s="26"/>
    </row>
    <row r="18093" spans="1:7" ht="132.24" thickBot="1" customHeight="1">
      <c r="A18093" s="26"/>
      <c r="B18093" s="26"/>
      <c r="C18093" s="26"/>
      <c r="D18093" s="25" t="s">
        <v>55438</v>
      </c>
      <c r="E18093" s="25"/>
      <c r="F18093" s="25"/>
      <c r="G18093" s="25"/>
    </row>
    <row r="18094" spans="1:7" ht="39.84" thickBot="1" customHeight="1">
      <c r="A18094" s="10" t="s">
        <v>55439</v>
      </c>
      <c r="B18094" s="24" t="s">
        <v>55440</v>
      </c>
      <c r="C18094" s="24" t="s">
        <v>55441</v>
      </c>
      <c r="D18094" s="25" t="s">
        <v>55442</v>
      </c>
      <c r="E18094" s="26"/>
      <c r="F18094" s="27">
        <f ca="1">ROUND(23.830*(1+G2/100),2)</f>
        <v>0</v>
      </c>
      <c r="G18094" s="26"/>
    </row>
    <row r="18095" spans="1:7" ht="30.60" thickBot="1" customHeight="1">
      <c r="A18095" s="26"/>
      <c r="B18095" s="26"/>
      <c r="C18095" s="26"/>
      <c r="D18095" s="25" t="s">
        <v>55443</v>
      </c>
      <c r="E18095" s="25"/>
      <c r="F18095" s="25"/>
      <c r="G18095" s="25"/>
    </row>
    <row r="18096" spans="1:7" ht="30.60" thickBot="1" customHeight="1">
      <c r="A18096" s="10" t="s">
        <v>55444</v>
      </c>
      <c r="B18096" s="24" t="s">
        <v>55445</v>
      </c>
      <c r="C18096" s="24" t="s">
        <v>55446</v>
      </c>
      <c r="D18096" s="25" t="s">
        <v>55447</v>
      </c>
      <c r="E18096" s="26"/>
      <c r="F18096" s="27">
        <f ca="1">ROUND(221.400*(1+G2/100),2)</f>
        <v>0</v>
      </c>
      <c r="G18096" s="26"/>
    </row>
    <row r="18097" spans="1:7" ht="12.12" thickBot="1" customHeight="1">
      <c r="A18097" s="26"/>
      <c r="B18097" s="26"/>
      <c r="C18097" s="26"/>
      <c r="D18097" s="25" t="s">
        <v>55448</v>
      </c>
      <c r="E18097" s="25"/>
      <c r="F18097" s="25"/>
      <c r="G18097" s="25"/>
    </row>
    <row r="18098" spans="1:7" ht="30.60" thickBot="1" customHeight="1">
      <c r="A18098" s="10" t="s">
        <v>55449</v>
      </c>
      <c r="B18098" s="24" t="s">
        <v>55450</v>
      </c>
      <c r="C18098" s="24" t="s">
        <v>55451</v>
      </c>
      <c r="D18098" s="25" t="s">
        <v>55452</v>
      </c>
      <c r="E18098" s="26"/>
      <c r="F18098" s="27">
        <f ca="1">ROUND(49.500*(1+G2/100),2)</f>
        <v>0</v>
      </c>
      <c r="G18098" s="26"/>
    </row>
    <row r="18099" spans="1:7" ht="67.56" thickBot="1" customHeight="1">
      <c r="A18099" s="26"/>
      <c r="B18099" s="26"/>
      <c r="C18099" s="26"/>
      <c r="D18099" s="25" t="s">
        <v>55453</v>
      </c>
      <c r="E18099" s="25"/>
      <c r="F18099" s="25"/>
      <c r="G18099" s="25"/>
    </row>
    <row r="18100" spans="1:7" ht="39.84" thickBot="1" customHeight="1">
      <c r="A18100" s="10" t="s">
        <v>55454</v>
      </c>
      <c r="B18100" s="24" t="s">
        <v>55455</v>
      </c>
      <c r="C18100" s="24" t="s">
        <v>55456</v>
      </c>
      <c r="D18100" s="25" t="s">
        <v>55457</v>
      </c>
      <c r="E18100" s="26"/>
      <c r="F18100" s="27">
        <f ca="1">ROUND(4.050*(1+G2/100),2)</f>
        <v>0</v>
      </c>
      <c r="G18100" s="26"/>
    </row>
    <row r="18101" spans="1:7" ht="49.08" thickBot="1" customHeight="1">
      <c r="A18101" s="26"/>
      <c r="B18101" s="26"/>
      <c r="C18101" s="26"/>
      <c r="D18101" s="25" t="s">
        <v>55458</v>
      </c>
      <c r="E18101" s="25"/>
      <c r="F18101" s="25"/>
      <c r="G18101" s="25"/>
    </row>
    <row r="18102" spans="1:7" ht="39.84" thickBot="1" customHeight="1">
      <c r="A18102" s="10" t="s">
        <v>55459</v>
      </c>
      <c r="B18102" s="24" t="s">
        <v>55460</v>
      </c>
      <c r="C18102" s="24" t="s">
        <v>55461</v>
      </c>
      <c r="D18102" s="25" t="s">
        <v>55462</v>
      </c>
      <c r="E18102" s="26"/>
      <c r="F18102" s="27">
        <f ca="1">ROUND(59.630*(1+G2/100),2)</f>
        <v>0</v>
      </c>
      <c r="G18102" s="26"/>
    </row>
    <row r="18103" spans="1:7" ht="30.60" thickBot="1" customHeight="1">
      <c r="A18103" s="26"/>
      <c r="B18103" s="26"/>
      <c r="C18103" s="26"/>
      <c r="D18103" s="25" t="s">
        <v>55463</v>
      </c>
      <c r="E18103" s="25"/>
      <c r="F18103" s="25"/>
      <c r="G18103" s="25"/>
    </row>
    <row r="18104" spans="1:7" ht="21.36" thickBot="1" customHeight="1">
      <c r="A18104" s="10" t="s">
        <v>55464</v>
      </c>
      <c r="B18104" s="24" t="s">
        <v>55465</v>
      </c>
      <c r="C18104" s="24" t="s">
        <v>55466</v>
      </c>
      <c r="D18104" s="25" t="s">
        <v>55467</v>
      </c>
      <c r="E18104" s="26"/>
      <c r="F18104" s="27">
        <f ca="1">ROUND(1.320*(1+G2/100),2)</f>
        <v>0</v>
      </c>
      <c r="G18104" s="26"/>
    </row>
    <row r="18105" spans="1:7" ht="49.08" thickBot="1" customHeight="1">
      <c r="A18105" s="26"/>
      <c r="B18105" s="26"/>
      <c r="C18105" s="26"/>
      <c r="D18105" s="25" t="s">
        <v>55468</v>
      </c>
      <c r="E18105" s="25"/>
      <c r="F18105" s="25"/>
      <c r="G18105" s="25"/>
    </row>
    <row r="18106" spans="1:7" ht="21.36" thickBot="1" customHeight="1">
      <c r="A18106" s="10" t="s">
        <v>55469</v>
      </c>
      <c r="B18106" s="24" t="s">
        <v>55470</v>
      </c>
      <c r="C18106" s="24" t="s">
        <v>55471</v>
      </c>
      <c r="D18106" s="25" t="s">
        <v>55472</v>
      </c>
      <c r="E18106" s="26"/>
      <c r="F18106" s="27">
        <f ca="1">ROUND(1.280*(1+G2/100),2)</f>
        <v>0</v>
      </c>
      <c r="G18106" s="26"/>
    </row>
    <row r="18107" spans="1:7" ht="49.08" thickBot="1" customHeight="1">
      <c r="A18107" s="26"/>
      <c r="B18107" s="26"/>
      <c r="C18107" s="26"/>
      <c r="D18107" s="25" t="s">
        <v>55473</v>
      </c>
      <c r="E18107" s="25"/>
      <c r="F18107" s="25"/>
      <c r="G18107" s="25"/>
    </row>
    <row r="18108" spans="1:7" ht="21.36" thickBot="1" customHeight="1">
      <c r="A18108" s="10" t="s">
        <v>55474</v>
      </c>
      <c r="B18108" s="24" t="s">
        <v>55475</v>
      </c>
      <c r="C18108" s="24" t="s">
        <v>55476</v>
      </c>
      <c r="D18108" s="25" t="s">
        <v>55477</v>
      </c>
      <c r="E18108" s="26"/>
      <c r="F18108" s="27">
        <f ca="1">ROUND(1.320*(1+G2/100),2)</f>
        <v>0</v>
      </c>
      <c r="G18108" s="26"/>
    </row>
    <row r="18109" spans="1:7" ht="49.08" thickBot="1" customHeight="1">
      <c r="A18109" s="26"/>
      <c r="B18109" s="26"/>
      <c r="C18109" s="26"/>
      <c r="D18109" s="25" t="s">
        <v>55478</v>
      </c>
      <c r="E18109" s="25"/>
      <c r="F18109" s="25"/>
      <c r="G18109" s="25"/>
    </row>
    <row r="18110" spans="1:7" ht="39.84" thickBot="1" customHeight="1">
      <c r="A18110" s="10" t="s">
        <v>55479</v>
      </c>
      <c r="B18110" s="24" t="s">
        <v>55480</v>
      </c>
      <c r="C18110" s="24" t="s">
        <v>55481</v>
      </c>
      <c r="D18110" s="25" t="s">
        <v>55482</v>
      </c>
      <c r="E18110" s="26"/>
      <c r="F18110" s="27">
        <f ca="1">ROUND(19.530*(1+G2/100),2)</f>
        <v>0</v>
      </c>
      <c r="G18110" s="26"/>
    </row>
    <row r="18111" spans="1:7" ht="30.60" thickBot="1" customHeight="1">
      <c r="A18111" s="26"/>
      <c r="B18111" s="26"/>
      <c r="C18111" s="26"/>
      <c r="D18111" s="25" t="s">
        <v>55483</v>
      </c>
      <c r="E18111" s="25"/>
      <c r="F18111" s="25"/>
      <c r="G18111" s="25"/>
    </row>
    <row r="18112" spans="1:7" ht="39.84" thickBot="1" customHeight="1">
      <c r="A18112" s="10" t="s">
        <v>55484</v>
      </c>
      <c r="B18112" s="24" t="s">
        <v>55485</v>
      </c>
      <c r="C18112" s="24" t="s">
        <v>55486</v>
      </c>
      <c r="D18112" s="25" t="s">
        <v>55487</v>
      </c>
      <c r="E18112" s="26"/>
      <c r="F18112" s="27">
        <f ca="1">ROUND(36.750*(1+G2/100),2)</f>
        <v>0</v>
      </c>
      <c r="G18112" s="26"/>
    </row>
    <row r="18113" spans="1:7" ht="30.60" thickBot="1" customHeight="1">
      <c r="A18113" s="26"/>
      <c r="B18113" s="26"/>
      <c r="C18113" s="26"/>
      <c r="D18113" s="25" t="s">
        <v>55488</v>
      </c>
      <c r="E18113" s="25"/>
      <c r="F18113" s="25"/>
      <c r="G18113" s="25"/>
    </row>
    <row r="18114" spans="1:7" ht="49.08" thickBot="1" customHeight="1">
      <c r="A18114" s="10" t="s">
        <v>55489</v>
      </c>
      <c r="B18114" s="24" t="s">
        <v>55490</v>
      </c>
      <c r="C18114" s="24" t="s">
        <v>55491</v>
      </c>
      <c r="D18114" s="25" t="s">
        <v>55492</v>
      </c>
      <c r="E18114" s="26"/>
      <c r="F18114" s="27">
        <f ca="1">ROUND(41.180*(1+G2/100),2)</f>
        <v>0</v>
      </c>
      <c r="G18114" s="26"/>
    </row>
    <row r="18115" spans="1:7" ht="30.60" thickBot="1" customHeight="1">
      <c r="A18115" s="26"/>
      <c r="B18115" s="26"/>
      <c r="C18115" s="26"/>
      <c r="D18115" s="25" t="s">
        <v>55493</v>
      </c>
      <c r="E18115" s="25"/>
      <c r="F18115" s="25"/>
      <c r="G18115" s="25"/>
    </row>
    <row r="18116" spans="1:7" ht="30.60" thickBot="1" customHeight="1">
      <c r="A18116" s="10" t="s">
        <v>55494</v>
      </c>
      <c r="B18116" s="24" t="s">
        <v>55495</v>
      </c>
      <c r="C18116" s="24" t="s">
        <v>55496</v>
      </c>
      <c r="D18116" s="25" t="s">
        <v>55497</v>
      </c>
      <c r="E18116" s="26"/>
      <c r="F18116" s="27">
        <f ca="1">ROUND(1.060*(1+G2/100),2)</f>
        <v>0</v>
      </c>
      <c r="G18116" s="26"/>
    </row>
    <row r="18117" spans="1:7" ht="39.84" thickBot="1" customHeight="1">
      <c r="A18117" s="26"/>
      <c r="B18117" s="26"/>
      <c r="C18117" s="26"/>
      <c r="D18117" s="25" t="s">
        <v>55498</v>
      </c>
      <c r="E18117" s="25"/>
      <c r="F18117" s="25"/>
      <c r="G18117" s="25"/>
    </row>
    <row r="18118" spans="1:7" ht="30.60" thickBot="1" customHeight="1">
      <c r="A18118" s="10" t="s">
        <v>55499</v>
      </c>
      <c r="B18118" s="24" t="s">
        <v>55500</v>
      </c>
      <c r="C18118" s="24" t="s">
        <v>55501</v>
      </c>
      <c r="D18118" s="25" t="s">
        <v>55502</v>
      </c>
      <c r="E18118" s="26"/>
      <c r="F18118" s="27">
        <f ca="1">ROUND(0.440*(1+G2/100),2)</f>
        <v>0</v>
      </c>
      <c r="G18118" s="26"/>
    </row>
    <row r="18119" spans="1:7" ht="39.84" thickBot="1" customHeight="1">
      <c r="A18119" s="26"/>
      <c r="B18119" s="26"/>
      <c r="C18119" s="26"/>
      <c r="D18119" s="25" t="s">
        <v>55503</v>
      </c>
      <c r="E18119" s="25"/>
      <c r="F18119" s="25"/>
      <c r="G18119" s="25"/>
    </row>
    <row r="18120" spans="1:7" ht="39.84" thickBot="1" customHeight="1">
      <c r="A18120" s="10" t="s">
        <v>55504</v>
      </c>
      <c r="B18120" s="24" t="s">
        <v>55505</v>
      </c>
      <c r="C18120" s="24" t="s">
        <v>55506</v>
      </c>
      <c r="D18120" s="25" t="s">
        <v>55507</v>
      </c>
      <c r="E18120" s="26"/>
      <c r="F18120" s="27">
        <f ca="1">ROUND(229.000*(1+G2/100),2)</f>
        <v>0</v>
      </c>
      <c r="G18120" s="26"/>
    </row>
    <row r="18121" spans="1:7" ht="104.52" thickBot="1" customHeight="1">
      <c r="A18121" s="26"/>
      <c r="B18121" s="26"/>
      <c r="C18121" s="26"/>
      <c r="D18121" s="25" t="s">
        <v>55508</v>
      </c>
      <c r="E18121" s="25"/>
      <c r="F18121" s="25"/>
      <c r="G18121" s="25"/>
    </row>
    <row r="18122" spans="1:7" ht="39.84" thickBot="1" customHeight="1">
      <c r="A18122" s="10" t="s">
        <v>55509</v>
      </c>
      <c r="B18122" s="24" t="s">
        <v>55510</v>
      </c>
      <c r="C18122" s="24" t="s">
        <v>55511</v>
      </c>
      <c r="D18122" s="25" t="s">
        <v>55512</v>
      </c>
      <c r="E18122" s="26"/>
      <c r="F18122" s="27">
        <f ca="1">ROUND(137.950*(1+G2/100),2)</f>
        <v>0</v>
      </c>
      <c r="G18122" s="26"/>
    </row>
    <row r="18123" spans="1:7" ht="95.28" thickBot="1" customHeight="1">
      <c r="A18123" s="26"/>
      <c r="B18123" s="26"/>
      <c r="C18123" s="26"/>
      <c r="D18123" s="25" t="s">
        <v>55513</v>
      </c>
      <c r="E18123" s="25"/>
      <c r="F18123" s="25"/>
      <c r="G18123" s="25"/>
    </row>
    <row r="18124" spans="1:7" ht="39.84" thickBot="1" customHeight="1">
      <c r="A18124" s="10" t="s">
        <v>55514</v>
      </c>
      <c r="B18124" s="24" t="s">
        <v>55515</v>
      </c>
      <c r="C18124" s="24" t="s">
        <v>55516</v>
      </c>
      <c r="D18124" s="25" t="s">
        <v>55517</v>
      </c>
      <c r="E18124" s="26"/>
      <c r="F18124" s="27">
        <f ca="1">ROUND(145.950*(1+G2/100),2)</f>
        <v>0</v>
      </c>
      <c r="G18124" s="26"/>
    </row>
    <row r="18125" spans="1:7" ht="95.28" thickBot="1" customHeight="1">
      <c r="A18125" s="26"/>
      <c r="B18125" s="26"/>
      <c r="C18125" s="26"/>
      <c r="D18125" s="25" t="s">
        <v>55518</v>
      </c>
      <c r="E18125" s="25"/>
      <c r="F18125" s="25"/>
      <c r="G18125" s="25"/>
    </row>
    <row r="18126" spans="1:7" ht="21.36" thickBot="1" customHeight="1">
      <c r="A18126" s="10" t="s">
        <v>55519</v>
      </c>
      <c r="B18126" s="24" t="s">
        <v>55520</v>
      </c>
      <c r="C18126" s="24" t="s">
        <v>55521</v>
      </c>
      <c r="D18126" s="25" t="s">
        <v>55522</v>
      </c>
      <c r="E18126" s="26"/>
      <c r="F18126" s="27">
        <f ca="1">ROUND(3.000*(1+G2/100),2)</f>
        <v>0</v>
      </c>
      <c r="G18126" s="26"/>
    </row>
    <row r="18127" spans="1:7" ht="12.12" thickBot="1" customHeight="1">
      <c r="A18127" s="26"/>
      <c r="B18127" s="26"/>
      <c r="C18127" s="26"/>
      <c r="D18127" s="25" t="s">
        <v>55523</v>
      </c>
      <c r="E18127" s="25"/>
      <c r="F18127" s="25"/>
      <c r="G18127" s="25"/>
    </row>
    <row r="18128" spans="1:7" ht="21.36" thickBot="1" customHeight="1">
      <c r="A18128" s="10" t="s">
        <v>55524</v>
      </c>
      <c r="B18128" s="24" t="s">
        <v>55525</v>
      </c>
      <c r="C18128" s="24" t="s">
        <v>55526</v>
      </c>
      <c r="D18128" s="25" t="s">
        <v>55527</v>
      </c>
      <c r="E18128" s="26"/>
      <c r="F18128" s="27">
        <f ca="1">ROUND(3.260*(1+G2/100),2)</f>
        <v>0</v>
      </c>
      <c r="G18128" s="26"/>
    </row>
    <row r="18129" spans="1:7" ht="12.12" thickBot="1" customHeight="1">
      <c r="A18129" s="26"/>
      <c r="B18129" s="26"/>
      <c r="C18129" s="26"/>
      <c r="D18129" s="25" t="s">
        <v>55528</v>
      </c>
      <c r="E18129" s="25"/>
      <c r="F18129" s="25"/>
      <c r="G18129" s="25"/>
    </row>
    <row r="18130" spans="1:7" ht="30.60" thickBot="1" customHeight="1">
      <c r="A18130" s="10" t="s">
        <v>55529</v>
      </c>
      <c r="B18130" s="24" t="s">
        <v>55530</v>
      </c>
      <c r="C18130" s="24" t="s">
        <v>55531</v>
      </c>
      <c r="D18130" s="25" t="s">
        <v>55532</v>
      </c>
      <c r="E18130" s="26"/>
      <c r="F18130" s="27">
        <f ca="1">ROUND(70.300*(1+G2/100),2)</f>
        <v>0</v>
      </c>
      <c r="G18130" s="26"/>
    </row>
    <row r="18131" spans="1:7" ht="39.84" thickBot="1" customHeight="1">
      <c r="A18131" s="26"/>
      <c r="B18131" s="26"/>
      <c r="C18131" s="26"/>
      <c r="D18131" s="25" t="s">
        <v>55533</v>
      </c>
      <c r="E18131" s="25"/>
      <c r="F18131" s="25"/>
      <c r="G18131" s="25"/>
    </row>
    <row r="18132" spans="1:7" ht="30.60" thickBot="1" customHeight="1">
      <c r="A18132" s="10" t="s">
        <v>55534</v>
      </c>
      <c r="B18132" s="24" t="s">
        <v>55535</v>
      </c>
      <c r="C18132" s="24" t="s">
        <v>55536</v>
      </c>
      <c r="D18132" s="25" t="s">
        <v>55537</v>
      </c>
      <c r="E18132" s="26"/>
      <c r="F18132" s="27">
        <f ca="1">ROUND(10.400*(1+G2/100),2)</f>
        <v>0</v>
      </c>
      <c r="G18132" s="26"/>
    </row>
    <row r="18133" spans="1:7" ht="49.08" thickBot="1" customHeight="1">
      <c r="A18133" s="26"/>
      <c r="B18133" s="26"/>
      <c r="C18133" s="26"/>
      <c r="D18133" s="25" t="s">
        <v>55538</v>
      </c>
      <c r="E18133" s="25"/>
      <c r="F18133" s="25"/>
      <c r="G18133" s="25"/>
    </row>
    <row r="18134" spans="1:7" ht="30.60" thickBot="1" customHeight="1">
      <c r="A18134" s="10" t="s">
        <v>55539</v>
      </c>
      <c r="B18134" s="24" t="s">
        <v>55540</v>
      </c>
      <c r="C18134" s="24" t="s">
        <v>55541</v>
      </c>
      <c r="D18134" s="25" t="s">
        <v>55542</v>
      </c>
      <c r="E18134" s="26"/>
      <c r="F18134" s="27">
        <f ca="1">ROUND(3.420*(1+G2/100),2)</f>
        <v>0</v>
      </c>
      <c r="G18134" s="26"/>
    </row>
    <row r="18135" spans="1:7" ht="12.12" thickBot="1" customHeight="1">
      <c r="A18135" s="26"/>
      <c r="B18135" s="26"/>
      <c r="C18135" s="26"/>
      <c r="D18135" s="25" t="s">
        <v>55543</v>
      </c>
      <c r="E18135" s="25"/>
      <c r="F18135" s="25"/>
      <c r="G18135" s="25"/>
    </row>
    <row r="18136" spans="1:7" ht="21.36" thickBot="1" customHeight="1">
      <c r="A18136" s="10" t="s">
        <v>55544</v>
      </c>
      <c r="B18136" s="24" t="s">
        <v>55545</v>
      </c>
      <c r="C18136" s="24" t="s">
        <v>55546</v>
      </c>
      <c r="D18136" s="25" t="s">
        <v>55547</v>
      </c>
      <c r="E18136" s="26"/>
      <c r="F18136" s="27">
        <f ca="1">ROUND(12.750*(1+G2/100),2)</f>
        <v>0</v>
      </c>
      <c r="G18136" s="26"/>
    </row>
    <row r="18137" spans="1:7" ht="12.12" thickBot="1" customHeight="1">
      <c r="A18137" s="26"/>
      <c r="B18137" s="26"/>
      <c r="C18137" s="26"/>
      <c r="D18137" s="25" t="s">
        <v>55548</v>
      </c>
      <c r="E18137" s="25"/>
      <c r="F18137" s="25"/>
      <c r="G18137" s="25"/>
    </row>
    <row r="18138" spans="1:7" ht="30.60" thickBot="1" customHeight="1">
      <c r="A18138" s="10" t="s">
        <v>55549</v>
      </c>
      <c r="B18138" s="24" t="s">
        <v>55550</v>
      </c>
      <c r="C18138" s="24" t="s">
        <v>55551</v>
      </c>
      <c r="D18138" s="25" t="s">
        <v>55552</v>
      </c>
      <c r="E18138" s="26"/>
      <c r="F18138" s="27">
        <f ca="1">ROUND(280.990*(1+G2/100),2)</f>
        <v>0</v>
      </c>
      <c r="G18138" s="26"/>
    </row>
    <row r="18139" spans="1:7" ht="30.60" thickBot="1" customHeight="1">
      <c r="A18139" s="26"/>
      <c r="B18139" s="26"/>
      <c r="C18139" s="26"/>
      <c r="D18139" s="25" t="s">
        <v>55553</v>
      </c>
      <c r="E18139" s="25"/>
      <c r="F18139" s="25"/>
      <c r="G18139" s="25"/>
    </row>
    <row r="18140" spans="1:7" ht="30.60" thickBot="1" customHeight="1">
      <c r="A18140" s="10" t="s">
        <v>55554</v>
      </c>
      <c r="B18140" s="24" t="s">
        <v>55555</v>
      </c>
      <c r="C18140" s="24" t="s">
        <v>55556</v>
      </c>
      <c r="D18140" s="25" t="s">
        <v>55557</v>
      </c>
      <c r="E18140" s="26"/>
      <c r="F18140" s="27">
        <f ca="1">ROUND(53.250*(1+G2/100),2)</f>
        <v>0</v>
      </c>
      <c r="G18140" s="26"/>
    </row>
    <row r="18141" spans="1:7" ht="86.04" thickBot="1" customHeight="1">
      <c r="A18141" s="26"/>
      <c r="B18141" s="26"/>
      <c r="C18141" s="26"/>
      <c r="D18141" s="25" t="s">
        <v>55558</v>
      </c>
      <c r="E18141" s="25"/>
      <c r="F18141" s="25"/>
      <c r="G18141" s="25"/>
    </row>
    <row r="18142" spans="1:7" ht="49.08" thickBot="1" customHeight="1">
      <c r="A18142" s="10" t="s">
        <v>55559</v>
      </c>
      <c r="B18142" s="24" t="s">
        <v>55560</v>
      </c>
      <c r="C18142" s="24" t="s">
        <v>55561</v>
      </c>
      <c r="D18142" s="25" t="s">
        <v>55562</v>
      </c>
      <c r="E18142" s="26"/>
      <c r="F18142" s="27">
        <f ca="1">ROUND(650.200*(1+G2/100),2)</f>
        <v>0</v>
      </c>
      <c r="G18142" s="26"/>
    </row>
    <row r="18143" spans="1:7" ht="49.08" thickBot="1" customHeight="1">
      <c r="A18143" s="26"/>
      <c r="B18143" s="26"/>
      <c r="C18143" s="26"/>
      <c r="D18143" s="25" t="s">
        <v>55563</v>
      </c>
      <c r="E18143" s="25"/>
      <c r="F18143" s="25"/>
      <c r="G18143" s="25"/>
    </row>
    <row r="18144" spans="1:7" ht="30.60" thickBot="1" customHeight="1">
      <c r="A18144" s="10" t="s">
        <v>55564</v>
      </c>
      <c r="B18144" s="24" t="s">
        <v>55565</v>
      </c>
      <c r="C18144" s="24" t="s">
        <v>55566</v>
      </c>
      <c r="D18144" s="25" t="s">
        <v>55567</v>
      </c>
      <c r="E18144" s="26"/>
      <c r="F18144" s="27">
        <f ca="1">ROUND(2.650*(1+G2/100),2)</f>
        <v>0</v>
      </c>
      <c r="G18144" s="26"/>
    </row>
    <row r="18145" spans="1:7" ht="95.28" thickBot="1" customHeight="1">
      <c r="A18145" s="26"/>
      <c r="B18145" s="26"/>
      <c r="C18145" s="26"/>
      <c r="D18145" s="25" t="s">
        <v>55568</v>
      </c>
      <c r="E18145" s="25"/>
      <c r="F18145" s="25"/>
      <c r="G18145" s="25"/>
    </row>
    <row r="18146" spans="1:7" ht="30.60" thickBot="1" customHeight="1">
      <c r="A18146" s="10" t="s">
        <v>55569</v>
      </c>
      <c r="B18146" s="24" t="s">
        <v>55570</v>
      </c>
      <c r="C18146" s="24" t="s">
        <v>55571</v>
      </c>
      <c r="D18146" s="25" t="s">
        <v>55572</v>
      </c>
      <c r="E18146" s="26"/>
      <c r="F18146" s="27">
        <f ca="1">ROUND(2.030*(1+G2/100),2)</f>
        <v>0</v>
      </c>
      <c r="G18146" s="26"/>
    </row>
    <row r="18147" spans="1:7" ht="104.52" thickBot="1" customHeight="1">
      <c r="A18147" s="26"/>
      <c r="B18147" s="26"/>
      <c r="C18147" s="26"/>
      <c r="D18147" s="25" t="s">
        <v>55573</v>
      </c>
      <c r="E18147" s="25"/>
      <c r="F18147" s="25"/>
      <c r="G18147" s="25"/>
    </row>
    <row r="18148" spans="1:7" ht="30.60" thickBot="1" customHeight="1">
      <c r="A18148" s="10" t="s">
        <v>55574</v>
      </c>
      <c r="B18148" s="24" t="s">
        <v>55575</v>
      </c>
      <c r="C18148" s="24" t="s">
        <v>55576</v>
      </c>
      <c r="D18148" s="25" t="s">
        <v>55577</v>
      </c>
      <c r="E18148" s="26"/>
      <c r="F18148" s="27">
        <f ca="1">ROUND(5.370*(1+G2/100),2)</f>
        <v>0</v>
      </c>
      <c r="G18148" s="26"/>
    </row>
    <row r="18149" spans="1:7" ht="104.52" thickBot="1" customHeight="1">
      <c r="A18149" s="26"/>
      <c r="B18149" s="26"/>
      <c r="C18149" s="26"/>
      <c r="D18149" s="25" t="s">
        <v>55578</v>
      </c>
      <c r="E18149" s="25"/>
      <c r="F18149" s="25"/>
      <c r="G18149" s="25"/>
    </row>
    <row r="18150" spans="1:7" ht="30.60" thickBot="1" customHeight="1">
      <c r="A18150" s="10" t="s">
        <v>55579</v>
      </c>
      <c r="B18150" s="24" t="s">
        <v>55580</v>
      </c>
      <c r="C18150" s="24" t="s">
        <v>55581</v>
      </c>
      <c r="D18150" s="25" t="s">
        <v>55582</v>
      </c>
      <c r="E18150" s="26"/>
      <c r="F18150" s="27">
        <f ca="1">ROUND(6.780*(1+G2/100),2)</f>
        <v>0</v>
      </c>
      <c r="G18150" s="26"/>
    </row>
    <row r="18151" spans="1:7" ht="104.52" thickBot="1" customHeight="1">
      <c r="A18151" s="26"/>
      <c r="B18151" s="26"/>
      <c r="C18151" s="26"/>
      <c r="D18151" s="25" t="s">
        <v>55583</v>
      </c>
      <c r="E18151" s="25"/>
      <c r="F18151" s="25"/>
      <c r="G18151" s="25"/>
    </row>
    <row r="18152" spans="1:7" ht="30.60" thickBot="1" customHeight="1">
      <c r="A18152" s="10" t="s">
        <v>55584</v>
      </c>
      <c r="B18152" s="24" t="s">
        <v>55585</v>
      </c>
      <c r="C18152" s="24" t="s">
        <v>55586</v>
      </c>
      <c r="D18152" s="25" t="s">
        <v>55587</v>
      </c>
      <c r="E18152" s="26"/>
      <c r="F18152" s="27">
        <f ca="1">ROUND(8.840*(1+G2/100),2)</f>
        <v>0</v>
      </c>
      <c r="G18152" s="26"/>
    </row>
    <row r="18153" spans="1:7" ht="104.52" thickBot="1" customHeight="1">
      <c r="A18153" s="26"/>
      <c r="B18153" s="26"/>
      <c r="C18153" s="26"/>
      <c r="D18153" s="25" t="s">
        <v>55588</v>
      </c>
      <c r="E18153" s="25"/>
      <c r="F18153" s="25"/>
      <c r="G18153" s="25"/>
    </row>
    <row r="18154" spans="1:7" ht="30.60" thickBot="1" customHeight="1">
      <c r="A18154" s="10" t="s">
        <v>55589</v>
      </c>
      <c r="B18154" s="24" t="s">
        <v>55590</v>
      </c>
      <c r="C18154" s="24" t="s">
        <v>55591</v>
      </c>
      <c r="D18154" s="25" t="s">
        <v>55592</v>
      </c>
      <c r="E18154" s="26"/>
      <c r="F18154" s="27">
        <f ca="1">ROUND(10.740*(1+G2/100),2)</f>
        <v>0</v>
      </c>
      <c r="G18154" s="26"/>
    </row>
    <row r="18155" spans="1:7" ht="104.52" thickBot="1" customHeight="1">
      <c r="A18155" s="26"/>
      <c r="B18155" s="26"/>
      <c r="C18155" s="26"/>
      <c r="D18155" s="25" t="s">
        <v>55593</v>
      </c>
      <c r="E18155" s="25"/>
      <c r="F18155" s="25"/>
      <c r="G18155" s="25"/>
    </row>
    <row r="18156" spans="1:7" ht="30.60" thickBot="1" customHeight="1">
      <c r="A18156" s="10" t="s">
        <v>55594</v>
      </c>
      <c r="B18156" s="24" t="s">
        <v>55595</v>
      </c>
      <c r="C18156" s="24" t="s">
        <v>55596</v>
      </c>
      <c r="D18156" s="25" t="s">
        <v>55597</v>
      </c>
      <c r="E18156" s="26"/>
      <c r="F18156" s="27">
        <f ca="1">ROUND(18.840*(1+G2/100),2)</f>
        <v>0</v>
      </c>
      <c r="G18156" s="26"/>
    </row>
    <row r="18157" spans="1:7" ht="104.52" thickBot="1" customHeight="1">
      <c r="A18157" s="26"/>
      <c r="B18157" s="26"/>
      <c r="C18157" s="26"/>
      <c r="D18157" s="25" t="s">
        <v>55598</v>
      </c>
      <c r="E18157" s="25"/>
      <c r="F18157" s="25"/>
      <c r="G18157" s="25"/>
    </row>
    <row r="18158" spans="1:7" ht="30.60" thickBot="1" customHeight="1">
      <c r="A18158" s="10" t="s">
        <v>55599</v>
      </c>
      <c r="B18158" s="24" t="s">
        <v>55600</v>
      </c>
      <c r="C18158" s="24" t="s">
        <v>55601</v>
      </c>
      <c r="D18158" s="25" t="s">
        <v>55602</v>
      </c>
      <c r="E18158" s="26"/>
      <c r="F18158" s="27">
        <f ca="1">ROUND(38.800*(1+G2/100),2)</f>
        <v>0</v>
      </c>
      <c r="G18158" s="26"/>
    </row>
    <row r="18159" spans="1:7" ht="104.52" thickBot="1" customHeight="1">
      <c r="A18159" s="26"/>
      <c r="B18159" s="26"/>
      <c r="C18159" s="26"/>
      <c r="D18159" s="25" t="s">
        <v>55603</v>
      </c>
      <c r="E18159" s="25"/>
      <c r="F18159" s="25"/>
      <c r="G18159" s="25"/>
    </row>
    <row r="18160" spans="1:7" ht="30.60" thickBot="1" customHeight="1">
      <c r="A18160" s="10" t="s">
        <v>55604</v>
      </c>
      <c r="B18160" s="24" t="s">
        <v>55605</v>
      </c>
      <c r="C18160" s="24" t="s">
        <v>55606</v>
      </c>
      <c r="D18160" s="25" t="s">
        <v>55607</v>
      </c>
      <c r="E18160" s="26"/>
      <c r="F18160" s="27">
        <f ca="1">ROUND(110.580*(1+G2/100),2)</f>
        <v>0</v>
      </c>
      <c r="G18160" s="26"/>
    </row>
    <row r="18161" spans="1:7" ht="95.28" thickBot="1" customHeight="1">
      <c r="A18161" s="26"/>
      <c r="B18161" s="26"/>
      <c r="C18161" s="26"/>
      <c r="D18161" s="25" t="s">
        <v>55608</v>
      </c>
      <c r="E18161" s="25"/>
      <c r="F18161" s="25"/>
      <c r="G18161" s="25"/>
    </row>
    <row r="18162" spans="1:7" ht="30.60" thickBot="1" customHeight="1">
      <c r="A18162" s="10" t="s">
        <v>55609</v>
      </c>
      <c r="B18162" s="24" t="s">
        <v>55610</v>
      </c>
      <c r="C18162" s="24" t="s">
        <v>55611</v>
      </c>
      <c r="D18162" s="25" t="s">
        <v>55612</v>
      </c>
      <c r="E18162" s="26"/>
      <c r="F18162" s="27">
        <f ca="1">ROUND(87.500*(1+G2/100),2)</f>
        <v>0</v>
      </c>
      <c r="G18162" s="26"/>
    </row>
    <row r="18163" spans="1:7" ht="58.32" thickBot="1" customHeight="1">
      <c r="A18163" s="26"/>
      <c r="B18163" s="26"/>
      <c r="C18163" s="26"/>
      <c r="D18163" s="25" t="s">
        <v>55613</v>
      </c>
      <c r="E18163" s="25"/>
      <c r="F18163" s="25"/>
      <c r="G18163" s="25"/>
    </row>
    <row r="18164" spans="1:7" ht="30.60" thickBot="1" customHeight="1">
      <c r="A18164" s="10" t="s">
        <v>55614</v>
      </c>
      <c r="B18164" s="24" t="s">
        <v>55615</v>
      </c>
      <c r="C18164" s="24" t="s">
        <v>55616</v>
      </c>
      <c r="D18164" s="25" t="s">
        <v>55617</v>
      </c>
      <c r="E18164" s="26"/>
      <c r="F18164" s="27">
        <f ca="1">ROUND(13.960*(1+G2/100),2)</f>
        <v>0</v>
      </c>
      <c r="G18164" s="26"/>
    </row>
    <row r="18165" spans="1:7" ht="58.32" thickBot="1" customHeight="1">
      <c r="A18165" s="26"/>
      <c r="B18165" s="26"/>
      <c r="C18165" s="26"/>
      <c r="D18165" s="25" t="s">
        <v>55618</v>
      </c>
      <c r="E18165" s="25"/>
      <c r="F18165" s="25"/>
      <c r="G18165" s="25"/>
    </row>
    <row r="18166" spans="1:7" ht="30.60" thickBot="1" customHeight="1">
      <c r="A18166" s="10" t="s">
        <v>55619</v>
      </c>
      <c r="B18166" s="24" t="s">
        <v>55620</v>
      </c>
      <c r="C18166" s="24" t="s">
        <v>55621</v>
      </c>
      <c r="D18166" s="25" t="s">
        <v>55622</v>
      </c>
      <c r="E18166" s="26"/>
      <c r="F18166" s="27">
        <f ca="1">ROUND(31.450*(1+G2/100),2)</f>
        <v>0</v>
      </c>
      <c r="G18166" s="26"/>
    </row>
    <row r="18167" spans="1:7" ht="58.32" thickBot="1" customHeight="1">
      <c r="A18167" s="26"/>
      <c r="B18167" s="26"/>
      <c r="C18167" s="26"/>
      <c r="D18167" s="25" t="s">
        <v>55623</v>
      </c>
      <c r="E18167" s="25"/>
      <c r="F18167" s="25"/>
      <c r="G18167" s="25"/>
    </row>
    <row r="18168" spans="1:7" ht="30.60" thickBot="1" customHeight="1">
      <c r="A18168" s="10" t="s">
        <v>55624</v>
      </c>
      <c r="B18168" s="24" t="s">
        <v>55625</v>
      </c>
      <c r="C18168" s="24" t="s">
        <v>55626</v>
      </c>
      <c r="D18168" s="25" t="s">
        <v>55627</v>
      </c>
      <c r="E18168" s="26"/>
      <c r="F18168" s="27">
        <f ca="1">ROUND(55.910*(1+G2/100),2)</f>
        <v>0</v>
      </c>
      <c r="G18168" s="26"/>
    </row>
    <row r="18169" spans="1:7" ht="58.32" thickBot="1" customHeight="1">
      <c r="A18169" s="26"/>
      <c r="B18169" s="26"/>
      <c r="C18169" s="26"/>
      <c r="D18169" s="25" t="s">
        <v>55628</v>
      </c>
      <c r="E18169" s="25"/>
      <c r="F18169" s="25"/>
      <c r="G18169" s="25"/>
    </row>
    <row r="18170" spans="1:7" ht="15.48" thickBot="1" customHeight="1">
      <c r="A18170" s="30"/>
      <c r="B18170" s="30"/>
      <c r="C18170" s="30"/>
      <c r="D18170" s="76" t="s">
        <v>55629</v>
      </c>
      <c r="E18170" s="77"/>
      <c r="F18170" s="77"/>
      <c r="G18170" s="77"/>
    </row>
    <row r="18171" spans="1:7" ht="15.48" thickBot="1" customHeight="1">
      <c r="A18171" s="57" t="s">
        <v>55630</v>
      </c>
      <c r="B18171" s="57" t="s">
        <v>55631</v>
      </c>
      <c r="C18171" s="58"/>
      <c r="D18171" s="59" t="s">
        <v>55632</v>
      </c>
      <c r="E18171" s="58"/>
      <c r="F18171" s="58"/>
      <c r="G18171" s="58"/>
    </row>
    <row r="18172" spans="1:7" ht="25.08" thickBot="1" customHeight="1">
      <c r="A18172" s="18" t="s">
        <v>55633</v>
      </c>
      <c r="B18172" s="18" t="s">
        <v>55634</v>
      </c>
      <c r="C18172" s="19"/>
      <c r="D18172" s="20" t="s">
        <v>55635</v>
      </c>
      <c r="E18172" s="19"/>
      <c r="F18172" s="82">
        <v>0.00</v>
      </c>
      <c r="G18172" s="19"/>
    </row>
    <row r="18173" spans="1:7" ht="15.48" thickBot="1" customHeight="1">
      <c r="A18173" s="30"/>
      <c r="B18173" s="30"/>
      <c r="C18173" s="30"/>
      <c r="D18173" s="79" t="s">
        <v>55636</v>
      </c>
      <c r="E18173" s="80"/>
      <c r="F18173" s="80"/>
      <c r="G18173" s="80"/>
    </row>
    <row r="18174" spans="1:7" ht="15.48" thickBot="1" customHeight="1">
      <c r="A18174" s="52" t="s">
        <v>55637</v>
      </c>
      <c r="B18174" s="52" t="s">
        <v>55638</v>
      </c>
      <c r="C18174" s="53"/>
      <c r="D18174" s="54" t="s">
        <v>55639</v>
      </c>
      <c r="E18174" s="53"/>
      <c r="F18174" s="53"/>
      <c r="G18174" s="53"/>
    </row>
    <row r="18175" spans="1:7" ht="25.08" thickBot="1" customHeight="1">
      <c r="A18175" s="10" t="s">
        <v>55640</v>
      </c>
      <c r="B18175" s="24" t="s">
        <v>55641</v>
      </c>
      <c r="C18175" s="24" t="s">
        <v>55642</v>
      </c>
      <c r="D18175" s="25" t="s">
        <v>55643</v>
      </c>
      <c r="E18175" s="26"/>
      <c r="F18175" s="27">
        <f ca="1">ROUND(19.000*(1+G2/100),2)</f>
        <v>0</v>
      </c>
      <c r="G18175" s="26"/>
    </row>
    <row r="18176" spans="1:7" ht="12.12" thickBot="1" customHeight="1">
      <c r="A18176" s="26"/>
      <c r="B18176" s="26"/>
      <c r="C18176" s="26"/>
      <c r="D18176" s="25" t="s">
        <v>55644</v>
      </c>
      <c r="E18176" s="25"/>
      <c r="F18176" s="25"/>
      <c r="G18176" s="25"/>
    </row>
    <row r="18177" spans="1:7" ht="25.08" thickBot="1" customHeight="1">
      <c r="A18177" s="10" t="s">
        <v>55645</v>
      </c>
      <c r="B18177" s="24" t="s">
        <v>55646</v>
      </c>
      <c r="C18177" s="24" t="s">
        <v>55647</v>
      </c>
      <c r="D18177" s="25" t="s">
        <v>55648</v>
      </c>
      <c r="E18177" s="26"/>
      <c r="F18177" s="27">
        <f ca="1">ROUND(21.000*(1+G2/100),2)</f>
        <v>0</v>
      </c>
      <c r="G18177" s="26"/>
    </row>
    <row r="18178" spans="1:7" ht="12.12" thickBot="1" customHeight="1">
      <c r="A18178" s="26"/>
      <c r="B18178" s="26"/>
      <c r="C18178" s="26"/>
      <c r="D18178" s="25" t="s">
        <v>55649</v>
      </c>
      <c r="E18178" s="25"/>
      <c r="F18178" s="25"/>
      <c r="G18178" s="25"/>
    </row>
    <row r="18179" spans="1:7" ht="25.08" thickBot="1" customHeight="1">
      <c r="A18179" s="10" t="s">
        <v>55650</v>
      </c>
      <c r="B18179" s="24" t="s">
        <v>55651</v>
      </c>
      <c r="C18179" s="24" t="s">
        <v>55652</v>
      </c>
      <c r="D18179" s="25" t="s">
        <v>55653</v>
      </c>
      <c r="E18179" s="26"/>
      <c r="F18179" s="27">
        <f ca="1">ROUND(19.000*(1+G2/100),2)</f>
        <v>0</v>
      </c>
      <c r="G18179" s="26"/>
    </row>
    <row r="18180" spans="1:7" ht="12.12" thickBot="1" customHeight="1">
      <c r="A18180" s="26"/>
      <c r="B18180" s="26"/>
      <c r="C18180" s="26"/>
      <c r="D18180" s="25" t="s">
        <v>55654</v>
      </c>
      <c r="E18180" s="25"/>
      <c r="F18180" s="25"/>
      <c r="G18180" s="25"/>
    </row>
    <row r="18181" spans="1:7" ht="25.08" thickBot="1" customHeight="1">
      <c r="A18181" s="10" t="s">
        <v>55655</v>
      </c>
      <c r="B18181" s="24" t="s">
        <v>55656</v>
      </c>
      <c r="C18181" s="24" t="s">
        <v>55657</v>
      </c>
      <c r="D18181" s="25" t="s">
        <v>55658</v>
      </c>
      <c r="E18181" s="26"/>
      <c r="F18181" s="27">
        <f ca="1">ROUND(21.000*(1+G2/100),2)</f>
        <v>0</v>
      </c>
      <c r="G18181" s="26"/>
    </row>
    <row r="18182" spans="1:7" ht="12.12" thickBot="1" customHeight="1">
      <c r="A18182" s="26"/>
      <c r="B18182" s="26"/>
      <c r="C18182" s="26"/>
      <c r="D18182" s="25" t="s">
        <v>55659</v>
      </c>
      <c r="E18182" s="25"/>
      <c r="F18182" s="25"/>
      <c r="G18182" s="25"/>
    </row>
    <row r="18183" spans="1:7" ht="25.08" thickBot="1" customHeight="1">
      <c r="A18183" s="10" t="s">
        <v>55660</v>
      </c>
      <c r="B18183" s="24" t="s">
        <v>55661</v>
      </c>
      <c r="C18183" s="24" t="s">
        <v>55662</v>
      </c>
      <c r="D18183" s="25" t="s">
        <v>55663</v>
      </c>
      <c r="E18183" s="26"/>
      <c r="F18183" s="27">
        <f ca="1">ROUND(19.000*(1+G2/100),2)</f>
        <v>0</v>
      </c>
      <c r="G18183" s="26"/>
    </row>
    <row r="18184" spans="1:7" ht="12.12" thickBot="1" customHeight="1">
      <c r="A18184" s="26"/>
      <c r="B18184" s="26"/>
      <c r="C18184" s="26"/>
      <c r="D18184" s="25" t="s">
        <v>55664</v>
      </c>
      <c r="E18184" s="25"/>
      <c r="F18184" s="25"/>
      <c r="G18184" s="25"/>
    </row>
    <row r="18185" spans="1:7" ht="25.08" thickBot="1" customHeight="1">
      <c r="A18185" s="10" t="s">
        <v>55665</v>
      </c>
      <c r="B18185" s="24" t="s">
        <v>55666</v>
      </c>
      <c r="C18185" s="24" t="s">
        <v>55667</v>
      </c>
      <c r="D18185" s="25" t="s">
        <v>55668</v>
      </c>
      <c r="E18185" s="26"/>
      <c r="F18185" s="27">
        <f ca="1">ROUND(21.000*(1+G2/100),2)</f>
        <v>0</v>
      </c>
      <c r="G18185" s="26"/>
    </row>
    <row r="18186" spans="1:7" ht="12.12" thickBot="1" customHeight="1">
      <c r="A18186" s="26"/>
      <c r="B18186" s="26"/>
      <c r="C18186" s="26"/>
      <c r="D18186" s="25" t="s">
        <v>55669</v>
      </c>
      <c r="E18186" s="25"/>
      <c r="F18186" s="25"/>
      <c r="G18186" s="25"/>
    </row>
    <row r="18187" spans="1:7" ht="25.08" thickBot="1" customHeight="1">
      <c r="A18187" s="10" t="s">
        <v>55670</v>
      </c>
      <c r="B18187" s="24" t="s">
        <v>55671</v>
      </c>
      <c r="C18187" s="24" t="s">
        <v>55672</v>
      </c>
      <c r="D18187" s="25" t="s">
        <v>55673</v>
      </c>
      <c r="E18187" s="26"/>
      <c r="F18187" s="27">
        <f ca="1">ROUND(19.000*(1+G2/100),2)</f>
        <v>0</v>
      </c>
      <c r="G18187" s="26"/>
    </row>
    <row r="18188" spans="1:7" ht="12.12" thickBot="1" customHeight="1">
      <c r="A18188" s="26"/>
      <c r="B18188" s="26"/>
      <c r="C18188" s="26"/>
      <c r="D18188" s="25" t="s">
        <v>55674</v>
      </c>
      <c r="E18188" s="25"/>
      <c r="F18188" s="25"/>
      <c r="G18188" s="25"/>
    </row>
    <row r="18189" spans="1:7" ht="25.08" thickBot="1" customHeight="1">
      <c r="A18189" s="10" t="s">
        <v>55675</v>
      </c>
      <c r="B18189" s="24" t="s">
        <v>55676</v>
      </c>
      <c r="C18189" s="24" t="s">
        <v>55677</v>
      </c>
      <c r="D18189" s="25" t="s">
        <v>55678</v>
      </c>
      <c r="E18189" s="26"/>
      <c r="F18189" s="27">
        <f ca="1">ROUND(21.000*(1+G2/100),2)</f>
        <v>0</v>
      </c>
      <c r="G18189" s="26"/>
    </row>
    <row r="18190" spans="1:7" ht="12.12" thickBot="1" customHeight="1">
      <c r="A18190" s="26"/>
      <c r="B18190" s="26"/>
      <c r="C18190" s="26"/>
      <c r="D18190" s="25" t="s">
        <v>55679</v>
      </c>
      <c r="E18190" s="25"/>
      <c r="F18190" s="25"/>
      <c r="G18190" s="25"/>
    </row>
    <row r="18191" spans="1:7" ht="25.08" thickBot="1" customHeight="1">
      <c r="A18191" s="10" t="s">
        <v>55680</v>
      </c>
      <c r="B18191" s="24" t="s">
        <v>55681</v>
      </c>
      <c r="C18191" s="24" t="s">
        <v>55682</v>
      </c>
      <c r="D18191" s="25" t="s">
        <v>55683</v>
      </c>
      <c r="E18191" s="26"/>
      <c r="F18191" s="27">
        <f ca="1">ROUND(19.000*(1+G2/100),2)</f>
        <v>0</v>
      </c>
      <c r="G18191" s="26"/>
    </row>
    <row r="18192" spans="1:7" ht="12.12" thickBot="1" customHeight="1">
      <c r="A18192" s="26"/>
      <c r="B18192" s="26"/>
      <c r="C18192" s="26"/>
      <c r="D18192" s="25" t="s">
        <v>55684</v>
      </c>
      <c r="E18192" s="25"/>
      <c r="F18192" s="25"/>
      <c r="G18192" s="25"/>
    </row>
    <row r="18193" spans="1:7" ht="25.08" thickBot="1" customHeight="1">
      <c r="A18193" s="10" t="s">
        <v>55685</v>
      </c>
      <c r="B18193" s="24" t="s">
        <v>55686</v>
      </c>
      <c r="C18193" s="24" t="s">
        <v>55687</v>
      </c>
      <c r="D18193" s="25" t="s">
        <v>55688</v>
      </c>
      <c r="E18193" s="26"/>
      <c r="F18193" s="27">
        <f ca="1">ROUND(24.000*(1+G2/100),2)</f>
        <v>0</v>
      </c>
      <c r="G18193" s="26"/>
    </row>
    <row r="18194" spans="1:7" ht="12.12" thickBot="1" customHeight="1">
      <c r="A18194" s="26"/>
      <c r="B18194" s="26"/>
      <c r="C18194" s="26"/>
      <c r="D18194" s="25" t="s">
        <v>55689</v>
      </c>
      <c r="E18194" s="25"/>
      <c r="F18194" s="25"/>
      <c r="G18194" s="25"/>
    </row>
    <row r="18195" spans="1:7" ht="25.08" thickBot="1" customHeight="1">
      <c r="A18195" s="10" t="s">
        <v>55690</v>
      </c>
      <c r="B18195" s="24" t="s">
        <v>55691</v>
      </c>
      <c r="C18195" s="24" t="s">
        <v>55692</v>
      </c>
      <c r="D18195" s="25" t="s">
        <v>55693</v>
      </c>
      <c r="E18195" s="26"/>
      <c r="F18195" s="27">
        <f ca="1">ROUND(19.000*(1+G2/100),2)</f>
        <v>0</v>
      </c>
      <c r="G18195" s="26"/>
    </row>
    <row r="18196" spans="1:7" ht="12.12" thickBot="1" customHeight="1">
      <c r="A18196" s="26"/>
      <c r="B18196" s="26"/>
      <c r="C18196" s="26"/>
      <c r="D18196" s="25" t="s">
        <v>55694</v>
      </c>
      <c r="E18196" s="25"/>
      <c r="F18196" s="25"/>
      <c r="G18196" s="25"/>
    </row>
    <row r="18197" spans="1:7" ht="24.36" thickBot="1" customHeight="1">
      <c r="A18197" s="10" t="s">
        <v>55695</v>
      </c>
      <c r="B18197" s="24" t="s">
        <v>55696</v>
      </c>
      <c r="C18197" s="24" t="s">
        <v>55697</v>
      </c>
      <c r="D18197" s="25" t="s">
        <v>55698</v>
      </c>
      <c r="E18197" s="26"/>
      <c r="F18197" s="27">
        <f ca="1">ROUND(21.000*(1+G2/100),2)</f>
        <v>0</v>
      </c>
      <c r="G18197" s="26"/>
    </row>
    <row r="18198" spans="1:7" ht="12.12" thickBot="1" customHeight="1">
      <c r="A18198" s="26"/>
      <c r="B18198" s="26"/>
      <c r="C18198" s="26"/>
      <c r="D18198" s="25" t="s">
        <v>55699</v>
      </c>
      <c r="E18198" s="25"/>
      <c r="F18198" s="25"/>
      <c r="G18198" s="25"/>
    </row>
    <row r="18199" spans="1:7" ht="24.36" thickBot="1" customHeight="1">
      <c r="A18199" s="10" t="s">
        <v>55700</v>
      </c>
      <c r="B18199" s="24" t="s">
        <v>55701</v>
      </c>
      <c r="C18199" s="24" t="s">
        <v>55702</v>
      </c>
      <c r="D18199" s="25" t="s">
        <v>55703</v>
      </c>
      <c r="E18199" s="26"/>
      <c r="F18199" s="27">
        <f ca="1">ROUND(21.000*(1+G2/100),2)</f>
        <v>0</v>
      </c>
      <c r="G18199" s="26"/>
    </row>
    <row r="18200" spans="1:7" ht="12.12" thickBot="1" customHeight="1">
      <c r="A18200" s="26"/>
      <c r="B18200" s="26"/>
      <c r="C18200" s="26"/>
      <c r="D18200" s="25" t="s">
        <v>55704</v>
      </c>
      <c r="E18200" s="25"/>
      <c r="F18200" s="25"/>
      <c r="G18200" s="25"/>
    </row>
    <row r="18201" spans="1:7" ht="25.08" thickBot="1" customHeight="1">
      <c r="A18201" s="10" t="s">
        <v>55705</v>
      </c>
      <c r="B18201" s="24" t="s">
        <v>55706</v>
      </c>
      <c r="C18201" s="24" t="s">
        <v>55707</v>
      </c>
      <c r="D18201" s="25" t="s">
        <v>55708</v>
      </c>
      <c r="E18201" s="26"/>
      <c r="F18201" s="27">
        <f ca="1">ROUND(19.000*(1+G2/100),2)</f>
        <v>0</v>
      </c>
      <c r="G18201" s="26"/>
    </row>
    <row r="18202" spans="1:7" ht="12.12" thickBot="1" customHeight="1">
      <c r="A18202" s="26"/>
      <c r="B18202" s="26"/>
      <c r="C18202" s="26"/>
      <c r="D18202" s="25" t="s">
        <v>55709</v>
      </c>
      <c r="E18202" s="25"/>
      <c r="F18202" s="25"/>
      <c r="G18202" s="25"/>
    </row>
    <row r="18203" spans="1:7" ht="24.36" thickBot="1" customHeight="1">
      <c r="A18203" s="10" t="s">
        <v>55710</v>
      </c>
      <c r="B18203" s="24" t="s">
        <v>55711</v>
      </c>
      <c r="C18203" s="24" t="s">
        <v>55712</v>
      </c>
      <c r="D18203" s="25" t="s">
        <v>55713</v>
      </c>
      <c r="E18203" s="26"/>
      <c r="F18203" s="27">
        <f ca="1">ROUND(21.000*(1+G2/100),2)</f>
        <v>0</v>
      </c>
      <c r="G18203" s="26"/>
    </row>
    <row r="18204" spans="1:7" ht="12.12" thickBot="1" customHeight="1">
      <c r="A18204" s="26"/>
      <c r="B18204" s="26"/>
      <c r="C18204" s="26"/>
      <c r="D18204" s="25" t="s">
        <v>55714</v>
      </c>
      <c r="E18204" s="25"/>
      <c r="F18204" s="25"/>
      <c r="G18204" s="25"/>
    </row>
    <row r="18205" spans="1:7" ht="25.08" thickBot="1" customHeight="1">
      <c r="A18205" s="10" t="s">
        <v>55715</v>
      </c>
      <c r="B18205" s="24" t="s">
        <v>55716</v>
      </c>
      <c r="C18205" s="24" t="s">
        <v>55717</v>
      </c>
      <c r="D18205" s="25" t="s">
        <v>55718</v>
      </c>
      <c r="E18205" s="26"/>
      <c r="F18205" s="27">
        <f ca="1">ROUND(25.000*(1+G2/100),2)</f>
        <v>0</v>
      </c>
      <c r="G18205" s="26"/>
    </row>
    <row r="18206" spans="1:7" ht="12.12" thickBot="1" customHeight="1">
      <c r="A18206" s="26"/>
      <c r="B18206" s="26"/>
      <c r="C18206" s="26"/>
      <c r="D18206" s="25" t="s">
        <v>55719</v>
      </c>
      <c r="E18206" s="25"/>
      <c r="F18206" s="25"/>
      <c r="G18206" s="25"/>
    </row>
    <row r="18207" spans="1:7" ht="24.36" thickBot="1" customHeight="1">
      <c r="A18207" s="10" t="s">
        <v>55720</v>
      </c>
      <c r="B18207" s="24" t="s">
        <v>55721</v>
      </c>
      <c r="C18207" s="24" t="s">
        <v>55722</v>
      </c>
      <c r="D18207" s="25" t="s">
        <v>55723</v>
      </c>
      <c r="E18207" s="26"/>
      <c r="F18207" s="27">
        <f ca="1">ROUND(21.000*(1+G2/100),2)</f>
        <v>0</v>
      </c>
      <c r="G18207" s="26"/>
    </row>
    <row r="18208" spans="1:7" ht="12.12" thickBot="1" customHeight="1">
      <c r="A18208" s="26"/>
      <c r="B18208" s="26"/>
      <c r="C18208" s="26"/>
      <c r="D18208" s="25" t="s">
        <v>55724</v>
      </c>
      <c r="E18208" s="25"/>
      <c r="F18208" s="25"/>
      <c r="G18208" s="25"/>
    </row>
    <row r="18209" spans="1:7" ht="24.36" thickBot="1" customHeight="1">
      <c r="A18209" s="10" t="s">
        <v>55725</v>
      </c>
      <c r="B18209" s="24" t="s">
        <v>55726</v>
      </c>
      <c r="C18209" s="24" t="s">
        <v>55727</v>
      </c>
      <c r="D18209" s="25" t="s">
        <v>55728</v>
      </c>
      <c r="E18209" s="26"/>
      <c r="F18209" s="27">
        <f ca="1">ROUND(19.000*(1+G2/100),2)</f>
        <v>0</v>
      </c>
      <c r="G18209" s="26"/>
    </row>
    <row r="18210" spans="1:7" ht="12.12" thickBot="1" customHeight="1">
      <c r="A18210" s="26"/>
      <c r="B18210" s="26"/>
      <c r="C18210" s="26"/>
      <c r="D18210" s="25" t="s">
        <v>55729</v>
      </c>
      <c r="E18210" s="25"/>
      <c r="F18210" s="25"/>
      <c r="G18210" s="25"/>
    </row>
    <row r="18211" spans="1:7" ht="24.36" thickBot="1" customHeight="1">
      <c r="A18211" s="10" t="s">
        <v>55730</v>
      </c>
      <c r="B18211" s="24" t="s">
        <v>55731</v>
      </c>
      <c r="C18211" s="24" t="s">
        <v>55732</v>
      </c>
      <c r="D18211" s="25" t="s">
        <v>55733</v>
      </c>
      <c r="E18211" s="26"/>
      <c r="F18211" s="27">
        <f ca="1">ROUND(19.000*(1+G2/100),2)</f>
        <v>0</v>
      </c>
      <c r="G18211" s="26"/>
    </row>
    <row r="18212" spans="1:7" ht="12.12" thickBot="1" customHeight="1">
      <c r="A18212" s="26"/>
      <c r="B18212" s="26"/>
      <c r="C18212" s="26"/>
      <c r="D18212" s="25" t="s">
        <v>55734</v>
      </c>
      <c r="E18212" s="25"/>
      <c r="F18212" s="25"/>
      <c r="G18212" s="25"/>
    </row>
    <row r="18213" spans="1:7" ht="25.08" thickBot="1" customHeight="1">
      <c r="A18213" s="10" t="s">
        <v>55735</v>
      </c>
      <c r="B18213" s="24" t="s">
        <v>55736</v>
      </c>
      <c r="C18213" s="24" t="s">
        <v>55737</v>
      </c>
      <c r="D18213" s="25" t="s">
        <v>55738</v>
      </c>
      <c r="E18213" s="26"/>
      <c r="F18213" s="27">
        <f ca="1">ROUND(17.000*(1+G2/100),2)</f>
        <v>0</v>
      </c>
      <c r="G18213" s="26"/>
    </row>
    <row r="18214" spans="1:7" ht="12.12" thickBot="1" customHeight="1">
      <c r="A18214" s="26"/>
      <c r="B18214" s="26"/>
      <c r="C18214" s="26"/>
      <c r="D18214" s="25" t="s">
        <v>55739</v>
      </c>
      <c r="E18214" s="25"/>
      <c r="F18214" s="25"/>
      <c r="G18214" s="25"/>
    </row>
    <row r="18215" spans="1:7" ht="25.08" thickBot="1" customHeight="1">
      <c r="A18215" s="10" t="s">
        <v>55740</v>
      </c>
      <c r="B18215" s="24" t="s">
        <v>55741</v>
      </c>
      <c r="C18215" s="24" t="s">
        <v>55742</v>
      </c>
      <c r="D18215" s="25" t="s">
        <v>55743</v>
      </c>
      <c r="E18215" s="26"/>
      <c r="F18215" s="27">
        <f ca="1">ROUND(19.000*(1+G2/100),2)</f>
        <v>0</v>
      </c>
      <c r="G18215" s="26"/>
    </row>
    <row r="18216" spans="1:7" ht="12.12" thickBot="1" customHeight="1">
      <c r="A18216" s="26"/>
      <c r="B18216" s="26"/>
      <c r="C18216" s="26"/>
      <c r="D18216" s="25" t="s">
        <v>55744</v>
      </c>
      <c r="E18216" s="25"/>
      <c r="F18216" s="25"/>
      <c r="G18216" s="25"/>
    </row>
    <row r="18217" spans="1:7" ht="21.36" thickBot="1" customHeight="1">
      <c r="A18217" s="10" t="s">
        <v>55745</v>
      </c>
      <c r="B18217" s="24" t="s">
        <v>55746</v>
      </c>
      <c r="C18217" s="24" t="s">
        <v>55747</v>
      </c>
      <c r="D18217" s="25" t="s">
        <v>55748</v>
      </c>
      <c r="E18217" s="26"/>
      <c r="F18217" s="27">
        <f ca="1">F18220</f>
        <v>0</v>
      </c>
      <c r="G18217" s="26"/>
    </row>
    <row r="18218" spans="1:7" ht="12.12" thickBot="1" customHeight="1">
      <c r="A18218" s="26"/>
      <c r="B18218" s="26"/>
      <c r="C18218" s="26"/>
      <c r="D18218" s="25" t="s">
        <v>55749</v>
      </c>
      <c r="E18218" s="25"/>
      <c r="F18218" s="25"/>
      <c r="G18218" s="25"/>
    </row>
    <row r="18219" spans="1:7" ht="24.36" thickBot="1" customHeight="1">
      <c r="A18219" s="24" t="s">
        <v>55750</v>
      </c>
      <c r="B18219" s="24" t="s">
        <v>55751</v>
      </c>
      <c r="C18219" s="24" t="s">
        <v>55752</v>
      </c>
      <c r="D18219" s="25" t="s">
        <v>55753</v>
      </c>
      <c r="E18219" s="28">
        <v>1.00000</v>
      </c>
      <c r="F18219" s="29">
        <f ca="1">ROUND(40.000,3)</f>
        <v>0</v>
      </c>
      <c r="G18219" s="27">
        <f ca="1">ROUND(E18219*F18219,2)</f>
        <v>0</v>
      </c>
    </row>
    <row r="18220" spans="1:7" ht="15.48" thickBot="1" customHeight="1">
      <c r="A18220" s="30"/>
      <c r="B18220" s="30"/>
      <c r="C18220" s="30"/>
      <c r="D18220" s="31" t="s">
        <v>55754</v>
      </c>
      <c r="E18220" s="30"/>
      <c r="F18220" s="33">
        <f ca="1">ROUND((G18219)*(1+G2/100),2)</f>
        <v>0</v>
      </c>
      <c r="G18220" s="30"/>
    </row>
    <row r="18221" spans="1:7" ht="30.60" thickBot="1" customHeight="1">
      <c r="A18221" s="34" t="s">
        <v>55755</v>
      </c>
      <c r="B18221" s="35" t="s">
        <v>55756</v>
      </c>
      <c r="C18221" s="35" t="s">
        <v>55757</v>
      </c>
      <c r="D18221" s="36" t="s">
        <v>55758</v>
      </c>
      <c r="E18221" s="37"/>
      <c r="F18221" s="38">
        <f ca="1">F18225</f>
        <v>0</v>
      </c>
      <c r="G18221" s="37"/>
    </row>
    <row r="18222" spans="1:7" ht="12.12" thickBot="1" customHeight="1">
      <c r="A18222" s="26"/>
      <c r="B18222" s="26"/>
      <c r="C18222" s="26"/>
      <c r="D18222" s="25" t="s">
        <v>55759</v>
      </c>
      <c r="E18222" s="25"/>
      <c r="F18222" s="25"/>
      <c r="G18222" s="25"/>
    </row>
    <row r="18223" spans="1:7" ht="24.36" thickBot="1" customHeight="1">
      <c r="A18223" s="24" t="s">
        <v>55760</v>
      </c>
      <c r="B18223" s="24" t="s">
        <v>55761</v>
      </c>
      <c r="C18223" s="24" t="s">
        <v>55762</v>
      </c>
      <c r="D18223" s="25" t="s">
        <v>55763</v>
      </c>
      <c r="E18223" s="28">
        <v>1.00000</v>
      </c>
      <c r="F18223" s="29">
        <f ca="1">ROUND(21.000,3)</f>
        <v>0</v>
      </c>
      <c r="G18223" s="27">
        <f ca="1">ROUND(E18223*F18223,2)</f>
        <v>0</v>
      </c>
    </row>
    <row r="18224" spans="1:7" ht="24.36" thickBot="1" customHeight="1">
      <c r="A18224" s="24" t="s">
        <v>55764</v>
      </c>
      <c r="B18224" s="24" t="s">
        <v>55765</v>
      </c>
      <c r="C18224" s="24" t="s">
        <v>55766</v>
      </c>
      <c r="D18224" s="25" t="s">
        <v>55767</v>
      </c>
      <c r="E18224" s="28">
        <v>1.00000</v>
      </c>
      <c r="F18224" s="29">
        <f ca="1">ROUND(19.000,3)</f>
        <v>0</v>
      </c>
      <c r="G18224" s="27">
        <f ca="1">ROUND(E18224*F18224,2)</f>
        <v>0</v>
      </c>
    </row>
    <row r="18225" spans="1:7" ht="15.48" thickBot="1" customHeight="1">
      <c r="A18225" s="30"/>
      <c r="B18225" s="30"/>
      <c r="C18225" s="30"/>
      <c r="D18225" s="31" t="s">
        <v>55768</v>
      </c>
      <c r="E18225" s="30"/>
      <c r="F18225" s="33">
        <f ca="1">ROUND((G18223+G18224)*(1+G2/100),2)</f>
        <v>0</v>
      </c>
      <c r="G18225" s="30"/>
    </row>
    <row r="18226" spans="1:7" ht="30.60" thickBot="1" customHeight="1">
      <c r="A18226" s="34" t="s">
        <v>55769</v>
      </c>
      <c r="B18226" s="35" t="s">
        <v>55770</v>
      </c>
      <c r="C18226" s="35" t="s">
        <v>55771</v>
      </c>
      <c r="D18226" s="36" t="s">
        <v>55772</v>
      </c>
      <c r="E18226" s="37"/>
      <c r="F18226" s="38">
        <f ca="1">F18230</f>
        <v>0</v>
      </c>
      <c r="G18226" s="37"/>
    </row>
    <row r="18227" spans="1:7" ht="12.12" thickBot="1" customHeight="1">
      <c r="A18227" s="26"/>
      <c r="B18227" s="26"/>
      <c r="C18227" s="26"/>
      <c r="D18227" s="25" t="s">
        <v>55773</v>
      </c>
      <c r="E18227" s="25"/>
      <c r="F18227" s="25"/>
      <c r="G18227" s="25"/>
    </row>
    <row r="18228" spans="1:7" ht="24.36" thickBot="1" customHeight="1">
      <c r="A18228" s="24" t="s">
        <v>55774</v>
      </c>
      <c r="B18228" s="24" t="s">
        <v>55775</v>
      </c>
      <c r="C18228" s="24" t="s">
        <v>55776</v>
      </c>
      <c r="D18228" s="25" t="s">
        <v>55777</v>
      </c>
      <c r="E18228" s="28">
        <v>1.00000</v>
      </c>
      <c r="F18228" s="29">
        <f ca="1">ROUND(21.000,3)</f>
        <v>0</v>
      </c>
      <c r="G18228" s="27">
        <f ca="1">ROUND(E18228*F18228,2)</f>
        <v>0</v>
      </c>
    </row>
    <row r="18229" spans="1:7" ht="24.36" thickBot="1" customHeight="1">
      <c r="A18229" s="24" t="s">
        <v>55778</v>
      </c>
      <c r="B18229" s="24" t="s">
        <v>55779</v>
      </c>
      <c r="C18229" s="24" t="s">
        <v>55780</v>
      </c>
      <c r="D18229" s="25" t="s">
        <v>55781</v>
      </c>
      <c r="E18229" s="28">
        <v>1.00000</v>
      </c>
      <c r="F18229" s="29">
        <f ca="1">ROUND(19.000,3)</f>
        <v>0</v>
      </c>
      <c r="G18229" s="27">
        <f ca="1">ROUND(E18229*F18229,2)</f>
        <v>0</v>
      </c>
    </row>
    <row r="18230" spans="1:7" ht="15.48" thickBot="1" customHeight="1">
      <c r="A18230" s="30"/>
      <c r="B18230" s="30"/>
      <c r="C18230" s="30"/>
      <c r="D18230" s="31" t="s">
        <v>55782</v>
      </c>
      <c r="E18230" s="30"/>
      <c r="F18230" s="33">
        <f ca="1">ROUND((G18228+G18229)*(1+G2/100),2)</f>
        <v>0</v>
      </c>
      <c r="G18230" s="30"/>
    </row>
    <row r="18231" spans="1:7" ht="30.60" thickBot="1" customHeight="1">
      <c r="A18231" s="34" t="s">
        <v>55783</v>
      </c>
      <c r="B18231" s="35" t="s">
        <v>55784</v>
      </c>
      <c r="C18231" s="35" t="s">
        <v>55785</v>
      </c>
      <c r="D18231" s="36" t="s">
        <v>55786</v>
      </c>
      <c r="E18231" s="37"/>
      <c r="F18231" s="38">
        <f ca="1">F18235</f>
        <v>0</v>
      </c>
      <c r="G18231" s="37"/>
    </row>
    <row r="18232" spans="1:7" ht="12.12" thickBot="1" customHeight="1">
      <c r="A18232" s="26"/>
      <c r="B18232" s="26"/>
      <c r="C18232" s="26"/>
      <c r="D18232" s="25" t="s">
        <v>55787</v>
      </c>
      <c r="E18232" s="25"/>
      <c r="F18232" s="25"/>
      <c r="G18232" s="25"/>
    </row>
    <row r="18233" spans="1:7" ht="24.36" thickBot="1" customHeight="1">
      <c r="A18233" s="24" t="s">
        <v>55788</v>
      </c>
      <c r="B18233" s="24" t="s">
        <v>55789</v>
      </c>
      <c r="C18233" s="24" t="s">
        <v>55790</v>
      </c>
      <c r="D18233" s="25" t="s">
        <v>55791</v>
      </c>
      <c r="E18233" s="28">
        <v>1.00000</v>
      </c>
      <c r="F18233" s="29">
        <f ca="1">ROUND(21.000,3)</f>
        <v>0</v>
      </c>
      <c r="G18233" s="27">
        <f ca="1">ROUND(E18233*F18233,2)</f>
        <v>0</v>
      </c>
    </row>
    <row r="18234" spans="1:7" ht="24.36" thickBot="1" customHeight="1">
      <c r="A18234" s="24" t="s">
        <v>55792</v>
      </c>
      <c r="B18234" s="24" t="s">
        <v>55793</v>
      </c>
      <c r="C18234" s="24" t="s">
        <v>55794</v>
      </c>
      <c r="D18234" s="25" t="s">
        <v>55795</v>
      </c>
      <c r="E18234" s="28">
        <v>1.00000</v>
      </c>
      <c r="F18234" s="29">
        <f ca="1">ROUND(19.000,3)</f>
        <v>0</v>
      </c>
      <c r="G18234" s="27">
        <f ca="1">ROUND(E18234*F18234,2)</f>
        <v>0</v>
      </c>
    </row>
    <row r="18235" spans="1:7" ht="15.48" thickBot="1" customHeight="1">
      <c r="A18235" s="30"/>
      <c r="B18235" s="30"/>
      <c r="C18235" s="30"/>
      <c r="D18235" s="31" t="s">
        <v>55796</v>
      </c>
      <c r="E18235" s="30"/>
      <c r="F18235" s="33">
        <f ca="1">ROUND((G18233+G18234)*(1+G2/100),2)</f>
        <v>0</v>
      </c>
      <c r="G18235" s="30"/>
    </row>
    <row r="18236" spans="1:7" ht="30.60" thickBot="1" customHeight="1">
      <c r="A18236" s="34" t="s">
        <v>55797</v>
      </c>
      <c r="B18236" s="35" t="s">
        <v>55798</v>
      </c>
      <c r="C18236" s="35" t="s">
        <v>55799</v>
      </c>
      <c r="D18236" s="36" t="s">
        <v>55800</v>
      </c>
      <c r="E18236" s="37"/>
      <c r="F18236" s="38">
        <f ca="1">F18240</f>
        <v>0</v>
      </c>
      <c r="G18236" s="37"/>
    </row>
    <row r="18237" spans="1:7" ht="12.12" thickBot="1" customHeight="1">
      <c r="A18237" s="26"/>
      <c r="B18237" s="26"/>
      <c r="C18237" s="26"/>
      <c r="D18237" s="25" t="s">
        <v>55801</v>
      </c>
      <c r="E18237" s="25"/>
      <c r="F18237" s="25"/>
      <c r="G18237" s="25"/>
    </row>
    <row r="18238" spans="1:7" ht="24.36" thickBot="1" customHeight="1">
      <c r="A18238" s="24" t="s">
        <v>55802</v>
      </c>
      <c r="B18238" s="24" t="s">
        <v>55803</v>
      </c>
      <c r="C18238" s="24" t="s">
        <v>55804</v>
      </c>
      <c r="D18238" s="25" t="s">
        <v>55805</v>
      </c>
      <c r="E18238" s="28">
        <v>1.00000</v>
      </c>
      <c r="F18238" s="29">
        <f ca="1">ROUND(24.000,3)</f>
        <v>0</v>
      </c>
      <c r="G18238" s="27">
        <f ca="1">ROUND(E18238*F18238,2)</f>
        <v>0</v>
      </c>
    </row>
    <row r="18239" spans="1:7" ht="24.36" thickBot="1" customHeight="1">
      <c r="A18239" s="24" t="s">
        <v>55806</v>
      </c>
      <c r="B18239" s="24" t="s">
        <v>55807</v>
      </c>
      <c r="C18239" s="24" t="s">
        <v>55808</v>
      </c>
      <c r="D18239" s="25" t="s">
        <v>55809</v>
      </c>
      <c r="E18239" s="28">
        <v>1.00000</v>
      </c>
      <c r="F18239" s="29">
        <f ca="1">ROUND(19.000,3)</f>
        <v>0</v>
      </c>
      <c r="G18239" s="27">
        <f ca="1">ROUND(E18239*F18239,2)</f>
        <v>0</v>
      </c>
    </row>
    <row r="18240" spans="1:7" ht="15.48" thickBot="1" customHeight="1">
      <c r="A18240" s="30"/>
      <c r="B18240" s="30"/>
      <c r="C18240" s="30"/>
      <c r="D18240" s="31" t="s">
        <v>55810</v>
      </c>
      <c r="E18240" s="30"/>
      <c r="F18240" s="33">
        <f ca="1">ROUND((G18238+G18239)*(1+G2/100),2)</f>
        <v>0</v>
      </c>
      <c r="G18240" s="30"/>
    </row>
    <row r="18241" spans="1:7" ht="21.36" thickBot="1" customHeight="1">
      <c r="A18241" s="34" t="s">
        <v>55811</v>
      </c>
      <c r="B18241" s="35" t="s">
        <v>55812</v>
      </c>
      <c r="C18241" s="35" t="s">
        <v>55813</v>
      </c>
      <c r="D18241" s="36" t="s">
        <v>55814</v>
      </c>
      <c r="E18241" s="37"/>
      <c r="F18241" s="38">
        <f ca="1">F18246</f>
        <v>0</v>
      </c>
      <c r="G18241" s="37"/>
    </row>
    <row r="18242" spans="1:7" ht="12.12" thickBot="1" customHeight="1">
      <c r="A18242" s="26"/>
      <c r="B18242" s="26"/>
      <c r="C18242" s="26"/>
      <c r="D18242" s="25" t="s">
        <v>55815</v>
      </c>
      <c r="E18242" s="25"/>
      <c r="F18242" s="25"/>
      <c r="G18242" s="25"/>
    </row>
    <row r="18243" spans="1:7" ht="24.36" thickBot="1" customHeight="1">
      <c r="A18243" s="24" t="s">
        <v>55816</v>
      </c>
      <c r="B18243" s="24" t="s">
        <v>55817</v>
      </c>
      <c r="C18243" s="24" t="s">
        <v>55818</v>
      </c>
      <c r="D18243" s="25" t="s">
        <v>55819</v>
      </c>
      <c r="E18243" s="28">
        <v>1.00000</v>
      </c>
      <c r="F18243" s="29">
        <f ca="1">ROUND(21.000,3)</f>
        <v>0</v>
      </c>
      <c r="G18243" s="27">
        <f ca="1">ROUND(E18243*F18243,2)</f>
        <v>0</v>
      </c>
    </row>
    <row r="18244" spans="1:7" ht="24.36" thickBot="1" customHeight="1">
      <c r="A18244" s="24" t="s">
        <v>55820</v>
      </c>
      <c r="B18244" s="24" t="s">
        <v>55821</v>
      </c>
      <c r="C18244" s="24" t="s">
        <v>55822</v>
      </c>
      <c r="D18244" s="25" t="s">
        <v>55823</v>
      </c>
      <c r="E18244" s="28">
        <v>1.00000</v>
      </c>
      <c r="F18244" s="29">
        <f ca="1">ROUND(19.000,3)</f>
        <v>0</v>
      </c>
      <c r="G18244" s="27">
        <f ca="1">ROUND(E18244*F18244,2)</f>
        <v>0</v>
      </c>
    </row>
    <row r="18245" spans="1:7" ht="24.36" thickBot="1" customHeight="1">
      <c r="A18245" s="24" t="s">
        <v>55824</v>
      </c>
      <c r="B18245" s="24" t="s">
        <v>55825</v>
      </c>
      <c r="C18245" s="24" t="s">
        <v>55826</v>
      </c>
      <c r="D18245" s="25" t="s">
        <v>55827</v>
      </c>
      <c r="E18245" s="28">
        <v>0.20000</v>
      </c>
      <c r="F18245" s="29">
        <f ca="1">ROUND(19.000,3)</f>
        <v>0</v>
      </c>
      <c r="G18245" s="27">
        <f ca="1">ROUND(E18245*F18245,2)</f>
        <v>0</v>
      </c>
    </row>
    <row r="18246" spans="1:7" ht="15.48" thickBot="1" customHeight="1">
      <c r="A18246" s="30"/>
      <c r="B18246" s="30"/>
      <c r="C18246" s="30"/>
      <c r="D18246" s="31" t="s">
        <v>55828</v>
      </c>
      <c r="E18246" s="30"/>
      <c r="F18246" s="33">
        <f ca="1">ROUND((G18243+G18244+G18245)*(1+G2/100),2)</f>
        <v>0</v>
      </c>
      <c r="G18246" s="30"/>
    </row>
    <row r="18247" spans="1:7" ht="21.36" thickBot="1" customHeight="1">
      <c r="A18247" s="34" t="s">
        <v>55829</v>
      </c>
      <c r="B18247" s="35" t="s">
        <v>55830</v>
      </c>
      <c r="C18247" s="35" t="s">
        <v>55831</v>
      </c>
      <c r="D18247" s="36" t="s">
        <v>55832</v>
      </c>
      <c r="E18247" s="37"/>
      <c r="F18247" s="38">
        <f ca="1">F18252</f>
        <v>0</v>
      </c>
      <c r="G18247" s="37"/>
    </row>
    <row r="18248" spans="1:7" ht="12.12" thickBot="1" customHeight="1">
      <c r="A18248" s="26"/>
      <c r="B18248" s="26"/>
      <c r="C18248" s="26"/>
      <c r="D18248" s="25" t="s">
        <v>55833</v>
      </c>
      <c r="E18248" s="25"/>
      <c r="F18248" s="25"/>
      <c r="G18248" s="25"/>
    </row>
    <row r="18249" spans="1:7" ht="24.36" thickBot="1" customHeight="1">
      <c r="A18249" s="24" t="s">
        <v>55834</v>
      </c>
      <c r="B18249" s="24" t="s">
        <v>55835</v>
      </c>
      <c r="C18249" s="24" t="s">
        <v>55836</v>
      </c>
      <c r="D18249" s="25" t="s">
        <v>55837</v>
      </c>
      <c r="E18249" s="28">
        <v>1.00000</v>
      </c>
      <c r="F18249" s="29">
        <f ca="1">ROUND(21.000,3)</f>
        <v>0</v>
      </c>
      <c r="G18249" s="27">
        <f ca="1">ROUND(E18249*F18249,2)</f>
        <v>0</v>
      </c>
    </row>
    <row r="18250" spans="1:7" ht="24.36" thickBot="1" customHeight="1">
      <c r="A18250" s="24" t="s">
        <v>55838</v>
      </c>
      <c r="B18250" s="24" t="s">
        <v>55839</v>
      </c>
      <c r="C18250" s="24" t="s">
        <v>55840</v>
      </c>
      <c r="D18250" s="25" t="s">
        <v>55841</v>
      </c>
      <c r="E18250" s="28">
        <v>1.00000</v>
      </c>
      <c r="F18250" s="29">
        <f ca="1">ROUND(19.000,3)</f>
        <v>0</v>
      </c>
      <c r="G18250" s="27">
        <f ca="1">ROUND(E18250*F18250,2)</f>
        <v>0</v>
      </c>
    </row>
    <row r="18251" spans="1:7" ht="24.36" thickBot="1" customHeight="1">
      <c r="A18251" s="24" t="s">
        <v>55842</v>
      </c>
      <c r="B18251" s="24" t="s">
        <v>55843</v>
      </c>
      <c r="C18251" s="24" t="s">
        <v>55844</v>
      </c>
      <c r="D18251" s="25" t="s">
        <v>55845</v>
      </c>
      <c r="E18251" s="28">
        <v>0.20000</v>
      </c>
      <c r="F18251" s="29">
        <f ca="1">ROUND(19.000,3)</f>
        <v>0</v>
      </c>
      <c r="G18251" s="27">
        <f ca="1">ROUND(E18251*F18251,2)</f>
        <v>0</v>
      </c>
    </row>
    <row r="18252" spans="1:7" ht="15.48" thickBot="1" customHeight="1">
      <c r="A18252" s="30"/>
      <c r="B18252" s="30"/>
      <c r="C18252" s="30"/>
      <c r="D18252" s="31" t="s">
        <v>55846</v>
      </c>
      <c r="E18252" s="30"/>
      <c r="F18252" s="33">
        <f ca="1">ROUND((G18249+G18250+G18251)*(1+G2/100),2)</f>
        <v>0</v>
      </c>
      <c r="G18252" s="30"/>
    </row>
    <row r="18253" spans="1:7" ht="30.60" thickBot="1" customHeight="1">
      <c r="A18253" s="34" t="s">
        <v>55847</v>
      </c>
      <c r="B18253" s="35" t="s">
        <v>55848</v>
      </c>
      <c r="C18253" s="35" t="s">
        <v>55849</v>
      </c>
      <c r="D18253" s="36" t="s">
        <v>55850</v>
      </c>
      <c r="E18253" s="37"/>
      <c r="F18253" s="38">
        <f ca="1">F18255</f>
        <v>0</v>
      </c>
      <c r="G18253" s="37"/>
    </row>
    <row r="18254" spans="1:7" ht="12.12" thickBot="1" customHeight="1">
      <c r="A18254" s="26"/>
      <c r="B18254" s="26"/>
      <c r="C18254" s="26"/>
      <c r="D18254" s="25" t="s">
        <v>55851</v>
      </c>
      <c r="E18254" s="25"/>
      <c r="F18254" s="25"/>
      <c r="G18254" s="25"/>
    </row>
    <row r="18255" spans="1:7" ht="15.48" thickBot="1" customHeight="1">
      <c r="A18255" s="30"/>
      <c r="B18255" s="30"/>
      <c r="C18255" s="30"/>
      <c r="D18255" s="31" t="s">
        <v>55852</v>
      </c>
      <c r="E18255" s="30"/>
      <c r="F18255" s="33">
        <f ca="1">ROUND(()*(1+G2/100),2)</f>
        <v>0</v>
      </c>
      <c r="G18255" s="30"/>
    </row>
    <row r="18256" spans="1:7" ht="25.08" thickBot="1" customHeight="1">
      <c r="A18256" s="34" t="s">
        <v>55853</v>
      </c>
      <c r="B18256" s="35" t="s">
        <v>55854</v>
      </c>
      <c r="C18256" s="35" t="s">
        <v>55855</v>
      </c>
      <c r="D18256" s="36" t="s">
        <v>55856</v>
      </c>
      <c r="E18256" s="37"/>
      <c r="F18256" s="38">
        <f ca="1">F18260</f>
        <v>0</v>
      </c>
      <c r="G18256" s="37"/>
    </row>
    <row r="18257" spans="1:7" ht="12.12" thickBot="1" customHeight="1">
      <c r="A18257" s="26"/>
      <c r="B18257" s="26"/>
      <c r="C18257" s="26"/>
      <c r="D18257" s="25" t="s">
        <v>55857</v>
      </c>
      <c r="E18257" s="25"/>
      <c r="F18257" s="25"/>
      <c r="G18257" s="25"/>
    </row>
    <row r="18258" spans="1:7" ht="24.36" thickBot="1" customHeight="1">
      <c r="A18258" s="24" t="s">
        <v>55858</v>
      </c>
      <c r="B18258" s="24" t="s">
        <v>55859</v>
      </c>
      <c r="C18258" s="24" t="s">
        <v>55860</v>
      </c>
      <c r="D18258" s="25" t="s">
        <v>55861</v>
      </c>
      <c r="E18258" s="28">
        <v>1.00000</v>
      </c>
      <c r="F18258" s="29">
        <f ca="1">ROUND(21.000,3)</f>
        <v>0</v>
      </c>
      <c r="G18258" s="27">
        <f ca="1">ROUND(E18258*F18258,2)</f>
        <v>0</v>
      </c>
    </row>
    <row r="18259" spans="1:7" ht="24.36" thickBot="1" customHeight="1">
      <c r="A18259" s="24" t="s">
        <v>55862</v>
      </c>
      <c r="B18259" s="24" t="s">
        <v>55863</v>
      </c>
      <c r="C18259" s="24" t="s">
        <v>55864</v>
      </c>
      <c r="D18259" s="25" t="s">
        <v>55865</v>
      </c>
      <c r="E18259" s="28">
        <v>1.00000</v>
      </c>
      <c r="F18259" s="29">
        <f ca="1">ROUND(19.000,3)</f>
        <v>0</v>
      </c>
      <c r="G18259" s="27">
        <f ca="1">ROUND(E18259*F18259,2)</f>
        <v>0</v>
      </c>
    </row>
    <row r="18260" spans="1:7" ht="15.48" thickBot="1" customHeight="1">
      <c r="A18260" s="30"/>
      <c r="B18260" s="30"/>
      <c r="C18260" s="30"/>
      <c r="D18260" s="31" t="s">
        <v>55866</v>
      </c>
      <c r="E18260" s="30"/>
      <c r="F18260" s="33">
        <f ca="1">ROUND((G18258+G18259)*(1+G2/100),2)</f>
        <v>0</v>
      </c>
      <c r="G18260" s="30"/>
    </row>
    <row r="18261" spans="1:7" ht="21.36" thickBot="1" customHeight="1">
      <c r="A18261" s="34" t="s">
        <v>55867</v>
      </c>
      <c r="B18261" s="35" t="s">
        <v>55868</v>
      </c>
      <c r="C18261" s="35" t="s">
        <v>55869</v>
      </c>
      <c r="D18261" s="36" t="s">
        <v>55870</v>
      </c>
      <c r="E18261" s="37"/>
      <c r="F18261" s="38">
        <f ca="1">F18265</f>
        <v>0</v>
      </c>
      <c r="G18261" s="37"/>
    </row>
    <row r="18262" spans="1:7" ht="12.12" thickBot="1" customHeight="1">
      <c r="A18262" s="26"/>
      <c r="B18262" s="26"/>
      <c r="C18262" s="26"/>
      <c r="D18262" s="25" t="s">
        <v>55871</v>
      </c>
      <c r="E18262" s="25"/>
      <c r="F18262" s="25"/>
      <c r="G18262" s="25"/>
    </row>
    <row r="18263" spans="1:7" ht="24.36" thickBot="1" customHeight="1">
      <c r="A18263" s="24" t="s">
        <v>55872</v>
      </c>
      <c r="B18263" s="24" t="s">
        <v>55873</v>
      </c>
      <c r="C18263" s="24" t="s">
        <v>55874</v>
      </c>
      <c r="D18263" s="25" t="s">
        <v>55875</v>
      </c>
      <c r="E18263" s="28">
        <v>1.00000</v>
      </c>
      <c r="F18263" s="29">
        <f ca="1">ROUND(21.000,3)</f>
        <v>0</v>
      </c>
      <c r="G18263" s="27">
        <f ca="1">ROUND(E18263*F18263,2)</f>
        <v>0</v>
      </c>
    </row>
    <row r="18264" spans="1:7" ht="24.36" thickBot="1" customHeight="1">
      <c r="A18264" s="24" t="s">
        <v>55876</v>
      </c>
      <c r="B18264" s="24" t="s">
        <v>55877</v>
      </c>
      <c r="C18264" s="24" t="s">
        <v>55878</v>
      </c>
      <c r="D18264" s="25" t="s">
        <v>55879</v>
      </c>
      <c r="E18264" s="28">
        <v>1.00000</v>
      </c>
      <c r="F18264" s="29">
        <f ca="1">ROUND(19.000,3)</f>
        <v>0</v>
      </c>
      <c r="G18264" s="27">
        <f ca="1">ROUND(E18264*F18264,2)</f>
        <v>0</v>
      </c>
    </row>
    <row r="18265" spans="1:7" ht="15.48" thickBot="1" customHeight="1">
      <c r="A18265" s="30"/>
      <c r="B18265" s="30"/>
      <c r="C18265" s="30"/>
      <c r="D18265" s="31" t="s">
        <v>55880</v>
      </c>
      <c r="E18265" s="30"/>
      <c r="F18265" s="33">
        <f ca="1">ROUND((G18263+G18264)*(1+G2/100),2)</f>
        <v>0</v>
      </c>
      <c r="G18265" s="30"/>
    </row>
    <row r="18266" spans="1:7" ht="25.08" thickBot="1" customHeight="1">
      <c r="A18266" s="34" t="s">
        <v>55881</v>
      </c>
      <c r="B18266" s="35" t="s">
        <v>55882</v>
      </c>
      <c r="C18266" s="35" t="s">
        <v>55883</v>
      </c>
      <c r="D18266" s="36" t="s">
        <v>55884</v>
      </c>
      <c r="E18266" s="37"/>
      <c r="F18266" s="38">
        <f ca="1">F18271</f>
        <v>0</v>
      </c>
      <c r="G18266" s="37"/>
    </row>
    <row r="18267" spans="1:7" ht="12.12" thickBot="1" customHeight="1">
      <c r="A18267" s="26"/>
      <c r="B18267" s="26"/>
      <c r="C18267" s="26"/>
      <c r="D18267" s="25" t="s">
        <v>55885</v>
      </c>
      <c r="E18267" s="25"/>
      <c r="F18267" s="25"/>
      <c r="G18267" s="25"/>
    </row>
    <row r="18268" spans="1:7" ht="24.36" thickBot="1" customHeight="1">
      <c r="A18268" s="24" t="s">
        <v>55886</v>
      </c>
      <c r="B18268" s="24" t="s">
        <v>55887</v>
      </c>
      <c r="C18268" s="24" t="s">
        <v>55888</v>
      </c>
      <c r="D18268" s="25" t="s">
        <v>55889</v>
      </c>
      <c r="E18268" s="28">
        <v>1.00000</v>
      </c>
      <c r="F18268" s="29">
        <f ca="1">ROUND(21.000,3)</f>
        <v>0</v>
      </c>
      <c r="G18268" s="27">
        <f ca="1">ROUND(E18268*F18268,2)</f>
        <v>0</v>
      </c>
    </row>
    <row r="18269" spans="1:7" ht="24.36" thickBot="1" customHeight="1">
      <c r="A18269" s="24" t="s">
        <v>55890</v>
      </c>
      <c r="B18269" s="24" t="s">
        <v>55891</v>
      </c>
      <c r="C18269" s="24" t="s">
        <v>55892</v>
      </c>
      <c r="D18269" s="25" t="s">
        <v>55893</v>
      </c>
      <c r="E18269" s="28">
        <v>1.00000</v>
      </c>
      <c r="F18269" s="29">
        <f ca="1">ROUND(19.000,3)</f>
        <v>0</v>
      </c>
      <c r="G18269" s="27">
        <f ca="1">ROUND(E18269*F18269,2)</f>
        <v>0</v>
      </c>
    </row>
    <row r="18270" spans="1:7" ht="24.36" thickBot="1" customHeight="1">
      <c r="A18270" s="24" t="s">
        <v>55894</v>
      </c>
      <c r="B18270" s="24" t="s">
        <v>55895</v>
      </c>
      <c r="C18270" s="24" t="s">
        <v>55896</v>
      </c>
      <c r="D18270" s="25" t="s">
        <v>55897</v>
      </c>
      <c r="E18270" s="28">
        <v>0.50000</v>
      </c>
      <c r="F18270" s="29">
        <f ca="1">ROUND(19.000,3)</f>
        <v>0</v>
      </c>
      <c r="G18270" s="27">
        <f ca="1">ROUND(E18270*F18270,2)</f>
        <v>0</v>
      </c>
    </row>
    <row r="18271" spans="1:7" ht="15.48" thickBot="1" customHeight="1">
      <c r="A18271" s="30"/>
      <c r="B18271" s="30"/>
      <c r="C18271" s="30"/>
      <c r="D18271" s="31" t="s">
        <v>55898</v>
      </c>
      <c r="E18271" s="30"/>
      <c r="F18271" s="33">
        <f ca="1">ROUND((G18268+G18269+G18270)*(1+G2/100),2)</f>
        <v>0</v>
      </c>
      <c r="G18271" s="30"/>
    </row>
    <row r="18272" spans="1:7" ht="15.48" thickBot="1" customHeight="1">
      <c r="A18272" s="39"/>
      <c r="B18272" s="39"/>
      <c r="C18272" s="39"/>
      <c r="D18272" s="50" t="s">
        <v>55899</v>
      </c>
      <c r="E18272" s="51"/>
      <c r="F18272" s="51"/>
      <c r="G18272" s="51"/>
    </row>
    <row r="18273" spans="1:7" ht="15.48" thickBot="1" customHeight="1">
      <c r="A18273" s="39"/>
      <c r="B18273" s="39"/>
      <c r="C18273" s="39"/>
      <c r="D18273" s="55" t="s">
        <v>55900</v>
      </c>
      <c r="E18273" s="56"/>
      <c r="F18273" s="56"/>
      <c r="G18273" s="56"/>
    </row>
    <row r="18274" spans="1:7" ht="15.48" thickBot="1" customHeight="1">
      <c r="A18274" s="57" t="s">
        <v>55901</v>
      </c>
      <c r="B18274" s="57" t="s">
        <v>55902</v>
      </c>
      <c r="C18274" s="58"/>
      <c r="D18274" s="59" t="s">
        <v>55903</v>
      </c>
      <c r="E18274" s="58"/>
      <c r="F18274" s="58"/>
      <c r="G18274" s="58"/>
    </row>
    <row r="18275" spans="1:7" ht="22.08" thickBot="1" customHeight="1">
      <c r="A18275" s="18" t="s">
        <v>55904</v>
      </c>
      <c r="B18275" s="18" t="s">
        <v>55905</v>
      </c>
      <c r="C18275" s="19"/>
      <c r="D18275" s="20" t="s">
        <v>55906</v>
      </c>
      <c r="E18275" s="19"/>
      <c r="F18275" s="19"/>
      <c r="G18275" s="19"/>
    </row>
    <row r="18276" spans="1:7" ht="76.80" thickBot="1" customHeight="1">
      <c r="A18276" s="10" t="s">
        <v>55907</v>
      </c>
      <c r="B18276" s="24" t="s">
        <v>55908</v>
      </c>
      <c r="C18276" s="24" t="s">
        <v>55909</v>
      </c>
      <c r="D18276" s="25" t="s">
        <v>55910</v>
      </c>
      <c r="E18276" s="26"/>
      <c r="F18276" s="27">
        <f ca="1">F18289</f>
        <v>0</v>
      </c>
      <c r="G18276" s="26"/>
    </row>
    <row r="18277" spans="1:7" ht="30.60" thickBot="1" customHeight="1">
      <c r="A18277" s="26"/>
      <c r="B18277" s="26"/>
      <c r="C18277" s="26"/>
      <c r="D18277" s="25" t="s">
        <v>55911</v>
      </c>
      <c r="E18277" s="25"/>
      <c r="F18277" s="25"/>
      <c r="G18277" s="25"/>
    </row>
    <row r="18278" spans="1:7" ht="30.60" thickBot="1" customHeight="1">
      <c r="A18278" s="24" t="s">
        <v>55912</v>
      </c>
      <c r="B18278" s="24" t="s">
        <v>55913</v>
      </c>
      <c r="C18278" s="24" t="s">
        <v>55914</v>
      </c>
      <c r="D18278" s="25" t="s">
        <v>55915</v>
      </c>
      <c r="E18278" s="28">
        <v>2.00000</v>
      </c>
      <c r="F18278" s="29">
        <f ca="1">ROUND(4.980,3)</f>
        <v>0</v>
      </c>
      <c r="G18278" s="27">
        <f ca="1">ROUND(E18278*F18278,2)</f>
        <v>0</v>
      </c>
    </row>
    <row r="18279" spans="1:7" ht="21.36" thickBot="1" customHeight="1">
      <c r="A18279" s="24" t="s">
        <v>55916</v>
      </c>
      <c r="B18279" s="24" t="s">
        <v>55917</v>
      </c>
      <c r="C18279" s="24" t="s">
        <v>55918</v>
      </c>
      <c r="D18279" s="25" t="s">
        <v>55919</v>
      </c>
      <c r="E18279" s="28">
        <v>0.16000</v>
      </c>
      <c r="F18279" s="29">
        <f ca="1">ROUND(6.490,3)</f>
        <v>0</v>
      </c>
      <c r="G18279" s="27">
        <f ca="1">ROUND(E18279*F18279,2)</f>
        <v>0</v>
      </c>
    </row>
    <row r="18280" spans="1:7" ht="30.60" thickBot="1" customHeight="1">
      <c r="A18280" s="24" t="s">
        <v>55920</v>
      </c>
      <c r="B18280" s="24" t="s">
        <v>55921</v>
      </c>
      <c r="C18280" s="24" t="s">
        <v>55922</v>
      </c>
      <c r="D18280" s="25" t="s">
        <v>55923</v>
      </c>
      <c r="E18280" s="28">
        <v>0.44000</v>
      </c>
      <c r="F18280" s="29">
        <f ca="1">ROUND(3.860,3)</f>
        <v>0</v>
      </c>
      <c r="G18280" s="27">
        <f ca="1">ROUND(E18280*F18280,2)</f>
        <v>0</v>
      </c>
    </row>
    <row r="18281" spans="1:7" ht="21.36" thickBot="1" customHeight="1">
      <c r="A18281" s="24" t="s">
        <v>55924</v>
      </c>
      <c r="B18281" s="24" t="s">
        <v>55925</v>
      </c>
      <c r="C18281" s="24" t="s">
        <v>55926</v>
      </c>
      <c r="D18281" s="25" t="s">
        <v>55927</v>
      </c>
      <c r="E18281" s="28">
        <v>0.50000</v>
      </c>
      <c r="F18281" s="29">
        <f ca="1">ROUND(2.000,3)</f>
        <v>0</v>
      </c>
      <c r="G18281" s="27">
        <f ca="1">ROUND(E18281*F18281,2)</f>
        <v>0</v>
      </c>
    </row>
    <row r="18282" spans="1:7" ht="30.60" thickBot="1" customHeight="1">
      <c r="A18282" s="24" t="s">
        <v>55928</v>
      </c>
      <c r="B18282" s="24" t="s">
        <v>55929</v>
      </c>
      <c r="C18282" s="24" t="s">
        <v>55930</v>
      </c>
      <c r="D18282" s="25" t="s">
        <v>55931</v>
      </c>
      <c r="E18282" s="28">
        <v>0.10000</v>
      </c>
      <c r="F18282" s="29">
        <f ca="1">ROUND(4.920,3)</f>
        <v>0</v>
      </c>
      <c r="G18282" s="27">
        <f ca="1">ROUND(E18282*F18282,2)</f>
        <v>0</v>
      </c>
    </row>
    <row r="18283" spans="1:7" ht="21.36" thickBot="1" customHeight="1">
      <c r="A18283" s="24" t="s">
        <v>55932</v>
      </c>
      <c r="B18283" s="24" t="s">
        <v>55933</v>
      </c>
      <c r="C18283" s="24" t="s">
        <v>55934</v>
      </c>
      <c r="D18283" s="25" t="s">
        <v>55935</v>
      </c>
      <c r="E18283" s="28">
        <v>2.00000</v>
      </c>
      <c r="F18283" s="29">
        <f ca="1">F18287</f>
        <v>0</v>
      </c>
      <c r="G18283" s="27">
        <f ca="1">ROUND(E18283*F18283,2)</f>
        <v>0</v>
      </c>
    </row>
    <row r="18284" spans="1:7" ht="24.36" thickBot="1" customHeight="1">
      <c r="A18284" s="24" t="s">
        <v>55936</v>
      </c>
      <c r="B18284" s="24" t="s">
        <v>55937</v>
      </c>
      <c r="C18284" s="24" t="s">
        <v>55938</v>
      </c>
      <c r="D18284" s="25" t="s">
        <v>55939</v>
      </c>
      <c r="E18284" s="28">
        <v>1.00000</v>
      </c>
      <c r="F18284" s="29">
        <f ca="1">ROUND(21.000,3)</f>
        <v>0</v>
      </c>
      <c r="G18284" s="27">
        <f ca="1">ROUND(E18284*F18284,2)</f>
        <v>0</v>
      </c>
    </row>
    <row r="18285" spans="1:7" ht="24.36" thickBot="1" customHeight="1">
      <c r="A18285" s="24" t="s">
        <v>55940</v>
      </c>
      <c r="B18285" s="24" t="s">
        <v>55941</v>
      </c>
      <c r="C18285" s="24" t="s">
        <v>55942</v>
      </c>
      <c r="D18285" s="25" t="s">
        <v>55943</v>
      </c>
      <c r="E18285" s="28">
        <v>1.00000</v>
      </c>
      <c r="F18285" s="29">
        <f ca="1">ROUND(19.000,3)</f>
        <v>0</v>
      </c>
      <c r="G18285" s="27">
        <f ca="1">ROUND(E18285*F18285,2)</f>
        <v>0</v>
      </c>
    </row>
    <row r="18286" spans="1:7" ht="24.36" thickBot="1" customHeight="1">
      <c r="A18286" s="24" t="s">
        <v>55944</v>
      </c>
      <c r="B18286" s="24" t="s">
        <v>55945</v>
      </c>
      <c r="C18286" s="24" t="s">
        <v>55946</v>
      </c>
      <c r="D18286" s="25" t="s">
        <v>55947</v>
      </c>
      <c r="E18286" s="28">
        <v>0.20000</v>
      </c>
      <c r="F18286" s="29">
        <f ca="1">ROUND(19.000,3)</f>
        <v>0</v>
      </c>
      <c r="G18286" s="27">
        <f ca="1">ROUND(E18286*F18286,2)</f>
        <v>0</v>
      </c>
    </row>
    <row r="18287" spans="1:7" ht="15.12" thickBot="1" customHeight="1">
      <c r="A18287" s="26"/>
      <c r="B18287" s="26"/>
      <c r="C18287" s="26"/>
      <c r="D18287" s="24" t="s">
        <v>55948</v>
      </c>
      <c r="E18287" s="28">
        <v>2.00000</v>
      </c>
      <c r="F18287" s="29">
        <f ca="1">ROUND((G18284+G18285+G18286),3)</f>
        <v>0</v>
      </c>
      <c r="G18287" s="27">
        <f ca="1">ROUND(E18287*F18287,2)</f>
        <v>0</v>
      </c>
    </row>
    <row r="18288" spans="1:7" ht="15.12" thickBot="1" customHeight="1">
      <c r="A18288" s="24" t="s">
        <v>55949</v>
      </c>
      <c r="B18288" s="24"/>
      <c r="C18288" s="24" t="s">
        <v>55950</v>
      </c>
      <c r="D18288" s="25" t="s">
        <v>55951</v>
      </c>
      <c r="E18288" s="28">
        <v>5.00000</v>
      </c>
      <c r="F18288" s="29">
        <f ca="1">ROUND(87.600,3)</f>
        <v>0</v>
      </c>
      <c r="G18288" s="27">
        <f ca="1">ROUND((E18288*F18288)/100,2)</f>
        <v>0</v>
      </c>
    </row>
    <row r="18289" spans="1:7" ht="25.08" thickBot="1" customHeight="1">
      <c r="A18289" s="30"/>
      <c r="B18289" s="30"/>
      <c r="C18289" s="30"/>
      <c r="D18289" s="31" t="s">
        <v>55952</v>
      </c>
      <c r="E18289" s="30"/>
      <c r="F18289" s="33">
        <f ca="1">ROUND((G18278+G18279+G18280+G18281+G18282+G18283+G18288)*(1+G2/100),2)</f>
        <v>0</v>
      </c>
      <c r="G18289" s="30"/>
    </row>
    <row r="18290" spans="1:7" ht="76.80" thickBot="1" customHeight="1">
      <c r="A18290" s="34" t="s">
        <v>55953</v>
      </c>
      <c r="B18290" s="35" t="s">
        <v>55954</v>
      </c>
      <c r="C18290" s="35" t="s">
        <v>55955</v>
      </c>
      <c r="D18290" s="36" t="s">
        <v>55956</v>
      </c>
      <c r="E18290" s="37"/>
      <c r="F18290" s="38">
        <f ca="1">F18303</f>
        <v>0</v>
      </c>
      <c r="G18290" s="37"/>
    </row>
    <row r="18291" spans="1:7" ht="39.84" thickBot="1" customHeight="1">
      <c r="A18291" s="26"/>
      <c r="B18291" s="26"/>
      <c r="C18291" s="26"/>
      <c r="D18291" s="25" t="s">
        <v>55957</v>
      </c>
      <c r="E18291" s="25"/>
      <c r="F18291" s="25"/>
      <c r="G18291" s="25"/>
    </row>
    <row r="18292" spans="1:7" ht="30.60" thickBot="1" customHeight="1">
      <c r="A18292" s="24" t="s">
        <v>55958</v>
      </c>
      <c r="B18292" s="24" t="s">
        <v>55959</v>
      </c>
      <c r="C18292" s="24" t="s">
        <v>55960</v>
      </c>
      <c r="D18292" s="25" t="s">
        <v>55961</v>
      </c>
      <c r="E18292" s="28">
        <v>2.00000</v>
      </c>
      <c r="F18292" s="29">
        <f ca="1">ROUND(4.980,3)</f>
        <v>0</v>
      </c>
      <c r="G18292" s="27">
        <f ca="1">ROUND(E18292*F18292,2)</f>
        <v>0</v>
      </c>
    </row>
    <row r="18293" spans="1:7" ht="21.36" thickBot="1" customHeight="1">
      <c r="A18293" s="24" t="s">
        <v>55962</v>
      </c>
      <c r="B18293" s="24" t="s">
        <v>55963</v>
      </c>
      <c r="C18293" s="24" t="s">
        <v>55964</v>
      </c>
      <c r="D18293" s="25" t="s">
        <v>55965</v>
      </c>
      <c r="E18293" s="28">
        <v>0.16000</v>
      </c>
      <c r="F18293" s="29">
        <f ca="1">ROUND(6.490,3)</f>
        <v>0</v>
      </c>
      <c r="G18293" s="27">
        <f ca="1">ROUND(E18293*F18293,2)</f>
        <v>0</v>
      </c>
    </row>
    <row r="18294" spans="1:7" ht="30.60" thickBot="1" customHeight="1">
      <c r="A18294" s="24" t="s">
        <v>55966</v>
      </c>
      <c r="B18294" s="24" t="s">
        <v>55967</v>
      </c>
      <c r="C18294" s="24" t="s">
        <v>55968</v>
      </c>
      <c r="D18294" s="25" t="s">
        <v>55969</v>
      </c>
      <c r="E18294" s="28">
        <v>0.44000</v>
      </c>
      <c r="F18294" s="29">
        <f ca="1">ROUND(3.860,3)</f>
        <v>0</v>
      </c>
      <c r="G18294" s="27">
        <f ca="1">ROUND(E18294*F18294,2)</f>
        <v>0</v>
      </c>
    </row>
    <row r="18295" spans="1:7" ht="21.36" thickBot="1" customHeight="1">
      <c r="A18295" s="24" t="s">
        <v>55970</v>
      </c>
      <c r="B18295" s="24" t="s">
        <v>55971</v>
      </c>
      <c r="C18295" s="24" t="s">
        <v>55972</v>
      </c>
      <c r="D18295" s="25" t="s">
        <v>55973</v>
      </c>
      <c r="E18295" s="28">
        <v>0.50000</v>
      </c>
      <c r="F18295" s="29">
        <f ca="1">ROUND(2.000,3)</f>
        <v>0</v>
      </c>
      <c r="G18295" s="27">
        <f ca="1">ROUND(E18295*F18295,2)</f>
        <v>0</v>
      </c>
    </row>
    <row r="18296" spans="1:7" ht="30.60" thickBot="1" customHeight="1">
      <c r="A18296" s="24" t="s">
        <v>55974</v>
      </c>
      <c r="B18296" s="24" t="s">
        <v>55975</v>
      </c>
      <c r="C18296" s="24" t="s">
        <v>55976</v>
      </c>
      <c r="D18296" s="25" t="s">
        <v>55977</v>
      </c>
      <c r="E18296" s="28">
        <v>0.10000</v>
      </c>
      <c r="F18296" s="29">
        <f ca="1">ROUND(4.920,3)</f>
        <v>0</v>
      </c>
      <c r="G18296" s="27">
        <f ca="1">ROUND(E18296*F18296,2)</f>
        <v>0</v>
      </c>
    </row>
    <row r="18297" spans="1:7" ht="21.36" thickBot="1" customHeight="1">
      <c r="A18297" s="24" t="s">
        <v>55978</v>
      </c>
      <c r="B18297" s="24" t="s">
        <v>55979</v>
      </c>
      <c r="C18297" s="24" t="s">
        <v>55980</v>
      </c>
      <c r="D18297" s="25" t="s">
        <v>55981</v>
      </c>
      <c r="E18297" s="28">
        <v>2.50000</v>
      </c>
      <c r="F18297" s="29">
        <f ca="1">F18301</f>
        <v>0</v>
      </c>
      <c r="G18297" s="27">
        <f ca="1">ROUND(E18297*F18297,2)</f>
        <v>0</v>
      </c>
    </row>
    <row r="18298" spans="1:7" ht="24.36" thickBot="1" customHeight="1">
      <c r="A18298" s="24" t="s">
        <v>55982</v>
      </c>
      <c r="B18298" s="24" t="s">
        <v>55983</v>
      </c>
      <c r="C18298" s="24" t="s">
        <v>55984</v>
      </c>
      <c r="D18298" s="25" t="s">
        <v>55985</v>
      </c>
      <c r="E18298" s="28">
        <v>1.00000</v>
      </c>
      <c r="F18298" s="29">
        <f ca="1">ROUND(21.000,3)</f>
        <v>0</v>
      </c>
      <c r="G18298" s="27">
        <f ca="1">ROUND(E18298*F18298,2)</f>
        <v>0</v>
      </c>
    </row>
    <row r="18299" spans="1:7" ht="24.36" thickBot="1" customHeight="1">
      <c r="A18299" s="24" t="s">
        <v>55986</v>
      </c>
      <c r="B18299" s="24" t="s">
        <v>55987</v>
      </c>
      <c r="C18299" s="24" t="s">
        <v>55988</v>
      </c>
      <c r="D18299" s="25" t="s">
        <v>55989</v>
      </c>
      <c r="E18299" s="28">
        <v>1.00000</v>
      </c>
      <c r="F18299" s="29">
        <f ca="1">ROUND(19.000,3)</f>
        <v>0</v>
      </c>
      <c r="G18299" s="27">
        <f ca="1">ROUND(E18299*F18299,2)</f>
        <v>0</v>
      </c>
    </row>
    <row r="18300" spans="1:7" ht="24.36" thickBot="1" customHeight="1">
      <c r="A18300" s="24" t="s">
        <v>55990</v>
      </c>
      <c r="B18300" s="24" t="s">
        <v>55991</v>
      </c>
      <c r="C18300" s="24" t="s">
        <v>55992</v>
      </c>
      <c r="D18300" s="25" t="s">
        <v>55993</v>
      </c>
      <c r="E18300" s="28">
        <v>0.20000</v>
      </c>
      <c r="F18300" s="29">
        <f ca="1">ROUND(19.000,3)</f>
        <v>0</v>
      </c>
      <c r="G18300" s="27">
        <f ca="1">ROUND(E18300*F18300,2)</f>
        <v>0</v>
      </c>
    </row>
    <row r="18301" spans="1:7" ht="15.12" thickBot="1" customHeight="1">
      <c r="A18301" s="26"/>
      <c r="B18301" s="26"/>
      <c r="C18301" s="26"/>
      <c r="D18301" s="24" t="s">
        <v>55994</v>
      </c>
      <c r="E18301" s="28">
        <v>2.50000</v>
      </c>
      <c r="F18301" s="29">
        <f ca="1">ROUND((G18298+G18299+G18300),3)</f>
        <v>0</v>
      </c>
      <c r="G18301" s="27">
        <f ca="1">ROUND(E18301*F18301,2)</f>
        <v>0</v>
      </c>
    </row>
    <row r="18302" spans="1:7" ht="15.12" thickBot="1" customHeight="1">
      <c r="A18302" s="24" t="s">
        <v>55995</v>
      </c>
      <c r="B18302" s="24"/>
      <c r="C18302" s="24" t="s">
        <v>55996</v>
      </c>
      <c r="D18302" s="25" t="s">
        <v>55997</v>
      </c>
      <c r="E18302" s="28">
        <v>5.00000</v>
      </c>
      <c r="F18302" s="29">
        <f ca="1">ROUND(109.500,3)</f>
        <v>0</v>
      </c>
      <c r="G18302" s="27">
        <f ca="1">ROUND((E18302*F18302)/100,2)</f>
        <v>0</v>
      </c>
    </row>
    <row r="18303" spans="1:7" ht="25.08" thickBot="1" customHeight="1">
      <c r="A18303" s="30"/>
      <c r="B18303" s="30"/>
      <c r="C18303" s="30"/>
      <c r="D18303" s="31" t="s">
        <v>55998</v>
      </c>
      <c r="E18303" s="30"/>
      <c r="F18303" s="33">
        <f ca="1">ROUND((G18292+G18293+G18294+G18295+G18296+G18297+G18302)*(1+G2/100),2)</f>
        <v>0</v>
      </c>
      <c r="G18303" s="30"/>
    </row>
    <row r="18304" spans="1:7" ht="76.80" thickBot="1" customHeight="1">
      <c r="A18304" s="34" t="s">
        <v>55999</v>
      </c>
      <c r="B18304" s="35" t="s">
        <v>56000</v>
      </c>
      <c r="C18304" s="35" t="s">
        <v>56001</v>
      </c>
      <c r="D18304" s="36" t="s">
        <v>56002</v>
      </c>
      <c r="E18304" s="37"/>
      <c r="F18304" s="38">
        <f ca="1">F18318</f>
        <v>0</v>
      </c>
      <c r="G18304" s="37"/>
    </row>
    <row r="18305" spans="1:7" ht="30.60" thickBot="1" customHeight="1">
      <c r="A18305" s="26"/>
      <c r="B18305" s="26"/>
      <c r="C18305" s="26"/>
      <c r="D18305" s="25" t="s">
        <v>56003</v>
      </c>
      <c r="E18305" s="25"/>
      <c r="F18305" s="25"/>
      <c r="G18305" s="25"/>
    </row>
    <row r="18306" spans="1:7" ht="30.60" thickBot="1" customHeight="1">
      <c r="A18306" s="24" t="s">
        <v>56004</v>
      </c>
      <c r="B18306" s="24" t="s">
        <v>56005</v>
      </c>
      <c r="C18306" s="24" t="s">
        <v>56006</v>
      </c>
      <c r="D18306" s="25" t="s">
        <v>56007</v>
      </c>
      <c r="E18306" s="28">
        <v>2.00000</v>
      </c>
      <c r="F18306" s="29">
        <f ca="1">ROUND(4.980,3)</f>
        <v>0</v>
      </c>
      <c r="G18306" s="27">
        <f ca="1">ROUND(E18306*F18306,2)</f>
        <v>0</v>
      </c>
    </row>
    <row r="18307" spans="1:7" ht="30.60" thickBot="1" customHeight="1">
      <c r="A18307" s="24" t="s">
        <v>56008</v>
      </c>
      <c r="B18307" s="24" t="s">
        <v>56009</v>
      </c>
      <c r="C18307" s="24" t="s">
        <v>56010</v>
      </c>
      <c r="D18307" s="25" t="s">
        <v>56011</v>
      </c>
      <c r="E18307" s="28">
        <v>8.00000</v>
      </c>
      <c r="F18307" s="29">
        <f ca="1">ROUND(4.160,3)</f>
        <v>0</v>
      </c>
      <c r="G18307" s="27">
        <f ca="1">ROUND(E18307*F18307,2)</f>
        <v>0</v>
      </c>
    </row>
    <row r="18308" spans="1:7" ht="21.36" thickBot="1" customHeight="1">
      <c r="A18308" s="24" t="s">
        <v>56012</v>
      </c>
      <c r="B18308" s="24" t="s">
        <v>56013</v>
      </c>
      <c r="C18308" s="24" t="s">
        <v>56014</v>
      </c>
      <c r="D18308" s="25" t="s">
        <v>56015</v>
      </c>
      <c r="E18308" s="28">
        <v>0.16000</v>
      </c>
      <c r="F18308" s="29">
        <f ca="1">ROUND(6.490,3)</f>
        <v>0</v>
      </c>
      <c r="G18308" s="27">
        <f ca="1">ROUND(E18308*F18308,2)</f>
        <v>0</v>
      </c>
    </row>
    <row r="18309" spans="1:7" ht="30.60" thickBot="1" customHeight="1">
      <c r="A18309" s="24" t="s">
        <v>56016</v>
      </c>
      <c r="B18309" s="24" t="s">
        <v>56017</v>
      </c>
      <c r="C18309" s="24" t="s">
        <v>56018</v>
      </c>
      <c r="D18309" s="25" t="s">
        <v>56019</v>
      </c>
      <c r="E18309" s="28">
        <v>0.88000</v>
      </c>
      <c r="F18309" s="29">
        <f ca="1">ROUND(3.860,3)</f>
        <v>0</v>
      </c>
      <c r="G18309" s="27">
        <f ca="1">ROUND(E18309*F18309,2)</f>
        <v>0</v>
      </c>
    </row>
    <row r="18310" spans="1:7" ht="21.36" thickBot="1" customHeight="1">
      <c r="A18310" s="24" t="s">
        <v>56020</v>
      </c>
      <c r="B18310" s="24" t="s">
        <v>56021</v>
      </c>
      <c r="C18310" s="24" t="s">
        <v>56022</v>
      </c>
      <c r="D18310" s="25" t="s">
        <v>56023</v>
      </c>
      <c r="E18310" s="28">
        <v>0.50000</v>
      </c>
      <c r="F18310" s="29">
        <f ca="1">ROUND(2.000,3)</f>
        <v>0</v>
      </c>
      <c r="G18310" s="27">
        <f ca="1">ROUND(E18310*F18310,2)</f>
        <v>0</v>
      </c>
    </row>
    <row r="18311" spans="1:7" ht="30.60" thickBot="1" customHeight="1">
      <c r="A18311" s="24" t="s">
        <v>56024</v>
      </c>
      <c r="B18311" s="24" t="s">
        <v>56025</v>
      </c>
      <c r="C18311" s="24" t="s">
        <v>56026</v>
      </c>
      <c r="D18311" s="25" t="s">
        <v>56027</v>
      </c>
      <c r="E18311" s="28">
        <v>0.10000</v>
      </c>
      <c r="F18311" s="29">
        <f ca="1">ROUND(4.920,3)</f>
        <v>0</v>
      </c>
      <c r="G18311" s="27">
        <f ca="1">ROUND(E18311*F18311,2)</f>
        <v>0</v>
      </c>
    </row>
    <row r="18312" spans="1:7" ht="21.36" thickBot="1" customHeight="1">
      <c r="A18312" s="24" t="s">
        <v>56028</v>
      </c>
      <c r="B18312" s="24" t="s">
        <v>56029</v>
      </c>
      <c r="C18312" s="24" t="s">
        <v>56030</v>
      </c>
      <c r="D18312" s="25" t="s">
        <v>56031</v>
      </c>
      <c r="E18312" s="28">
        <v>2.00000</v>
      </c>
      <c r="F18312" s="29">
        <f ca="1">F18316</f>
        <v>0</v>
      </c>
      <c r="G18312" s="27">
        <f ca="1">ROUND(E18312*F18312,2)</f>
        <v>0</v>
      </c>
    </row>
    <row r="18313" spans="1:7" ht="24.36" thickBot="1" customHeight="1">
      <c r="A18313" s="24" t="s">
        <v>56032</v>
      </c>
      <c r="B18313" s="24" t="s">
        <v>56033</v>
      </c>
      <c r="C18313" s="24" t="s">
        <v>56034</v>
      </c>
      <c r="D18313" s="25" t="s">
        <v>56035</v>
      </c>
      <c r="E18313" s="28">
        <v>1.00000</v>
      </c>
      <c r="F18313" s="29">
        <f ca="1">ROUND(21.000,3)</f>
        <v>0</v>
      </c>
      <c r="G18313" s="27">
        <f ca="1">ROUND(E18313*F18313,2)</f>
        <v>0</v>
      </c>
    </row>
    <row r="18314" spans="1:7" ht="24.36" thickBot="1" customHeight="1">
      <c r="A18314" s="24" t="s">
        <v>56036</v>
      </c>
      <c r="B18314" s="24" t="s">
        <v>56037</v>
      </c>
      <c r="C18314" s="24" t="s">
        <v>56038</v>
      </c>
      <c r="D18314" s="25" t="s">
        <v>56039</v>
      </c>
      <c r="E18314" s="28">
        <v>1.00000</v>
      </c>
      <c r="F18314" s="29">
        <f ca="1">ROUND(19.000,3)</f>
        <v>0</v>
      </c>
      <c r="G18314" s="27">
        <f ca="1">ROUND(E18314*F18314,2)</f>
        <v>0</v>
      </c>
    </row>
    <row r="18315" spans="1:7" ht="24.36" thickBot="1" customHeight="1">
      <c r="A18315" s="24" t="s">
        <v>56040</v>
      </c>
      <c r="B18315" s="24" t="s">
        <v>56041</v>
      </c>
      <c r="C18315" s="24" t="s">
        <v>56042</v>
      </c>
      <c r="D18315" s="25" t="s">
        <v>56043</v>
      </c>
      <c r="E18315" s="28">
        <v>0.20000</v>
      </c>
      <c r="F18315" s="29">
        <f ca="1">ROUND(19.000,3)</f>
        <v>0</v>
      </c>
      <c r="G18315" s="27">
        <f ca="1">ROUND(E18315*F18315,2)</f>
        <v>0</v>
      </c>
    </row>
    <row r="18316" spans="1:7" ht="15.12" thickBot="1" customHeight="1">
      <c r="A18316" s="26"/>
      <c r="B18316" s="26"/>
      <c r="C18316" s="26"/>
      <c r="D18316" s="24" t="s">
        <v>56044</v>
      </c>
      <c r="E18316" s="28">
        <v>2.00000</v>
      </c>
      <c r="F18316" s="29">
        <f ca="1">ROUND((G18313+G18314+G18315),3)</f>
        <v>0</v>
      </c>
      <c r="G18316" s="27">
        <f ca="1">ROUND(E18316*F18316,2)</f>
        <v>0</v>
      </c>
    </row>
    <row r="18317" spans="1:7" ht="15.12" thickBot="1" customHeight="1">
      <c r="A18317" s="24" t="s">
        <v>56045</v>
      </c>
      <c r="B18317" s="24"/>
      <c r="C18317" s="24" t="s">
        <v>56046</v>
      </c>
      <c r="D18317" s="25" t="s">
        <v>56047</v>
      </c>
      <c r="E18317" s="28">
        <v>5.00000</v>
      </c>
      <c r="F18317" s="29">
        <f ca="1">ROUND(87.600,3)</f>
        <v>0</v>
      </c>
      <c r="G18317" s="27">
        <f ca="1">ROUND((E18317*F18317)/100,2)</f>
        <v>0</v>
      </c>
    </row>
    <row r="18318" spans="1:7" ht="25.08" thickBot="1" customHeight="1">
      <c r="A18318" s="30"/>
      <c r="B18318" s="30"/>
      <c r="C18318" s="30"/>
      <c r="D18318" s="31" t="s">
        <v>56048</v>
      </c>
      <c r="E18318" s="30"/>
      <c r="F18318" s="33">
        <f ca="1">ROUND((G18306+G18307+G18308+G18309+G18310+G18311+G18312+G18317)*(1+G2/100),2)</f>
        <v>0</v>
      </c>
      <c r="G18318" s="30"/>
    </row>
    <row r="18319" spans="1:7" ht="76.80" thickBot="1" customHeight="1">
      <c r="A18319" s="34" t="s">
        <v>56049</v>
      </c>
      <c r="B18319" s="35" t="s">
        <v>56050</v>
      </c>
      <c r="C18319" s="35" t="s">
        <v>56051</v>
      </c>
      <c r="D18319" s="36" t="s">
        <v>56052</v>
      </c>
      <c r="E18319" s="37"/>
      <c r="F18319" s="38">
        <f ca="1">F18333</f>
        <v>0</v>
      </c>
      <c r="G18319" s="37"/>
    </row>
    <row r="18320" spans="1:7" ht="12.12" thickBot="1" customHeight="1">
      <c r="A18320" s="26"/>
      <c r="B18320" s="26"/>
      <c r="C18320" s="26"/>
      <c r="D18320" s="25" t="s">
        <v>56053</v>
      </c>
      <c r="E18320" s="25"/>
      <c r="F18320" s="25"/>
      <c r="G18320" s="25"/>
    </row>
    <row r="18321" spans="1:7" ht="30.60" thickBot="1" customHeight="1">
      <c r="A18321" s="24" t="s">
        <v>56054</v>
      </c>
      <c r="B18321" s="24" t="s">
        <v>56055</v>
      </c>
      <c r="C18321" s="24" t="s">
        <v>56056</v>
      </c>
      <c r="D18321" s="25" t="s">
        <v>56057</v>
      </c>
      <c r="E18321" s="28">
        <v>2.00000</v>
      </c>
      <c r="F18321" s="29">
        <f ca="1">ROUND(4.980,3)</f>
        <v>0</v>
      </c>
      <c r="G18321" s="27">
        <f ca="1">ROUND(E18321*F18321,2)</f>
        <v>0</v>
      </c>
    </row>
    <row r="18322" spans="1:7" ht="30.60" thickBot="1" customHeight="1">
      <c r="A18322" s="24" t="s">
        <v>56058</v>
      </c>
      <c r="B18322" s="24" t="s">
        <v>56059</v>
      </c>
      <c r="C18322" s="24" t="s">
        <v>56060</v>
      </c>
      <c r="D18322" s="25" t="s">
        <v>56061</v>
      </c>
      <c r="E18322" s="28">
        <v>8.00000</v>
      </c>
      <c r="F18322" s="29">
        <f ca="1">ROUND(4.160,3)</f>
        <v>0</v>
      </c>
      <c r="G18322" s="27">
        <f ca="1">ROUND(E18322*F18322,2)</f>
        <v>0</v>
      </c>
    </row>
    <row r="18323" spans="1:7" ht="21.36" thickBot="1" customHeight="1">
      <c r="A18323" s="24" t="s">
        <v>56062</v>
      </c>
      <c r="B18323" s="24" t="s">
        <v>56063</v>
      </c>
      <c r="C18323" s="24" t="s">
        <v>56064</v>
      </c>
      <c r="D18323" s="25" t="s">
        <v>56065</v>
      </c>
      <c r="E18323" s="28">
        <v>0.16000</v>
      </c>
      <c r="F18323" s="29">
        <f ca="1">ROUND(6.490,3)</f>
        <v>0</v>
      </c>
      <c r="G18323" s="27">
        <f ca="1">ROUND(E18323*F18323,2)</f>
        <v>0</v>
      </c>
    </row>
    <row r="18324" spans="1:7" ht="30.60" thickBot="1" customHeight="1">
      <c r="A18324" s="24" t="s">
        <v>56066</v>
      </c>
      <c r="B18324" s="24" t="s">
        <v>56067</v>
      </c>
      <c r="C18324" s="24" t="s">
        <v>56068</v>
      </c>
      <c r="D18324" s="25" t="s">
        <v>56069</v>
      </c>
      <c r="E18324" s="28">
        <v>0.88000</v>
      </c>
      <c r="F18324" s="29">
        <f ca="1">ROUND(3.860,3)</f>
        <v>0</v>
      </c>
      <c r="G18324" s="27">
        <f ca="1">ROUND(E18324*F18324,2)</f>
        <v>0</v>
      </c>
    </row>
    <row r="18325" spans="1:7" ht="21.36" thickBot="1" customHeight="1">
      <c r="A18325" s="24" t="s">
        <v>56070</v>
      </c>
      <c r="B18325" s="24" t="s">
        <v>56071</v>
      </c>
      <c r="C18325" s="24" t="s">
        <v>56072</v>
      </c>
      <c r="D18325" s="25" t="s">
        <v>56073</v>
      </c>
      <c r="E18325" s="28">
        <v>0.50000</v>
      </c>
      <c r="F18325" s="29">
        <f ca="1">ROUND(2.000,3)</f>
        <v>0</v>
      </c>
      <c r="G18325" s="27">
        <f ca="1">ROUND(E18325*F18325,2)</f>
        <v>0</v>
      </c>
    </row>
    <row r="18326" spans="1:7" ht="30.60" thickBot="1" customHeight="1">
      <c r="A18326" s="24" t="s">
        <v>56074</v>
      </c>
      <c r="B18326" s="24" t="s">
        <v>56075</v>
      </c>
      <c r="C18326" s="24" t="s">
        <v>56076</v>
      </c>
      <c r="D18326" s="25" t="s">
        <v>56077</v>
      </c>
      <c r="E18326" s="28">
        <v>0.10000</v>
      </c>
      <c r="F18326" s="29">
        <f ca="1">ROUND(4.920,3)</f>
        <v>0</v>
      </c>
      <c r="G18326" s="27">
        <f ca="1">ROUND(E18326*F18326,2)</f>
        <v>0</v>
      </c>
    </row>
    <row r="18327" spans="1:7" ht="21.36" thickBot="1" customHeight="1">
      <c r="A18327" s="24" t="s">
        <v>56078</v>
      </c>
      <c r="B18327" s="24" t="s">
        <v>56079</v>
      </c>
      <c r="C18327" s="24" t="s">
        <v>56080</v>
      </c>
      <c r="D18327" s="25" t="s">
        <v>56081</v>
      </c>
      <c r="E18327" s="28">
        <v>3.00000</v>
      </c>
      <c r="F18327" s="29">
        <f ca="1">F18331</f>
        <v>0</v>
      </c>
      <c r="G18327" s="27">
        <f ca="1">ROUND(E18327*F18327,2)</f>
        <v>0</v>
      </c>
    </row>
    <row r="18328" spans="1:7" ht="24.36" thickBot="1" customHeight="1">
      <c r="A18328" s="24" t="s">
        <v>56082</v>
      </c>
      <c r="B18328" s="24" t="s">
        <v>56083</v>
      </c>
      <c r="C18328" s="24" t="s">
        <v>56084</v>
      </c>
      <c r="D18328" s="25" t="s">
        <v>56085</v>
      </c>
      <c r="E18328" s="28">
        <v>1.00000</v>
      </c>
      <c r="F18328" s="29">
        <f ca="1">ROUND(21.000,3)</f>
        <v>0</v>
      </c>
      <c r="G18328" s="27">
        <f ca="1">ROUND(E18328*F18328,2)</f>
        <v>0</v>
      </c>
    </row>
    <row r="18329" spans="1:7" ht="24.36" thickBot="1" customHeight="1">
      <c r="A18329" s="24" t="s">
        <v>56086</v>
      </c>
      <c r="B18329" s="24" t="s">
        <v>56087</v>
      </c>
      <c r="C18329" s="24" t="s">
        <v>56088</v>
      </c>
      <c r="D18329" s="25" t="s">
        <v>56089</v>
      </c>
      <c r="E18329" s="28">
        <v>1.00000</v>
      </c>
      <c r="F18329" s="29">
        <f ca="1">ROUND(19.000,3)</f>
        <v>0</v>
      </c>
      <c r="G18329" s="27">
        <f ca="1">ROUND(E18329*F18329,2)</f>
        <v>0</v>
      </c>
    </row>
    <row r="18330" spans="1:7" ht="24.36" thickBot="1" customHeight="1">
      <c r="A18330" s="24" t="s">
        <v>56090</v>
      </c>
      <c r="B18330" s="24" t="s">
        <v>56091</v>
      </c>
      <c r="C18330" s="24" t="s">
        <v>56092</v>
      </c>
      <c r="D18330" s="25" t="s">
        <v>56093</v>
      </c>
      <c r="E18330" s="28">
        <v>0.20000</v>
      </c>
      <c r="F18330" s="29">
        <f ca="1">ROUND(19.000,3)</f>
        <v>0</v>
      </c>
      <c r="G18330" s="27">
        <f ca="1">ROUND(E18330*F18330,2)</f>
        <v>0</v>
      </c>
    </row>
    <row r="18331" spans="1:7" ht="15.12" thickBot="1" customHeight="1">
      <c r="A18331" s="26"/>
      <c r="B18331" s="26"/>
      <c r="C18331" s="26"/>
      <c r="D18331" s="24" t="s">
        <v>56094</v>
      </c>
      <c r="E18331" s="28">
        <v>3.00000</v>
      </c>
      <c r="F18331" s="29">
        <f ca="1">ROUND((G18328+G18329+G18330),3)</f>
        <v>0</v>
      </c>
      <c r="G18331" s="27">
        <f ca="1">ROUND(E18331*F18331,2)</f>
        <v>0</v>
      </c>
    </row>
    <row r="18332" spans="1:7" ht="15.12" thickBot="1" customHeight="1">
      <c r="A18332" s="24" t="s">
        <v>56095</v>
      </c>
      <c r="B18332" s="24"/>
      <c r="C18332" s="24" t="s">
        <v>56096</v>
      </c>
      <c r="D18332" s="25" t="s">
        <v>56097</v>
      </c>
      <c r="E18332" s="28">
        <v>5.00000</v>
      </c>
      <c r="F18332" s="29">
        <f ca="1">ROUND(131.400,3)</f>
        <v>0</v>
      </c>
      <c r="G18332" s="27">
        <f ca="1">ROUND((E18332*F18332)/100,2)</f>
        <v>0</v>
      </c>
    </row>
    <row r="18333" spans="1:7" ht="25.08" thickBot="1" customHeight="1">
      <c r="A18333" s="30"/>
      <c r="B18333" s="30"/>
      <c r="C18333" s="30"/>
      <c r="D18333" s="31" t="s">
        <v>56098</v>
      </c>
      <c r="E18333" s="30"/>
      <c r="F18333" s="33">
        <f ca="1">ROUND((G18321+G18322+G18323+G18324+G18325+G18326+G18327+G18332)*(1+G2/100),2)</f>
        <v>0</v>
      </c>
      <c r="G18333" s="30"/>
    </row>
    <row r="18334" spans="1:7" ht="95.28" thickBot="1" customHeight="1">
      <c r="A18334" s="34" t="s">
        <v>56099</v>
      </c>
      <c r="B18334" s="35" t="s">
        <v>56100</v>
      </c>
      <c r="C18334" s="35" t="s">
        <v>56101</v>
      </c>
      <c r="D18334" s="36" t="s">
        <v>56102</v>
      </c>
      <c r="E18334" s="37"/>
      <c r="F18334" s="38">
        <f ca="1">F18345</f>
        <v>0</v>
      </c>
      <c r="G18334" s="37"/>
    </row>
    <row r="18335" spans="1:7" ht="30.60" thickBot="1" customHeight="1">
      <c r="A18335" s="26"/>
      <c r="B18335" s="26"/>
      <c r="C18335" s="26"/>
      <c r="D18335" s="25" t="s">
        <v>56103</v>
      </c>
      <c r="E18335" s="25"/>
      <c r="F18335" s="25"/>
      <c r="G18335" s="25"/>
    </row>
    <row r="18336" spans="1:7" ht="21.36" thickBot="1" customHeight="1">
      <c r="A18336" s="24" t="s">
        <v>56104</v>
      </c>
      <c r="B18336" s="24" t="s">
        <v>56105</v>
      </c>
      <c r="C18336" s="24" t="s">
        <v>56106</v>
      </c>
      <c r="D18336" s="25" t="s">
        <v>56107</v>
      </c>
      <c r="E18336" s="28">
        <v>0.10000</v>
      </c>
      <c r="F18336" s="29">
        <f ca="1">ROUND(6.490,3)</f>
        <v>0</v>
      </c>
      <c r="G18336" s="27">
        <f ca="1">ROUND(E18336*F18336,2)</f>
        <v>0</v>
      </c>
    </row>
    <row r="18337" spans="1:7" ht="21.36" thickBot="1" customHeight="1">
      <c r="A18337" s="24" t="s">
        <v>56108</v>
      </c>
      <c r="B18337" s="24" t="s">
        <v>56109</v>
      </c>
      <c r="C18337" s="24" t="s">
        <v>56110</v>
      </c>
      <c r="D18337" s="25" t="s">
        <v>56111</v>
      </c>
      <c r="E18337" s="28">
        <v>0.30000</v>
      </c>
      <c r="F18337" s="29">
        <f ca="1">ROUND(2.000,3)</f>
        <v>0</v>
      </c>
      <c r="G18337" s="27">
        <f ca="1">ROUND(E18337*F18337,2)</f>
        <v>0</v>
      </c>
    </row>
    <row r="18338" spans="1:7" ht="30.60" thickBot="1" customHeight="1">
      <c r="A18338" s="24" t="s">
        <v>56112</v>
      </c>
      <c r="B18338" s="24" t="s">
        <v>56113</v>
      </c>
      <c r="C18338" s="24" t="s">
        <v>56114</v>
      </c>
      <c r="D18338" s="25" t="s">
        <v>56115</v>
      </c>
      <c r="E18338" s="28">
        <v>0.25000</v>
      </c>
      <c r="F18338" s="29">
        <f ca="1">ROUND(4.920,3)</f>
        <v>0</v>
      </c>
      <c r="G18338" s="27">
        <f ca="1">ROUND(E18338*F18338,2)</f>
        <v>0</v>
      </c>
    </row>
    <row r="18339" spans="1:7" ht="21.36" thickBot="1" customHeight="1">
      <c r="A18339" s="24" t="s">
        <v>56116</v>
      </c>
      <c r="B18339" s="24" t="s">
        <v>56117</v>
      </c>
      <c r="C18339" s="24" t="s">
        <v>56118</v>
      </c>
      <c r="D18339" s="25" t="s">
        <v>56119</v>
      </c>
      <c r="E18339" s="28">
        <v>3.00000</v>
      </c>
      <c r="F18339" s="29">
        <f ca="1">F18343</f>
        <v>0</v>
      </c>
      <c r="G18339" s="27">
        <f ca="1">ROUND(E18339*F18339,2)</f>
        <v>0</v>
      </c>
    </row>
    <row r="18340" spans="1:7" ht="24.36" thickBot="1" customHeight="1">
      <c r="A18340" s="24" t="s">
        <v>56120</v>
      </c>
      <c r="B18340" s="24" t="s">
        <v>56121</v>
      </c>
      <c r="C18340" s="24" t="s">
        <v>56122</v>
      </c>
      <c r="D18340" s="25" t="s">
        <v>56123</v>
      </c>
      <c r="E18340" s="28">
        <v>1.00000</v>
      </c>
      <c r="F18340" s="29">
        <f ca="1">ROUND(21.000,3)</f>
        <v>0</v>
      </c>
      <c r="G18340" s="27">
        <f ca="1">ROUND(E18340*F18340,2)</f>
        <v>0</v>
      </c>
    </row>
    <row r="18341" spans="1:7" ht="24.36" thickBot="1" customHeight="1">
      <c r="A18341" s="24" t="s">
        <v>56124</v>
      </c>
      <c r="B18341" s="24" t="s">
        <v>56125</v>
      </c>
      <c r="C18341" s="24" t="s">
        <v>56126</v>
      </c>
      <c r="D18341" s="25" t="s">
        <v>56127</v>
      </c>
      <c r="E18341" s="28">
        <v>1.00000</v>
      </c>
      <c r="F18341" s="29">
        <f ca="1">ROUND(19.000,3)</f>
        <v>0</v>
      </c>
      <c r="G18341" s="27">
        <f ca="1">ROUND(E18341*F18341,2)</f>
        <v>0</v>
      </c>
    </row>
    <row r="18342" spans="1:7" ht="24.36" thickBot="1" customHeight="1">
      <c r="A18342" s="24" t="s">
        <v>56128</v>
      </c>
      <c r="B18342" s="24" t="s">
        <v>56129</v>
      </c>
      <c r="C18342" s="24" t="s">
        <v>56130</v>
      </c>
      <c r="D18342" s="25" t="s">
        <v>56131</v>
      </c>
      <c r="E18342" s="28">
        <v>0.20000</v>
      </c>
      <c r="F18342" s="29">
        <f ca="1">ROUND(19.000,3)</f>
        <v>0</v>
      </c>
      <c r="G18342" s="27">
        <f ca="1">ROUND(E18342*F18342,2)</f>
        <v>0</v>
      </c>
    </row>
    <row r="18343" spans="1:7" ht="15.12" thickBot="1" customHeight="1">
      <c r="A18343" s="26"/>
      <c r="B18343" s="26"/>
      <c r="C18343" s="26"/>
      <c r="D18343" s="24" t="s">
        <v>56132</v>
      </c>
      <c r="E18343" s="28">
        <v>3.00000</v>
      </c>
      <c r="F18343" s="29">
        <f ca="1">ROUND((G18340+G18341+G18342),3)</f>
        <v>0</v>
      </c>
      <c r="G18343" s="27">
        <f ca="1">ROUND(E18343*F18343,2)</f>
        <v>0</v>
      </c>
    </row>
    <row r="18344" spans="1:7" ht="15.12" thickBot="1" customHeight="1">
      <c r="A18344" s="24" t="s">
        <v>56133</v>
      </c>
      <c r="B18344" s="24"/>
      <c r="C18344" s="24" t="s">
        <v>56134</v>
      </c>
      <c r="D18344" s="25" t="s">
        <v>56135</v>
      </c>
      <c r="E18344" s="28">
        <v>3.00000</v>
      </c>
      <c r="F18344" s="29">
        <f ca="1">ROUND(131.400,3)</f>
        <v>0</v>
      </c>
      <c r="G18344" s="27">
        <f ca="1">ROUND((E18344*F18344)/100,2)</f>
        <v>0</v>
      </c>
    </row>
    <row r="18345" spans="1:7" ht="15.48" thickBot="1" customHeight="1">
      <c r="A18345" s="30"/>
      <c r="B18345" s="30"/>
      <c r="C18345" s="30"/>
      <c r="D18345" s="31" t="s">
        <v>56136</v>
      </c>
      <c r="E18345" s="30"/>
      <c r="F18345" s="33">
        <f ca="1">ROUND((G18336+G18337+G18338+G18339+G18344)*(1+G2/100),2)</f>
        <v>0</v>
      </c>
      <c r="G18345" s="30"/>
    </row>
    <row r="18346" spans="1:7" ht="95.28" thickBot="1" customHeight="1">
      <c r="A18346" s="34" t="s">
        <v>56137</v>
      </c>
      <c r="B18346" s="35" t="s">
        <v>56138</v>
      </c>
      <c r="C18346" s="35" t="s">
        <v>56139</v>
      </c>
      <c r="D18346" s="36" t="s">
        <v>56140</v>
      </c>
      <c r="E18346" s="37"/>
      <c r="F18346" s="38">
        <f ca="1">F18357</f>
        <v>0</v>
      </c>
      <c r="G18346" s="37"/>
    </row>
    <row r="18347" spans="1:7" ht="30.60" thickBot="1" customHeight="1">
      <c r="A18347" s="26"/>
      <c r="B18347" s="26"/>
      <c r="C18347" s="26"/>
      <c r="D18347" s="25" t="s">
        <v>56141</v>
      </c>
      <c r="E18347" s="25"/>
      <c r="F18347" s="25"/>
      <c r="G18347" s="25"/>
    </row>
    <row r="18348" spans="1:7" ht="21.36" thickBot="1" customHeight="1">
      <c r="A18348" s="24" t="s">
        <v>56142</v>
      </c>
      <c r="B18348" s="24" t="s">
        <v>56143</v>
      </c>
      <c r="C18348" s="24" t="s">
        <v>56144</v>
      </c>
      <c r="D18348" s="25" t="s">
        <v>56145</v>
      </c>
      <c r="E18348" s="28">
        <v>0.16000</v>
      </c>
      <c r="F18348" s="29">
        <f ca="1">ROUND(6.490,3)</f>
        <v>0</v>
      </c>
      <c r="G18348" s="27">
        <f ca="1">ROUND(E18348*F18348,2)</f>
        <v>0</v>
      </c>
    </row>
    <row r="18349" spans="1:7" ht="21.36" thickBot="1" customHeight="1">
      <c r="A18349" s="24" t="s">
        <v>56146</v>
      </c>
      <c r="B18349" s="24" t="s">
        <v>56147</v>
      </c>
      <c r="C18349" s="24" t="s">
        <v>56148</v>
      </c>
      <c r="D18349" s="25" t="s">
        <v>56149</v>
      </c>
      <c r="E18349" s="28">
        <v>0.40000</v>
      </c>
      <c r="F18349" s="29">
        <f ca="1">ROUND(2.000,3)</f>
        <v>0</v>
      </c>
      <c r="G18349" s="27">
        <f ca="1">ROUND(E18349*F18349,2)</f>
        <v>0</v>
      </c>
    </row>
    <row r="18350" spans="1:7" ht="30.60" thickBot="1" customHeight="1">
      <c r="A18350" s="24" t="s">
        <v>56150</v>
      </c>
      <c r="B18350" s="24" t="s">
        <v>56151</v>
      </c>
      <c r="C18350" s="24" t="s">
        <v>56152</v>
      </c>
      <c r="D18350" s="25" t="s">
        <v>56153</v>
      </c>
      <c r="E18350" s="28">
        <v>0.30000</v>
      </c>
      <c r="F18350" s="29">
        <f ca="1">ROUND(4.920,3)</f>
        <v>0</v>
      </c>
      <c r="G18350" s="27">
        <f ca="1">ROUND(E18350*F18350,2)</f>
        <v>0</v>
      </c>
    </row>
    <row r="18351" spans="1:7" ht="21.36" thickBot="1" customHeight="1">
      <c r="A18351" s="24" t="s">
        <v>56154</v>
      </c>
      <c r="B18351" s="24" t="s">
        <v>56155</v>
      </c>
      <c r="C18351" s="24" t="s">
        <v>56156</v>
      </c>
      <c r="D18351" s="25" t="s">
        <v>56157</v>
      </c>
      <c r="E18351" s="28">
        <v>3.50000</v>
      </c>
      <c r="F18351" s="29">
        <f ca="1">F18355</f>
        <v>0</v>
      </c>
      <c r="G18351" s="27">
        <f ca="1">ROUND(E18351*F18351,2)</f>
        <v>0</v>
      </c>
    </row>
    <row r="18352" spans="1:7" ht="24.36" thickBot="1" customHeight="1">
      <c r="A18352" s="24" t="s">
        <v>56158</v>
      </c>
      <c r="B18352" s="24" t="s">
        <v>56159</v>
      </c>
      <c r="C18352" s="24" t="s">
        <v>56160</v>
      </c>
      <c r="D18352" s="25" t="s">
        <v>56161</v>
      </c>
      <c r="E18352" s="28">
        <v>1.00000</v>
      </c>
      <c r="F18352" s="29">
        <f ca="1">ROUND(21.000,3)</f>
        <v>0</v>
      </c>
      <c r="G18352" s="27">
        <f ca="1">ROUND(E18352*F18352,2)</f>
        <v>0</v>
      </c>
    </row>
    <row r="18353" spans="1:7" ht="24.36" thickBot="1" customHeight="1">
      <c r="A18353" s="24" t="s">
        <v>56162</v>
      </c>
      <c r="B18353" s="24" t="s">
        <v>56163</v>
      </c>
      <c r="C18353" s="24" t="s">
        <v>56164</v>
      </c>
      <c r="D18353" s="25" t="s">
        <v>56165</v>
      </c>
      <c r="E18353" s="28">
        <v>1.00000</v>
      </c>
      <c r="F18353" s="29">
        <f ca="1">ROUND(19.000,3)</f>
        <v>0</v>
      </c>
      <c r="G18353" s="27">
        <f ca="1">ROUND(E18353*F18353,2)</f>
        <v>0</v>
      </c>
    </row>
    <row r="18354" spans="1:7" ht="24.36" thickBot="1" customHeight="1">
      <c r="A18354" s="24" t="s">
        <v>56166</v>
      </c>
      <c r="B18354" s="24" t="s">
        <v>56167</v>
      </c>
      <c r="C18354" s="24" t="s">
        <v>56168</v>
      </c>
      <c r="D18354" s="25" t="s">
        <v>56169</v>
      </c>
      <c r="E18354" s="28">
        <v>0.20000</v>
      </c>
      <c r="F18354" s="29">
        <f ca="1">ROUND(19.000,3)</f>
        <v>0</v>
      </c>
      <c r="G18354" s="27">
        <f ca="1">ROUND(E18354*F18354,2)</f>
        <v>0</v>
      </c>
    </row>
    <row r="18355" spans="1:7" ht="15.12" thickBot="1" customHeight="1">
      <c r="A18355" s="26"/>
      <c r="B18355" s="26"/>
      <c r="C18355" s="26"/>
      <c r="D18355" s="24" t="s">
        <v>56170</v>
      </c>
      <c r="E18355" s="28">
        <v>3.50000</v>
      </c>
      <c r="F18355" s="29">
        <f ca="1">ROUND((G18352+G18353+G18354),3)</f>
        <v>0</v>
      </c>
      <c r="G18355" s="27">
        <f ca="1">ROUND(E18355*F18355,2)</f>
        <v>0</v>
      </c>
    </row>
    <row r="18356" spans="1:7" ht="15.12" thickBot="1" customHeight="1">
      <c r="A18356" s="24" t="s">
        <v>56171</v>
      </c>
      <c r="B18356" s="24"/>
      <c r="C18356" s="24" t="s">
        <v>56172</v>
      </c>
      <c r="D18356" s="25" t="s">
        <v>56173</v>
      </c>
      <c r="E18356" s="28">
        <v>3.00000</v>
      </c>
      <c r="F18356" s="29">
        <f ca="1">ROUND(153.300,3)</f>
        <v>0</v>
      </c>
      <c r="G18356" s="27">
        <f ca="1">ROUND((E18356*F18356)/100,2)</f>
        <v>0</v>
      </c>
    </row>
    <row r="18357" spans="1:7" ht="15.48" thickBot="1" customHeight="1">
      <c r="A18357" s="30"/>
      <c r="B18357" s="30"/>
      <c r="C18357" s="30"/>
      <c r="D18357" s="31" t="s">
        <v>56174</v>
      </c>
      <c r="E18357" s="30"/>
      <c r="F18357" s="33">
        <f ca="1">ROUND((G18348+G18349+G18350+G18351+G18356)*(1+G2/100),2)</f>
        <v>0</v>
      </c>
      <c r="G18357" s="30"/>
    </row>
    <row r="18358" spans="1:7" ht="49.08" thickBot="1" customHeight="1">
      <c r="A18358" s="34" t="s">
        <v>56175</v>
      </c>
      <c r="B18358" s="35" t="s">
        <v>56176</v>
      </c>
      <c r="C18358" s="35" t="s">
        <v>56177</v>
      </c>
      <c r="D18358" s="36" t="s">
        <v>56178</v>
      </c>
      <c r="E18358" s="37"/>
      <c r="F18358" s="38">
        <f ca="1">F18370</f>
        <v>0</v>
      </c>
      <c r="G18358" s="37"/>
    </row>
    <row r="18359" spans="1:7" ht="21.36" thickBot="1" customHeight="1">
      <c r="A18359" s="26"/>
      <c r="B18359" s="26"/>
      <c r="C18359" s="26"/>
      <c r="D18359" s="25" t="s">
        <v>56179</v>
      </c>
      <c r="E18359" s="25"/>
      <c r="F18359" s="25"/>
      <c r="G18359" s="25"/>
    </row>
    <row r="18360" spans="1:7" ht="58.32" thickBot="1" customHeight="1">
      <c r="A18360" s="24" t="s">
        <v>56180</v>
      </c>
      <c r="B18360" s="24" t="s">
        <v>56181</v>
      </c>
      <c r="C18360" s="24" t="s">
        <v>56182</v>
      </c>
      <c r="D18360" s="25" t="s">
        <v>56183</v>
      </c>
      <c r="E18360" s="28">
        <v>1.00000</v>
      </c>
      <c r="F18360" s="29">
        <f ca="1">ROUND(17.220,3)</f>
        <v>0</v>
      </c>
      <c r="G18360" s="27">
        <f ca="1">ROUND(E18360*F18360,2)</f>
        <v>0</v>
      </c>
    </row>
    <row r="18361" spans="1:7" ht="21.36" thickBot="1" customHeight="1">
      <c r="A18361" s="24" t="s">
        <v>56184</v>
      </c>
      <c r="B18361" s="24" t="s">
        <v>56185</v>
      </c>
      <c r="C18361" s="24" t="s">
        <v>56186</v>
      </c>
      <c r="D18361" s="25" t="s">
        <v>56187</v>
      </c>
      <c r="E18361" s="28">
        <v>4.00000</v>
      </c>
      <c r="F18361" s="29">
        <f ca="1">ROUND(6.490,3)</f>
        <v>0</v>
      </c>
      <c r="G18361" s="27">
        <f ca="1">ROUND(E18361*F18361,2)</f>
        <v>0</v>
      </c>
    </row>
    <row r="18362" spans="1:7" ht="21.36" thickBot="1" customHeight="1">
      <c r="A18362" s="24" t="s">
        <v>56188</v>
      </c>
      <c r="B18362" s="24" t="s">
        <v>56189</v>
      </c>
      <c r="C18362" s="24" t="s">
        <v>56190</v>
      </c>
      <c r="D18362" s="25" t="s">
        <v>56191</v>
      </c>
      <c r="E18362" s="28">
        <v>0.50000</v>
      </c>
      <c r="F18362" s="29">
        <f ca="1">ROUND(2.000,3)</f>
        <v>0</v>
      </c>
      <c r="G18362" s="27">
        <f ca="1">ROUND(E18362*F18362,2)</f>
        <v>0</v>
      </c>
    </row>
    <row r="18363" spans="1:7" ht="30.60" thickBot="1" customHeight="1">
      <c r="A18363" s="24" t="s">
        <v>56192</v>
      </c>
      <c r="B18363" s="24" t="s">
        <v>56193</v>
      </c>
      <c r="C18363" s="24" t="s">
        <v>56194</v>
      </c>
      <c r="D18363" s="25" t="s">
        <v>56195</v>
      </c>
      <c r="E18363" s="28">
        <v>0.10000</v>
      </c>
      <c r="F18363" s="29">
        <f ca="1">ROUND(4.920,3)</f>
        <v>0</v>
      </c>
      <c r="G18363" s="27">
        <f ca="1">ROUND(E18363*F18363,2)</f>
        <v>0</v>
      </c>
    </row>
    <row r="18364" spans="1:7" ht="21.36" thickBot="1" customHeight="1">
      <c r="A18364" s="24" t="s">
        <v>56196</v>
      </c>
      <c r="B18364" s="24" t="s">
        <v>56197</v>
      </c>
      <c r="C18364" s="24" t="s">
        <v>56198</v>
      </c>
      <c r="D18364" s="25" t="s">
        <v>56199</v>
      </c>
      <c r="E18364" s="28">
        <v>1.00000</v>
      </c>
      <c r="F18364" s="29">
        <f ca="1">F18368</f>
        <v>0</v>
      </c>
      <c r="G18364" s="27">
        <f ca="1">ROUND(E18364*F18364,2)</f>
        <v>0</v>
      </c>
    </row>
    <row r="18365" spans="1:7" ht="24.36" thickBot="1" customHeight="1">
      <c r="A18365" s="24" t="s">
        <v>56200</v>
      </c>
      <c r="B18365" s="24" t="s">
        <v>56201</v>
      </c>
      <c r="C18365" s="24" t="s">
        <v>56202</v>
      </c>
      <c r="D18365" s="25" t="s">
        <v>56203</v>
      </c>
      <c r="E18365" s="28">
        <v>1.00000</v>
      </c>
      <c r="F18365" s="29">
        <f ca="1">ROUND(21.000,3)</f>
        <v>0</v>
      </c>
      <c r="G18365" s="27">
        <f ca="1">ROUND(E18365*F18365,2)</f>
        <v>0</v>
      </c>
    </row>
    <row r="18366" spans="1:7" ht="24.36" thickBot="1" customHeight="1">
      <c r="A18366" s="24" t="s">
        <v>56204</v>
      </c>
      <c r="B18366" s="24" t="s">
        <v>56205</v>
      </c>
      <c r="C18366" s="24" t="s">
        <v>56206</v>
      </c>
      <c r="D18366" s="25" t="s">
        <v>56207</v>
      </c>
      <c r="E18366" s="28">
        <v>1.00000</v>
      </c>
      <c r="F18366" s="29">
        <f ca="1">ROUND(19.000,3)</f>
        <v>0</v>
      </c>
      <c r="G18366" s="27">
        <f ca="1">ROUND(E18366*F18366,2)</f>
        <v>0</v>
      </c>
    </row>
    <row r="18367" spans="1:7" ht="24.36" thickBot="1" customHeight="1">
      <c r="A18367" s="24" t="s">
        <v>56208</v>
      </c>
      <c r="B18367" s="24" t="s">
        <v>56209</v>
      </c>
      <c r="C18367" s="24" t="s">
        <v>56210</v>
      </c>
      <c r="D18367" s="25" t="s">
        <v>56211</v>
      </c>
      <c r="E18367" s="28">
        <v>0.20000</v>
      </c>
      <c r="F18367" s="29">
        <f ca="1">ROUND(19.000,3)</f>
        <v>0</v>
      </c>
      <c r="G18367" s="27">
        <f ca="1">ROUND(E18367*F18367,2)</f>
        <v>0</v>
      </c>
    </row>
    <row r="18368" spans="1:7" ht="15.12" thickBot="1" customHeight="1">
      <c r="A18368" s="26"/>
      <c r="B18368" s="26"/>
      <c r="C18368" s="26"/>
      <c r="D18368" s="24" t="s">
        <v>56212</v>
      </c>
      <c r="E18368" s="28">
        <v>1.00000</v>
      </c>
      <c r="F18368" s="29">
        <f ca="1">ROUND((G18365+G18366+G18367),3)</f>
        <v>0</v>
      </c>
      <c r="G18368" s="27">
        <f ca="1">ROUND(E18368*F18368,2)</f>
        <v>0</v>
      </c>
    </row>
    <row r="18369" spans="1:7" ht="15.12" thickBot="1" customHeight="1">
      <c r="A18369" s="24" t="s">
        <v>56213</v>
      </c>
      <c r="B18369" s="24"/>
      <c r="C18369" s="24" t="s">
        <v>56214</v>
      </c>
      <c r="D18369" s="25" t="s">
        <v>56215</v>
      </c>
      <c r="E18369" s="28">
        <v>3.00000</v>
      </c>
      <c r="F18369" s="29">
        <f ca="1">ROUND(43.800,3)</f>
        <v>0</v>
      </c>
      <c r="G18369" s="27">
        <f ca="1">ROUND((E18369*F18369)/100,2)</f>
        <v>0</v>
      </c>
    </row>
    <row r="18370" spans="1:7" ht="25.08" thickBot="1" customHeight="1">
      <c r="A18370" s="30"/>
      <c r="B18370" s="30"/>
      <c r="C18370" s="30"/>
      <c r="D18370" s="31" t="s">
        <v>56216</v>
      </c>
      <c r="E18370" s="30"/>
      <c r="F18370" s="33">
        <f ca="1">ROUND((G18360+G18361+G18362+G18363+G18364+G18369)*(1+G2/100),2)</f>
        <v>0</v>
      </c>
      <c r="G18370" s="30"/>
    </row>
    <row r="18371" spans="1:7" ht="49.08" thickBot="1" customHeight="1">
      <c r="A18371" s="34" t="s">
        <v>56217</v>
      </c>
      <c r="B18371" s="35" t="s">
        <v>56218</v>
      </c>
      <c r="C18371" s="35" t="s">
        <v>56219</v>
      </c>
      <c r="D18371" s="36" t="s">
        <v>56220</v>
      </c>
      <c r="E18371" s="37"/>
      <c r="F18371" s="38">
        <f ca="1">F18383</f>
        <v>0</v>
      </c>
      <c r="G18371" s="37"/>
    </row>
    <row r="18372" spans="1:7" ht="21.36" thickBot="1" customHeight="1">
      <c r="A18372" s="26"/>
      <c r="B18372" s="26"/>
      <c r="C18372" s="26"/>
      <c r="D18372" s="25" t="s">
        <v>56221</v>
      </c>
      <c r="E18372" s="25"/>
      <c r="F18372" s="25"/>
      <c r="G18372" s="25"/>
    </row>
    <row r="18373" spans="1:7" ht="58.32" thickBot="1" customHeight="1">
      <c r="A18373" s="24" t="s">
        <v>56222</v>
      </c>
      <c r="B18373" s="24" t="s">
        <v>56223</v>
      </c>
      <c r="C18373" s="24" t="s">
        <v>56224</v>
      </c>
      <c r="D18373" s="25" t="s">
        <v>56225</v>
      </c>
      <c r="E18373" s="28">
        <v>1.00000</v>
      </c>
      <c r="F18373" s="29">
        <f ca="1">ROUND(19.360,3)</f>
        <v>0</v>
      </c>
      <c r="G18373" s="27">
        <f ca="1">ROUND(E18373*F18373,2)</f>
        <v>0</v>
      </c>
    </row>
    <row r="18374" spans="1:7" ht="21.36" thickBot="1" customHeight="1">
      <c r="A18374" s="24" t="s">
        <v>56226</v>
      </c>
      <c r="B18374" s="24" t="s">
        <v>56227</v>
      </c>
      <c r="C18374" s="24" t="s">
        <v>56228</v>
      </c>
      <c r="D18374" s="25" t="s">
        <v>56229</v>
      </c>
      <c r="E18374" s="28">
        <v>4.00000</v>
      </c>
      <c r="F18374" s="29">
        <f ca="1">ROUND(6.490,3)</f>
        <v>0</v>
      </c>
      <c r="G18374" s="27">
        <f ca="1">ROUND(E18374*F18374,2)</f>
        <v>0</v>
      </c>
    </row>
    <row r="18375" spans="1:7" ht="21.36" thickBot="1" customHeight="1">
      <c r="A18375" s="24" t="s">
        <v>56230</v>
      </c>
      <c r="B18375" s="24" t="s">
        <v>56231</v>
      </c>
      <c r="C18375" s="24" t="s">
        <v>56232</v>
      </c>
      <c r="D18375" s="25" t="s">
        <v>56233</v>
      </c>
      <c r="E18375" s="28">
        <v>0.50000</v>
      </c>
      <c r="F18375" s="29">
        <f ca="1">ROUND(2.000,3)</f>
        <v>0</v>
      </c>
      <c r="G18375" s="27">
        <f ca="1">ROUND(E18375*F18375,2)</f>
        <v>0</v>
      </c>
    </row>
    <row r="18376" spans="1:7" ht="30.60" thickBot="1" customHeight="1">
      <c r="A18376" s="24" t="s">
        <v>56234</v>
      </c>
      <c r="B18376" s="24" t="s">
        <v>56235</v>
      </c>
      <c r="C18376" s="24" t="s">
        <v>56236</v>
      </c>
      <c r="D18376" s="25" t="s">
        <v>56237</v>
      </c>
      <c r="E18376" s="28">
        <v>0.10000</v>
      </c>
      <c r="F18376" s="29">
        <f ca="1">ROUND(4.920,3)</f>
        <v>0</v>
      </c>
      <c r="G18376" s="27">
        <f ca="1">ROUND(E18376*F18376,2)</f>
        <v>0</v>
      </c>
    </row>
    <row r="18377" spans="1:7" ht="21.36" thickBot="1" customHeight="1">
      <c r="A18377" s="24" t="s">
        <v>56238</v>
      </c>
      <c r="B18377" s="24" t="s">
        <v>56239</v>
      </c>
      <c r="C18377" s="24" t="s">
        <v>56240</v>
      </c>
      <c r="D18377" s="25" t="s">
        <v>56241</v>
      </c>
      <c r="E18377" s="28">
        <v>1.00000</v>
      </c>
      <c r="F18377" s="29">
        <f ca="1">F18381</f>
        <v>0</v>
      </c>
      <c r="G18377" s="27">
        <f ca="1">ROUND(E18377*F18377,2)</f>
        <v>0</v>
      </c>
    </row>
    <row r="18378" spans="1:7" ht="24.36" thickBot="1" customHeight="1">
      <c r="A18378" s="24" t="s">
        <v>56242</v>
      </c>
      <c r="B18378" s="24" t="s">
        <v>56243</v>
      </c>
      <c r="C18378" s="24" t="s">
        <v>56244</v>
      </c>
      <c r="D18378" s="25" t="s">
        <v>56245</v>
      </c>
      <c r="E18378" s="28">
        <v>1.00000</v>
      </c>
      <c r="F18378" s="29">
        <f ca="1">ROUND(21.000,3)</f>
        <v>0</v>
      </c>
      <c r="G18378" s="27">
        <f ca="1">ROUND(E18378*F18378,2)</f>
        <v>0</v>
      </c>
    </row>
    <row r="18379" spans="1:7" ht="24.36" thickBot="1" customHeight="1">
      <c r="A18379" s="24" t="s">
        <v>56246</v>
      </c>
      <c r="B18379" s="24" t="s">
        <v>56247</v>
      </c>
      <c r="C18379" s="24" t="s">
        <v>56248</v>
      </c>
      <c r="D18379" s="25" t="s">
        <v>56249</v>
      </c>
      <c r="E18379" s="28">
        <v>1.00000</v>
      </c>
      <c r="F18379" s="29">
        <f ca="1">ROUND(19.000,3)</f>
        <v>0</v>
      </c>
      <c r="G18379" s="27">
        <f ca="1">ROUND(E18379*F18379,2)</f>
        <v>0</v>
      </c>
    </row>
    <row r="18380" spans="1:7" ht="24.36" thickBot="1" customHeight="1">
      <c r="A18380" s="24" t="s">
        <v>56250</v>
      </c>
      <c r="B18380" s="24" t="s">
        <v>56251</v>
      </c>
      <c r="C18380" s="24" t="s">
        <v>56252</v>
      </c>
      <c r="D18380" s="25" t="s">
        <v>56253</v>
      </c>
      <c r="E18380" s="28">
        <v>0.20000</v>
      </c>
      <c r="F18380" s="29">
        <f ca="1">ROUND(19.000,3)</f>
        <v>0</v>
      </c>
      <c r="G18380" s="27">
        <f ca="1">ROUND(E18380*F18380,2)</f>
        <v>0</v>
      </c>
    </row>
    <row r="18381" spans="1:7" ht="15.12" thickBot="1" customHeight="1">
      <c r="A18381" s="26"/>
      <c r="B18381" s="26"/>
      <c r="C18381" s="26"/>
      <c r="D18381" s="24" t="s">
        <v>56254</v>
      </c>
      <c r="E18381" s="28">
        <v>1.00000</v>
      </c>
      <c r="F18381" s="29">
        <f ca="1">ROUND((G18378+G18379+G18380),3)</f>
        <v>0</v>
      </c>
      <c r="G18381" s="27">
        <f ca="1">ROUND(E18381*F18381,2)</f>
        <v>0</v>
      </c>
    </row>
    <row r="18382" spans="1:7" ht="15.12" thickBot="1" customHeight="1">
      <c r="A18382" s="24" t="s">
        <v>56255</v>
      </c>
      <c r="B18382" s="24"/>
      <c r="C18382" s="24" t="s">
        <v>56256</v>
      </c>
      <c r="D18382" s="25" t="s">
        <v>56257</v>
      </c>
      <c r="E18382" s="28">
        <v>3.00000</v>
      </c>
      <c r="F18382" s="29">
        <f ca="1">ROUND(43.800,3)</f>
        <v>0</v>
      </c>
      <c r="G18382" s="27">
        <f ca="1">ROUND((E18382*F18382)/100,2)</f>
        <v>0</v>
      </c>
    </row>
    <row r="18383" spans="1:7" ht="25.08" thickBot="1" customHeight="1">
      <c r="A18383" s="30"/>
      <c r="B18383" s="30"/>
      <c r="C18383" s="30"/>
      <c r="D18383" s="31" t="s">
        <v>56258</v>
      </c>
      <c r="E18383" s="30"/>
      <c r="F18383" s="33">
        <f ca="1">ROUND((G18373+G18374+G18375+G18376+G18377+G18382)*(1+G2/100),2)</f>
        <v>0</v>
      </c>
      <c r="G18383" s="30"/>
    </row>
    <row r="18384" spans="1:7" ht="49.08" thickBot="1" customHeight="1">
      <c r="A18384" s="34" t="s">
        <v>56259</v>
      </c>
      <c r="B18384" s="35" t="s">
        <v>56260</v>
      </c>
      <c r="C18384" s="35" t="s">
        <v>56261</v>
      </c>
      <c r="D18384" s="36" t="s">
        <v>56262</v>
      </c>
      <c r="E18384" s="37"/>
      <c r="F18384" s="38">
        <f ca="1">F18396</f>
        <v>0</v>
      </c>
      <c r="G18384" s="37"/>
    </row>
    <row r="18385" spans="1:7" ht="21.36" thickBot="1" customHeight="1">
      <c r="A18385" s="26"/>
      <c r="B18385" s="26"/>
      <c r="C18385" s="26"/>
      <c r="D18385" s="25" t="s">
        <v>56263</v>
      </c>
      <c r="E18385" s="25"/>
      <c r="F18385" s="25"/>
      <c r="G18385" s="25"/>
    </row>
    <row r="18386" spans="1:7" ht="58.32" thickBot="1" customHeight="1">
      <c r="A18386" s="24" t="s">
        <v>56264</v>
      </c>
      <c r="B18386" s="24" t="s">
        <v>56265</v>
      </c>
      <c r="C18386" s="24" t="s">
        <v>56266</v>
      </c>
      <c r="D18386" s="25" t="s">
        <v>56267</v>
      </c>
      <c r="E18386" s="28">
        <v>1.00000</v>
      </c>
      <c r="F18386" s="29">
        <f ca="1">ROUND(19.970,3)</f>
        <v>0</v>
      </c>
      <c r="G18386" s="27">
        <f ca="1">ROUND(E18386*F18386,2)</f>
        <v>0</v>
      </c>
    </row>
    <row r="18387" spans="1:7" ht="21.36" thickBot="1" customHeight="1">
      <c r="A18387" s="24" t="s">
        <v>56268</v>
      </c>
      <c r="B18387" s="24" t="s">
        <v>56269</v>
      </c>
      <c r="C18387" s="24" t="s">
        <v>56270</v>
      </c>
      <c r="D18387" s="25" t="s">
        <v>56271</v>
      </c>
      <c r="E18387" s="28">
        <v>4.00000</v>
      </c>
      <c r="F18387" s="29">
        <f ca="1">ROUND(6.490,3)</f>
        <v>0</v>
      </c>
      <c r="G18387" s="27">
        <f ca="1">ROUND(E18387*F18387,2)</f>
        <v>0</v>
      </c>
    </row>
    <row r="18388" spans="1:7" ht="21.36" thickBot="1" customHeight="1">
      <c r="A18388" s="24" t="s">
        <v>56272</v>
      </c>
      <c r="B18388" s="24" t="s">
        <v>56273</v>
      </c>
      <c r="C18388" s="24" t="s">
        <v>56274</v>
      </c>
      <c r="D18388" s="25" t="s">
        <v>56275</v>
      </c>
      <c r="E18388" s="28">
        <v>0.50000</v>
      </c>
      <c r="F18388" s="29">
        <f ca="1">ROUND(2.000,3)</f>
        <v>0</v>
      </c>
      <c r="G18388" s="27">
        <f ca="1">ROUND(E18388*F18388,2)</f>
        <v>0</v>
      </c>
    </row>
    <row r="18389" spans="1:7" ht="30.60" thickBot="1" customHeight="1">
      <c r="A18389" s="24" t="s">
        <v>56276</v>
      </c>
      <c r="B18389" s="24" t="s">
        <v>56277</v>
      </c>
      <c r="C18389" s="24" t="s">
        <v>56278</v>
      </c>
      <c r="D18389" s="25" t="s">
        <v>56279</v>
      </c>
      <c r="E18389" s="28">
        <v>0.10000</v>
      </c>
      <c r="F18389" s="29">
        <f ca="1">ROUND(4.920,3)</f>
        <v>0</v>
      </c>
      <c r="G18389" s="27">
        <f ca="1">ROUND(E18389*F18389,2)</f>
        <v>0</v>
      </c>
    </row>
    <row r="18390" spans="1:7" ht="21.36" thickBot="1" customHeight="1">
      <c r="A18390" s="24" t="s">
        <v>56280</v>
      </c>
      <c r="B18390" s="24" t="s">
        <v>56281</v>
      </c>
      <c r="C18390" s="24" t="s">
        <v>56282</v>
      </c>
      <c r="D18390" s="25" t="s">
        <v>56283</v>
      </c>
      <c r="E18390" s="28">
        <v>1.20000</v>
      </c>
      <c r="F18390" s="29">
        <f ca="1">F18394</f>
        <v>0</v>
      </c>
      <c r="G18390" s="27">
        <f ca="1">ROUND(E18390*F18390,2)</f>
        <v>0</v>
      </c>
    </row>
    <row r="18391" spans="1:7" ht="24.36" thickBot="1" customHeight="1">
      <c r="A18391" s="24" t="s">
        <v>56284</v>
      </c>
      <c r="B18391" s="24" t="s">
        <v>56285</v>
      </c>
      <c r="C18391" s="24" t="s">
        <v>56286</v>
      </c>
      <c r="D18391" s="25" t="s">
        <v>56287</v>
      </c>
      <c r="E18391" s="28">
        <v>1.00000</v>
      </c>
      <c r="F18391" s="29">
        <f ca="1">ROUND(21.000,3)</f>
        <v>0</v>
      </c>
      <c r="G18391" s="27">
        <f ca="1">ROUND(E18391*F18391,2)</f>
        <v>0</v>
      </c>
    </row>
    <row r="18392" spans="1:7" ht="24.36" thickBot="1" customHeight="1">
      <c r="A18392" s="24" t="s">
        <v>56288</v>
      </c>
      <c r="B18392" s="24" t="s">
        <v>56289</v>
      </c>
      <c r="C18392" s="24" t="s">
        <v>56290</v>
      </c>
      <c r="D18392" s="25" t="s">
        <v>56291</v>
      </c>
      <c r="E18392" s="28">
        <v>1.00000</v>
      </c>
      <c r="F18392" s="29">
        <f ca="1">ROUND(19.000,3)</f>
        <v>0</v>
      </c>
      <c r="G18392" s="27">
        <f ca="1">ROUND(E18392*F18392,2)</f>
        <v>0</v>
      </c>
    </row>
    <row r="18393" spans="1:7" ht="24.36" thickBot="1" customHeight="1">
      <c r="A18393" s="24" t="s">
        <v>56292</v>
      </c>
      <c r="B18393" s="24" t="s">
        <v>56293</v>
      </c>
      <c r="C18393" s="24" t="s">
        <v>56294</v>
      </c>
      <c r="D18393" s="25" t="s">
        <v>56295</v>
      </c>
      <c r="E18393" s="28">
        <v>0.20000</v>
      </c>
      <c r="F18393" s="29">
        <f ca="1">ROUND(19.000,3)</f>
        <v>0</v>
      </c>
      <c r="G18393" s="27">
        <f ca="1">ROUND(E18393*F18393,2)</f>
        <v>0</v>
      </c>
    </row>
    <row r="18394" spans="1:7" ht="15.12" thickBot="1" customHeight="1">
      <c r="A18394" s="26"/>
      <c r="B18394" s="26"/>
      <c r="C18394" s="26"/>
      <c r="D18394" s="24" t="s">
        <v>56296</v>
      </c>
      <c r="E18394" s="28">
        <v>1.20000</v>
      </c>
      <c r="F18394" s="29">
        <f ca="1">ROUND((G18391+G18392+G18393),3)</f>
        <v>0</v>
      </c>
      <c r="G18394" s="27">
        <f ca="1">ROUND(E18394*F18394,2)</f>
        <v>0</v>
      </c>
    </row>
    <row r="18395" spans="1:7" ht="15.12" thickBot="1" customHeight="1">
      <c r="A18395" s="24" t="s">
        <v>56297</v>
      </c>
      <c r="B18395" s="24"/>
      <c r="C18395" s="24" t="s">
        <v>56298</v>
      </c>
      <c r="D18395" s="25" t="s">
        <v>56299</v>
      </c>
      <c r="E18395" s="28">
        <v>3.00000</v>
      </c>
      <c r="F18395" s="29">
        <f ca="1">ROUND(52.560,3)</f>
        <v>0</v>
      </c>
      <c r="G18395" s="27">
        <f ca="1">ROUND((E18395*F18395)/100,2)</f>
        <v>0</v>
      </c>
    </row>
    <row r="18396" spans="1:7" ht="25.08" thickBot="1" customHeight="1">
      <c r="A18396" s="30"/>
      <c r="B18396" s="30"/>
      <c r="C18396" s="30"/>
      <c r="D18396" s="31" t="s">
        <v>56300</v>
      </c>
      <c r="E18396" s="30"/>
      <c r="F18396" s="33">
        <f ca="1">ROUND((G18386+G18387+G18388+G18389+G18390+G18395)*(1+G2/100),2)</f>
        <v>0</v>
      </c>
      <c r="G18396" s="30"/>
    </row>
    <row r="18397" spans="1:7" ht="49.08" thickBot="1" customHeight="1">
      <c r="A18397" s="34" t="s">
        <v>56301</v>
      </c>
      <c r="B18397" s="35" t="s">
        <v>56302</v>
      </c>
      <c r="C18397" s="35" t="s">
        <v>56303</v>
      </c>
      <c r="D18397" s="36" t="s">
        <v>56304</v>
      </c>
      <c r="E18397" s="37"/>
      <c r="F18397" s="38">
        <f ca="1">F18409</f>
        <v>0</v>
      </c>
      <c r="G18397" s="37"/>
    </row>
    <row r="18398" spans="1:7" ht="21.36" thickBot="1" customHeight="1">
      <c r="A18398" s="26"/>
      <c r="B18398" s="26"/>
      <c r="C18398" s="26"/>
      <c r="D18398" s="25" t="s">
        <v>56305</v>
      </c>
      <c r="E18398" s="25"/>
      <c r="F18398" s="25"/>
      <c r="G18398" s="25"/>
    </row>
    <row r="18399" spans="1:7" ht="58.32" thickBot="1" customHeight="1">
      <c r="A18399" s="24" t="s">
        <v>56306</v>
      </c>
      <c r="B18399" s="24" t="s">
        <v>56307</v>
      </c>
      <c r="C18399" s="24" t="s">
        <v>56308</v>
      </c>
      <c r="D18399" s="25" t="s">
        <v>56309</v>
      </c>
      <c r="E18399" s="28">
        <v>1.00000</v>
      </c>
      <c r="F18399" s="29">
        <f ca="1">ROUND(20.550,3)</f>
        <v>0</v>
      </c>
      <c r="G18399" s="27">
        <f ca="1">ROUND(E18399*F18399,2)</f>
        <v>0</v>
      </c>
    </row>
    <row r="18400" spans="1:7" ht="21.36" thickBot="1" customHeight="1">
      <c r="A18400" s="24" t="s">
        <v>56310</v>
      </c>
      <c r="B18400" s="24" t="s">
        <v>56311</v>
      </c>
      <c r="C18400" s="24" t="s">
        <v>56312</v>
      </c>
      <c r="D18400" s="25" t="s">
        <v>56313</v>
      </c>
      <c r="E18400" s="28">
        <v>4.00000</v>
      </c>
      <c r="F18400" s="29">
        <f ca="1">ROUND(6.490,3)</f>
        <v>0</v>
      </c>
      <c r="G18400" s="27">
        <f ca="1">ROUND(E18400*F18400,2)</f>
        <v>0</v>
      </c>
    </row>
    <row r="18401" spans="1:7" ht="21.36" thickBot="1" customHeight="1">
      <c r="A18401" s="24" t="s">
        <v>56314</v>
      </c>
      <c r="B18401" s="24" t="s">
        <v>56315</v>
      </c>
      <c r="C18401" s="24" t="s">
        <v>56316</v>
      </c>
      <c r="D18401" s="25" t="s">
        <v>56317</v>
      </c>
      <c r="E18401" s="28">
        <v>2.00000</v>
      </c>
      <c r="F18401" s="29">
        <f ca="1">ROUND(2.000,3)</f>
        <v>0</v>
      </c>
      <c r="G18401" s="27">
        <f ca="1">ROUND(E18401*F18401,2)</f>
        <v>0</v>
      </c>
    </row>
    <row r="18402" spans="1:7" ht="30.60" thickBot="1" customHeight="1">
      <c r="A18402" s="24" t="s">
        <v>56318</v>
      </c>
      <c r="B18402" s="24" t="s">
        <v>56319</v>
      </c>
      <c r="C18402" s="24" t="s">
        <v>56320</v>
      </c>
      <c r="D18402" s="25" t="s">
        <v>56321</v>
      </c>
      <c r="E18402" s="28">
        <v>0.10000</v>
      </c>
      <c r="F18402" s="29">
        <f ca="1">ROUND(4.920,3)</f>
        <v>0</v>
      </c>
      <c r="G18402" s="27">
        <f ca="1">ROUND(E18402*F18402,2)</f>
        <v>0</v>
      </c>
    </row>
    <row r="18403" spans="1:7" ht="21.36" thickBot="1" customHeight="1">
      <c r="A18403" s="24" t="s">
        <v>56322</v>
      </c>
      <c r="B18403" s="24" t="s">
        <v>56323</v>
      </c>
      <c r="C18403" s="24" t="s">
        <v>56324</v>
      </c>
      <c r="D18403" s="25" t="s">
        <v>56325</v>
      </c>
      <c r="E18403" s="28">
        <v>1.20000</v>
      </c>
      <c r="F18403" s="29">
        <f ca="1">F18407</f>
        <v>0</v>
      </c>
      <c r="G18403" s="27">
        <f ca="1">ROUND(E18403*F18403,2)</f>
        <v>0</v>
      </c>
    </row>
    <row r="18404" spans="1:7" ht="24.36" thickBot="1" customHeight="1">
      <c r="A18404" s="24" t="s">
        <v>56326</v>
      </c>
      <c r="B18404" s="24" t="s">
        <v>56327</v>
      </c>
      <c r="C18404" s="24" t="s">
        <v>56328</v>
      </c>
      <c r="D18404" s="25" t="s">
        <v>56329</v>
      </c>
      <c r="E18404" s="28">
        <v>1.00000</v>
      </c>
      <c r="F18404" s="29">
        <f ca="1">ROUND(21.000,3)</f>
        <v>0</v>
      </c>
      <c r="G18404" s="27">
        <f ca="1">ROUND(E18404*F18404,2)</f>
        <v>0</v>
      </c>
    </row>
    <row r="18405" spans="1:7" ht="24.36" thickBot="1" customHeight="1">
      <c r="A18405" s="24" t="s">
        <v>56330</v>
      </c>
      <c r="B18405" s="24" t="s">
        <v>56331</v>
      </c>
      <c r="C18405" s="24" t="s">
        <v>56332</v>
      </c>
      <c r="D18405" s="25" t="s">
        <v>56333</v>
      </c>
      <c r="E18405" s="28">
        <v>1.00000</v>
      </c>
      <c r="F18405" s="29">
        <f ca="1">ROUND(19.000,3)</f>
        <v>0</v>
      </c>
      <c r="G18405" s="27">
        <f ca="1">ROUND(E18405*F18405,2)</f>
        <v>0</v>
      </c>
    </row>
    <row r="18406" spans="1:7" ht="24.36" thickBot="1" customHeight="1">
      <c r="A18406" s="24" t="s">
        <v>56334</v>
      </c>
      <c r="B18406" s="24" t="s">
        <v>56335</v>
      </c>
      <c r="C18406" s="24" t="s">
        <v>56336</v>
      </c>
      <c r="D18406" s="25" t="s">
        <v>56337</v>
      </c>
      <c r="E18406" s="28">
        <v>0.20000</v>
      </c>
      <c r="F18406" s="29">
        <f ca="1">ROUND(19.000,3)</f>
        <v>0</v>
      </c>
      <c r="G18406" s="27">
        <f ca="1">ROUND(E18406*F18406,2)</f>
        <v>0</v>
      </c>
    </row>
    <row r="18407" spans="1:7" ht="15.12" thickBot="1" customHeight="1">
      <c r="A18407" s="26"/>
      <c r="B18407" s="26"/>
      <c r="C18407" s="26"/>
      <c r="D18407" s="24" t="s">
        <v>56338</v>
      </c>
      <c r="E18407" s="28">
        <v>1.20000</v>
      </c>
      <c r="F18407" s="29">
        <f ca="1">ROUND((G18404+G18405+G18406),3)</f>
        <v>0</v>
      </c>
      <c r="G18407" s="27">
        <f ca="1">ROUND(E18407*F18407,2)</f>
        <v>0</v>
      </c>
    </row>
    <row r="18408" spans="1:7" ht="15.12" thickBot="1" customHeight="1">
      <c r="A18408" s="24" t="s">
        <v>56339</v>
      </c>
      <c r="B18408" s="24"/>
      <c r="C18408" s="24" t="s">
        <v>56340</v>
      </c>
      <c r="D18408" s="25" t="s">
        <v>56341</v>
      </c>
      <c r="E18408" s="28">
        <v>3.00000</v>
      </c>
      <c r="F18408" s="29">
        <f ca="1">ROUND(52.560,3)</f>
        <v>0</v>
      </c>
      <c r="G18408" s="27">
        <f ca="1">ROUND((E18408*F18408)/100,2)</f>
        <v>0</v>
      </c>
    </row>
    <row r="18409" spans="1:7" ht="25.08" thickBot="1" customHeight="1">
      <c r="A18409" s="30"/>
      <c r="B18409" s="30"/>
      <c r="C18409" s="30"/>
      <c r="D18409" s="31" t="s">
        <v>56342</v>
      </c>
      <c r="E18409" s="30"/>
      <c r="F18409" s="33">
        <f ca="1">ROUND((G18399+G18400+G18401+G18402+G18403+G18408)*(1+G2/100),2)</f>
        <v>0</v>
      </c>
      <c r="G18409" s="30"/>
    </row>
    <row r="18410" spans="1:7" ht="15.48" thickBot="1" customHeight="1">
      <c r="A18410" s="39"/>
      <c r="B18410" s="39"/>
      <c r="C18410" s="39"/>
      <c r="D18410" s="50" t="s">
        <v>56343</v>
      </c>
      <c r="E18410" s="51"/>
      <c r="F18410" s="51"/>
      <c r="G18410" s="51"/>
    </row>
    <row r="18411" spans="1:7" ht="25.08" thickBot="1" customHeight="1">
      <c r="A18411" s="52" t="s">
        <v>56344</v>
      </c>
      <c r="B18411" s="52" t="s">
        <v>56345</v>
      </c>
      <c r="C18411" s="53"/>
      <c r="D18411" s="54" t="s">
        <v>56346</v>
      </c>
      <c r="E18411" s="53"/>
      <c r="F18411" s="53"/>
      <c r="G18411" s="53"/>
    </row>
    <row r="18412" spans="1:7" ht="15.48" thickBot="1" customHeight="1">
      <c r="A18412" s="21" t="s">
        <v>56347</v>
      </c>
      <c r="B18412" s="21" t="s">
        <v>56348</v>
      </c>
      <c r="C18412" s="22"/>
      <c r="D18412" s="23" t="s">
        <v>56349</v>
      </c>
      <c r="E18412" s="22"/>
      <c r="F18412" s="22"/>
      <c r="G18412" s="22"/>
    </row>
    <row r="18413" spans="1:7" ht="34.68" thickBot="1" customHeight="1">
      <c r="A18413" s="45" t="s">
        <v>56350</v>
      </c>
      <c r="B18413" s="45" t="s">
        <v>56351</v>
      </c>
      <c r="C18413" s="46"/>
      <c r="D18413" s="47" t="s">
        <v>56352</v>
      </c>
      <c r="E18413" s="46"/>
      <c r="F18413" s="46"/>
      <c r="G18413" s="46"/>
    </row>
    <row r="18414" spans="1:7" ht="15.48" thickBot="1" customHeight="1">
      <c r="A18414" s="70" t="s">
        <v>56353</v>
      </c>
      <c r="B18414" s="70" t="s">
        <v>56354</v>
      </c>
      <c r="C18414" s="71"/>
      <c r="D18414" s="72" t="s">
        <v>56355</v>
      </c>
      <c r="E18414" s="71"/>
      <c r="F18414" s="71"/>
      <c r="G18414" s="71"/>
    </row>
    <row r="18415" spans="1:7" ht="30.60" thickBot="1" customHeight="1">
      <c r="A18415" s="10" t="s">
        <v>56356</v>
      </c>
      <c r="B18415" s="24" t="s">
        <v>56357</v>
      </c>
      <c r="C18415" s="24" t="s">
        <v>56358</v>
      </c>
      <c r="D18415" s="25" t="s">
        <v>56359</v>
      </c>
      <c r="E18415" s="26"/>
      <c r="F18415" s="27">
        <f ca="1">F18423</f>
        <v>0</v>
      </c>
      <c r="G18415" s="26"/>
    </row>
    <row r="18416" spans="1:7" ht="12.12" thickBot="1" customHeight="1">
      <c r="A18416" s="26"/>
      <c r="B18416" s="26"/>
      <c r="C18416" s="26"/>
      <c r="D18416" s="25" t="s">
        <v>56360</v>
      </c>
      <c r="E18416" s="25"/>
      <c r="F18416" s="25"/>
      <c r="G18416" s="25"/>
    </row>
    <row r="18417" spans="1:7" ht="21.36" thickBot="1" customHeight="1">
      <c r="A18417" s="24" t="s">
        <v>56361</v>
      </c>
      <c r="B18417" s="24" t="s">
        <v>56362</v>
      </c>
      <c r="C18417" s="24" t="s">
        <v>56363</v>
      </c>
      <c r="D18417" s="25" t="s">
        <v>56364</v>
      </c>
      <c r="E18417" s="28">
        <v>0.26667</v>
      </c>
      <c r="F18417" s="29">
        <f ca="1">F18421</f>
        <v>0</v>
      </c>
      <c r="G18417" s="27">
        <f ca="1">ROUND(E18417*F18417,2)</f>
        <v>0</v>
      </c>
    </row>
    <row r="18418" spans="1:7" ht="24.36" thickBot="1" customHeight="1">
      <c r="A18418" s="24" t="s">
        <v>56365</v>
      </c>
      <c r="B18418" s="24" t="s">
        <v>56366</v>
      </c>
      <c r="C18418" s="24" t="s">
        <v>56367</v>
      </c>
      <c r="D18418" s="25" t="s">
        <v>56368</v>
      </c>
      <c r="E18418" s="28">
        <v>1.00000</v>
      </c>
      <c r="F18418" s="29">
        <f ca="1">ROUND(21.000,3)</f>
        <v>0</v>
      </c>
      <c r="G18418" s="27">
        <f ca="1">ROUND(E18418*F18418,2)</f>
        <v>0</v>
      </c>
    </row>
    <row r="18419" spans="1:7" ht="24.36" thickBot="1" customHeight="1">
      <c r="A18419" s="24" t="s">
        <v>56369</v>
      </c>
      <c r="B18419" s="24" t="s">
        <v>56370</v>
      </c>
      <c r="C18419" s="24" t="s">
        <v>56371</v>
      </c>
      <c r="D18419" s="25" t="s">
        <v>56372</v>
      </c>
      <c r="E18419" s="28">
        <v>1.00000</v>
      </c>
      <c r="F18419" s="29">
        <f ca="1">ROUND(19.000,3)</f>
        <v>0</v>
      </c>
      <c r="G18419" s="27">
        <f ca="1">ROUND(E18419*F18419,2)</f>
        <v>0</v>
      </c>
    </row>
    <row r="18420" spans="1:7" ht="24.36" thickBot="1" customHeight="1">
      <c r="A18420" s="24" t="s">
        <v>56373</v>
      </c>
      <c r="B18420" s="24" t="s">
        <v>56374</v>
      </c>
      <c r="C18420" s="24" t="s">
        <v>56375</v>
      </c>
      <c r="D18420" s="25" t="s">
        <v>56376</v>
      </c>
      <c r="E18420" s="28">
        <v>0.20000</v>
      </c>
      <c r="F18420" s="29">
        <f ca="1">ROUND(19.000,3)</f>
        <v>0</v>
      </c>
      <c r="G18420" s="27">
        <f ca="1">ROUND(E18420*F18420,2)</f>
        <v>0</v>
      </c>
    </row>
    <row r="18421" spans="1:7" ht="15.12" thickBot="1" customHeight="1">
      <c r="A18421" s="26"/>
      <c r="B18421" s="26"/>
      <c r="C18421" s="26"/>
      <c r="D18421" s="24" t="s">
        <v>56377</v>
      </c>
      <c r="E18421" s="28">
        <v>0.26667</v>
      </c>
      <c r="F18421" s="29">
        <f ca="1">ROUND((G18418+G18419+G18420),3)</f>
        <v>0</v>
      </c>
      <c r="G18421" s="27">
        <f ca="1">ROUND(E18421*F18421,2)</f>
        <v>0</v>
      </c>
    </row>
    <row r="18422" spans="1:7" ht="15.12" thickBot="1" customHeight="1">
      <c r="A18422" s="24" t="s">
        <v>56378</v>
      </c>
      <c r="B18422" s="24"/>
      <c r="C18422" s="24" t="s">
        <v>56379</v>
      </c>
      <c r="D18422" s="25" t="s">
        <v>56380</v>
      </c>
      <c r="E18422" s="28">
        <v>5.00000</v>
      </c>
      <c r="F18422" s="29">
        <f ca="1">ROUND(11.680,3)</f>
        <v>0</v>
      </c>
      <c r="G18422" s="27">
        <f ca="1">ROUND((E18422*F18422)/100,2)</f>
        <v>0</v>
      </c>
    </row>
    <row r="18423" spans="1:7" ht="15.48" thickBot="1" customHeight="1">
      <c r="A18423" s="30"/>
      <c r="B18423" s="30"/>
      <c r="C18423" s="30"/>
      <c r="D18423" s="31" t="s">
        <v>56381</v>
      </c>
      <c r="E18423" s="30"/>
      <c r="F18423" s="33">
        <f ca="1">ROUND((G18417+G18422)*(1+G2/100),2)</f>
        <v>0</v>
      </c>
      <c r="G18423" s="30"/>
    </row>
    <row r="18424" spans="1:7" ht="15.48" thickBot="1" customHeight="1">
      <c r="A18424" s="39"/>
      <c r="B18424" s="39"/>
      <c r="C18424" s="39"/>
      <c r="D18424" s="73" t="s">
        <v>56382</v>
      </c>
      <c r="E18424" s="74"/>
      <c r="F18424" s="74"/>
      <c r="G18424" s="74"/>
    </row>
    <row r="18425" spans="1:7" ht="22.08" thickBot="1" customHeight="1">
      <c r="A18425" s="83" t="s">
        <v>56383</v>
      </c>
      <c r="B18425" s="83" t="s">
        <v>56384</v>
      </c>
      <c r="C18425" s="84"/>
      <c r="D18425" s="85" t="s">
        <v>56385</v>
      </c>
      <c r="E18425" s="84"/>
      <c r="F18425" s="84"/>
      <c r="G18425" s="84"/>
    </row>
    <row r="18426" spans="1:7" ht="76.80" thickBot="1" customHeight="1">
      <c r="A18426" s="10" t="s">
        <v>56386</v>
      </c>
      <c r="B18426" s="24" t="s">
        <v>56387</v>
      </c>
      <c r="C18426" s="24" t="s">
        <v>56388</v>
      </c>
      <c r="D18426" s="25" t="s">
        <v>56389</v>
      </c>
      <c r="E18426" s="26"/>
      <c r="F18426" s="27">
        <f ca="1">F18441</f>
        <v>0</v>
      </c>
      <c r="G18426" s="26"/>
    </row>
    <row r="18427" spans="1:7" ht="21.36" thickBot="1" customHeight="1">
      <c r="A18427" s="26"/>
      <c r="B18427" s="26"/>
      <c r="C18427" s="26"/>
      <c r="D18427" s="25" t="s">
        <v>56390</v>
      </c>
      <c r="E18427" s="25"/>
      <c r="F18427" s="25"/>
      <c r="G18427" s="25"/>
    </row>
    <row r="18428" spans="1:7" ht="24.36" thickBot="1" customHeight="1">
      <c r="A18428" s="24" t="s">
        <v>56391</v>
      </c>
      <c r="B18428" s="24" t="s">
        <v>56392</v>
      </c>
      <c r="C18428" s="24" t="s">
        <v>56393</v>
      </c>
      <c r="D18428" s="25" t="s">
        <v>56394</v>
      </c>
      <c r="E18428" s="28">
        <v>4.00000</v>
      </c>
      <c r="F18428" s="29">
        <f ca="1">ROUND(27.230,3)</f>
        <v>0</v>
      </c>
      <c r="G18428" s="27">
        <f ca="1">ROUND(E18428*F18428,2)</f>
        <v>0</v>
      </c>
    </row>
    <row r="18429" spans="1:7" ht="30.60" thickBot="1" customHeight="1">
      <c r="A18429" s="24" t="s">
        <v>56395</v>
      </c>
      <c r="B18429" s="24" t="s">
        <v>56396</v>
      </c>
      <c r="C18429" s="24" t="s">
        <v>56397</v>
      </c>
      <c r="D18429" s="25" t="s">
        <v>56398</v>
      </c>
      <c r="E18429" s="28">
        <v>0.50000</v>
      </c>
      <c r="F18429" s="29">
        <f ca="1">ROUND(7.930,3)</f>
        <v>0</v>
      </c>
      <c r="G18429" s="27">
        <f ca="1">ROUND(E18429*F18429,2)</f>
        <v>0</v>
      </c>
    </row>
    <row r="18430" spans="1:7" ht="39.84" thickBot="1" customHeight="1">
      <c r="A18430" s="24" t="s">
        <v>56399</v>
      </c>
      <c r="B18430" s="24" t="s">
        <v>56400</v>
      </c>
      <c r="C18430" s="24" t="s">
        <v>56401</v>
      </c>
      <c r="D18430" s="25" t="s">
        <v>56402</v>
      </c>
      <c r="E18430" s="28">
        <v>0.16896</v>
      </c>
      <c r="F18430" s="29">
        <f ca="1">ROUND(7.370,3)</f>
        <v>0</v>
      </c>
      <c r="G18430" s="27">
        <f ca="1">ROUND(E18430*F18430,2)</f>
        <v>0</v>
      </c>
    </row>
    <row r="18431" spans="1:7" ht="30.60" thickBot="1" customHeight="1">
      <c r="A18431" s="24" t="s">
        <v>56403</v>
      </c>
      <c r="B18431" s="24" t="s">
        <v>56404</v>
      </c>
      <c r="C18431" s="24" t="s">
        <v>56405</v>
      </c>
      <c r="D18431" s="25" t="s">
        <v>56406</v>
      </c>
      <c r="E18431" s="28">
        <v>2.00000</v>
      </c>
      <c r="F18431" s="29">
        <f ca="1">F18433</f>
        <v>0</v>
      </c>
      <c r="G18431" s="27">
        <f ca="1">ROUND(E18431*F18431,2)</f>
        <v>0</v>
      </c>
    </row>
    <row r="18432" spans="1:7" ht="21.36" thickBot="1" customHeight="1">
      <c r="A18432" s="24" t="s">
        <v>56407</v>
      </c>
      <c r="B18432" s="24" t="s">
        <v>56408</v>
      </c>
      <c r="C18432" s="24" t="s">
        <v>56409</v>
      </c>
      <c r="D18432" s="25" t="s">
        <v>56410</v>
      </c>
      <c r="E18432" s="28">
        <v>0.00417</v>
      </c>
      <c r="F18432" s="29">
        <f ca="1">ROUND(188.430,3)</f>
        <v>0</v>
      </c>
      <c r="G18432" s="27">
        <f ca="1">ROUND(E18432*F18432,2)</f>
        <v>0</v>
      </c>
    </row>
    <row r="18433" spans="1:7" ht="15.12" thickBot="1" customHeight="1">
      <c r="A18433" s="26"/>
      <c r="B18433" s="26"/>
      <c r="C18433" s="26"/>
      <c r="D18433" s="24" t="s">
        <v>56411</v>
      </c>
      <c r="E18433" s="28">
        <v>2.00000</v>
      </c>
      <c r="F18433" s="29">
        <f ca="1">ROUND((G18432),3)</f>
        <v>0</v>
      </c>
      <c r="G18433" s="27">
        <f ca="1">ROUND(E18433*F18433,2)</f>
        <v>0</v>
      </c>
    </row>
    <row r="18434" spans="1:7" ht="30.60" thickBot="1" customHeight="1">
      <c r="A18434" s="24" t="s">
        <v>56412</v>
      </c>
      <c r="B18434" s="24" t="s">
        <v>56413</v>
      </c>
      <c r="C18434" s="24" t="s">
        <v>56414</v>
      </c>
      <c r="D18434" s="25" t="s">
        <v>56415</v>
      </c>
      <c r="E18434" s="28">
        <v>0.20000</v>
      </c>
      <c r="F18434" s="29">
        <f ca="1">ROUND(4.920,3)</f>
        <v>0</v>
      </c>
      <c r="G18434" s="27">
        <f ca="1">ROUND(E18434*F18434,2)</f>
        <v>0</v>
      </c>
    </row>
    <row r="18435" spans="1:7" ht="21.36" thickBot="1" customHeight="1">
      <c r="A18435" s="24" t="s">
        <v>56416</v>
      </c>
      <c r="B18435" s="24" t="s">
        <v>56417</v>
      </c>
      <c r="C18435" s="24" t="s">
        <v>56418</v>
      </c>
      <c r="D18435" s="25" t="s">
        <v>56419</v>
      </c>
      <c r="E18435" s="28">
        <v>4.00000</v>
      </c>
      <c r="F18435" s="29">
        <f ca="1">F18439</f>
        <v>0</v>
      </c>
      <c r="G18435" s="27">
        <f ca="1">ROUND(E18435*F18435,2)</f>
        <v>0</v>
      </c>
    </row>
    <row r="18436" spans="1:7" ht="24.36" thickBot="1" customHeight="1">
      <c r="A18436" s="24" t="s">
        <v>56420</v>
      </c>
      <c r="B18436" s="24" t="s">
        <v>56421</v>
      </c>
      <c r="C18436" s="24" t="s">
        <v>56422</v>
      </c>
      <c r="D18436" s="25" t="s">
        <v>56423</v>
      </c>
      <c r="E18436" s="28">
        <v>1.00000</v>
      </c>
      <c r="F18436" s="29">
        <f ca="1">ROUND(21.000,3)</f>
        <v>0</v>
      </c>
      <c r="G18436" s="27">
        <f ca="1">ROUND(E18436*F18436,2)</f>
        <v>0</v>
      </c>
    </row>
    <row r="18437" spans="1:7" ht="24.36" thickBot="1" customHeight="1">
      <c r="A18437" s="24" t="s">
        <v>56424</v>
      </c>
      <c r="B18437" s="24" t="s">
        <v>56425</v>
      </c>
      <c r="C18437" s="24" t="s">
        <v>56426</v>
      </c>
      <c r="D18437" s="25" t="s">
        <v>56427</v>
      </c>
      <c r="E18437" s="28">
        <v>1.00000</v>
      </c>
      <c r="F18437" s="29">
        <f ca="1">ROUND(19.000,3)</f>
        <v>0</v>
      </c>
      <c r="G18437" s="27">
        <f ca="1">ROUND(E18437*F18437,2)</f>
        <v>0</v>
      </c>
    </row>
    <row r="18438" spans="1:7" ht="24.36" thickBot="1" customHeight="1">
      <c r="A18438" s="24" t="s">
        <v>56428</v>
      </c>
      <c r="B18438" s="24" t="s">
        <v>56429</v>
      </c>
      <c r="C18438" s="24" t="s">
        <v>56430</v>
      </c>
      <c r="D18438" s="25" t="s">
        <v>56431</v>
      </c>
      <c r="E18438" s="28">
        <v>0.20000</v>
      </c>
      <c r="F18438" s="29">
        <f ca="1">ROUND(19.000,3)</f>
        <v>0</v>
      </c>
      <c r="G18438" s="27">
        <f ca="1">ROUND(E18438*F18438,2)</f>
        <v>0</v>
      </c>
    </row>
    <row r="18439" spans="1:7" ht="15.12" thickBot="1" customHeight="1">
      <c r="A18439" s="26"/>
      <c r="B18439" s="26"/>
      <c r="C18439" s="26"/>
      <c r="D18439" s="24" t="s">
        <v>56432</v>
      </c>
      <c r="E18439" s="28">
        <v>4.00000</v>
      </c>
      <c r="F18439" s="29">
        <f ca="1">ROUND((G18436+G18437+G18438),3)</f>
        <v>0</v>
      </c>
      <c r="G18439" s="27">
        <f ca="1">ROUND(E18439*F18439,2)</f>
        <v>0</v>
      </c>
    </row>
    <row r="18440" spans="1:7" ht="15.12" thickBot="1" customHeight="1">
      <c r="A18440" s="24" t="s">
        <v>56433</v>
      </c>
      <c r="B18440" s="24"/>
      <c r="C18440" s="24" t="s">
        <v>56434</v>
      </c>
      <c r="D18440" s="25" t="s">
        <v>56435</v>
      </c>
      <c r="E18440" s="28">
        <v>7.00000</v>
      </c>
      <c r="F18440" s="29">
        <f ca="1">ROUND(175.200,3)</f>
        <v>0</v>
      </c>
      <c r="G18440" s="27">
        <f ca="1">ROUND((E18440*F18440)/100,2)</f>
        <v>0</v>
      </c>
    </row>
    <row r="18441" spans="1:7" ht="15.48" thickBot="1" customHeight="1">
      <c r="A18441" s="30"/>
      <c r="B18441" s="30"/>
      <c r="C18441" s="30"/>
      <c r="D18441" s="31" t="s">
        <v>56436</v>
      </c>
      <c r="E18441" s="30"/>
      <c r="F18441" s="33">
        <f ca="1">ROUND((G18428+G18429+G18430+G18431+G18434+G18435+G18440)*(1+G2/100),2)</f>
        <v>0</v>
      </c>
      <c r="G18441" s="30"/>
    </row>
    <row r="18442" spans="1:7" ht="76.80" thickBot="1" customHeight="1">
      <c r="A18442" s="34" t="s">
        <v>56437</v>
      </c>
      <c r="B18442" s="35" t="s">
        <v>56438</v>
      </c>
      <c r="C18442" s="35" t="s">
        <v>56439</v>
      </c>
      <c r="D18442" s="36" t="s">
        <v>56440</v>
      </c>
      <c r="E18442" s="37"/>
      <c r="F18442" s="38">
        <f ca="1">F18457</f>
        <v>0</v>
      </c>
      <c r="G18442" s="37"/>
    </row>
    <row r="18443" spans="1:7" ht="21.36" thickBot="1" customHeight="1">
      <c r="A18443" s="26"/>
      <c r="B18443" s="26"/>
      <c r="C18443" s="26"/>
      <c r="D18443" s="25" t="s">
        <v>56441</v>
      </c>
      <c r="E18443" s="25"/>
      <c r="F18443" s="25"/>
      <c r="G18443" s="25"/>
    </row>
    <row r="18444" spans="1:7" ht="24.36" thickBot="1" customHeight="1">
      <c r="A18444" s="24" t="s">
        <v>56442</v>
      </c>
      <c r="B18444" s="24" t="s">
        <v>56443</v>
      </c>
      <c r="C18444" s="24" t="s">
        <v>56444</v>
      </c>
      <c r="D18444" s="25" t="s">
        <v>56445</v>
      </c>
      <c r="E18444" s="28">
        <v>7.00000</v>
      </c>
      <c r="F18444" s="29">
        <f ca="1">ROUND(27.230,3)</f>
        <v>0</v>
      </c>
      <c r="G18444" s="27">
        <f ca="1">ROUND(E18444*F18444,2)</f>
        <v>0</v>
      </c>
    </row>
    <row r="18445" spans="1:7" ht="30.60" thickBot="1" customHeight="1">
      <c r="A18445" s="24" t="s">
        <v>56446</v>
      </c>
      <c r="B18445" s="24" t="s">
        <v>56447</v>
      </c>
      <c r="C18445" s="24" t="s">
        <v>56448</v>
      </c>
      <c r="D18445" s="25" t="s">
        <v>56449</v>
      </c>
      <c r="E18445" s="28">
        <v>0.50000</v>
      </c>
      <c r="F18445" s="29">
        <f ca="1">ROUND(7.930,3)</f>
        <v>0</v>
      </c>
      <c r="G18445" s="27">
        <f ca="1">ROUND(E18445*F18445,2)</f>
        <v>0</v>
      </c>
    </row>
    <row r="18446" spans="1:7" ht="39.84" thickBot="1" customHeight="1">
      <c r="A18446" s="24" t="s">
        <v>56450</v>
      </c>
      <c r="B18446" s="24" t="s">
        <v>56451</v>
      </c>
      <c r="C18446" s="24" t="s">
        <v>56452</v>
      </c>
      <c r="D18446" s="25" t="s">
        <v>56453</v>
      </c>
      <c r="E18446" s="28">
        <v>0.16896</v>
      </c>
      <c r="F18446" s="29">
        <f ca="1">ROUND(7.370,3)</f>
        <v>0</v>
      </c>
      <c r="G18446" s="27">
        <f ca="1">ROUND(E18446*F18446,2)</f>
        <v>0</v>
      </c>
    </row>
    <row r="18447" spans="1:7" ht="30.60" thickBot="1" customHeight="1">
      <c r="A18447" s="24" t="s">
        <v>56454</v>
      </c>
      <c r="B18447" s="24" t="s">
        <v>56455</v>
      </c>
      <c r="C18447" s="24" t="s">
        <v>56456</v>
      </c>
      <c r="D18447" s="25" t="s">
        <v>56457</v>
      </c>
      <c r="E18447" s="28">
        <v>0.20000</v>
      </c>
      <c r="F18447" s="29">
        <f ca="1">ROUND(4.920,3)</f>
        <v>0</v>
      </c>
      <c r="G18447" s="27">
        <f ca="1">ROUND(E18447*F18447,2)</f>
        <v>0</v>
      </c>
    </row>
    <row r="18448" spans="1:7" ht="30.60" thickBot="1" customHeight="1">
      <c r="A18448" s="24" t="s">
        <v>56458</v>
      </c>
      <c r="B18448" s="24" t="s">
        <v>56459</v>
      </c>
      <c r="C18448" s="24" t="s">
        <v>56460</v>
      </c>
      <c r="D18448" s="25" t="s">
        <v>56461</v>
      </c>
      <c r="E18448" s="28">
        <v>6.00000</v>
      </c>
      <c r="F18448" s="29">
        <f ca="1">F18450</f>
        <v>0</v>
      </c>
      <c r="G18448" s="27">
        <f ca="1">ROUND(E18448*F18448,2)</f>
        <v>0</v>
      </c>
    </row>
    <row r="18449" spans="1:7" ht="21.36" thickBot="1" customHeight="1">
      <c r="A18449" s="24" t="s">
        <v>56462</v>
      </c>
      <c r="B18449" s="24" t="s">
        <v>56463</v>
      </c>
      <c r="C18449" s="24" t="s">
        <v>56464</v>
      </c>
      <c r="D18449" s="25" t="s">
        <v>56465</v>
      </c>
      <c r="E18449" s="28">
        <v>0.00417</v>
      </c>
      <c r="F18449" s="29">
        <f ca="1">ROUND(188.430,3)</f>
        <v>0</v>
      </c>
      <c r="G18449" s="27">
        <f ca="1">ROUND(E18449*F18449,2)</f>
        <v>0</v>
      </c>
    </row>
    <row r="18450" spans="1:7" ht="15.12" thickBot="1" customHeight="1">
      <c r="A18450" s="26"/>
      <c r="B18450" s="26"/>
      <c r="C18450" s="26"/>
      <c r="D18450" s="24" t="s">
        <v>56466</v>
      </c>
      <c r="E18450" s="28">
        <v>6.00000</v>
      </c>
      <c r="F18450" s="29">
        <f ca="1">ROUND((G18449),3)</f>
        <v>0</v>
      </c>
      <c r="G18450" s="27">
        <f ca="1">ROUND(E18450*F18450,2)</f>
        <v>0</v>
      </c>
    </row>
    <row r="18451" spans="1:7" ht="21.36" thickBot="1" customHeight="1">
      <c r="A18451" s="24" t="s">
        <v>56467</v>
      </c>
      <c r="B18451" s="24" t="s">
        <v>56468</v>
      </c>
      <c r="C18451" s="24" t="s">
        <v>56469</v>
      </c>
      <c r="D18451" s="25" t="s">
        <v>56470</v>
      </c>
      <c r="E18451" s="28">
        <v>6.00000</v>
      </c>
      <c r="F18451" s="29">
        <f ca="1">F18455</f>
        <v>0</v>
      </c>
      <c r="G18451" s="27">
        <f ca="1">ROUND(E18451*F18451,2)</f>
        <v>0</v>
      </c>
    </row>
    <row r="18452" spans="1:7" ht="24.36" thickBot="1" customHeight="1">
      <c r="A18452" s="24" t="s">
        <v>56471</v>
      </c>
      <c r="B18452" s="24" t="s">
        <v>56472</v>
      </c>
      <c r="C18452" s="24" t="s">
        <v>56473</v>
      </c>
      <c r="D18452" s="25" t="s">
        <v>56474</v>
      </c>
      <c r="E18452" s="28">
        <v>1.00000</v>
      </c>
      <c r="F18452" s="29">
        <f ca="1">ROUND(21.000,3)</f>
        <v>0</v>
      </c>
      <c r="G18452" s="27">
        <f ca="1">ROUND(E18452*F18452,2)</f>
        <v>0</v>
      </c>
    </row>
    <row r="18453" spans="1:7" ht="24.36" thickBot="1" customHeight="1">
      <c r="A18453" s="24" t="s">
        <v>56475</v>
      </c>
      <c r="B18453" s="24" t="s">
        <v>56476</v>
      </c>
      <c r="C18453" s="24" t="s">
        <v>56477</v>
      </c>
      <c r="D18453" s="25" t="s">
        <v>56478</v>
      </c>
      <c r="E18453" s="28">
        <v>1.00000</v>
      </c>
      <c r="F18453" s="29">
        <f ca="1">ROUND(19.000,3)</f>
        <v>0</v>
      </c>
      <c r="G18453" s="27">
        <f ca="1">ROUND(E18453*F18453,2)</f>
        <v>0</v>
      </c>
    </row>
    <row r="18454" spans="1:7" ht="24.36" thickBot="1" customHeight="1">
      <c r="A18454" s="24" t="s">
        <v>56479</v>
      </c>
      <c r="B18454" s="24" t="s">
        <v>56480</v>
      </c>
      <c r="C18454" s="24" t="s">
        <v>56481</v>
      </c>
      <c r="D18454" s="25" t="s">
        <v>56482</v>
      </c>
      <c r="E18454" s="28">
        <v>0.20000</v>
      </c>
      <c r="F18454" s="29">
        <f ca="1">ROUND(19.000,3)</f>
        <v>0</v>
      </c>
      <c r="G18454" s="27">
        <f ca="1">ROUND(E18454*F18454,2)</f>
        <v>0</v>
      </c>
    </row>
    <row r="18455" spans="1:7" ht="15.12" thickBot="1" customHeight="1">
      <c r="A18455" s="26"/>
      <c r="B18455" s="26"/>
      <c r="C18455" s="26"/>
      <c r="D18455" s="24" t="s">
        <v>56483</v>
      </c>
      <c r="E18455" s="28">
        <v>6.00000</v>
      </c>
      <c r="F18455" s="29">
        <f ca="1">ROUND((G18452+G18453+G18454),3)</f>
        <v>0</v>
      </c>
      <c r="G18455" s="27">
        <f ca="1">ROUND(E18455*F18455,2)</f>
        <v>0</v>
      </c>
    </row>
    <row r="18456" spans="1:7" ht="15.12" thickBot="1" customHeight="1">
      <c r="A18456" s="24" t="s">
        <v>56484</v>
      </c>
      <c r="B18456" s="24"/>
      <c r="C18456" s="24" t="s">
        <v>56485</v>
      </c>
      <c r="D18456" s="25" t="s">
        <v>56486</v>
      </c>
      <c r="E18456" s="28">
        <v>7.00000</v>
      </c>
      <c r="F18456" s="29">
        <f ca="1">ROUND(262.800,3)</f>
        <v>0</v>
      </c>
      <c r="G18456" s="27">
        <f ca="1">ROUND((E18456*F18456)/100,2)</f>
        <v>0</v>
      </c>
    </row>
    <row r="18457" spans="1:7" ht="15.48" thickBot="1" customHeight="1">
      <c r="A18457" s="30"/>
      <c r="B18457" s="30"/>
      <c r="C18457" s="30"/>
      <c r="D18457" s="31" t="s">
        <v>56487</v>
      </c>
      <c r="E18457" s="30"/>
      <c r="F18457" s="33">
        <f ca="1">ROUND((G18444+G18445+G18446+G18447+G18448+G18451+G18456)*(1+G2/100),2)</f>
        <v>0</v>
      </c>
      <c r="G18457" s="30"/>
    </row>
    <row r="18458" spans="1:7" ht="15.48" thickBot="1" customHeight="1">
      <c r="A18458" s="39"/>
      <c r="B18458" s="39"/>
      <c r="C18458" s="39"/>
      <c r="D18458" s="73" t="s">
        <v>56488</v>
      </c>
      <c r="E18458" s="74"/>
      <c r="F18458" s="74"/>
      <c r="G18458" s="74"/>
    </row>
    <row r="18459" spans="1:7" ht="25.08" thickBot="1" customHeight="1">
      <c r="A18459" s="39"/>
      <c r="B18459" s="39"/>
      <c r="C18459" s="39"/>
      <c r="D18459" s="48" t="s">
        <v>56489</v>
      </c>
      <c r="E18459" s="49"/>
      <c r="F18459" s="49"/>
      <c r="G18459" s="49"/>
    </row>
    <row r="18460" spans="1:7" ht="39.84" thickBot="1" customHeight="1">
      <c r="A18460" s="34" t="s">
        <v>56490</v>
      </c>
      <c r="B18460" s="35" t="s">
        <v>56491</v>
      </c>
      <c r="C18460" s="35" t="s">
        <v>56492</v>
      </c>
      <c r="D18460" s="36" t="s">
        <v>56493</v>
      </c>
      <c r="E18460" s="37"/>
      <c r="F18460" s="38">
        <f ca="1">F18469</f>
        <v>0</v>
      </c>
      <c r="G18460" s="37"/>
    </row>
    <row r="18461" spans="1:7" ht="21.36" thickBot="1" customHeight="1">
      <c r="A18461" s="26"/>
      <c r="B18461" s="26"/>
      <c r="C18461" s="26"/>
      <c r="D18461" s="25" t="s">
        <v>56494</v>
      </c>
      <c r="E18461" s="25"/>
      <c r="F18461" s="25"/>
      <c r="G18461" s="25"/>
    </row>
    <row r="18462" spans="1:7" ht="30.60" thickBot="1" customHeight="1">
      <c r="A18462" s="24" t="s">
        <v>56495</v>
      </c>
      <c r="B18462" s="24" t="s">
        <v>56496</v>
      </c>
      <c r="C18462" s="24" t="s">
        <v>56497</v>
      </c>
      <c r="D18462" s="25" t="s">
        <v>56498</v>
      </c>
      <c r="E18462" s="28">
        <v>0.40000</v>
      </c>
      <c r="F18462" s="29">
        <f ca="1">ROUND(3.700,3)</f>
        <v>0</v>
      </c>
      <c r="G18462" s="27">
        <f ca="1">ROUND(E18462*F18462,2)</f>
        <v>0</v>
      </c>
    </row>
    <row r="18463" spans="1:7" ht="21.36" thickBot="1" customHeight="1">
      <c r="A18463" s="24" t="s">
        <v>56499</v>
      </c>
      <c r="B18463" s="24" t="s">
        <v>56500</v>
      </c>
      <c r="C18463" s="24" t="s">
        <v>56501</v>
      </c>
      <c r="D18463" s="25" t="s">
        <v>56502</v>
      </c>
      <c r="E18463" s="28">
        <v>0.26667</v>
      </c>
      <c r="F18463" s="29">
        <f ca="1">F18467</f>
        <v>0</v>
      </c>
      <c r="G18463" s="27">
        <f ca="1">ROUND(E18463*F18463,2)</f>
        <v>0</v>
      </c>
    </row>
    <row r="18464" spans="1:7" ht="24.36" thickBot="1" customHeight="1">
      <c r="A18464" s="24" t="s">
        <v>56503</v>
      </c>
      <c r="B18464" s="24" t="s">
        <v>56504</v>
      </c>
      <c r="C18464" s="24" t="s">
        <v>56505</v>
      </c>
      <c r="D18464" s="25" t="s">
        <v>56506</v>
      </c>
      <c r="E18464" s="28">
        <v>1.00000</v>
      </c>
      <c r="F18464" s="29">
        <f ca="1">ROUND(21.000,3)</f>
        <v>0</v>
      </c>
      <c r="G18464" s="27">
        <f ca="1">ROUND(E18464*F18464,2)</f>
        <v>0</v>
      </c>
    </row>
    <row r="18465" spans="1:7" ht="24.36" thickBot="1" customHeight="1">
      <c r="A18465" s="24" t="s">
        <v>56507</v>
      </c>
      <c r="B18465" s="24" t="s">
        <v>56508</v>
      </c>
      <c r="C18465" s="24" t="s">
        <v>56509</v>
      </c>
      <c r="D18465" s="25" t="s">
        <v>56510</v>
      </c>
      <c r="E18465" s="28">
        <v>1.00000</v>
      </c>
      <c r="F18465" s="29">
        <f ca="1">ROUND(19.000,3)</f>
        <v>0</v>
      </c>
      <c r="G18465" s="27">
        <f ca="1">ROUND(E18465*F18465,2)</f>
        <v>0</v>
      </c>
    </row>
    <row r="18466" spans="1:7" ht="24.36" thickBot="1" customHeight="1">
      <c r="A18466" s="24" t="s">
        <v>56511</v>
      </c>
      <c r="B18466" s="24" t="s">
        <v>56512</v>
      </c>
      <c r="C18466" s="24" t="s">
        <v>56513</v>
      </c>
      <c r="D18466" s="25" t="s">
        <v>56514</v>
      </c>
      <c r="E18466" s="28">
        <v>0.20000</v>
      </c>
      <c r="F18466" s="29">
        <f ca="1">ROUND(19.000,3)</f>
        <v>0</v>
      </c>
      <c r="G18466" s="27">
        <f ca="1">ROUND(E18466*F18466,2)</f>
        <v>0</v>
      </c>
    </row>
    <row r="18467" spans="1:7" ht="15.12" thickBot="1" customHeight="1">
      <c r="A18467" s="26"/>
      <c r="B18467" s="26"/>
      <c r="C18467" s="26"/>
      <c r="D18467" s="24" t="s">
        <v>56515</v>
      </c>
      <c r="E18467" s="28">
        <v>0.26667</v>
      </c>
      <c r="F18467" s="29">
        <f ca="1">ROUND((G18464+G18465+G18466),3)</f>
        <v>0</v>
      </c>
      <c r="G18467" s="27">
        <f ca="1">ROUND(E18467*F18467,2)</f>
        <v>0</v>
      </c>
    </row>
    <row r="18468" spans="1:7" ht="15.12" thickBot="1" customHeight="1">
      <c r="A18468" s="24" t="s">
        <v>56516</v>
      </c>
      <c r="B18468" s="24"/>
      <c r="C18468" s="24" t="s">
        <v>56517</v>
      </c>
      <c r="D18468" s="25" t="s">
        <v>56518</v>
      </c>
      <c r="E18468" s="28">
        <v>10.00000</v>
      </c>
      <c r="F18468" s="29">
        <f ca="1">ROUND(11.680,3)</f>
        <v>0</v>
      </c>
      <c r="G18468" s="27">
        <f ca="1">ROUND((E18468*F18468)/100,2)</f>
        <v>0</v>
      </c>
    </row>
    <row r="18469" spans="1:7" ht="15.48" thickBot="1" customHeight="1">
      <c r="A18469" s="30"/>
      <c r="B18469" s="30"/>
      <c r="C18469" s="30"/>
      <c r="D18469" s="31" t="s">
        <v>56519</v>
      </c>
      <c r="E18469" s="30"/>
      <c r="F18469" s="33">
        <f ca="1">ROUND((G18462+G18463+G18468)*(1+G2/100),2)</f>
        <v>0</v>
      </c>
      <c r="G18469" s="30"/>
    </row>
    <row r="18470" spans="1:7" ht="15.48" thickBot="1" customHeight="1">
      <c r="A18470" s="66" t="s">
        <v>56520</v>
      </c>
      <c r="B18470" s="66" t="s">
        <v>56521</v>
      </c>
      <c r="C18470" s="67"/>
      <c r="D18470" s="68" t="s">
        <v>56522</v>
      </c>
      <c r="E18470" s="67"/>
      <c r="F18470" s="67"/>
      <c r="G18470" s="67"/>
    </row>
    <row r="18471" spans="1:7" ht="30.60" thickBot="1" customHeight="1">
      <c r="A18471" s="10" t="s">
        <v>56523</v>
      </c>
      <c r="B18471" s="24" t="s">
        <v>56524</v>
      </c>
      <c r="C18471" s="24" t="s">
        <v>56525</v>
      </c>
      <c r="D18471" s="25" t="s">
        <v>56526</v>
      </c>
      <c r="E18471" s="26"/>
      <c r="F18471" s="27">
        <f ca="1">F18482</f>
        <v>0</v>
      </c>
      <c r="G18471" s="26"/>
    </row>
    <row r="18472" spans="1:7" ht="12.12" thickBot="1" customHeight="1">
      <c r="A18472" s="26"/>
      <c r="B18472" s="26"/>
      <c r="C18472" s="26"/>
      <c r="D18472" s="25" t="s">
        <v>56527</v>
      </c>
      <c r="E18472" s="25"/>
      <c r="F18472" s="25"/>
      <c r="G18472" s="25"/>
    </row>
    <row r="18473" spans="1:7" ht="21.36" thickBot="1" customHeight="1">
      <c r="A18473" s="24" t="s">
        <v>56528</v>
      </c>
      <c r="B18473" s="24" t="s">
        <v>56529</v>
      </c>
      <c r="C18473" s="24" t="s">
        <v>56530</v>
      </c>
      <c r="D18473" s="25" t="s">
        <v>56531</v>
      </c>
      <c r="E18473" s="28">
        <v>0.00000</v>
      </c>
      <c r="F18473" s="29">
        <f ca="1">ROUND(9.230,3)</f>
        <v>0</v>
      </c>
      <c r="G18473" s="27">
        <f ca="1">ROUND(E18473*F18473,2)</f>
        <v>0</v>
      </c>
    </row>
    <row r="18474" spans="1:7" ht="21.36" thickBot="1" customHeight="1">
      <c r="A18474" s="24" t="s">
        <v>56532</v>
      </c>
      <c r="B18474" s="24" t="s">
        <v>56533</v>
      </c>
      <c r="C18474" s="24" t="s">
        <v>56534</v>
      </c>
      <c r="D18474" s="25" t="s">
        <v>56535</v>
      </c>
      <c r="E18474" s="28">
        <v>1.00000</v>
      </c>
      <c r="F18474" s="29">
        <f ca="1">ROUND(1.430,3)</f>
        <v>0</v>
      </c>
      <c r="G18474" s="27">
        <f ca="1">ROUND(E18474*F18474,2)</f>
        <v>0</v>
      </c>
    </row>
    <row r="18475" spans="1:7" ht="21.36" thickBot="1" customHeight="1">
      <c r="A18475" s="24" t="s">
        <v>56536</v>
      </c>
      <c r="B18475" s="24" t="s">
        <v>56537</v>
      </c>
      <c r="C18475" s="24" t="s">
        <v>56538</v>
      </c>
      <c r="D18475" s="25" t="s">
        <v>56539</v>
      </c>
      <c r="E18475" s="28">
        <v>0.04000</v>
      </c>
      <c r="F18475" s="29">
        <f ca="1">ROUND(4.950,3)</f>
        <v>0</v>
      </c>
      <c r="G18475" s="27">
        <f ca="1">ROUND(E18475*F18475,2)</f>
        <v>0</v>
      </c>
    </row>
    <row r="18476" spans="1:7" ht="30.60" thickBot="1" customHeight="1">
      <c r="A18476" s="24" t="s">
        <v>56540</v>
      </c>
      <c r="B18476" s="24" t="s">
        <v>56541</v>
      </c>
      <c r="C18476" s="24" t="s">
        <v>56542</v>
      </c>
      <c r="D18476" s="25" t="s">
        <v>56543</v>
      </c>
      <c r="E18476" s="28">
        <v>0.02000</v>
      </c>
      <c r="F18476" s="29">
        <f ca="1">ROUND(3.700,3)</f>
        <v>0</v>
      </c>
      <c r="G18476" s="27">
        <f ca="1">ROUND(E18476*F18476,2)</f>
        <v>0</v>
      </c>
    </row>
    <row r="18477" spans="1:7" ht="30.60" thickBot="1" customHeight="1">
      <c r="A18477" s="24" t="s">
        <v>56544</v>
      </c>
      <c r="B18477" s="24" t="s">
        <v>56545</v>
      </c>
      <c r="C18477" s="24" t="s">
        <v>56546</v>
      </c>
      <c r="D18477" s="25" t="s">
        <v>56547</v>
      </c>
      <c r="E18477" s="28">
        <v>2.00000</v>
      </c>
      <c r="F18477" s="29">
        <f ca="1">F18480</f>
        <v>0</v>
      </c>
      <c r="G18477" s="27">
        <f ca="1">ROUND(E18477*F18477,2)</f>
        <v>0</v>
      </c>
    </row>
    <row r="18478" spans="1:7" ht="24.36" thickBot="1" customHeight="1">
      <c r="A18478" s="24" t="s">
        <v>56548</v>
      </c>
      <c r="B18478" s="24" t="s">
        <v>56549</v>
      </c>
      <c r="C18478" s="24" t="s">
        <v>56550</v>
      </c>
      <c r="D18478" s="25" t="s">
        <v>56551</v>
      </c>
      <c r="E18478" s="28">
        <v>1.00000</v>
      </c>
      <c r="F18478" s="29">
        <f ca="1">ROUND(24.000,3)</f>
        <v>0</v>
      </c>
      <c r="G18478" s="27">
        <f ca="1">ROUND(E18478*F18478,2)</f>
        <v>0</v>
      </c>
    </row>
    <row r="18479" spans="1:7" ht="24.36" thickBot="1" customHeight="1">
      <c r="A18479" s="24" t="s">
        <v>56552</v>
      </c>
      <c r="B18479" s="24" t="s">
        <v>56553</v>
      </c>
      <c r="C18479" s="24" t="s">
        <v>56554</v>
      </c>
      <c r="D18479" s="25" t="s">
        <v>56555</v>
      </c>
      <c r="E18479" s="28">
        <v>1.00000</v>
      </c>
      <c r="F18479" s="29">
        <f ca="1">ROUND(19.000,3)</f>
        <v>0</v>
      </c>
      <c r="G18479" s="27">
        <f ca="1">ROUND(E18479*F18479,2)</f>
        <v>0</v>
      </c>
    </row>
    <row r="18480" spans="1:7" ht="15.12" thickBot="1" customHeight="1">
      <c r="A18480" s="26"/>
      <c r="B18480" s="26"/>
      <c r="C18480" s="26"/>
      <c r="D18480" s="24" t="s">
        <v>56556</v>
      </c>
      <c r="E18480" s="28">
        <v>2.00000</v>
      </c>
      <c r="F18480" s="29">
        <f ca="1">ROUND((G18478+G18479),3)</f>
        <v>0</v>
      </c>
      <c r="G18480" s="27">
        <f ca="1">ROUND(E18480*F18480,2)</f>
        <v>0</v>
      </c>
    </row>
    <row r="18481" spans="1:7" ht="15.12" thickBot="1" customHeight="1">
      <c r="A18481" s="24" t="s">
        <v>56557</v>
      </c>
      <c r="B18481" s="24"/>
      <c r="C18481" s="24" t="s">
        <v>56558</v>
      </c>
      <c r="D18481" s="25" t="s">
        <v>56559</v>
      </c>
      <c r="E18481" s="28">
        <v>7.00000</v>
      </c>
      <c r="F18481" s="29">
        <f ca="1">ROUND(86.000,3)</f>
        <v>0</v>
      </c>
      <c r="G18481" s="27">
        <f ca="1">ROUND((E18481*F18481)/100,2)</f>
        <v>0</v>
      </c>
    </row>
    <row r="18482" spans="1:7" ht="15.48" thickBot="1" customHeight="1">
      <c r="A18482" s="30"/>
      <c r="B18482" s="30"/>
      <c r="C18482" s="30"/>
      <c r="D18482" s="31" t="s">
        <v>56560</v>
      </c>
      <c r="E18482" s="30"/>
      <c r="F18482" s="33">
        <f ca="1">ROUND((G18473+G18474+G18475+G18476+G18477+G18481)*(1+G2/100),2)</f>
        <v>0</v>
      </c>
      <c r="G18482" s="30"/>
    </row>
    <row r="18483" spans="1:7" ht="25.08" thickBot="1" customHeight="1">
      <c r="A18483" s="34" t="s">
        <v>56561</v>
      </c>
      <c r="B18483" s="35" t="s">
        <v>56562</v>
      </c>
      <c r="C18483" s="35" t="s">
        <v>56563</v>
      </c>
      <c r="D18483" s="36" t="s">
        <v>56564</v>
      </c>
      <c r="E18483" s="37"/>
      <c r="F18483" s="38">
        <f ca="1">F18491</f>
        <v>0</v>
      </c>
      <c r="G18483" s="37"/>
    </row>
    <row r="18484" spans="1:7" ht="30.60" thickBot="1" customHeight="1">
      <c r="A18484" s="26"/>
      <c r="B18484" s="26"/>
      <c r="C18484" s="26"/>
      <c r="D18484" s="25" t="s">
        <v>56565</v>
      </c>
      <c r="E18484" s="25"/>
      <c r="F18484" s="25"/>
      <c r="G18484" s="25"/>
    </row>
    <row r="18485" spans="1:7" ht="21.36" thickBot="1" customHeight="1">
      <c r="A18485" s="24" t="s">
        <v>56566</v>
      </c>
      <c r="B18485" s="24" t="s">
        <v>56567</v>
      </c>
      <c r="C18485" s="24" t="s">
        <v>56568</v>
      </c>
      <c r="D18485" s="25" t="s">
        <v>56569</v>
      </c>
      <c r="E18485" s="28">
        <v>4.00000</v>
      </c>
      <c r="F18485" s="29">
        <f ca="1">F18489</f>
        <v>0</v>
      </c>
      <c r="G18485" s="27">
        <f ca="1">ROUND(E18485*F18485,2)</f>
        <v>0</v>
      </c>
    </row>
    <row r="18486" spans="1:7" ht="24.36" thickBot="1" customHeight="1">
      <c r="A18486" s="24" t="s">
        <v>56570</v>
      </c>
      <c r="B18486" s="24" t="s">
        <v>56571</v>
      </c>
      <c r="C18486" s="24" t="s">
        <v>56572</v>
      </c>
      <c r="D18486" s="25" t="s">
        <v>56573</v>
      </c>
      <c r="E18486" s="28">
        <v>1.00000</v>
      </c>
      <c r="F18486" s="29">
        <f ca="1">ROUND(21.000,3)</f>
        <v>0</v>
      </c>
      <c r="G18486" s="27">
        <f ca="1">ROUND(E18486*F18486,2)</f>
        <v>0</v>
      </c>
    </row>
    <row r="18487" spans="1:7" ht="24.36" thickBot="1" customHeight="1">
      <c r="A18487" s="24" t="s">
        <v>56574</v>
      </c>
      <c r="B18487" s="24" t="s">
        <v>56575</v>
      </c>
      <c r="C18487" s="24" t="s">
        <v>56576</v>
      </c>
      <c r="D18487" s="25" t="s">
        <v>56577</v>
      </c>
      <c r="E18487" s="28">
        <v>1.00000</v>
      </c>
      <c r="F18487" s="29">
        <f ca="1">ROUND(19.000,3)</f>
        <v>0</v>
      </c>
      <c r="G18487" s="27">
        <f ca="1">ROUND(E18487*F18487,2)</f>
        <v>0</v>
      </c>
    </row>
    <row r="18488" spans="1:7" ht="24.36" thickBot="1" customHeight="1">
      <c r="A18488" s="24" t="s">
        <v>56578</v>
      </c>
      <c r="B18488" s="24" t="s">
        <v>56579</v>
      </c>
      <c r="C18488" s="24" t="s">
        <v>56580</v>
      </c>
      <c r="D18488" s="25" t="s">
        <v>56581</v>
      </c>
      <c r="E18488" s="28">
        <v>0.20000</v>
      </c>
      <c r="F18488" s="29">
        <f ca="1">ROUND(19.000,3)</f>
        <v>0</v>
      </c>
      <c r="G18488" s="27">
        <f ca="1">ROUND(E18488*F18488,2)</f>
        <v>0</v>
      </c>
    </row>
    <row r="18489" spans="1:7" ht="15.12" thickBot="1" customHeight="1">
      <c r="A18489" s="26"/>
      <c r="B18489" s="26"/>
      <c r="C18489" s="26"/>
      <c r="D18489" s="24" t="s">
        <v>56582</v>
      </c>
      <c r="E18489" s="28">
        <v>4.00000</v>
      </c>
      <c r="F18489" s="29">
        <f ca="1">ROUND((G18486+G18487+G18488),3)</f>
        <v>0</v>
      </c>
      <c r="G18489" s="27">
        <f ca="1">ROUND(E18489*F18489,2)</f>
        <v>0</v>
      </c>
    </row>
    <row r="18490" spans="1:7" ht="15.12" thickBot="1" customHeight="1">
      <c r="A18490" s="24" t="s">
        <v>56583</v>
      </c>
      <c r="B18490" s="24"/>
      <c r="C18490" s="24" t="s">
        <v>56584</v>
      </c>
      <c r="D18490" s="25" t="s">
        <v>56585</v>
      </c>
      <c r="E18490" s="28">
        <v>5.00000</v>
      </c>
      <c r="F18490" s="29">
        <f ca="1">ROUND(175.200,3)</f>
        <v>0</v>
      </c>
      <c r="G18490" s="27">
        <f ca="1">ROUND((E18490*F18490)/100,2)</f>
        <v>0</v>
      </c>
    </row>
    <row r="18491" spans="1:7" ht="15.48" thickBot="1" customHeight="1">
      <c r="A18491" s="30"/>
      <c r="B18491" s="30"/>
      <c r="C18491" s="30"/>
      <c r="D18491" s="31" t="s">
        <v>56586</v>
      </c>
      <c r="E18491" s="30"/>
      <c r="F18491" s="33">
        <f ca="1">ROUND((G18485+G18490)*(1+G2/100),2)</f>
        <v>0</v>
      </c>
      <c r="G18491" s="30"/>
    </row>
    <row r="18492" spans="1:7" ht="30.60" thickBot="1" customHeight="1">
      <c r="A18492" s="34" t="s">
        <v>56587</v>
      </c>
      <c r="B18492" s="35" t="s">
        <v>56588</v>
      </c>
      <c r="C18492" s="35" t="s">
        <v>56589</v>
      </c>
      <c r="D18492" s="36" t="s">
        <v>56590</v>
      </c>
      <c r="E18492" s="37"/>
      <c r="F18492" s="38">
        <f ca="1">F18503</f>
        <v>0</v>
      </c>
      <c r="G18492" s="37"/>
    </row>
    <row r="18493" spans="1:7" ht="12.12" thickBot="1" customHeight="1">
      <c r="A18493" s="26"/>
      <c r="B18493" s="26"/>
      <c r="C18493" s="26"/>
      <c r="D18493" s="25" t="s">
        <v>56591</v>
      </c>
      <c r="E18493" s="25"/>
      <c r="F18493" s="25"/>
      <c r="G18493" s="25"/>
    </row>
    <row r="18494" spans="1:7" ht="21.36" thickBot="1" customHeight="1">
      <c r="A18494" s="24" t="s">
        <v>56592</v>
      </c>
      <c r="B18494" s="24" t="s">
        <v>56593</v>
      </c>
      <c r="C18494" s="24" t="s">
        <v>56594</v>
      </c>
      <c r="D18494" s="25" t="s">
        <v>56595</v>
      </c>
      <c r="E18494" s="28">
        <v>1.00000</v>
      </c>
      <c r="F18494" s="29">
        <f ca="1">ROUND(9.230,3)</f>
        <v>0</v>
      </c>
      <c r="G18494" s="27">
        <f ca="1">ROUND(E18494*F18494,2)</f>
        <v>0</v>
      </c>
    </row>
    <row r="18495" spans="1:7" ht="21.36" thickBot="1" customHeight="1">
      <c r="A18495" s="24" t="s">
        <v>56596</v>
      </c>
      <c r="B18495" s="24" t="s">
        <v>56597</v>
      </c>
      <c r="C18495" s="24" t="s">
        <v>56598</v>
      </c>
      <c r="D18495" s="25" t="s">
        <v>56599</v>
      </c>
      <c r="E18495" s="28">
        <v>1.00000</v>
      </c>
      <c r="F18495" s="29">
        <f ca="1">ROUND(1.430,3)</f>
        <v>0</v>
      </c>
      <c r="G18495" s="27">
        <f ca="1">ROUND(E18495*F18495,2)</f>
        <v>0</v>
      </c>
    </row>
    <row r="18496" spans="1:7" ht="21.36" thickBot="1" customHeight="1">
      <c r="A18496" s="24" t="s">
        <v>56600</v>
      </c>
      <c r="B18496" s="24" t="s">
        <v>56601</v>
      </c>
      <c r="C18496" s="24" t="s">
        <v>56602</v>
      </c>
      <c r="D18496" s="25" t="s">
        <v>56603</v>
      </c>
      <c r="E18496" s="28">
        <v>0.04000</v>
      </c>
      <c r="F18496" s="29">
        <f ca="1">ROUND(4.950,3)</f>
        <v>0</v>
      </c>
      <c r="G18496" s="27">
        <f ca="1">ROUND(E18496*F18496,2)</f>
        <v>0</v>
      </c>
    </row>
    <row r="18497" spans="1:7" ht="30.60" thickBot="1" customHeight="1">
      <c r="A18497" s="24" t="s">
        <v>56604</v>
      </c>
      <c r="B18497" s="24" t="s">
        <v>56605</v>
      </c>
      <c r="C18497" s="24" t="s">
        <v>56606</v>
      </c>
      <c r="D18497" s="25" t="s">
        <v>56607</v>
      </c>
      <c r="E18497" s="28">
        <v>0.02000</v>
      </c>
      <c r="F18497" s="29">
        <f ca="1">ROUND(3.700,3)</f>
        <v>0</v>
      </c>
      <c r="G18497" s="27">
        <f ca="1">ROUND(E18497*F18497,2)</f>
        <v>0</v>
      </c>
    </row>
    <row r="18498" spans="1:7" ht="30.60" thickBot="1" customHeight="1">
      <c r="A18498" s="24" t="s">
        <v>56608</v>
      </c>
      <c r="B18498" s="24" t="s">
        <v>56609</v>
      </c>
      <c r="C18498" s="24" t="s">
        <v>56610</v>
      </c>
      <c r="D18498" s="25" t="s">
        <v>56611</v>
      </c>
      <c r="E18498" s="28">
        <v>2.00000</v>
      </c>
      <c r="F18498" s="29">
        <f ca="1">F18501</f>
        <v>0</v>
      </c>
      <c r="G18498" s="27">
        <f ca="1">ROUND(E18498*F18498,2)</f>
        <v>0</v>
      </c>
    </row>
    <row r="18499" spans="1:7" ht="24.36" thickBot="1" customHeight="1">
      <c r="A18499" s="24" t="s">
        <v>56612</v>
      </c>
      <c r="B18499" s="24" t="s">
        <v>56613</v>
      </c>
      <c r="C18499" s="24" t="s">
        <v>56614</v>
      </c>
      <c r="D18499" s="25" t="s">
        <v>56615</v>
      </c>
      <c r="E18499" s="28">
        <v>1.00000</v>
      </c>
      <c r="F18499" s="29">
        <f ca="1">ROUND(24.000,3)</f>
        <v>0</v>
      </c>
      <c r="G18499" s="27">
        <f ca="1">ROUND(E18499*F18499,2)</f>
        <v>0</v>
      </c>
    </row>
    <row r="18500" spans="1:7" ht="24.36" thickBot="1" customHeight="1">
      <c r="A18500" s="24" t="s">
        <v>56616</v>
      </c>
      <c r="B18500" s="24" t="s">
        <v>56617</v>
      </c>
      <c r="C18500" s="24" t="s">
        <v>56618</v>
      </c>
      <c r="D18500" s="25" t="s">
        <v>56619</v>
      </c>
      <c r="E18500" s="28">
        <v>1.00000</v>
      </c>
      <c r="F18500" s="29">
        <f ca="1">ROUND(19.000,3)</f>
        <v>0</v>
      </c>
      <c r="G18500" s="27">
        <f ca="1">ROUND(E18500*F18500,2)</f>
        <v>0</v>
      </c>
    </row>
    <row r="18501" spans="1:7" ht="15.12" thickBot="1" customHeight="1">
      <c r="A18501" s="26"/>
      <c r="B18501" s="26"/>
      <c r="C18501" s="26"/>
      <c r="D18501" s="24" t="s">
        <v>56620</v>
      </c>
      <c r="E18501" s="28">
        <v>2.00000</v>
      </c>
      <c r="F18501" s="29">
        <f ca="1">ROUND((G18499+G18500),3)</f>
        <v>0</v>
      </c>
      <c r="G18501" s="27">
        <f ca="1">ROUND(E18501*F18501,2)</f>
        <v>0</v>
      </c>
    </row>
    <row r="18502" spans="1:7" ht="15.12" thickBot="1" customHeight="1">
      <c r="A18502" s="24" t="s">
        <v>56621</v>
      </c>
      <c r="B18502" s="24"/>
      <c r="C18502" s="24" t="s">
        <v>56622</v>
      </c>
      <c r="D18502" s="25" t="s">
        <v>56623</v>
      </c>
      <c r="E18502" s="28">
        <v>7.00000</v>
      </c>
      <c r="F18502" s="29">
        <f ca="1">ROUND(86.000,3)</f>
        <v>0</v>
      </c>
      <c r="G18502" s="27">
        <f ca="1">ROUND((E18502*F18502)/100,2)</f>
        <v>0</v>
      </c>
    </row>
    <row r="18503" spans="1:7" ht="15.48" thickBot="1" customHeight="1">
      <c r="A18503" s="30"/>
      <c r="B18503" s="30"/>
      <c r="C18503" s="30"/>
      <c r="D18503" s="31" t="s">
        <v>56624</v>
      </c>
      <c r="E18503" s="30"/>
      <c r="F18503" s="33">
        <f ca="1">ROUND((G18494+G18495+G18496+G18497+G18498+G18502)*(1+G2/100),2)</f>
        <v>0</v>
      </c>
      <c r="G18503" s="30"/>
    </row>
    <row r="18504" spans="1:7" ht="21.36" thickBot="1" customHeight="1">
      <c r="A18504" s="34" t="s">
        <v>56625</v>
      </c>
      <c r="B18504" s="35" t="s">
        <v>56626</v>
      </c>
      <c r="C18504" s="35" t="s">
        <v>56627</v>
      </c>
      <c r="D18504" s="36" t="s">
        <v>56628</v>
      </c>
      <c r="E18504" s="37"/>
      <c r="F18504" s="38">
        <f ca="1">F18512</f>
        <v>0</v>
      </c>
      <c r="G18504" s="37"/>
    </row>
    <row r="18505" spans="1:7" ht="30.60" thickBot="1" customHeight="1">
      <c r="A18505" s="26"/>
      <c r="B18505" s="26"/>
      <c r="C18505" s="26"/>
      <c r="D18505" s="25" t="s">
        <v>56629</v>
      </c>
      <c r="E18505" s="25"/>
      <c r="F18505" s="25"/>
      <c r="G18505" s="25"/>
    </row>
    <row r="18506" spans="1:7" ht="21.36" thickBot="1" customHeight="1">
      <c r="A18506" s="24" t="s">
        <v>56630</v>
      </c>
      <c r="B18506" s="24" t="s">
        <v>56631</v>
      </c>
      <c r="C18506" s="24" t="s">
        <v>56632</v>
      </c>
      <c r="D18506" s="25" t="s">
        <v>56633</v>
      </c>
      <c r="E18506" s="28">
        <v>2.00000</v>
      </c>
      <c r="F18506" s="29">
        <f ca="1">F18510</f>
        <v>0</v>
      </c>
      <c r="G18506" s="27">
        <f ca="1">ROUND(E18506*F18506,2)</f>
        <v>0</v>
      </c>
    </row>
    <row r="18507" spans="1:7" ht="24.36" thickBot="1" customHeight="1">
      <c r="A18507" s="24" t="s">
        <v>56634</v>
      </c>
      <c r="B18507" s="24" t="s">
        <v>56635</v>
      </c>
      <c r="C18507" s="24" t="s">
        <v>56636</v>
      </c>
      <c r="D18507" s="25" t="s">
        <v>56637</v>
      </c>
      <c r="E18507" s="28">
        <v>1.00000</v>
      </c>
      <c r="F18507" s="29">
        <f ca="1">ROUND(21.000,3)</f>
        <v>0</v>
      </c>
      <c r="G18507" s="27">
        <f ca="1">ROUND(E18507*F18507,2)</f>
        <v>0</v>
      </c>
    </row>
    <row r="18508" spans="1:7" ht="24.36" thickBot="1" customHeight="1">
      <c r="A18508" s="24" t="s">
        <v>56638</v>
      </c>
      <c r="B18508" s="24" t="s">
        <v>56639</v>
      </c>
      <c r="C18508" s="24" t="s">
        <v>56640</v>
      </c>
      <c r="D18508" s="25" t="s">
        <v>56641</v>
      </c>
      <c r="E18508" s="28">
        <v>1.00000</v>
      </c>
      <c r="F18508" s="29">
        <f ca="1">ROUND(19.000,3)</f>
        <v>0</v>
      </c>
      <c r="G18508" s="27">
        <f ca="1">ROUND(E18508*F18508,2)</f>
        <v>0</v>
      </c>
    </row>
    <row r="18509" spans="1:7" ht="24.36" thickBot="1" customHeight="1">
      <c r="A18509" s="24" t="s">
        <v>56642</v>
      </c>
      <c r="B18509" s="24" t="s">
        <v>56643</v>
      </c>
      <c r="C18509" s="24" t="s">
        <v>56644</v>
      </c>
      <c r="D18509" s="25" t="s">
        <v>56645</v>
      </c>
      <c r="E18509" s="28">
        <v>0.20000</v>
      </c>
      <c r="F18509" s="29">
        <f ca="1">ROUND(19.000,3)</f>
        <v>0</v>
      </c>
      <c r="G18509" s="27">
        <f ca="1">ROUND(E18509*F18509,2)</f>
        <v>0</v>
      </c>
    </row>
    <row r="18510" spans="1:7" ht="15.12" thickBot="1" customHeight="1">
      <c r="A18510" s="26"/>
      <c r="B18510" s="26"/>
      <c r="C18510" s="26"/>
      <c r="D18510" s="24" t="s">
        <v>56646</v>
      </c>
      <c r="E18510" s="28">
        <v>2.00000</v>
      </c>
      <c r="F18510" s="29">
        <f ca="1">ROUND((G18507+G18508+G18509),3)</f>
        <v>0</v>
      </c>
      <c r="G18510" s="27">
        <f ca="1">ROUND(E18510*F18510,2)</f>
        <v>0</v>
      </c>
    </row>
    <row r="18511" spans="1:7" ht="15.12" thickBot="1" customHeight="1">
      <c r="A18511" s="24" t="s">
        <v>56647</v>
      </c>
      <c r="B18511" s="24"/>
      <c r="C18511" s="24" t="s">
        <v>56648</v>
      </c>
      <c r="D18511" s="25" t="s">
        <v>56649</v>
      </c>
      <c r="E18511" s="28">
        <v>5.00000</v>
      </c>
      <c r="F18511" s="29">
        <f ca="1">ROUND(87.600,3)</f>
        <v>0</v>
      </c>
      <c r="G18511" s="27">
        <f ca="1">ROUND((E18511*F18511)/100,2)</f>
        <v>0</v>
      </c>
    </row>
    <row r="18512" spans="1:7" ht="15.48" thickBot="1" customHeight="1">
      <c r="A18512" s="30"/>
      <c r="B18512" s="30"/>
      <c r="C18512" s="30"/>
      <c r="D18512" s="31" t="s">
        <v>56650</v>
      </c>
      <c r="E18512" s="30"/>
      <c r="F18512" s="33">
        <f ca="1">ROUND((G18506+G18511)*(1+G2/100),2)</f>
        <v>0</v>
      </c>
      <c r="G18512" s="30"/>
    </row>
    <row r="18513" spans="1:7" ht="15.48" thickBot="1" customHeight="1">
      <c r="A18513" s="39"/>
      <c r="B18513" s="39"/>
      <c r="C18513" s="39"/>
      <c r="D18513" s="48" t="s">
        <v>56651</v>
      </c>
      <c r="E18513" s="49"/>
      <c r="F18513" s="49"/>
      <c r="G18513" s="49"/>
    </row>
    <row r="18514" spans="1:7" ht="49.08" thickBot="1" customHeight="1">
      <c r="A18514" s="34" t="s">
        <v>56652</v>
      </c>
      <c r="B18514" s="35" t="s">
        <v>56653</v>
      </c>
      <c r="C18514" s="35" t="s">
        <v>56654</v>
      </c>
      <c r="D18514" s="36" t="s">
        <v>56655</v>
      </c>
      <c r="E18514" s="37"/>
      <c r="F18514" s="38">
        <f ca="1">F18523</f>
        <v>0</v>
      </c>
      <c r="G18514" s="37"/>
    </row>
    <row r="18515" spans="1:7" ht="21.36" thickBot="1" customHeight="1">
      <c r="A18515" s="26"/>
      <c r="B18515" s="26"/>
      <c r="C18515" s="26"/>
      <c r="D18515" s="25" t="s">
        <v>56656</v>
      </c>
      <c r="E18515" s="25"/>
      <c r="F18515" s="25"/>
      <c r="G18515" s="25"/>
    </row>
    <row r="18516" spans="1:7" ht="49.08" thickBot="1" customHeight="1">
      <c r="A18516" s="24" t="s">
        <v>56657</v>
      </c>
      <c r="B18516" s="24" t="s">
        <v>56658</v>
      </c>
      <c r="C18516" s="24" t="s">
        <v>56659</v>
      </c>
      <c r="D18516" s="25" t="s">
        <v>56660</v>
      </c>
      <c r="E18516" s="28">
        <v>0.18330</v>
      </c>
      <c r="F18516" s="29">
        <f ca="1">ROUND(13.300,3)</f>
        <v>0</v>
      </c>
      <c r="G18516" s="27">
        <f ca="1">ROUND(E18516*F18516,2)</f>
        <v>0</v>
      </c>
    </row>
    <row r="18517" spans="1:7" ht="21.36" thickBot="1" customHeight="1">
      <c r="A18517" s="24" t="s">
        <v>56661</v>
      </c>
      <c r="B18517" s="24" t="s">
        <v>56662</v>
      </c>
      <c r="C18517" s="24" t="s">
        <v>56663</v>
      </c>
      <c r="D18517" s="25" t="s">
        <v>56664</v>
      </c>
      <c r="E18517" s="28">
        <v>1.00000</v>
      </c>
      <c r="F18517" s="29">
        <f ca="1">F18521</f>
        <v>0</v>
      </c>
      <c r="G18517" s="27">
        <f ca="1">ROUND(E18517*F18517,2)</f>
        <v>0</v>
      </c>
    </row>
    <row r="18518" spans="1:7" ht="24.36" thickBot="1" customHeight="1">
      <c r="A18518" s="24" t="s">
        <v>56665</v>
      </c>
      <c r="B18518" s="24" t="s">
        <v>56666</v>
      </c>
      <c r="C18518" s="24" t="s">
        <v>56667</v>
      </c>
      <c r="D18518" s="25" t="s">
        <v>56668</v>
      </c>
      <c r="E18518" s="28">
        <v>1.00000</v>
      </c>
      <c r="F18518" s="29">
        <f ca="1">ROUND(21.000,3)</f>
        <v>0</v>
      </c>
      <c r="G18518" s="27">
        <f ca="1">ROUND(E18518*F18518,2)</f>
        <v>0</v>
      </c>
    </row>
    <row r="18519" spans="1:7" ht="24.36" thickBot="1" customHeight="1">
      <c r="A18519" s="24" t="s">
        <v>56669</v>
      </c>
      <c r="B18519" s="24" t="s">
        <v>56670</v>
      </c>
      <c r="C18519" s="24" t="s">
        <v>56671</v>
      </c>
      <c r="D18519" s="25" t="s">
        <v>56672</v>
      </c>
      <c r="E18519" s="28">
        <v>1.00000</v>
      </c>
      <c r="F18519" s="29">
        <f ca="1">ROUND(19.000,3)</f>
        <v>0</v>
      </c>
      <c r="G18519" s="27">
        <f ca="1">ROUND(E18519*F18519,2)</f>
        <v>0</v>
      </c>
    </row>
    <row r="18520" spans="1:7" ht="24.36" thickBot="1" customHeight="1">
      <c r="A18520" s="24" t="s">
        <v>56673</v>
      </c>
      <c r="B18520" s="24" t="s">
        <v>56674</v>
      </c>
      <c r="C18520" s="24" t="s">
        <v>56675</v>
      </c>
      <c r="D18520" s="25" t="s">
        <v>56676</v>
      </c>
      <c r="E18520" s="28">
        <v>0.20000</v>
      </c>
      <c r="F18520" s="29">
        <f ca="1">ROUND(19.000,3)</f>
        <v>0</v>
      </c>
      <c r="G18520" s="27">
        <f ca="1">ROUND(E18520*F18520,2)</f>
        <v>0</v>
      </c>
    </row>
    <row r="18521" spans="1:7" ht="15.12" thickBot="1" customHeight="1">
      <c r="A18521" s="26"/>
      <c r="B18521" s="26"/>
      <c r="C18521" s="26"/>
      <c r="D18521" s="24" t="s">
        <v>56677</v>
      </c>
      <c r="E18521" s="28">
        <v>1.00000</v>
      </c>
      <c r="F18521" s="29">
        <f ca="1">ROUND((G18518+G18519+G18520),3)</f>
        <v>0</v>
      </c>
      <c r="G18521" s="27">
        <f ca="1">ROUND(E18521*F18521,2)</f>
        <v>0</v>
      </c>
    </row>
    <row r="18522" spans="1:7" ht="15.12" thickBot="1" customHeight="1">
      <c r="A18522" s="24" t="s">
        <v>56678</v>
      </c>
      <c r="B18522" s="24"/>
      <c r="C18522" s="24" t="s">
        <v>56679</v>
      </c>
      <c r="D18522" s="25" t="s">
        <v>56680</v>
      </c>
      <c r="E18522" s="28">
        <v>5.00000</v>
      </c>
      <c r="F18522" s="29">
        <f ca="1">ROUND(43.800,3)</f>
        <v>0</v>
      </c>
      <c r="G18522" s="27">
        <f ca="1">ROUND((E18522*F18522)/100,2)</f>
        <v>0</v>
      </c>
    </row>
    <row r="18523" spans="1:7" ht="15.48" thickBot="1" customHeight="1">
      <c r="A18523" s="30"/>
      <c r="B18523" s="30"/>
      <c r="C18523" s="30"/>
      <c r="D18523" s="31" t="s">
        <v>56681</v>
      </c>
      <c r="E18523" s="30"/>
      <c r="F18523" s="33">
        <f ca="1">ROUND((G18516+G18517+G18522)*(1+G2/100),2)</f>
        <v>0</v>
      </c>
      <c r="G18523" s="30"/>
    </row>
    <row r="18524" spans="1:7" ht="49.08" thickBot="1" customHeight="1">
      <c r="A18524" s="34" t="s">
        <v>56682</v>
      </c>
      <c r="B18524" s="35" t="s">
        <v>56683</v>
      </c>
      <c r="C18524" s="35" t="s">
        <v>56684</v>
      </c>
      <c r="D18524" s="36" t="s">
        <v>56685</v>
      </c>
      <c r="E18524" s="37"/>
      <c r="F18524" s="38">
        <f ca="1">F18535</f>
        <v>0</v>
      </c>
      <c r="G18524" s="37"/>
    </row>
    <row r="18525" spans="1:7" ht="21.36" thickBot="1" customHeight="1">
      <c r="A18525" s="26"/>
      <c r="B18525" s="26"/>
      <c r="C18525" s="26"/>
      <c r="D18525" s="25" t="s">
        <v>56686</v>
      </c>
      <c r="E18525" s="25"/>
      <c r="F18525" s="25"/>
      <c r="G18525" s="25"/>
    </row>
    <row r="18526" spans="1:7" ht="21.36" thickBot="1" customHeight="1">
      <c r="A18526" s="24" t="s">
        <v>56687</v>
      </c>
      <c r="B18526" s="24" t="s">
        <v>56688</v>
      </c>
      <c r="C18526" s="24" t="s">
        <v>56689</v>
      </c>
      <c r="D18526" s="25" t="s">
        <v>56690</v>
      </c>
      <c r="E18526" s="28">
        <v>0.50000</v>
      </c>
      <c r="F18526" s="29">
        <f ca="1">ROUND(3.710,3)</f>
        <v>0</v>
      </c>
      <c r="G18526" s="27">
        <f ca="1">ROUND(E18526*F18526,2)</f>
        <v>0</v>
      </c>
    </row>
    <row r="18527" spans="1:7" ht="21.36" thickBot="1" customHeight="1">
      <c r="A18527" s="24" t="s">
        <v>56691</v>
      </c>
      <c r="B18527" s="24" t="s">
        <v>56692</v>
      </c>
      <c r="C18527" s="24" t="s">
        <v>56693</v>
      </c>
      <c r="D18527" s="25" t="s">
        <v>56694</v>
      </c>
      <c r="E18527" s="28">
        <v>0.04000</v>
      </c>
      <c r="F18527" s="29">
        <f ca="1">ROUND(6.490,3)</f>
        <v>0</v>
      </c>
      <c r="G18527" s="27">
        <f ca="1">ROUND(E18527*F18527,2)</f>
        <v>0</v>
      </c>
    </row>
    <row r="18528" spans="1:7" ht="21.36" thickBot="1" customHeight="1">
      <c r="A18528" s="24" t="s">
        <v>56695</v>
      </c>
      <c r="B18528" s="24" t="s">
        <v>56696</v>
      </c>
      <c r="C18528" s="24" t="s">
        <v>56697</v>
      </c>
      <c r="D18528" s="25" t="s">
        <v>56698</v>
      </c>
      <c r="E18528" s="28">
        <v>0.80000</v>
      </c>
      <c r="F18528" s="29">
        <f ca="1">ROUND(2.000,3)</f>
        <v>0</v>
      </c>
      <c r="G18528" s="27">
        <f ca="1">ROUND(E18528*F18528,2)</f>
        <v>0</v>
      </c>
    </row>
    <row r="18529" spans="1:7" ht="21.36" thickBot="1" customHeight="1">
      <c r="A18529" s="24" t="s">
        <v>56699</v>
      </c>
      <c r="B18529" s="24" t="s">
        <v>56700</v>
      </c>
      <c r="C18529" s="24" t="s">
        <v>56701</v>
      </c>
      <c r="D18529" s="25" t="s">
        <v>56702</v>
      </c>
      <c r="E18529" s="28">
        <v>0.80000</v>
      </c>
      <c r="F18529" s="29">
        <f ca="1">F18533</f>
        <v>0</v>
      </c>
      <c r="G18529" s="27">
        <f ca="1">ROUND(E18529*F18529,2)</f>
        <v>0</v>
      </c>
    </row>
    <row r="18530" spans="1:7" ht="24.36" thickBot="1" customHeight="1">
      <c r="A18530" s="24" t="s">
        <v>56703</v>
      </c>
      <c r="B18530" s="24" t="s">
        <v>56704</v>
      </c>
      <c r="C18530" s="24" t="s">
        <v>56705</v>
      </c>
      <c r="D18530" s="25" t="s">
        <v>56706</v>
      </c>
      <c r="E18530" s="28">
        <v>1.00000</v>
      </c>
      <c r="F18530" s="29">
        <f ca="1">ROUND(21.000,3)</f>
        <v>0</v>
      </c>
      <c r="G18530" s="27">
        <f ca="1">ROUND(E18530*F18530,2)</f>
        <v>0</v>
      </c>
    </row>
    <row r="18531" spans="1:7" ht="24.36" thickBot="1" customHeight="1">
      <c r="A18531" s="24" t="s">
        <v>56707</v>
      </c>
      <c r="B18531" s="24" t="s">
        <v>56708</v>
      </c>
      <c r="C18531" s="24" t="s">
        <v>56709</v>
      </c>
      <c r="D18531" s="25" t="s">
        <v>56710</v>
      </c>
      <c r="E18531" s="28">
        <v>1.00000</v>
      </c>
      <c r="F18531" s="29">
        <f ca="1">ROUND(19.000,3)</f>
        <v>0</v>
      </c>
      <c r="G18531" s="27">
        <f ca="1">ROUND(E18531*F18531,2)</f>
        <v>0</v>
      </c>
    </row>
    <row r="18532" spans="1:7" ht="24.36" thickBot="1" customHeight="1">
      <c r="A18532" s="24" t="s">
        <v>56711</v>
      </c>
      <c r="B18532" s="24" t="s">
        <v>56712</v>
      </c>
      <c r="C18532" s="24" t="s">
        <v>56713</v>
      </c>
      <c r="D18532" s="25" t="s">
        <v>56714</v>
      </c>
      <c r="E18532" s="28">
        <v>0.20000</v>
      </c>
      <c r="F18532" s="29">
        <f ca="1">ROUND(19.000,3)</f>
        <v>0</v>
      </c>
      <c r="G18532" s="27">
        <f ca="1">ROUND(E18532*F18532,2)</f>
        <v>0</v>
      </c>
    </row>
    <row r="18533" spans="1:7" ht="15.12" thickBot="1" customHeight="1">
      <c r="A18533" s="26"/>
      <c r="B18533" s="26"/>
      <c r="C18533" s="26"/>
      <c r="D18533" s="24" t="s">
        <v>56715</v>
      </c>
      <c r="E18533" s="28">
        <v>0.80000</v>
      </c>
      <c r="F18533" s="29">
        <f ca="1">ROUND((G18530+G18531+G18532),3)</f>
        <v>0</v>
      </c>
      <c r="G18533" s="27">
        <f ca="1">ROUND(E18533*F18533,2)</f>
        <v>0</v>
      </c>
    </row>
    <row r="18534" spans="1:7" ht="15.12" thickBot="1" customHeight="1">
      <c r="A18534" s="24" t="s">
        <v>56716</v>
      </c>
      <c r="B18534" s="24"/>
      <c r="C18534" s="24" t="s">
        <v>56717</v>
      </c>
      <c r="D18534" s="25" t="s">
        <v>56718</v>
      </c>
      <c r="E18534" s="28">
        <v>5.00000</v>
      </c>
      <c r="F18534" s="29">
        <f ca="1">ROUND(35.040,3)</f>
        <v>0</v>
      </c>
      <c r="G18534" s="27">
        <f ca="1">ROUND((E18534*F18534)/100,2)</f>
        <v>0</v>
      </c>
    </row>
    <row r="18535" spans="1:7" ht="15.48" thickBot="1" customHeight="1">
      <c r="A18535" s="30"/>
      <c r="B18535" s="30"/>
      <c r="C18535" s="30"/>
      <c r="D18535" s="31" t="s">
        <v>56719</v>
      </c>
      <c r="E18535" s="30"/>
      <c r="F18535" s="33">
        <f ca="1">ROUND((G18526+G18527+G18528+G18529+G18534)*(1+G2/100),2)</f>
        <v>0</v>
      </c>
      <c r="G18535" s="30"/>
    </row>
    <row r="18536" spans="1:7" ht="15.48" thickBot="1" customHeight="1">
      <c r="A18536" s="39"/>
      <c r="B18536" s="39"/>
      <c r="C18536" s="39"/>
      <c r="D18536" s="40" t="s">
        <v>56720</v>
      </c>
      <c r="E18536" s="41"/>
      <c r="F18536" s="41"/>
      <c r="G18536" s="41"/>
    </row>
    <row r="18537" spans="1:7" ht="15.48" thickBot="1" customHeight="1">
      <c r="A18537" s="39"/>
      <c r="B18537" s="39"/>
      <c r="C18537" s="39"/>
      <c r="D18537" s="50" t="s">
        <v>56721</v>
      </c>
      <c r="E18537" s="51"/>
      <c r="F18537" s="51"/>
      <c r="G18537" s="51"/>
    </row>
    <row r="18538" spans="1:7" ht="15.48" thickBot="1" customHeight="1">
      <c r="A18538" s="39"/>
      <c r="B18538" s="39"/>
      <c r="C18538" s="39"/>
      <c r="D18538" s="55" t="s">
        <v>56722</v>
      </c>
      <c r="E18538" s="56"/>
      <c r="F18538" s="56"/>
      <c r="G18538" s="56"/>
    </row>
    <row r="18539" spans="1:7" ht="15.48" thickBot="1" customHeight="1">
      <c r="A18539" s="57" t="s">
        <v>56723</v>
      </c>
      <c r="B18539" s="57" t="s">
        <v>56724</v>
      </c>
      <c r="C18539" s="58"/>
      <c r="D18539" s="59" t="s">
        <v>56725</v>
      </c>
      <c r="E18539" s="58"/>
      <c r="F18539" s="58"/>
      <c r="G18539" s="58"/>
    </row>
    <row r="18540" spans="1:7" ht="15.48" thickBot="1" customHeight="1">
      <c r="A18540" s="18" t="s">
        <v>56726</v>
      </c>
      <c r="B18540" s="18" t="s">
        <v>56727</v>
      </c>
      <c r="C18540" s="19"/>
      <c r="D18540" s="20" t="s">
        <v>56728</v>
      </c>
      <c r="E18540" s="19"/>
      <c r="F18540" s="19"/>
      <c r="G18540" s="19"/>
    </row>
    <row r="18541" spans="1:7" ht="21.36" thickBot="1" customHeight="1">
      <c r="A18541" s="10" t="s">
        <v>56729</v>
      </c>
      <c r="B18541" s="24" t="s">
        <v>56730</v>
      </c>
      <c r="C18541" s="24" t="s">
        <v>56731</v>
      </c>
      <c r="D18541" s="25" t="s">
        <v>56732</v>
      </c>
      <c r="E18541" s="26"/>
      <c r="F18541" s="27">
        <f ca="1">ROUND(1.670*(1+G2/100),2)</f>
        <v>0</v>
      </c>
      <c r="G18541" s="26"/>
    </row>
    <row r="18542" spans="1:7" ht="132.24" thickBot="1" customHeight="1">
      <c r="A18542" s="26"/>
      <c r="B18542" s="26"/>
      <c r="C18542" s="26"/>
      <c r="D18542" s="25" t="s">
        <v>56733</v>
      </c>
      <c r="E18542" s="25"/>
      <c r="F18542" s="25"/>
      <c r="G18542" s="25"/>
    </row>
    <row r="18543" spans="1:7" ht="15.48" thickBot="1" customHeight="1">
      <c r="A18543" s="10" t="s">
        <v>56734</v>
      </c>
      <c r="B18543" s="24" t="s">
        <v>56735</v>
      </c>
      <c r="C18543" s="24" t="s">
        <v>56736</v>
      </c>
      <c r="D18543" s="25" t="s">
        <v>56737</v>
      </c>
      <c r="E18543" s="26"/>
      <c r="F18543" s="27">
        <f ca="1">ROUND(32.000*(1+G2/100),2)</f>
        <v>0</v>
      </c>
      <c r="G18543" s="26"/>
    </row>
    <row r="18544" spans="1:7" ht="12.12" thickBot="1" customHeight="1">
      <c r="A18544" s="26"/>
      <c r="B18544" s="26"/>
      <c r="C18544" s="26"/>
      <c r="D18544" s="25" t="s">
        <v>56738</v>
      </c>
      <c r="E18544" s="25"/>
      <c r="F18544" s="25"/>
      <c r="G18544" s="25"/>
    </row>
    <row r="18545" spans="1:7" ht="30.60" thickBot="1" customHeight="1">
      <c r="A18545" s="10" t="s">
        <v>56739</v>
      </c>
      <c r="B18545" s="24" t="s">
        <v>56740</v>
      </c>
      <c r="C18545" s="24" t="s">
        <v>56741</v>
      </c>
      <c r="D18545" s="25" t="s">
        <v>56742</v>
      </c>
      <c r="E18545" s="26"/>
      <c r="F18545" s="27">
        <f ca="1">ROUND(0.170*(1+G2/100),2)</f>
        <v>0</v>
      </c>
      <c r="G18545" s="26"/>
    </row>
    <row r="18546" spans="1:7" ht="30.60" thickBot="1" customHeight="1">
      <c r="A18546" s="26"/>
      <c r="B18546" s="26"/>
      <c r="C18546" s="26"/>
      <c r="D18546" s="25" t="s">
        <v>56743</v>
      </c>
      <c r="E18546" s="25"/>
      <c r="F18546" s="25"/>
      <c r="G18546" s="25"/>
    </row>
    <row r="18547" spans="1:7" ht="21.36" thickBot="1" customHeight="1">
      <c r="A18547" s="10" t="s">
        <v>56744</v>
      </c>
      <c r="B18547" s="24" t="s">
        <v>56745</v>
      </c>
      <c r="C18547" s="24" t="s">
        <v>56746</v>
      </c>
      <c r="D18547" s="25" t="s">
        <v>56747</v>
      </c>
      <c r="E18547" s="26"/>
      <c r="F18547" s="27">
        <f ca="1">ROUND(2.980*(1+G2/100),2)</f>
        <v>0</v>
      </c>
      <c r="G18547" s="26"/>
    </row>
    <row r="18548" spans="1:7" ht="12.12" thickBot="1" customHeight="1">
      <c r="A18548" s="26"/>
      <c r="B18548" s="26"/>
      <c r="C18548" s="26"/>
      <c r="D18548" s="25" t="s">
        <v>56748</v>
      </c>
      <c r="E18548" s="25"/>
      <c r="F18548" s="25"/>
      <c r="G18548" s="25"/>
    </row>
    <row r="18549" spans="1:7" ht="21.36" thickBot="1" customHeight="1">
      <c r="A18549" s="10" t="s">
        <v>56749</v>
      </c>
      <c r="B18549" s="24" t="s">
        <v>56750</v>
      </c>
      <c r="C18549" s="24" t="s">
        <v>56751</v>
      </c>
      <c r="D18549" s="25" t="s">
        <v>56752</v>
      </c>
      <c r="E18549" s="26"/>
      <c r="F18549" s="27">
        <f ca="1">ROUND(2.480*(1+G2/100),2)</f>
        <v>0</v>
      </c>
      <c r="G18549" s="26"/>
    </row>
    <row r="18550" spans="1:7" ht="12.12" thickBot="1" customHeight="1">
      <c r="A18550" s="26"/>
      <c r="B18550" s="26"/>
      <c r="C18550" s="26"/>
      <c r="D18550" s="25" t="s">
        <v>56753</v>
      </c>
      <c r="E18550" s="25"/>
      <c r="F18550" s="25"/>
      <c r="G18550" s="25"/>
    </row>
    <row r="18551" spans="1:7" ht="21.36" thickBot="1" customHeight="1">
      <c r="A18551" s="10" t="s">
        <v>56754</v>
      </c>
      <c r="B18551" s="24" t="s">
        <v>56755</v>
      </c>
      <c r="C18551" s="24" t="s">
        <v>56756</v>
      </c>
      <c r="D18551" s="25" t="s">
        <v>56757</v>
      </c>
      <c r="E18551" s="26"/>
      <c r="F18551" s="27">
        <f ca="1">ROUND(5.980*(1+G2/100),2)</f>
        <v>0</v>
      </c>
      <c r="G18551" s="26"/>
    </row>
    <row r="18552" spans="1:7" ht="12.12" thickBot="1" customHeight="1">
      <c r="A18552" s="26"/>
      <c r="B18552" s="26"/>
      <c r="C18552" s="26"/>
      <c r="D18552" s="25" t="s">
        <v>56758</v>
      </c>
      <c r="E18552" s="25"/>
      <c r="F18552" s="25"/>
      <c r="G18552" s="25"/>
    </row>
    <row r="18553" spans="1:7" ht="30.60" thickBot="1" customHeight="1">
      <c r="A18553" s="10" t="s">
        <v>56759</v>
      </c>
      <c r="B18553" s="24" t="s">
        <v>56760</v>
      </c>
      <c r="C18553" s="24" t="s">
        <v>56761</v>
      </c>
      <c r="D18553" s="25" t="s">
        <v>56762</v>
      </c>
      <c r="E18553" s="26"/>
      <c r="F18553" s="27">
        <f ca="1">ROUND(4.780*(1+G2/100),2)</f>
        <v>0</v>
      </c>
      <c r="G18553" s="26"/>
    </row>
    <row r="18554" spans="1:7" ht="12.12" thickBot="1" customHeight="1">
      <c r="A18554" s="26"/>
      <c r="B18554" s="26"/>
      <c r="C18554" s="26"/>
      <c r="D18554" s="25" t="s">
        <v>56763</v>
      </c>
      <c r="E18554" s="25"/>
      <c r="F18554" s="25"/>
      <c r="G18554" s="25"/>
    </row>
    <row r="18555" spans="1:7" ht="15.48" thickBot="1" customHeight="1">
      <c r="A18555" s="30"/>
      <c r="B18555" s="30"/>
      <c r="C18555" s="30"/>
      <c r="D18555" s="79" t="s">
        <v>56764</v>
      </c>
      <c r="E18555" s="80"/>
      <c r="F18555" s="80"/>
      <c r="G18555" s="80"/>
    </row>
    <row r="18556" spans="1:7" ht="15.48" thickBot="1" customHeight="1">
      <c r="A18556" s="52" t="s">
        <v>56765</v>
      </c>
      <c r="B18556" s="52" t="s">
        <v>56766</v>
      </c>
      <c r="C18556" s="53"/>
      <c r="D18556" s="54" t="s">
        <v>56767</v>
      </c>
      <c r="E18556" s="53"/>
      <c r="F18556" s="53"/>
      <c r="G18556" s="53"/>
    </row>
    <row r="18557" spans="1:7" ht="15.48" thickBot="1" customHeight="1">
      <c r="A18557" s="10" t="s">
        <v>56768</v>
      </c>
      <c r="B18557" s="24" t="s">
        <v>56769</v>
      </c>
      <c r="C18557" s="24" t="s">
        <v>56770</v>
      </c>
      <c r="D18557" s="25" t="s">
        <v>56771</v>
      </c>
      <c r="E18557" s="26"/>
      <c r="F18557" s="27">
        <f ca="1">ROUND(0.000*(1+G2/100),2)</f>
        <v>0</v>
      </c>
      <c r="G18557" s="26"/>
    </row>
    <row r="18558" spans="1:7" ht="12.12" thickBot="1" customHeight="1">
      <c r="A18558" s="26"/>
      <c r="B18558" s="26"/>
      <c r="C18558" s="26"/>
      <c r="D18558" s="25" t="s">
        <v>56772</v>
      </c>
      <c r="E18558" s="25"/>
      <c r="F18558" s="25"/>
      <c r="G18558" s="25"/>
    </row>
    <row r="18559" spans="1:7" ht="15.48" thickBot="1" customHeight="1">
      <c r="A18559" s="10" t="s">
        <v>56773</v>
      </c>
      <c r="B18559" s="24" t="s">
        <v>56774</v>
      </c>
      <c r="C18559" s="24" t="s">
        <v>56775</v>
      </c>
      <c r="D18559" s="25" t="s">
        <v>56776</v>
      </c>
      <c r="E18559" s="26"/>
      <c r="F18559" s="27">
        <f ca="1">ROUND(0.000*(1+G2/100),2)</f>
        <v>0</v>
      </c>
      <c r="G18559" s="26"/>
    </row>
    <row r="18560" spans="1:7" ht="12.12" thickBot="1" customHeight="1">
      <c r="A18560" s="26"/>
      <c r="B18560" s="26"/>
      <c r="C18560" s="26"/>
      <c r="D18560" s="25" t="s">
        <v>56777</v>
      </c>
      <c r="E18560" s="25"/>
      <c r="F18560" s="25"/>
      <c r="G18560" s="25"/>
    </row>
    <row r="18561" spans="1:7" ht="15.48" thickBot="1" customHeight="1">
      <c r="A18561" s="10" t="s">
        <v>56778</v>
      </c>
      <c r="B18561" s="24" t="s">
        <v>56779</v>
      </c>
      <c r="C18561" s="24" t="s">
        <v>56780</v>
      </c>
      <c r="D18561" s="25" t="s">
        <v>56781</v>
      </c>
      <c r="E18561" s="26"/>
      <c r="F18561" s="27">
        <f ca="1">ROUND(0.000*(1+G2/100),2)</f>
        <v>0</v>
      </c>
      <c r="G18561" s="26"/>
    </row>
    <row r="18562" spans="1:7" ht="12.12" thickBot="1" customHeight="1">
      <c r="A18562" s="26"/>
      <c r="B18562" s="26"/>
      <c r="C18562" s="26"/>
      <c r="D18562" s="25" t="s">
        <v>56782</v>
      </c>
      <c r="E18562" s="25"/>
      <c r="F18562" s="25"/>
      <c r="G18562" s="25"/>
    </row>
    <row r="18563" spans="1:7" ht="15.48" thickBot="1" customHeight="1">
      <c r="A18563" s="10" t="s">
        <v>56783</v>
      </c>
      <c r="B18563" s="24" t="s">
        <v>56784</v>
      </c>
      <c r="C18563" s="24" t="s">
        <v>56785</v>
      </c>
      <c r="D18563" s="25" t="s">
        <v>56786</v>
      </c>
      <c r="E18563" s="26"/>
      <c r="F18563" s="27">
        <f ca="1">ROUND(0.000*(1+G2/100),2)</f>
        <v>0</v>
      </c>
      <c r="G18563" s="26"/>
    </row>
    <row r="18564" spans="1:7" ht="12.12" thickBot="1" customHeight="1">
      <c r="A18564" s="26"/>
      <c r="B18564" s="26"/>
      <c r="C18564" s="26"/>
      <c r="D18564" s="25" t="s">
        <v>56787</v>
      </c>
      <c r="E18564" s="25"/>
      <c r="F18564" s="25"/>
      <c r="G18564" s="25"/>
    </row>
    <row r="18565" spans="1:7" ht="25.08" thickBot="1" customHeight="1">
      <c r="A18565" s="10" t="s">
        <v>56788</v>
      </c>
      <c r="B18565" s="24" t="s">
        <v>56789</v>
      </c>
      <c r="C18565" s="24" t="s">
        <v>56790</v>
      </c>
      <c r="D18565" s="25" t="s">
        <v>56791</v>
      </c>
      <c r="E18565" s="26"/>
      <c r="F18565" s="27">
        <f ca="1">ROUND(0.000*(1+G2/100),2)</f>
        <v>0</v>
      </c>
      <c r="G18565" s="26"/>
    </row>
    <row r="18566" spans="1:7" ht="12.12" thickBot="1" customHeight="1">
      <c r="A18566" s="26"/>
      <c r="B18566" s="26"/>
      <c r="C18566" s="26"/>
      <c r="D18566" s="25" t="s">
        <v>56792</v>
      </c>
      <c r="E18566" s="25"/>
      <c r="F18566" s="25"/>
      <c r="G18566" s="25"/>
    </row>
    <row r="18567" spans="1:7" ht="15.48" thickBot="1" customHeight="1">
      <c r="A18567" s="10" t="s">
        <v>56793</v>
      </c>
      <c r="B18567" s="24" t="s">
        <v>56794</v>
      </c>
      <c r="C18567" s="24" t="s">
        <v>56795</v>
      </c>
      <c r="D18567" s="25" t="s">
        <v>56796</v>
      </c>
      <c r="E18567" s="26"/>
      <c r="F18567" s="27">
        <f ca="1">ROUND(0.000*(1+G2/100),2)</f>
        <v>0</v>
      </c>
      <c r="G18567" s="26"/>
    </row>
    <row r="18568" spans="1:7" ht="12.12" thickBot="1" customHeight="1">
      <c r="A18568" s="26"/>
      <c r="B18568" s="26"/>
      <c r="C18568" s="26"/>
      <c r="D18568" s="25" t="s">
        <v>56797</v>
      </c>
      <c r="E18568" s="25"/>
      <c r="F18568" s="25"/>
      <c r="G18568" s="25"/>
    </row>
    <row r="18569" spans="1:7" ht="15.48" thickBot="1" customHeight="1">
      <c r="A18569" s="10" t="s">
        <v>56798</v>
      </c>
      <c r="B18569" s="24" t="s">
        <v>56799</v>
      </c>
      <c r="C18569" s="24" t="s">
        <v>56800</v>
      </c>
      <c r="D18569" s="25" t="s">
        <v>56801</v>
      </c>
      <c r="E18569" s="26"/>
      <c r="F18569" s="27">
        <f ca="1">ROUND(0.000*(1+G2/100),2)</f>
        <v>0</v>
      </c>
      <c r="G18569" s="26"/>
    </row>
    <row r="18570" spans="1:7" ht="12.12" thickBot="1" customHeight="1">
      <c r="A18570" s="26"/>
      <c r="B18570" s="26"/>
      <c r="C18570" s="26"/>
      <c r="D18570" s="25" t="s">
        <v>56802</v>
      </c>
      <c r="E18570" s="25"/>
      <c r="F18570" s="25"/>
      <c r="G18570" s="25"/>
    </row>
    <row r="18571" spans="1:7" ht="15.48" thickBot="1" customHeight="1">
      <c r="A18571" s="10" t="s">
        <v>56803</v>
      </c>
      <c r="B18571" s="24" t="s">
        <v>56804</v>
      </c>
      <c r="C18571" s="24" t="s">
        <v>56805</v>
      </c>
      <c r="D18571" s="25" t="s">
        <v>56806</v>
      </c>
      <c r="E18571" s="26"/>
      <c r="F18571" s="27">
        <f ca="1">ROUND(0.000*(1+G2/100),2)</f>
        <v>0</v>
      </c>
      <c r="G18571" s="26"/>
    </row>
    <row r="18572" spans="1:7" ht="12.12" thickBot="1" customHeight="1">
      <c r="A18572" s="26"/>
      <c r="B18572" s="26"/>
      <c r="C18572" s="26"/>
      <c r="D18572" s="25" t="s">
        <v>56807</v>
      </c>
      <c r="E18572" s="25"/>
      <c r="F18572" s="25"/>
      <c r="G18572" s="25"/>
    </row>
    <row r="18573" spans="1:7" ht="15.48" thickBot="1" customHeight="1">
      <c r="A18573" s="30"/>
      <c r="B18573" s="30"/>
      <c r="C18573" s="30"/>
      <c r="D18573" s="79" t="s">
        <v>56808</v>
      </c>
      <c r="E18573" s="80"/>
      <c r="F18573" s="80"/>
      <c r="G18573" s="80"/>
    </row>
    <row r="18574" spans="1:7" ht="15.48" thickBot="1" customHeight="1">
      <c r="A18574" s="39"/>
      <c r="B18574" s="39"/>
      <c r="C18574" s="39"/>
      <c r="D18574" s="55" t="s">
        <v>56809</v>
      </c>
      <c r="E18574" s="56"/>
      <c r="F18574" s="56"/>
      <c r="G18574" s="56"/>
    </row>
    <row r="18575" spans="1:7" ht="15.48" thickBot="1" customHeight="1">
      <c r="A18575" s="57" t="s">
        <v>56810</v>
      </c>
      <c r="B18575" s="57" t="s">
        <v>56811</v>
      </c>
      <c r="C18575" s="58"/>
      <c r="D18575" s="59" t="s">
        <v>56812</v>
      </c>
      <c r="E18575" s="58"/>
      <c r="F18575" s="58"/>
      <c r="G18575" s="58"/>
    </row>
    <row r="18576" spans="1:7" ht="21.36" thickBot="1" customHeight="1">
      <c r="A18576" s="10" t="s">
        <v>56813</v>
      </c>
      <c r="B18576" s="24" t="s">
        <v>56814</v>
      </c>
      <c r="C18576" s="24" t="s">
        <v>56815</v>
      </c>
      <c r="D18576" s="25" t="s">
        <v>56816</v>
      </c>
      <c r="E18576" s="26"/>
      <c r="F18576" s="27">
        <f ca="1">F18579</f>
        <v>0</v>
      </c>
      <c r="G18576" s="26"/>
    </row>
    <row r="18577" spans="1:7" ht="30.60" thickBot="1" customHeight="1">
      <c r="A18577" s="26"/>
      <c r="B18577" s="26"/>
      <c r="C18577" s="26"/>
      <c r="D18577" s="25" t="s">
        <v>56817</v>
      </c>
      <c r="E18577" s="25"/>
      <c r="F18577" s="25"/>
      <c r="G18577" s="25"/>
    </row>
    <row r="18578" spans="1:7" ht="15.12" thickBot="1" customHeight="1">
      <c r="A18578" s="24" t="s">
        <v>56818</v>
      </c>
      <c r="B18578" s="24" t="s">
        <v>56819</v>
      </c>
      <c r="C18578" s="24" t="s">
        <v>56820</v>
      </c>
      <c r="D18578" s="25" t="s">
        <v>56821</v>
      </c>
      <c r="E18578" s="28">
        <v>0.01500</v>
      </c>
      <c r="F18578" s="29">
        <f ca="1">ROUND(0.000,3)</f>
        <v>0</v>
      </c>
      <c r="G18578" s="27">
        <f ca="1">ROUND(E18578*F18578,2)</f>
        <v>0</v>
      </c>
    </row>
    <row r="18579" spans="1:7" ht="15.48" thickBot="1" customHeight="1">
      <c r="A18579" s="30"/>
      <c r="B18579" s="30"/>
      <c r="C18579" s="30"/>
      <c r="D18579" s="31" t="s">
        <v>56822</v>
      </c>
      <c r="E18579" s="30"/>
      <c r="F18579" s="33">
        <f ca="1">ROUND((G18578)*(1+G2/100),2)</f>
        <v>0</v>
      </c>
      <c r="G18579" s="30"/>
    </row>
    <row r="18580" spans="1:7" ht="21.36" thickBot="1" customHeight="1">
      <c r="A18580" s="34" t="s">
        <v>56823</v>
      </c>
      <c r="B18580" s="35" t="s">
        <v>56824</v>
      </c>
      <c r="C18580" s="35" t="s">
        <v>56825</v>
      </c>
      <c r="D18580" s="36" t="s">
        <v>56826</v>
      </c>
      <c r="E18580" s="37"/>
      <c r="F18580" s="38">
        <f ca="1">F18583</f>
        <v>0</v>
      </c>
      <c r="G18580" s="37"/>
    </row>
    <row r="18581" spans="1:7" ht="21.36" thickBot="1" customHeight="1">
      <c r="A18581" s="26"/>
      <c r="B18581" s="26"/>
      <c r="C18581" s="26"/>
      <c r="D18581" s="25" t="s">
        <v>56827</v>
      </c>
      <c r="E18581" s="25"/>
      <c r="F18581" s="25"/>
      <c r="G18581" s="25"/>
    </row>
    <row r="18582" spans="1:7" ht="21.36" thickBot="1" customHeight="1">
      <c r="A18582" s="24" t="s">
        <v>56828</v>
      </c>
      <c r="B18582" s="24" t="s">
        <v>56829</v>
      </c>
      <c r="C18582" s="24" t="s">
        <v>56830</v>
      </c>
      <c r="D18582" s="25" t="s">
        <v>56831</v>
      </c>
      <c r="E18582" s="28">
        <v>1.00000</v>
      </c>
      <c r="F18582" s="29">
        <f ca="1">ROUND(300.000,3)</f>
        <v>0</v>
      </c>
      <c r="G18582" s="27">
        <f ca="1">ROUND(E18582*F18582,2)</f>
        <v>0</v>
      </c>
    </row>
    <row r="18583" spans="1:7" ht="15.48" thickBot="1" customHeight="1">
      <c r="A18583" s="30"/>
      <c r="B18583" s="30"/>
      <c r="C18583" s="30"/>
      <c r="D18583" s="31" t="s">
        <v>56832</v>
      </c>
      <c r="E18583" s="30"/>
      <c r="F18583" s="33">
        <f ca="1">ROUND((G18582)*(1+G2/100),2)</f>
        <v>0</v>
      </c>
      <c r="G18583" s="30"/>
    </row>
    <row r="18584" spans="1:7" ht="15.48" thickBot="1" customHeight="1">
      <c r="A18584" s="39"/>
      <c r="B18584" s="39"/>
      <c r="C18584" s="39"/>
      <c r="D18584" s="55" t="s">
        <v>56833</v>
      </c>
      <c r="E18584" s="56"/>
      <c r="F18584" s="56"/>
      <c r="G18584" s="56"/>
    </row>
    <row r="18585" spans="1:7" ht="15.48" thickBot="1" customHeight="1">
      <c r="A18585" s="57" t="s">
        <v>56834</v>
      </c>
      <c r="B18585" s="57" t="s">
        <v>56835</v>
      </c>
      <c r="C18585" s="58"/>
      <c r="D18585" s="59" t="s">
        <v>56836</v>
      </c>
      <c r="E18585" s="58"/>
      <c r="F18585" s="58"/>
      <c r="G18585" s="58"/>
    </row>
    <row r="18586" spans="1:7" ht="21.36" thickBot="1" customHeight="1">
      <c r="A18586" s="10" t="s">
        <v>56837</v>
      </c>
      <c r="B18586" s="24" t="s">
        <v>56838</v>
      </c>
      <c r="C18586" s="24" t="s">
        <v>56839</v>
      </c>
      <c r="D18586" s="25" t="s">
        <v>56840</v>
      </c>
      <c r="E18586" s="26"/>
      <c r="F18586" s="27">
        <f ca="1">F18598</f>
        <v>0</v>
      </c>
      <c r="G18586" s="26"/>
    </row>
    <row r="18587" spans="1:7" ht="113.76" thickBot="1" customHeight="1">
      <c r="A18587" s="26"/>
      <c r="B18587" s="26"/>
      <c r="C18587" s="26"/>
      <c r="D18587" s="25" t="s">
        <v>56841</v>
      </c>
      <c r="E18587" s="25"/>
      <c r="F18587" s="25"/>
      <c r="G18587" s="25"/>
    </row>
    <row r="18588" spans="1:7" ht="21.36" thickBot="1" customHeight="1">
      <c r="A18588" s="24" t="s">
        <v>56842</v>
      </c>
      <c r="B18588" s="24" t="s">
        <v>56843</v>
      </c>
      <c r="C18588" s="24" t="s">
        <v>56844</v>
      </c>
      <c r="D18588" s="25" t="s">
        <v>56845</v>
      </c>
      <c r="E18588" s="28">
        <v>1.00000</v>
      </c>
      <c r="F18588" s="29">
        <f ca="1">F18597</f>
        <v>0</v>
      </c>
      <c r="G18588" s="27">
        <f ca="1">ROUND(E18588*F18588,2)</f>
        <v>0</v>
      </c>
    </row>
    <row r="18589" spans="1:7" ht="30.60" thickBot="1" customHeight="1">
      <c r="A18589" s="24" t="s">
        <v>56846</v>
      </c>
      <c r="B18589" s="24" t="s">
        <v>56847</v>
      </c>
      <c r="C18589" s="24" t="s">
        <v>56848</v>
      </c>
      <c r="D18589" s="25" t="s">
        <v>56849</v>
      </c>
      <c r="E18589" s="28">
        <v>1.00000</v>
      </c>
      <c r="F18589" s="29">
        <f ca="1">ROUND(63.000,3)</f>
        <v>0</v>
      </c>
      <c r="G18589" s="27">
        <f ca="1">ROUND(E18589*F18589,2)</f>
        <v>0</v>
      </c>
    </row>
    <row r="18590" spans="1:7" ht="30.60" thickBot="1" customHeight="1">
      <c r="A18590" s="24" t="s">
        <v>56850</v>
      </c>
      <c r="B18590" s="24" t="s">
        <v>56851</v>
      </c>
      <c r="C18590" s="24" t="s">
        <v>56852</v>
      </c>
      <c r="D18590" s="25" t="s">
        <v>56853</v>
      </c>
      <c r="E18590" s="28">
        <v>0.04000</v>
      </c>
      <c r="F18590" s="29">
        <f ca="1">ROUND(82.110,3)</f>
        <v>0</v>
      </c>
      <c r="G18590" s="27">
        <f ca="1">ROUND(E18590*F18590,2)</f>
        <v>0</v>
      </c>
    </row>
    <row r="18591" spans="1:7" ht="39.84" thickBot="1" customHeight="1">
      <c r="A18591" s="24" t="s">
        <v>56854</v>
      </c>
      <c r="B18591" s="24" t="s">
        <v>56855</v>
      </c>
      <c r="C18591" s="24" t="s">
        <v>56856</v>
      </c>
      <c r="D18591" s="25" t="s">
        <v>56857</v>
      </c>
      <c r="E18591" s="28">
        <v>0.25000</v>
      </c>
      <c r="F18591" s="29">
        <f ca="1">ROUND(8.970,3)</f>
        <v>0</v>
      </c>
      <c r="G18591" s="27">
        <f ca="1">ROUND(E18591*F18591,2)</f>
        <v>0</v>
      </c>
    </row>
    <row r="18592" spans="1:7" ht="30.60" thickBot="1" customHeight="1">
      <c r="A18592" s="24" t="s">
        <v>56858</v>
      </c>
      <c r="B18592" s="24" t="s">
        <v>56859</v>
      </c>
      <c r="C18592" s="24" t="s">
        <v>56860</v>
      </c>
      <c r="D18592" s="25" t="s">
        <v>56861</v>
      </c>
      <c r="E18592" s="28">
        <v>0.25000</v>
      </c>
      <c r="F18592" s="29">
        <f ca="1">ROUND(6.320,3)</f>
        <v>0</v>
      </c>
      <c r="G18592" s="27">
        <f ca="1">ROUND(E18592*F18592,2)</f>
        <v>0</v>
      </c>
    </row>
    <row r="18593" spans="1:7" ht="21.36" thickBot="1" customHeight="1">
      <c r="A18593" s="24" t="s">
        <v>56862</v>
      </c>
      <c r="B18593" s="24" t="s">
        <v>56863</v>
      </c>
      <c r="C18593" s="24" t="s">
        <v>56864</v>
      </c>
      <c r="D18593" s="25" t="s">
        <v>56865</v>
      </c>
      <c r="E18593" s="28">
        <v>0.25000</v>
      </c>
      <c r="F18593" s="29">
        <f ca="1">ROUND(2.000,3)</f>
        <v>0</v>
      </c>
      <c r="G18593" s="27">
        <f ca="1">ROUND(E18593*F18593,2)</f>
        <v>0</v>
      </c>
    </row>
    <row r="18594" spans="1:7" ht="30.60" thickBot="1" customHeight="1">
      <c r="A18594" s="24" t="s">
        <v>56866</v>
      </c>
      <c r="B18594" s="24" t="s">
        <v>56867</v>
      </c>
      <c r="C18594" s="24" t="s">
        <v>56868</v>
      </c>
      <c r="D18594" s="25" t="s">
        <v>56869</v>
      </c>
      <c r="E18594" s="28">
        <v>0.10000</v>
      </c>
      <c r="F18594" s="29">
        <f ca="1">ROUND(4.920,3)</f>
        <v>0</v>
      </c>
      <c r="G18594" s="27">
        <f ca="1">ROUND(E18594*F18594,2)</f>
        <v>0</v>
      </c>
    </row>
    <row r="18595" spans="1:7" ht="21.36" thickBot="1" customHeight="1">
      <c r="A18595" s="24" t="s">
        <v>56870</v>
      </c>
      <c r="B18595" s="24" t="s">
        <v>56871</v>
      </c>
      <c r="C18595" s="24" t="s">
        <v>56872</v>
      </c>
      <c r="D18595" s="25" t="s">
        <v>56873</v>
      </c>
      <c r="E18595" s="28">
        <v>0.20000</v>
      </c>
      <c r="F18595" s="29">
        <f ca="1">ROUND(43.800,3)</f>
        <v>0</v>
      </c>
      <c r="G18595" s="27">
        <f ca="1">ROUND(E18595*F18595,2)</f>
        <v>0</v>
      </c>
    </row>
    <row r="18596" spans="1:7" ht="15.12" thickBot="1" customHeight="1">
      <c r="A18596" s="24" t="s">
        <v>56874</v>
      </c>
      <c r="B18596" s="24"/>
      <c r="C18596" s="24" t="s">
        <v>56875</v>
      </c>
      <c r="D18596" s="25" t="s">
        <v>56876</v>
      </c>
      <c r="E18596" s="28">
        <v>3.00000</v>
      </c>
      <c r="F18596" s="29">
        <f ca="1">ROUND(79.850,3)</f>
        <v>0</v>
      </c>
      <c r="G18596" s="27">
        <f ca="1">ROUND((E18596*F18596)/100,2)</f>
        <v>0</v>
      </c>
    </row>
    <row r="18597" spans="1:7" ht="15.12" thickBot="1" customHeight="1">
      <c r="A18597" s="26"/>
      <c r="B18597" s="26"/>
      <c r="C18597" s="26"/>
      <c r="D18597" s="24" t="s">
        <v>56877</v>
      </c>
      <c r="E18597" s="28">
        <v>1.00000</v>
      </c>
      <c r="F18597" s="29">
        <f ca="1">ROUND((G18589+G18590+G18591+G18592+G18593+G18594+G18595+G18596),3)</f>
        <v>0</v>
      </c>
      <c r="G18597" s="27">
        <f ca="1">ROUND(E18597*F18597,2)</f>
        <v>0</v>
      </c>
    </row>
    <row r="18598" spans="1:7" ht="15.48" thickBot="1" customHeight="1">
      <c r="A18598" s="30"/>
      <c r="B18598" s="30"/>
      <c r="C18598" s="30"/>
      <c r="D18598" s="31" t="s">
        <v>56878</v>
      </c>
      <c r="E18598" s="30"/>
      <c r="F18598" s="33">
        <f ca="1">ROUND((G18588)*(1+G2/100),2)</f>
        <v>0</v>
      </c>
      <c r="G18598" s="30"/>
    </row>
    <row r="18599" spans="1:7" ht="21.36" thickBot="1" customHeight="1">
      <c r="A18599" s="34" t="s">
        <v>56879</v>
      </c>
      <c r="B18599" s="35" t="s">
        <v>56880</v>
      </c>
      <c r="C18599" s="35" t="s">
        <v>56881</v>
      </c>
      <c r="D18599" s="36" t="s">
        <v>56882</v>
      </c>
      <c r="E18599" s="37"/>
      <c r="F18599" s="38">
        <f ca="1">F18611</f>
        <v>0</v>
      </c>
      <c r="G18599" s="37"/>
    </row>
    <row r="18600" spans="1:7" ht="95.28" thickBot="1" customHeight="1">
      <c r="A18600" s="26"/>
      <c r="B18600" s="26"/>
      <c r="C18600" s="26"/>
      <c r="D18600" s="25" t="s">
        <v>56883</v>
      </c>
      <c r="E18600" s="25"/>
      <c r="F18600" s="25"/>
      <c r="G18600" s="25"/>
    </row>
    <row r="18601" spans="1:7" ht="21.36" thickBot="1" customHeight="1">
      <c r="A18601" s="24" t="s">
        <v>56884</v>
      </c>
      <c r="B18601" s="24" t="s">
        <v>56885</v>
      </c>
      <c r="C18601" s="24" t="s">
        <v>56886</v>
      </c>
      <c r="D18601" s="25" t="s">
        <v>56887</v>
      </c>
      <c r="E18601" s="28">
        <v>1.00000</v>
      </c>
      <c r="F18601" s="29">
        <f ca="1">F18610</f>
        <v>0</v>
      </c>
      <c r="G18601" s="27">
        <f ca="1">ROUND(E18601*F18601,2)</f>
        <v>0</v>
      </c>
    </row>
    <row r="18602" spans="1:7" ht="30.60" thickBot="1" customHeight="1">
      <c r="A18602" s="24" t="s">
        <v>56888</v>
      </c>
      <c r="B18602" s="24" t="s">
        <v>56889</v>
      </c>
      <c r="C18602" s="24" t="s">
        <v>56890</v>
      </c>
      <c r="D18602" s="25" t="s">
        <v>56891</v>
      </c>
      <c r="E18602" s="28">
        <v>1.00000</v>
      </c>
      <c r="F18602" s="29">
        <f ca="1">ROUND(70.000,3)</f>
        <v>0</v>
      </c>
      <c r="G18602" s="27">
        <f ca="1">ROUND(E18602*F18602,2)</f>
        <v>0</v>
      </c>
    </row>
    <row r="18603" spans="1:7" ht="30.60" thickBot="1" customHeight="1">
      <c r="A18603" s="24" t="s">
        <v>56892</v>
      </c>
      <c r="B18603" s="24" t="s">
        <v>56893</v>
      </c>
      <c r="C18603" s="24" t="s">
        <v>56894</v>
      </c>
      <c r="D18603" s="25" t="s">
        <v>56895</v>
      </c>
      <c r="E18603" s="28">
        <v>0.04000</v>
      </c>
      <c r="F18603" s="29">
        <f ca="1">ROUND(82.110,3)</f>
        <v>0</v>
      </c>
      <c r="G18603" s="27">
        <f ca="1">ROUND(E18603*F18603,2)</f>
        <v>0</v>
      </c>
    </row>
    <row r="18604" spans="1:7" ht="39.84" thickBot="1" customHeight="1">
      <c r="A18604" s="24" t="s">
        <v>56896</v>
      </c>
      <c r="B18604" s="24" t="s">
        <v>56897</v>
      </c>
      <c r="C18604" s="24" t="s">
        <v>56898</v>
      </c>
      <c r="D18604" s="25" t="s">
        <v>56899</v>
      </c>
      <c r="E18604" s="28">
        <v>0.25000</v>
      </c>
      <c r="F18604" s="29">
        <f ca="1">ROUND(8.970,3)</f>
        <v>0</v>
      </c>
      <c r="G18604" s="27">
        <f ca="1">ROUND(E18604*F18604,2)</f>
        <v>0</v>
      </c>
    </row>
    <row r="18605" spans="1:7" ht="30.60" thickBot="1" customHeight="1">
      <c r="A18605" s="24" t="s">
        <v>56900</v>
      </c>
      <c r="B18605" s="24" t="s">
        <v>56901</v>
      </c>
      <c r="C18605" s="24" t="s">
        <v>56902</v>
      </c>
      <c r="D18605" s="25" t="s">
        <v>56903</v>
      </c>
      <c r="E18605" s="28">
        <v>0.25000</v>
      </c>
      <c r="F18605" s="29">
        <f ca="1">ROUND(6.320,3)</f>
        <v>0</v>
      </c>
      <c r="G18605" s="27">
        <f ca="1">ROUND(E18605*F18605,2)</f>
        <v>0</v>
      </c>
    </row>
    <row r="18606" spans="1:7" ht="21.36" thickBot="1" customHeight="1">
      <c r="A18606" s="24" t="s">
        <v>56904</v>
      </c>
      <c r="B18606" s="24" t="s">
        <v>56905</v>
      </c>
      <c r="C18606" s="24" t="s">
        <v>56906</v>
      </c>
      <c r="D18606" s="25" t="s">
        <v>56907</v>
      </c>
      <c r="E18606" s="28">
        <v>0.25000</v>
      </c>
      <c r="F18606" s="29">
        <f ca="1">ROUND(2.000,3)</f>
        <v>0</v>
      </c>
      <c r="G18606" s="27">
        <f ca="1">ROUND(E18606*F18606,2)</f>
        <v>0</v>
      </c>
    </row>
    <row r="18607" spans="1:7" ht="30.60" thickBot="1" customHeight="1">
      <c r="A18607" s="24" t="s">
        <v>56908</v>
      </c>
      <c r="B18607" s="24" t="s">
        <v>56909</v>
      </c>
      <c r="C18607" s="24" t="s">
        <v>56910</v>
      </c>
      <c r="D18607" s="25" t="s">
        <v>56911</v>
      </c>
      <c r="E18607" s="28">
        <v>0.10000</v>
      </c>
      <c r="F18607" s="29">
        <f ca="1">ROUND(4.920,3)</f>
        <v>0</v>
      </c>
      <c r="G18607" s="27">
        <f ca="1">ROUND(E18607*F18607,2)</f>
        <v>0</v>
      </c>
    </row>
    <row r="18608" spans="1:7" ht="21.36" thickBot="1" customHeight="1">
      <c r="A18608" s="24" t="s">
        <v>56912</v>
      </c>
      <c r="B18608" s="24" t="s">
        <v>56913</v>
      </c>
      <c r="C18608" s="24" t="s">
        <v>56914</v>
      </c>
      <c r="D18608" s="25" t="s">
        <v>56915</v>
      </c>
      <c r="E18608" s="28">
        <v>0.20000</v>
      </c>
      <c r="F18608" s="29">
        <f ca="1">ROUND(43.800,3)</f>
        <v>0</v>
      </c>
      <c r="G18608" s="27">
        <f ca="1">ROUND(E18608*F18608,2)</f>
        <v>0</v>
      </c>
    </row>
    <row r="18609" spans="1:7" ht="15.12" thickBot="1" customHeight="1">
      <c r="A18609" s="24" t="s">
        <v>56916</v>
      </c>
      <c r="B18609" s="24"/>
      <c r="C18609" s="24" t="s">
        <v>56917</v>
      </c>
      <c r="D18609" s="25" t="s">
        <v>56918</v>
      </c>
      <c r="E18609" s="28">
        <v>3.00000</v>
      </c>
      <c r="F18609" s="29">
        <f ca="1">ROUND(86.850,3)</f>
        <v>0</v>
      </c>
      <c r="G18609" s="27">
        <f ca="1">ROUND((E18609*F18609)/100,2)</f>
        <v>0</v>
      </c>
    </row>
    <row r="18610" spans="1:7" ht="15.12" thickBot="1" customHeight="1">
      <c r="A18610" s="26"/>
      <c r="B18610" s="26"/>
      <c r="C18610" s="26"/>
      <c r="D18610" s="24" t="s">
        <v>56919</v>
      </c>
      <c r="E18610" s="28">
        <v>1.00000</v>
      </c>
      <c r="F18610" s="29">
        <f ca="1">ROUND((G18602+G18603+G18604+G18605+G18606+G18607+G18608+G18609),3)</f>
        <v>0</v>
      </c>
      <c r="G18610" s="27">
        <f ca="1">ROUND(E18610*F18610,2)</f>
        <v>0</v>
      </c>
    </row>
    <row r="18611" spans="1:7" ht="15.48" thickBot="1" customHeight="1">
      <c r="A18611" s="30"/>
      <c r="B18611" s="30"/>
      <c r="C18611" s="30"/>
      <c r="D18611" s="31" t="s">
        <v>56920</v>
      </c>
      <c r="E18611" s="30"/>
      <c r="F18611" s="33">
        <f ca="1">ROUND((G18601)*(1+G2/100),2)</f>
        <v>0</v>
      </c>
      <c r="G18611" s="30"/>
    </row>
    <row r="18612" spans="1:7" ht="21.36" thickBot="1" customHeight="1">
      <c r="A18612" s="34" t="s">
        <v>56921</v>
      </c>
      <c r="B18612" s="35" t="s">
        <v>56922</v>
      </c>
      <c r="C18612" s="35" t="s">
        <v>56923</v>
      </c>
      <c r="D18612" s="36" t="s">
        <v>56924</v>
      </c>
      <c r="E18612" s="37"/>
      <c r="F18612" s="38">
        <f ca="1">F18624</f>
        <v>0</v>
      </c>
      <c r="G18612" s="37"/>
    </row>
    <row r="18613" spans="1:7" ht="123.00" thickBot="1" customHeight="1">
      <c r="A18613" s="26"/>
      <c r="B18613" s="26"/>
      <c r="C18613" s="26"/>
      <c r="D18613" s="25" t="s">
        <v>56925</v>
      </c>
      <c r="E18613" s="25"/>
      <c r="F18613" s="25"/>
      <c r="G18613" s="25"/>
    </row>
    <row r="18614" spans="1:7" ht="21.36" thickBot="1" customHeight="1">
      <c r="A18614" s="24" t="s">
        <v>56926</v>
      </c>
      <c r="B18614" s="24" t="s">
        <v>56927</v>
      </c>
      <c r="C18614" s="24" t="s">
        <v>56928</v>
      </c>
      <c r="D18614" s="25" t="s">
        <v>56929</v>
      </c>
      <c r="E18614" s="28">
        <v>1.00000</v>
      </c>
      <c r="F18614" s="29">
        <f ca="1">F18623</f>
        <v>0</v>
      </c>
      <c r="G18614" s="27">
        <f ca="1">ROUND(E18614*F18614,2)</f>
        <v>0</v>
      </c>
    </row>
    <row r="18615" spans="1:7" ht="30.60" thickBot="1" customHeight="1">
      <c r="A18615" s="24" t="s">
        <v>56930</v>
      </c>
      <c r="B18615" s="24" t="s">
        <v>56931</v>
      </c>
      <c r="C18615" s="24" t="s">
        <v>56932</v>
      </c>
      <c r="D18615" s="25" t="s">
        <v>56933</v>
      </c>
      <c r="E18615" s="28">
        <v>1.00000</v>
      </c>
      <c r="F18615" s="29">
        <f ca="1">ROUND(63.000,3)</f>
        <v>0</v>
      </c>
      <c r="G18615" s="27">
        <f ca="1">ROUND(E18615*F18615,2)</f>
        <v>0</v>
      </c>
    </row>
    <row r="18616" spans="1:7" ht="30.60" thickBot="1" customHeight="1">
      <c r="A18616" s="24" t="s">
        <v>56934</v>
      </c>
      <c r="B18616" s="24" t="s">
        <v>56935</v>
      </c>
      <c r="C18616" s="24" t="s">
        <v>56936</v>
      </c>
      <c r="D18616" s="25" t="s">
        <v>56937</v>
      </c>
      <c r="E18616" s="28">
        <v>0.04000</v>
      </c>
      <c r="F18616" s="29">
        <f ca="1">ROUND(82.110,3)</f>
        <v>0</v>
      </c>
      <c r="G18616" s="27">
        <f ca="1">ROUND(E18616*F18616,2)</f>
        <v>0</v>
      </c>
    </row>
    <row r="18617" spans="1:7" ht="39.84" thickBot="1" customHeight="1">
      <c r="A18617" s="24" t="s">
        <v>56938</v>
      </c>
      <c r="B18617" s="24" t="s">
        <v>56939</v>
      </c>
      <c r="C18617" s="24" t="s">
        <v>56940</v>
      </c>
      <c r="D18617" s="25" t="s">
        <v>56941</v>
      </c>
      <c r="E18617" s="28">
        <v>0.25000</v>
      </c>
      <c r="F18617" s="29">
        <f ca="1">ROUND(8.970,3)</f>
        <v>0</v>
      </c>
      <c r="G18617" s="27">
        <f ca="1">ROUND(E18617*F18617,2)</f>
        <v>0</v>
      </c>
    </row>
    <row r="18618" spans="1:7" ht="30.60" thickBot="1" customHeight="1">
      <c r="A18618" s="24" t="s">
        <v>56942</v>
      </c>
      <c r="B18618" s="24" t="s">
        <v>56943</v>
      </c>
      <c r="C18618" s="24" t="s">
        <v>56944</v>
      </c>
      <c r="D18618" s="25" t="s">
        <v>56945</v>
      </c>
      <c r="E18618" s="28">
        <v>0.25000</v>
      </c>
      <c r="F18618" s="29">
        <f ca="1">ROUND(6.320,3)</f>
        <v>0</v>
      </c>
      <c r="G18618" s="27">
        <f ca="1">ROUND(E18618*F18618,2)</f>
        <v>0</v>
      </c>
    </row>
    <row r="18619" spans="1:7" ht="21.36" thickBot="1" customHeight="1">
      <c r="A18619" s="24" t="s">
        <v>56946</v>
      </c>
      <c r="B18619" s="24" t="s">
        <v>56947</v>
      </c>
      <c r="C18619" s="24" t="s">
        <v>56948</v>
      </c>
      <c r="D18619" s="25" t="s">
        <v>56949</v>
      </c>
      <c r="E18619" s="28">
        <v>0.25000</v>
      </c>
      <c r="F18619" s="29">
        <f ca="1">ROUND(2.000,3)</f>
        <v>0</v>
      </c>
      <c r="G18619" s="27">
        <f ca="1">ROUND(E18619*F18619,2)</f>
        <v>0</v>
      </c>
    </row>
    <row r="18620" spans="1:7" ht="30.60" thickBot="1" customHeight="1">
      <c r="A18620" s="24" t="s">
        <v>56950</v>
      </c>
      <c r="B18620" s="24" t="s">
        <v>56951</v>
      </c>
      <c r="C18620" s="24" t="s">
        <v>56952</v>
      </c>
      <c r="D18620" s="25" t="s">
        <v>56953</v>
      </c>
      <c r="E18620" s="28">
        <v>0.10000</v>
      </c>
      <c r="F18620" s="29">
        <f ca="1">ROUND(4.920,3)</f>
        <v>0</v>
      </c>
      <c r="G18620" s="27">
        <f ca="1">ROUND(E18620*F18620,2)</f>
        <v>0</v>
      </c>
    </row>
    <row r="18621" spans="1:7" ht="21.36" thickBot="1" customHeight="1">
      <c r="A18621" s="24" t="s">
        <v>56954</v>
      </c>
      <c r="B18621" s="24" t="s">
        <v>56955</v>
      </c>
      <c r="C18621" s="24" t="s">
        <v>56956</v>
      </c>
      <c r="D18621" s="25" t="s">
        <v>56957</v>
      </c>
      <c r="E18621" s="28">
        <v>0.20000</v>
      </c>
      <c r="F18621" s="29">
        <f ca="1">ROUND(43.800,3)</f>
        <v>0</v>
      </c>
      <c r="G18621" s="27">
        <f ca="1">ROUND(E18621*F18621,2)</f>
        <v>0</v>
      </c>
    </row>
    <row r="18622" spans="1:7" ht="15.12" thickBot="1" customHeight="1">
      <c r="A18622" s="24" t="s">
        <v>56958</v>
      </c>
      <c r="B18622" s="24"/>
      <c r="C18622" s="24" t="s">
        <v>56959</v>
      </c>
      <c r="D18622" s="25" t="s">
        <v>56960</v>
      </c>
      <c r="E18622" s="28">
        <v>3.00000</v>
      </c>
      <c r="F18622" s="29">
        <f ca="1">ROUND(79.850,3)</f>
        <v>0</v>
      </c>
      <c r="G18622" s="27">
        <f ca="1">ROUND((E18622*F18622)/100,2)</f>
        <v>0</v>
      </c>
    </row>
    <row r="18623" spans="1:7" ht="15.12" thickBot="1" customHeight="1">
      <c r="A18623" s="26"/>
      <c r="B18623" s="26"/>
      <c r="C18623" s="26"/>
      <c r="D18623" s="24" t="s">
        <v>56961</v>
      </c>
      <c r="E18623" s="28">
        <v>1.00000</v>
      </c>
      <c r="F18623" s="29">
        <f ca="1">ROUND((G18615+G18616+G18617+G18618+G18619+G18620+G18621+G18622),3)</f>
        <v>0</v>
      </c>
      <c r="G18623" s="27">
        <f ca="1">ROUND(E18623*F18623,2)</f>
        <v>0</v>
      </c>
    </row>
    <row r="18624" spans="1:7" ht="15.48" thickBot="1" customHeight="1">
      <c r="A18624" s="30"/>
      <c r="B18624" s="30"/>
      <c r="C18624" s="30"/>
      <c r="D18624" s="31" t="s">
        <v>56962</v>
      </c>
      <c r="E18624" s="30"/>
      <c r="F18624" s="33">
        <f ca="1">ROUND((G18614)*(1+G2/100),2)</f>
        <v>0</v>
      </c>
      <c r="G18624" s="30"/>
    </row>
    <row r="18625" spans="1:7" ht="49.08" thickBot="1" customHeight="1">
      <c r="A18625" s="34" t="s">
        <v>56963</v>
      </c>
      <c r="B18625" s="35" t="s">
        <v>56964</v>
      </c>
      <c r="C18625" s="35" t="s">
        <v>56965</v>
      </c>
      <c r="D18625" s="36" t="s">
        <v>56966</v>
      </c>
      <c r="E18625" s="37"/>
      <c r="F18625" s="38">
        <f ca="1">F18637</f>
        <v>0</v>
      </c>
      <c r="G18625" s="37"/>
    </row>
    <row r="18626" spans="1:7" ht="21.36" thickBot="1" customHeight="1">
      <c r="A18626" s="26"/>
      <c r="B18626" s="26"/>
      <c r="C18626" s="26"/>
      <c r="D18626" s="25" t="s">
        <v>56967</v>
      </c>
      <c r="E18626" s="25"/>
      <c r="F18626" s="25"/>
      <c r="G18626" s="25"/>
    </row>
    <row r="18627" spans="1:7" ht="30.60" thickBot="1" customHeight="1">
      <c r="A18627" s="24" t="s">
        <v>56968</v>
      </c>
      <c r="B18627" s="24" t="s">
        <v>56969</v>
      </c>
      <c r="C18627" s="24" t="s">
        <v>56970</v>
      </c>
      <c r="D18627" s="25" t="s">
        <v>56971</v>
      </c>
      <c r="E18627" s="28">
        <v>60.00000</v>
      </c>
      <c r="F18627" s="29">
        <f ca="1">ROUND(1.150,3)</f>
        <v>0</v>
      </c>
      <c r="G18627" s="27">
        <f ca="1">ROUND(E18627*F18627,2)</f>
        <v>0</v>
      </c>
    </row>
    <row r="18628" spans="1:7" ht="58.32" thickBot="1" customHeight="1">
      <c r="A18628" s="24" t="s">
        <v>56972</v>
      </c>
      <c r="B18628" s="24" t="s">
        <v>56973</v>
      </c>
      <c r="C18628" s="24" t="s">
        <v>56974</v>
      </c>
      <c r="D18628" s="25" t="s">
        <v>56975</v>
      </c>
      <c r="E18628" s="28">
        <v>0.07000</v>
      </c>
      <c r="F18628" s="29">
        <f ca="1">ROUND(123.140,3)</f>
        <v>0</v>
      </c>
      <c r="G18628" s="27">
        <f ca="1">ROUND(E18628*F18628,2)</f>
        <v>0</v>
      </c>
    </row>
    <row r="18629" spans="1:7" ht="39.84" thickBot="1" customHeight="1">
      <c r="A18629" s="24" t="s">
        <v>56976</v>
      </c>
      <c r="B18629" s="24" t="s">
        <v>56977</v>
      </c>
      <c r="C18629" s="24" t="s">
        <v>56978</v>
      </c>
      <c r="D18629" s="25" t="s">
        <v>56979</v>
      </c>
      <c r="E18629" s="28">
        <v>1.00000</v>
      </c>
      <c r="F18629" s="29">
        <f ca="1">ROUND(24.840,3)</f>
        <v>0</v>
      </c>
      <c r="G18629" s="27">
        <f ca="1">ROUND(E18629*F18629,2)</f>
        <v>0</v>
      </c>
    </row>
    <row r="18630" spans="1:7" ht="30.60" thickBot="1" customHeight="1">
      <c r="A18630" s="24" t="s">
        <v>56980</v>
      </c>
      <c r="B18630" s="24" t="s">
        <v>56981</v>
      </c>
      <c r="C18630" s="24" t="s">
        <v>56982</v>
      </c>
      <c r="D18630" s="25" t="s">
        <v>56983</v>
      </c>
      <c r="E18630" s="28">
        <v>0.02200</v>
      </c>
      <c r="F18630" s="29">
        <f ca="1">ROUND(30.510,3)</f>
        <v>0</v>
      </c>
      <c r="G18630" s="27">
        <f ca="1">ROUND(E18630*F18630,2)</f>
        <v>0</v>
      </c>
    </row>
    <row r="18631" spans="1:7" ht="21.36" thickBot="1" customHeight="1">
      <c r="A18631" s="24" t="s">
        <v>56984</v>
      </c>
      <c r="B18631" s="24" t="s">
        <v>56985</v>
      </c>
      <c r="C18631" s="24" t="s">
        <v>56986</v>
      </c>
      <c r="D18631" s="25" t="s">
        <v>56987</v>
      </c>
      <c r="E18631" s="28">
        <v>0.50000</v>
      </c>
      <c r="F18631" s="29">
        <f ca="1">F18635</f>
        <v>0</v>
      </c>
      <c r="G18631" s="27">
        <f ca="1">ROUND(E18631*F18631,2)</f>
        <v>0</v>
      </c>
    </row>
    <row r="18632" spans="1:7" ht="24.36" thickBot="1" customHeight="1">
      <c r="A18632" s="24" t="s">
        <v>56988</v>
      </c>
      <c r="B18632" s="24" t="s">
        <v>56989</v>
      </c>
      <c r="C18632" s="24" t="s">
        <v>56990</v>
      </c>
      <c r="D18632" s="25" t="s">
        <v>56991</v>
      </c>
      <c r="E18632" s="28">
        <v>1.00000</v>
      </c>
      <c r="F18632" s="29">
        <f ca="1">ROUND(21.000,3)</f>
        <v>0</v>
      </c>
      <c r="G18632" s="27">
        <f ca="1">ROUND(E18632*F18632,2)</f>
        <v>0</v>
      </c>
    </row>
    <row r="18633" spans="1:7" ht="24.36" thickBot="1" customHeight="1">
      <c r="A18633" s="24" t="s">
        <v>56992</v>
      </c>
      <c r="B18633" s="24" t="s">
        <v>56993</v>
      </c>
      <c r="C18633" s="24" t="s">
        <v>56994</v>
      </c>
      <c r="D18633" s="25" t="s">
        <v>56995</v>
      </c>
      <c r="E18633" s="28">
        <v>1.00000</v>
      </c>
      <c r="F18633" s="29">
        <f ca="1">ROUND(19.000,3)</f>
        <v>0</v>
      </c>
      <c r="G18633" s="27">
        <f ca="1">ROUND(E18633*F18633,2)</f>
        <v>0</v>
      </c>
    </row>
    <row r="18634" spans="1:7" ht="24.36" thickBot="1" customHeight="1">
      <c r="A18634" s="24" t="s">
        <v>56996</v>
      </c>
      <c r="B18634" s="24" t="s">
        <v>56997</v>
      </c>
      <c r="C18634" s="24" t="s">
        <v>56998</v>
      </c>
      <c r="D18634" s="25" t="s">
        <v>56999</v>
      </c>
      <c r="E18634" s="28">
        <v>0.20000</v>
      </c>
      <c r="F18634" s="29">
        <f ca="1">ROUND(19.000,3)</f>
        <v>0</v>
      </c>
      <c r="G18634" s="27">
        <f ca="1">ROUND(E18634*F18634,2)</f>
        <v>0</v>
      </c>
    </row>
    <row r="18635" spans="1:7" ht="15.12" thickBot="1" customHeight="1">
      <c r="A18635" s="26"/>
      <c r="B18635" s="26"/>
      <c r="C18635" s="26"/>
      <c r="D18635" s="24" t="s">
        <v>57000</v>
      </c>
      <c r="E18635" s="28">
        <v>0.50000</v>
      </c>
      <c r="F18635" s="29">
        <f ca="1">ROUND((G18632+G18633+G18634),3)</f>
        <v>0</v>
      </c>
      <c r="G18635" s="27">
        <f ca="1">ROUND(E18635*F18635,2)</f>
        <v>0</v>
      </c>
    </row>
    <row r="18636" spans="1:7" ht="15.12" thickBot="1" customHeight="1">
      <c r="A18636" s="24" t="s">
        <v>57001</v>
      </c>
      <c r="B18636" s="24"/>
      <c r="C18636" s="24" t="s">
        <v>57002</v>
      </c>
      <c r="D18636" s="25" t="s">
        <v>57003</v>
      </c>
      <c r="E18636" s="28">
        <v>5.00000</v>
      </c>
      <c r="F18636" s="29">
        <f ca="1">ROUND(21.900,3)</f>
        <v>0</v>
      </c>
      <c r="G18636" s="27">
        <f ca="1">ROUND((E18636*F18636)/100,2)</f>
        <v>0</v>
      </c>
    </row>
    <row r="18637" spans="1:7" ht="25.08" thickBot="1" customHeight="1">
      <c r="A18637" s="30"/>
      <c r="B18637" s="30"/>
      <c r="C18637" s="30"/>
      <c r="D18637" s="31" t="s">
        <v>57004</v>
      </c>
      <c r="E18637" s="30"/>
      <c r="F18637" s="33">
        <f ca="1">ROUND((G18627+G18628+G18629+G18630+G18631+G18636)*(1+G2/100),2)</f>
        <v>0</v>
      </c>
      <c r="G18637" s="30"/>
    </row>
    <row r="18638" spans="1:7" ht="39.84" thickBot="1" customHeight="1">
      <c r="A18638" s="34" t="s">
        <v>57005</v>
      </c>
      <c r="B18638" s="35" t="s">
        <v>57006</v>
      </c>
      <c r="C18638" s="35" t="s">
        <v>57007</v>
      </c>
      <c r="D18638" s="36" t="s">
        <v>57008</v>
      </c>
      <c r="E18638" s="37"/>
      <c r="F18638" s="38">
        <f ca="1">F18648</f>
        <v>0</v>
      </c>
      <c r="G18638" s="37"/>
    </row>
    <row r="18639" spans="1:7" ht="21.36" thickBot="1" customHeight="1">
      <c r="A18639" s="26"/>
      <c r="B18639" s="26"/>
      <c r="C18639" s="26"/>
      <c r="D18639" s="25" t="s">
        <v>57009</v>
      </c>
      <c r="E18639" s="25"/>
      <c r="F18639" s="25"/>
      <c r="G18639" s="25"/>
    </row>
    <row r="18640" spans="1:7" ht="30.60" thickBot="1" customHeight="1">
      <c r="A18640" s="24" t="s">
        <v>57010</v>
      </c>
      <c r="B18640" s="24" t="s">
        <v>57011</v>
      </c>
      <c r="C18640" s="24" t="s">
        <v>57012</v>
      </c>
      <c r="D18640" s="25" t="s">
        <v>57013</v>
      </c>
      <c r="E18640" s="28">
        <v>0.60000</v>
      </c>
      <c r="F18640" s="29">
        <f ca="1">ROUND(13.140,3)</f>
        <v>0</v>
      </c>
      <c r="G18640" s="27">
        <f ca="1">ROUND(E18640*F18640,2)</f>
        <v>0</v>
      </c>
    </row>
    <row r="18641" spans="1:7" ht="39.84" thickBot="1" customHeight="1">
      <c r="A18641" s="24" t="s">
        <v>57014</v>
      </c>
      <c r="B18641" s="24" t="s">
        <v>57015</v>
      </c>
      <c r="C18641" s="24" t="s">
        <v>57016</v>
      </c>
      <c r="D18641" s="25" t="s">
        <v>57017</v>
      </c>
      <c r="E18641" s="28">
        <v>0.10000</v>
      </c>
      <c r="F18641" s="29">
        <f ca="1">ROUND(1.750,3)</f>
        <v>0</v>
      </c>
      <c r="G18641" s="27">
        <f ca="1">ROUND(E18641*F18641,2)</f>
        <v>0</v>
      </c>
    </row>
    <row r="18642" spans="1:7" ht="39.84" thickBot="1" customHeight="1">
      <c r="A18642" s="24" t="s">
        <v>57018</v>
      </c>
      <c r="B18642" s="24" t="s">
        <v>57019</v>
      </c>
      <c r="C18642" s="24" t="s">
        <v>57020</v>
      </c>
      <c r="D18642" s="25" t="s">
        <v>57021</v>
      </c>
      <c r="E18642" s="28">
        <v>0.30000</v>
      </c>
      <c r="F18642" s="29">
        <f ca="1">ROUND(2.860,3)</f>
        <v>0</v>
      </c>
      <c r="G18642" s="27">
        <f ca="1">ROUND(E18642*F18642,2)</f>
        <v>0</v>
      </c>
    </row>
    <row r="18643" spans="1:7" ht="30.60" thickBot="1" customHeight="1">
      <c r="A18643" s="24" t="s">
        <v>57022</v>
      </c>
      <c r="B18643" s="24" t="s">
        <v>57023</v>
      </c>
      <c r="C18643" s="24" t="s">
        <v>57024</v>
      </c>
      <c r="D18643" s="25" t="s">
        <v>57025</v>
      </c>
      <c r="E18643" s="28">
        <v>0.09100</v>
      </c>
      <c r="F18643" s="29">
        <f ca="1">ROUND(30.450,3)</f>
        <v>0</v>
      </c>
      <c r="G18643" s="27">
        <f ca="1">ROUND(E18643*F18643,2)</f>
        <v>0</v>
      </c>
    </row>
    <row r="18644" spans="1:7" ht="39.84" thickBot="1" customHeight="1">
      <c r="A18644" s="24" t="s">
        <v>57026</v>
      </c>
      <c r="B18644" s="24" t="s">
        <v>57027</v>
      </c>
      <c r="C18644" s="24" t="s">
        <v>57028</v>
      </c>
      <c r="D18644" s="25" t="s">
        <v>57029</v>
      </c>
      <c r="E18644" s="28">
        <v>0.06000</v>
      </c>
      <c r="F18644" s="29">
        <f ca="1">ROUND(53.440,3)</f>
        <v>0</v>
      </c>
      <c r="G18644" s="27">
        <f ca="1">ROUND(E18644*F18644,2)</f>
        <v>0</v>
      </c>
    </row>
    <row r="18645" spans="1:7" ht="30.60" thickBot="1" customHeight="1">
      <c r="A18645" s="24" t="s">
        <v>57030</v>
      </c>
      <c r="B18645" s="24" t="s">
        <v>57031</v>
      </c>
      <c r="C18645" s="24" t="s">
        <v>57032</v>
      </c>
      <c r="D18645" s="25" t="s">
        <v>57033</v>
      </c>
      <c r="E18645" s="28">
        <v>0.40000</v>
      </c>
      <c r="F18645" s="29">
        <f ca="1">F18646</f>
        <v>0</v>
      </c>
      <c r="G18645" s="27">
        <f ca="1">ROUND(E18645*F18645,2)</f>
        <v>0</v>
      </c>
    </row>
    <row r="18646" spans="1:7" ht="15.12" thickBot="1" customHeight="1">
      <c r="A18646" s="26"/>
      <c r="B18646" s="26"/>
      <c r="C18646" s="26"/>
      <c r="D18646" s="24" t="s">
        <v>57034</v>
      </c>
      <c r="E18646" s="28">
        <v>0.40000</v>
      </c>
      <c r="F18646" s="29">
        <f ca="1">ROUND((),3)</f>
        <v>0</v>
      </c>
      <c r="G18646" s="27">
        <f ca="1">ROUND(E18646*F18646,2)</f>
        <v>0</v>
      </c>
    </row>
    <row r="18647" spans="1:7" ht="15.12" thickBot="1" customHeight="1">
      <c r="A18647" s="24" t="s">
        <v>57035</v>
      </c>
      <c r="B18647" s="24"/>
      <c r="C18647" s="24" t="s">
        <v>57036</v>
      </c>
      <c r="D18647" s="25" t="s">
        <v>57037</v>
      </c>
      <c r="E18647" s="28">
        <v>5.00000</v>
      </c>
      <c r="F18647" s="29">
        <f ca="1">ROUND(19.800,3)</f>
        <v>0</v>
      </c>
      <c r="G18647" s="27">
        <f ca="1">ROUND((E18647*F18647)/100,2)</f>
        <v>0</v>
      </c>
    </row>
    <row r="18648" spans="1:7" ht="25.08" thickBot="1" customHeight="1">
      <c r="A18648" s="30"/>
      <c r="B18648" s="30"/>
      <c r="C18648" s="30"/>
      <c r="D18648" s="31" t="s">
        <v>57038</v>
      </c>
      <c r="E18648" s="30"/>
      <c r="F18648" s="33">
        <f ca="1">ROUND((G18640+G18641+G18642+G18643+G18644+G18645+G18647)*(1+G2/100),2)</f>
        <v>0</v>
      </c>
      <c r="G18648" s="30"/>
    </row>
    <row r="18649" spans="1:7" ht="30.60" thickBot="1" customHeight="1">
      <c r="A18649" s="34" t="s">
        <v>57039</v>
      </c>
      <c r="B18649" s="35" t="s">
        <v>57040</v>
      </c>
      <c r="C18649" s="35" t="s">
        <v>57041</v>
      </c>
      <c r="D18649" s="36" t="s">
        <v>57042</v>
      </c>
      <c r="E18649" s="37"/>
      <c r="F18649" s="38">
        <f ca="1">F18657</f>
        <v>0</v>
      </c>
      <c r="G18649" s="37"/>
    </row>
    <row r="18650" spans="1:7" ht="67.56" thickBot="1" customHeight="1">
      <c r="A18650" s="26"/>
      <c r="B18650" s="26"/>
      <c r="C18650" s="26"/>
      <c r="D18650" s="25" t="s">
        <v>57043</v>
      </c>
      <c r="E18650" s="25"/>
      <c r="F18650" s="25"/>
      <c r="G18650" s="25"/>
    </row>
    <row r="18651" spans="1:7" ht="21.36" thickBot="1" customHeight="1">
      <c r="A18651" s="24" t="s">
        <v>57044</v>
      </c>
      <c r="B18651" s="24" t="s">
        <v>57045</v>
      </c>
      <c r="C18651" s="24" t="s">
        <v>57046</v>
      </c>
      <c r="D18651" s="25" t="s">
        <v>57047</v>
      </c>
      <c r="E18651" s="28">
        <v>6.00000</v>
      </c>
      <c r="F18651" s="29">
        <f ca="1">F18655</f>
        <v>0</v>
      </c>
      <c r="G18651" s="27">
        <f ca="1">ROUND(E18651*F18651,2)</f>
        <v>0</v>
      </c>
    </row>
    <row r="18652" spans="1:7" ht="24.36" thickBot="1" customHeight="1">
      <c r="A18652" s="24" t="s">
        <v>57048</v>
      </c>
      <c r="B18652" s="24" t="s">
        <v>57049</v>
      </c>
      <c r="C18652" s="24" t="s">
        <v>57050</v>
      </c>
      <c r="D18652" s="25" t="s">
        <v>57051</v>
      </c>
      <c r="E18652" s="28">
        <v>1.00000</v>
      </c>
      <c r="F18652" s="29">
        <f ca="1">ROUND(21.000,3)</f>
        <v>0</v>
      </c>
      <c r="G18652" s="27">
        <f ca="1">ROUND(E18652*F18652,2)</f>
        <v>0</v>
      </c>
    </row>
    <row r="18653" spans="1:7" ht="24.36" thickBot="1" customHeight="1">
      <c r="A18653" s="24" t="s">
        <v>57052</v>
      </c>
      <c r="B18653" s="24" t="s">
        <v>57053</v>
      </c>
      <c r="C18653" s="24" t="s">
        <v>57054</v>
      </c>
      <c r="D18653" s="25" t="s">
        <v>57055</v>
      </c>
      <c r="E18653" s="28">
        <v>1.00000</v>
      </c>
      <c r="F18653" s="29">
        <f ca="1">ROUND(19.000,3)</f>
        <v>0</v>
      </c>
      <c r="G18653" s="27">
        <f ca="1">ROUND(E18653*F18653,2)</f>
        <v>0</v>
      </c>
    </row>
    <row r="18654" spans="1:7" ht="24.36" thickBot="1" customHeight="1">
      <c r="A18654" s="24" t="s">
        <v>57056</v>
      </c>
      <c r="B18654" s="24" t="s">
        <v>57057</v>
      </c>
      <c r="C18654" s="24" t="s">
        <v>57058</v>
      </c>
      <c r="D18654" s="25" t="s">
        <v>57059</v>
      </c>
      <c r="E18654" s="28">
        <v>0.20000</v>
      </c>
      <c r="F18654" s="29">
        <f ca="1">ROUND(19.000,3)</f>
        <v>0</v>
      </c>
      <c r="G18654" s="27">
        <f ca="1">ROUND(E18654*F18654,2)</f>
        <v>0</v>
      </c>
    </row>
    <row r="18655" spans="1:7" ht="15.12" thickBot="1" customHeight="1">
      <c r="A18655" s="26"/>
      <c r="B18655" s="26"/>
      <c r="C18655" s="26"/>
      <c r="D18655" s="24" t="s">
        <v>57060</v>
      </c>
      <c r="E18655" s="28">
        <v>6.00000</v>
      </c>
      <c r="F18655" s="29">
        <f ca="1">ROUND((G18652+G18653+G18654),3)</f>
        <v>0</v>
      </c>
      <c r="G18655" s="27">
        <f ca="1">ROUND(E18655*F18655,2)</f>
        <v>0</v>
      </c>
    </row>
    <row r="18656" spans="1:7" ht="15.12" thickBot="1" customHeight="1">
      <c r="A18656" s="24" t="s">
        <v>57061</v>
      </c>
      <c r="B18656" s="24"/>
      <c r="C18656" s="24" t="s">
        <v>57062</v>
      </c>
      <c r="D18656" s="25" t="s">
        <v>57063</v>
      </c>
      <c r="E18656" s="28">
        <v>3.00000</v>
      </c>
      <c r="F18656" s="29">
        <f ca="1">ROUND(262.800,3)</f>
        <v>0</v>
      </c>
      <c r="G18656" s="27">
        <f ca="1">ROUND((E18656*F18656)/100,2)</f>
        <v>0</v>
      </c>
    </row>
    <row r="18657" spans="1:7" ht="25.08" thickBot="1" customHeight="1">
      <c r="A18657" s="30"/>
      <c r="B18657" s="30"/>
      <c r="C18657" s="30"/>
      <c r="D18657" s="31" t="s">
        <v>57064</v>
      </c>
      <c r="E18657" s="30"/>
      <c r="F18657" s="33">
        <f ca="1">ROUND((G18651+G18656)*(1+G2/100),2)</f>
        <v>0</v>
      </c>
      <c r="G18657" s="30"/>
    </row>
    <row r="18658" spans="1:7" ht="49.08" thickBot="1" customHeight="1">
      <c r="A18658" s="34" t="s">
        <v>57065</v>
      </c>
      <c r="B18658" s="35" t="s">
        <v>57066</v>
      </c>
      <c r="C18658" s="35" t="s">
        <v>57067</v>
      </c>
      <c r="D18658" s="36" t="s">
        <v>57068</v>
      </c>
      <c r="E18658" s="37"/>
      <c r="F18658" s="38">
        <f ca="1">F18670</f>
        <v>0</v>
      </c>
      <c r="G18658" s="37"/>
    </row>
    <row r="18659" spans="1:7" ht="58.32" thickBot="1" customHeight="1">
      <c r="A18659" s="26"/>
      <c r="B18659" s="26"/>
      <c r="C18659" s="26"/>
      <c r="D18659" s="25" t="s">
        <v>57069</v>
      </c>
      <c r="E18659" s="25"/>
      <c r="F18659" s="25"/>
      <c r="G18659" s="25"/>
    </row>
    <row r="18660" spans="1:7" ht="21.36" thickBot="1" customHeight="1">
      <c r="A18660" s="24" t="s">
        <v>57070</v>
      </c>
      <c r="B18660" s="24" t="s">
        <v>57071</v>
      </c>
      <c r="C18660" s="24" t="s">
        <v>57072</v>
      </c>
      <c r="D18660" s="25" t="s">
        <v>57073</v>
      </c>
      <c r="E18660" s="28">
        <v>2.00000</v>
      </c>
      <c r="F18660" s="29">
        <f ca="1">ROUND(0.900,3)</f>
        <v>0</v>
      </c>
      <c r="G18660" s="27">
        <f ca="1">ROUND(E18660*F18660,2)</f>
        <v>0</v>
      </c>
    </row>
    <row r="18661" spans="1:7" ht="21.36" thickBot="1" customHeight="1">
      <c r="A18661" s="24" t="s">
        <v>57074</v>
      </c>
      <c r="B18661" s="24" t="s">
        <v>57075</v>
      </c>
      <c r="C18661" s="24" t="s">
        <v>57076</v>
      </c>
      <c r="D18661" s="25" t="s">
        <v>57077</v>
      </c>
      <c r="E18661" s="28">
        <v>0.01000</v>
      </c>
      <c r="F18661" s="29">
        <f ca="1">ROUND(4.950,3)</f>
        <v>0</v>
      </c>
      <c r="G18661" s="27">
        <f ca="1">ROUND(E18661*F18661,2)</f>
        <v>0</v>
      </c>
    </row>
    <row r="18662" spans="1:7" ht="21.36" thickBot="1" customHeight="1">
      <c r="A18662" s="24" t="s">
        <v>57078</v>
      </c>
      <c r="B18662" s="24" t="s">
        <v>57079</v>
      </c>
      <c r="C18662" s="24" t="s">
        <v>57080</v>
      </c>
      <c r="D18662" s="25" t="s">
        <v>57081</v>
      </c>
      <c r="E18662" s="28">
        <v>0.25000</v>
      </c>
      <c r="F18662" s="29">
        <f ca="1">ROUND(6.320,3)</f>
        <v>0</v>
      </c>
      <c r="G18662" s="27">
        <f ca="1">ROUND(E18662*F18662,2)</f>
        <v>0</v>
      </c>
    </row>
    <row r="18663" spans="1:7" ht="21.36" thickBot="1" customHeight="1">
      <c r="A18663" s="24" t="s">
        <v>57082</v>
      </c>
      <c r="B18663" s="24" t="s">
        <v>57083</v>
      </c>
      <c r="C18663" s="24" t="s">
        <v>57084</v>
      </c>
      <c r="D18663" s="25" t="s">
        <v>57085</v>
      </c>
      <c r="E18663" s="28">
        <v>0.50000</v>
      </c>
      <c r="F18663" s="29">
        <f ca="1">ROUND(1.280,3)</f>
        <v>0</v>
      </c>
      <c r="G18663" s="27">
        <f ca="1">ROUND(E18663*F18663,2)</f>
        <v>0</v>
      </c>
    </row>
    <row r="18664" spans="1:7" ht="21.36" thickBot="1" customHeight="1">
      <c r="A18664" s="24" t="s">
        <v>57086</v>
      </c>
      <c r="B18664" s="24" t="s">
        <v>57087</v>
      </c>
      <c r="C18664" s="24" t="s">
        <v>57088</v>
      </c>
      <c r="D18664" s="25" t="s">
        <v>57089</v>
      </c>
      <c r="E18664" s="28">
        <v>0.80000</v>
      </c>
      <c r="F18664" s="29">
        <f ca="1">F18668</f>
        <v>0</v>
      </c>
      <c r="G18664" s="27">
        <f ca="1">ROUND(E18664*F18664,2)</f>
        <v>0</v>
      </c>
    </row>
    <row r="18665" spans="1:7" ht="24.36" thickBot="1" customHeight="1">
      <c r="A18665" s="24" t="s">
        <v>57090</v>
      </c>
      <c r="B18665" s="24" t="s">
        <v>57091</v>
      </c>
      <c r="C18665" s="24" t="s">
        <v>57092</v>
      </c>
      <c r="D18665" s="25" t="s">
        <v>57093</v>
      </c>
      <c r="E18665" s="28">
        <v>1.00000</v>
      </c>
      <c r="F18665" s="29">
        <f ca="1">ROUND(21.000,3)</f>
        <v>0</v>
      </c>
      <c r="G18665" s="27">
        <f ca="1">ROUND(E18665*F18665,2)</f>
        <v>0</v>
      </c>
    </row>
    <row r="18666" spans="1:7" ht="24.36" thickBot="1" customHeight="1">
      <c r="A18666" s="24" t="s">
        <v>57094</v>
      </c>
      <c r="B18666" s="24" t="s">
        <v>57095</v>
      </c>
      <c r="C18666" s="24" t="s">
        <v>57096</v>
      </c>
      <c r="D18666" s="25" t="s">
        <v>57097</v>
      </c>
      <c r="E18666" s="28">
        <v>1.00000</v>
      </c>
      <c r="F18666" s="29">
        <f ca="1">ROUND(19.000,3)</f>
        <v>0</v>
      </c>
      <c r="G18666" s="27">
        <f ca="1">ROUND(E18666*F18666,2)</f>
        <v>0</v>
      </c>
    </row>
    <row r="18667" spans="1:7" ht="24.36" thickBot="1" customHeight="1">
      <c r="A18667" s="24" t="s">
        <v>57098</v>
      </c>
      <c r="B18667" s="24" t="s">
        <v>57099</v>
      </c>
      <c r="C18667" s="24" t="s">
        <v>57100</v>
      </c>
      <c r="D18667" s="25" t="s">
        <v>57101</v>
      </c>
      <c r="E18667" s="28">
        <v>0.20000</v>
      </c>
      <c r="F18667" s="29">
        <f ca="1">ROUND(19.000,3)</f>
        <v>0</v>
      </c>
      <c r="G18667" s="27">
        <f ca="1">ROUND(E18667*F18667,2)</f>
        <v>0</v>
      </c>
    </row>
    <row r="18668" spans="1:7" ht="15.12" thickBot="1" customHeight="1">
      <c r="A18668" s="26"/>
      <c r="B18668" s="26"/>
      <c r="C18668" s="26"/>
      <c r="D18668" s="24" t="s">
        <v>57102</v>
      </c>
      <c r="E18668" s="28">
        <v>0.80000</v>
      </c>
      <c r="F18668" s="29">
        <f ca="1">ROUND((G18665+G18666+G18667),3)</f>
        <v>0</v>
      </c>
      <c r="G18668" s="27">
        <f ca="1">ROUND(E18668*F18668,2)</f>
        <v>0</v>
      </c>
    </row>
    <row r="18669" spans="1:7" ht="15.12" thickBot="1" customHeight="1">
      <c r="A18669" s="24" t="s">
        <v>57103</v>
      </c>
      <c r="B18669" s="24"/>
      <c r="C18669" s="24" t="s">
        <v>57104</v>
      </c>
      <c r="D18669" s="25" t="s">
        <v>57105</v>
      </c>
      <c r="E18669" s="28">
        <v>7.00000</v>
      </c>
      <c r="F18669" s="29">
        <f ca="1">ROUND(35.040,3)</f>
        <v>0</v>
      </c>
      <c r="G18669" s="27">
        <f ca="1">ROUND((E18669*F18669)/100,2)</f>
        <v>0</v>
      </c>
    </row>
    <row r="18670" spans="1:7" ht="15.48" thickBot="1" customHeight="1">
      <c r="A18670" s="30"/>
      <c r="B18670" s="30"/>
      <c r="C18670" s="30"/>
      <c r="D18670" s="31" t="s">
        <v>57106</v>
      </c>
      <c r="E18670" s="30"/>
      <c r="F18670" s="33">
        <f ca="1">ROUND((G18660+G18661+G18662+G18663+G18664+G18669)*(1+G2/100),2)</f>
        <v>0</v>
      </c>
      <c r="G18670" s="30"/>
    </row>
    <row r="18671" spans="1:7" ht="49.08" thickBot="1" customHeight="1">
      <c r="A18671" s="34" t="s">
        <v>57107</v>
      </c>
      <c r="B18671" s="35" t="s">
        <v>57108</v>
      </c>
      <c r="C18671" s="35" t="s">
        <v>57109</v>
      </c>
      <c r="D18671" s="36" t="s">
        <v>57110</v>
      </c>
      <c r="E18671" s="37"/>
      <c r="F18671" s="38">
        <f ca="1">F18683</f>
        <v>0</v>
      </c>
      <c r="G18671" s="37"/>
    </row>
    <row r="18672" spans="1:7" ht="58.32" thickBot="1" customHeight="1">
      <c r="A18672" s="26"/>
      <c r="B18672" s="26"/>
      <c r="C18672" s="26"/>
      <c r="D18672" s="25" t="s">
        <v>57111</v>
      </c>
      <c r="E18672" s="25"/>
      <c r="F18672" s="25"/>
      <c r="G18672" s="25"/>
    </row>
    <row r="18673" spans="1:7" ht="21.36" thickBot="1" customHeight="1">
      <c r="A18673" s="24" t="s">
        <v>57112</v>
      </c>
      <c r="B18673" s="24" t="s">
        <v>57113</v>
      </c>
      <c r="C18673" s="24" t="s">
        <v>57114</v>
      </c>
      <c r="D18673" s="25" t="s">
        <v>57115</v>
      </c>
      <c r="E18673" s="28">
        <v>6.00000</v>
      </c>
      <c r="F18673" s="29">
        <f ca="1">ROUND(0.900,3)</f>
        <v>0</v>
      </c>
      <c r="G18673" s="27">
        <f ca="1">ROUND(E18673*F18673,2)</f>
        <v>0</v>
      </c>
    </row>
    <row r="18674" spans="1:7" ht="21.36" thickBot="1" customHeight="1">
      <c r="A18674" s="24" t="s">
        <v>57116</v>
      </c>
      <c r="B18674" s="24" t="s">
        <v>57117</v>
      </c>
      <c r="C18674" s="24" t="s">
        <v>57118</v>
      </c>
      <c r="D18674" s="25" t="s">
        <v>57119</v>
      </c>
      <c r="E18674" s="28">
        <v>0.03000</v>
      </c>
      <c r="F18674" s="29">
        <f ca="1">ROUND(4.950,3)</f>
        <v>0</v>
      </c>
      <c r="G18674" s="27">
        <f ca="1">ROUND(E18674*F18674,2)</f>
        <v>0</v>
      </c>
    </row>
    <row r="18675" spans="1:7" ht="21.36" thickBot="1" customHeight="1">
      <c r="A18675" s="24" t="s">
        <v>57120</v>
      </c>
      <c r="B18675" s="24" t="s">
        <v>57121</v>
      </c>
      <c r="C18675" s="24" t="s">
        <v>57122</v>
      </c>
      <c r="D18675" s="25" t="s">
        <v>57123</v>
      </c>
      <c r="E18675" s="28">
        <v>1.00000</v>
      </c>
      <c r="F18675" s="29">
        <f ca="1">ROUND(3.470,3)</f>
        <v>0</v>
      </c>
      <c r="G18675" s="27">
        <f ca="1">ROUND(E18675*F18675,2)</f>
        <v>0</v>
      </c>
    </row>
    <row r="18676" spans="1:7" ht="21.36" thickBot="1" customHeight="1">
      <c r="A18676" s="24" t="s">
        <v>57124</v>
      </c>
      <c r="B18676" s="24" t="s">
        <v>57125</v>
      </c>
      <c r="C18676" s="24" t="s">
        <v>57126</v>
      </c>
      <c r="D18676" s="25" t="s">
        <v>57127</v>
      </c>
      <c r="E18676" s="28">
        <v>1.00000</v>
      </c>
      <c r="F18676" s="29">
        <f ca="1">ROUND(1.320,3)</f>
        <v>0</v>
      </c>
      <c r="G18676" s="27">
        <f ca="1">ROUND(E18676*F18676,2)</f>
        <v>0</v>
      </c>
    </row>
    <row r="18677" spans="1:7" ht="21.36" thickBot="1" customHeight="1">
      <c r="A18677" s="24" t="s">
        <v>57128</v>
      </c>
      <c r="B18677" s="24" t="s">
        <v>57129</v>
      </c>
      <c r="C18677" s="24" t="s">
        <v>57130</v>
      </c>
      <c r="D18677" s="25" t="s">
        <v>57131</v>
      </c>
      <c r="E18677" s="28">
        <v>0.70000</v>
      </c>
      <c r="F18677" s="29">
        <f ca="1">F18681</f>
        <v>0</v>
      </c>
      <c r="G18677" s="27">
        <f ca="1">ROUND(E18677*F18677,2)</f>
        <v>0</v>
      </c>
    </row>
    <row r="18678" spans="1:7" ht="24.36" thickBot="1" customHeight="1">
      <c r="A18678" s="24" t="s">
        <v>57132</v>
      </c>
      <c r="B18678" s="24" t="s">
        <v>57133</v>
      </c>
      <c r="C18678" s="24" t="s">
        <v>57134</v>
      </c>
      <c r="D18678" s="25" t="s">
        <v>57135</v>
      </c>
      <c r="E18678" s="28">
        <v>1.00000</v>
      </c>
      <c r="F18678" s="29">
        <f ca="1">ROUND(21.000,3)</f>
        <v>0</v>
      </c>
      <c r="G18678" s="27">
        <f ca="1">ROUND(E18678*F18678,2)</f>
        <v>0</v>
      </c>
    </row>
    <row r="18679" spans="1:7" ht="24.36" thickBot="1" customHeight="1">
      <c r="A18679" s="24" t="s">
        <v>57136</v>
      </c>
      <c r="B18679" s="24" t="s">
        <v>57137</v>
      </c>
      <c r="C18679" s="24" t="s">
        <v>57138</v>
      </c>
      <c r="D18679" s="25" t="s">
        <v>57139</v>
      </c>
      <c r="E18679" s="28">
        <v>1.00000</v>
      </c>
      <c r="F18679" s="29">
        <f ca="1">ROUND(19.000,3)</f>
        <v>0</v>
      </c>
      <c r="G18679" s="27">
        <f ca="1">ROUND(E18679*F18679,2)</f>
        <v>0</v>
      </c>
    </row>
    <row r="18680" spans="1:7" ht="24.36" thickBot="1" customHeight="1">
      <c r="A18680" s="24" t="s">
        <v>57140</v>
      </c>
      <c r="B18680" s="24" t="s">
        <v>57141</v>
      </c>
      <c r="C18680" s="24" t="s">
        <v>57142</v>
      </c>
      <c r="D18680" s="25" t="s">
        <v>57143</v>
      </c>
      <c r="E18680" s="28">
        <v>0.20000</v>
      </c>
      <c r="F18680" s="29">
        <f ca="1">ROUND(19.000,3)</f>
        <v>0</v>
      </c>
      <c r="G18680" s="27">
        <f ca="1">ROUND(E18680*F18680,2)</f>
        <v>0</v>
      </c>
    </row>
    <row r="18681" spans="1:7" ht="15.12" thickBot="1" customHeight="1">
      <c r="A18681" s="26"/>
      <c r="B18681" s="26"/>
      <c r="C18681" s="26"/>
      <c r="D18681" s="24" t="s">
        <v>57144</v>
      </c>
      <c r="E18681" s="28">
        <v>0.70000</v>
      </c>
      <c r="F18681" s="29">
        <f ca="1">ROUND((G18678+G18679+G18680),3)</f>
        <v>0</v>
      </c>
      <c r="G18681" s="27">
        <f ca="1">ROUND(E18681*F18681,2)</f>
        <v>0</v>
      </c>
    </row>
    <row r="18682" spans="1:7" ht="15.12" thickBot="1" customHeight="1">
      <c r="A18682" s="24" t="s">
        <v>57145</v>
      </c>
      <c r="B18682" s="24"/>
      <c r="C18682" s="24" t="s">
        <v>57146</v>
      </c>
      <c r="D18682" s="25" t="s">
        <v>57147</v>
      </c>
      <c r="E18682" s="28">
        <v>3.00000</v>
      </c>
      <c r="F18682" s="29">
        <f ca="1">ROUND(30.660,3)</f>
        <v>0</v>
      </c>
      <c r="G18682" s="27">
        <f ca="1">ROUND((E18682*F18682)/100,2)</f>
        <v>0</v>
      </c>
    </row>
    <row r="18683" spans="1:7" ht="25.08" thickBot="1" customHeight="1">
      <c r="A18683" s="30"/>
      <c r="B18683" s="30"/>
      <c r="C18683" s="30"/>
      <c r="D18683" s="31" t="s">
        <v>57148</v>
      </c>
      <c r="E18683" s="30"/>
      <c r="F18683" s="33">
        <f ca="1">ROUND((G18673+G18674+G18675+G18676+G18677+G18682)*(1+G2/100),2)</f>
        <v>0</v>
      </c>
      <c r="G18683" s="30"/>
    </row>
    <row r="18684" spans="1:7" ht="30.60" thickBot="1" customHeight="1">
      <c r="A18684" s="34" t="s">
        <v>57149</v>
      </c>
      <c r="B18684" s="35" t="s">
        <v>57150</v>
      </c>
      <c r="C18684" s="35" t="s">
        <v>57151</v>
      </c>
      <c r="D18684" s="36" t="s">
        <v>57152</v>
      </c>
      <c r="E18684" s="37"/>
      <c r="F18684" s="38">
        <f ca="1">F18695</f>
        <v>0</v>
      </c>
      <c r="G18684" s="37"/>
    </row>
    <row r="18685" spans="1:7" ht="12.12" thickBot="1" customHeight="1">
      <c r="A18685" s="26"/>
      <c r="B18685" s="26"/>
      <c r="C18685" s="26"/>
      <c r="D18685" s="25" t="s">
        <v>57153</v>
      </c>
      <c r="E18685" s="25"/>
      <c r="F18685" s="25"/>
      <c r="G18685" s="25"/>
    </row>
    <row r="18686" spans="1:7" ht="24.36" thickBot="1" customHeight="1">
      <c r="A18686" s="24" t="s">
        <v>57154</v>
      </c>
      <c r="B18686" s="24" t="s">
        <v>57155</v>
      </c>
      <c r="C18686" s="24" t="s">
        <v>57156</v>
      </c>
      <c r="D18686" s="25" t="s">
        <v>57157</v>
      </c>
      <c r="E18686" s="28">
        <v>0.10000</v>
      </c>
      <c r="F18686" s="29">
        <f ca="1">ROUND(5.800,3)</f>
        <v>0</v>
      </c>
      <c r="G18686" s="27">
        <f ca="1">ROUND(E18686*F18686,2)</f>
        <v>0</v>
      </c>
    </row>
    <row r="18687" spans="1:7" ht="21.36" thickBot="1" customHeight="1">
      <c r="A18687" s="24" t="s">
        <v>57158</v>
      </c>
      <c r="B18687" s="24" t="s">
        <v>57159</v>
      </c>
      <c r="C18687" s="24" t="s">
        <v>57160</v>
      </c>
      <c r="D18687" s="25" t="s">
        <v>57161</v>
      </c>
      <c r="E18687" s="28">
        <v>1.00000</v>
      </c>
      <c r="F18687" s="29">
        <f ca="1">ROUND(0.900,3)</f>
        <v>0</v>
      </c>
      <c r="G18687" s="27">
        <f ca="1">ROUND(E18687*F18687,2)</f>
        <v>0</v>
      </c>
    </row>
    <row r="18688" spans="1:7" ht="21.36" thickBot="1" customHeight="1">
      <c r="A18688" s="24" t="s">
        <v>57162</v>
      </c>
      <c r="B18688" s="24" t="s">
        <v>57163</v>
      </c>
      <c r="C18688" s="24" t="s">
        <v>57164</v>
      </c>
      <c r="D18688" s="25" t="s">
        <v>57165</v>
      </c>
      <c r="E18688" s="28">
        <v>0.00500</v>
      </c>
      <c r="F18688" s="29">
        <f ca="1">ROUND(4.950,3)</f>
        <v>0</v>
      </c>
      <c r="G18688" s="27">
        <f ca="1">ROUND(E18688*F18688,2)</f>
        <v>0</v>
      </c>
    </row>
    <row r="18689" spans="1:7" ht="21.36" thickBot="1" customHeight="1">
      <c r="A18689" s="24" t="s">
        <v>57166</v>
      </c>
      <c r="B18689" s="24" t="s">
        <v>57167</v>
      </c>
      <c r="C18689" s="24" t="s">
        <v>57168</v>
      </c>
      <c r="D18689" s="25" t="s">
        <v>57169</v>
      </c>
      <c r="E18689" s="28">
        <v>0.70000</v>
      </c>
      <c r="F18689" s="29">
        <f ca="1">F18693</f>
        <v>0</v>
      </c>
      <c r="G18689" s="27">
        <f ca="1">ROUND(E18689*F18689,2)</f>
        <v>0</v>
      </c>
    </row>
    <row r="18690" spans="1:7" ht="24.36" thickBot="1" customHeight="1">
      <c r="A18690" s="24" t="s">
        <v>57170</v>
      </c>
      <c r="B18690" s="24" t="s">
        <v>57171</v>
      </c>
      <c r="C18690" s="24" t="s">
        <v>57172</v>
      </c>
      <c r="D18690" s="25" t="s">
        <v>57173</v>
      </c>
      <c r="E18690" s="28">
        <v>1.00000</v>
      </c>
      <c r="F18690" s="29">
        <f ca="1">ROUND(21.000,3)</f>
        <v>0</v>
      </c>
      <c r="G18690" s="27">
        <f ca="1">ROUND(E18690*F18690,2)</f>
        <v>0</v>
      </c>
    </row>
    <row r="18691" spans="1:7" ht="24.36" thickBot="1" customHeight="1">
      <c r="A18691" s="24" t="s">
        <v>57174</v>
      </c>
      <c r="B18691" s="24" t="s">
        <v>57175</v>
      </c>
      <c r="C18691" s="24" t="s">
        <v>57176</v>
      </c>
      <c r="D18691" s="25" t="s">
        <v>57177</v>
      </c>
      <c r="E18691" s="28">
        <v>1.00000</v>
      </c>
      <c r="F18691" s="29">
        <f ca="1">ROUND(19.000,3)</f>
        <v>0</v>
      </c>
      <c r="G18691" s="27">
        <f ca="1">ROUND(E18691*F18691,2)</f>
        <v>0</v>
      </c>
    </row>
    <row r="18692" spans="1:7" ht="24.36" thickBot="1" customHeight="1">
      <c r="A18692" s="24" t="s">
        <v>57178</v>
      </c>
      <c r="B18692" s="24" t="s">
        <v>57179</v>
      </c>
      <c r="C18692" s="24" t="s">
        <v>57180</v>
      </c>
      <c r="D18692" s="25" t="s">
        <v>57181</v>
      </c>
      <c r="E18692" s="28">
        <v>0.20000</v>
      </c>
      <c r="F18692" s="29">
        <f ca="1">ROUND(19.000,3)</f>
        <v>0</v>
      </c>
      <c r="G18692" s="27">
        <f ca="1">ROUND(E18692*F18692,2)</f>
        <v>0</v>
      </c>
    </row>
    <row r="18693" spans="1:7" ht="15.12" thickBot="1" customHeight="1">
      <c r="A18693" s="26"/>
      <c r="B18693" s="26"/>
      <c r="C18693" s="26"/>
      <c r="D18693" s="24" t="s">
        <v>57182</v>
      </c>
      <c r="E18693" s="28">
        <v>0.70000</v>
      </c>
      <c r="F18693" s="29">
        <f ca="1">ROUND((G18690+G18691+G18692),3)</f>
        <v>0</v>
      </c>
      <c r="G18693" s="27">
        <f ca="1">ROUND(E18693*F18693,2)</f>
        <v>0</v>
      </c>
    </row>
    <row r="18694" spans="1:7" ht="15.12" thickBot="1" customHeight="1">
      <c r="A18694" s="24" t="s">
        <v>57183</v>
      </c>
      <c r="B18694" s="24"/>
      <c r="C18694" s="24" t="s">
        <v>57184</v>
      </c>
      <c r="D18694" s="25" t="s">
        <v>57185</v>
      </c>
      <c r="E18694" s="28">
        <v>3.00000</v>
      </c>
      <c r="F18694" s="29">
        <f ca="1">ROUND(30.660,3)</f>
        <v>0</v>
      </c>
      <c r="G18694" s="27">
        <f ca="1">ROUND((E18694*F18694)/100,2)</f>
        <v>0</v>
      </c>
    </row>
    <row r="18695" spans="1:7" ht="15.48" thickBot="1" customHeight="1">
      <c r="A18695" s="30"/>
      <c r="B18695" s="30"/>
      <c r="C18695" s="30"/>
      <c r="D18695" s="31" t="s">
        <v>57186</v>
      </c>
      <c r="E18695" s="30"/>
      <c r="F18695" s="33">
        <f ca="1">ROUND((G18686+G18687+G18688+G18689+G18694)*(1+G2/100),2)</f>
        <v>0</v>
      </c>
      <c r="G18695" s="30"/>
    </row>
    <row r="18696" spans="1:7" ht="34.68" thickBot="1" customHeight="1">
      <c r="A18696" s="34" t="s">
        <v>57187</v>
      </c>
      <c r="B18696" s="35" t="s">
        <v>57188</v>
      </c>
      <c r="C18696" s="35" t="s">
        <v>57189</v>
      </c>
      <c r="D18696" s="36" t="s">
        <v>57190</v>
      </c>
      <c r="E18696" s="37"/>
      <c r="F18696" s="38">
        <f ca="1">F18705</f>
        <v>0</v>
      </c>
      <c r="G18696" s="37"/>
    </row>
    <row r="18697" spans="1:7" ht="30.60" thickBot="1" customHeight="1">
      <c r="A18697" s="26"/>
      <c r="B18697" s="26"/>
      <c r="C18697" s="26"/>
      <c r="D18697" s="25" t="s">
        <v>57191</v>
      </c>
      <c r="E18697" s="25"/>
      <c r="F18697" s="25"/>
      <c r="G18697" s="25"/>
    </row>
    <row r="18698" spans="1:7" ht="21.36" thickBot="1" customHeight="1">
      <c r="A18698" s="24" t="s">
        <v>57192</v>
      </c>
      <c r="B18698" s="24" t="s">
        <v>57193</v>
      </c>
      <c r="C18698" s="24" t="s">
        <v>57194</v>
      </c>
      <c r="D18698" s="25" t="s">
        <v>57195</v>
      </c>
      <c r="E18698" s="28">
        <v>0.09100</v>
      </c>
      <c r="F18698" s="29">
        <f ca="1">ROUND(12.750,3)</f>
        <v>0</v>
      </c>
      <c r="G18698" s="27">
        <f ca="1">ROUND(E18698*F18698,2)</f>
        <v>0</v>
      </c>
    </row>
    <row r="18699" spans="1:7" ht="21.36" thickBot="1" customHeight="1">
      <c r="A18699" s="24" t="s">
        <v>57196</v>
      </c>
      <c r="B18699" s="24" t="s">
        <v>57197</v>
      </c>
      <c r="C18699" s="24" t="s">
        <v>57198</v>
      </c>
      <c r="D18699" s="25" t="s">
        <v>57199</v>
      </c>
      <c r="E18699" s="28">
        <v>2.00000</v>
      </c>
      <c r="F18699" s="29">
        <f ca="1">F18703</f>
        <v>0</v>
      </c>
      <c r="G18699" s="27">
        <f ca="1">ROUND(E18699*F18699,2)</f>
        <v>0</v>
      </c>
    </row>
    <row r="18700" spans="1:7" ht="24.36" thickBot="1" customHeight="1">
      <c r="A18700" s="24" t="s">
        <v>57200</v>
      </c>
      <c r="B18700" s="24" t="s">
        <v>57201</v>
      </c>
      <c r="C18700" s="24" t="s">
        <v>57202</v>
      </c>
      <c r="D18700" s="25" t="s">
        <v>57203</v>
      </c>
      <c r="E18700" s="28">
        <v>1.00000</v>
      </c>
      <c r="F18700" s="29">
        <f ca="1">ROUND(21.000,3)</f>
        <v>0</v>
      </c>
      <c r="G18700" s="27">
        <f ca="1">ROUND(E18700*F18700,2)</f>
        <v>0</v>
      </c>
    </row>
    <row r="18701" spans="1:7" ht="24.36" thickBot="1" customHeight="1">
      <c r="A18701" s="24" t="s">
        <v>57204</v>
      </c>
      <c r="B18701" s="24" t="s">
        <v>57205</v>
      </c>
      <c r="C18701" s="24" t="s">
        <v>57206</v>
      </c>
      <c r="D18701" s="25" t="s">
        <v>57207</v>
      </c>
      <c r="E18701" s="28">
        <v>1.00000</v>
      </c>
      <c r="F18701" s="29">
        <f ca="1">ROUND(19.000,3)</f>
        <v>0</v>
      </c>
      <c r="G18701" s="27">
        <f ca="1">ROUND(E18701*F18701,2)</f>
        <v>0</v>
      </c>
    </row>
    <row r="18702" spans="1:7" ht="24.36" thickBot="1" customHeight="1">
      <c r="A18702" s="24" t="s">
        <v>57208</v>
      </c>
      <c r="B18702" s="24" t="s">
        <v>57209</v>
      </c>
      <c r="C18702" s="24" t="s">
        <v>57210</v>
      </c>
      <c r="D18702" s="25" t="s">
        <v>57211</v>
      </c>
      <c r="E18702" s="28">
        <v>0.20000</v>
      </c>
      <c r="F18702" s="29">
        <f ca="1">ROUND(19.000,3)</f>
        <v>0</v>
      </c>
      <c r="G18702" s="27">
        <f ca="1">ROUND(E18702*F18702,2)</f>
        <v>0</v>
      </c>
    </row>
    <row r="18703" spans="1:7" ht="15.12" thickBot="1" customHeight="1">
      <c r="A18703" s="26"/>
      <c r="B18703" s="26"/>
      <c r="C18703" s="26"/>
      <c r="D18703" s="24" t="s">
        <v>57212</v>
      </c>
      <c r="E18703" s="28">
        <v>2.00000</v>
      </c>
      <c r="F18703" s="29">
        <f ca="1">ROUND((G18700+G18701+G18702),3)</f>
        <v>0</v>
      </c>
      <c r="G18703" s="27">
        <f ca="1">ROUND(E18703*F18703,2)</f>
        <v>0</v>
      </c>
    </row>
    <row r="18704" spans="1:7" ht="15.12" thickBot="1" customHeight="1">
      <c r="A18704" s="24" t="s">
        <v>57213</v>
      </c>
      <c r="B18704" s="24"/>
      <c r="C18704" s="24" t="s">
        <v>57214</v>
      </c>
      <c r="D18704" s="25" t="s">
        <v>57215</v>
      </c>
      <c r="E18704" s="28">
        <v>5.00000</v>
      </c>
      <c r="F18704" s="29">
        <f ca="1">ROUND(87.600,3)</f>
        <v>0</v>
      </c>
      <c r="G18704" s="27">
        <f ca="1">ROUND((E18704*F18704)/100,2)</f>
        <v>0</v>
      </c>
    </row>
    <row r="18705" spans="1:7" ht="25.08" thickBot="1" customHeight="1">
      <c r="A18705" s="30"/>
      <c r="B18705" s="30"/>
      <c r="C18705" s="30"/>
      <c r="D18705" s="31" t="s">
        <v>57216</v>
      </c>
      <c r="E18705" s="30"/>
      <c r="F18705" s="33">
        <f ca="1">ROUND((G18698+G18699+G18704)*(1+G2/100),2)</f>
        <v>0</v>
      </c>
      <c r="G18705" s="30"/>
    </row>
    <row r="18706" spans="1:7" ht="30.60" thickBot="1" customHeight="1">
      <c r="A18706" s="34" t="s">
        <v>57217</v>
      </c>
      <c r="B18706" s="35" t="s">
        <v>57218</v>
      </c>
      <c r="C18706" s="35" t="s">
        <v>57219</v>
      </c>
      <c r="D18706" s="36" t="s">
        <v>57220</v>
      </c>
      <c r="E18706" s="37"/>
      <c r="F18706" s="38">
        <f ca="1">F18717</f>
        <v>0</v>
      </c>
      <c r="G18706" s="37"/>
    </row>
    <row r="18707" spans="1:7" ht="12.12" thickBot="1" customHeight="1">
      <c r="A18707" s="26"/>
      <c r="B18707" s="26"/>
      <c r="C18707" s="26"/>
      <c r="D18707" s="25" t="s">
        <v>57221</v>
      </c>
      <c r="E18707" s="25"/>
      <c r="F18707" s="25"/>
      <c r="G18707" s="25"/>
    </row>
    <row r="18708" spans="1:7" ht="24.36" thickBot="1" customHeight="1">
      <c r="A18708" s="24" t="s">
        <v>57222</v>
      </c>
      <c r="B18708" s="24" t="s">
        <v>57223</v>
      </c>
      <c r="C18708" s="24" t="s">
        <v>57224</v>
      </c>
      <c r="D18708" s="25" t="s">
        <v>57225</v>
      </c>
      <c r="E18708" s="28">
        <v>0.10000</v>
      </c>
      <c r="F18708" s="29">
        <f ca="1">ROUND(5.800,3)</f>
        <v>0</v>
      </c>
      <c r="G18708" s="27">
        <f ca="1">ROUND(E18708*F18708,2)</f>
        <v>0</v>
      </c>
    </row>
    <row r="18709" spans="1:7" ht="21.36" thickBot="1" customHeight="1">
      <c r="A18709" s="24" t="s">
        <v>57226</v>
      </c>
      <c r="B18709" s="24" t="s">
        <v>57227</v>
      </c>
      <c r="C18709" s="24" t="s">
        <v>57228</v>
      </c>
      <c r="D18709" s="25" t="s">
        <v>57229</v>
      </c>
      <c r="E18709" s="28">
        <v>1.00000</v>
      </c>
      <c r="F18709" s="29">
        <f ca="1">ROUND(0.900,3)</f>
        <v>0</v>
      </c>
      <c r="G18709" s="27">
        <f ca="1">ROUND(E18709*F18709,2)</f>
        <v>0</v>
      </c>
    </row>
    <row r="18710" spans="1:7" ht="21.36" thickBot="1" customHeight="1">
      <c r="A18710" s="24" t="s">
        <v>57230</v>
      </c>
      <c r="B18710" s="24" t="s">
        <v>57231</v>
      </c>
      <c r="C18710" s="24" t="s">
        <v>57232</v>
      </c>
      <c r="D18710" s="25" t="s">
        <v>57233</v>
      </c>
      <c r="E18710" s="28">
        <v>0.00500</v>
      </c>
      <c r="F18710" s="29">
        <f ca="1">ROUND(4.950,3)</f>
        <v>0</v>
      </c>
      <c r="G18710" s="27">
        <f ca="1">ROUND(E18710*F18710,2)</f>
        <v>0</v>
      </c>
    </row>
    <row r="18711" spans="1:7" ht="21.36" thickBot="1" customHeight="1">
      <c r="A18711" s="24" t="s">
        <v>57234</v>
      </c>
      <c r="B18711" s="24" t="s">
        <v>57235</v>
      </c>
      <c r="C18711" s="24" t="s">
        <v>57236</v>
      </c>
      <c r="D18711" s="25" t="s">
        <v>57237</v>
      </c>
      <c r="E18711" s="28">
        <v>0.60000</v>
      </c>
      <c r="F18711" s="29">
        <f ca="1">F18715</f>
        <v>0</v>
      </c>
      <c r="G18711" s="27">
        <f ca="1">ROUND(E18711*F18711,2)</f>
        <v>0</v>
      </c>
    </row>
    <row r="18712" spans="1:7" ht="24.36" thickBot="1" customHeight="1">
      <c r="A18712" s="24" t="s">
        <v>57238</v>
      </c>
      <c r="B18712" s="24" t="s">
        <v>57239</v>
      </c>
      <c r="C18712" s="24" t="s">
        <v>57240</v>
      </c>
      <c r="D18712" s="25" t="s">
        <v>57241</v>
      </c>
      <c r="E18712" s="28">
        <v>1.00000</v>
      </c>
      <c r="F18712" s="29">
        <f ca="1">ROUND(21.000,3)</f>
        <v>0</v>
      </c>
      <c r="G18712" s="27">
        <f ca="1">ROUND(E18712*F18712,2)</f>
        <v>0</v>
      </c>
    </row>
    <row r="18713" spans="1:7" ht="24.36" thickBot="1" customHeight="1">
      <c r="A18713" s="24" t="s">
        <v>57242</v>
      </c>
      <c r="B18713" s="24" t="s">
        <v>57243</v>
      </c>
      <c r="C18713" s="24" t="s">
        <v>57244</v>
      </c>
      <c r="D18713" s="25" t="s">
        <v>57245</v>
      </c>
      <c r="E18713" s="28">
        <v>1.00000</v>
      </c>
      <c r="F18713" s="29">
        <f ca="1">ROUND(19.000,3)</f>
        <v>0</v>
      </c>
      <c r="G18713" s="27">
        <f ca="1">ROUND(E18713*F18713,2)</f>
        <v>0</v>
      </c>
    </row>
    <row r="18714" spans="1:7" ht="24.36" thickBot="1" customHeight="1">
      <c r="A18714" s="24" t="s">
        <v>57246</v>
      </c>
      <c r="B18714" s="24" t="s">
        <v>57247</v>
      </c>
      <c r="C18714" s="24" t="s">
        <v>57248</v>
      </c>
      <c r="D18714" s="25" t="s">
        <v>57249</v>
      </c>
      <c r="E18714" s="28">
        <v>0.20000</v>
      </c>
      <c r="F18714" s="29">
        <f ca="1">ROUND(19.000,3)</f>
        <v>0</v>
      </c>
      <c r="G18714" s="27">
        <f ca="1">ROUND(E18714*F18714,2)</f>
        <v>0</v>
      </c>
    </row>
    <row r="18715" spans="1:7" ht="15.12" thickBot="1" customHeight="1">
      <c r="A18715" s="26"/>
      <c r="B18715" s="26"/>
      <c r="C18715" s="26"/>
      <c r="D18715" s="24" t="s">
        <v>57250</v>
      </c>
      <c r="E18715" s="28">
        <v>0.60000</v>
      </c>
      <c r="F18715" s="29">
        <f ca="1">ROUND((G18712+G18713+G18714),3)</f>
        <v>0</v>
      </c>
      <c r="G18715" s="27">
        <f ca="1">ROUND(E18715*F18715,2)</f>
        <v>0</v>
      </c>
    </row>
    <row r="18716" spans="1:7" ht="15.12" thickBot="1" customHeight="1">
      <c r="A18716" s="24" t="s">
        <v>57251</v>
      </c>
      <c r="B18716" s="24"/>
      <c r="C18716" s="24" t="s">
        <v>57252</v>
      </c>
      <c r="D18716" s="25" t="s">
        <v>57253</v>
      </c>
      <c r="E18716" s="28">
        <v>3.00000</v>
      </c>
      <c r="F18716" s="29">
        <f ca="1">ROUND(26.280,3)</f>
        <v>0</v>
      </c>
      <c r="G18716" s="27">
        <f ca="1">ROUND((E18716*F18716)/100,2)</f>
        <v>0</v>
      </c>
    </row>
    <row r="18717" spans="1:7" ht="15.48" thickBot="1" customHeight="1">
      <c r="A18717" s="30"/>
      <c r="B18717" s="30"/>
      <c r="C18717" s="30"/>
      <c r="D18717" s="31" t="s">
        <v>57254</v>
      </c>
      <c r="E18717" s="30"/>
      <c r="F18717" s="33">
        <f ca="1">ROUND((G18708+G18709+G18710+G18711+G18716)*(1+G2/100),2)</f>
        <v>0</v>
      </c>
      <c r="G18717" s="30"/>
    </row>
    <row r="18718" spans="1:7" ht="30.60" thickBot="1" customHeight="1">
      <c r="A18718" s="34" t="s">
        <v>57255</v>
      </c>
      <c r="B18718" s="35" t="s">
        <v>57256</v>
      </c>
      <c r="C18718" s="35" t="s">
        <v>57257</v>
      </c>
      <c r="D18718" s="36" t="s">
        <v>57258</v>
      </c>
      <c r="E18718" s="37"/>
      <c r="F18718" s="38">
        <f ca="1">F18732</f>
        <v>0</v>
      </c>
      <c r="G18718" s="37"/>
    </row>
    <row r="18719" spans="1:7" ht="21.36" thickBot="1" customHeight="1">
      <c r="A18719" s="26"/>
      <c r="B18719" s="26"/>
      <c r="C18719" s="26"/>
      <c r="D18719" s="25" t="s">
        <v>57259</v>
      </c>
      <c r="E18719" s="25"/>
      <c r="F18719" s="25"/>
      <c r="G18719" s="25"/>
    </row>
    <row r="18720" spans="1:7" ht="21.36" thickBot="1" customHeight="1">
      <c r="A18720" s="24" t="s">
        <v>57260</v>
      </c>
      <c r="B18720" s="24" t="s">
        <v>57261</v>
      </c>
      <c r="C18720" s="24" t="s">
        <v>57262</v>
      </c>
      <c r="D18720" s="25" t="s">
        <v>57263</v>
      </c>
      <c r="E18720" s="28">
        <v>1.00000</v>
      </c>
      <c r="F18720" s="29">
        <f ca="1">ROUND(6.320,3)</f>
        <v>0</v>
      </c>
      <c r="G18720" s="27">
        <f ca="1">ROUND(E18720*F18720,2)</f>
        <v>0</v>
      </c>
    </row>
    <row r="18721" spans="1:7" ht="21.36" thickBot="1" customHeight="1">
      <c r="A18721" s="24" t="s">
        <v>57264</v>
      </c>
      <c r="B18721" s="24" t="s">
        <v>57265</v>
      </c>
      <c r="C18721" s="24" t="s">
        <v>57266</v>
      </c>
      <c r="D18721" s="25" t="s">
        <v>57267</v>
      </c>
      <c r="E18721" s="28">
        <v>0.50000</v>
      </c>
      <c r="F18721" s="29">
        <f ca="1">ROUND(1.320,3)</f>
        <v>0</v>
      </c>
      <c r="G18721" s="27">
        <f ca="1">ROUND(E18721*F18721,2)</f>
        <v>0</v>
      </c>
    </row>
    <row r="18722" spans="1:7" ht="24.36" thickBot="1" customHeight="1">
      <c r="A18722" s="24" t="s">
        <v>57268</v>
      </c>
      <c r="B18722" s="24" t="s">
        <v>57269</v>
      </c>
      <c r="C18722" s="24" t="s">
        <v>57270</v>
      </c>
      <c r="D18722" s="25" t="s">
        <v>57271</v>
      </c>
      <c r="E18722" s="28">
        <v>0.25000</v>
      </c>
      <c r="F18722" s="29">
        <f ca="1">ROUND(5.800,3)</f>
        <v>0</v>
      </c>
      <c r="G18722" s="27">
        <f ca="1">ROUND(E18722*F18722,2)</f>
        <v>0</v>
      </c>
    </row>
    <row r="18723" spans="1:7" ht="21.36" thickBot="1" customHeight="1">
      <c r="A18723" s="24" t="s">
        <v>57272</v>
      </c>
      <c r="B18723" s="24" t="s">
        <v>57273</v>
      </c>
      <c r="C18723" s="24" t="s">
        <v>57274</v>
      </c>
      <c r="D18723" s="25" t="s">
        <v>57275</v>
      </c>
      <c r="E18723" s="28">
        <v>0.10000</v>
      </c>
      <c r="F18723" s="29">
        <f ca="1">ROUND(6.490,3)</f>
        <v>0</v>
      </c>
      <c r="G18723" s="27">
        <f ca="1">ROUND(E18723*F18723,2)</f>
        <v>0</v>
      </c>
    </row>
    <row r="18724" spans="1:7" ht="21.36" thickBot="1" customHeight="1">
      <c r="A18724" s="24" t="s">
        <v>57276</v>
      </c>
      <c r="B18724" s="24" t="s">
        <v>57277</v>
      </c>
      <c r="C18724" s="24" t="s">
        <v>57278</v>
      </c>
      <c r="D18724" s="25" t="s">
        <v>57279</v>
      </c>
      <c r="E18724" s="28">
        <v>1.00000</v>
      </c>
      <c r="F18724" s="29">
        <f ca="1">ROUND(2.000,3)</f>
        <v>0</v>
      </c>
      <c r="G18724" s="27">
        <f ca="1">ROUND(E18724*F18724,2)</f>
        <v>0</v>
      </c>
    </row>
    <row r="18725" spans="1:7" ht="30.60" thickBot="1" customHeight="1">
      <c r="A18725" s="24" t="s">
        <v>57280</v>
      </c>
      <c r="B18725" s="24" t="s">
        <v>57281</v>
      </c>
      <c r="C18725" s="24" t="s">
        <v>57282</v>
      </c>
      <c r="D18725" s="25" t="s">
        <v>57283</v>
      </c>
      <c r="E18725" s="28">
        <v>0.40000</v>
      </c>
      <c r="F18725" s="29">
        <f ca="1">ROUND(4.920,3)</f>
        <v>0</v>
      </c>
      <c r="G18725" s="27">
        <f ca="1">ROUND(E18725*F18725,2)</f>
        <v>0</v>
      </c>
    </row>
    <row r="18726" spans="1:7" ht="21.36" thickBot="1" customHeight="1">
      <c r="A18726" s="24" t="s">
        <v>57284</v>
      </c>
      <c r="B18726" s="24" t="s">
        <v>57285</v>
      </c>
      <c r="C18726" s="24" t="s">
        <v>57286</v>
      </c>
      <c r="D18726" s="25" t="s">
        <v>57287</v>
      </c>
      <c r="E18726" s="28">
        <v>2.00000</v>
      </c>
      <c r="F18726" s="29">
        <f ca="1">F18730</f>
        <v>0</v>
      </c>
      <c r="G18726" s="27">
        <f ca="1">ROUND(E18726*F18726,2)</f>
        <v>0</v>
      </c>
    </row>
    <row r="18727" spans="1:7" ht="24.36" thickBot="1" customHeight="1">
      <c r="A18727" s="24" t="s">
        <v>57288</v>
      </c>
      <c r="B18727" s="24" t="s">
        <v>57289</v>
      </c>
      <c r="C18727" s="24" t="s">
        <v>57290</v>
      </c>
      <c r="D18727" s="25" t="s">
        <v>57291</v>
      </c>
      <c r="E18727" s="28">
        <v>1.00000</v>
      </c>
      <c r="F18727" s="29">
        <f ca="1">ROUND(21.000,3)</f>
        <v>0</v>
      </c>
      <c r="G18727" s="27">
        <f ca="1">ROUND(E18727*F18727,2)</f>
        <v>0</v>
      </c>
    </row>
    <row r="18728" spans="1:7" ht="24.36" thickBot="1" customHeight="1">
      <c r="A18728" s="24" t="s">
        <v>57292</v>
      </c>
      <c r="B18728" s="24" t="s">
        <v>57293</v>
      </c>
      <c r="C18728" s="24" t="s">
        <v>57294</v>
      </c>
      <c r="D18728" s="25" t="s">
        <v>57295</v>
      </c>
      <c r="E18728" s="28">
        <v>1.00000</v>
      </c>
      <c r="F18728" s="29">
        <f ca="1">ROUND(19.000,3)</f>
        <v>0</v>
      </c>
      <c r="G18728" s="27">
        <f ca="1">ROUND(E18728*F18728,2)</f>
        <v>0</v>
      </c>
    </row>
    <row r="18729" spans="1:7" ht="24.36" thickBot="1" customHeight="1">
      <c r="A18729" s="24" t="s">
        <v>57296</v>
      </c>
      <c r="B18729" s="24" t="s">
        <v>57297</v>
      </c>
      <c r="C18729" s="24" t="s">
        <v>57298</v>
      </c>
      <c r="D18729" s="25" t="s">
        <v>57299</v>
      </c>
      <c r="E18729" s="28">
        <v>0.20000</v>
      </c>
      <c r="F18729" s="29">
        <f ca="1">ROUND(19.000,3)</f>
        <v>0</v>
      </c>
      <c r="G18729" s="27">
        <f ca="1">ROUND(E18729*F18729,2)</f>
        <v>0</v>
      </c>
    </row>
    <row r="18730" spans="1:7" ht="15.12" thickBot="1" customHeight="1">
      <c r="A18730" s="26"/>
      <c r="B18730" s="26"/>
      <c r="C18730" s="26"/>
      <c r="D18730" s="24" t="s">
        <v>57300</v>
      </c>
      <c r="E18730" s="28">
        <v>2.00000</v>
      </c>
      <c r="F18730" s="29">
        <f ca="1">ROUND((G18727+G18728+G18729),3)</f>
        <v>0</v>
      </c>
      <c r="G18730" s="27">
        <f ca="1">ROUND(E18730*F18730,2)</f>
        <v>0</v>
      </c>
    </row>
    <row r="18731" spans="1:7" ht="15.12" thickBot="1" customHeight="1">
      <c r="A18731" s="24" t="s">
        <v>57301</v>
      </c>
      <c r="B18731" s="24"/>
      <c r="C18731" s="24" t="s">
        <v>57302</v>
      </c>
      <c r="D18731" s="25" t="s">
        <v>57303</v>
      </c>
      <c r="E18731" s="28">
        <v>3.00000</v>
      </c>
      <c r="F18731" s="29">
        <f ca="1">ROUND(87.600,3)</f>
        <v>0</v>
      </c>
      <c r="G18731" s="27">
        <f ca="1">ROUND((E18731*F18731)/100,2)</f>
        <v>0</v>
      </c>
    </row>
    <row r="18732" spans="1:7" ht="15.48" thickBot="1" customHeight="1">
      <c r="A18732" s="30"/>
      <c r="B18732" s="30"/>
      <c r="C18732" s="30"/>
      <c r="D18732" s="31" t="s">
        <v>57304</v>
      </c>
      <c r="E18732" s="30"/>
      <c r="F18732" s="33">
        <f ca="1">ROUND((G18720+G18721+G18722+G18723+G18724+G18725+G18726+G18731)*(1+G2/100),2)</f>
        <v>0</v>
      </c>
      <c r="G18732" s="30"/>
    </row>
    <row r="18733" spans="1:7" ht="30.60" thickBot="1" customHeight="1">
      <c r="A18733" s="34" t="s">
        <v>57305</v>
      </c>
      <c r="B18733" s="35" t="s">
        <v>57306</v>
      </c>
      <c r="C18733" s="35" t="s">
        <v>57307</v>
      </c>
      <c r="D18733" s="36" t="s">
        <v>57308</v>
      </c>
      <c r="E18733" s="37"/>
      <c r="F18733" s="38">
        <f ca="1">F18747</f>
        <v>0</v>
      </c>
      <c r="G18733" s="37"/>
    </row>
    <row r="18734" spans="1:7" ht="12.12" thickBot="1" customHeight="1">
      <c r="A18734" s="26"/>
      <c r="B18734" s="26"/>
      <c r="C18734" s="26"/>
      <c r="D18734" s="25" t="s">
        <v>57309</v>
      </c>
      <c r="E18734" s="25"/>
      <c r="F18734" s="25"/>
      <c r="G18734" s="25"/>
    </row>
    <row r="18735" spans="1:7" ht="21.36" thickBot="1" customHeight="1">
      <c r="A18735" s="24" t="s">
        <v>57310</v>
      </c>
      <c r="B18735" s="24" t="s">
        <v>57311</v>
      </c>
      <c r="C18735" s="24" t="s">
        <v>57312</v>
      </c>
      <c r="D18735" s="25" t="s">
        <v>57313</v>
      </c>
      <c r="E18735" s="28">
        <v>1.00000</v>
      </c>
      <c r="F18735" s="29">
        <f ca="1">ROUND(6.320,3)</f>
        <v>0</v>
      </c>
      <c r="G18735" s="27">
        <f ca="1">ROUND(E18735*F18735,2)</f>
        <v>0</v>
      </c>
    </row>
    <row r="18736" spans="1:7" ht="21.36" thickBot="1" customHeight="1">
      <c r="A18736" s="24" t="s">
        <v>57314</v>
      </c>
      <c r="B18736" s="24" t="s">
        <v>57315</v>
      </c>
      <c r="C18736" s="24" t="s">
        <v>57316</v>
      </c>
      <c r="D18736" s="25" t="s">
        <v>57317</v>
      </c>
      <c r="E18736" s="28">
        <v>0.50000</v>
      </c>
      <c r="F18736" s="29">
        <f ca="1">ROUND(1.320,3)</f>
        <v>0</v>
      </c>
      <c r="G18736" s="27">
        <f ca="1">ROUND(E18736*F18736,2)</f>
        <v>0</v>
      </c>
    </row>
    <row r="18737" spans="1:7" ht="24.36" thickBot="1" customHeight="1">
      <c r="A18737" s="24" t="s">
        <v>57318</v>
      </c>
      <c r="B18737" s="24" t="s">
        <v>57319</v>
      </c>
      <c r="C18737" s="24" t="s">
        <v>57320</v>
      </c>
      <c r="D18737" s="25" t="s">
        <v>57321</v>
      </c>
      <c r="E18737" s="28">
        <v>0.25000</v>
      </c>
      <c r="F18737" s="29">
        <f ca="1">ROUND(5.800,3)</f>
        <v>0</v>
      </c>
      <c r="G18737" s="27">
        <f ca="1">ROUND(E18737*F18737,2)</f>
        <v>0</v>
      </c>
    </row>
    <row r="18738" spans="1:7" ht="21.36" thickBot="1" customHeight="1">
      <c r="A18738" s="24" t="s">
        <v>57322</v>
      </c>
      <c r="B18738" s="24" t="s">
        <v>57323</v>
      </c>
      <c r="C18738" s="24" t="s">
        <v>57324</v>
      </c>
      <c r="D18738" s="25" t="s">
        <v>57325</v>
      </c>
      <c r="E18738" s="28">
        <v>0.10000</v>
      </c>
      <c r="F18738" s="29">
        <f ca="1">ROUND(6.490,3)</f>
        <v>0</v>
      </c>
      <c r="G18738" s="27">
        <f ca="1">ROUND(E18738*F18738,2)</f>
        <v>0</v>
      </c>
    </row>
    <row r="18739" spans="1:7" ht="21.36" thickBot="1" customHeight="1">
      <c r="A18739" s="24" t="s">
        <v>57326</v>
      </c>
      <c r="B18739" s="24" t="s">
        <v>57327</v>
      </c>
      <c r="C18739" s="24" t="s">
        <v>57328</v>
      </c>
      <c r="D18739" s="25" t="s">
        <v>57329</v>
      </c>
      <c r="E18739" s="28">
        <v>1.00000</v>
      </c>
      <c r="F18739" s="29">
        <f ca="1">ROUND(2.000,3)</f>
        <v>0</v>
      </c>
      <c r="G18739" s="27">
        <f ca="1">ROUND(E18739*F18739,2)</f>
        <v>0</v>
      </c>
    </row>
    <row r="18740" spans="1:7" ht="30.60" thickBot="1" customHeight="1">
      <c r="A18740" s="24" t="s">
        <v>57330</v>
      </c>
      <c r="B18740" s="24" t="s">
        <v>57331</v>
      </c>
      <c r="C18740" s="24" t="s">
        <v>57332</v>
      </c>
      <c r="D18740" s="25" t="s">
        <v>57333</v>
      </c>
      <c r="E18740" s="28">
        <v>0.40000</v>
      </c>
      <c r="F18740" s="29">
        <f ca="1">ROUND(4.920,3)</f>
        <v>0</v>
      </c>
      <c r="G18740" s="27">
        <f ca="1">ROUND(E18740*F18740,2)</f>
        <v>0</v>
      </c>
    </row>
    <row r="18741" spans="1:7" ht="21.36" thickBot="1" customHeight="1">
      <c r="A18741" s="24" t="s">
        <v>57334</v>
      </c>
      <c r="B18741" s="24" t="s">
        <v>57335</v>
      </c>
      <c r="C18741" s="24" t="s">
        <v>57336</v>
      </c>
      <c r="D18741" s="25" t="s">
        <v>57337</v>
      </c>
      <c r="E18741" s="28">
        <v>2.00000</v>
      </c>
      <c r="F18741" s="29">
        <f ca="1">F18745</f>
        <v>0</v>
      </c>
      <c r="G18741" s="27">
        <f ca="1">ROUND(E18741*F18741,2)</f>
        <v>0</v>
      </c>
    </row>
    <row r="18742" spans="1:7" ht="24.36" thickBot="1" customHeight="1">
      <c r="A18742" s="24" t="s">
        <v>57338</v>
      </c>
      <c r="B18742" s="24" t="s">
        <v>57339</v>
      </c>
      <c r="C18742" s="24" t="s">
        <v>57340</v>
      </c>
      <c r="D18742" s="25" t="s">
        <v>57341</v>
      </c>
      <c r="E18742" s="28">
        <v>1.00000</v>
      </c>
      <c r="F18742" s="29">
        <f ca="1">ROUND(21.000,3)</f>
        <v>0</v>
      </c>
      <c r="G18742" s="27">
        <f ca="1">ROUND(E18742*F18742,2)</f>
        <v>0</v>
      </c>
    </row>
    <row r="18743" spans="1:7" ht="24.36" thickBot="1" customHeight="1">
      <c r="A18743" s="24" t="s">
        <v>57342</v>
      </c>
      <c r="B18743" s="24" t="s">
        <v>57343</v>
      </c>
      <c r="C18743" s="24" t="s">
        <v>57344</v>
      </c>
      <c r="D18743" s="25" t="s">
        <v>57345</v>
      </c>
      <c r="E18743" s="28">
        <v>1.00000</v>
      </c>
      <c r="F18743" s="29">
        <f ca="1">ROUND(19.000,3)</f>
        <v>0</v>
      </c>
      <c r="G18743" s="27">
        <f ca="1">ROUND(E18743*F18743,2)</f>
        <v>0</v>
      </c>
    </row>
    <row r="18744" spans="1:7" ht="24.36" thickBot="1" customHeight="1">
      <c r="A18744" s="24" t="s">
        <v>57346</v>
      </c>
      <c r="B18744" s="24" t="s">
        <v>57347</v>
      </c>
      <c r="C18744" s="24" t="s">
        <v>57348</v>
      </c>
      <c r="D18744" s="25" t="s">
        <v>57349</v>
      </c>
      <c r="E18744" s="28">
        <v>0.20000</v>
      </c>
      <c r="F18744" s="29">
        <f ca="1">ROUND(19.000,3)</f>
        <v>0</v>
      </c>
      <c r="G18744" s="27">
        <f ca="1">ROUND(E18744*F18744,2)</f>
        <v>0</v>
      </c>
    </row>
    <row r="18745" spans="1:7" ht="15.12" thickBot="1" customHeight="1">
      <c r="A18745" s="26"/>
      <c r="B18745" s="26"/>
      <c r="C18745" s="26"/>
      <c r="D18745" s="24" t="s">
        <v>57350</v>
      </c>
      <c r="E18745" s="28">
        <v>2.00000</v>
      </c>
      <c r="F18745" s="29">
        <f ca="1">ROUND((G18742+G18743+G18744),3)</f>
        <v>0</v>
      </c>
      <c r="G18745" s="27">
        <f ca="1">ROUND(E18745*F18745,2)</f>
        <v>0</v>
      </c>
    </row>
    <row r="18746" spans="1:7" ht="15.12" thickBot="1" customHeight="1">
      <c r="A18746" s="24" t="s">
        <v>57351</v>
      </c>
      <c r="B18746" s="24"/>
      <c r="C18746" s="24" t="s">
        <v>57352</v>
      </c>
      <c r="D18746" s="25" t="s">
        <v>57353</v>
      </c>
      <c r="E18746" s="28">
        <v>3.00000</v>
      </c>
      <c r="F18746" s="29">
        <f ca="1">ROUND(87.600,3)</f>
        <v>0</v>
      </c>
      <c r="G18746" s="27">
        <f ca="1">ROUND((E18746*F18746)/100,2)</f>
        <v>0</v>
      </c>
    </row>
    <row r="18747" spans="1:7" ht="15.48" thickBot="1" customHeight="1">
      <c r="A18747" s="30"/>
      <c r="B18747" s="30"/>
      <c r="C18747" s="30"/>
      <c r="D18747" s="31" t="s">
        <v>57354</v>
      </c>
      <c r="E18747" s="30"/>
      <c r="F18747" s="33">
        <f ca="1">ROUND((G18735+G18736+G18737+G18738+G18739+G18740+G18741+G18746)*(1+G2/100),2)</f>
        <v>0</v>
      </c>
      <c r="G18747" s="30"/>
    </row>
    <row r="18748" spans="1:7" ht="39.84" thickBot="1" customHeight="1">
      <c r="A18748" s="34" t="s">
        <v>57355</v>
      </c>
      <c r="B18748" s="35" t="s">
        <v>57356</v>
      </c>
      <c r="C18748" s="35" t="s">
        <v>57357</v>
      </c>
      <c r="D18748" s="36" t="s">
        <v>57358</v>
      </c>
      <c r="E18748" s="37"/>
      <c r="F18748" s="38">
        <f ca="1">F18759</f>
        <v>0</v>
      </c>
      <c r="G18748" s="37"/>
    </row>
    <row r="18749" spans="1:7" ht="39.84" thickBot="1" customHeight="1">
      <c r="A18749" s="26"/>
      <c r="B18749" s="26"/>
      <c r="C18749" s="26"/>
      <c r="D18749" s="25" t="s">
        <v>57359</v>
      </c>
      <c r="E18749" s="25"/>
      <c r="F18749" s="25"/>
      <c r="G18749" s="25"/>
    </row>
    <row r="18750" spans="1:7" ht="24.36" thickBot="1" customHeight="1">
      <c r="A18750" s="24" t="s">
        <v>57360</v>
      </c>
      <c r="B18750" s="24" t="s">
        <v>57361</v>
      </c>
      <c r="C18750" s="24" t="s">
        <v>57362</v>
      </c>
      <c r="D18750" s="25" t="s">
        <v>57363</v>
      </c>
      <c r="E18750" s="28">
        <v>0.25000</v>
      </c>
      <c r="F18750" s="29">
        <f ca="1">ROUND(5.800,3)</f>
        <v>0</v>
      </c>
      <c r="G18750" s="27">
        <f ca="1">ROUND(E18750*F18750,2)</f>
        <v>0</v>
      </c>
    </row>
    <row r="18751" spans="1:7" ht="21.36" thickBot="1" customHeight="1">
      <c r="A18751" s="24" t="s">
        <v>57364</v>
      </c>
      <c r="B18751" s="24" t="s">
        <v>57365</v>
      </c>
      <c r="C18751" s="24" t="s">
        <v>57366</v>
      </c>
      <c r="D18751" s="25" t="s">
        <v>57367</v>
      </c>
      <c r="E18751" s="28">
        <v>0.25000</v>
      </c>
      <c r="F18751" s="29">
        <f ca="1">ROUND(3.470,3)</f>
        <v>0</v>
      </c>
      <c r="G18751" s="27">
        <f ca="1">ROUND(E18751*F18751,2)</f>
        <v>0</v>
      </c>
    </row>
    <row r="18752" spans="1:7" ht="21.36" thickBot="1" customHeight="1">
      <c r="A18752" s="24" t="s">
        <v>57368</v>
      </c>
      <c r="B18752" s="24" t="s">
        <v>57369</v>
      </c>
      <c r="C18752" s="24" t="s">
        <v>57370</v>
      </c>
      <c r="D18752" s="25" t="s">
        <v>57371</v>
      </c>
      <c r="E18752" s="28">
        <v>1.00000</v>
      </c>
      <c r="F18752" s="29">
        <f ca="1">ROUND(1.320,3)</f>
        <v>0</v>
      </c>
      <c r="G18752" s="27">
        <f ca="1">ROUND(E18752*F18752,2)</f>
        <v>0</v>
      </c>
    </row>
    <row r="18753" spans="1:7" ht="21.36" thickBot="1" customHeight="1">
      <c r="A18753" s="24" t="s">
        <v>57372</v>
      </c>
      <c r="B18753" s="24" t="s">
        <v>57373</v>
      </c>
      <c r="C18753" s="24" t="s">
        <v>57374</v>
      </c>
      <c r="D18753" s="25" t="s">
        <v>57375</v>
      </c>
      <c r="E18753" s="28">
        <v>0.60000</v>
      </c>
      <c r="F18753" s="29">
        <f ca="1">F18757</f>
        <v>0</v>
      </c>
      <c r="G18753" s="27">
        <f ca="1">ROUND(E18753*F18753,2)</f>
        <v>0</v>
      </c>
    </row>
    <row r="18754" spans="1:7" ht="24.36" thickBot="1" customHeight="1">
      <c r="A18754" s="24" t="s">
        <v>57376</v>
      </c>
      <c r="B18754" s="24" t="s">
        <v>57377</v>
      </c>
      <c r="C18754" s="24" t="s">
        <v>57378</v>
      </c>
      <c r="D18754" s="25" t="s">
        <v>57379</v>
      </c>
      <c r="E18754" s="28">
        <v>1.00000</v>
      </c>
      <c r="F18754" s="29">
        <f ca="1">ROUND(21.000,3)</f>
        <v>0</v>
      </c>
      <c r="G18754" s="27">
        <f ca="1">ROUND(E18754*F18754,2)</f>
        <v>0</v>
      </c>
    </row>
    <row r="18755" spans="1:7" ht="24.36" thickBot="1" customHeight="1">
      <c r="A18755" s="24" t="s">
        <v>57380</v>
      </c>
      <c r="B18755" s="24" t="s">
        <v>57381</v>
      </c>
      <c r="C18755" s="24" t="s">
        <v>57382</v>
      </c>
      <c r="D18755" s="25" t="s">
        <v>57383</v>
      </c>
      <c r="E18755" s="28">
        <v>1.00000</v>
      </c>
      <c r="F18755" s="29">
        <f ca="1">ROUND(19.000,3)</f>
        <v>0</v>
      </c>
      <c r="G18755" s="27">
        <f ca="1">ROUND(E18755*F18755,2)</f>
        <v>0</v>
      </c>
    </row>
    <row r="18756" spans="1:7" ht="24.36" thickBot="1" customHeight="1">
      <c r="A18756" s="24" t="s">
        <v>57384</v>
      </c>
      <c r="B18756" s="24" t="s">
        <v>57385</v>
      </c>
      <c r="C18756" s="24" t="s">
        <v>57386</v>
      </c>
      <c r="D18756" s="25" t="s">
        <v>57387</v>
      </c>
      <c r="E18756" s="28">
        <v>0.20000</v>
      </c>
      <c r="F18756" s="29">
        <f ca="1">ROUND(19.000,3)</f>
        <v>0</v>
      </c>
      <c r="G18756" s="27">
        <f ca="1">ROUND(E18756*F18756,2)</f>
        <v>0</v>
      </c>
    </row>
    <row r="18757" spans="1:7" ht="15.12" thickBot="1" customHeight="1">
      <c r="A18757" s="26"/>
      <c r="B18757" s="26"/>
      <c r="C18757" s="26"/>
      <c r="D18757" s="24" t="s">
        <v>57388</v>
      </c>
      <c r="E18757" s="28">
        <v>0.60000</v>
      </c>
      <c r="F18757" s="29">
        <f ca="1">ROUND((G18754+G18755+G18756),3)</f>
        <v>0</v>
      </c>
      <c r="G18757" s="27">
        <f ca="1">ROUND(E18757*F18757,2)</f>
        <v>0</v>
      </c>
    </row>
    <row r="18758" spans="1:7" ht="15.12" thickBot="1" customHeight="1">
      <c r="A18758" s="24" t="s">
        <v>57389</v>
      </c>
      <c r="B18758" s="24"/>
      <c r="C18758" s="24" t="s">
        <v>57390</v>
      </c>
      <c r="D18758" s="25" t="s">
        <v>57391</v>
      </c>
      <c r="E18758" s="28">
        <v>5.00000</v>
      </c>
      <c r="F18758" s="29">
        <f ca="1">ROUND(26.280,3)</f>
        <v>0</v>
      </c>
      <c r="G18758" s="27">
        <f ca="1">ROUND((E18758*F18758)/100,2)</f>
        <v>0</v>
      </c>
    </row>
    <row r="18759" spans="1:7" ht="25.08" thickBot="1" customHeight="1">
      <c r="A18759" s="30"/>
      <c r="B18759" s="30"/>
      <c r="C18759" s="30"/>
      <c r="D18759" s="31" t="s">
        <v>57392</v>
      </c>
      <c r="E18759" s="30"/>
      <c r="F18759" s="33">
        <f ca="1">ROUND((G18750+G18751+G18752+G18753+G18758)*(1+G2/100),2)</f>
        <v>0</v>
      </c>
      <c r="G18759" s="30"/>
    </row>
    <row r="18760" spans="1:7" ht="49.08" thickBot="1" customHeight="1">
      <c r="A18760" s="34" t="s">
        <v>57393</v>
      </c>
      <c r="B18760" s="35" t="s">
        <v>57394</v>
      </c>
      <c r="C18760" s="35" t="s">
        <v>57395</v>
      </c>
      <c r="D18760" s="36" t="s">
        <v>57396</v>
      </c>
      <c r="E18760" s="37"/>
      <c r="F18760" s="38">
        <f ca="1">F18769</f>
        <v>0</v>
      </c>
      <c r="G18760" s="37"/>
    </row>
    <row r="18761" spans="1:7" ht="21.36" thickBot="1" customHeight="1">
      <c r="A18761" s="26"/>
      <c r="B18761" s="26"/>
      <c r="C18761" s="26"/>
      <c r="D18761" s="25" t="s">
        <v>57397</v>
      </c>
      <c r="E18761" s="25"/>
      <c r="F18761" s="25"/>
      <c r="G18761" s="25"/>
    </row>
    <row r="18762" spans="1:7" ht="24.36" thickBot="1" customHeight="1">
      <c r="A18762" s="24" t="s">
        <v>57398</v>
      </c>
      <c r="B18762" s="24" t="s">
        <v>57399</v>
      </c>
      <c r="C18762" s="24" t="s">
        <v>57400</v>
      </c>
      <c r="D18762" s="25" t="s">
        <v>57401</v>
      </c>
      <c r="E18762" s="28">
        <v>0.16700</v>
      </c>
      <c r="F18762" s="29">
        <f ca="1">ROUND(8.230,3)</f>
        <v>0</v>
      </c>
      <c r="G18762" s="27">
        <f ca="1">ROUND(E18762*F18762,2)</f>
        <v>0</v>
      </c>
    </row>
    <row r="18763" spans="1:7" ht="21.36" thickBot="1" customHeight="1">
      <c r="A18763" s="24" t="s">
        <v>57402</v>
      </c>
      <c r="B18763" s="24" t="s">
        <v>57403</v>
      </c>
      <c r="C18763" s="24" t="s">
        <v>57404</v>
      </c>
      <c r="D18763" s="25" t="s">
        <v>57405</v>
      </c>
      <c r="E18763" s="28">
        <v>0.40000</v>
      </c>
      <c r="F18763" s="29">
        <f ca="1">F18767</f>
        <v>0</v>
      </c>
      <c r="G18763" s="27">
        <f ca="1">ROUND(E18763*F18763,2)</f>
        <v>0</v>
      </c>
    </row>
    <row r="18764" spans="1:7" ht="24.36" thickBot="1" customHeight="1">
      <c r="A18764" s="24" t="s">
        <v>57406</v>
      </c>
      <c r="B18764" s="24" t="s">
        <v>57407</v>
      </c>
      <c r="C18764" s="24" t="s">
        <v>57408</v>
      </c>
      <c r="D18764" s="25" t="s">
        <v>57409</v>
      </c>
      <c r="E18764" s="28">
        <v>1.00000</v>
      </c>
      <c r="F18764" s="29">
        <f ca="1">ROUND(21.000,3)</f>
        <v>0</v>
      </c>
      <c r="G18764" s="27">
        <f ca="1">ROUND(E18764*F18764,2)</f>
        <v>0</v>
      </c>
    </row>
    <row r="18765" spans="1:7" ht="24.36" thickBot="1" customHeight="1">
      <c r="A18765" s="24" t="s">
        <v>57410</v>
      </c>
      <c r="B18765" s="24" t="s">
        <v>57411</v>
      </c>
      <c r="C18765" s="24" t="s">
        <v>57412</v>
      </c>
      <c r="D18765" s="25" t="s">
        <v>57413</v>
      </c>
      <c r="E18765" s="28">
        <v>1.00000</v>
      </c>
      <c r="F18765" s="29">
        <f ca="1">ROUND(19.000,3)</f>
        <v>0</v>
      </c>
      <c r="G18765" s="27">
        <f ca="1">ROUND(E18765*F18765,2)</f>
        <v>0</v>
      </c>
    </row>
    <row r="18766" spans="1:7" ht="24.36" thickBot="1" customHeight="1">
      <c r="A18766" s="24" t="s">
        <v>57414</v>
      </c>
      <c r="B18766" s="24" t="s">
        <v>57415</v>
      </c>
      <c r="C18766" s="24" t="s">
        <v>57416</v>
      </c>
      <c r="D18766" s="25" t="s">
        <v>57417</v>
      </c>
      <c r="E18766" s="28">
        <v>0.20000</v>
      </c>
      <c r="F18766" s="29">
        <f ca="1">ROUND(19.000,3)</f>
        <v>0</v>
      </c>
      <c r="G18766" s="27">
        <f ca="1">ROUND(E18766*F18766,2)</f>
        <v>0</v>
      </c>
    </row>
    <row r="18767" spans="1:7" ht="15.12" thickBot="1" customHeight="1">
      <c r="A18767" s="26"/>
      <c r="B18767" s="26"/>
      <c r="C18767" s="26"/>
      <c r="D18767" s="24" t="s">
        <v>57418</v>
      </c>
      <c r="E18767" s="28">
        <v>0.40000</v>
      </c>
      <c r="F18767" s="29">
        <f ca="1">ROUND((G18764+G18765+G18766),3)</f>
        <v>0</v>
      </c>
      <c r="G18767" s="27">
        <f ca="1">ROUND(E18767*F18767,2)</f>
        <v>0</v>
      </c>
    </row>
    <row r="18768" spans="1:7" ht="15.12" thickBot="1" customHeight="1">
      <c r="A18768" s="24" t="s">
        <v>57419</v>
      </c>
      <c r="B18768" s="24"/>
      <c r="C18768" s="24" t="s">
        <v>57420</v>
      </c>
      <c r="D18768" s="25" t="s">
        <v>57421</v>
      </c>
      <c r="E18768" s="28">
        <v>3.00000</v>
      </c>
      <c r="F18768" s="29">
        <f ca="1">ROUND(17.520,3)</f>
        <v>0</v>
      </c>
      <c r="G18768" s="27">
        <f ca="1">ROUND((E18768*F18768)/100,2)</f>
        <v>0</v>
      </c>
    </row>
    <row r="18769" spans="1:7" ht="15.48" thickBot="1" customHeight="1">
      <c r="A18769" s="30"/>
      <c r="B18769" s="30"/>
      <c r="C18769" s="30"/>
      <c r="D18769" s="31" t="s">
        <v>57422</v>
      </c>
      <c r="E18769" s="30"/>
      <c r="F18769" s="33">
        <f ca="1">ROUND((G18762+G18763+G18768)*(1+G2/100),2)</f>
        <v>0</v>
      </c>
      <c r="G18769" s="30"/>
    </row>
    <row r="18770" spans="1:7" ht="25.08" thickBot="1" customHeight="1">
      <c r="A18770" s="34" t="s">
        <v>57423</v>
      </c>
      <c r="B18770" s="35" t="s">
        <v>57424</v>
      </c>
      <c r="C18770" s="35" t="s">
        <v>57425</v>
      </c>
      <c r="D18770" s="36" t="s">
        <v>57426</v>
      </c>
      <c r="E18770" s="37"/>
      <c r="F18770" s="38">
        <f ca="1">F18781</f>
        <v>0</v>
      </c>
      <c r="G18770" s="37"/>
    </row>
    <row r="18771" spans="1:7" ht="12.12" thickBot="1" customHeight="1">
      <c r="A18771" s="26"/>
      <c r="B18771" s="26"/>
      <c r="C18771" s="26"/>
      <c r="D18771" s="25" t="s">
        <v>57427</v>
      </c>
      <c r="E18771" s="25"/>
      <c r="F18771" s="25"/>
      <c r="G18771" s="25"/>
    </row>
    <row r="18772" spans="1:7" ht="21.36" thickBot="1" customHeight="1">
      <c r="A18772" s="24" t="s">
        <v>57428</v>
      </c>
      <c r="B18772" s="24" t="s">
        <v>57429</v>
      </c>
      <c r="C18772" s="24" t="s">
        <v>57430</v>
      </c>
      <c r="D18772" s="25" t="s">
        <v>57431</v>
      </c>
      <c r="E18772" s="28">
        <v>1.00000</v>
      </c>
      <c r="F18772" s="29">
        <f ca="1">ROUND(6.320,3)</f>
        <v>0</v>
      </c>
      <c r="G18772" s="27">
        <f ca="1">ROUND(E18772*F18772,2)</f>
        <v>0</v>
      </c>
    </row>
    <row r="18773" spans="1:7" ht="21.36" thickBot="1" customHeight="1">
      <c r="A18773" s="24" t="s">
        <v>57432</v>
      </c>
      <c r="B18773" s="24" t="s">
        <v>57433</v>
      </c>
      <c r="C18773" s="24" t="s">
        <v>57434</v>
      </c>
      <c r="D18773" s="25" t="s">
        <v>57435</v>
      </c>
      <c r="E18773" s="28">
        <v>0.50000</v>
      </c>
      <c r="F18773" s="29">
        <f ca="1">ROUND(1.320,3)</f>
        <v>0</v>
      </c>
      <c r="G18773" s="27">
        <f ca="1">ROUND(E18773*F18773,2)</f>
        <v>0</v>
      </c>
    </row>
    <row r="18774" spans="1:7" ht="30.60" thickBot="1" customHeight="1">
      <c r="A18774" s="24" t="s">
        <v>57436</v>
      </c>
      <c r="B18774" s="24" t="s">
        <v>57437</v>
      </c>
      <c r="C18774" s="24" t="s">
        <v>57438</v>
      </c>
      <c r="D18774" s="25" t="s">
        <v>57439</v>
      </c>
      <c r="E18774" s="28">
        <v>1.00000</v>
      </c>
      <c r="F18774" s="29">
        <f ca="1">ROUND(1.470,3)</f>
        <v>0</v>
      </c>
      <c r="G18774" s="27">
        <f ca="1">ROUND(E18774*F18774,2)</f>
        <v>0</v>
      </c>
    </row>
    <row r="18775" spans="1:7" ht="21.36" thickBot="1" customHeight="1">
      <c r="A18775" s="24" t="s">
        <v>57440</v>
      </c>
      <c r="B18775" s="24" t="s">
        <v>57441</v>
      </c>
      <c r="C18775" s="24" t="s">
        <v>57442</v>
      </c>
      <c r="D18775" s="25" t="s">
        <v>57443</v>
      </c>
      <c r="E18775" s="28">
        <v>2.00000</v>
      </c>
      <c r="F18775" s="29">
        <f ca="1">F18779</f>
        <v>0</v>
      </c>
      <c r="G18775" s="27">
        <f ca="1">ROUND(E18775*F18775,2)</f>
        <v>0</v>
      </c>
    </row>
    <row r="18776" spans="1:7" ht="24.36" thickBot="1" customHeight="1">
      <c r="A18776" s="24" t="s">
        <v>57444</v>
      </c>
      <c r="B18776" s="24" t="s">
        <v>57445</v>
      </c>
      <c r="C18776" s="24" t="s">
        <v>57446</v>
      </c>
      <c r="D18776" s="25" t="s">
        <v>57447</v>
      </c>
      <c r="E18776" s="28">
        <v>1.00000</v>
      </c>
      <c r="F18776" s="29">
        <f ca="1">ROUND(21.000,3)</f>
        <v>0</v>
      </c>
      <c r="G18776" s="27">
        <f ca="1">ROUND(E18776*F18776,2)</f>
        <v>0</v>
      </c>
    </row>
    <row r="18777" spans="1:7" ht="24.36" thickBot="1" customHeight="1">
      <c r="A18777" s="24" t="s">
        <v>57448</v>
      </c>
      <c r="B18777" s="24" t="s">
        <v>57449</v>
      </c>
      <c r="C18777" s="24" t="s">
        <v>57450</v>
      </c>
      <c r="D18777" s="25" t="s">
        <v>57451</v>
      </c>
      <c r="E18777" s="28">
        <v>1.00000</v>
      </c>
      <c r="F18777" s="29">
        <f ca="1">ROUND(19.000,3)</f>
        <v>0</v>
      </c>
      <c r="G18777" s="27">
        <f ca="1">ROUND(E18777*F18777,2)</f>
        <v>0</v>
      </c>
    </row>
    <row r="18778" spans="1:7" ht="24.36" thickBot="1" customHeight="1">
      <c r="A18778" s="24" t="s">
        <v>57452</v>
      </c>
      <c r="B18778" s="24" t="s">
        <v>57453</v>
      </c>
      <c r="C18778" s="24" t="s">
        <v>57454</v>
      </c>
      <c r="D18778" s="25" t="s">
        <v>57455</v>
      </c>
      <c r="E18778" s="28">
        <v>0.20000</v>
      </c>
      <c r="F18778" s="29">
        <f ca="1">ROUND(19.000,3)</f>
        <v>0</v>
      </c>
      <c r="G18778" s="27">
        <f ca="1">ROUND(E18778*F18778,2)</f>
        <v>0</v>
      </c>
    </row>
    <row r="18779" spans="1:7" ht="15.12" thickBot="1" customHeight="1">
      <c r="A18779" s="26"/>
      <c r="B18779" s="26"/>
      <c r="C18779" s="26"/>
      <c r="D18779" s="24" t="s">
        <v>57456</v>
      </c>
      <c r="E18779" s="28">
        <v>2.00000</v>
      </c>
      <c r="F18779" s="29">
        <f ca="1">ROUND((G18776+G18777+G18778),3)</f>
        <v>0</v>
      </c>
      <c r="G18779" s="27">
        <f ca="1">ROUND(E18779*F18779,2)</f>
        <v>0</v>
      </c>
    </row>
    <row r="18780" spans="1:7" ht="15.12" thickBot="1" customHeight="1">
      <c r="A18780" s="24" t="s">
        <v>57457</v>
      </c>
      <c r="B18780" s="24"/>
      <c r="C18780" s="24" t="s">
        <v>57458</v>
      </c>
      <c r="D18780" s="25" t="s">
        <v>57459</v>
      </c>
      <c r="E18780" s="28">
        <v>5.00000</v>
      </c>
      <c r="F18780" s="29">
        <f ca="1">ROUND(87.600,3)</f>
        <v>0</v>
      </c>
      <c r="G18780" s="27">
        <f ca="1">ROUND((E18780*F18780)/100,2)</f>
        <v>0</v>
      </c>
    </row>
    <row r="18781" spans="1:7" ht="15.48" thickBot="1" customHeight="1">
      <c r="A18781" s="30"/>
      <c r="B18781" s="30"/>
      <c r="C18781" s="30"/>
      <c r="D18781" s="31" t="s">
        <v>57460</v>
      </c>
      <c r="E18781" s="30"/>
      <c r="F18781" s="33">
        <f ca="1">ROUND((G18772+G18773+G18774+G18775+G18780)*(1+G2/100),2)</f>
        <v>0</v>
      </c>
      <c r="G18781" s="30"/>
    </row>
    <row r="18782" spans="1:7" ht="76.80" thickBot="1" customHeight="1">
      <c r="A18782" s="34" t="s">
        <v>57461</v>
      </c>
      <c r="B18782" s="35" t="s">
        <v>57462</v>
      </c>
      <c r="C18782" s="35" t="s">
        <v>57463</v>
      </c>
      <c r="D18782" s="36" t="s">
        <v>57464</v>
      </c>
      <c r="E18782" s="37"/>
      <c r="F18782" s="38">
        <f ca="1">F18796</f>
        <v>0</v>
      </c>
      <c r="G18782" s="37"/>
    </row>
    <row r="18783" spans="1:7" ht="30.60" thickBot="1" customHeight="1">
      <c r="A18783" s="26"/>
      <c r="B18783" s="26"/>
      <c r="C18783" s="26"/>
      <c r="D18783" s="25" t="s">
        <v>57465</v>
      </c>
      <c r="E18783" s="25"/>
      <c r="F18783" s="25"/>
      <c r="G18783" s="25"/>
    </row>
    <row r="18784" spans="1:7" ht="21.36" thickBot="1" customHeight="1">
      <c r="A18784" s="24" t="s">
        <v>57466</v>
      </c>
      <c r="B18784" s="24" t="s">
        <v>57467</v>
      </c>
      <c r="C18784" s="24" t="s">
        <v>57468</v>
      </c>
      <c r="D18784" s="25" t="s">
        <v>57469</v>
      </c>
      <c r="E18784" s="28">
        <v>0.25000</v>
      </c>
      <c r="F18784" s="29">
        <f ca="1">ROUND(6.320,3)</f>
        <v>0</v>
      </c>
      <c r="G18784" s="27">
        <f ca="1">ROUND(E18784*F18784,2)</f>
        <v>0</v>
      </c>
    </row>
    <row r="18785" spans="1:7" ht="21.36" thickBot="1" customHeight="1">
      <c r="A18785" s="24" t="s">
        <v>57470</v>
      </c>
      <c r="B18785" s="24" t="s">
        <v>57471</v>
      </c>
      <c r="C18785" s="24" t="s">
        <v>57472</v>
      </c>
      <c r="D18785" s="25" t="s">
        <v>57473</v>
      </c>
      <c r="E18785" s="28">
        <v>0.10000</v>
      </c>
      <c r="F18785" s="29">
        <f ca="1">ROUND(1.320,3)</f>
        <v>0</v>
      </c>
      <c r="G18785" s="27">
        <f ca="1">ROUND(E18785*F18785,2)</f>
        <v>0</v>
      </c>
    </row>
    <row r="18786" spans="1:7" ht="24.36" thickBot="1" customHeight="1">
      <c r="A18786" s="24" t="s">
        <v>57474</v>
      </c>
      <c r="B18786" s="24" t="s">
        <v>57475</v>
      </c>
      <c r="C18786" s="24" t="s">
        <v>57476</v>
      </c>
      <c r="D18786" s="25" t="s">
        <v>57477</v>
      </c>
      <c r="E18786" s="28">
        <v>0.25000</v>
      </c>
      <c r="F18786" s="29">
        <f ca="1">ROUND(5.800,3)</f>
        <v>0</v>
      </c>
      <c r="G18786" s="27">
        <f ca="1">ROUND(E18786*F18786,2)</f>
        <v>0</v>
      </c>
    </row>
    <row r="18787" spans="1:7" ht="21.36" thickBot="1" customHeight="1">
      <c r="A18787" s="24" t="s">
        <v>57478</v>
      </c>
      <c r="B18787" s="24" t="s">
        <v>57479</v>
      </c>
      <c r="C18787" s="24" t="s">
        <v>57480</v>
      </c>
      <c r="D18787" s="25" t="s">
        <v>57481</v>
      </c>
      <c r="E18787" s="28">
        <v>0.10000</v>
      </c>
      <c r="F18787" s="29">
        <f ca="1">ROUND(6.490,3)</f>
        <v>0</v>
      </c>
      <c r="G18787" s="27">
        <f ca="1">ROUND(E18787*F18787,2)</f>
        <v>0</v>
      </c>
    </row>
    <row r="18788" spans="1:7" ht="21.36" thickBot="1" customHeight="1">
      <c r="A18788" s="24" t="s">
        <v>57482</v>
      </c>
      <c r="B18788" s="24" t="s">
        <v>57483</v>
      </c>
      <c r="C18788" s="24" t="s">
        <v>57484</v>
      </c>
      <c r="D18788" s="25" t="s">
        <v>57485</v>
      </c>
      <c r="E18788" s="28">
        <v>0.50000</v>
      </c>
      <c r="F18788" s="29">
        <f ca="1">ROUND(2.000,3)</f>
        <v>0</v>
      </c>
      <c r="G18788" s="27">
        <f ca="1">ROUND(E18788*F18788,2)</f>
        <v>0</v>
      </c>
    </row>
    <row r="18789" spans="1:7" ht="30.60" thickBot="1" customHeight="1">
      <c r="A18789" s="24" t="s">
        <v>57486</v>
      </c>
      <c r="B18789" s="24" t="s">
        <v>57487</v>
      </c>
      <c r="C18789" s="24" t="s">
        <v>57488</v>
      </c>
      <c r="D18789" s="25" t="s">
        <v>57489</v>
      </c>
      <c r="E18789" s="28">
        <v>0.40000</v>
      </c>
      <c r="F18789" s="29">
        <f ca="1">ROUND(4.920,3)</f>
        <v>0</v>
      </c>
      <c r="G18789" s="27">
        <f ca="1">ROUND(E18789*F18789,2)</f>
        <v>0</v>
      </c>
    </row>
    <row r="18790" spans="1:7" ht="21.36" thickBot="1" customHeight="1">
      <c r="A18790" s="24" t="s">
        <v>57490</v>
      </c>
      <c r="B18790" s="24" t="s">
        <v>57491</v>
      </c>
      <c r="C18790" s="24" t="s">
        <v>57492</v>
      </c>
      <c r="D18790" s="25" t="s">
        <v>57493</v>
      </c>
      <c r="E18790" s="28">
        <v>1.00000</v>
      </c>
      <c r="F18790" s="29">
        <f ca="1">F18794</f>
        <v>0</v>
      </c>
      <c r="G18790" s="27">
        <f ca="1">ROUND(E18790*F18790,2)</f>
        <v>0</v>
      </c>
    </row>
    <row r="18791" spans="1:7" ht="24.36" thickBot="1" customHeight="1">
      <c r="A18791" s="24" t="s">
        <v>57494</v>
      </c>
      <c r="B18791" s="24" t="s">
        <v>57495</v>
      </c>
      <c r="C18791" s="24" t="s">
        <v>57496</v>
      </c>
      <c r="D18791" s="25" t="s">
        <v>57497</v>
      </c>
      <c r="E18791" s="28">
        <v>1.00000</v>
      </c>
      <c r="F18791" s="29">
        <f ca="1">ROUND(21.000,3)</f>
        <v>0</v>
      </c>
      <c r="G18791" s="27">
        <f ca="1">ROUND(E18791*F18791,2)</f>
        <v>0</v>
      </c>
    </row>
    <row r="18792" spans="1:7" ht="24.36" thickBot="1" customHeight="1">
      <c r="A18792" s="24" t="s">
        <v>57498</v>
      </c>
      <c r="B18792" s="24" t="s">
        <v>57499</v>
      </c>
      <c r="C18792" s="24" t="s">
        <v>57500</v>
      </c>
      <c r="D18792" s="25" t="s">
        <v>57501</v>
      </c>
      <c r="E18792" s="28">
        <v>1.00000</v>
      </c>
      <c r="F18792" s="29">
        <f ca="1">ROUND(19.000,3)</f>
        <v>0</v>
      </c>
      <c r="G18792" s="27">
        <f ca="1">ROUND(E18792*F18792,2)</f>
        <v>0</v>
      </c>
    </row>
    <row r="18793" spans="1:7" ht="24.36" thickBot="1" customHeight="1">
      <c r="A18793" s="24" t="s">
        <v>57502</v>
      </c>
      <c r="B18793" s="24" t="s">
        <v>57503</v>
      </c>
      <c r="C18793" s="24" t="s">
        <v>57504</v>
      </c>
      <c r="D18793" s="25" t="s">
        <v>57505</v>
      </c>
      <c r="E18793" s="28">
        <v>0.20000</v>
      </c>
      <c r="F18793" s="29">
        <f ca="1">ROUND(19.000,3)</f>
        <v>0</v>
      </c>
      <c r="G18793" s="27">
        <f ca="1">ROUND(E18793*F18793,2)</f>
        <v>0</v>
      </c>
    </row>
    <row r="18794" spans="1:7" ht="15.12" thickBot="1" customHeight="1">
      <c r="A18794" s="26"/>
      <c r="B18794" s="26"/>
      <c r="C18794" s="26"/>
      <c r="D18794" s="24" t="s">
        <v>57506</v>
      </c>
      <c r="E18794" s="28">
        <v>1.00000</v>
      </c>
      <c r="F18794" s="29">
        <f ca="1">ROUND((G18791+G18792+G18793),3)</f>
        <v>0</v>
      </c>
      <c r="G18794" s="27">
        <f ca="1">ROUND(E18794*F18794,2)</f>
        <v>0</v>
      </c>
    </row>
    <row r="18795" spans="1:7" ht="15.12" thickBot="1" customHeight="1">
      <c r="A18795" s="24" t="s">
        <v>57507</v>
      </c>
      <c r="B18795" s="24"/>
      <c r="C18795" s="24" t="s">
        <v>57508</v>
      </c>
      <c r="D18795" s="25" t="s">
        <v>57509</v>
      </c>
      <c r="E18795" s="28">
        <v>5.00000</v>
      </c>
      <c r="F18795" s="29">
        <f ca="1">ROUND(43.800,3)</f>
        <v>0</v>
      </c>
      <c r="G18795" s="27">
        <f ca="1">ROUND((E18795*F18795)/100,2)</f>
        <v>0</v>
      </c>
    </row>
    <row r="18796" spans="1:7" ht="25.08" thickBot="1" customHeight="1">
      <c r="A18796" s="30"/>
      <c r="B18796" s="30"/>
      <c r="C18796" s="30"/>
      <c r="D18796" s="31" t="s">
        <v>57510</v>
      </c>
      <c r="E18796" s="30"/>
      <c r="F18796" s="33">
        <f ca="1">ROUND((G18784+G18785+G18786+G18787+G18788+G18789+G18790+G18795)*(1+G2/100),2)</f>
        <v>0</v>
      </c>
      <c r="G18796" s="30"/>
    </row>
    <row r="18797" spans="1:7" ht="30.60" thickBot="1" customHeight="1">
      <c r="A18797" s="34" t="s">
        <v>57511</v>
      </c>
      <c r="B18797" s="35" t="s">
        <v>57512</v>
      </c>
      <c r="C18797" s="35" t="s">
        <v>57513</v>
      </c>
      <c r="D18797" s="36" t="s">
        <v>57514</v>
      </c>
      <c r="E18797" s="37"/>
      <c r="F18797" s="38">
        <f ca="1">F18807</f>
        <v>0</v>
      </c>
      <c r="G18797" s="37"/>
    </row>
    <row r="18798" spans="1:7" ht="39.84" thickBot="1" customHeight="1">
      <c r="A18798" s="26"/>
      <c r="B18798" s="26"/>
      <c r="C18798" s="26"/>
      <c r="D18798" s="25" t="s">
        <v>57515</v>
      </c>
      <c r="E18798" s="25"/>
      <c r="F18798" s="25"/>
      <c r="G18798" s="25"/>
    </row>
    <row r="18799" spans="1:7" ht="21.36" thickBot="1" customHeight="1">
      <c r="A18799" s="24" t="s">
        <v>57516</v>
      </c>
      <c r="B18799" s="24" t="s">
        <v>57517</v>
      </c>
      <c r="C18799" s="24" t="s">
        <v>57518</v>
      </c>
      <c r="D18799" s="25" t="s">
        <v>57519</v>
      </c>
      <c r="E18799" s="28">
        <v>1.00000</v>
      </c>
      <c r="F18799" s="29">
        <f ca="1">ROUND(6.320,3)</f>
        <v>0</v>
      </c>
      <c r="G18799" s="27">
        <f ca="1">ROUND(E18799*F18799,2)</f>
        <v>0</v>
      </c>
    </row>
    <row r="18800" spans="1:7" ht="21.36" thickBot="1" customHeight="1">
      <c r="A18800" s="24" t="s">
        <v>57520</v>
      </c>
      <c r="B18800" s="24" t="s">
        <v>57521</v>
      </c>
      <c r="C18800" s="24" t="s">
        <v>57522</v>
      </c>
      <c r="D18800" s="25" t="s">
        <v>57523</v>
      </c>
      <c r="E18800" s="28">
        <v>0.10000</v>
      </c>
      <c r="F18800" s="29">
        <f ca="1">ROUND(1.320,3)</f>
        <v>0</v>
      </c>
      <c r="G18800" s="27">
        <f ca="1">ROUND(E18800*F18800,2)</f>
        <v>0</v>
      </c>
    </row>
    <row r="18801" spans="1:7" ht="21.36" thickBot="1" customHeight="1">
      <c r="A18801" s="24" t="s">
        <v>57524</v>
      </c>
      <c r="B18801" s="24" t="s">
        <v>57525</v>
      </c>
      <c r="C18801" s="24" t="s">
        <v>57526</v>
      </c>
      <c r="D18801" s="25" t="s">
        <v>57527</v>
      </c>
      <c r="E18801" s="28">
        <v>0.25000</v>
      </c>
      <c r="F18801" s="29">
        <f ca="1">F18805</f>
        <v>0</v>
      </c>
      <c r="G18801" s="27">
        <f ca="1">ROUND(E18801*F18801,2)</f>
        <v>0</v>
      </c>
    </row>
    <row r="18802" spans="1:7" ht="24.36" thickBot="1" customHeight="1">
      <c r="A18802" s="24" t="s">
        <v>57528</v>
      </c>
      <c r="B18802" s="24" t="s">
        <v>57529</v>
      </c>
      <c r="C18802" s="24" t="s">
        <v>57530</v>
      </c>
      <c r="D18802" s="25" t="s">
        <v>57531</v>
      </c>
      <c r="E18802" s="28">
        <v>1.00000</v>
      </c>
      <c r="F18802" s="29">
        <f ca="1">ROUND(21.000,3)</f>
        <v>0</v>
      </c>
      <c r="G18802" s="27">
        <f ca="1">ROUND(E18802*F18802,2)</f>
        <v>0</v>
      </c>
    </row>
    <row r="18803" spans="1:7" ht="24.36" thickBot="1" customHeight="1">
      <c r="A18803" s="24" t="s">
        <v>57532</v>
      </c>
      <c r="B18803" s="24" t="s">
        <v>57533</v>
      </c>
      <c r="C18803" s="24" t="s">
        <v>57534</v>
      </c>
      <c r="D18803" s="25" t="s">
        <v>57535</v>
      </c>
      <c r="E18803" s="28">
        <v>1.00000</v>
      </c>
      <c r="F18803" s="29">
        <f ca="1">ROUND(19.000,3)</f>
        <v>0</v>
      </c>
      <c r="G18803" s="27">
        <f ca="1">ROUND(E18803*F18803,2)</f>
        <v>0</v>
      </c>
    </row>
    <row r="18804" spans="1:7" ht="24.36" thickBot="1" customHeight="1">
      <c r="A18804" s="24" t="s">
        <v>57536</v>
      </c>
      <c r="B18804" s="24" t="s">
        <v>57537</v>
      </c>
      <c r="C18804" s="24" t="s">
        <v>57538</v>
      </c>
      <c r="D18804" s="25" t="s">
        <v>57539</v>
      </c>
      <c r="E18804" s="28">
        <v>0.20000</v>
      </c>
      <c r="F18804" s="29">
        <f ca="1">ROUND(19.000,3)</f>
        <v>0</v>
      </c>
      <c r="G18804" s="27">
        <f ca="1">ROUND(E18804*F18804,2)</f>
        <v>0</v>
      </c>
    </row>
    <row r="18805" spans="1:7" ht="15.12" thickBot="1" customHeight="1">
      <c r="A18805" s="26"/>
      <c r="B18805" s="26"/>
      <c r="C18805" s="26"/>
      <c r="D18805" s="24" t="s">
        <v>57540</v>
      </c>
      <c r="E18805" s="28">
        <v>0.25000</v>
      </c>
      <c r="F18805" s="29">
        <f ca="1">ROUND((G18802+G18803+G18804),3)</f>
        <v>0</v>
      </c>
      <c r="G18805" s="27">
        <f ca="1">ROUND(E18805*F18805,2)</f>
        <v>0</v>
      </c>
    </row>
    <row r="18806" spans="1:7" ht="15.12" thickBot="1" customHeight="1">
      <c r="A18806" s="24" t="s">
        <v>57541</v>
      </c>
      <c r="B18806" s="24"/>
      <c r="C18806" s="24" t="s">
        <v>57542</v>
      </c>
      <c r="D18806" s="25" t="s">
        <v>57543</v>
      </c>
      <c r="E18806" s="28">
        <v>5.00000</v>
      </c>
      <c r="F18806" s="29">
        <f ca="1">ROUND(17.400,3)</f>
        <v>0</v>
      </c>
      <c r="G18806" s="27">
        <f ca="1">ROUND((E18806*F18806)/100,2)</f>
        <v>0</v>
      </c>
    </row>
    <row r="18807" spans="1:7" ht="15.48" thickBot="1" customHeight="1">
      <c r="A18807" s="30"/>
      <c r="B18807" s="30"/>
      <c r="C18807" s="30"/>
      <c r="D18807" s="31" t="s">
        <v>57544</v>
      </c>
      <c r="E18807" s="30"/>
      <c r="F18807" s="33">
        <f ca="1">ROUND((G18799+G18800+G18801+G18806)*(1+G2/100),2)</f>
        <v>0</v>
      </c>
      <c r="G18807" s="30"/>
    </row>
    <row r="18808" spans="1:7" ht="30.60" thickBot="1" customHeight="1">
      <c r="A18808" s="34" t="s">
        <v>57545</v>
      </c>
      <c r="B18808" s="35" t="s">
        <v>57546</v>
      </c>
      <c r="C18808" s="35" t="s">
        <v>57547</v>
      </c>
      <c r="D18808" s="36" t="s">
        <v>57548</v>
      </c>
      <c r="E18808" s="37"/>
      <c r="F18808" s="38">
        <f ca="1">F18815</f>
        <v>0</v>
      </c>
      <c r="G18808" s="37"/>
    </row>
    <row r="18809" spans="1:7" ht="95.28" thickBot="1" customHeight="1">
      <c r="A18809" s="26"/>
      <c r="B18809" s="26"/>
      <c r="C18809" s="26"/>
      <c r="D18809" s="25" t="s">
        <v>57549</v>
      </c>
      <c r="E18809" s="25"/>
      <c r="F18809" s="25"/>
      <c r="G18809" s="25"/>
    </row>
    <row r="18810" spans="1:7" ht="21.36" thickBot="1" customHeight="1">
      <c r="A18810" s="24" t="s">
        <v>57550</v>
      </c>
      <c r="B18810" s="24" t="s">
        <v>57551</v>
      </c>
      <c r="C18810" s="24" t="s">
        <v>57552</v>
      </c>
      <c r="D18810" s="25" t="s">
        <v>57553</v>
      </c>
      <c r="E18810" s="28">
        <v>0.80000</v>
      </c>
      <c r="F18810" s="29">
        <f ca="1">F18813</f>
        <v>0</v>
      </c>
      <c r="G18810" s="27">
        <f ca="1">ROUND(E18810*F18810,2)</f>
        <v>0</v>
      </c>
    </row>
    <row r="18811" spans="1:7" ht="24.36" thickBot="1" customHeight="1">
      <c r="A18811" s="24" t="s">
        <v>57554</v>
      </c>
      <c r="B18811" s="24" t="s">
        <v>57555</v>
      </c>
      <c r="C18811" s="24" t="s">
        <v>57556</v>
      </c>
      <c r="D18811" s="25" t="s">
        <v>57557</v>
      </c>
      <c r="E18811" s="28">
        <v>1.00000</v>
      </c>
      <c r="F18811" s="29">
        <f ca="1">ROUND(21.000,3)</f>
        <v>0</v>
      </c>
      <c r="G18811" s="27">
        <f ca="1">ROUND(E18811*F18811,2)</f>
        <v>0</v>
      </c>
    </row>
    <row r="18812" spans="1:7" ht="24.36" thickBot="1" customHeight="1">
      <c r="A18812" s="24" t="s">
        <v>57558</v>
      </c>
      <c r="B18812" s="24" t="s">
        <v>57559</v>
      </c>
      <c r="C18812" s="24" t="s">
        <v>57560</v>
      </c>
      <c r="D18812" s="25" t="s">
        <v>57561</v>
      </c>
      <c r="E18812" s="28">
        <v>1.00000</v>
      </c>
      <c r="F18812" s="29">
        <f ca="1">ROUND(19.000,3)</f>
        <v>0</v>
      </c>
      <c r="G18812" s="27">
        <f ca="1">ROUND(E18812*F18812,2)</f>
        <v>0</v>
      </c>
    </row>
    <row r="18813" spans="1:7" ht="15.12" thickBot="1" customHeight="1">
      <c r="A18813" s="26"/>
      <c r="B18813" s="26"/>
      <c r="C18813" s="26"/>
      <c r="D18813" s="24" t="s">
        <v>57562</v>
      </c>
      <c r="E18813" s="28">
        <v>0.80000</v>
      </c>
      <c r="F18813" s="29">
        <f ca="1">ROUND((G18811+G18812),3)</f>
        <v>0</v>
      </c>
      <c r="G18813" s="27">
        <f ca="1">ROUND(E18813*F18813,2)</f>
        <v>0</v>
      </c>
    </row>
    <row r="18814" spans="1:7" ht="15.12" thickBot="1" customHeight="1">
      <c r="A18814" s="24" t="s">
        <v>57563</v>
      </c>
      <c r="B18814" s="24"/>
      <c r="C18814" s="24" t="s">
        <v>57564</v>
      </c>
      <c r="D18814" s="25" t="s">
        <v>57565</v>
      </c>
      <c r="E18814" s="28">
        <v>2.00000</v>
      </c>
      <c r="F18814" s="29">
        <f ca="1">ROUND(32.000,3)</f>
        <v>0</v>
      </c>
      <c r="G18814" s="27">
        <f ca="1">ROUND((E18814*F18814)/100,2)</f>
        <v>0</v>
      </c>
    </row>
    <row r="18815" spans="1:7" ht="15.48" thickBot="1" customHeight="1">
      <c r="A18815" s="30"/>
      <c r="B18815" s="30"/>
      <c r="C18815" s="30"/>
      <c r="D18815" s="31" t="s">
        <v>57566</v>
      </c>
      <c r="E18815" s="30"/>
      <c r="F18815" s="33">
        <f ca="1">ROUND((G18810+G18814)*(1+G2/100),2)</f>
        <v>0</v>
      </c>
      <c r="G18815" s="30"/>
    </row>
    <row r="18816" spans="1:7" ht="21.36" thickBot="1" customHeight="1">
      <c r="A18816" s="34" t="s">
        <v>57567</v>
      </c>
      <c r="B18816" s="35" t="s">
        <v>57568</v>
      </c>
      <c r="C18816" s="35" t="s">
        <v>57569</v>
      </c>
      <c r="D18816" s="36" t="s">
        <v>57570</v>
      </c>
      <c r="E18816" s="37"/>
      <c r="F18816" s="38">
        <f ca="1">F18827</f>
        <v>0</v>
      </c>
      <c r="G18816" s="37"/>
    </row>
    <row r="18817" spans="1:7" ht="104.52" thickBot="1" customHeight="1">
      <c r="A18817" s="26"/>
      <c r="B18817" s="26"/>
      <c r="C18817" s="26"/>
      <c r="D18817" s="25" t="s">
        <v>57571</v>
      </c>
      <c r="E18817" s="25"/>
      <c r="F18817" s="25"/>
      <c r="G18817" s="25"/>
    </row>
    <row r="18818" spans="1:7" ht="15.12" thickBot="1" customHeight="1">
      <c r="A18818" s="24" t="s">
        <v>57572</v>
      </c>
      <c r="B18818" s="24" t="s">
        <v>57573</v>
      </c>
      <c r="C18818" s="24" t="s">
        <v>57574</v>
      </c>
      <c r="D18818" s="25" t="s">
        <v>57575</v>
      </c>
      <c r="E18818" s="28">
        <v>5.00000</v>
      </c>
      <c r="F18818" s="29">
        <f ca="1">ROUND(0.430,3)</f>
        <v>0</v>
      </c>
      <c r="G18818" s="27">
        <f ca="1">ROUND(E18818*F18818,2)</f>
        <v>0</v>
      </c>
    </row>
    <row r="18819" spans="1:7" ht="15.12" thickBot="1" customHeight="1">
      <c r="A18819" s="24" t="s">
        <v>57576</v>
      </c>
      <c r="B18819" s="24" t="s">
        <v>57577</v>
      </c>
      <c r="C18819" s="24" t="s">
        <v>57578</v>
      </c>
      <c r="D18819" s="25" t="s">
        <v>57579</v>
      </c>
      <c r="E18819" s="28">
        <v>5.00000</v>
      </c>
      <c r="F18819" s="29">
        <f ca="1">ROUND(1.400,3)</f>
        <v>0</v>
      </c>
      <c r="G18819" s="27">
        <f ca="1">ROUND(E18819*F18819,2)</f>
        <v>0</v>
      </c>
    </row>
    <row r="18820" spans="1:7" ht="67.56" thickBot="1" customHeight="1">
      <c r="A18820" s="24" t="s">
        <v>57580</v>
      </c>
      <c r="B18820" s="24" t="s">
        <v>57581</v>
      </c>
      <c r="C18820" s="24" t="s">
        <v>57582</v>
      </c>
      <c r="D18820" s="25" t="s">
        <v>57583</v>
      </c>
      <c r="E18820" s="28">
        <v>0.42500</v>
      </c>
      <c r="F18820" s="29">
        <f ca="1">ROUND(11.620,3)</f>
        <v>0</v>
      </c>
      <c r="G18820" s="27">
        <f ca="1">ROUND(E18820*F18820,2)</f>
        <v>0</v>
      </c>
    </row>
    <row r="18821" spans="1:7" ht="21.36" thickBot="1" customHeight="1">
      <c r="A18821" s="24" t="s">
        <v>57584</v>
      </c>
      <c r="B18821" s="24" t="s">
        <v>57585</v>
      </c>
      <c r="C18821" s="24" t="s">
        <v>57586</v>
      </c>
      <c r="D18821" s="25" t="s">
        <v>57587</v>
      </c>
      <c r="E18821" s="28">
        <v>1.20000</v>
      </c>
      <c r="F18821" s="29">
        <f ca="1">F18825</f>
        <v>0</v>
      </c>
      <c r="G18821" s="27">
        <f ca="1">ROUND(E18821*F18821,2)</f>
        <v>0</v>
      </c>
    </row>
    <row r="18822" spans="1:7" ht="24.36" thickBot="1" customHeight="1">
      <c r="A18822" s="24" t="s">
        <v>57588</v>
      </c>
      <c r="B18822" s="24" t="s">
        <v>57589</v>
      </c>
      <c r="C18822" s="24" t="s">
        <v>57590</v>
      </c>
      <c r="D18822" s="25" t="s">
        <v>57591</v>
      </c>
      <c r="E18822" s="28">
        <v>1.00000</v>
      </c>
      <c r="F18822" s="29">
        <f ca="1">ROUND(21.000,3)</f>
        <v>0</v>
      </c>
      <c r="G18822" s="27">
        <f ca="1">ROUND(E18822*F18822,2)</f>
        <v>0</v>
      </c>
    </row>
    <row r="18823" spans="1:7" ht="24.36" thickBot="1" customHeight="1">
      <c r="A18823" s="24" t="s">
        <v>57592</v>
      </c>
      <c r="B18823" s="24" t="s">
        <v>57593</v>
      </c>
      <c r="C18823" s="24" t="s">
        <v>57594</v>
      </c>
      <c r="D18823" s="25" t="s">
        <v>57595</v>
      </c>
      <c r="E18823" s="28">
        <v>1.00000</v>
      </c>
      <c r="F18823" s="29">
        <f ca="1">ROUND(19.000,3)</f>
        <v>0</v>
      </c>
      <c r="G18823" s="27">
        <f ca="1">ROUND(E18823*F18823,2)</f>
        <v>0</v>
      </c>
    </row>
    <row r="18824" spans="1:7" ht="24.36" thickBot="1" customHeight="1">
      <c r="A18824" s="24" t="s">
        <v>57596</v>
      </c>
      <c r="B18824" s="24" t="s">
        <v>57597</v>
      </c>
      <c r="C18824" s="24" t="s">
        <v>57598</v>
      </c>
      <c r="D18824" s="25" t="s">
        <v>57599</v>
      </c>
      <c r="E18824" s="28">
        <v>0.20000</v>
      </c>
      <c r="F18824" s="29">
        <f ca="1">ROUND(19.000,3)</f>
        <v>0</v>
      </c>
      <c r="G18824" s="27">
        <f ca="1">ROUND(E18824*F18824,2)</f>
        <v>0</v>
      </c>
    </row>
    <row r="18825" spans="1:7" ht="15.12" thickBot="1" customHeight="1">
      <c r="A18825" s="26"/>
      <c r="B18825" s="26"/>
      <c r="C18825" s="26"/>
      <c r="D18825" s="24" t="s">
        <v>57600</v>
      </c>
      <c r="E18825" s="28">
        <v>1.20000</v>
      </c>
      <c r="F18825" s="29">
        <f ca="1">ROUND((G18822+G18823+G18824),3)</f>
        <v>0</v>
      </c>
      <c r="G18825" s="27">
        <f ca="1">ROUND(E18825*F18825,2)</f>
        <v>0</v>
      </c>
    </row>
    <row r="18826" spans="1:7" ht="15.12" thickBot="1" customHeight="1">
      <c r="A18826" s="24" t="s">
        <v>57601</v>
      </c>
      <c r="B18826" s="24"/>
      <c r="C18826" s="24" t="s">
        <v>57602</v>
      </c>
      <c r="D18826" s="25" t="s">
        <v>57603</v>
      </c>
      <c r="E18826" s="28">
        <v>2.00000</v>
      </c>
      <c r="F18826" s="29">
        <f ca="1">ROUND(66.650,3)</f>
        <v>0</v>
      </c>
      <c r="G18826" s="27">
        <f ca="1">ROUND((E18826*F18826)/100,2)</f>
        <v>0</v>
      </c>
    </row>
    <row r="18827" spans="1:7" ht="15.48" thickBot="1" customHeight="1">
      <c r="A18827" s="30"/>
      <c r="B18827" s="30"/>
      <c r="C18827" s="30"/>
      <c r="D18827" s="31" t="s">
        <v>57604</v>
      </c>
      <c r="E18827" s="30"/>
      <c r="F18827" s="33">
        <f ca="1">ROUND((G18818+G18819+G18820+G18821+G18826)*(1+G2/100),2)</f>
        <v>0</v>
      </c>
      <c r="G18827" s="30"/>
    </row>
    <row r="18828" spans="1:7" ht="21.36" thickBot="1" customHeight="1">
      <c r="A18828" s="34" t="s">
        <v>57605</v>
      </c>
      <c r="B18828" s="35" t="s">
        <v>57606</v>
      </c>
      <c r="C18828" s="35" t="s">
        <v>57607</v>
      </c>
      <c r="D18828" s="36" t="s">
        <v>57608</v>
      </c>
      <c r="E18828" s="37"/>
      <c r="F18828" s="38">
        <f ca="1">F18840</f>
        <v>0</v>
      </c>
      <c r="G18828" s="37"/>
    </row>
    <row r="18829" spans="1:7" ht="113.76" thickBot="1" customHeight="1">
      <c r="A18829" s="26"/>
      <c r="B18829" s="26"/>
      <c r="C18829" s="26"/>
      <c r="D18829" s="25" t="s">
        <v>57609</v>
      </c>
      <c r="E18829" s="25"/>
      <c r="F18829" s="25"/>
      <c r="G18829" s="25"/>
    </row>
    <row r="18830" spans="1:7" ht="21.36" thickBot="1" customHeight="1">
      <c r="A18830" s="24" t="s">
        <v>57610</v>
      </c>
      <c r="B18830" s="24" t="s">
        <v>57611</v>
      </c>
      <c r="C18830" s="24" t="s">
        <v>57612</v>
      </c>
      <c r="D18830" s="25" t="s">
        <v>57613</v>
      </c>
      <c r="E18830" s="28">
        <v>0.50000</v>
      </c>
      <c r="F18830" s="29">
        <f ca="1">ROUND(22.710,3)</f>
        <v>0</v>
      </c>
      <c r="G18830" s="27">
        <f ca="1">ROUND(E18830*F18830,2)</f>
        <v>0</v>
      </c>
    </row>
    <row r="18831" spans="1:7" ht="21.36" thickBot="1" customHeight="1">
      <c r="A18831" s="24" t="s">
        <v>57614</v>
      </c>
      <c r="B18831" s="24" t="s">
        <v>57615</v>
      </c>
      <c r="C18831" s="24" t="s">
        <v>57616</v>
      </c>
      <c r="D18831" s="25" t="s">
        <v>57617</v>
      </c>
      <c r="E18831" s="28">
        <v>0.12800</v>
      </c>
      <c r="F18831" s="29">
        <f ca="1">ROUND(1.720,3)</f>
        <v>0</v>
      </c>
      <c r="G18831" s="27">
        <f ca="1">ROUND(E18831*F18831,2)</f>
        <v>0</v>
      </c>
    </row>
    <row r="18832" spans="1:7" ht="21.36" thickBot="1" customHeight="1">
      <c r="A18832" s="24" t="s">
        <v>57618</v>
      </c>
      <c r="B18832" s="24" t="s">
        <v>57619</v>
      </c>
      <c r="C18832" s="24" t="s">
        <v>57620</v>
      </c>
      <c r="D18832" s="25" t="s">
        <v>57621</v>
      </c>
      <c r="E18832" s="28">
        <v>1.20000</v>
      </c>
      <c r="F18832" s="29">
        <f ca="1">F18836</f>
        <v>0</v>
      </c>
      <c r="G18832" s="27">
        <f ca="1">ROUND(E18832*F18832,2)</f>
        <v>0</v>
      </c>
    </row>
    <row r="18833" spans="1:7" ht="24.36" thickBot="1" customHeight="1">
      <c r="A18833" s="24" t="s">
        <v>57622</v>
      </c>
      <c r="B18833" s="24" t="s">
        <v>57623</v>
      </c>
      <c r="C18833" s="24" t="s">
        <v>57624</v>
      </c>
      <c r="D18833" s="25" t="s">
        <v>57625</v>
      </c>
      <c r="E18833" s="28">
        <v>1.00000</v>
      </c>
      <c r="F18833" s="29">
        <f ca="1">ROUND(21.000,3)</f>
        <v>0</v>
      </c>
      <c r="G18833" s="27">
        <f ca="1">ROUND(E18833*F18833,2)</f>
        <v>0</v>
      </c>
    </row>
    <row r="18834" spans="1:7" ht="24.36" thickBot="1" customHeight="1">
      <c r="A18834" s="24" t="s">
        <v>57626</v>
      </c>
      <c r="B18834" s="24" t="s">
        <v>57627</v>
      </c>
      <c r="C18834" s="24" t="s">
        <v>57628</v>
      </c>
      <c r="D18834" s="25" t="s">
        <v>57629</v>
      </c>
      <c r="E18834" s="28">
        <v>1.00000</v>
      </c>
      <c r="F18834" s="29">
        <f ca="1">ROUND(19.000,3)</f>
        <v>0</v>
      </c>
      <c r="G18834" s="27">
        <f ca="1">ROUND(E18834*F18834,2)</f>
        <v>0</v>
      </c>
    </row>
    <row r="18835" spans="1:7" ht="24.36" thickBot="1" customHeight="1">
      <c r="A18835" s="24" t="s">
        <v>57630</v>
      </c>
      <c r="B18835" s="24" t="s">
        <v>57631</v>
      </c>
      <c r="C18835" s="24" t="s">
        <v>57632</v>
      </c>
      <c r="D18835" s="25" t="s">
        <v>57633</v>
      </c>
      <c r="E18835" s="28">
        <v>0.20000</v>
      </c>
      <c r="F18835" s="29">
        <f ca="1">ROUND(19.000,3)</f>
        <v>0</v>
      </c>
      <c r="G18835" s="27">
        <f ca="1">ROUND(E18835*F18835,2)</f>
        <v>0</v>
      </c>
    </row>
    <row r="18836" spans="1:7" ht="15.12" thickBot="1" customHeight="1">
      <c r="A18836" s="26"/>
      <c r="B18836" s="26"/>
      <c r="C18836" s="26"/>
      <c r="D18836" s="24" t="s">
        <v>57634</v>
      </c>
      <c r="E18836" s="28">
        <v>1.20000</v>
      </c>
      <c r="F18836" s="29">
        <f ca="1">ROUND((G18833+G18834+G18835),3)</f>
        <v>0</v>
      </c>
      <c r="G18836" s="27">
        <f ca="1">ROUND(E18836*F18836,2)</f>
        <v>0</v>
      </c>
    </row>
    <row r="18837" spans="1:7" ht="24.36" thickBot="1" customHeight="1">
      <c r="A18837" s="24" t="s">
        <v>57635</v>
      </c>
      <c r="B18837" s="24" t="s">
        <v>57636</v>
      </c>
      <c r="C18837" s="24" t="s">
        <v>57637</v>
      </c>
      <c r="D18837" s="25" t="s">
        <v>57638</v>
      </c>
      <c r="E18837" s="28">
        <v>0.30000</v>
      </c>
      <c r="F18837" s="29">
        <f ca="1">ROUND(27.500,3)</f>
        <v>0</v>
      </c>
      <c r="G18837" s="27">
        <f ca="1">ROUND(E18837*F18837,2)</f>
        <v>0</v>
      </c>
    </row>
    <row r="18838" spans="1:7" ht="24.36" thickBot="1" customHeight="1">
      <c r="A18838" s="24" t="s">
        <v>57639</v>
      </c>
      <c r="B18838" s="24" t="s">
        <v>57640</v>
      </c>
      <c r="C18838" s="24" t="s">
        <v>57641</v>
      </c>
      <c r="D18838" s="25" t="s">
        <v>57642</v>
      </c>
      <c r="E18838" s="28">
        <v>0.30000</v>
      </c>
      <c r="F18838" s="29">
        <f ca="1">ROUND(23.790,3)</f>
        <v>0</v>
      </c>
      <c r="G18838" s="27">
        <f ca="1">ROUND(E18838*F18838,2)</f>
        <v>0</v>
      </c>
    </row>
    <row r="18839" spans="1:7" ht="15.12" thickBot="1" customHeight="1">
      <c r="A18839" s="24" t="s">
        <v>57643</v>
      </c>
      <c r="B18839" s="24"/>
      <c r="C18839" s="24" t="s">
        <v>57644</v>
      </c>
      <c r="D18839" s="25" t="s">
        <v>57645</v>
      </c>
      <c r="E18839" s="28">
        <v>2.00000</v>
      </c>
      <c r="F18839" s="29">
        <f ca="1">ROUND(79.530,3)</f>
        <v>0</v>
      </c>
      <c r="G18839" s="27">
        <f ca="1">ROUND((E18839*F18839)/100,2)</f>
        <v>0</v>
      </c>
    </row>
    <row r="18840" spans="1:7" ht="15.48" thickBot="1" customHeight="1">
      <c r="A18840" s="30"/>
      <c r="B18840" s="30"/>
      <c r="C18840" s="30"/>
      <c r="D18840" s="31" t="s">
        <v>57646</v>
      </c>
      <c r="E18840" s="30"/>
      <c r="F18840" s="33">
        <f ca="1">ROUND((G18830+G18831+G18832+G18837+G18838+G18839)*(1+G2/100),2)</f>
        <v>0</v>
      </c>
      <c r="G18840" s="30"/>
    </row>
    <row r="18841" spans="1:7" ht="30.60" thickBot="1" customHeight="1">
      <c r="A18841" s="34" t="s">
        <v>57647</v>
      </c>
      <c r="B18841" s="35" t="s">
        <v>57648</v>
      </c>
      <c r="C18841" s="35" t="s">
        <v>57649</v>
      </c>
      <c r="D18841" s="36" t="s">
        <v>57650</v>
      </c>
      <c r="E18841" s="37"/>
      <c r="F18841" s="38">
        <f ca="1">F18849</f>
        <v>0</v>
      </c>
      <c r="G18841" s="37"/>
    </row>
    <row r="18842" spans="1:7" ht="86.04" thickBot="1" customHeight="1">
      <c r="A18842" s="26"/>
      <c r="B18842" s="26"/>
      <c r="C18842" s="26"/>
      <c r="D18842" s="25" t="s">
        <v>57651</v>
      </c>
      <c r="E18842" s="25"/>
      <c r="F18842" s="25"/>
      <c r="G18842" s="25"/>
    </row>
    <row r="18843" spans="1:7" ht="30.60" thickBot="1" customHeight="1">
      <c r="A18843" s="24" t="s">
        <v>57652</v>
      </c>
      <c r="B18843" s="24" t="s">
        <v>57653</v>
      </c>
      <c r="C18843" s="24" t="s">
        <v>57654</v>
      </c>
      <c r="D18843" s="25" t="s">
        <v>57655</v>
      </c>
      <c r="E18843" s="28">
        <v>0.53300</v>
      </c>
      <c r="F18843" s="29">
        <f ca="1">ROUND(12.800,3)</f>
        <v>0</v>
      </c>
      <c r="G18843" s="27">
        <f ca="1">ROUND(E18843*F18843,2)</f>
        <v>0</v>
      </c>
    </row>
    <row r="18844" spans="1:7" ht="21.36" thickBot="1" customHeight="1">
      <c r="A18844" s="24" t="s">
        <v>57656</v>
      </c>
      <c r="B18844" s="24" t="s">
        <v>57657</v>
      </c>
      <c r="C18844" s="24" t="s">
        <v>57658</v>
      </c>
      <c r="D18844" s="25" t="s">
        <v>57659</v>
      </c>
      <c r="E18844" s="28">
        <v>0.50000</v>
      </c>
      <c r="F18844" s="29">
        <f ca="1">F18847</f>
        <v>0</v>
      </c>
      <c r="G18844" s="27">
        <f ca="1">ROUND(E18844*F18844,2)</f>
        <v>0</v>
      </c>
    </row>
    <row r="18845" spans="1:7" ht="24.36" thickBot="1" customHeight="1">
      <c r="A18845" s="24" t="s">
        <v>57660</v>
      </c>
      <c r="B18845" s="24" t="s">
        <v>57661</v>
      </c>
      <c r="C18845" s="24" t="s">
        <v>57662</v>
      </c>
      <c r="D18845" s="25" t="s">
        <v>57663</v>
      </c>
      <c r="E18845" s="28">
        <v>1.00000</v>
      </c>
      <c r="F18845" s="29">
        <f ca="1">ROUND(21.000,3)</f>
        <v>0</v>
      </c>
      <c r="G18845" s="27">
        <f ca="1">ROUND(E18845*F18845,2)</f>
        <v>0</v>
      </c>
    </row>
    <row r="18846" spans="1:7" ht="24.36" thickBot="1" customHeight="1">
      <c r="A18846" s="24" t="s">
        <v>57664</v>
      </c>
      <c r="B18846" s="24" t="s">
        <v>57665</v>
      </c>
      <c r="C18846" s="24" t="s">
        <v>57666</v>
      </c>
      <c r="D18846" s="25" t="s">
        <v>57667</v>
      </c>
      <c r="E18846" s="28">
        <v>1.00000</v>
      </c>
      <c r="F18846" s="29">
        <f ca="1">ROUND(19.000,3)</f>
        <v>0</v>
      </c>
      <c r="G18846" s="27">
        <f ca="1">ROUND(E18846*F18846,2)</f>
        <v>0</v>
      </c>
    </row>
    <row r="18847" spans="1:7" ht="15.12" thickBot="1" customHeight="1">
      <c r="A18847" s="26"/>
      <c r="B18847" s="26"/>
      <c r="C18847" s="26"/>
      <c r="D18847" s="24" t="s">
        <v>57668</v>
      </c>
      <c r="E18847" s="28">
        <v>0.50000</v>
      </c>
      <c r="F18847" s="29">
        <f ca="1">ROUND((G18845+G18846),3)</f>
        <v>0</v>
      </c>
      <c r="G18847" s="27">
        <f ca="1">ROUND(E18847*F18847,2)</f>
        <v>0</v>
      </c>
    </row>
    <row r="18848" spans="1:7" ht="15.12" thickBot="1" customHeight="1">
      <c r="A18848" s="24" t="s">
        <v>57669</v>
      </c>
      <c r="B18848" s="24"/>
      <c r="C18848" s="24" t="s">
        <v>57670</v>
      </c>
      <c r="D18848" s="25" t="s">
        <v>57671</v>
      </c>
      <c r="E18848" s="28">
        <v>5.00000</v>
      </c>
      <c r="F18848" s="29">
        <f ca="1">ROUND(26.820,3)</f>
        <v>0</v>
      </c>
      <c r="G18848" s="27">
        <f ca="1">ROUND((E18848*F18848)/100,2)</f>
        <v>0</v>
      </c>
    </row>
    <row r="18849" spans="1:7" ht="25.08" thickBot="1" customHeight="1">
      <c r="A18849" s="30"/>
      <c r="B18849" s="30"/>
      <c r="C18849" s="30"/>
      <c r="D18849" s="31" t="s">
        <v>57672</v>
      </c>
      <c r="E18849" s="30"/>
      <c r="F18849" s="33">
        <f ca="1">ROUND((G18843+G18844+G18848)*(1+G2/100),2)</f>
        <v>0</v>
      </c>
      <c r="G18849" s="30"/>
    </row>
    <row r="18850" spans="1:7" ht="30.60" thickBot="1" customHeight="1">
      <c r="A18850" s="34" t="s">
        <v>57673</v>
      </c>
      <c r="B18850" s="35" t="s">
        <v>57674</v>
      </c>
      <c r="C18850" s="35" t="s">
        <v>57675</v>
      </c>
      <c r="D18850" s="36" t="s">
        <v>57676</v>
      </c>
      <c r="E18850" s="37"/>
      <c r="F18850" s="38">
        <f ca="1">F18860</f>
        <v>0</v>
      </c>
      <c r="G18850" s="37"/>
    </row>
    <row r="18851" spans="1:7" ht="141.48" thickBot="1" customHeight="1">
      <c r="A18851" s="26"/>
      <c r="B18851" s="26"/>
      <c r="C18851" s="26"/>
      <c r="D18851" s="25" t="s">
        <v>57677</v>
      </c>
      <c r="E18851" s="25"/>
      <c r="F18851" s="25"/>
      <c r="G18851" s="25"/>
    </row>
    <row r="18852" spans="1:7" ht="30.60" thickBot="1" customHeight="1">
      <c r="A18852" s="24" t="s">
        <v>57678</v>
      </c>
      <c r="B18852" s="24" t="s">
        <v>57679</v>
      </c>
      <c r="C18852" s="24" t="s">
        <v>57680</v>
      </c>
      <c r="D18852" s="25" t="s">
        <v>57681</v>
      </c>
      <c r="E18852" s="28">
        <v>0.80000</v>
      </c>
      <c r="F18852" s="29">
        <f ca="1">ROUND(12.800,3)</f>
        <v>0</v>
      </c>
      <c r="G18852" s="27">
        <f ca="1">ROUND(E18852*F18852,2)</f>
        <v>0</v>
      </c>
    </row>
    <row r="18853" spans="1:7" ht="21.36" thickBot="1" customHeight="1">
      <c r="A18853" s="24" t="s">
        <v>57682</v>
      </c>
      <c r="B18853" s="24" t="s">
        <v>57683</v>
      </c>
      <c r="C18853" s="24" t="s">
        <v>57684</v>
      </c>
      <c r="D18853" s="25" t="s">
        <v>57685</v>
      </c>
      <c r="E18853" s="28">
        <v>6.00000</v>
      </c>
      <c r="F18853" s="29">
        <f ca="1">ROUND(0.300,3)</f>
        <v>0</v>
      </c>
      <c r="G18853" s="27">
        <f ca="1">ROUND(E18853*F18853,2)</f>
        <v>0</v>
      </c>
    </row>
    <row r="18854" spans="1:7" ht="30.60" thickBot="1" customHeight="1">
      <c r="A18854" s="24" t="s">
        <v>57686</v>
      </c>
      <c r="B18854" s="24" t="s">
        <v>57687</v>
      </c>
      <c r="C18854" s="24" t="s">
        <v>57688</v>
      </c>
      <c r="D18854" s="25" t="s">
        <v>57689</v>
      </c>
      <c r="E18854" s="28">
        <v>0.16700</v>
      </c>
      <c r="F18854" s="29">
        <f ca="1">ROUND(2.730,3)</f>
        <v>0</v>
      </c>
      <c r="G18854" s="27">
        <f ca="1">ROUND(E18854*F18854,2)</f>
        <v>0</v>
      </c>
    </row>
    <row r="18855" spans="1:7" ht="21.36" thickBot="1" customHeight="1">
      <c r="A18855" s="24" t="s">
        <v>57690</v>
      </c>
      <c r="B18855" s="24" t="s">
        <v>57691</v>
      </c>
      <c r="C18855" s="24" t="s">
        <v>57692</v>
      </c>
      <c r="D18855" s="25" t="s">
        <v>57693</v>
      </c>
      <c r="E18855" s="28">
        <v>1.00000</v>
      </c>
      <c r="F18855" s="29">
        <f ca="1">F18858</f>
        <v>0</v>
      </c>
      <c r="G18855" s="27">
        <f ca="1">ROUND(E18855*F18855,2)</f>
        <v>0</v>
      </c>
    </row>
    <row r="18856" spans="1:7" ht="24.36" thickBot="1" customHeight="1">
      <c r="A18856" s="24" t="s">
        <v>57694</v>
      </c>
      <c r="B18856" s="24" t="s">
        <v>57695</v>
      </c>
      <c r="C18856" s="24" t="s">
        <v>57696</v>
      </c>
      <c r="D18856" s="25" t="s">
        <v>57697</v>
      </c>
      <c r="E18856" s="28">
        <v>1.00000</v>
      </c>
      <c r="F18856" s="29">
        <f ca="1">ROUND(21.000,3)</f>
        <v>0</v>
      </c>
      <c r="G18856" s="27">
        <f ca="1">ROUND(E18856*F18856,2)</f>
        <v>0</v>
      </c>
    </row>
    <row r="18857" spans="1:7" ht="24.36" thickBot="1" customHeight="1">
      <c r="A18857" s="24" t="s">
        <v>57698</v>
      </c>
      <c r="B18857" s="24" t="s">
        <v>57699</v>
      </c>
      <c r="C18857" s="24" t="s">
        <v>57700</v>
      </c>
      <c r="D18857" s="25" t="s">
        <v>57701</v>
      </c>
      <c r="E18857" s="28">
        <v>1.00000</v>
      </c>
      <c r="F18857" s="29">
        <f ca="1">ROUND(19.000,3)</f>
        <v>0</v>
      </c>
      <c r="G18857" s="27">
        <f ca="1">ROUND(E18857*F18857,2)</f>
        <v>0</v>
      </c>
    </row>
    <row r="18858" spans="1:7" ht="15.12" thickBot="1" customHeight="1">
      <c r="A18858" s="26"/>
      <c r="B18858" s="26"/>
      <c r="C18858" s="26"/>
      <c r="D18858" s="24" t="s">
        <v>57702</v>
      </c>
      <c r="E18858" s="28">
        <v>1.00000</v>
      </c>
      <c r="F18858" s="29">
        <f ca="1">ROUND((G18856+G18857),3)</f>
        <v>0</v>
      </c>
      <c r="G18858" s="27">
        <f ca="1">ROUND(E18858*F18858,2)</f>
        <v>0</v>
      </c>
    </row>
    <row r="18859" spans="1:7" ht="15.12" thickBot="1" customHeight="1">
      <c r="A18859" s="24" t="s">
        <v>57703</v>
      </c>
      <c r="B18859" s="24"/>
      <c r="C18859" s="24" t="s">
        <v>57704</v>
      </c>
      <c r="D18859" s="25" t="s">
        <v>57705</v>
      </c>
      <c r="E18859" s="28">
        <v>5.00000</v>
      </c>
      <c r="F18859" s="29">
        <f ca="1">ROUND(52.500,3)</f>
        <v>0</v>
      </c>
      <c r="G18859" s="27">
        <f ca="1">ROUND((E18859*F18859)/100,2)</f>
        <v>0</v>
      </c>
    </row>
    <row r="18860" spans="1:7" ht="15.48" thickBot="1" customHeight="1">
      <c r="A18860" s="30"/>
      <c r="B18860" s="30"/>
      <c r="C18860" s="30"/>
      <c r="D18860" s="31" t="s">
        <v>57706</v>
      </c>
      <c r="E18860" s="30"/>
      <c r="F18860" s="33">
        <f ca="1">ROUND((G18852+G18853+G18854+G18855+G18859)*(1+G2/100),2)</f>
        <v>0</v>
      </c>
      <c r="G18860" s="30"/>
    </row>
    <row r="18861" spans="1:7" ht="25.08" thickBot="1" customHeight="1">
      <c r="A18861" s="34" t="s">
        <v>57707</v>
      </c>
      <c r="B18861" s="35" t="s">
        <v>57708</v>
      </c>
      <c r="C18861" s="35" t="s">
        <v>57709</v>
      </c>
      <c r="D18861" s="36" t="s">
        <v>57710</v>
      </c>
      <c r="E18861" s="37"/>
      <c r="F18861" s="38">
        <f ca="1">F18873</f>
        <v>0</v>
      </c>
      <c r="G18861" s="37"/>
    </row>
    <row r="18862" spans="1:7" ht="12.12" thickBot="1" customHeight="1">
      <c r="A18862" s="26"/>
      <c r="B18862" s="26"/>
      <c r="C18862" s="26"/>
      <c r="D18862" s="25" t="s">
        <v>57711</v>
      </c>
      <c r="E18862" s="25"/>
      <c r="F18862" s="25"/>
      <c r="G18862" s="25"/>
    </row>
    <row r="18863" spans="1:7" ht="21.36" thickBot="1" customHeight="1">
      <c r="A18863" s="24" t="s">
        <v>57712</v>
      </c>
      <c r="B18863" s="24" t="s">
        <v>57713</v>
      </c>
      <c r="C18863" s="24" t="s">
        <v>57714</v>
      </c>
      <c r="D18863" s="25" t="s">
        <v>57715</v>
      </c>
      <c r="E18863" s="28">
        <v>0.06670</v>
      </c>
      <c r="F18863" s="29">
        <f ca="1">ROUND(12.120,3)</f>
        <v>0</v>
      </c>
      <c r="G18863" s="27">
        <f ca="1">ROUND(E18863*F18863,2)</f>
        <v>0</v>
      </c>
    </row>
    <row r="18864" spans="1:7" ht="30.60" thickBot="1" customHeight="1">
      <c r="A18864" s="24" t="s">
        <v>57716</v>
      </c>
      <c r="B18864" s="24" t="s">
        <v>57717</v>
      </c>
      <c r="C18864" s="24" t="s">
        <v>57718</v>
      </c>
      <c r="D18864" s="25" t="s">
        <v>57719</v>
      </c>
      <c r="E18864" s="28">
        <v>0.02670</v>
      </c>
      <c r="F18864" s="29">
        <f ca="1">ROUND(32.940,3)</f>
        <v>0</v>
      </c>
      <c r="G18864" s="27">
        <f ca="1">ROUND(E18864*F18864,2)</f>
        <v>0</v>
      </c>
    </row>
    <row r="18865" spans="1:7" ht="39.84" thickBot="1" customHeight="1">
      <c r="A18865" s="24" t="s">
        <v>57720</v>
      </c>
      <c r="B18865" s="24" t="s">
        <v>57721</v>
      </c>
      <c r="C18865" s="24" t="s">
        <v>57722</v>
      </c>
      <c r="D18865" s="25" t="s">
        <v>57723</v>
      </c>
      <c r="E18865" s="28">
        <v>0.00500</v>
      </c>
      <c r="F18865" s="29">
        <f ca="1">ROUND(3.720,3)</f>
        <v>0</v>
      </c>
      <c r="G18865" s="27">
        <f ca="1">ROUND(E18865*F18865,2)</f>
        <v>0</v>
      </c>
    </row>
    <row r="18866" spans="1:7" ht="30.60" thickBot="1" customHeight="1">
      <c r="A18866" s="24" t="s">
        <v>57724</v>
      </c>
      <c r="B18866" s="24" t="s">
        <v>57725</v>
      </c>
      <c r="C18866" s="24" t="s">
        <v>57726</v>
      </c>
      <c r="D18866" s="25" t="s">
        <v>57727</v>
      </c>
      <c r="E18866" s="28">
        <v>0.05000</v>
      </c>
      <c r="F18866" s="29">
        <f ca="1">ROUND(13.460,3)</f>
        <v>0</v>
      </c>
      <c r="G18866" s="27">
        <f ca="1">ROUND(E18866*F18866,2)</f>
        <v>0</v>
      </c>
    </row>
    <row r="18867" spans="1:7" ht="21.36" thickBot="1" customHeight="1">
      <c r="A18867" s="24" t="s">
        <v>57728</v>
      </c>
      <c r="B18867" s="24" t="s">
        <v>57729</v>
      </c>
      <c r="C18867" s="24" t="s">
        <v>57730</v>
      </c>
      <c r="D18867" s="25" t="s">
        <v>57731</v>
      </c>
      <c r="E18867" s="28">
        <v>0.30000</v>
      </c>
      <c r="F18867" s="29">
        <f ca="1">F18871</f>
        <v>0</v>
      </c>
      <c r="G18867" s="27">
        <f ca="1">ROUND(E18867*F18867,2)</f>
        <v>0</v>
      </c>
    </row>
    <row r="18868" spans="1:7" ht="24.36" thickBot="1" customHeight="1">
      <c r="A18868" s="24" t="s">
        <v>57732</v>
      </c>
      <c r="B18868" s="24" t="s">
        <v>57733</v>
      </c>
      <c r="C18868" s="24" t="s">
        <v>57734</v>
      </c>
      <c r="D18868" s="25" t="s">
        <v>57735</v>
      </c>
      <c r="E18868" s="28">
        <v>1.00000</v>
      </c>
      <c r="F18868" s="29">
        <f ca="1">ROUND(21.000,3)</f>
        <v>0</v>
      </c>
      <c r="G18868" s="27">
        <f ca="1">ROUND(E18868*F18868,2)</f>
        <v>0</v>
      </c>
    </row>
    <row r="18869" spans="1:7" ht="24.36" thickBot="1" customHeight="1">
      <c r="A18869" s="24" t="s">
        <v>57736</v>
      </c>
      <c r="B18869" s="24" t="s">
        <v>57737</v>
      </c>
      <c r="C18869" s="24" t="s">
        <v>57738</v>
      </c>
      <c r="D18869" s="25" t="s">
        <v>57739</v>
      </c>
      <c r="E18869" s="28">
        <v>1.00000</v>
      </c>
      <c r="F18869" s="29">
        <f ca="1">ROUND(19.000,3)</f>
        <v>0</v>
      </c>
      <c r="G18869" s="27">
        <f ca="1">ROUND(E18869*F18869,2)</f>
        <v>0</v>
      </c>
    </row>
    <row r="18870" spans="1:7" ht="24.36" thickBot="1" customHeight="1">
      <c r="A18870" s="24" t="s">
        <v>57740</v>
      </c>
      <c r="B18870" s="24" t="s">
        <v>57741</v>
      </c>
      <c r="C18870" s="24" t="s">
        <v>57742</v>
      </c>
      <c r="D18870" s="25" t="s">
        <v>57743</v>
      </c>
      <c r="E18870" s="28">
        <v>0.20000</v>
      </c>
      <c r="F18870" s="29">
        <f ca="1">ROUND(19.000,3)</f>
        <v>0</v>
      </c>
      <c r="G18870" s="27">
        <f ca="1">ROUND(E18870*F18870,2)</f>
        <v>0</v>
      </c>
    </row>
    <row r="18871" spans="1:7" ht="15.12" thickBot="1" customHeight="1">
      <c r="A18871" s="26"/>
      <c r="B18871" s="26"/>
      <c r="C18871" s="26"/>
      <c r="D18871" s="24" t="s">
        <v>57744</v>
      </c>
      <c r="E18871" s="28">
        <v>0.30000</v>
      </c>
      <c r="F18871" s="29">
        <f ca="1">ROUND((G18868+G18869+G18870),3)</f>
        <v>0</v>
      </c>
      <c r="G18871" s="27">
        <f ca="1">ROUND(E18871*F18871,2)</f>
        <v>0</v>
      </c>
    </row>
    <row r="18872" spans="1:7" ht="15.12" thickBot="1" customHeight="1">
      <c r="A18872" s="24" t="s">
        <v>57745</v>
      </c>
      <c r="B18872" s="24"/>
      <c r="C18872" s="24" t="s">
        <v>57746</v>
      </c>
      <c r="D18872" s="25" t="s">
        <v>57747</v>
      </c>
      <c r="E18872" s="28">
        <v>3.00000</v>
      </c>
      <c r="F18872" s="29">
        <f ca="1">ROUND(13.140,3)</f>
        <v>0</v>
      </c>
      <c r="G18872" s="27">
        <f ca="1">ROUND((E18872*F18872)/100,2)</f>
        <v>0</v>
      </c>
    </row>
    <row r="18873" spans="1:7" ht="15.48" thickBot="1" customHeight="1">
      <c r="A18873" s="30"/>
      <c r="B18873" s="30"/>
      <c r="C18873" s="30"/>
      <c r="D18873" s="31" t="s">
        <v>57748</v>
      </c>
      <c r="E18873" s="30"/>
      <c r="F18873" s="33">
        <f ca="1">ROUND((G18863+G18864+G18865+G18866+G18867+G18872)*(1+G2/100),2)</f>
        <v>0</v>
      </c>
      <c r="G18873" s="30"/>
    </row>
    <row r="18874" spans="1:7" ht="25.08" thickBot="1" customHeight="1">
      <c r="A18874" s="34" t="s">
        <v>57749</v>
      </c>
      <c r="B18874" s="35" t="s">
        <v>57750</v>
      </c>
      <c r="C18874" s="35" t="s">
        <v>57751</v>
      </c>
      <c r="D18874" s="36" t="s">
        <v>57752</v>
      </c>
      <c r="E18874" s="37"/>
      <c r="F18874" s="38">
        <f ca="1">F18886</f>
        <v>0</v>
      </c>
      <c r="G18874" s="37"/>
    </row>
    <row r="18875" spans="1:7" ht="12.12" thickBot="1" customHeight="1">
      <c r="A18875" s="26"/>
      <c r="B18875" s="26"/>
      <c r="C18875" s="26"/>
      <c r="D18875" s="25" t="s">
        <v>57753</v>
      </c>
      <c r="E18875" s="25"/>
      <c r="F18875" s="25"/>
      <c r="G18875" s="25"/>
    </row>
    <row r="18876" spans="1:7" ht="21.36" thickBot="1" customHeight="1">
      <c r="A18876" s="24" t="s">
        <v>57754</v>
      </c>
      <c r="B18876" s="24" t="s">
        <v>57755</v>
      </c>
      <c r="C18876" s="24" t="s">
        <v>57756</v>
      </c>
      <c r="D18876" s="25" t="s">
        <v>57757</v>
      </c>
      <c r="E18876" s="28">
        <v>0.22220</v>
      </c>
      <c r="F18876" s="29">
        <f ca="1">ROUND(12.120,3)</f>
        <v>0</v>
      </c>
      <c r="G18876" s="27">
        <f ca="1">ROUND(E18876*F18876,2)</f>
        <v>0</v>
      </c>
    </row>
    <row r="18877" spans="1:7" ht="30.60" thickBot="1" customHeight="1">
      <c r="A18877" s="24" t="s">
        <v>57758</v>
      </c>
      <c r="B18877" s="24" t="s">
        <v>57759</v>
      </c>
      <c r="C18877" s="24" t="s">
        <v>57760</v>
      </c>
      <c r="D18877" s="25" t="s">
        <v>57761</v>
      </c>
      <c r="E18877" s="28">
        <v>0.08000</v>
      </c>
      <c r="F18877" s="29">
        <f ca="1">ROUND(32.940,3)</f>
        <v>0</v>
      </c>
      <c r="G18877" s="27">
        <f ca="1">ROUND(E18877*F18877,2)</f>
        <v>0</v>
      </c>
    </row>
    <row r="18878" spans="1:7" ht="39.84" thickBot="1" customHeight="1">
      <c r="A18878" s="24" t="s">
        <v>57762</v>
      </c>
      <c r="B18878" s="24" t="s">
        <v>57763</v>
      </c>
      <c r="C18878" s="24" t="s">
        <v>57764</v>
      </c>
      <c r="D18878" s="25" t="s">
        <v>57765</v>
      </c>
      <c r="E18878" s="28">
        <v>0.00750</v>
      </c>
      <c r="F18878" s="29">
        <f ca="1">ROUND(3.720,3)</f>
        <v>0</v>
      </c>
      <c r="G18878" s="27">
        <f ca="1">ROUND(E18878*F18878,2)</f>
        <v>0</v>
      </c>
    </row>
    <row r="18879" spans="1:7" ht="21.36" thickBot="1" customHeight="1">
      <c r="A18879" s="24" t="s">
        <v>57766</v>
      </c>
      <c r="B18879" s="24" t="s">
        <v>57767</v>
      </c>
      <c r="C18879" s="24" t="s">
        <v>57768</v>
      </c>
      <c r="D18879" s="25" t="s">
        <v>57769</v>
      </c>
      <c r="E18879" s="28">
        <v>0.20000</v>
      </c>
      <c r="F18879" s="29">
        <f ca="1">F18883</f>
        <v>0</v>
      </c>
      <c r="G18879" s="27">
        <f ca="1">ROUND(E18879*F18879,2)</f>
        <v>0</v>
      </c>
    </row>
    <row r="18880" spans="1:7" ht="24.36" thickBot="1" customHeight="1">
      <c r="A18880" s="24" t="s">
        <v>57770</v>
      </c>
      <c r="B18880" s="24" t="s">
        <v>57771</v>
      </c>
      <c r="C18880" s="24" t="s">
        <v>57772</v>
      </c>
      <c r="D18880" s="25" t="s">
        <v>57773</v>
      </c>
      <c r="E18880" s="28">
        <v>1.00000</v>
      </c>
      <c r="F18880" s="29">
        <f ca="1">ROUND(21.000,3)</f>
        <v>0</v>
      </c>
      <c r="G18880" s="27">
        <f ca="1">ROUND(E18880*F18880,2)</f>
        <v>0</v>
      </c>
    </row>
    <row r="18881" spans="1:7" ht="24.36" thickBot="1" customHeight="1">
      <c r="A18881" s="24" t="s">
        <v>57774</v>
      </c>
      <c r="B18881" s="24" t="s">
        <v>57775</v>
      </c>
      <c r="C18881" s="24" t="s">
        <v>57776</v>
      </c>
      <c r="D18881" s="25" t="s">
        <v>57777</v>
      </c>
      <c r="E18881" s="28">
        <v>1.00000</v>
      </c>
      <c r="F18881" s="29">
        <f ca="1">ROUND(19.000,3)</f>
        <v>0</v>
      </c>
      <c r="G18881" s="27">
        <f ca="1">ROUND(E18881*F18881,2)</f>
        <v>0</v>
      </c>
    </row>
    <row r="18882" spans="1:7" ht="24.36" thickBot="1" customHeight="1">
      <c r="A18882" s="24" t="s">
        <v>57778</v>
      </c>
      <c r="B18882" s="24" t="s">
        <v>57779</v>
      </c>
      <c r="C18882" s="24" t="s">
        <v>57780</v>
      </c>
      <c r="D18882" s="25" t="s">
        <v>57781</v>
      </c>
      <c r="E18882" s="28">
        <v>0.20000</v>
      </c>
      <c r="F18882" s="29">
        <f ca="1">ROUND(19.000,3)</f>
        <v>0</v>
      </c>
      <c r="G18882" s="27">
        <f ca="1">ROUND(E18882*F18882,2)</f>
        <v>0</v>
      </c>
    </row>
    <row r="18883" spans="1:7" ht="15.12" thickBot="1" customHeight="1">
      <c r="A18883" s="26"/>
      <c r="B18883" s="26"/>
      <c r="C18883" s="26"/>
      <c r="D18883" s="24" t="s">
        <v>57782</v>
      </c>
      <c r="E18883" s="28">
        <v>0.20000</v>
      </c>
      <c r="F18883" s="29">
        <f ca="1">ROUND((G18880+G18881+G18882),3)</f>
        <v>0</v>
      </c>
      <c r="G18883" s="27">
        <f ca="1">ROUND(E18883*F18883,2)</f>
        <v>0</v>
      </c>
    </row>
    <row r="18884" spans="1:7" ht="30.60" thickBot="1" customHeight="1">
      <c r="A18884" s="24" t="s">
        <v>57783</v>
      </c>
      <c r="B18884" s="24" t="s">
        <v>57784</v>
      </c>
      <c r="C18884" s="24" t="s">
        <v>57785</v>
      </c>
      <c r="D18884" s="25" t="s">
        <v>57786</v>
      </c>
      <c r="E18884" s="28">
        <v>0.06670</v>
      </c>
      <c r="F18884" s="29">
        <f ca="1">ROUND(13.460,3)</f>
        <v>0</v>
      </c>
      <c r="G18884" s="27">
        <f ca="1">ROUND(E18884*F18884,2)</f>
        <v>0</v>
      </c>
    </row>
    <row r="18885" spans="1:7" ht="15.12" thickBot="1" customHeight="1">
      <c r="A18885" s="24" t="s">
        <v>57787</v>
      </c>
      <c r="B18885" s="24"/>
      <c r="C18885" s="24" t="s">
        <v>57788</v>
      </c>
      <c r="D18885" s="25" t="s">
        <v>57789</v>
      </c>
      <c r="E18885" s="28">
        <v>3.00000</v>
      </c>
      <c r="F18885" s="29">
        <f ca="1">ROUND(8.760,3)</f>
        <v>0</v>
      </c>
      <c r="G18885" s="27">
        <f ca="1">ROUND((E18885*F18885)/100,2)</f>
        <v>0</v>
      </c>
    </row>
    <row r="18886" spans="1:7" ht="15.48" thickBot="1" customHeight="1">
      <c r="A18886" s="30"/>
      <c r="B18886" s="30"/>
      <c r="C18886" s="30"/>
      <c r="D18886" s="31" t="s">
        <v>57790</v>
      </c>
      <c r="E18886" s="30"/>
      <c r="F18886" s="33">
        <f ca="1">ROUND((G18876+G18877+G18878+G18879+G18884+G18885)*(1+G2/100),2)</f>
        <v>0</v>
      </c>
      <c r="G18886" s="30"/>
    </row>
    <row r="18887" spans="1:7" ht="49.08" thickBot="1" customHeight="1">
      <c r="A18887" s="34" t="s">
        <v>57791</v>
      </c>
      <c r="B18887" s="35" t="s">
        <v>57792</v>
      </c>
      <c r="C18887" s="35" t="s">
        <v>57793</v>
      </c>
      <c r="D18887" s="36" t="s">
        <v>57794</v>
      </c>
      <c r="E18887" s="37"/>
      <c r="F18887" s="38">
        <f ca="1">F18894</f>
        <v>0</v>
      </c>
      <c r="G18887" s="37"/>
    </row>
    <row r="18888" spans="1:7" ht="21.36" thickBot="1" customHeight="1">
      <c r="A18888" s="26"/>
      <c r="B18888" s="26"/>
      <c r="C18888" s="26"/>
      <c r="D18888" s="25" t="s">
        <v>57795</v>
      </c>
      <c r="E18888" s="25"/>
      <c r="F18888" s="25"/>
      <c r="G18888" s="25"/>
    </row>
    <row r="18889" spans="1:7" ht="21.36" thickBot="1" customHeight="1">
      <c r="A18889" s="24" t="s">
        <v>57796</v>
      </c>
      <c r="B18889" s="24" t="s">
        <v>57797</v>
      </c>
      <c r="C18889" s="24" t="s">
        <v>57798</v>
      </c>
      <c r="D18889" s="25" t="s">
        <v>57799</v>
      </c>
      <c r="E18889" s="28">
        <v>0.20000</v>
      </c>
      <c r="F18889" s="29">
        <f ca="1">F18892</f>
        <v>0</v>
      </c>
      <c r="G18889" s="27">
        <f ca="1">ROUND(E18889*F18889,2)</f>
        <v>0</v>
      </c>
    </row>
    <row r="18890" spans="1:7" ht="24.36" thickBot="1" customHeight="1">
      <c r="A18890" s="24" t="s">
        <v>57800</v>
      </c>
      <c r="B18890" s="24" t="s">
        <v>57801</v>
      </c>
      <c r="C18890" s="24" t="s">
        <v>57802</v>
      </c>
      <c r="D18890" s="25" t="s">
        <v>57803</v>
      </c>
      <c r="E18890" s="28">
        <v>1.00000</v>
      </c>
      <c r="F18890" s="29">
        <f ca="1">ROUND(21.000,3)</f>
        <v>0</v>
      </c>
      <c r="G18890" s="27">
        <f ca="1">ROUND(E18890*F18890,2)</f>
        <v>0</v>
      </c>
    </row>
    <row r="18891" spans="1:7" ht="24.36" thickBot="1" customHeight="1">
      <c r="A18891" s="24" t="s">
        <v>57804</v>
      </c>
      <c r="B18891" s="24" t="s">
        <v>57805</v>
      </c>
      <c r="C18891" s="24" t="s">
        <v>57806</v>
      </c>
      <c r="D18891" s="25" t="s">
        <v>57807</v>
      </c>
      <c r="E18891" s="28">
        <v>1.00000</v>
      </c>
      <c r="F18891" s="29">
        <f ca="1">ROUND(19.000,3)</f>
        <v>0</v>
      </c>
      <c r="G18891" s="27">
        <f ca="1">ROUND(E18891*F18891,2)</f>
        <v>0</v>
      </c>
    </row>
    <row r="18892" spans="1:7" ht="15.12" thickBot="1" customHeight="1">
      <c r="A18892" s="26"/>
      <c r="B18892" s="26"/>
      <c r="C18892" s="26"/>
      <c r="D18892" s="24" t="s">
        <v>57808</v>
      </c>
      <c r="E18892" s="28">
        <v>0.20000</v>
      </c>
      <c r="F18892" s="29">
        <f ca="1">ROUND((G18890+G18891),3)</f>
        <v>0</v>
      </c>
      <c r="G18892" s="27">
        <f ca="1">ROUND(E18892*F18892,2)</f>
        <v>0</v>
      </c>
    </row>
    <row r="18893" spans="1:7" ht="15.12" thickBot="1" customHeight="1">
      <c r="A18893" s="24" t="s">
        <v>57809</v>
      </c>
      <c r="B18893" s="24"/>
      <c r="C18893" s="24" t="s">
        <v>57810</v>
      </c>
      <c r="D18893" s="25" t="s">
        <v>57811</v>
      </c>
      <c r="E18893" s="28">
        <v>5.00000</v>
      </c>
      <c r="F18893" s="29">
        <f ca="1">ROUND(8.000,3)</f>
        <v>0</v>
      </c>
      <c r="G18893" s="27">
        <f ca="1">ROUND((E18893*F18893)/100,2)</f>
        <v>0</v>
      </c>
    </row>
    <row r="18894" spans="1:7" ht="15.48" thickBot="1" customHeight="1">
      <c r="A18894" s="30"/>
      <c r="B18894" s="30"/>
      <c r="C18894" s="30"/>
      <c r="D18894" s="31" t="s">
        <v>57812</v>
      </c>
      <c r="E18894" s="30"/>
      <c r="F18894" s="33">
        <f ca="1">ROUND((G18889+G18893)*(1+G2/100),2)</f>
        <v>0</v>
      </c>
      <c r="G18894" s="30"/>
    </row>
    <row r="18895" spans="1:7" ht="49.08" thickBot="1" customHeight="1">
      <c r="A18895" s="34" t="s">
        <v>57813</v>
      </c>
      <c r="B18895" s="35" t="s">
        <v>57814</v>
      </c>
      <c r="C18895" s="35" t="s">
        <v>57815</v>
      </c>
      <c r="D18895" s="36" t="s">
        <v>57816</v>
      </c>
      <c r="E18895" s="37"/>
      <c r="F18895" s="38">
        <f ca="1">F18903</f>
        <v>0</v>
      </c>
      <c r="G18895" s="37"/>
    </row>
    <row r="18896" spans="1:7" ht="21.36" thickBot="1" customHeight="1">
      <c r="A18896" s="26"/>
      <c r="B18896" s="26"/>
      <c r="C18896" s="26"/>
      <c r="D18896" s="25" t="s">
        <v>57817</v>
      </c>
      <c r="E18896" s="25"/>
      <c r="F18896" s="25"/>
      <c r="G18896" s="25"/>
    </row>
    <row r="18897" spans="1:7" ht="21.36" thickBot="1" customHeight="1">
      <c r="A18897" s="24" t="s">
        <v>57818</v>
      </c>
      <c r="B18897" s="24" t="s">
        <v>57819</v>
      </c>
      <c r="C18897" s="24" t="s">
        <v>57820</v>
      </c>
      <c r="D18897" s="25" t="s">
        <v>57821</v>
      </c>
      <c r="E18897" s="28">
        <v>0.50000</v>
      </c>
      <c r="F18897" s="29">
        <f ca="1">F18901</f>
        <v>0</v>
      </c>
      <c r="G18897" s="27">
        <f ca="1">ROUND(E18897*F18897,2)</f>
        <v>0</v>
      </c>
    </row>
    <row r="18898" spans="1:7" ht="24.36" thickBot="1" customHeight="1">
      <c r="A18898" s="24" t="s">
        <v>57822</v>
      </c>
      <c r="B18898" s="24" t="s">
        <v>57823</v>
      </c>
      <c r="C18898" s="24" t="s">
        <v>57824</v>
      </c>
      <c r="D18898" s="25" t="s">
        <v>57825</v>
      </c>
      <c r="E18898" s="28">
        <v>1.00000</v>
      </c>
      <c r="F18898" s="29">
        <f ca="1">ROUND(21.000,3)</f>
        <v>0</v>
      </c>
      <c r="G18898" s="27">
        <f ca="1">ROUND(E18898*F18898,2)</f>
        <v>0</v>
      </c>
    </row>
    <row r="18899" spans="1:7" ht="24.36" thickBot="1" customHeight="1">
      <c r="A18899" s="24" t="s">
        <v>57826</v>
      </c>
      <c r="B18899" s="24" t="s">
        <v>57827</v>
      </c>
      <c r="C18899" s="24" t="s">
        <v>57828</v>
      </c>
      <c r="D18899" s="25" t="s">
        <v>57829</v>
      </c>
      <c r="E18899" s="28">
        <v>1.00000</v>
      </c>
      <c r="F18899" s="29">
        <f ca="1">ROUND(19.000,3)</f>
        <v>0</v>
      </c>
      <c r="G18899" s="27">
        <f ca="1">ROUND(E18899*F18899,2)</f>
        <v>0</v>
      </c>
    </row>
    <row r="18900" spans="1:7" ht="24.36" thickBot="1" customHeight="1">
      <c r="A18900" s="24" t="s">
        <v>57830</v>
      </c>
      <c r="B18900" s="24" t="s">
        <v>57831</v>
      </c>
      <c r="C18900" s="24" t="s">
        <v>57832</v>
      </c>
      <c r="D18900" s="25" t="s">
        <v>57833</v>
      </c>
      <c r="E18900" s="28">
        <v>0.20000</v>
      </c>
      <c r="F18900" s="29">
        <f ca="1">ROUND(19.000,3)</f>
        <v>0</v>
      </c>
      <c r="G18900" s="27">
        <f ca="1">ROUND(E18900*F18900,2)</f>
        <v>0</v>
      </c>
    </row>
    <row r="18901" spans="1:7" ht="15.12" thickBot="1" customHeight="1">
      <c r="A18901" s="26"/>
      <c r="B18901" s="26"/>
      <c r="C18901" s="26"/>
      <c r="D18901" s="24" t="s">
        <v>57834</v>
      </c>
      <c r="E18901" s="28">
        <v>0.50000</v>
      </c>
      <c r="F18901" s="29">
        <f ca="1">ROUND((G18898+G18899+G18900),3)</f>
        <v>0</v>
      </c>
      <c r="G18901" s="27">
        <f ca="1">ROUND(E18901*F18901,2)</f>
        <v>0</v>
      </c>
    </row>
    <row r="18902" spans="1:7" ht="15.12" thickBot="1" customHeight="1">
      <c r="A18902" s="24" t="s">
        <v>57835</v>
      </c>
      <c r="B18902" s="24"/>
      <c r="C18902" s="24" t="s">
        <v>57836</v>
      </c>
      <c r="D18902" s="25" t="s">
        <v>57837</v>
      </c>
      <c r="E18902" s="28">
        <v>5.00000</v>
      </c>
      <c r="F18902" s="29">
        <f ca="1">ROUND(21.900,3)</f>
        <v>0</v>
      </c>
      <c r="G18902" s="27">
        <f ca="1">ROUND((E18902*F18902)/100,2)</f>
        <v>0</v>
      </c>
    </row>
    <row r="18903" spans="1:7" ht="25.08" thickBot="1" customHeight="1">
      <c r="A18903" s="30"/>
      <c r="B18903" s="30"/>
      <c r="C18903" s="30"/>
      <c r="D18903" s="31" t="s">
        <v>57838</v>
      </c>
      <c r="E18903" s="30"/>
      <c r="F18903" s="33">
        <f ca="1">ROUND((G18897+G18902)*(1+G2/100),2)</f>
        <v>0</v>
      </c>
      <c r="G18903" s="30"/>
    </row>
    <row r="18904" spans="1:7" ht="34.68" thickBot="1" customHeight="1">
      <c r="A18904" s="34" t="s">
        <v>57839</v>
      </c>
      <c r="B18904" s="35" t="s">
        <v>57840</v>
      </c>
      <c r="C18904" s="35" t="s">
        <v>57841</v>
      </c>
      <c r="D18904" s="36" t="s">
        <v>57842</v>
      </c>
      <c r="E18904" s="37"/>
      <c r="F18904" s="38">
        <f ca="1">F18912</f>
        <v>0</v>
      </c>
      <c r="G18904" s="37"/>
    </row>
    <row r="18905" spans="1:7" ht="12.12" thickBot="1" customHeight="1">
      <c r="A18905" s="26"/>
      <c r="B18905" s="26"/>
      <c r="C18905" s="26"/>
      <c r="D18905" s="25" t="s">
        <v>57843</v>
      </c>
      <c r="E18905" s="25"/>
      <c r="F18905" s="25"/>
      <c r="G18905" s="25"/>
    </row>
    <row r="18906" spans="1:7" ht="21.36" thickBot="1" customHeight="1">
      <c r="A18906" s="24" t="s">
        <v>57844</v>
      </c>
      <c r="B18906" s="24" t="s">
        <v>57845</v>
      </c>
      <c r="C18906" s="24" t="s">
        <v>57846</v>
      </c>
      <c r="D18906" s="25" t="s">
        <v>57847</v>
      </c>
      <c r="E18906" s="28">
        <v>0.70000</v>
      </c>
      <c r="F18906" s="29">
        <f ca="1">F18910</f>
        <v>0</v>
      </c>
      <c r="G18906" s="27">
        <f ca="1">ROUND(E18906*F18906,2)</f>
        <v>0</v>
      </c>
    </row>
    <row r="18907" spans="1:7" ht="24.36" thickBot="1" customHeight="1">
      <c r="A18907" s="24" t="s">
        <v>57848</v>
      </c>
      <c r="B18907" s="24" t="s">
        <v>57849</v>
      </c>
      <c r="C18907" s="24" t="s">
        <v>57850</v>
      </c>
      <c r="D18907" s="25" t="s">
        <v>57851</v>
      </c>
      <c r="E18907" s="28">
        <v>1.00000</v>
      </c>
      <c r="F18907" s="29">
        <f ca="1">ROUND(21.000,3)</f>
        <v>0</v>
      </c>
      <c r="G18907" s="27">
        <f ca="1">ROUND(E18907*F18907,2)</f>
        <v>0</v>
      </c>
    </row>
    <row r="18908" spans="1:7" ht="24.36" thickBot="1" customHeight="1">
      <c r="A18908" s="24" t="s">
        <v>57852</v>
      </c>
      <c r="B18908" s="24" t="s">
        <v>57853</v>
      </c>
      <c r="C18908" s="24" t="s">
        <v>57854</v>
      </c>
      <c r="D18908" s="25" t="s">
        <v>57855</v>
      </c>
      <c r="E18908" s="28">
        <v>1.00000</v>
      </c>
      <c r="F18908" s="29">
        <f ca="1">ROUND(19.000,3)</f>
        <v>0</v>
      </c>
      <c r="G18908" s="27">
        <f ca="1">ROUND(E18908*F18908,2)</f>
        <v>0</v>
      </c>
    </row>
    <row r="18909" spans="1:7" ht="24.36" thickBot="1" customHeight="1">
      <c r="A18909" s="24" t="s">
        <v>57856</v>
      </c>
      <c r="B18909" s="24" t="s">
        <v>57857</v>
      </c>
      <c r="C18909" s="24" t="s">
        <v>57858</v>
      </c>
      <c r="D18909" s="25" t="s">
        <v>57859</v>
      </c>
      <c r="E18909" s="28">
        <v>0.20000</v>
      </c>
      <c r="F18909" s="29">
        <f ca="1">ROUND(19.000,3)</f>
        <v>0</v>
      </c>
      <c r="G18909" s="27">
        <f ca="1">ROUND(E18909*F18909,2)</f>
        <v>0</v>
      </c>
    </row>
    <row r="18910" spans="1:7" ht="15.12" thickBot="1" customHeight="1">
      <c r="A18910" s="26"/>
      <c r="B18910" s="26"/>
      <c r="C18910" s="26"/>
      <c r="D18910" s="24" t="s">
        <v>57860</v>
      </c>
      <c r="E18910" s="28">
        <v>0.70000</v>
      </c>
      <c r="F18910" s="29">
        <f ca="1">ROUND((G18907+G18908+G18909),3)</f>
        <v>0</v>
      </c>
      <c r="G18910" s="27">
        <f ca="1">ROUND(E18910*F18910,2)</f>
        <v>0</v>
      </c>
    </row>
    <row r="18911" spans="1:7" ht="15.12" thickBot="1" customHeight="1">
      <c r="A18911" s="24" t="s">
        <v>57861</v>
      </c>
      <c r="B18911" s="24"/>
      <c r="C18911" s="24" t="s">
        <v>57862</v>
      </c>
      <c r="D18911" s="25" t="s">
        <v>57863</v>
      </c>
      <c r="E18911" s="28">
        <v>5.00000</v>
      </c>
      <c r="F18911" s="29">
        <f ca="1">ROUND(30.660,3)</f>
        <v>0</v>
      </c>
      <c r="G18911" s="27">
        <f ca="1">ROUND((E18911*F18911)/100,2)</f>
        <v>0</v>
      </c>
    </row>
    <row r="18912" spans="1:7" ht="25.08" thickBot="1" customHeight="1">
      <c r="A18912" s="30"/>
      <c r="B18912" s="30"/>
      <c r="C18912" s="30"/>
      <c r="D18912" s="31" t="s">
        <v>57864</v>
      </c>
      <c r="E18912" s="30"/>
      <c r="F18912" s="33">
        <f ca="1">ROUND((G18906+G18911)*(1+G2/100),2)</f>
        <v>0</v>
      </c>
      <c r="G18912" s="30"/>
    </row>
    <row r="18913" spans="1:7" ht="30.60" thickBot="1" customHeight="1">
      <c r="A18913" s="34" t="s">
        <v>57865</v>
      </c>
      <c r="B18913" s="35" t="s">
        <v>57866</v>
      </c>
      <c r="C18913" s="35" t="s">
        <v>57867</v>
      </c>
      <c r="D18913" s="36" t="s">
        <v>57868</v>
      </c>
      <c r="E18913" s="37"/>
      <c r="F18913" s="38">
        <f ca="1">F18932</f>
        <v>0</v>
      </c>
      <c r="G18913" s="37"/>
    </row>
    <row r="18914" spans="1:7" ht="252.36" thickBot="1" customHeight="1">
      <c r="A18914" s="26"/>
      <c r="B18914" s="26"/>
      <c r="C18914" s="26"/>
      <c r="D18914" s="25" t="s">
        <v>57869</v>
      </c>
      <c r="E18914" s="25"/>
      <c r="F18914" s="25"/>
      <c r="G18914" s="25"/>
    </row>
    <row r="18915" spans="1:7" ht="67.56" thickBot="1" customHeight="1">
      <c r="A18915" s="24" t="s">
        <v>57870</v>
      </c>
      <c r="B18915" s="24" t="s">
        <v>57871</v>
      </c>
      <c r="C18915" s="24" t="s">
        <v>57872</v>
      </c>
      <c r="D18915" s="25" t="s">
        <v>57873</v>
      </c>
      <c r="E18915" s="28">
        <v>1.20000</v>
      </c>
      <c r="F18915" s="29">
        <f ca="1">ROUND(0.250,3)</f>
        <v>0</v>
      </c>
      <c r="G18915" s="27">
        <f ca="1">ROUND(E18915*F18915,2)</f>
        <v>0</v>
      </c>
    </row>
    <row r="18916" spans="1:7" ht="21.36" thickBot="1" customHeight="1">
      <c r="A18916" s="24" t="s">
        <v>57874</v>
      </c>
      <c r="B18916" s="24" t="s">
        <v>57875</v>
      </c>
      <c r="C18916" s="24" t="s">
        <v>57876</v>
      </c>
      <c r="D18916" s="25" t="s">
        <v>57877</v>
      </c>
      <c r="E18916" s="28">
        <v>0.70000</v>
      </c>
      <c r="F18916" s="29">
        <f ca="1">ROUND(1.350,3)</f>
        <v>0</v>
      </c>
      <c r="G18916" s="27">
        <f ca="1">ROUND(E18916*F18916,2)</f>
        <v>0</v>
      </c>
    </row>
    <row r="18917" spans="1:7" ht="21.36" thickBot="1" customHeight="1">
      <c r="A18917" s="24" t="s">
        <v>57878</v>
      </c>
      <c r="B18917" s="24" t="s">
        <v>57879</v>
      </c>
      <c r="C18917" s="24" t="s">
        <v>57880</v>
      </c>
      <c r="D18917" s="25" t="s">
        <v>57881</v>
      </c>
      <c r="E18917" s="28">
        <v>2.75000</v>
      </c>
      <c r="F18917" s="29">
        <f ca="1">ROUND(1.630,3)</f>
        <v>0</v>
      </c>
      <c r="G18917" s="27">
        <f ca="1">ROUND(E18917*F18917,2)</f>
        <v>0</v>
      </c>
    </row>
    <row r="18918" spans="1:7" ht="58.32" thickBot="1" customHeight="1">
      <c r="A18918" s="24" t="s">
        <v>57882</v>
      </c>
      <c r="B18918" s="24" t="s">
        <v>57883</v>
      </c>
      <c r="C18918" s="24" t="s">
        <v>57884</v>
      </c>
      <c r="D18918" s="25" t="s">
        <v>57885</v>
      </c>
      <c r="E18918" s="28">
        <v>1.05000</v>
      </c>
      <c r="F18918" s="29">
        <f ca="1">ROUND(4.210,3)</f>
        <v>0</v>
      </c>
      <c r="G18918" s="27">
        <f ca="1">ROUND(E18918*F18918,2)</f>
        <v>0</v>
      </c>
    </row>
    <row r="18919" spans="1:7" ht="58.32" thickBot="1" customHeight="1">
      <c r="A18919" s="24" t="s">
        <v>57886</v>
      </c>
      <c r="B18919" s="24" t="s">
        <v>57887</v>
      </c>
      <c r="C18919" s="24" t="s">
        <v>57888</v>
      </c>
      <c r="D18919" s="25" t="s">
        <v>57889</v>
      </c>
      <c r="E18919" s="28">
        <v>2.10000</v>
      </c>
      <c r="F18919" s="29">
        <f ca="1">ROUND(8.150,3)</f>
        <v>0</v>
      </c>
      <c r="G18919" s="27">
        <f ca="1">ROUND(E18919*F18919,2)</f>
        <v>0</v>
      </c>
    </row>
    <row r="18920" spans="1:7" ht="21.36" thickBot="1" customHeight="1">
      <c r="A18920" s="24" t="s">
        <v>57890</v>
      </c>
      <c r="B18920" s="24" t="s">
        <v>57891</v>
      </c>
      <c r="C18920" s="24" t="s">
        <v>57892</v>
      </c>
      <c r="D18920" s="25" t="s">
        <v>57893</v>
      </c>
      <c r="E18920" s="28">
        <v>38.00000</v>
      </c>
      <c r="F18920" s="29">
        <f ca="1">ROUND(0.010,3)</f>
        <v>0</v>
      </c>
      <c r="G18920" s="27">
        <f ca="1">ROUND(E18920*F18920,2)</f>
        <v>0</v>
      </c>
    </row>
    <row r="18921" spans="1:7" ht="21.36" thickBot="1" customHeight="1">
      <c r="A18921" s="24" t="s">
        <v>57894</v>
      </c>
      <c r="B18921" s="24" t="s">
        <v>57895</v>
      </c>
      <c r="C18921" s="24" t="s">
        <v>57896</v>
      </c>
      <c r="D18921" s="25" t="s">
        <v>57897</v>
      </c>
      <c r="E18921" s="28">
        <v>1.60000</v>
      </c>
      <c r="F18921" s="29">
        <f ca="1">ROUND(0.060,3)</f>
        <v>0</v>
      </c>
      <c r="G18921" s="27">
        <f ca="1">ROUND(E18921*F18921,2)</f>
        <v>0</v>
      </c>
    </row>
    <row r="18922" spans="1:7" ht="67.56" thickBot="1" customHeight="1">
      <c r="A18922" s="24" t="s">
        <v>57898</v>
      </c>
      <c r="B18922" s="24" t="s">
        <v>57899</v>
      </c>
      <c r="C18922" s="24" t="s">
        <v>57900</v>
      </c>
      <c r="D18922" s="25" t="s">
        <v>57901</v>
      </c>
      <c r="E18922" s="28">
        <v>1.21200</v>
      </c>
      <c r="F18922" s="29">
        <f ca="1">ROUND(0.930,3)</f>
        <v>0</v>
      </c>
      <c r="G18922" s="27">
        <f ca="1">ROUND(E18922*F18922,2)</f>
        <v>0</v>
      </c>
    </row>
    <row r="18923" spans="1:7" ht="30.60" thickBot="1" customHeight="1">
      <c r="A18923" s="24" t="s">
        <v>57902</v>
      </c>
      <c r="B18923" s="24" t="s">
        <v>57903</v>
      </c>
      <c r="C18923" s="24" t="s">
        <v>57904</v>
      </c>
      <c r="D18923" s="25" t="s">
        <v>57905</v>
      </c>
      <c r="E18923" s="28">
        <v>3.20000</v>
      </c>
      <c r="F18923" s="29">
        <f ca="1">ROUND(0.040,3)</f>
        <v>0</v>
      </c>
      <c r="G18923" s="27">
        <f ca="1">ROUND(E18923*F18923,2)</f>
        <v>0</v>
      </c>
    </row>
    <row r="18924" spans="1:7" ht="30.60" thickBot="1" customHeight="1">
      <c r="A18924" s="24" t="s">
        <v>57906</v>
      </c>
      <c r="B18924" s="24" t="s">
        <v>57907</v>
      </c>
      <c r="C18924" s="24" t="s">
        <v>57908</v>
      </c>
      <c r="D18924" s="25" t="s">
        <v>57909</v>
      </c>
      <c r="E18924" s="28">
        <v>0.30000</v>
      </c>
      <c r="F18924" s="29">
        <f ca="1">ROUND(0.420,3)</f>
        <v>0</v>
      </c>
      <c r="G18924" s="27">
        <f ca="1">ROUND(E18924*F18924,2)</f>
        <v>0</v>
      </c>
    </row>
    <row r="18925" spans="1:7" ht="21.36" thickBot="1" customHeight="1">
      <c r="A18925" s="24" t="s">
        <v>57910</v>
      </c>
      <c r="B18925" s="24" t="s">
        <v>57911</v>
      </c>
      <c r="C18925" s="24" t="s">
        <v>57912</v>
      </c>
      <c r="D18925" s="25" t="s">
        <v>57913</v>
      </c>
      <c r="E18925" s="28">
        <v>0.50000</v>
      </c>
      <c r="F18925" s="29">
        <f ca="1">ROUND(2.000,3)</f>
        <v>0</v>
      </c>
      <c r="G18925" s="27">
        <f ca="1">ROUND(E18925*F18925,2)</f>
        <v>0</v>
      </c>
    </row>
    <row r="18926" spans="1:7" ht="21.36" thickBot="1" customHeight="1">
      <c r="A18926" s="24" t="s">
        <v>57914</v>
      </c>
      <c r="B18926" s="24" t="s">
        <v>57915</v>
      </c>
      <c r="C18926" s="24" t="s">
        <v>57916</v>
      </c>
      <c r="D18926" s="25" t="s">
        <v>57917</v>
      </c>
      <c r="E18926" s="28">
        <v>0.60000</v>
      </c>
      <c r="F18926" s="29">
        <f ca="1">F18930</f>
        <v>0</v>
      </c>
      <c r="G18926" s="27">
        <f ca="1">ROUND(E18926*F18926,2)</f>
        <v>0</v>
      </c>
    </row>
    <row r="18927" spans="1:7" ht="24.36" thickBot="1" customHeight="1">
      <c r="A18927" s="24" t="s">
        <v>57918</v>
      </c>
      <c r="B18927" s="24" t="s">
        <v>57919</v>
      </c>
      <c r="C18927" s="24" t="s">
        <v>57920</v>
      </c>
      <c r="D18927" s="25" t="s">
        <v>57921</v>
      </c>
      <c r="E18927" s="28">
        <v>1.00000</v>
      </c>
      <c r="F18927" s="29">
        <f ca="1">ROUND(21.000,3)</f>
        <v>0</v>
      </c>
      <c r="G18927" s="27">
        <f ca="1">ROUND(E18927*F18927,2)</f>
        <v>0</v>
      </c>
    </row>
    <row r="18928" spans="1:7" ht="24.36" thickBot="1" customHeight="1">
      <c r="A18928" s="24" t="s">
        <v>57922</v>
      </c>
      <c r="B18928" s="24" t="s">
        <v>57923</v>
      </c>
      <c r="C18928" s="24" t="s">
        <v>57924</v>
      </c>
      <c r="D18928" s="25" t="s">
        <v>57925</v>
      </c>
      <c r="E18928" s="28">
        <v>1.00000</v>
      </c>
      <c r="F18928" s="29">
        <f ca="1">ROUND(19.000,3)</f>
        <v>0</v>
      </c>
      <c r="G18928" s="27">
        <f ca="1">ROUND(E18928*F18928,2)</f>
        <v>0</v>
      </c>
    </row>
    <row r="18929" spans="1:7" ht="24.36" thickBot="1" customHeight="1">
      <c r="A18929" s="24" t="s">
        <v>57926</v>
      </c>
      <c r="B18929" s="24" t="s">
        <v>57927</v>
      </c>
      <c r="C18929" s="24" t="s">
        <v>57928</v>
      </c>
      <c r="D18929" s="25" t="s">
        <v>57929</v>
      </c>
      <c r="E18929" s="28">
        <v>0.20000</v>
      </c>
      <c r="F18929" s="29">
        <f ca="1">ROUND(19.000,3)</f>
        <v>0</v>
      </c>
      <c r="G18929" s="27">
        <f ca="1">ROUND(E18929*F18929,2)</f>
        <v>0</v>
      </c>
    </row>
    <row r="18930" spans="1:7" ht="15.12" thickBot="1" customHeight="1">
      <c r="A18930" s="26"/>
      <c r="B18930" s="26"/>
      <c r="C18930" s="26"/>
      <c r="D18930" s="24" t="s">
        <v>57930</v>
      </c>
      <c r="E18930" s="28">
        <v>0.60000</v>
      </c>
      <c r="F18930" s="29">
        <f ca="1">ROUND((G18927+G18928+G18929),3)</f>
        <v>0</v>
      </c>
      <c r="G18930" s="27">
        <f ca="1">ROUND(E18930*F18930,2)</f>
        <v>0</v>
      </c>
    </row>
    <row r="18931" spans="1:7" ht="15.12" thickBot="1" customHeight="1">
      <c r="A18931" s="24" t="s">
        <v>57931</v>
      </c>
      <c r="B18931" s="24"/>
      <c r="C18931" s="24" t="s">
        <v>57932</v>
      </c>
      <c r="D18931" s="25" t="s">
        <v>57933</v>
      </c>
      <c r="E18931" s="28">
        <v>5.00000</v>
      </c>
      <c r="F18931" s="29">
        <f ca="1">ROUND(56.420,3)</f>
        <v>0</v>
      </c>
      <c r="G18931" s="27">
        <f ca="1">ROUND((E18931*F18931)/100,2)</f>
        <v>0</v>
      </c>
    </row>
    <row r="18932" spans="1:7" ht="15.48" thickBot="1" customHeight="1">
      <c r="A18932" s="30"/>
      <c r="B18932" s="30"/>
      <c r="C18932" s="30"/>
      <c r="D18932" s="31" t="s">
        <v>57934</v>
      </c>
      <c r="E18932" s="30"/>
      <c r="F18932" s="33">
        <f ca="1">ROUND((G18915+G18916+G18917+G18918+G18919+G18920+G18921+G18922+G18923+G18924+G18925+G18926+G18931)*(1+G2/100),2)</f>
        <v>0</v>
      </c>
      <c r="G18932" s="30"/>
    </row>
    <row r="18933" spans="1:7" ht="21.36" thickBot="1" customHeight="1">
      <c r="A18933" s="34" t="s">
        <v>57935</v>
      </c>
      <c r="B18933" s="35" t="s">
        <v>57936</v>
      </c>
      <c r="C18933" s="35" t="s">
        <v>57937</v>
      </c>
      <c r="D18933" s="36" t="s">
        <v>57938</v>
      </c>
      <c r="E18933" s="37"/>
      <c r="F18933" s="38">
        <f ca="1">F18947</f>
        <v>0</v>
      </c>
      <c r="G18933" s="37"/>
    </row>
    <row r="18934" spans="1:7" ht="95.28" thickBot="1" customHeight="1">
      <c r="A18934" s="26"/>
      <c r="B18934" s="26"/>
      <c r="C18934" s="26"/>
      <c r="D18934" s="25" t="s">
        <v>57939</v>
      </c>
      <c r="E18934" s="25"/>
      <c r="F18934" s="25"/>
      <c r="G18934" s="25"/>
    </row>
    <row r="18935" spans="1:7" ht="30.60" thickBot="1" customHeight="1">
      <c r="A18935" s="24" t="s">
        <v>57940</v>
      </c>
      <c r="B18935" s="24" t="s">
        <v>57941</v>
      </c>
      <c r="C18935" s="24" t="s">
        <v>57942</v>
      </c>
      <c r="D18935" s="25" t="s">
        <v>57943</v>
      </c>
      <c r="E18935" s="28">
        <v>1.00000</v>
      </c>
      <c r="F18935" s="29">
        <f ca="1">ROUND(63.000,3)</f>
        <v>0</v>
      </c>
      <c r="G18935" s="27">
        <f ca="1">ROUND(E18935*F18935,2)</f>
        <v>0</v>
      </c>
    </row>
    <row r="18936" spans="1:7" ht="30.60" thickBot="1" customHeight="1">
      <c r="A18936" s="24" t="s">
        <v>57944</v>
      </c>
      <c r="B18936" s="24" t="s">
        <v>57945</v>
      </c>
      <c r="C18936" s="24" t="s">
        <v>57946</v>
      </c>
      <c r="D18936" s="25" t="s">
        <v>57947</v>
      </c>
      <c r="E18936" s="28">
        <v>0.04000</v>
      </c>
      <c r="F18936" s="29">
        <f ca="1">ROUND(82.110,3)</f>
        <v>0</v>
      </c>
      <c r="G18936" s="27">
        <f ca="1">ROUND(E18936*F18936,2)</f>
        <v>0</v>
      </c>
    </row>
    <row r="18937" spans="1:7" ht="39.84" thickBot="1" customHeight="1">
      <c r="A18937" s="24" t="s">
        <v>57948</v>
      </c>
      <c r="B18937" s="24" t="s">
        <v>57949</v>
      </c>
      <c r="C18937" s="24" t="s">
        <v>57950</v>
      </c>
      <c r="D18937" s="25" t="s">
        <v>57951</v>
      </c>
      <c r="E18937" s="28">
        <v>0.25000</v>
      </c>
      <c r="F18937" s="29">
        <f ca="1">ROUND(8.970,3)</f>
        <v>0</v>
      </c>
      <c r="G18937" s="27">
        <f ca="1">ROUND(E18937*F18937,2)</f>
        <v>0</v>
      </c>
    </row>
    <row r="18938" spans="1:7" ht="30.60" thickBot="1" customHeight="1">
      <c r="A18938" s="24" t="s">
        <v>57952</v>
      </c>
      <c r="B18938" s="24" t="s">
        <v>57953</v>
      </c>
      <c r="C18938" s="24" t="s">
        <v>57954</v>
      </c>
      <c r="D18938" s="25" t="s">
        <v>57955</v>
      </c>
      <c r="E18938" s="28">
        <v>0.25000</v>
      </c>
      <c r="F18938" s="29">
        <f ca="1">ROUND(6.320,3)</f>
        <v>0</v>
      </c>
      <c r="G18938" s="27">
        <f ca="1">ROUND(E18938*F18938,2)</f>
        <v>0</v>
      </c>
    </row>
    <row r="18939" spans="1:7" ht="21.36" thickBot="1" customHeight="1">
      <c r="A18939" s="24" t="s">
        <v>57956</v>
      </c>
      <c r="B18939" s="24" t="s">
        <v>57957</v>
      </c>
      <c r="C18939" s="24" t="s">
        <v>57958</v>
      </c>
      <c r="D18939" s="25" t="s">
        <v>57959</v>
      </c>
      <c r="E18939" s="28">
        <v>0.25000</v>
      </c>
      <c r="F18939" s="29">
        <f ca="1">ROUND(2.000,3)</f>
        <v>0</v>
      </c>
      <c r="G18939" s="27">
        <f ca="1">ROUND(E18939*F18939,2)</f>
        <v>0</v>
      </c>
    </row>
    <row r="18940" spans="1:7" ht="30.60" thickBot="1" customHeight="1">
      <c r="A18940" s="24" t="s">
        <v>57960</v>
      </c>
      <c r="B18940" s="24" t="s">
        <v>57961</v>
      </c>
      <c r="C18940" s="24" t="s">
        <v>57962</v>
      </c>
      <c r="D18940" s="25" t="s">
        <v>57963</v>
      </c>
      <c r="E18940" s="28">
        <v>0.10000</v>
      </c>
      <c r="F18940" s="29">
        <f ca="1">ROUND(4.920,3)</f>
        <v>0</v>
      </c>
      <c r="G18940" s="27">
        <f ca="1">ROUND(E18940*F18940,2)</f>
        <v>0</v>
      </c>
    </row>
    <row r="18941" spans="1:7" ht="21.36" thickBot="1" customHeight="1">
      <c r="A18941" s="24" t="s">
        <v>57964</v>
      </c>
      <c r="B18941" s="24" t="s">
        <v>57965</v>
      </c>
      <c r="C18941" s="24" t="s">
        <v>57966</v>
      </c>
      <c r="D18941" s="25" t="s">
        <v>57967</v>
      </c>
      <c r="E18941" s="28">
        <v>0.20000</v>
      </c>
      <c r="F18941" s="29">
        <f ca="1">F18945</f>
        <v>0</v>
      </c>
      <c r="G18941" s="27">
        <f ca="1">ROUND(E18941*F18941,2)</f>
        <v>0</v>
      </c>
    </row>
    <row r="18942" spans="1:7" ht="24.36" thickBot="1" customHeight="1">
      <c r="A18942" s="24" t="s">
        <v>57968</v>
      </c>
      <c r="B18942" s="24" t="s">
        <v>57969</v>
      </c>
      <c r="C18942" s="24" t="s">
        <v>57970</v>
      </c>
      <c r="D18942" s="25" t="s">
        <v>57971</v>
      </c>
      <c r="E18942" s="28">
        <v>1.00000</v>
      </c>
      <c r="F18942" s="29">
        <f ca="1">ROUND(21.000,3)</f>
        <v>0</v>
      </c>
      <c r="G18942" s="27">
        <f ca="1">ROUND(E18942*F18942,2)</f>
        <v>0</v>
      </c>
    </row>
    <row r="18943" spans="1:7" ht="24.36" thickBot="1" customHeight="1">
      <c r="A18943" s="24" t="s">
        <v>57972</v>
      </c>
      <c r="B18943" s="24" t="s">
        <v>57973</v>
      </c>
      <c r="C18943" s="24" t="s">
        <v>57974</v>
      </c>
      <c r="D18943" s="25" t="s">
        <v>57975</v>
      </c>
      <c r="E18943" s="28">
        <v>1.00000</v>
      </c>
      <c r="F18943" s="29">
        <f ca="1">ROUND(19.000,3)</f>
        <v>0</v>
      </c>
      <c r="G18943" s="27">
        <f ca="1">ROUND(E18943*F18943,2)</f>
        <v>0</v>
      </c>
    </row>
    <row r="18944" spans="1:7" ht="24.36" thickBot="1" customHeight="1">
      <c r="A18944" s="24" t="s">
        <v>57976</v>
      </c>
      <c r="B18944" s="24" t="s">
        <v>57977</v>
      </c>
      <c r="C18944" s="24" t="s">
        <v>57978</v>
      </c>
      <c r="D18944" s="25" t="s">
        <v>57979</v>
      </c>
      <c r="E18944" s="28">
        <v>0.20000</v>
      </c>
      <c r="F18944" s="29">
        <f ca="1">ROUND(19.000,3)</f>
        <v>0</v>
      </c>
      <c r="G18944" s="27">
        <f ca="1">ROUND(E18944*F18944,2)</f>
        <v>0</v>
      </c>
    </row>
    <row r="18945" spans="1:7" ht="15.12" thickBot="1" customHeight="1">
      <c r="A18945" s="26"/>
      <c r="B18945" s="26"/>
      <c r="C18945" s="26"/>
      <c r="D18945" s="24" t="s">
        <v>57980</v>
      </c>
      <c r="E18945" s="28">
        <v>0.20000</v>
      </c>
      <c r="F18945" s="29">
        <f ca="1">ROUND((G18942+G18943+G18944),3)</f>
        <v>0</v>
      </c>
      <c r="G18945" s="27">
        <f ca="1">ROUND(E18945*F18945,2)</f>
        <v>0</v>
      </c>
    </row>
    <row r="18946" spans="1:7" ht="15.12" thickBot="1" customHeight="1">
      <c r="A18946" s="24" t="s">
        <v>57981</v>
      </c>
      <c r="B18946" s="24"/>
      <c r="C18946" s="24" t="s">
        <v>57982</v>
      </c>
      <c r="D18946" s="25" t="s">
        <v>57983</v>
      </c>
      <c r="E18946" s="28">
        <v>3.00000</v>
      </c>
      <c r="F18946" s="29">
        <f ca="1">ROUND(79.850,3)</f>
        <v>0</v>
      </c>
      <c r="G18946" s="27">
        <f ca="1">ROUND((E18946*F18946)/100,2)</f>
        <v>0</v>
      </c>
    </row>
    <row r="18947" spans="1:7" ht="15.48" thickBot="1" customHeight="1">
      <c r="A18947" s="30"/>
      <c r="B18947" s="30"/>
      <c r="C18947" s="30"/>
      <c r="D18947" s="31" t="s">
        <v>57984</v>
      </c>
      <c r="E18947" s="30"/>
      <c r="F18947" s="33">
        <f ca="1">ROUND((G18935+G18936+G18937+G18938+G18939+G18940+G18941+G18946)*(1+G2/100),2)</f>
        <v>0</v>
      </c>
      <c r="G18947" s="30"/>
    </row>
    <row r="18948" spans="1:7" ht="34.68" thickBot="1" customHeight="1">
      <c r="A18948" s="34" t="s">
        <v>57985</v>
      </c>
      <c r="B18948" s="35" t="s">
        <v>57986</v>
      </c>
      <c r="C18948" s="35" t="s">
        <v>57987</v>
      </c>
      <c r="D18948" s="36" t="s">
        <v>57988</v>
      </c>
      <c r="E18948" s="37"/>
      <c r="F18948" s="38">
        <f ca="1">F18956</f>
        <v>0</v>
      </c>
      <c r="G18948" s="37"/>
    </row>
    <row r="18949" spans="1:7" ht="12.12" thickBot="1" customHeight="1">
      <c r="A18949" s="26"/>
      <c r="B18949" s="26"/>
      <c r="C18949" s="26"/>
      <c r="D18949" s="25" t="s">
        <v>57989</v>
      </c>
      <c r="E18949" s="25"/>
      <c r="F18949" s="25"/>
      <c r="G18949" s="25"/>
    </row>
    <row r="18950" spans="1:7" ht="21.36" thickBot="1" customHeight="1">
      <c r="A18950" s="24" t="s">
        <v>57990</v>
      </c>
      <c r="B18950" s="24" t="s">
        <v>57991</v>
      </c>
      <c r="C18950" s="24" t="s">
        <v>57992</v>
      </c>
      <c r="D18950" s="25" t="s">
        <v>57993</v>
      </c>
      <c r="E18950" s="28">
        <v>3.00000</v>
      </c>
      <c r="F18950" s="29">
        <f ca="1">F18954</f>
        <v>0</v>
      </c>
      <c r="G18950" s="27">
        <f ca="1">ROUND(E18950*F18950,2)</f>
        <v>0</v>
      </c>
    </row>
    <row r="18951" spans="1:7" ht="24.36" thickBot="1" customHeight="1">
      <c r="A18951" s="24" t="s">
        <v>57994</v>
      </c>
      <c r="B18951" s="24" t="s">
        <v>57995</v>
      </c>
      <c r="C18951" s="24" t="s">
        <v>57996</v>
      </c>
      <c r="D18951" s="25" t="s">
        <v>57997</v>
      </c>
      <c r="E18951" s="28">
        <v>1.00000</v>
      </c>
      <c r="F18951" s="29">
        <f ca="1">ROUND(21.000,3)</f>
        <v>0</v>
      </c>
      <c r="G18951" s="27">
        <f ca="1">ROUND(E18951*F18951,2)</f>
        <v>0</v>
      </c>
    </row>
    <row r="18952" spans="1:7" ht="24.36" thickBot="1" customHeight="1">
      <c r="A18952" s="24" t="s">
        <v>57998</v>
      </c>
      <c r="B18952" s="24" t="s">
        <v>57999</v>
      </c>
      <c r="C18952" s="24" t="s">
        <v>58000</v>
      </c>
      <c r="D18952" s="25" t="s">
        <v>58001</v>
      </c>
      <c r="E18952" s="28">
        <v>1.00000</v>
      </c>
      <c r="F18952" s="29">
        <f ca="1">ROUND(19.000,3)</f>
        <v>0</v>
      </c>
      <c r="G18952" s="27">
        <f ca="1">ROUND(E18952*F18952,2)</f>
        <v>0</v>
      </c>
    </row>
    <row r="18953" spans="1:7" ht="24.36" thickBot="1" customHeight="1">
      <c r="A18953" s="24" t="s">
        <v>58002</v>
      </c>
      <c r="B18953" s="24" t="s">
        <v>58003</v>
      </c>
      <c r="C18953" s="24" t="s">
        <v>58004</v>
      </c>
      <c r="D18953" s="25" t="s">
        <v>58005</v>
      </c>
      <c r="E18953" s="28">
        <v>0.20000</v>
      </c>
      <c r="F18953" s="29">
        <f ca="1">ROUND(19.000,3)</f>
        <v>0</v>
      </c>
      <c r="G18953" s="27">
        <f ca="1">ROUND(E18953*F18953,2)</f>
        <v>0</v>
      </c>
    </row>
    <row r="18954" spans="1:7" ht="15.12" thickBot="1" customHeight="1">
      <c r="A18954" s="26"/>
      <c r="B18954" s="26"/>
      <c r="C18954" s="26"/>
      <c r="D18954" s="24" t="s">
        <v>58006</v>
      </c>
      <c r="E18954" s="28">
        <v>3.00000</v>
      </c>
      <c r="F18954" s="29">
        <f ca="1">ROUND((G18951+G18952+G18953),3)</f>
        <v>0</v>
      </c>
      <c r="G18954" s="27">
        <f ca="1">ROUND(E18954*F18954,2)</f>
        <v>0</v>
      </c>
    </row>
    <row r="18955" spans="1:7" ht="15.12" thickBot="1" customHeight="1">
      <c r="A18955" s="24" t="s">
        <v>58007</v>
      </c>
      <c r="B18955" s="24"/>
      <c r="C18955" s="24" t="s">
        <v>58008</v>
      </c>
      <c r="D18955" s="25" t="s">
        <v>58009</v>
      </c>
      <c r="E18955" s="28">
        <v>10.00000</v>
      </c>
      <c r="F18955" s="29">
        <f ca="1">ROUND(131.400,3)</f>
        <v>0</v>
      </c>
      <c r="G18955" s="27">
        <f ca="1">ROUND((E18955*F18955)/100,2)</f>
        <v>0</v>
      </c>
    </row>
    <row r="18956" spans="1:7" ht="25.08" thickBot="1" customHeight="1">
      <c r="A18956" s="30"/>
      <c r="B18956" s="30"/>
      <c r="C18956" s="30"/>
      <c r="D18956" s="31" t="s">
        <v>58010</v>
      </c>
      <c r="E18956" s="30"/>
      <c r="F18956" s="33">
        <f ca="1">ROUND((G18950+G18955)*(1+G2/100),2)</f>
        <v>0</v>
      </c>
      <c r="G18956" s="30"/>
    </row>
    <row r="18957" spans="1:7" ht="25.08" thickBot="1" customHeight="1">
      <c r="A18957" s="34" t="s">
        <v>58011</v>
      </c>
      <c r="B18957" s="35" t="s">
        <v>58012</v>
      </c>
      <c r="C18957" s="35" t="s">
        <v>58013</v>
      </c>
      <c r="D18957" s="36" t="s">
        <v>58014</v>
      </c>
      <c r="E18957" s="37"/>
      <c r="F18957" s="38">
        <f ca="1">F18968</f>
        <v>0</v>
      </c>
      <c r="G18957" s="37"/>
    </row>
    <row r="18958" spans="1:7" ht="104.52" thickBot="1" customHeight="1">
      <c r="A18958" s="26"/>
      <c r="B18958" s="26"/>
      <c r="C18958" s="26"/>
      <c r="D18958" s="25" t="s">
        <v>58015</v>
      </c>
      <c r="E18958" s="25"/>
      <c r="F18958" s="25"/>
      <c r="G18958" s="25"/>
    </row>
    <row r="18959" spans="1:7" ht="104.52" thickBot="1" customHeight="1">
      <c r="A18959" s="24" t="s">
        <v>58016</v>
      </c>
      <c r="B18959" s="24" t="s">
        <v>58017</v>
      </c>
      <c r="C18959" s="24" t="s">
        <v>58018</v>
      </c>
      <c r="D18959" s="25" t="s">
        <v>58019</v>
      </c>
      <c r="E18959" s="28">
        <v>1.00000</v>
      </c>
      <c r="F18959" s="29">
        <f ca="1">ROUND(59.540,3)</f>
        <v>0</v>
      </c>
      <c r="G18959" s="27">
        <f ca="1">ROUND(E18959*F18959,2)</f>
        <v>0</v>
      </c>
    </row>
    <row r="18960" spans="1:7" ht="21.36" thickBot="1" customHeight="1">
      <c r="A18960" s="24" t="s">
        <v>58020</v>
      </c>
      <c r="B18960" s="24" t="s">
        <v>58021</v>
      </c>
      <c r="C18960" s="24" t="s">
        <v>58022</v>
      </c>
      <c r="D18960" s="25" t="s">
        <v>58023</v>
      </c>
      <c r="E18960" s="28">
        <v>0.08000</v>
      </c>
      <c r="F18960" s="29">
        <f ca="1">ROUND(6.490,3)</f>
        <v>0</v>
      </c>
      <c r="G18960" s="27">
        <f ca="1">ROUND(E18960*F18960,2)</f>
        <v>0</v>
      </c>
    </row>
    <row r="18961" spans="1:7" ht="21.36" thickBot="1" customHeight="1">
      <c r="A18961" s="24" t="s">
        <v>58024</v>
      </c>
      <c r="B18961" s="24" t="s">
        <v>58025</v>
      </c>
      <c r="C18961" s="24" t="s">
        <v>58026</v>
      </c>
      <c r="D18961" s="25" t="s">
        <v>58027</v>
      </c>
      <c r="E18961" s="28">
        <v>0.20000</v>
      </c>
      <c r="F18961" s="29">
        <f ca="1">ROUND(2.000,3)</f>
        <v>0</v>
      </c>
      <c r="G18961" s="27">
        <f ca="1">ROUND(E18961*F18961,2)</f>
        <v>0</v>
      </c>
    </row>
    <row r="18962" spans="1:7" ht="30.60" thickBot="1" customHeight="1">
      <c r="A18962" s="24" t="s">
        <v>58028</v>
      </c>
      <c r="B18962" s="24" t="s">
        <v>58029</v>
      </c>
      <c r="C18962" s="24" t="s">
        <v>58030</v>
      </c>
      <c r="D18962" s="25" t="s">
        <v>58031</v>
      </c>
      <c r="E18962" s="28">
        <v>0.20000</v>
      </c>
      <c r="F18962" s="29">
        <f ca="1">ROUND(4.920,3)</f>
        <v>0</v>
      </c>
      <c r="G18962" s="27">
        <f ca="1">ROUND(E18962*F18962,2)</f>
        <v>0</v>
      </c>
    </row>
    <row r="18963" spans="1:7" ht="21.36" thickBot="1" customHeight="1">
      <c r="A18963" s="24" t="s">
        <v>58032</v>
      </c>
      <c r="B18963" s="24" t="s">
        <v>58033</v>
      </c>
      <c r="C18963" s="24" t="s">
        <v>58034</v>
      </c>
      <c r="D18963" s="25" t="s">
        <v>58035</v>
      </c>
      <c r="E18963" s="28">
        <v>0.30000</v>
      </c>
      <c r="F18963" s="29">
        <f ca="1">F18966</f>
        <v>0</v>
      </c>
      <c r="G18963" s="27">
        <f ca="1">ROUND(E18963*F18963,2)</f>
        <v>0</v>
      </c>
    </row>
    <row r="18964" spans="1:7" ht="24.36" thickBot="1" customHeight="1">
      <c r="A18964" s="24" t="s">
        <v>58036</v>
      </c>
      <c r="B18964" s="24" t="s">
        <v>58037</v>
      </c>
      <c r="C18964" s="24" t="s">
        <v>58038</v>
      </c>
      <c r="D18964" s="25" t="s">
        <v>58039</v>
      </c>
      <c r="E18964" s="28">
        <v>1.00000</v>
      </c>
      <c r="F18964" s="29">
        <f ca="1">ROUND(21.000,3)</f>
        <v>0</v>
      </c>
      <c r="G18964" s="27">
        <f ca="1">ROUND(E18964*F18964,2)</f>
        <v>0</v>
      </c>
    </row>
    <row r="18965" spans="1:7" ht="24.36" thickBot="1" customHeight="1">
      <c r="A18965" s="24" t="s">
        <v>58040</v>
      </c>
      <c r="B18965" s="24" t="s">
        <v>58041</v>
      </c>
      <c r="C18965" s="24" t="s">
        <v>58042</v>
      </c>
      <c r="D18965" s="25" t="s">
        <v>58043</v>
      </c>
      <c r="E18965" s="28">
        <v>1.00000</v>
      </c>
      <c r="F18965" s="29">
        <f ca="1">ROUND(19.000,3)</f>
        <v>0</v>
      </c>
      <c r="G18965" s="27">
        <f ca="1">ROUND(E18965*F18965,2)</f>
        <v>0</v>
      </c>
    </row>
    <row r="18966" spans="1:7" ht="15.12" thickBot="1" customHeight="1">
      <c r="A18966" s="26"/>
      <c r="B18966" s="26"/>
      <c r="C18966" s="26"/>
      <c r="D18966" s="24" t="s">
        <v>58044</v>
      </c>
      <c r="E18966" s="28">
        <v>0.30000</v>
      </c>
      <c r="F18966" s="29">
        <f ca="1">ROUND((G18964+G18965),3)</f>
        <v>0</v>
      </c>
      <c r="G18966" s="27">
        <f ca="1">ROUND(E18966*F18966,2)</f>
        <v>0</v>
      </c>
    </row>
    <row r="18967" spans="1:7" ht="15.12" thickBot="1" customHeight="1">
      <c r="A18967" s="24" t="s">
        <v>58045</v>
      </c>
      <c r="B18967" s="24"/>
      <c r="C18967" s="24" t="s">
        <v>58046</v>
      </c>
      <c r="D18967" s="25" t="s">
        <v>58047</v>
      </c>
      <c r="E18967" s="28">
        <v>3.00000</v>
      </c>
      <c r="F18967" s="29">
        <f ca="1">ROUND(73.440,3)</f>
        <v>0</v>
      </c>
      <c r="G18967" s="27">
        <f ca="1">ROUND((E18967*F18967)/100,2)</f>
        <v>0</v>
      </c>
    </row>
    <row r="18968" spans="1:7" ht="15.48" thickBot="1" customHeight="1">
      <c r="A18968" s="30"/>
      <c r="B18968" s="30"/>
      <c r="C18968" s="30"/>
      <c r="D18968" s="31" t="s">
        <v>58048</v>
      </c>
      <c r="E18968" s="30"/>
      <c r="F18968" s="33">
        <f ca="1">ROUND((G18959+G18960+G18961+G18962+G18963+G18967)*(1+G2/100),2)</f>
        <v>0</v>
      </c>
      <c r="G18968" s="30"/>
    </row>
    <row r="18969" spans="1:7" ht="39.84" thickBot="1" customHeight="1">
      <c r="A18969" s="34" t="s">
        <v>58049</v>
      </c>
      <c r="B18969" s="35" t="s">
        <v>58050</v>
      </c>
      <c r="C18969" s="35" t="s">
        <v>58051</v>
      </c>
      <c r="D18969" s="36" t="s">
        <v>58052</v>
      </c>
      <c r="E18969" s="37"/>
      <c r="F18969" s="38">
        <f ca="1">F18978</f>
        <v>0</v>
      </c>
      <c r="G18969" s="37"/>
    </row>
    <row r="18970" spans="1:7" ht="21.36" thickBot="1" customHeight="1">
      <c r="A18970" s="26"/>
      <c r="B18970" s="26"/>
      <c r="C18970" s="26"/>
      <c r="D18970" s="25" t="s">
        <v>58053</v>
      </c>
      <c r="E18970" s="25"/>
      <c r="F18970" s="25"/>
      <c r="G18970" s="25"/>
    </row>
    <row r="18971" spans="1:7" ht="24.36" thickBot="1" customHeight="1">
      <c r="A18971" s="24" t="s">
        <v>58054</v>
      </c>
      <c r="B18971" s="24" t="s">
        <v>58055</v>
      </c>
      <c r="C18971" s="24" t="s">
        <v>58056</v>
      </c>
      <c r="D18971" s="25" t="s">
        <v>58057</v>
      </c>
      <c r="E18971" s="28">
        <v>0.10000</v>
      </c>
      <c r="F18971" s="29">
        <f ca="1">ROUND(8.230,3)</f>
        <v>0</v>
      </c>
      <c r="G18971" s="27">
        <f ca="1">ROUND(E18971*F18971,2)</f>
        <v>0</v>
      </c>
    </row>
    <row r="18972" spans="1:7" ht="21.36" thickBot="1" customHeight="1">
      <c r="A18972" s="24" t="s">
        <v>58058</v>
      </c>
      <c r="B18972" s="24" t="s">
        <v>58059</v>
      </c>
      <c r="C18972" s="24" t="s">
        <v>58060</v>
      </c>
      <c r="D18972" s="25" t="s">
        <v>58061</v>
      </c>
      <c r="E18972" s="28">
        <v>0.50000</v>
      </c>
      <c r="F18972" s="29">
        <f ca="1">F18976</f>
        <v>0</v>
      </c>
      <c r="G18972" s="27">
        <f ca="1">ROUND(E18972*F18972,2)</f>
        <v>0</v>
      </c>
    </row>
    <row r="18973" spans="1:7" ht="24.36" thickBot="1" customHeight="1">
      <c r="A18973" s="24" t="s">
        <v>58062</v>
      </c>
      <c r="B18973" s="24" t="s">
        <v>58063</v>
      </c>
      <c r="C18973" s="24" t="s">
        <v>58064</v>
      </c>
      <c r="D18973" s="25" t="s">
        <v>58065</v>
      </c>
      <c r="E18973" s="28">
        <v>1.00000</v>
      </c>
      <c r="F18973" s="29">
        <f ca="1">ROUND(21.000,3)</f>
        <v>0</v>
      </c>
      <c r="G18973" s="27">
        <f ca="1">ROUND(E18973*F18973,2)</f>
        <v>0</v>
      </c>
    </row>
    <row r="18974" spans="1:7" ht="24.36" thickBot="1" customHeight="1">
      <c r="A18974" s="24" t="s">
        <v>58066</v>
      </c>
      <c r="B18974" s="24" t="s">
        <v>58067</v>
      </c>
      <c r="C18974" s="24" t="s">
        <v>58068</v>
      </c>
      <c r="D18974" s="25" t="s">
        <v>58069</v>
      </c>
      <c r="E18974" s="28">
        <v>1.00000</v>
      </c>
      <c r="F18974" s="29">
        <f ca="1">ROUND(19.000,3)</f>
        <v>0</v>
      </c>
      <c r="G18974" s="27">
        <f ca="1">ROUND(E18974*F18974,2)</f>
        <v>0</v>
      </c>
    </row>
    <row r="18975" spans="1:7" ht="24.36" thickBot="1" customHeight="1">
      <c r="A18975" s="24" t="s">
        <v>58070</v>
      </c>
      <c r="B18975" s="24" t="s">
        <v>58071</v>
      </c>
      <c r="C18975" s="24" t="s">
        <v>58072</v>
      </c>
      <c r="D18975" s="25" t="s">
        <v>58073</v>
      </c>
      <c r="E18975" s="28">
        <v>0.20000</v>
      </c>
      <c r="F18975" s="29">
        <f ca="1">ROUND(19.000,3)</f>
        <v>0</v>
      </c>
      <c r="G18975" s="27">
        <f ca="1">ROUND(E18975*F18975,2)</f>
        <v>0</v>
      </c>
    </row>
    <row r="18976" spans="1:7" ht="15.12" thickBot="1" customHeight="1">
      <c r="A18976" s="26"/>
      <c r="B18976" s="26"/>
      <c r="C18976" s="26"/>
      <c r="D18976" s="24" t="s">
        <v>58074</v>
      </c>
      <c r="E18976" s="28">
        <v>0.50000</v>
      </c>
      <c r="F18976" s="29">
        <f ca="1">ROUND((G18973+G18974+G18975),3)</f>
        <v>0</v>
      </c>
      <c r="G18976" s="27">
        <f ca="1">ROUND(E18976*F18976,2)</f>
        <v>0</v>
      </c>
    </row>
    <row r="18977" spans="1:7" ht="15.12" thickBot="1" customHeight="1">
      <c r="A18977" s="24" t="s">
        <v>58075</v>
      </c>
      <c r="B18977" s="24"/>
      <c r="C18977" s="24" t="s">
        <v>58076</v>
      </c>
      <c r="D18977" s="25" t="s">
        <v>58077</v>
      </c>
      <c r="E18977" s="28">
        <v>4.00000</v>
      </c>
      <c r="F18977" s="29">
        <f ca="1">ROUND(21.900,3)</f>
        <v>0</v>
      </c>
      <c r="G18977" s="27">
        <f ca="1">ROUND((E18977*F18977)/100,2)</f>
        <v>0</v>
      </c>
    </row>
    <row r="18978" spans="1:7" ht="25.08" thickBot="1" customHeight="1">
      <c r="A18978" s="30"/>
      <c r="B18978" s="30"/>
      <c r="C18978" s="30"/>
      <c r="D18978" s="31" t="s">
        <v>58078</v>
      </c>
      <c r="E18978" s="30"/>
      <c r="F18978" s="33">
        <f ca="1">ROUND((G18971+G18972+G18977)*(1+G2/100),2)</f>
        <v>0</v>
      </c>
      <c r="G18978" s="30"/>
    </row>
    <row r="18979" spans="1:7" ht="30.60" thickBot="1" customHeight="1">
      <c r="A18979" s="34" t="s">
        <v>58079</v>
      </c>
      <c r="B18979" s="35" t="s">
        <v>58080</v>
      </c>
      <c r="C18979" s="35" t="s">
        <v>58081</v>
      </c>
      <c r="D18979" s="36" t="s">
        <v>58082</v>
      </c>
      <c r="E18979" s="37"/>
      <c r="F18979" s="38">
        <f ca="1">F18989</f>
        <v>0</v>
      </c>
      <c r="G18979" s="37"/>
    </row>
    <row r="18980" spans="1:7" ht="21.36" thickBot="1" customHeight="1">
      <c r="A18980" s="26"/>
      <c r="B18980" s="26"/>
      <c r="C18980" s="26"/>
      <c r="D18980" s="25" t="s">
        <v>58083</v>
      </c>
      <c r="E18980" s="25"/>
      <c r="F18980" s="25"/>
      <c r="G18980" s="25"/>
    </row>
    <row r="18981" spans="1:7" ht="39.84" thickBot="1" customHeight="1">
      <c r="A18981" s="24" t="s">
        <v>58084</v>
      </c>
      <c r="B18981" s="24" t="s">
        <v>58085</v>
      </c>
      <c r="C18981" s="24" t="s">
        <v>58086</v>
      </c>
      <c r="D18981" s="25" t="s">
        <v>58087</v>
      </c>
      <c r="E18981" s="28">
        <v>0.02100</v>
      </c>
      <c r="F18981" s="29">
        <f ca="1">ROUND(9.130,3)</f>
        <v>0</v>
      </c>
      <c r="G18981" s="27">
        <f ca="1">ROUND(E18981*F18981,2)</f>
        <v>0</v>
      </c>
    </row>
    <row r="18982" spans="1:7" ht="24.36" thickBot="1" customHeight="1">
      <c r="A18982" s="24" t="s">
        <v>58088</v>
      </c>
      <c r="B18982" s="24" t="s">
        <v>58089</v>
      </c>
      <c r="C18982" s="24" t="s">
        <v>58090</v>
      </c>
      <c r="D18982" s="25" t="s">
        <v>58091</v>
      </c>
      <c r="E18982" s="28">
        <v>0.66700</v>
      </c>
      <c r="F18982" s="29">
        <f ca="1">ROUND(6.850,3)</f>
        <v>0</v>
      </c>
      <c r="G18982" s="27">
        <f ca="1">ROUND(E18982*F18982,2)</f>
        <v>0</v>
      </c>
    </row>
    <row r="18983" spans="1:7" ht="39.84" thickBot="1" customHeight="1">
      <c r="A18983" s="24" t="s">
        <v>58092</v>
      </c>
      <c r="B18983" s="24" t="s">
        <v>58093</v>
      </c>
      <c r="C18983" s="24" t="s">
        <v>58094</v>
      </c>
      <c r="D18983" s="25" t="s">
        <v>58095</v>
      </c>
      <c r="E18983" s="28">
        <v>0.03500</v>
      </c>
      <c r="F18983" s="29">
        <f ca="1">ROUND(4.290,3)</f>
        <v>0</v>
      </c>
      <c r="G18983" s="27">
        <f ca="1">ROUND(E18983*F18983,2)</f>
        <v>0</v>
      </c>
    </row>
    <row r="18984" spans="1:7" ht="21.36" thickBot="1" customHeight="1">
      <c r="A18984" s="24" t="s">
        <v>58096</v>
      </c>
      <c r="B18984" s="24" t="s">
        <v>58097</v>
      </c>
      <c r="C18984" s="24" t="s">
        <v>58098</v>
      </c>
      <c r="D18984" s="25" t="s">
        <v>58099</v>
      </c>
      <c r="E18984" s="28">
        <v>0.40000</v>
      </c>
      <c r="F18984" s="29">
        <f ca="1">F18987</f>
        <v>0</v>
      </c>
      <c r="G18984" s="27">
        <f ca="1">ROUND(E18984*F18984,2)</f>
        <v>0</v>
      </c>
    </row>
    <row r="18985" spans="1:7" ht="24.36" thickBot="1" customHeight="1">
      <c r="A18985" s="24" t="s">
        <v>58100</v>
      </c>
      <c r="B18985" s="24" t="s">
        <v>58101</v>
      </c>
      <c r="C18985" s="24" t="s">
        <v>58102</v>
      </c>
      <c r="D18985" s="25" t="s">
        <v>58103</v>
      </c>
      <c r="E18985" s="28">
        <v>1.00000</v>
      </c>
      <c r="F18985" s="29">
        <f ca="1">ROUND(21.000,3)</f>
        <v>0</v>
      </c>
      <c r="G18985" s="27">
        <f ca="1">ROUND(E18985*F18985,2)</f>
        <v>0</v>
      </c>
    </row>
    <row r="18986" spans="1:7" ht="24.36" thickBot="1" customHeight="1">
      <c r="A18986" s="24" t="s">
        <v>58104</v>
      </c>
      <c r="B18986" s="24" t="s">
        <v>58105</v>
      </c>
      <c r="C18986" s="24" t="s">
        <v>58106</v>
      </c>
      <c r="D18986" s="25" t="s">
        <v>58107</v>
      </c>
      <c r="E18986" s="28">
        <v>1.00000</v>
      </c>
      <c r="F18986" s="29">
        <f ca="1">ROUND(19.000,3)</f>
        <v>0</v>
      </c>
      <c r="G18986" s="27">
        <f ca="1">ROUND(E18986*F18986,2)</f>
        <v>0</v>
      </c>
    </row>
    <row r="18987" spans="1:7" ht="15.12" thickBot="1" customHeight="1">
      <c r="A18987" s="26"/>
      <c r="B18987" s="26"/>
      <c r="C18987" s="26"/>
      <c r="D18987" s="24" t="s">
        <v>58108</v>
      </c>
      <c r="E18987" s="28">
        <v>0.40000</v>
      </c>
      <c r="F18987" s="29">
        <f ca="1">ROUND((G18985+G18986),3)</f>
        <v>0</v>
      </c>
      <c r="G18987" s="27">
        <f ca="1">ROUND(E18987*F18987,2)</f>
        <v>0</v>
      </c>
    </row>
    <row r="18988" spans="1:7" ht="15.12" thickBot="1" customHeight="1">
      <c r="A18988" s="24" t="s">
        <v>58109</v>
      </c>
      <c r="B18988" s="24"/>
      <c r="C18988" s="24" t="s">
        <v>58110</v>
      </c>
      <c r="D18988" s="25" t="s">
        <v>58111</v>
      </c>
      <c r="E18988" s="28">
        <v>3.00000</v>
      </c>
      <c r="F18988" s="29">
        <f ca="1">ROUND(16.000,3)</f>
        <v>0</v>
      </c>
      <c r="G18988" s="27">
        <f ca="1">ROUND((E18988*F18988)/100,2)</f>
        <v>0</v>
      </c>
    </row>
    <row r="18989" spans="1:7" ht="15.48" thickBot="1" customHeight="1">
      <c r="A18989" s="30"/>
      <c r="B18989" s="30"/>
      <c r="C18989" s="30"/>
      <c r="D18989" s="31" t="s">
        <v>58112</v>
      </c>
      <c r="E18989" s="30"/>
      <c r="F18989" s="33">
        <f ca="1">ROUND((G18981+G18982+G18983+G18984+G18988)*(1+G2/100),2)</f>
        <v>0</v>
      </c>
      <c r="G18989" s="30"/>
    </row>
    <row r="18990" spans="1:7" ht="39.84" thickBot="1" customHeight="1">
      <c r="A18990" s="34" t="s">
        <v>58113</v>
      </c>
      <c r="B18990" s="35" t="s">
        <v>58114</v>
      </c>
      <c r="C18990" s="35" t="s">
        <v>58115</v>
      </c>
      <c r="D18990" s="36" t="s">
        <v>58116</v>
      </c>
      <c r="E18990" s="37"/>
      <c r="F18990" s="38">
        <f ca="1">F19000</f>
        <v>0</v>
      </c>
      <c r="G18990" s="37"/>
    </row>
    <row r="18991" spans="1:7" ht="30.60" thickBot="1" customHeight="1">
      <c r="A18991" s="26"/>
      <c r="B18991" s="26"/>
      <c r="C18991" s="26"/>
      <c r="D18991" s="25" t="s">
        <v>58117</v>
      </c>
      <c r="E18991" s="25"/>
      <c r="F18991" s="25"/>
      <c r="G18991" s="25"/>
    </row>
    <row r="18992" spans="1:7" ht="39.84" thickBot="1" customHeight="1">
      <c r="A18992" s="24" t="s">
        <v>58118</v>
      </c>
      <c r="B18992" s="24" t="s">
        <v>58119</v>
      </c>
      <c r="C18992" s="24" t="s">
        <v>58120</v>
      </c>
      <c r="D18992" s="25" t="s">
        <v>58121</v>
      </c>
      <c r="E18992" s="28">
        <v>0.30000</v>
      </c>
      <c r="F18992" s="29">
        <f ca="1">ROUND(1.750,3)</f>
        <v>0</v>
      </c>
      <c r="G18992" s="27">
        <f ca="1">ROUND(E18992*F18992,2)</f>
        <v>0</v>
      </c>
    </row>
    <row r="18993" spans="1:7" ht="21.36" thickBot="1" customHeight="1">
      <c r="A18993" s="24" t="s">
        <v>58122</v>
      </c>
      <c r="B18993" s="24" t="s">
        <v>58123</v>
      </c>
      <c r="C18993" s="24" t="s">
        <v>58124</v>
      </c>
      <c r="D18993" s="25" t="s">
        <v>58125</v>
      </c>
      <c r="E18993" s="28">
        <v>0.20000</v>
      </c>
      <c r="F18993" s="29">
        <f ca="1">ROUND(0.970,3)</f>
        <v>0</v>
      </c>
      <c r="G18993" s="27">
        <f ca="1">ROUND(E18993*F18993,2)</f>
        <v>0</v>
      </c>
    </row>
    <row r="18994" spans="1:7" ht="24.36" thickBot="1" customHeight="1">
      <c r="A18994" s="24" t="s">
        <v>58126</v>
      </c>
      <c r="B18994" s="24" t="s">
        <v>58127</v>
      </c>
      <c r="C18994" s="24" t="s">
        <v>58128</v>
      </c>
      <c r="D18994" s="25" t="s">
        <v>58129</v>
      </c>
      <c r="E18994" s="28">
        <v>0.10000</v>
      </c>
      <c r="F18994" s="29">
        <f ca="1">ROUND(8.230,3)</f>
        <v>0</v>
      </c>
      <c r="G18994" s="27">
        <f ca="1">ROUND(E18994*F18994,2)</f>
        <v>0</v>
      </c>
    </row>
    <row r="18995" spans="1:7" ht="21.36" thickBot="1" customHeight="1">
      <c r="A18995" s="24" t="s">
        <v>58130</v>
      </c>
      <c r="B18995" s="24" t="s">
        <v>58131</v>
      </c>
      <c r="C18995" s="24" t="s">
        <v>58132</v>
      </c>
      <c r="D18995" s="25" t="s">
        <v>58133</v>
      </c>
      <c r="E18995" s="28">
        <v>0.48000</v>
      </c>
      <c r="F18995" s="29">
        <f ca="1">F18998</f>
        <v>0</v>
      </c>
      <c r="G18995" s="27">
        <f ca="1">ROUND(E18995*F18995,2)</f>
        <v>0</v>
      </c>
    </row>
    <row r="18996" spans="1:7" ht="24.36" thickBot="1" customHeight="1">
      <c r="A18996" s="24" t="s">
        <v>58134</v>
      </c>
      <c r="B18996" s="24" t="s">
        <v>58135</v>
      </c>
      <c r="C18996" s="24" t="s">
        <v>58136</v>
      </c>
      <c r="D18996" s="25" t="s">
        <v>58137</v>
      </c>
      <c r="E18996" s="28">
        <v>1.00000</v>
      </c>
      <c r="F18996" s="29">
        <f ca="1">ROUND(21.000,3)</f>
        <v>0</v>
      </c>
      <c r="G18996" s="27">
        <f ca="1">ROUND(E18996*F18996,2)</f>
        <v>0</v>
      </c>
    </row>
    <row r="18997" spans="1:7" ht="24.36" thickBot="1" customHeight="1">
      <c r="A18997" s="24" t="s">
        <v>58138</v>
      </c>
      <c r="B18997" s="24" t="s">
        <v>58139</v>
      </c>
      <c r="C18997" s="24" t="s">
        <v>58140</v>
      </c>
      <c r="D18997" s="25" t="s">
        <v>58141</v>
      </c>
      <c r="E18997" s="28">
        <v>1.00000</v>
      </c>
      <c r="F18997" s="29">
        <f ca="1">ROUND(19.000,3)</f>
        <v>0</v>
      </c>
      <c r="G18997" s="27">
        <f ca="1">ROUND(E18997*F18997,2)</f>
        <v>0</v>
      </c>
    </row>
    <row r="18998" spans="1:7" ht="15.12" thickBot="1" customHeight="1">
      <c r="A18998" s="26"/>
      <c r="B18998" s="26"/>
      <c r="C18998" s="26"/>
      <c r="D18998" s="24" t="s">
        <v>58142</v>
      </c>
      <c r="E18998" s="28">
        <v>0.48000</v>
      </c>
      <c r="F18998" s="29">
        <f ca="1">ROUND((G18996+G18997),3)</f>
        <v>0</v>
      </c>
      <c r="G18998" s="27">
        <f ca="1">ROUND(E18998*F18998,2)</f>
        <v>0</v>
      </c>
    </row>
    <row r="18999" spans="1:7" ht="15.12" thickBot="1" customHeight="1">
      <c r="A18999" s="24" t="s">
        <v>58143</v>
      </c>
      <c r="B18999" s="24"/>
      <c r="C18999" s="24" t="s">
        <v>58144</v>
      </c>
      <c r="D18999" s="25" t="s">
        <v>58145</v>
      </c>
      <c r="E18999" s="28">
        <v>3.00000</v>
      </c>
      <c r="F18999" s="29">
        <f ca="1">ROUND(19.200,3)</f>
        <v>0</v>
      </c>
      <c r="G18999" s="27">
        <f ca="1">ROUND((E18999*F18999)/100,2)</f>
        <v>0</v>
      </c>
    </row>
    <row r="19000" spans="1:7" ht="15.48" thickBot="1" customHeight="1">
      <c r="A19000" s="30"/>
      <c r="B19000" s="30"/>
      <c r="C19000" s="30"/>
      <c r="D19000" s="31" t="s">
        <v>58146</v>
      </c>
      <c r="E19000" s="30"/>
      <c r="F19000" s="33">
        <f ca="1">ROUND((G18992+G18993+G18994+G18995+G18999)*(1+G2/100),2)</f>
        <v>0</v>
      </c>
      <c r="G19000" s="30"/>
    </row>
    <row r="19001" spans="1:7" ht="30.60" thickBot="1" customHeight="1">
      <c r="A19001" s="34" t="s">
        <v>58147</v>
      </c>
      <c r="B19001" s="35" t="s">
        <v>58148</v>
      </c>
      <c r="C19001" s="35" t="s">
        <v>58149</v>
      </c>
      <c r="D19001" s="36" t="s">
        <v>58150</v>
      </c>
      <c r="E19001" s="37"/>
      <c r="F19001" s="38">
        <f ca="1">F19008</f>
        <v>0</v>
      </c>
      <c r="G19001" s="37"/>
    </row>
    <row r="19002" spans="1:7" ht="67.56" thickBot="1" customHeight="1">
      <c r="A19002" s="26"/>
      <c r="B19002" s="26"/>
      <c r="C19002" s="26"/>
      <c r="D19002" s="25" t="s">
        <v>58151</v>
      </c>
      <c r="E19002" s="25"/>
      <c r="F19002" s="25"/>
      <c r="G19002" s="25"/>
    </row>
    <row r="19003" spans="1:7" ht="30.60" thickBot="1" customHeight="1">
      <c r="A19003" s="24" t="s">
        <v>58152</v>
      </c>
      <c r="B19003" s="24" t="s">
        <v>58153</v>
      </c>
      <c r="C19003" s="24" t="s">
        <v>58154</v>
      </c>
      <c r="D19003" s="25" t="s">
        <v>58155</v>
      </c>
      <c r="E19003" s="28">
        <v>0.00500</v>
      </c>
      <c r="F19003" s="29">
        <f ca="1">ROUND(11.740,3)</f>
        <v>0</v>
      </c>
      <c r="G19003" s="27">
        <f ca="1">ROUND(E19003*F19003,2)</f>
        <v>0</v>
      </c>
    </row>
    <row r="19004" spans="1:7" ht="24.36" thickBot="1" customHeight="1">
      <c r="A19004" s="24" t="s">
        <v>58156</v>
      </c>
      <c r="B19004" s="24" t="s">
        <v>58157</v>
      </c>
      <c r="C19004" s="24" t="s">
        <v>58158</v>
      </c>
      <c r="D19004" s="25" t="s">
        <v>58159</v>
      </c>
      <c r="E19004" s="28">
        <v>0.05000</v>
      </c>
      <c r="F19004" s="29">
        <f ca="1">F19007</f>
        <v>0</v>
      </c>
      <c r="G19004" s="27">
        <f ca="1">ROUND(E19004*F19004,2)</f>
        <v>0</v>
      </c>
    </row>
    <row r="19005" spans="1:7" ht="24.36" thickBot="1" customHeight="1">
      <c r="A19005" s="24" t="s">
        <v>58160</v>
      </c>
      <c r="B19005" s="24" t="s">
        <v>58161</v>
      </c>
      <c r="C19005" s="24" t="s">
        <v>58162</v>
      </c>
      <c r="D19005" s="25" t="s">
        <v>58163</v>
      </c>
      <c r="E19005" s="28">
        <v>1.00000</v>
      </c>
      <c r="F19005" s="29">
        <f ca="1">ROUND(21.000,3)</f>
        <v>0</v>
      </c>
      <c r="G19005" s="27">
        <f ca="1">ROUND(E19005*F19005,2)</f>
        <v>0</v>
      </c>
    </row>
    <row r="19006" spans="1:7" ht="24.36" thickBot="1" customHeight="1">
      <c r="A19006" s="24" t="s">
        <v>58164</v>
      </c>
      <c r="B19006" s="24" t="s">
        <v>58165</v>
      </c>
      <c r="C19006" s="24" t="s">
        <v>58166</v>
      </c>
      <c r="D19006" s="25" t="s">
        <v>58167</v>
      </c>
      <c r="E19006" s="28">
        <v>1.00000</v>
      </c>
      <c r="F19006" s="29">
        <f ca="1">ROUND(19.000,3)</f>
        <v>0</v>
      </c>
      <c r="G19006" s="27">
        <f ca="1">ROUND(E19006*F19006,2)</f>
        <v>0</v>
      </c>
    </row>
    <row r="19007" spans="1:7" ht="15.12" thickBot="1" customHeight="1">
      <c r="A19007" s="26"/>
      <c r="B19007" s="26"/>
      <c r="C19007" s="26"/>
      <c r="D19007" s="24" t="s">
        <v>58168</v>
      </c>
      <c r="E19007" s="28">
        <v>0.05000</v>
      </c>
      <c r="F19007" s="29">
        <f ca="1">ROUND((G19005+G19006),3)</f>
        <v>0</v>
      </c>
      <c r="G19007" s="27">
        <f ca="1">ROUND(E19007*F19007,2)</f>
        <v>0</v>
      </c>
    </row>
    <row r="19008" spans="1:7" ht="15.48" thickBot="1" customHeight="1">
      <c r="A19008" s="30"/>
      <c r="B19008" s="30"/>
      <c r="C19008" s="30"/>
      <c r="D19008" s="31" t="s">
        <v>58169</v>
      </c>
      <c r="E19008" s="30"/>
      <c r="F19008" s="33">
        <f ca="1">ROUND((G19003+G19004)*(1+G2/100),2)</f>
        <v>0</v>
      </c>
      <c r="G19008" s="30"/>
    </row>
    <row r="19009" spans="1:7" ht="30.60" thickBot="1" customHeight="1">
      <c r="A19009" s="34" t="s">
        <v>58170</v>
      </c>
      <c r="B19009" s="35" t="s">
        <v>58171</v>
      </c>
      <c r="C19009" s="35" t="s">
        <v>58172</v>
      </c>
      <c r="D19009" s="36" t="s">
        <v>58173</v>
      </c>
      <c r="E19009" s="37"/>
      <c r="F19009" s="38">
        <f ca="1">F19032</f>
        <v>0</v>
      </c>
      <c r="G19009" s="37"/>
    </row>
    <row r="19010" spans="1:7" ht="12.12" thickBot="1" customHeight="1">
      <c r="A19010" s="26"/>
      <c r="B19010" s="26"/>
      <c r="C19010" s="26"/>
      <c r="D19010" s="25" t="s">
        <v>58174</v>
      </c>
      <c r="E19010" s="25"/>
      <c r="F19010" s="25"/>
      <c r="G19010" s="25"/>
    </row>
    <row r="19011" spans="1:7" ht="21.36" thickBot="1" customHeight="1">
      <c r="A19011" s="24" t="s">
        <v>58175</v>
      </c>
      <c r="B19011" s="24" t="s">
        <v>58176</v>
      </c>
      <c r="C19011" s="24" t="s">
        <v>58177</v>
      </c>
      <c r="D19011" s="25" t="s">
        <v>58178</v>
      </c>
      <c r="E19011" s="28">
        <v>2.00000</v>
      </c>
      <c r="F19011" s="29">
        <f ca="1">ROUND(4.120,3)</f>
        <v>0</v>
      </c>
      <c r="G19011" s="27">
        <f ca="1">ROUND(E19011*F19011,2)</f>
        <v>0</v>
      </c>
    </row>
    <row r="19012" spans="1:7" ht="30.60" thickBot="1" customHeight="1">
      <c r="A19012" s="24" t="s">
        <v>58179</v>
      </c>
      <c r="B19012" s="24" t="s">
        <v>58180</v>
      </c>
      <c r="C19012" s="24" t="s">
        <v>58181</v>
      </c>
      <c r="D19012" s="25" t="s">
        <v>58182</v>
      </c>
      <c r="E19012" s="28">
        <v>6.00000</v>
      </c>
      <c r="F19012" s="29">
        <f ca="1">ROUND(5.560,3)</f>
        <v>0</v>
      </c>
      <c r="G19012" s="27">
        <f ca="1">ROUND(E19012*F19012,2)</f>
        <v>0</v>
      </c>
    </row>
    <row r="19013" spans="1:7" ht="30.60" thickBot="1" customHeight="1">
      <c r="A19013" s="24" t="s">
        <v>58183</v>
      </c>
      <c r="B19013" s="24" t="s">
        <v>58184</v>
      </c>
      <c r="C19013" s="24" t="s">
        <v>58185</v>
      </c>
      <c r="D19013" s="25" t="s">
        <v>58186</v>
      </c>
      <c r="E19013" s="28">
        <v>0.40000</v>
      </c>
      <c r="F19013" s="29">
        <f ca="1">ROUND(6.140,3)</f>
        <v>0</v>
      </c>
      <c r="G19013" s="27">
        <f ca="1">ROUND(E19013*F19013,2)</f>
        <v>0</v>
      </c>
    </row>
    <row r="19014" spans="1:7" ht="39.84" thickBot="1" customHeight="1">
      <c r="A19014" s="24" t="s">
        <v>58187</v>
      </c>
      <c r="B19014" s="24" t="s">
        <v>58188</v>
      </c>
      <c r="C19014" s="24" t="s">
        <v>58189</v>
      </c>
      <c r="D19014" s="25" t="s">
        <v>58190</v>
      </c>
      <c r="E19014" s="28">
        <v>1.00000</v>
      </c>
      <c r="F19014" s="29">
        <f ca="1">ROUND(11.380,3)</f>
        <v>0</v>
      </c>
      <c r="G19014" s="27">
        <f ca="1">ROUND(E19014*F19014,2)</f>
        <v>0</v>
      </c>
    </row>
    <row r="19015" spans="1:7" ht="30.60" thickBot="1" customHeight="1">
      <c r="A19015" s="24" t="s">
        <v>58191</v>
      </c>
      <c r="B19015" s="24" t="s">
        <v>58192</v>
      </c>
      <c r="C19015" s="24" t="s">
        <v>58193</v>
      </c>
      <c r="D19015" s="25" t="s">
        <v>58194</v>
      </c>
      <c r="E19015" s="28">
        <v>1.25000</v>
      </c>
      <c r="F19015" s="29">
        <f ca="1">ROUND(12.310,3)</f>
        <v>0</v>
      </c>
      <c r="G19015" s="27">
        <f ca="1">ROUND(E19015*F19015,2)</f>
        <v>0</v>
      </c>
    </row>
    <row r="19016" spans="1:7" ht="30.60" thickBot="1" customHeight="1">
      <c r="A19016" s="24" t="s">
        <v>58195</v>
      </c>
      <c r="B19016" s="24" t="s">
        <v>58196</v>
      </c>
      <c r="C19016" s="24" t="s">
        <v>58197</v>
      </c>
      <c r="D19016" s="25" t="s">
        <v>58198</v>
      </c>
      <c r="E19016" s="28">
        <v>5.00000</v>
      </c>
      <c r="F19016" s="29">
        <f ca="1">ROUND(16.440,3)</f>
        <v>0</v>
      </c>
      <c r="G19016" s="27">
        <f ca="1">ROUND(E19016*F19016,2)</f>
        <v>0</v>
      </c>
    </row>
    <row r="19017" spans="1:7" ht="21.36" thickBot="1" customHeight="1">
      <c r="A19017" s="24" t="s">
        <v>58199</v>
      </c>
      <c r="B19017" s="24" t="s">
        <v>58200</v>
      </c>
      <c r="C19017" s="24" t="s">
        <v>58201</v>
      </c>
      <c r="D19017" s="25" t="s">
        <v>58202</v>
      </c>
      <c r="E19017" s="28">
        <v>0.44000</v>
      </c>
      <c r="F19017" s="29">
        <f ca="1">ROUND(6.490,3)</f>
        <v>0</v>
      </c>
      <c r="G19017" s="27">
        <f ca="1">ROUND(E19017*F19017,2)</f>
        <v>0</v>
      </c>
    </row>
    <row r="19018" spans="1:7" ht="30.60" thickBot="1" customHeight="1">
      <c r="A19018" s="24" t="s">
        <v>58203</v>
      </c>
      <c r="B19018" s="24" t="s">
        <v>58204</v>
      </c>
      <c r="C19018" s="24" t="s">
        <v>58205</v>
      </c>
      <c r="D19018" s="25" t="s">
        <v>58206</v>
      </c>
      <c r="E19018" s="28">
        <v>2.00000</v>
      </c>
      <c r="F19018" s="29">
        <f ca="1">ROUND(95.000,3)</f>
        <v>0</v>
      </c>
      <c r="G19018" s="27">
        <f ca="1">ROUND(E19018*F19018,2)</f>
        <v>0</v>
      </c>
    </row>
    <row r="19019" spans="1:7" ht="39.84" thickBot="1" customHeight="1">
      <c r="A19019" s="24" t="s">
        <v>58207</v>
      </c>
      <c r="B19019" s="24" t="s">
        <v>58208</v>
      </c>
      <c r="C19019" s="24" t="s">
        <v>58209</v>
      </c>
      <c r="D19019" s="25" t="s">
        <v>58210</v>
      </c>
      <c r="E19019" s="28">
        <v>3.00000</v>
      </c>
      <c r="F19019" s="29">
        <f ca="1">ROUND(11.920,3)</f>
        <v>0</v>
      </c>
      <c r="G19019" s="27">
        <f ca="1">ROUND(E19019*F19019,2)</f>
        <v>0</v>
      </c>
    </row>
    <row r="19020" spans="1:7" ht="30.60" thickBot="1" customHeight="1">
      <c r="A19020" s="24" t="s">
        <v>58211</v>
      </c>
      <c r="B19020" s="24" t="s">
        <v>58212</v>
      </c>
      <c r="C19020" s="24" t="s">
        <v>58213</v>
      </c>
      <c r="D19020" s="25" t="s">
        <v>58214</v>
      </c>
      <c r="E19020" s="28">
        <v>1.00000</v>
      </c>
      <c r="F19020" s="29">
        <f ca="1">ROUND(3.700,3)</f>
        <v>0</v>
      </c>
      <c r="G19020" s="27">
        <f ca="1">ROUND(E19020*F19020,2)</f>
        <v>0</v>
      </c>
    </row>
    <row r="19021" spans="1:7" ht="30.60" thickBot="1" customHeight="1">
      <c r="A19021" s="24" t="s">
        <v>58215</v>
      </c>
      <c r="B19021" s="24" t="s">
        <v>58216</v>
      </c>
      <c r="C19021" s="24" t="s">
        <v>58217</v>
      </c>
      <c r="D19021" s="25" t="s">
        <v>58218</v>
      </c>
      <c r="E19021" s="28">
        <v>1.00000</v>
      </c>
      <c r="F19021" s="29">
        <f ca="1">ROUND(4.920,3)</f>
        <v>0</v>
      </c>
      <c r="G19021" s="27">
        <f ca="1">ROUND(E19021*F19021,2)</f>
        <v>0</v>
      </c>
    </row>
    <row r="19022" spans="1:7" ht="30.60" thickBot="1" customHeight="1">
      <c r="A19022" s="24" t="s">
        <v>58219</v>
      </c>
      <c r="B19022" s="24" t="s">
        <v>58220</v>
      </c>
      <c r="C19022" s="24" t="s">
        <v>58221</v>
      </c>
      <c r="D19022" s="25" t="s">
        <v>58222</v>
      </c>
      <c r="E19022" s="28">
        <v>0.10000</v>
      </c>
      <c r="F19022" s="29">
        <f ca="1">ROUND(64.190,3)</f>
        <v>0</v>
      </c>
      <c r="G19022" s="27">
        <f ca="1">ROUND(E19022*F19022,2)</f>
        <v>0</v>
      </c>
    </row>
    <row r="19023" spans="1:7" ht="21.36" thickBot="1" customHeight="1">
      <c r="A19023" s="24" t="s">
        <v>58223</v>
      </c>
      <c r="B19023" s="24" t="s">
        <v>58224</v>
      </c>
      <c r="C19023" s="24" t="s">
        <v>58225</v>
      </c>
      <c r="D19023" s="25" t="s">
        <v>58226</v>
      </c>
      <c r="E19023" s="28">
        <v>2.00000</v>
      </c>
      <c r="F19023" s="29">
        <f ca="1">ROUND(0.970,3)</f>
        <v>0</v>
      </c>
      <c r="G19023" s="27">
        <f ca="1">ROUND(E19023*F19023,2)</f>
        <v>0</v>
      </c>
    </row>
    <row r="19024" spans="1:7" ht="39.84" thickBot="1" customHeight="1">
      <c r="A19024" s="24" t="s">
        <v>58227</v>
      </c>
      <c r="B19024" s="24" t="s">
        <v>58228</v>
      </c>
      <c r="C19024" s="24" t="s">
        <v>58229</v>
      </c>
      <c r="D19024" s="25" t="s">
        <v>58230</v>
      </c>
      <c r="E19024" s="28">
        <v>2.00000</v>
      </c>
      <c r="F19024" s="29">
        <f ca="1">ROUND(1.750,3)</f>
        <v>0</v>
      </c>
      <c r="G19024" s="27">
        <f ca="1">ROUND(E19024*F19024,2)</f>
        <v>0</v>
      </c>
    </row>
    <row r="19025" spans="1:7" ht="21.36" thickBot="1" customHeight="1">
      <c r="A19025" s="24" t="s">
        <v>58231</v>
      </c>
      <c r="B19025" s="24" t="s">
        <v>58232</v>
      </c>
      <c r="C19025" s="24" t="s">
        <v>58233</v>
      </c>
      <c r="D19025" s="25" t="s">
        <v>58234</v>
      </c>
      <c r="E19025" s="28">
        <v>2.00000</v>
      </c>
      <c r="F19025" s="29">
        <f ca="1">ROUND(2.000,3)</f>
        <v>0</v>
      </c>
      <c r="G19025" s="27">
        <f ca="1">ROUND(E19025*F19025,2)</f>
        <v>0</v>
      </c>
    </row>
    <row r="19026" spans="1:7" ht="21.36" thickBot="1" customHeight="1">
      <c r="A19026" s="24" t="s">
        <v>58235</v>
      </c>
      <c r="B19026" s="24" t="s">
        <v>58236</v>
      </c>
      <c r="C19026" s="24" t="s">
        <v>58237</v>
      </c>
      <c r="D19026" s="25" t="s">
        <v>58238</v>
      </c>
      <c r="E19026" s="28">
        <v>8.00000</v>
      </c>
      <c r="F19026" s="29">
        <f ca="1">F19030</f>
        <v>0</v>
      </c>
      <c r="G19026" s="27">
        <f ca="1">ROUND(E19026*F19026,2)</f>
        <v>0</v>
      </c>
    </row>
    <row r="19027" spans="1:7" ht="24.36" thickBot="1" customHeight="1">
      <c r="A19027" s="24" t="s">
        <v>58239</v>
      </c>
      <c r="B19027" s="24" t="s">
        <v>58240</v>
      </c>
      <c r="C19027" s="24" t="s">
        <v>58241</v>
      </c>
      <c r="D19027" s="25" t="s">
        <v>58242</v>
      </c>
      <c r="E19027" s="28">
        <v>1.00000</v>
      </c>
      <c r="F19027" s="29">
        <f ca="1">ROUND(21.000,3)</f>
        <v>0</v>
      </c>
      <c r="G19027" s="27">
        <f ca="1">ROUND(E19027*F19027,2)</f>
        <v>0</v>
      </c>
    </row>
    <row r="19028" spans="1:7" ht="24.36" thickBot="1" customHeight="1">
      <c r="A19028" s="24" t="s">
        <v>58243</v>
      </c>
      <c r="B19028" s="24" t="s">
        <v>58244</v>
      </c>
      <c r="C19028" s="24" t="s">
        <v>58245</v>
      </c>
      <c r="D19028" s="25" t="s">
        <v>58246</v>
      </c>
      <c r="E19028" s="28">
        <v>1.00000</v>
      </c>
      <c r="F19028" s="29">
        <f ca="1">ROUND(19.000,3)</f>
        <v>0</v>
      </c>
      <c r="G19028" s="27">
        <f ca="1">ROUND(E19028*F19028,2)</f>
        <v>0</v>
      </c>
    </row>
    <row r="19029" spans="1:7" ht="24.36" thickBot="1" customHeight="1">
      <c r="A19029" s="24" t="s">
        <v>58247</v>
      </c>
      <c r="B19029" s="24" t="s">
        <v>58248</v>
      </c>
      <c r="C19029" s="24" t="s">
        <v>58249</v>
      </c>
      <c r="D19029" s="25" t="s">
        <v>58250</v>
      </c>
      <c r="E19029" s="28">
        <v>0.20000</v>
      </c>
      <c r="F19029" s="29">
        <f ca="1">ROUND(19.000,3)</f>
        <v>0</v>
      </c>
      <c r="G19029" s="27">
        <f ca="1">ROUND(E19029*F19029,2)</f>
        <v>0</v>
      </c>
    </row>
    <row r="19030" spans="1:7" ht="15.12" thickBot="1" customHeight="1">
      <c r="A19030" s="26"/>
      <c r="B19030" s="26"/>
      <c r="C19030" s="26"/>
      <c r="D19030" s="24" t="s">
        <v>58251</v>
      </c>
      <c r="E19030" s="28">
        <v>8.00000</v>
      </c>
      <c r="F19030" s="29">
        <f ca="1">ROUND((G19027+G19028+G19029),3)</f>
        <v>0</v>
      </c>
      <c r="G19030" s="27">
        <f ca="1">ROUND(E19030*F19030,2)</f>
        <v>0</v>
      </c>
    </row>
    <row r="19031" spans="1:7" ht="15.12" thickBot="1" customHeight="1">
      <c r="A19031" s="24" t="s">
        <v>58252</v>
      </c>
      <c r="B19031" s="24"/>
      <c r="C19031" s="24" t="s">
        <v>58253</v>
      </c>
      <c r="D19031" s="25" t="s">
        <v>58254</v>
      </c>
      <c r="E19031" s="28">
        <v>10.00000</v>
      </c>
      <c r="F19031" s="29">
        <f ca="1">ROUND(350.400,3)</f>
        <v>0</v>
      </c>
      <c r="G19031" s="27">
        <f ca="1">ROUND((E19031*F19031)/100,2)</f>
        <v>0</v>
      </c>
    </row>
    <row r="19032" spans="1:7" ht="15.48" thickBot="1" customHeight="1">
      <c r="A19032" s="30"/>
      <c r="B19032" s="30"/>
      <c r="C19032" s="30"/>
      <c r="D19032" s="31" t="s">
        <v>58255</v>
      </c>
      <c r="E19032" s="30"/>
      <c r="F19032" s="33">
        <f ca="1">ROUND((G19011+G19012+G19013+G19014+G19015+G19016+G19017+G19018+G19019+G19020+G19021+G19022+G19023+G19024+G19025+G19026+G19031)*(1+G2/100),2)</f>
        <v>0</v>
      </c>
      <c r="G19032" s="30"/>
    </row>
    <row r="19033" spans="1:7" ht="30.60" thickBot="1" customHeight="1">
      <c r="A19033" s="34" t="s">
        <v>58256</v>
      </c>
      <c r="B19033" s="35" t="s">
        <v>58257</v>
      </c>
      <c r="C19033" s="35" t="s">
        <v>58258</v>
      </c>
      <c r="D19033" s="36" t="s">
        <v>58259</v>
      </c>
      <c r="E19033" s="37"/>
      <c r="F19033" s="38">
        <f ca="1">F19041</f>
        <v>0</v>
      </c>
      <c r="G19033" s="37"/>
    </row>
    <row r="19034" spans="1:7" ht="12.12" thickBot="1" customHeight="1">
      <c r="A19034" s="26"/>
      <c r="B19034" s="26"/>
      <c r="C19034" s="26"/>
      <c r="D19034" s="25" t="s">
        <v>58260</v>
      </c>
      <c r="E19034" s="25"/>
      <c r="F19034" s="25"/>
      <c r="G19034" s="25"/>
    </row>
    <row r="19035" spans="1:7" ht="39.84" thickBot="1" customHeight="1">
      <c r="A19035" s="24" t="s">
        <v>58261</v>
      </c>
      <c r="B19035" s="24" t="s">
        <v>58262</v>
      </c>
      <c r="C19035" s="24" t="s">
        <v>58263</v>
      </c>
      <c r="D19035" s="25" t="s">
        <v>58264</v>
      </c>
      <c r="E19035" s="28">
        <v>1.00000</v>
      </c>
      <c r="F19035" s="29">
        <f ca="1">ROUND(23.560,3)</f>
        <v>0</v>
      </c>
      <c r="G19035" s="27">
        <f ca="1">ROUND(E19035*F19035,2)</f>
        <v>0</v>
      </c>
    </row>
    <row r="19036" spans="1:7" ht="21.36" thickBot="1" customHeight="1">
      <c r="A19036" s="24" t="s">
        <v>58265</v>
      </c>
      <c r="B19036" s="24" t="s">
        <v>58266</v>
      </c>
      <c r="C19036" s="24" t="s">
        <v>58267</v>
      </c>
      <c r="D19036" s="25" t="s">
        <v>58268</v>
      </c>
      <c r="E19036" s="28">
        <v>1.00000</v>
      </c>
      <c r="F19036" s="29">
        <f ca="1">F19039</f>
        <v>0</v>
      </c>
      <c r="G19036" s="27">
        <f ca="1">ROUND(E19036*F19036,2)</f>
        <v>0</v>
      </c>
    </row>
    <row r="19037" spans="1:7" ht="24.36" thickBot="1" customHeight="1">
      <c r="A19037" s="24" t="s">
        <v>58269</v>
      </c>
      <c r="B19037" s="24" t="s">
        <v>58270</v>
      </c>
      <c r="C19037" s="24" t="s">
        <v>58271</v>
      </c>
      <c r="D19037" s="25" t="s">
        <v>58272</v>
      </c>
      <c r="E19037" s="28">
        <v>1.00000</v>
      </c>
      <c r="F19037" s="29">
        <f ca="1">ROUND(21.000,3)</f>
        <v>0</v>
      </c>
      <c r="G19037" s="27">
        <f ca="1">ROUND(E19037*F19037,2)</f>
        <v>0</v>
      </c>
    </row>
    <row r="19038" spans="1:7" ht="24.36" thickBot="1" customHeight="1">
      <c r="A19038" s="24" t="s">
        <v>58273</v>
      </c>
      <c r="B19038" s="24" t="s">
        <v>58274</v>
      </c>
      <c r="C19038" s="24" t="s">
        <v>58275</v>
      </c>
      <c r="D19038" s="25" t="s">
        <v>58276</v>
      </c>
      <c r="E19038" s="28">
        <v>1.00000</v>
      </c>
      <c r="F19038" s="29">
        <f ca="1">ROUND(19.000,3)</f>
        <v>0</v>
      </c>
      <c r="G19038" s="27">
        <f ca="1">ROUND(E19038*F19038,2)</f>
        <v>0</v>
      </c>
    </row>
    <row r="19039" spans="1:7" ht="15.12" thickBot="1" customHeight="1">
      <c r="A19039" s="26"/>
      <c r="B19039" s="26"/>
      <c r="C19039" s="26"/>
      <c r="D19039" s="24" t="s">
        <v>58277</v>
      </c>
      <c r="E19039" s="28">
        <v>1.00000</v>
      </c>
      <c r="F19039" s="29">
        <f ca="1">ROUND((G19037+G19038),3)</f>
        <v>0</v>
      </c>
      <c r="G19039" s="27">
        <f ca="1">ROUND(E19039*F19039,2)</f>
        <v>0</v>
      </c>
    </row>
    <row r="19040" spans="1:7" ht="15.12" thickBot="1" customHeight="1">
      <c r="A19040" s="24" t="s">
        <v>58278</v>
      </c>
      <c r="B19040" s="24"/>
      <c r="C19040" s="24" t="s">
        <v>58279</v>
      </c>
      <c r="D19040" s="25" t="s">
        <v>58280</v>
      </c>
      <c r="E19040" s="28">
        <v>5.00000</v>
      </c>
      <c r="F19040" s="29">
        <f ca="1">ROUND(40.000,3)</f>
        <v>0</v>
      </c>
      <c r="G19040" s="27">
        <f ca="1">ROUND((E19040*F19040)/100,2)</f>
        <v>0</v>
      </c>
    </row>
    <row r="19041" spans="1:7" ht="15.48" thickBot="1" customHeight="1">
      <c r="A19041" s="30"/>
      <c r="B19041" s="30"/>
      <c r="C19041" s="30"/>
      <c r="D19041" s="31" t="s">
        <v>58281</v>
      </c>
      <c r="E19041" s="30"/>
      <c r="F19041" s="33">
        <f ca="1">ROUND((G19035+G19036+G19040)*(1+G2/100),2)</f>
        <v>0</v>
      </c>
      <c r="G19041" s="30"/>
    </row>
    <row r="19042" spans="1:7" ht="30.60" thickBot="1" customHeight="1">
      <c r="A19042" s="34" t="s">
        <v>58282</v>
      </c>
      <c r="B19042" s="35" t="s">
        <v>58283</v>
      </c>
      <c r="C19042" s="35" t="s">
        <v>58284</v>
      </c>
      <c r="D19042" s="36" t="s">
        <v>58285</v>
      </c>
      <c r="E19042" s="37"/>
      <c r="F19042" s="38">
        <f ca="1">F19052</f>
        <v>0</v>
      </c>
      <c r="G19042" s="37"/>
    </row>
    <row r="19043" spans="1:7" ht="39.84" thickBot="1" customHeight="1">
      <c r="A19043" s="26"/>
      <c r="B19043" s="26"/>
      <c r="C19043" s="26"/>
      <c r="D19043" s="25" t="s">
        <v>58286</v>
      </c>
      <c r="E19043" s="25"/>
      <c r="F19043" s="25"/>
      <c r="G19043" s="25"/>
    </row>
    <row r="19044" spans="1:7" ht="39.84" thickBot="1" customHeight="1">
      <c r="A19044" s="24" t="s">
        <v>58287</v>
      </c>
      <c r="B19044" s="24" t="s">
        <v>58288</v>
      </c>
      <c r="C19044" s="24" t="s">
        <v>58289</v>
      </c>
      <c r="D19044" s="25" t="s">
        <v>58290</v>
      </c>
      <c r="E19044" s="28">
        <v>0.30000</v>
      </c>
      <c r="F19044" s="29">
        <f ca="1">ROUND(4.590,3)</f>
        <v>0</v>
      </c>
      <c r="G19044" s="27">
        <f ca="1">ROUND(E19044*F19044,2)</f>
        <v>0</v>
      </c>
    </row>
    <row r="19045" spans="1:7" ht="21.36" thickBot="1" customHeight="1">
      <c r="A19045" s="24" t="s">
        <v>58291</v>
      </c>
      <c r="B19045" s="24" t="s">
        <v>58292</v>
      </c>
      <c r="C19045" s="24" t="s">
        <v>58293</v>
      </c>
      <c r="D19045" s="25" t="s">
        <v>58294</v>
      </c>
      <c r="E19045" s="28">
        <v>0.60000</v>
      </c>
      <c r="F19045" s="29">
        <f ca="1">ROUND(4.800,3)</f>
        <v>0</v>
      </c>
      <c r="G19045" s="27">
        <f ca="1">ROUND(E19045*F19045,2)</f>
        <v>0</v>
      </c>
    </row>
    <row r="19046" spans="1:7" ht="21.36" thickBot="1" customHeight="1">
      <c r="A19046" s="24" t="s">
        <v>58295</v>
      </c>
      <c r="B19046" s="24" t="s">
        <v>58296</v>
      </c>
      <c r="C19046" s="24" t="s">
        <v>58297</v>
      </c>
      <c r="D19046" s="25" t="s">
        <v>58298</v>
      </c>
      <c r="E19046" s="28">
        <v>0.12000</v>
      </c>
      <c r="F19046" s="29">
        <f ca="1">F19050</f>
        <v>0</v>
      </c>
      <c r="G19046" s="27">
        <f ca="1">ROUND(E19046*F19046,2)</f>
        <v>0</v>
      </c>
    </row>
    <row r="19047" spans="1:7" ht="24.36" thickBot="1" customHeight="1">
      <c r="A19047" s="24" t="s">
        <v>58299</v>
      </c>
      <c r="B19047" s="24" t="s">
        <v>58300</v>
      </c>
      <c r="C19047" s="24" t="s">
        <v>58301</v>
      </c>
      <c r="D19047" s="25" t="s">
        <v>58302</v>
      </c>
      <c r="E19047" s="28">
        <v>1.00000</v>
      </c>
      <c r="F19047" s="29">
        <f ca="1">ROUND(21.000,3)</f>
        <v>0</v>
      </c>
      <c r="G19047" s="27">
        <f ca="1">ROUND(E19047*F19047,2)</f>
        <v>0</v>
      </c>
    </row>
    <row r="19048" spans="1:7" ht="24.36" thickBot="1" customHeight="1">
      <c r="A19048" s="24" t="s">
        <v>58303</v>
      </c>
      <c r="B19048" s="24" t="s">
        <v>58304</v>
      </c>
      <c r="C19048" s="24" t="s">
        <v>58305</v>
      </c>
      <c r="D19048" s="25" t="s">
        <v>58306</v>
      </c>
      <c r="E19048" s="28">
        <v>1.00000</v>
      </c>
      <c r="F19048" s="29">
        <f ca="1">ROUND(19.000,3)</f>
        <v>0</v>
      </c>
      <c r="G19048" s="27">
        <f ca="1">ROUND(E19048*F19048,2)</f>
        <v>0</v>
      </c>
    </row>
    <row r="19049" spans="1:7" ht="24.36" thickBot="1" customHeight="1">
      <c r="A19049" s="24" t="s">
        <v>58307</v>
      </c>
      <c r="B19049" s="24" t="s">
        <v>58308</v>
      </c>
      <c r="C19049" s="24" t="s">
        <v>58309</v>
      </c>
      <c r="D19049" s="25" t="s">
        <v>58310</v>
      </c>
      <c r="E19049" s="28">
        <v>0.20000</v>
      </c>
      <c r="F19049" s="29">
        <f ca="1">ROUND(19.000,3)</f>
        <v>0</v>
      </c>
      <c r="G19049" s="27">
        <f ca="1">ROUND(E19049*F19049,2)</f>
        <v>0</v>
      </c>
    </row>
    <row r="19050" spans="1:7" ht="15.12" thickBot="1" customHeight="1">
      <c r="A19050" s="26"/>
      <c r="B19050" s="26"/>
      <c r="C19050" s="26"/>
      <c r="D19050" s="24" t="s">
        <v>58311</v>
      </c>
      <c r="E19050" s="28">
        <v>0.12000</v>
      </c>
      <c r="F19050" s="29">
        <f ca="1">ROUND((G19047+G19048+G19049),3)</f>
        <v>0</v>
      </c>
      <c r="G19050" s="27">
        <f ca="1">ROUND(E19050*F19050,2)</f>
        <v>0</v>
      </c>
    </row>
    <row r="19051" spans="1:7" ht="15.12" thickBot="1" customHeight="1">
      <c r="A19051" s="24" t="s">
        <v>58312</v>
      </c>
      <c r="B19051" s="24"/>
      <c r="C19051" s="24" t="s">
        <v>58313</v>
      </c>
      <c r="D19051" s="25" t="s">
        <v>58314</v>
      </c>
      <c r="E19051" s="28">
        <v>7.00000</v>
      </c>
      <c r="F19051" s="29">
        <f ca="1">ROUND(5.260,3)</f>
        <v>0</v>
      </c>
      <c r="G19051" s="27">
        <f ca="1">ROUND((E19051*F19051)/100,2)</f>
        <v>0</v>
      </c>
    </row>
    <row r="19052" spans="1:7" ht="15.48" thickBot="1" customHeight="1">
      <c r="A19052" s="30"/>
      <c r="B19052" s="30"/>
      <c r="C19052" s="30"/>
      <c r="D19052" s="31" t="s">
        <v>58315</v>
      </c>
      <c r="E19052" s="30"/>
      <c r="F19052" s="33">
        <f ca="1">ROUND((G19044+G19045+G19046+G19051)*(1+G2/100),2)</f>
        <v>0</v>
      </c>
      <c r="G19052" s="30"/>
    </row>
    <row r="19053" spans="1:7" ht="49.08" thickBot="1" customHeight="1">
      <c r="A19053" s="34" t="s">
        <v>58316</v>
      </c>
      <c r="B19053" s="35" t="s">
        <v>58317</v>
      </c>
      <c r="C19053" s="35" t="s">
        <v>58318</v>
      </c>
      <c r="D19053" s="36" t="s">
        <v>58319</v>
      </c>
      <c r="E19053" s="37"/>
      <c r="F19053" s="38">
        <f ca="1">F19071</f>
        <v>0</v>
      </c>
      <c r="G19053" s="37"/>
    </row>
    <row r="19054" spans="1:7" ht="21.36" thickBot="1" customHeight="1">
      <c r="A19054" s="26"/>
      <c r="B19054" s="26"/>
      <c r="C19054" s="26"/>
      <c r="D19054" s="25" t="s">
        <v>58320</v>
      </c>
      <c r="E19054" s="25"/>
      <c r="F19054" s="25"/>
      <c r="G19054" s="25"/>
    </row>
    <row r="19055" spans="1:7" ht="30.60" thickBot="1" customHeight="1">
      <c r="A19055" s="24" t="s">
        <v>58321</v>
      </c>
      <c r="B19055" s="24" t="s">
        <v>58322</v>
      </c>
      <c r="C19055" s="24" t="s">
        <v>58323</v>
      </c>
      <c r="D19055" s="25" t="s">
        <v>58324</v>
      </c>
      <c r="E19055" s="28">
        <v>0.04286</v>
      </c>
      <c r="F19055" s="29">
        <f ca="1">ROUND(28.100,3)</f>
        <v>0</v>
      </c>
      <c r="G19055" s="27">
        <f ca="1">ROUND(E19055*F19055,2)</f>
        <v>0</v>
      </c>
    </row>
    <row r="19056" spans="1:7" ht="30.60" thickBot="1" customHeight="1">
      <c r="A19056" s="24" t="s">
        <v>58325</v>
      </c>
      <c r="B19056" s="24" t="s">
        <v>58326</v>
      </c>
      <c r="C19056" s="24" t="s">
        <v>58327</v>
      </c>
      <c r="D19056" s="25" t="s">
        <v>58328</v>
      </c>
      <c r="E19056" s="28">
        <v>0.14286</v>
      </c>
      <c r="F19056" s="29">
        <f ca="1">ROUND(7.990,3)</f>
        <v>0</v>
      </c>
      <c r="G19056" s="27">
        <f ca="1">ROUND(E19056*F19056,2)</f>
        <v>0</v>
      </c>
    </row>
    <row r="19057" spans="1:7" ht="21.36" thickBot="1" customHeight="1">
      <c r="A19057" s="24" t="s">
        <v>58329</v>
      </c>
      <c r="B19057" s="24" t="s">
        <v>58330</v>
      </c>
      <c r="C19057" s="24" t="s">
        <v>58331</v>
      </c>
      <c r="D19057" s="25" t="s">
        <v>58332</v>
      </c>
      <c r="E19057" s="28">
        <v>0.28571</v>
      </c>
      <c r="F19057" s="29">
        <f ca="1">ROUND(2.930,3)</f>
        <v>0</v>
      </c>
      <c r="G19057" s="27">
        <f ca="1">ROUND(E19057*F19057,2)</f>
        <v>0</v>
      </c>
    </row>
    <row r="19058" spans="1:7" ht="30.60" thickBot="1" customHeight="1">
      <c r="A19058" s="24" t="s">
        <v>58333</v>
      </c>
      <c r="B19058" s="24" t="s">
        <v>58334</v>
      </c>
      <c r="C19058" s="24" t="s">
        <v>58335</v>
      </c>
      <c r="D19058" s="25" t="s">
        <v>58336</v>
      </c>
      <c r="E19058" s="28">
        <v>0.14286</v>
      </c>
      <c r="F19058" s="29">
        <f ca="1">ROUND(2.300,3)</f>
        <v>0</v>
      </c>
      <c r="G19058" s="27">
        <f ca="1">ROUND(E19058*F19058,2)</f>
        <v>0</v>
      </c>
    </row>
    <row r="19059" spans="1:7" ht="21.36" thickBot="1" customHeight="1">
      <c r="A19059" s="24" t="s">
        <v>58337</v>
      </c>
      <c r="B19059" s="24" t="s">
        <v>58338</v>
      </c>
      <c r="C19059" s="24" t="s">
        <v>58339</v>
      </c>
      <c r="D19059" s="25" t="s">
        <v>58340</v>
      </c>
      <c r="E19059" s="28">
        <v>0.05714</v>
      </c>
      <c r="F19059" s="29">
        <f ca="1">ROUND(5.040,3)</f>
        <v>0</v>
      </c>
      <c r="G19059" s="27">
        <f ca="1">ROUND(E19059*F19059,2)</f>
        <v>0</v>
      </c>
    </row>
    <row r="19060" spans="1:7" ht="30.60" thickBot="1" customHeight="1">
      <c r="A19060" s="24" t="s">
        <v>58341</v>
      </c>
      <c r="B19060" s="24" t="s">
        <v>58342</v>
      </c>
      <c r="C19060" s="24" t="s">
        <v>58343</v>
      </c>
      <c r="D19060" s="25" t="s">
        <v>58344</v>
      </c>
      <c r="E19060" s="28">
        <v>0.07143</v>
      </c>
      <c r="F19060" s="29">
        <f ca="1">ROUND(17.990,3)</f>
        <v>0</v>
      </c>
      <c r="G19060" s="27">
        <f ca="1">ROUND(E19060*F19060,2)</f>
        <v>0</v>
      </c>
    </row>
    <row r="19061" spans="1:7" ht="30.60" thickBot="1" customHeight="1">
      <c r="A19061" s="24" t="s">
        <v>58345</v>
      </c>
      <c r="B19061" s="24" t="s">
        <v>58346</v>
      </c>
      <c r="C19061" s="24" t="s">
        <v>58347</v>
      </c>
      <c r="D19061" s="25" t="s">
        <v>58348</v>
      </c>
      <c r="E19061" s="28">
        <v>0.57143</v>
      </c>
      <c r="F19061" s="29">
        <f ca="1">ROUND(0.240,3)</f>
        <v>0</v>
      </c>
      <c r="G19061" s="27">
        <f ca="1">ROUND(E19061*F19061,2)</f>
        <v>0</v>
      </c>
    </row>
    <row r="19062" spans="1:7" ht="21.36" thickBot="1" customHeight="1">
      <c r="A19062" s="24" t="s">
        <v>58349</v>
      </c>
      <c r="B19062" s="24" t="s">
        <v>58350</v>
      </c>
      <c r="C19062" s="24" t="s">
        <v>58351</v>
      </c>
      <c r="D19062" s="25" t="s">
        <v>58352</v>
      </c>
      <c r="E19062" s="28">
        <v>0.02857</v>
      </c>
      <c r="F19062" s="29">
        <f ca="1">ROUND(6.490,3)</f>
        <v>0</v>
      </c>
      <c r="G19062" s="27">
        <f ca="1">ROUND(E19062*F19062,2)</f>
        <v>0</v>
      </c>
    </row>
    <row r="19063" spans="1:7" ht="21.36" thickBot="1" customHeight="1">
      <c r="A19063" s="24" t="s">
        <v>58353</v>
      </c>
      <c r="B19063" s="24" t="s">
        <v>58354</v>
      </c>
      <c r="C19063" s="24" t="s">
        <v>58355</v>
      </c>
      <c r="D19063" s="25" t="s">
        <v>58356</v>
      </c>
      <c r="E19063" s="28">
        <v>0.20000</v>
      </c>
      <c r="F19063" s="29">
        <f ca="1">ROUND(2.000,3)</f>
        <v>0</v>
      </c>
      <c r="G19063" s="27">
        <f ca="1">ROUND(E19063*F19063,2)</f>
        <v>0</v>
      </c>
    </row>
    <row r="19064" spans="1:7" ht="30.60" thickBot="1" customHeight="1">
      <c r="A19064" s="24" t="s">
        <v>58357</v>
      </c>
      <c r="B19064" s="24" t="s">
        <v>58358</v>
      </c>
      <c r="C19064" s="24" t="s">
        <v>58359</v>
      </c>
      <c r="D19064" s="25" t="s">
        <v>58360</v>
      </c>
      <c r="E19064" s="28">
        <v>1.00000</v>
      </c>
      <c r="F19064" s="29">
        <f ca="1">ROUND(4.920,3)</f>
        <v>0</v>
      </c>
      <c r="G19064" s="27">
        <f ca="1">ROUND(E19064*F19064,2)</f>
        <v>0</v>
      </c>
    </row>
    <row r="19065" spans="1:7" ht="21.36" thickBot="1" customHeight="1">
      <c r="A19065" s="24" t="s">
        <v>58361</v>
      </c>
      <c r="B19065" s="24" t="s">
        <v>58362</v>
      </c>
      <c r="C19065" s="24" t="s">
        <v>58363</v>
      </c>
      <c r="D19065" s="25" t="s">
        <v>58364</v>
      </c>
      <c r="E19065" s="28">
        <v>0.40000</v>
      </c>
      <c r="F19065" s="29">
        <f ca="1">F19069</f>
        <v>0</v>
      </c>
      <c r="G19065" s="27">
        <f ca="1">ROUND(E19065*F19065,2)</f>
        <v>0</v>
      </c>
    </row>
    <row r="19066" spans="1:7" ht="24.36" thickBot="1" customHeight="1">
      <c r="A19066" s="24" t="s">
        <v>58365</v>
      </c>
      <c r="B19066" s="24" t="s">
        <v>58366</v>
      </c>
      <c r="C19066" s="24" t="s">
        <v>58367</v>
      </c>
      <c r="D19066" s="25" t="s">
        <v>58368</v>
      </c>
      <c r="E19066" s="28">
        <v>1.00000</v>
      </c>
      <c r="F19066" s="29">
        <f ca="1">ROUND(21.000,3)</f>
        <v>0</v>
      </c>
      <c r="G19066" s="27">
        <f ca="1">ROUND(E19066*F19066,2)</f>
        <v>0</v>
      </c>
    </row>
    <row r="19067" spans="1:7" ht="24.36" thickBot="1" customHeight="1">
      <c r="A19067" s="24" t="s">
        <v>58369</v>
      </c>
      <c r="B19067" s="24" t="s">
        <v>58370</v>
      </c>
      <c r="C19067" s="24" t="s">
        <v>58371</v>
      </c>
      <c r="D19067" s="25" t="s">
        <v>58372</v>
      </c>
      <c r="E19067" s="28">
        <v>1.00000</v>
      </c>
      <c r="F19067" s="29">
        <f ca="1">ROUND(19.000,3)</f>
        <v>0</v>
      </c>
      <c r="G19067" s="27">
        <f ca="1">ROUND(E19067*F19067,2)</f>
        <v>0</v>
      </c>
    </row>
    <row r="19068" spans="1:7" ht="24.36" thickBot="1" customHeight="1">
      <c r="A19068" s="24" t="s">
        <v>58373</v>
      </c>
      <c r="B19068" s="24" t="s">
        <v>58374</v>
      </c>
      <c r="C19068" s="24" t="s">
        <v>58375</v>
      </c>
      <c r="D19068" s="25" t="s">
        <v>58376</v>
      </c>
      <c r="E19068" s="28">
        <v>0.20000</v>
      </c>
      <c r="F19068" s="29">
        <f ca="1">ROUND(19.000,3)</f>
        <v>0</v>
      </c>
      <c r="G19068" s="27">
        <f ca="1">ROUND(E19068*F19068,2)</f>
        <v>0</v>
      </c>
    </row>
    <row r="19069" spans="1:7" ht="15.12" thickBot="1" customHeight="1">
      <c r="A19069" s="26"/>
      <c r="B19069" s="26"/>
      <c r="C19069" s="26"/>
      <c r="D19069" s="24" t="s">
        <v>58377</v>
      </c>
      <c r="E19069" s="28">
        <v>0.40000</v>
      </c>
      <c r="F19069" s="29">
        <f ca="1">ROUND((G19066+G19067+G19068),3)</f>
        <v>0</v>
      </c>
      <c r="G19069" s="27">
        <f ca="1">ROUND(E19069*F19069,2)</f>
        <v>0</v>
      </c>
    </row>
    <row r="19070" spans="1:7" ht="15.12" thickBot="1" customHeight="1">
      <c r="A19070" s="24" t="s">
        <v>58378</v>
      </c>
      <c r="B19070" s="24"/>
      <c r="C19070" s="24" t="s">
        <v>58379</v>
      </c>
      <c r="D19070" s="25" t="s">
        <v>58380</v>
      </c>
      <c r="E19070" s="28">
        <v>5.00000</v>
      </c>
      <c r="F19070" s="29">
        <f ca="1">ROUND(17.520,3)</f>
        <v>0</v>
      </c>
      <c r="G19070" s="27">
        <f ca="1">ROUND((E19070*F19070)/100,2)</f>
        <v>0</v>
      </c>
    </row>
    <row r="19071" spans="1:7" ht="15.48" thickBot="1" customHeight="1">
      <c r="A19071" s="30"/>
      <c r="B19071" s="30"/>
      <c r="C19071" s="30"/>
      <c r="D19071" s="31" t="s">
        <v>58381</v>
      </c>
      <c r="E19071" s="30"/>
      <c r="F19071" s="33">
        <f ca="1">ROUND((G19055+G19056+G19057+G19058+G19059+G19060+G19061+G19062+G19063+G19064+G19065+G19070)*(1+G2/100),2)</f>
        <v>0</v>
      </c>
      <c r="G19071" s="30"/>
    </row>
    <row r="19072" spans="1:7" ht="21.36" thickBot="1" customHeight="1">
      <c r="A19072" s="34" t="s">
        <v>58382</v>
      </c>
      <c r="B19072" s="35" t="s">
        <v>58383</v>
      </c>
      <c r="C19072" s="35" t="s">
        <v>58384</v>
      </c>
      <c r="D19072" s="36" t="s">
        <v>58385</v>
      </c>
      <c r="E19072" s="37"/>
      <c r="F19072" s="38">
        <f ca="1">F19085</f>
        <v>0</v>
      </c>
      <c r="G19072" s="37"/>
    </row>
    <row r="19073" spans="1:7" ht="58.32" thickBot="1" customHeight="1">
      <c r="A19073" s="26"/>
      <c r="B19073" s="26"/>
      <c r="C19073" s="26"/>
      <c r="D19073" s="25" t="s">
        <v>58386</v>
      </c>
      <c r="E19073" s="25"/>
      <c r="F19073" s="25"/>
      <c r="G19073" s="25"/>
    </row>
    <row r="19074" spans="1:7" ht="39.84" thickBot="1" customHeight="1">
      <c r="A19074" s="24" t="s">
        <v>58387</v>
      </c>
      <c r="B19074" s="24" t="s">
        <v>58388</v>
      </c>
      <c r="C19074" s="24" t="s">
        <v>58389</v>
      </c>
      <c r="D19074" s="25" t="s">
        <v>58390</v>
      </c>
      <c r="E19074" s="28">
        <v>0.92000</v>
      </c>
      <c r="F19074" s="29">
        <f ca="1">ROUND(6.800,3)</f>
        <v>0</v>
      </c>
      <c r="G19074" s="27">
        <f ca="1">ROUND(E19074*F19074,2)</f>
        <v>0</v>
      </c>
    </row>
    <row r="19075" spans="1:7" ht="30.60" thickBot="1" customHeight="1">
      <c r="A19075" s="24" t="s">
        <v>58391</v>
      </c>
      <c r="B19075" s="24" t="s">
        <v>58392</v>
      </c>
      <c r="C19075" s="24" t="s">
        <v>58393</v>
      </c>
      <c r="D19075" s="25" t="s">
        <v>58394</v>
      </c>
      <c r="E19075" s="28">
        <v>0.02200</v>
      </c>
      <c r="F19075" s="29">
        <f ca="1">ROUND(27.500,3)</f>
        <v>0</v>
      </c>
      <c r="G19075" s="27">
        <f ca="1">ROUND(E19075*F19075,2)</f>
        <v>0</v>
      </c>
    </row>
    <row r="19076" spans="1:7" ht="21.36" thickBot="1" customHeight="1">
      <c r="A19076" s="24" t="s">
        <v>58395</v>
      </c>
      <c r="B19076" s="24" t="s">
        <v>58396</v>
      </c>
      <c r="C19076" s="24" t="s">
        <v>58397</v>
      </c>
      <c r="D19076" s="25" t="s">
        <v>58398</v>
      </c>
      <c r="E19076" s="28">
        <v>0.33000</v>
      </c>
      <c r="F19076" s="29">
        <f ca="1">ROUND(1.050,3)</f>
        <v>0</v>
      </c>
      <c r="G19076" s="27">
        <f ca="1">ROUND(E19076*F19076,2)</f>
        <v>0</v>
      </c>
    </row>
    <row r="19077" spans="1:7" ht="30.60" thickBot="1" customHeight="1">
      <c r="A19077" s="24" t="s">
        <v>58399</v>
      </c>
      <c r="B19077" s="24" t="s">
        <v>58400</v>
      </c>
      <c r="C19077" s="24" t="s">
        <v>58401</v>
      </c>
      <c r="D19077" s="25" t="s">
        <v>58402</v>
      </c>
      <c r="E19077" s="28">
        <v>0.20000</v>
      </c>
      <c r="F19077" s="29">
        <f ca="1">ROUND(2.800,3)</f>
        <v>0</v>
      </c>
      <c r="G19077" s="27">
        <f ca="1">ROUND(E19077*F19077,2)</f>
        <v>0</v>
      </c>
    </row>
    <row r="19078" spans="1:7" ht="30.60" thickBot="1" customHeight="1">
      <c r="A19078" s="24" t="s">
        <v>58403</v>
      </c>
      <c r="B19078" s="24" t="s">
        <v>58404</v>
      </c>
      <c r="C19078" s="24" t="s">
        <v>58405</v>
      </c>
      <c r="D19078" s="25" t="s">
        <v>58406</v>
      </c>
      <c r="E19078" s="28">
        <v>0.10000</v>
      </c>
      <c r="F19078" s="29">
        <f ca="1">ROUND(11.100,3)</f>
        <v>0</v>
      </c>
      <c r="G19078" s="27">
        <f ca="1">ROUND(E19078*F19078,2)</f>
        <v>0</v>
      </c>
    </row>
    <row r="19079" spans="1:7" ht="21.36" thickBot="1" customHeight="1">
      <c r="A19079" s="24" t="s">
        <v>58407</v>
      </c>
      <c r="B19079" s="24" t="s">
        <v>58408</v>
      </c>
      <c r="C19079" s="24" t="s">
        <v>58409</v>
      </c>
      <c r="D19079" s="25" t="s">
        <v>58410</v>
      </c>
      <c r="E19079" s="28">
        <v>0.50000</v>
      </c>
      <c r="F19079" s="29">
        <f ca="1">F19083</f>
        <v>0</v>
      </c>
      <c r="G19079" s="27">
        <f ca="1">ROUND(E19079*F19079,2)</f>
        <v>0</v>
      </c>
    </row>
    <row r="19080" spans="1:7" ht="24.36" thickBot="1" customHeight="1">
      <c r="A19080" s="24" t="s">
        <v>58411</v>
      </c>
      <c r="B19080" s="24" t="s">
        <v>58412</v>
      </c>
      <c r="C19080" s="24" t="s">
        <v>58413</v>
      </c>
      <c r="D19080" s="25" t="s">
        <v>58414</v>
      </c>
      <c r="E19080" s="28">
        <v>1.00000</v>
      </c>
      <c r="F19080" s="29">
        <f ca="1">ROUND(21.000,3)</f>
        <v>0</v>
      </c>
      <c r="G19080" s="27">
        <f ca="1">ROUND(E19080*F19080,2)</f>
        <v>0</v>
      </c>
    </row>
    <row r="19081" spans="1:7" ht="24.36" thickBot="1" customHeight="1">
      <c r="A19081" s="24" t="s">
        <v>58415</v>
      </c>
      <c r="B19081" s="24" t="s">
        <v>58416</v>
      </c>
      <c r="C19081" s="24" t="s">
        <v>58417</v>
      </c>
      <c r="D19081" s="25" t="s">
        <v>58418</v>
      </c>
      <c r="E19081" s="28">
        <v>1.00000</v>
      </c>
      <c r="F19081" s="29">
        <f ca="1">ROUND(19.000,3)</f>
        <v>0</v>
      </c>
      <c r="G19081" s="27">
        <f ca="1">ROUND(E19081*F19081,2)</f>
        <v>0</v>
      </c>
    </row>
    <row r="19082" spans="1:7" ht="24.36" thickBot="1" customHeight="1">
      <c r="A19082" s="24" t="s">
        <v>58419</v>
      </c>
      <c r="B19082" s="24" t="s">
        <v>58420</v>
      </c>
      <c r="C19082" s="24" t="s">
        <v>58421</v>
      </c>
      <c r="D19082" s="25" t="s">
        <v>58422</v>
      </c>
      <c r="E19082" s="28">
        <v>0.20000</v>
      </c>
      <c r="F19082" s="29">
        <f ca="1">ROUND(19.000,3)</f>
        <v>0</v>
      </c>
      <c r="G19082" s="27">
        <f ca="1">ROUND(E19082*F19082,2)</f>
        <v>0</v>
      </c>
    </row>
    <row r="19083" spans="1:7" ht="15.12" thickBot="1" customHeight="1">
      <c r="A19083" s="26"/>
      <c r="B19083" s="26"/>
      <c r="C19083" s="26"/>
      <c r="D19083" s="24" t="s">
        <v>58423</v>
      </c>
      <c r="E19083" s="28">
        <v>0.50000</v>
      </c>
      <c r="F19083" s="29">
        <f ca="1">ROUND((G19080+G19081+G19082),3)</f>
        <v>0</v>
      </c>
      <c r="G19083" s="27">
        <f ca="1">ROUND(E19083*F19083,2)</f>
        <v>0</v>
      </c>
    </row>
    <row r="19084" spans="1:7" ht="15.12" thickBot="1" customHeight="1">
      <c r="A19084" s="24" t="s">
        <v>58424</v>
      </c>
      <c r="B19084" s="24"/>
      <c r="C19084" s="24" t="s">
        <v>58425</v>
      </c>
      <c r="D19084" s="25" t="s">
        <v>58426</v>
      </c>
      <c r="E19084" s="28">
        <v>3.00000</v>
      </c>
      <c r="F19084" s="29">
        <f ca="1">ROUND(21.900,3)</f>
        <v>0</v>
      </c>
      <c r="G19084" s="27">
        <f ca="1">ROUND((E19084*F19084)/100,2)</f>
        <v>0</v>
      </c>
    </row>
    <row r="19085" spans="1:7" ht="15.48" thickBot="1" customHeight="1">
      <c r="A19085" s="30"/>
      <c r="B19085" s="30"/>
      <c r="C19085" s="30"/>
      <c r="D19085" s="31" t="s">
        <v>58427</v>
      </c>
      <c r="E19085" s="30"/>
      <c r="F19085" s="33">
        <f ca="1">ROUND((G19074+G19075+G19076+G19077+G19078+G19079+G19084)*(1+G2/100),2)</f>
        <v>0</v>
      </c>
      <c r="G19085" s="30"/>
    </row>
    <row r="19086" spans="1:7" ht="30.60" thickBot="1" customHeight="1">
      <c r="A19086" s="34" t="s">
        <v>58428</v>
      </c>
      <c r="B19086" s="35" t="s">
        <v>58429</v>
      </c>
      <c r="C19086" s="35" t="s">
        <v>58430</v>
      </c>
      <c r="D19086" s="36" t="s">
        <v>58431</v>
      </c>
      <c r="E19086" s="37"/>
      <c r="F19086" s="38">
        <f ca="1">F19099</f>
        <v>0</v>
      </c>
      <c r="G19086" s="37"/>
    </row>
    <row r="19087" spans="1:7" ht="58.32" thickBot="1" customHeight="1">
      <c r="A19087" s="26"/>
      <c r="B19087" s="26"/>
      <c r="C19087" s="26"/>
      <c r="D19087" s="25" t="s">
        <v>58432</v>
      </c>
      <c r="E19087" s="25"/>
      <c r="F19087" s="25"/>
      <c r="G19087" s="25"/>
    </row>
    <row r="19088" spans="1:7" ht="39.84" thickBot="1" customHeight="1">
      <c r="A19088" s="24" t="s">
        <v>58433</v>
      </c>
      <c r="B19088" s="24" t="s">
        <v>58434</v>
      </c>
      <c r="C19088" s="24" t="s">
        <v>58435</v>
      </c>
      <c r="D19088" s="25" t="s">
        <v>58436</v>
      </c>
      <c r="E19088" s="28">
        <v>0.34000</v>
      </c>
      <c r="F19088" s="29">
        <f ca="1">ROUND(15.200,3)</f>
        <v>0</v>
      </c>
      <c r="G19088" s="27">
        <f ca="1">ROUND(E19088*F19088,2)</f>
        <v>0</v>
      </c>
    </row>
    <row r="19089" spans="1:7" ht="30.60" thickBot="1" customHeight="1">
      <c r="A19089" s="24" t="s">
        <v>58437</v>
      </c>
      <c r="B19089" s="24" t="s">
        <v>58438</v>
      </c>
      <c r="C19089" s="24" t="s">
        <v>58439</v>
      </c>
      <c r="D19089" s="25" t="s">
        <v>58440</v>
      </c>
      <c r="E19089" s="28">
        <v>0.02200</v>
      </c>
      <c r="F19089" s="29">
        <f ca="1">ROUND(27.500,3)</f>
        <v>0</v>
      </c>
      <c r="G19089" s="27">
        <f ca="1">ROUND(E19089*F19089,2)</f>
        <v>0</v>
      </c>
    </row>
    <row r="19090" spans="1:7" ht="21.36" thickBot="1" customHeight="1">
      <c r="A19090" s="24" t="s">
        <v>58441</v>
      </c>
      <c r="B19090" s="24" t="s">
        <v>58442</v>
      </c>
      <c r="C19090" s="24" t="s">
        <v>58443</v>
      </c>
      <c r="D19090" s="25" t="s">
        <v>58444</v>
      </c>
      <c r="E19090" s="28">
        <v>0.37500</v>
      </c>
      <c r="F19090" s="29">
        <f ca="1">ROUND(1.050,3)</f>
        <v>0</v>
      </c>
      <c r="G19090" s="27">
        <f ca="1">ROUND(E19090*F19090,2)</f>
        <v>0</v>
      </c>
    </row>
    <row r="19091" spans="1:7" ht="30.60" thickBot="1" customHeight="1">
      <c r="A19091" s="24" t="s">
        <v>58445</v>
      </c>
      <c r="B19091" s="24" t="s">
        <v>58446</v>
      </c>
      <c r="C19091" s="24" t="s">
        <v>58447</v>
      </c>
      <c r="D19091" s="25" t="s">
        <v>58448</v>
      </c>
      <c r="E19091" s="28">
        <v>0.24000</v>
      </c>
      <c r="F19091" s="29">
        <f ca="1">ROUND(2.800,3)</f>
        <v>0</v>
      </c>
      <c r="G19091" s="27">
        <f ca="1">ROUND(E19091*F19091,2)</f>
        <v>0</v>
      </c>
    </row>
    <row r="19092" spans="1:7" ht="30.60" thickBot="1" customHeight="1">
      <c r="A19092" s="24" t="s">
        <v>58449</v>
      </c>
      <c r="B19092" s="24" t="s">
        <v>58450</v>
      </c>
      <c r="C19092" s="24" t="s">
        <v>58451</v>
      </c>
      <c r="D19092" s="25" t="s">
        <v>58452</v>
      </c>
      <c r="E19092" s="28">
        <v>0.10000</v>
      </c>
      <c r="F19092" s="29">
        <f ca="1">ROUND(11.100,3)</f>
        <v>0</v>
      </c>
      <c r="G19092" s="27">
        <f ca="1">ROUND(E19092*F19092,2)</f>
        <v>0</v>
      </c>
    </row>
    <row r="19093" spans="1:7" ht="21.36" thickBot="1" customHeight="1">
      <c r="A19093" s="24" t="s">
        <v>58453</v>
      </c>
      <c r="B19093" s="24" t="s">
        <v>58454</v>
      </c>
      <c r="C19093" s="24" t="s">
        <v>58455</v>
      </c>
      <c r="D19093" s="25" t="s">
        <v>58456</v>
      </c>
      <c r="E19093" s="28">
        <v>0.25000</v>
      </c>
      <c r="F19093" s="29">
        <f ca="1">F19097</f>
        <v>0</v>
      </c>
      <c r="G19093" s="27">
        <f ca="1">ROUND(E19093*F19093,2)</f>
        <v>0</v>
      </c>
    </row>
    <row r="19094" spans="1:7" ht="24.36" thickBot="1" customHeight="1">
      <c r="A19094" s="24" t="s">
        <v>58457</v>
      </c>
      <c r="B19094" s="24" t="s">
        <v>58458</v>
      </c>
      <c r="C19094" s="24" t="s">
        <v>58459</v>
      </c>
      <c r="D19094" s="25" t="s">
        <v>58460</v>
      </c>
      <c r="E19094" s="28">
        <v>1.00000</v>
      </c>
      <c r="F19094" s="29">
        <f ca="1">ROUND(21.000,3)</f>
        <v>0</v>
      </c>
      <c r="G19094" s="27">
        <f ca="1">ROUND(E19094*F19094,2)</f>
        <v>0</v>
      </c>
    </row>
    <row r="19095" spans="1:7" ht="24.36" thickBot="1" customHeight="1">
      <c r="A19095" s="24" t="s">
        <v>58461</v>
      </c>
      <c r="B19095" s="24" t="s">
        <v>58462</v>
      </c>
      <c r="C19095" s="24" t="s">
        <v>58463</v>
      </c>
      <c r="D19095" s="25" t="s">
        <v>58464</v>
      </c>
      <c r="E19095" s="28">
        <v>1.00000</v>
      </c>
      <c r="F19095" s="29">
        <f ca="1">ROUND(19.000,3)</f>
        <v>0</v>
      </c>
      <c r="G19095" s="27">
        <f ca="1">ROUND(E19095*F19095,2)</f>
        <v>0</v>
      </c>
    </row>
    <row r="19096" spans="1:7" ht="24.36" thickBot="1" customHeight="1">
      <c r="A19096" s="24" t="s">
        <v>58465</v>
      </c>
      <c r="B19096" s="24" t="s">
        <v>58466</v>
      </c>
      <c r="C19096" s="24" t="s">
        <v>58467</v>
      </c>
      <c r="D19096" s="25" t="s">
        <v>58468</v>
      </c>
      <c r="E19096" s="28">
        <v>0.20000</v>
      </c>
      <c r="F19096" s="29">
        <f ca="1">ROUND(19.000,3)</f>
        <v>0</v>
      </c>
      <c r="G19096" s="27">
        <f ca="1">ROUND(E19096*F19096,2)</f>
        <v>0</v>
      </c>
    </row>
    <row r="19097" spans="1:7" ht="15.12" thickBot="1" customHeight="1">
      <c r="A19097" s="26"/>
      <c r="B19097" s="26"/>
      <c r="C19097" s="26"/>
      <c r="D19097" s="24" t="s">
        <v>58469</v>
      </c>
      <c r="E19097" s="28">
        <v>0.25000</v>
      </c>
      <c r="F19097" s="29">
        <f ca="1">ROUND((G19094+G19095+G19096),3)</f>
        <v>0</v>
      </c>
      <c r="G19097" s="27">
        <f ca="1">ROUND(E19097*F19097,2)</f>
        <v>0</v>
      </c>
    </row>
    <row r="19098" spans="1:7" ht="15.12" thickBot="1" customHeight="1">
      <c r="A19098" s="24" t="s">
        <v>58470</v>
      </c>
      <c r="B19098" s="24"/>
      <c r="C19098" s="24" t="s">
        <v>58471</v>
      </c>
      <c r="D19098" s="25" t="s">
        <v>58472</v>
      </c>
      <c r="E19098" s="28">
        <v>3.00000</v>
      </c>
      <c r="F19098" s="29">
        <f ca="1">ROUND(10.950,3)</f>
        <v>0</v>
      </c>
      <c r="G19098" s="27">
        <f ca="1">ROUND((E19098*F19098)/100,2)</f>
        <v>0</v>
      </c>
    </row>
    <row r="19099" spans="1:7" ht="15.48" thickBot="1" customHeight="1">
      <c r="A19099" s="30"/>
      <c r="B19099" s="30"/>
      <c r="C19099" s="30"/>
      <c r="D19099" s="31" t="s">
        <v>58473</v>
      </c>
      <c r="E19099" s="30"/>
      <c r="F19099" s="33">
        <f ca="1">ROUND((G19088+G19089+G19090+G19091+G19092+G19093+G19098)*(1+G2/100),2)</f>
        <v>0</v>
      </c>
      <c r="G19099" s="30"/>
    </row>
    <row r="19100" spans="1:7" ht="30.60" thickBot="1" customHeight="1">
      <c r="A19100" s="34" t="s">
        <v>58474</v>
      </c>
      <c r="B19100" s="35" t="s">
        <v>58475</v>
      </c>
      <c r="C19100" s="35" t="s">
        <v>58476</v>
      </c>
      <c r="D19100" s="36" t="s">
        <v>58477</v>
      </c>
      <c r="E19100" s="37"/>
      <c r="F19100" s="38">
        <f ca="1">F19116</f>
        <v>0</v>
      </c>
      <c r="G19100" s="37"/>
    </row>
    <row r="19101" spans="1:7" ht="132.24" thickBot="1" customHeight="1">
      <c r="A19101" s="26"/>
      <c r="B19101" s="26"/>
      <c r="C19101" s="26"/>
      <c r="D19101" s="25" t="s">
        <v>58478</v>
      </c>
      <c r="E19101" s="25"/>
      <c r="F19101" s="25"/>
      <c r="G19101" s="25"/>
    </row>
    <row r="19102" spans="1:7" ht="30.60" thickBot="1" customHeight="1">
      <c r="A19102" s="24" t="s">
        <v>58479</v>
      </c>
      <c r="B19102" s="24" t="s">
        <v>58480</v>
      </c>
      <c r="C19102" s="24" t="s">
        <v>58481</v>
      </c>
      <c r="D19102" s="25" t="s">
        <v>58482</v>
      </c>
      <c r="E19102" s="28">
        <v>1.00000</v>
      </c>
      <c r="F19102" s="29">
        <f ca="1">ROUND(2.332,3)</f>
        <v>0</v>
      </c>
      <c r="G19102" s="27">
        <f ca="1">ROUND(E19102*F19102,2)</f>
        <v>0</v>
      </c>
    </row>
    <row r="19103" spans="1:7" ht="21.36" thickBot="1" customHeight="1">
      <c r="A19103" s="24" t="s">
        <v>58483</v>
      </c>
      <c r="B19103" s="24" t="s">
        <v>58484</v>
      </c>
      <c r="C19103" s="24" t="s">
        <v>58485</v>
      </c>
      <c r="D19103" s="25" t="s">
        <v>58486</v>
      </c>
      <c r="E19103" s="28">
        <v>0.20000</v>
      </c>
      <c r="F19103" s="29">
        <f ca="1">ROUND(6.490,3)</f>
        <v>0</v>
      </c>
      <c r="G19103" s="27">
        <f ca="1">ROUND(E19103*F19103,2)</f>
        <v>0</v>
      </c>
    </row>
    <row r="19104" spans="1:7" ht="30.60" thickBot="1" customHeight="1">
      <c r="A19104" s="24" t="s">
        <v>58487</v>
      </c>
      <c r="B19104" s="24" t="s">
        <v>58488</v>
      </c>
      <c r="C19104" s="24" t="s">
        <v>58489</v>
      </c>
      <c r="D19104" s="25" t="s">
        <v>58490</v>
      </c>
      <c r="E19104" s="28">
        <v>0.21000</v>
      </c>
      <c r="F19104" s="29">
        <f ca="1">ROUND(33.600,3)</f>
        <v>0</v>
      </c>
      <c r="G19104" s="27">
        <f ca="1">ROUND(E19104*F19104,2)</f>
        <v>0</v>
      </c>
    </row>
    <row r="19105" spans="1:7" ht="39.84" thickBot="1" customHeight="1">
      <c r="A19105" s="24" t="s">
        <v>58491</v>
      </c>
      <c r="B19105" s="24" t="s">
        <v>58492</v>
      </c>
      <c r="C19105" s="24" t="s">
        <v>58493</v>
      </c>
      <c r="D19105" s="25" t="s">
        <v>58494</v>
      </c>
      <c r="E19105" s="28">
        <v>0.08000</v>
      </c>
      <c r="F19105" s="29">
        <f ca="1">ROUND(59.830,3)</f>
        <v>0</v>
      </c>
      <c r="G19105" s="27">
        <f ca="1">ROUND(E19105*F19105,2)</f>
        <v>0</v>
      </c>
    </row>
    <row r="19106" spans="1:7" ht="39.84" thickBot="1" customHeight="1">
      <c r="A19106" s="24" t="s">
        <v>58495</v>
      </c>
      <c r="B19106" s="24" t="s">
        <v>58496</v>
      </c>
      <c r="C19106" s="24" t="s">
        <v>58497</v>
      </c>
      <c r="D19106" s="25" t="s">
        <v>58498</v>
      </c>
      <c r="E19106" s="28">
        <v>1.10000</v>
      </c>
      <c r="F19106" s="29">
        <f ca="1">ROUND(18.870,3)</f>
        <v>0</v>
      </c>
      <c r="G19106" s="27">
        <f ca="1">ROUND(E19106*F19106,2)</f>
        <v>0</v>
      </c>
    </row>
    <row r="19107" spans="1:7" ht="21.36" thickBot="1" customHeight="1">
      <c r="A19107" s="24" t="s">
        <v>58499</v>
      </c>
      <c r="B19107" s="24" t="s">
        <v>58500</v>
      </c>
      <c r="C19107" s="24" t="s">
        <v>58501</v>
      </c>
      <c r="D19107" s="25" t="s">
        <v>58502</v>
      </c>
      <c r="E19107" s="28">
        <v>12.00000</v>
      </c>
      <c r="F19107" s="29">
        <f ca="1">ROUND(0.200,3)</f>
        <v>0</v>
      </c>
      <c r="G19107" s="27">
        <f ca="1">ROUND(E19107*F19107,2)</f>
        <v>0</v>
      </c>
    </row>
    <row r="19108" spans="1:7" ht="30.60" thickBot="1" customHeight="1">
      <c r="A19108" s="24" t="s">
        <v>58503</v>
      </c>
      <c r="B19108" s="24" t="s">
        <v>58504</v>
      </c>
      <c r="C19108" s="24" t="s">
        <v>58505</v>
      </c>
      <c r="D19108" s="25" t="s">
        <v>58506</v>
      </c>
      <c r="E19108" s="28">
        <v>0.70000</v>
      </c>
      <c r="F19108" s="29">
        <f ca="1">ROUND(5.500,3)</f>
        <v>0</v>
      </c>
      <c r="G19108" s="27">
        <f ca="1">ROUND(E19108*F19108,2)</f>
        <v>0</v>
      </c>
    </row>
    <row r="19109" spans="1:7" ht="30.60" thickBot="1" customHeight="1">
      <c r="A19109" s="24" t="s">
        <v>58507</v>
      </c>
      <c r="B19109" s="24" t="s">
        <v>58508</v>
      </c>
      <c r="C19109" s="24" t="s">
        <v>58509</v>
      </c>
      <c r="D19109" s="25" t="s">
        <v>58510</v>
      </c>
      <c r="E19109" s="28">
        <v>0.15000</v>
      </c>
      <c r="F19109" s="29">
        <f ca="1">ROUND(6.320,3)</f>
        <v>0</v>
      </c>
      <c r="G19109" s="27">
        <f ca="1">ROUND(E19109*F19109,2)</f>
        <v>0</v>
      </c>
    </row>
    <row r="19110" spans="1:7" ht="24.36" thickBot="1" customHeight="1">
      <c r="A19110" s="24" t="s">
        <v>58511</v>
      </c>
      <c r="B19110" s="24" t="s">
        <v>58512</v>
      </c>
      <c r="C19110" s="24" t="s">
        <v>58513</v>
      </c>
      <c r="D19110" s="25" t="s">
        <v>58514</v>
      </c>
      <c r="E19110" s="28">
        <v>0.40000</v>
      </c>
      <c r="F19110" s="29">
        <f ca="1">F19114</f>
        <v>0</v>
      </c>
      <c r="G19110" s="27">
        <f ca="1">ROUND(E19110*F19110,2)</f>
        <v>0</v>
      </c>
    </row>
    <row r="19111" spans="1:7" ht="24.36" thickBot="1" customHeight="1">
      <c r="A19111" s="24" t="s">
        <v>58515</v>
      </c>
      <c r="B19111" s="24" t="s">
        <v>58516</v>
      </c>
      <c r="C19111" s="24" t="s">
        <v>58517</v>
      </c>
      <c r="D19111" s="25" t="s">
        <v>58518</v>
      </c>
      <c r="E19111" s="28">
        <v>1.00000</v>
      </c>
      <c r="F19111" s="29">
        <f ca="1">ROUND(21.000,3)</f>
        <v>0</v>
      </c>
      <c r="G19111" s="27">
        <f ca="1">ROUND(E19111*F19111,2)</f>
        <v>0</v>
      </c>
    </row>
    <row r="19112" spans="1:7" ht="24.36" thickBot="1" customHeight="1">
      <c r="A19112" s="24" t="s">
        <v>58519</v>
      </c>
      <c r="B19112" s="24" t="s">
        <v>58520</v>
      </c>
      <c r="C19112" s="24" t="s">
        <v>58521</v>
      </c>
      <c r="D19112" s="25" t="s">
        <v>58522</v>
      </c>
      <c r="E19112" s="28">
        <v>1.00000</v>
      </c>
      <c r="F19112" s="29">
        <f ca="1">ROUND(19.000,3)</f>
        <v>0</v>
      </c>
      <c r="G19112" s="27">
        <f ca="1">ROUND(E19112*F19112,2)</f>
        <v>0</v>
      </c>
    </row>
    <row r="19113" spans="1:7" ht="24.36" thickBot="1" customHeight="1">
      <c r="A19113" s="24" t="s">
        <v>58523</v>
      </c>
      <c r="B19113" s="24" t="s">
        <v>58524</v>
      </c>
      <c r="C19113" s="24" t="s">
        <v>58525</v>
      </c>
      <c r="D19113" s="25" t="s">
        <v>58526</v>
      </c>
      <c r="E19113" s="28">
        <v>0.50000</v>
      </c>
      <c r="F19113" s="29">
        <f ca="1">ROUND(19.000,3)</f>
        <v>0</v>
      </c>
      <c r="G19113" s="27">
        <f ca="1">ROUND(E19113*F19113,2)</f>
        <v>0</v>
      </c>
    </row>
    <row r="19114" spans="1:7" ht="15.12" thickBot="1" customHeight="1">
      <c r="A19114" s="26"/>
      <c r="B19114" s="26"/>
      <c r="C19114" s="26"/>
      <c r="D19114" s="24" t="s">
        <v>58527</v>
      </c>
      <c r="E19114" s="28">
        <v>0.40000</v>
      </c>
      <c r="F19114" s="29">
        <f ca="1">ROUND((G19111+G19112+G19113),3)</f>
        <v>0</v>
      </c>
      <c r="G19114" s="27">
        <f ca="1">ROUND(E19114*F19114,2)</f>
        <v>0</v>
      </c>
    </row>
    <row r="19115" spans="1:7" ht="15.12" thickBot="1" customHeight="1">
      <c r="A19115" s="24" t="s">
        <v>58528</v>
      </c>
      <c r="B19115" s="24"/>
      <c r="C19115" s="24" t="s">
        <v>58529</v>
      </c>
      <c r="D19115" s="25" t="s">
        <v>58530</v>
      </c>
      <c r="E19115" s="28">
        <v>2.00000</v>
      </c>
      <c r="F19115" s="29">
        <f ca="1">ROUND(63.240,3)</f>
        <v>0</v>
      </c>
      <c r="G19115" s="27">
        <f ca="1">ROUND((E19115*F19115)/100,2)</f>
        <v>0</v>
      </c>
    </row>
    <row r="19116" spans="1:7" ht="15.48" thickBot="1" customHeight="1">
      <c r="A19116" s="30"/>
      <c r="B19116" s="30"/>
      <c r="C19116" s="30"/>
      <c r="D19116" s="31" t="s">
        <v>58531</v>
      </c>
      <c r="E19116" s="30"/>
      <c r="F19116" s="33">
        <f ca="1">ROUND((G19102+G19103+G19104+G19105+G19106+G19107+G19108+G19109+G19110+G19115)*(1+G2/100),2)</f>
        <v>0</v>
      </c>
      <c r="G19116" s="30"/>
    </row>
    <row r="19117" spans="1:7" ht="39.84" thickBot="1" customHeight="1">
      <c r="A19117" s="34" t="s">
        <v>58532</v>
      </c>
      <c r="B19117" s="35" t="s">
        <v>58533</v>
      </c>
      <c r="C19117" s="35" t="s">
        <v>58534</v>
      </c>
      <c r="D19117" s="36" t="s">
        <v>58535</v>
      </c>
      <c r="E19117" s="37"/>
      <c r="F19117" s="38">
        <f ca="1">F19127</f>
        <v>0</v>
      </c>
      <c r="G19117" s="37"/>
    </row>
    <row r="19118" spans="1:7" ht="178.44" thickBot="1" customHeight="1">
      <c r="A19118" s="26"/>
      <c r="B19118" s="26"/>
      <c r="C19118" s="26"/>
      <c r="D19118" s="25" t="s">
        <v>58536</v>
      </c>
      <c r="E19118" s="25"/>
      <c r="F19118" s="25"/>
      <c r="G19118" s="25"/>
    </row>
    <row r="19119" spans="1:7" ht="49.08" thickBot="1" customHeight="1">
      <c r="A19119" s="24" t="s">
        <v>58537</v>
      </c>
      <c r="B19119" s="24" t="s">
        <v>58538</v>
      </c>
      <c r="C19119" s="24" t="s">
        <v>58539</v>
      </c>
      <c r="D19119" s="25" t="s">
        <v>58540</v>
      </c>
      <c r="E19119" s="28">
        <v>24.00000</v>
      </c>
      <c r="F19119" s="29">
        <f ca="1">ROUND(0.350,3)</f>
        <v>0</v>
      </c>
      <c r="G19119" s="27">
        <f ca="1">ROUND(E19119*F19119,2)</f>
        <v>0</v>
      </c>
    </row>
    <row r="19120" spans="1:7" ht="30.60" thickBot="1" customHeight="1">
      <c r="A19120" s="24" t="s">
        <v>58541</v>
      </c>
      <c r="B19120" s="24" t="s">
        <v>58542</v>
      </c>
      <c r="C19120" s="24" t="s">
        <v>58543</v>
      </c>
      <c r="D19120" s="25" t="s">
        <v>58544</v>
      </c>
      <c r="E19120" s="28">
        <v>0.76000</v>
      </c>
      <c r="F19120" s="29">
        <f ca="1">ROUND(1.470,3)</f>
        <v>0</v>
      </c>
      <c r="G19120" s="27">
        <f ca="1">ROUND(E19120*F19120,2)</f>
        <v>0</v>
      </c>
    </row>
    <row r="19121" spans="1:7" ht="21.36" thickBot="1" customHeight="1">
      <c r="A19121" s="24" t="s">
        <v>58545</v>
      </c>
      <c r="B19121" s="24" t="s">
        <v>58546</v>
      </c>
      <c r="C19121" s="24" t="s">
        <v>58547</v>
      </c>
      <c r="D19121" s="25" t="s">
        <v>58548</v>
      </c>
      <c r="E19121" s="28">
        <v>0.60000</v>
      </c>
      <c r="F19121" s="29">
        <f ca="1">F19125</f>
        <v>0</v>
      </c>
      <c r="G19121" s="27">
        <f ca="1">ROUND(E19121*F19121,2)</f>
        <v>0</v>
      </c>
    </row>
    <row r="19122" spans="1:7" ht="24.36" thickBot="1" customHeight="1">
      <c r="A19122" s="24" t="s">
        <v>58549</v>
      </c>
      <c r="B19122" s="24" t="s">
        <v>58550</v>
      </c>
      <c r="C19122" s="24" t="s">
        <v>58551</v>
      </c>
      <c r="D19122" s="25" t="s">
        <v>58552</v>
      </c>
      <c r="E19122" s="28">
        <v>1.00000</v>
      </c>
      <c r="F19122" s="29">
        <f ca="1">ROUND(21.000,3)</f>
        <v>0</v>
      </c>
      <c r="G19122" s="27">
        <f ca="1">ROUND(E19122*F19122,2)</f>
        <v>0</v>
      </c>
    </row>
    <row r="19123" spans="1:7" ht="24.36" thickBot="1" customHeight="1">
      <c r="A19123" s="24" t="s">
        <v>58553</v>
      </c>
      <c r="B19123" s="24" t="s">
        <v>58554</v>
      </c>
      <c r="C19123" s="24" t="s">
        <v>58555</v>
      </c>
      <c r="D19123" s="25" t="s">
        <v>58556</v>
      </c>
      <c r="E19123" s="28">
        <v>1.00000</v>
      </c>
      <c r="F19123" s="29">
        <f ca="1">ROUND(19.000,3)</f>
        <v>0</v>
      </c>
      <c r="G19123" s="27">
        <f ca="1">ROUND(E19123*F19123,2)</f>
        <v>0</v>
      </c>
    </row>
    <row r="19124" spans="1:7" ht="24.36" thickBot="1" customHeight="1">
      <c r="A19124" s="24" t="s">
        <v>58557</v>
      </c>
      <c r="B19124" s="24" t="s">
        <v>58558</v>
      </c>
      <c r="C19124" s="24" t="s">
        <v>58559</v>
      </c>
      <c r="D19124" s="25" t="s">
        <v>58560</v>
      </c>
      <c r="E19124" s="28">
        <v>0.20000</v>
      </c>
      <c r="F19124" s="29">
        <f ca="1">ROUND(19.000,3)</f>
        <v>0</v>
      </c>
      <c r="G19124" s="27">
        <f ca="1">ROUND(E19124*F19124,2)</f>
        <v>0</v>
      </c>
    </row>
    <row r="19125" spans="1:7" ht="15.12" thickBot="1" customHeight="1">
      <c r="A19125" s="26"/>
      <c r="B19125" s="26"/>
      <c r="C19125" s="26"/>
      <c r="D19125" s="24" t="s">
        <v>58561</v>
      </c>
      <c r="E19125" s="28">
        <v>0.60000</v>
      </c>
      <c r="F19125" s="29">
        <f ca="1">ROUND((G19122+G19123+G19124),3)</f>
        <v>0</v>
      </c>
      <c r="G19125" s="27">
        <f ca="1">ROUND(E19125*F19125,2)</f>
        <v>0</v>
      </c>
    </row>
    <row r="19126" spans="1:7" ht="15.12" thickBot="1" customHeight="1">
      <c r="A19126" s="24" t="s">
        <v>58562</v>
      </c>
      <c r="B19126" s="24"/>
      <c r="C19126" s="24" t="s">
        <v>58563</v>
      </c>
      <c r="D19126" s="25" t="s">
        <v>58564</v>
      </c>
      <c r="E19126" s="28">
        <v>2.00000</v>
      </c>
      <c r="F19126" s="29">
        <f ca="1">ROUND(35.800,3)</f>
        <v>0</v>
      </c>
      <c r="G19126" s="27">
        <f ca="1">ROUND((E19126*F19126)/100,2)</f>
        <v>0</v>
      </c>
    </row>
    <row r="19127" spans="1:7" ht="25.08" thickBot="1" customHeight="1">
      <c r="A19127" s="30"/>
      <c r="B19127" s="30"/>
      <c r="C19127" s="30"/>
      <c r="D19127" s="31" t="s">
        <v>58565</v>
      </c>
      <c r="E19127" s="30"/>
      <c r="F19127" s="33">
        <f ca="1">ROUND((G19119+G19120+G19121+G19126)*(1+G2/100),2)</f>
        <v>0</v>
      </c>
      <c r="G19127" s="30"/>
    </row>
    <row r="19128" spans="1:7" ht="49.08" thickBot="1" customHeight="1">
      <c r="A19128" s="34" t="s">
        <v>58566</v>
      </c>
      <c r="B19128" s="35" t="s">
        <v>58567</v>
      </c>
      <c r="C19128" s="35" t="s">
        <v>58568</v>
      </c>
      <c r="D19128" s="36" t="s">
        <v>58569</v>
      </c>
      <c r="E19128" s="37"/>
      <c r="F19128" s="38">
        <f ca="1">F19138</f>
        <v>0</v>
      </c>
      <c r="G19128" s="37"/>
    </row>
    <row r="19129" spans="1:7" ht="21.36" thickBot="1" customHeight="1">
      <c r="A19129" s="26"/>
      <c r="B19129" s="26"/>
      <c r="C19129" s="26"/>
      <c r="D19129" s="25" t="s">
        <v>58570</v>
      </c>
      <c r="E19129" s="25"/>
      <c r="F19129" s="25"/>
      <c r="G19129" s="25"/>
    </row>
    <row r="19130" spans="1:7" ht="39.84" thickBot="1" customHeight="1">
      <c r="A19130" s="24" t="s">
        <v>58571</v>
      </c>
      <c r="B19130" s="24" t="s">
        <v>58572</v>
      </c>
      <c r="C19130" s="24" t="s">
        <v>58573</v>
      </c>
      <c r="D19130" s="25" t="s">
        <v>58574</v>
      </c>
      <c r="E19130" s="28">
        <v>0.02900</v>
      </c>
      <c r="F19130" s="29">
        <f ca="1">ROUND(110.700,3)</f>
        <v>0</v>
      </c>
      <c r="G19130" s="27">
        <f ca="1">ROUND(E19130*F19130,2)</f>
        <v>0</v>
      </c>
    </row>
    <row r="19131" spans="1:7" ht="30.60" thickBot="1" customHeight="1">
      <c r="A19131" s="24" t="s">
        <v>58575</v>
      </c>
      <c r="B19131" s="24" t="s">
        <v>58576</v>
      </c>
      <c r="C19131" s="24" t="s">
        <v>58577</v>
      </c>
      <c r="D19131" s="25" t="s">
        <v>58578</v>
      </c>
      <c r="E19131" s="28">
        <v>0.01600</v>
      </c>
      <c r="F19131" s="29">
        <f ca="1">ROUND(70.680,3)</f>
        <v>0</v>
      </c>
      <c r="G19131" s="27">
        <f ca="1">ROUND(E19131*F19131,2)</f>
        <v>0</v>
      </c>
    </row>
    <row r="19132" spans="1:7" ht="21.36" thickBot="1" customHeight="1">
      <c r="A19132" s="24" t="s">
        <v>58579</v>
      </c>
      <c r="B19132" s="24" t="s">
        <v>58580</v>
      </c>
      <c r="C19132" s="24" t="s">
        <v>58581</v>
      </c>
      <c r="D19132" s="25" t="s">
        <v>58582</v>
      </c>
      <c r="E19132" s="28">
        <v>0.32000</v>
      </c>
      <c r="F19132" s="29">
        <f ca="1">F19136</f>
        <v>0</v>
      </c>
      <c r="G19132" s="27">
        <f ca="1">ROUND(E19132*F19132,2)</f>
        <v>0</v>
      </c>
    </row>
    <row r="19133" spans="1:7" ht="24.36" thickBot="1" customHeight="1">
      <c r="A19133" s="24" t="s">
        <v>58583</v>
      </c>
      <c r="B19133" s="24" t="s">
        <v>58584</v>
      </c>
      <c r="C19133" s="24" t="s">
        <v>58585</v>
      </c>
      <c r="D19133" s="25" t="s">
        <v>58586</v>
      </c>
      <c r="E19133" s="28">
        <v>1.00000</v>
      </c>
      <c r="F19133" s="29">
        <f ca="1">ROUND(21.000,3)</f>
        <v>0</v>
      </c>
      <c r="G19133" s="27">
        <f ca="1">ROUND(E19133*F19133,2)</f>
        <v>0</v>
      </c>
    </row>
    <row r="19134" spans="1:7" ht="24.36" thickBot="1" customHeight="1">
      <c r="A19134" s="24" t="s">
        <v>58587</v>
      </c>
      <c r="B19134" s="24" t="s">
        <v>58588</v>
      </c>
      <c r="C19134" s="24" t="s">
        <v>58589</v>
      </c>
      <c r="D19134" s="25" t="s">
        <v>58590</v>
      </c>
      <c r="E19134" s="28">
        <v>1.00000</v>
      </c>
      <c r="F19134" s="29">
        <f ca="1">ROUND(19.000,3)</f>
        <v>0</v>
      </c>
      <c r="G19134" s="27">
        <f ca="1">ROUND(E19134*F19134,2)</f>
        <v>0</v>
      </c>
    </row>
    <row r="19135" spans="1:7" ht="24.36" thickBot="1" customHeight="1">
      <c r="A19135" s="24" t="s">
        <v>58591</v>
      </c>
      <c r="B19135" s="24" t="s">
        <v>58592</v>
      </c>
      <c r="C19135" s="24" t="s">
        <v>58593</v>
      </c>
      <c r="D19135" s="25" t="s">
        <v>58594</v>
      </c>
      <c r="E19135" s="28">
        <v>0.20000</v>
      </c>
      <c r="F19135" s="29">
        <f ca="1">ROUND(19.000,3)</f>
        <v>0</v>
      </c>
      <c r="G19135" s="27">
        <f ca="1">ROUND(E19135*F19135,2)</f>
        <v>0</v>
      </c>
    </row>
    <row r="19136" spans="1:7" ht="15.12" thickBot="1" customHeight="1">
      <c r="A19136" s="26"/>
      <c r="B19136" s="26"/>
      <c r="C19136" s="26"/>
      <c r="D19136" s="24" t="s">
        <v>58595</v>
      </c>
      <c r="E19136" s="28">
        <v>0.32000</v>
      </c>
      <c r="F19136" s="29">
        <f ca="1">ROUND((G19133+G19134+G19135),3)</f>
        <v>0</v>
      </c>
      <c r="G19136" s="27">
        <f ca="1">ROUND(E19136*F19136,2)</f>
        <v>0</v>
      </c>
    </row>
    <row r="19137" spans="1:7" ht="15.12" thickBot="1" customHeight="1">
      <c r="A19137" s="24" t="s">
        <v>58596</v>
      </c>
      <c r="B19137" s="24"/>
      <c r="C19137" s="24" t="s">
        <v>58597</v>
      </c>
      <c r="D19137" s="25" t="s">
        <v>58598</v>
      </c>
      <c r="E19137" s="28">
        <v>5.00000</v>
      </c>
      <c r="F19137" s="29">
        <f ca="1">ROUND(14.020,3)</f>
        <v>0</v>
      </c>
      <c r="G19137" s="27">
        <f ca="1">ROUND((E19137*F19137)/100,2)</f>
        <v>0</v>
      </c>
    </row>
    <row r="19138" spans="1:7" ht="15.48" thickBot="1" customHeight="1">
      <c r="A19138" s="30"/>
      <c r="B19138" s="30"/>
      <c r="C19138" s="30"/>
      <c r="D19138" s="31" t="s">
        <v>58599</v>
      </c>
      <c r="E19138" s="30"/>
      <c r="F19138" s="33">
        <f ca="1">ROUND((G19130+G19131+G19132+G19137)*(1+G2/100),2)</f>
        <v>0</v>
      </c>
      <c r="G19138" s="30"/>
    </row>
    <row r="19139" spans="1:7" ht="30.60" thickBot="1" customHeight="1">
      <c r="A19139" s="34" t="s">
        <v>58600</v>
      </c>
      <c r="B19139" s="35" t="s">
        <v>58601</v>
      </c>
      <c r="C19139" s="35" t="s">
        <v>58602</v>
      </c>
      <c r="D19139" s="36" t="s">
        <v>58603</v>
      </c>
      <c r="E19139" s="37"/>
      <c r="F19139" s="38">
        <f ca="1">F19149</f>
        <v>0</v>
      </c>
      <c r="G19139" s="37"/>
    </row>
    <row r="19140" spans="1:7" ht="21.36" thickBot="1" customHeight="1">
      <c r="A19140" s="26"/>
      <c r="B19140" s="26"/>
      <c r="C19140" s="26"/>
      <c r="D19140" s="25" t="s">
        <v>58604</v>
      </c>
      <c r="E19140" s="25"/>
      <c r="F19140" s="25"/>
      <c r="G19140" s="25"/>
    </row>
    <row r="19141" spans="1:7" ht="39.84" thickBot="1" customHeight="1">
      <c r="A19141" s="24" t="s">
        <v>58605</v>
      </c>
      <c r="B19141" s="24" t="s">
        <v>58606</v>
      </c>
      <c r="C19141" s="24" t="s">
        <v>58607</v>
      </c>
      <c r="D19141" s="25" t="s">
        <v>58608</v>
      </c>
      <c r="E19141" s="28">
        <v>0.02500</v>
      </c>
      <c r="F19141" s="29">
        <f ca="1">ROUND(110.700,3)</f>
        <v>0</v>
      </c>
      <c r="G19141" s="27">
        <f ca="1">ROUND(E19141*F19141,2)</f>
        <v>0</v>
      </c>
    </row>
    <row r="19142" spans="1:7" ht="39.84" thickBot="1" customHeight="1">
      <c r="A19142" s="24" t="s">
        <v>58609</v>
      </c>
      <c r="B19142" s="24" t="s">
        <v>58610</v>
      </c>
      <c r="C19142" s="24" t="s">
        <v>58611</v>
      </c>
      <c r="D19142" s="25" t="s">
        <v>58612</v>
      </c>
      <c r="E19142" s="28">
        <v>0.03400</v>
      </c>
      <c r="F19142" s="29">
        <f ca="1">ROUND(114.750,3)</f>
        <v>0</v>
      </c>
      <c r="G19142" s="27">
        <f ca="1">ROUND(E19142*F19142,2)</f>
        <v>0</v>
      </c>
    </row>
    <row r="19143" spans="1:7" ht="21.36" thickBot="1" customHeight="1">
      <c r="A19143" s="24" t="s">
        <v>58613</v>
      </c>
      <c r="B19143" s="24" t="s">
        <v>58614</v>
      </c>
      <c r="C19143" s="24" t="s">
        <v>58615</v>
      </c>
      <c r="D19143" s="25" t="s">
        <v>58616</v>
      </c>
      <c r="E19143" s="28">
        <v>0.26700</v>
      </c>
      <c r="F19143" s="29">
        <f ca="1">F19147</f>
        <v>0</v>
      </c>
      <c r="G19143" s="27">
        <f ca="1">ROUND(E19143*F19143,2)</f>
        <v>0</v>
      </c>
    </row>
    <row r="19144" spans="1:7" ht="24.36" thickBot="1" customHeight="1">
      <c r="A19144" s="24" t="s">
        <v>58617</v>
      </c>
      <c r="B19144" s="24" t="s">
        <v>58618</v>
      </c>
      <c r="C19144" s="24" t="s">
        <v>58619</v>
      </c>
      <c r="D19144" s="25" t="s">
        <v>58620</v>
      </c>
      <c r="E19144" s="28">
        <v>1.00000</v>
      </c>
      <c r="F19144" s="29">
        <f ca="1">ROUND(21.000,3)</f>
        <v>0</v>
      </c>
      <c r="G19144" s="27">
        <f ca="1">ROUND(E19144*F19144,2)</f>
        <v>0</v>
      </c>
    </row>
    <row r="19145" spans="1:7" ht="24.36" thickBot="1" customHeight="1">
      <c r="A19145" s="24" t="s">
        <v>58621</v>
      </c>
      <c r="B19145" s="24" t="s">
        <v>58622</v>
      </c>
      <c r="C19145" s="24" t="s">
        <v>58623</v>
      </c>
      <c r="D19145" s="25" t="s">
        <v>58624</v>
      </c>
      <c r="E19145" s="28">
        <v>1.00000</v>
      </c>
      <c r="F19145" s="29">
        <f ca="1">ROUND(19.000,3)</f>
        <v>0</v>
      </c>
      <c r="G19145" s="27">
        <f ca="1">ROUND(E19145*F19145,2)</f>
        <v>0</v>
      </c>
    </row>
    <row r="19146" spans="1:7" ht="24.36" thickBot="1" customHeight="1">
      <c r="A19146" s="24" t="s">
        <v>58625</v>
      </c>
      <c r="B19146" s="24" t="s">
        <v>58626</v>
      </c>
      <c r="C19146" s="24" t="s">
        <v>58627</v>
      </c>
      <c r="D19146" s="25" t="s">
        <v>58628</v>
      </c>
      <c r="E19146" s="28">
        <v>0.20000</v>
      </c>
      <c r="F19146" s="29">
        <f ca="1">ROUND(19.000,3)</f>
        <v>0</v>
      </c>
      <c r="G19146" s="27">
        <f ca="1">ROUND(E19146*F19146,2)</f>
        <v>0</v>
      </c>
    </row>
    <row r="19147" spans="1:7" ht="15.12" thickBot="1" customHeight="1">
      <c r="A19147" s="26"/>
      <c r="B19147" s="26"/>
      <c r="C19147" s="26"/>
      <c r="D19147" s="24" t="s">
        <v>58629</v>
      </c>
      <c r="E19147" s="28">
        <v>0.26700</v>
      </c>
      <c r="F19147" s="29">
        <f ca="1">ROUND((G19144+G19145+G19146),3)</f>
        <v>0</v>
      </c>
      <c r="G19147" s="27">
        <f ca="1">ROUND(E19147*F19147,2)</f>
        <v>0</v>
      </c>
    </row>
    <row r="19148" spans="1:7" ht="15.12" thickBot="1" customHeight="1">
      <c r="A19148" s="24" t="s">
        <v>58630</v>
      </c>
      <c r="B19148" s="24"/>
      <c r="C19148" s="24" t="s">
        <v>58631</v>
      </c>
      <c r="D19148" s="25" t="s">
        <v>58632</v>
      </c>
      <c r="E19148" s="28">
        <v>5.00000</v>
      </c>
      <c r="F19148" s="29">
        <f ca="1">ROUND(11.690,3)</f>
        <v>0</v>
      </c>
      <c r="G19148" s="27">
        <f ca="1">ROUND((E19148*F19148)/100,2)</f>
        <v>0</v>
      </c>
    </row>
    <row r="19149" spans="1:7" ht="15.48" thickBot="1" customHeight="1">
      <c r="A19149" s="30"/>
      <c r="B19149" s="30"/>
      <c r="C19149" s="30"/>
      <c r="D19149" s="31" t="s">
        <v>58633</v>
      </c>
      <c r="E19149" s="30"/>
      <c r="F19149" s="33">
        <f ca="1">ROUND((G19141+G19142+G19143+G19148)*(1+G2/100),2)</f>
        <v>0</v>
      </c>
      <c r="G19149" s="30"/>
    </row>
    <row r="19150" spans="1:7" ht="30.60" thickBot="1" customHeight="1">
      <c r="A19150" s="34" t="s">
        <v>58634</v>
      </c>
      <c r="B19150" s="35" t="s">
        <v>58635</v>
      </c>
      <c r="C19150" s="35" t="s">
        <v>58636</v>
      </c>
      <c r="D19150" s="36" t="s">
        <v>58637</v>
      </c>
      <c r="E19150" s="37"/>
      <c r="F19150" s="38">
        <f ca="1">F19157</f>
        <v>0</v>
      </c>
      <c r="G19150" s="37"/>
    </row>
    <row r="19151" spans="1:7" ht="12.12" thickBot="1" customHeight="1">
      <c r="A19151" s="26"/>
      <c r="B19151" s="26"/>
      <c r="C19151" s="26"/>
      <c r="D19151" s="25" t="s">
        <v>58638</v>
      </c>
      <c r="E19151" s="25"/>
      <c r="F19151" s="25"/>
      <c r="G19151" s="25"/>
    </row>
    <row r="19152" spans="1:7" ht="30.60" thickBot="1" customHeight="1">
      <c r="A19152" s="24" t="s">
        <v>58639</v>
      </c>
      <c r="B19152" s="24" t="s">
        <v>58640</v>
      </c>
      <c r="C19152" s="24" t="s">
        <v>58641</v>
      </c>
      <c r="D19152" s="25" t="s">
        <v>58642</v>
      </c>
      <c r="E19152" s="28">
        <v>1.00000</v>
      </c>
      <c r="F19152" s="29">
        <f ca="1">ROUND(172.000,3)</f>
        <v>0</v>
      </c>
      <c r="G19152" s="27">
        <f ca="1">ROUND(E19152*F19152,2)</f>
        <v>0</v>
      </c>
    </row>
    <row r="19153" spans="1:7" ht="30.60" thickBot="1" customHeight="1">
      <c r="A19153" s="24" t="s">
        <v>58643</v>
      </c>
      <c r="B19153" s="24" t="s">
        <v>58644</v>
      </c>
      <c r="C19153" s="24" t="s">
        <v>58645</v>
      </c>
      <c r="D19153" s="25" t="s">
        <v>58646</v>
      </c>
      <c r="E19153" s="28">
        <v>1.00000</v>
      </c>
      <c r="F19153" s="29">
        <f ca="1">ROUND(30.770,3)</f>
        <v>0</v>
      </c>
      <c r="G19153" s="27">
        <f ca="1">ROUND(E19153*F19153,2)</f>
        <v>0</v>
      </c>
    </row>
    <row r="19154" spans="1:7" ht="30.60" thickBot="1" customHeight="1">
      <c r="A19154" s="24" t="s">
        <v>58647</v>
      </c>
      <c r="B19154" s="24" t="s">
        <v>58648</v>
      </c>
      <c r="C19154" s="24" t="s">
        <v>58649</v>
      </c>
      <c r="D19154" s="25" t="s">
        <v>58650</v>
      </c>
      <c r="E19154" s="28">
        <v>3.00000</v>
      </c>
      <c r="F19154" s="29">
        <f ca="1">ROUND(32.220,3)</f>
        <v>0</v>
      </c>
      <c r="G19154" s="27">
        <f ca="1">ROUND(E19154*F19154,2)</f>
        <v>0</v>
      </c>
    </row>
    <row r="19155" spans="1:7" ht="30.60" thickBot="1" customHeight="1">
      <c r="A19155" s="24" t="s">
        <v>58651</v>
      </c>
      <c r="B19155" s="24" t="s">
        <v>58652</v>
      </c>
      <c r="C19155" s="24" t="s">
        <v>58653</v>
      </c>
      <c r="D19155" s="25" t="s">
        <v>58654</v>
      </c>
      <c r="E19155" s="28">
        <v>1.00000</v>
      </c>
      <c r="F19155" s="29">
        <f ca="1">ROUND(42.000,3)</f>
        <v>0</v>
      </c>
      <c r="G19155" s="27">
        <f ca="1">ROUND(E19155*F19155,2)</f>
        <v>0</v>
      </c>
    </row>
    <row r="19156" spans="1:7" ht="30.60" thickBot="1" customHeight="1">
      <c r="A19156" s="24" t="s">
        <v>58655</v>
      </c>
      <c r="B19156" s="24" t="s">
        <v>58656</v>
      </c>
      <c r="C19156" s="24" t="s">
        <v>58657</v>
      </c>
      <c r="D19156" s="25" t="s">
        <v>58658</v>
      </c>
      <c r="E19156" s="28">
        <v>1.00000</v>
      </c>
      <c r="F19156" s="29">
        <f ca="1">ROUND(119.000,3)</f>
        <v>0</v>
      </c>
      <c r="G19156" s="27">
        <f ca="1">ROUND(E19156*F19156,2)</f>
        <v>0</v>
      </c>
    </row>
    <row r="19157" spans="1:7" ht="15.48" thickBot="1" customHeight="1">
      <c r="A19157" s="30"/>
      <c r="B19157" s="30"/>
      <c r="C19157" s="30"/>
      <c r="D19157" s="31" t="s">
        <v>58659</v>
      </c>
      <c r="E19157" s="30"/>
      <c r="F19157" s="33">
        <f ca="1">ROUND((G19152+G19153+G19154+G19155+G19156)*(1+G2/100),2)</f>
        <v>0</v>
      </c>
      <c r="G19157" s="30"/>
    </row>
    <row r="19158" spans="1:7" ht="21.36" thickBot="1" customHeight="1">
      <c r="A19158" s="34" t="s">
        <v>58660</v>
      </c>
      <c r="B19158" s="35" t="s">
        <v>58661</v>
      </c>
      <c r="C19158" s="35" t="s">
        <v>58662</v>
      </c>
      <c r="D19158" s="36" t="s">
        <v>58663</v>
      </c>
      <c r="E19158" s="37"/>
      <c r="F19158" s="38">
        <f ca="1">F19169</f>
        <v>0</v>
      </c>
      <c r="G19158" s="37"/>
    </row>
    <row r="19159" spans="1:7" ht="49.08" thickBot="1" customHeight="1">
      <c r="A19159" s="26"/>
      <c r="B19159" s="26"/>
      <c r="C19159" s="26"/>
      <c r="D19159" s="25" t="s">
        <v>58664</v>
      </c>
      <c r="E19159" s="25"/>
      <c r="F19159" s="25"/>
      <c r="G19159" s="25"/>
    </row>
    <row r="19160" spans="1:7" ht="21.36" thickBot="1" customHeight="1">
      <c r="A19160" s="24" t="s">
        <v>58665</v>
      </c>
      <c r="B19160" s="24" t="s">
        <v>58666</v>
      </c>
      <c r="C19160" s="24" t="s">
        <v>58667</v>
      </c>
      <c r="D19160" s="25" t="s">
        <v>58668</v>
      </c>
      <c r="E19160" s="28">
        <v>0.34000</v>
      </c>
      <c r="F19160" s="29">
        <f ca="1">ROUND(30.170,3)</f>
        <v>0</v>
      </c>
      <c r="G19160" s="27">
        <f ca="1">ROUND(E19160*F19160,2)</f>
        <v>0</v>
      </c>
    </row>
    <row r="19161" spans="1:7" ht="21.36" thickBot="1" customHeight="1">
      <c r="A19161" s="24" t="s">
        <v>58669</v>
      </c>
      <c r="B19161" s="24" t="s">
        <v>58670</v>
      </c>
      <c r="C19161" s="24" t="s">
        <v>58671</v>
      </c>
      <c r="D19161" s="25" t="s">
        <v>58672</v>
      </c>
      <c r="E19161" s="28">
        <v>0.05500</v>
      </c>
      <c r="F19161" s="29">
        <f ca="1">ROUND(3.470,3)</f>
        <v>0</v>
      </c>
      <c r="G19161" s="27">
        <f ca="1">ROUND(E19161*F19161,2)</f>
        <v>0</v>
      </c>
    </row>
    <row r="19162" spans="1:7" ht="21.36" thickBot="1" customHeight="1">
      <c r="A19162" s="24" t="s">
        <v>58673</v>
      </c>
      <c r="B19162" s="24" t="s">
        <v>58674</v>
      </c>
      <c r="C19162" s="24" t="s">
        <v>58675</v>
      </c>
      <c r="D19162" s="25" t="s">
        <v>58676</v>
      </c>
      <c r="E19162" s="28">
        <v>0.50000</v>
      </c>
      <c r="F19162" s="29">
        <f ca="1">ROUND(1.320,3)</f>
        <v>0</v>
      </c>
      <c r="G19162" s="27">
        <f ca="1">ROUND(E19162*F19162,2)</f>
        <v>0</v>
      </c>
    </row>
    <row r="19163" spans="1:7" ht="21.36" thickBot="1" customHeight="1">
      <c r="A19163" s="24" t="s">
        <v>58677</v>
      </c>
      <c r="B19163" s="24" t="s">
        <v>58678</v>
      </c>
      <c r="C19163" s="24" t="s">
        <v>58679</v>
      </c>
      <c r="D19163" s="25" t="s">
        <v>58680</v>
      </c>
      <c r="E19163" s="28">
        <v>0.15000</v>
      </c>
      <c r="F19163" s="29">
        <f ca="1">F19167</f>
        <v>0</v>
      </c>
      <c r="G19163" s="27">
        <f ca="1">ROUND(E19163*F19163,2)</f>
        <v>0</v>
      </c>
    </row>
    <row r="19164" spans="1:7" ht="24.36" thickBot="1" customHeight="1">
      <c r="A19164" s="24" t="s">
        <v>58681</v>
      </c>
      <c r="B19164" s="24" t="s">
        <v>58682</v>
      </c>
      <c r="C19164" s="24" t="s">
        <v>58683</v>
      </c>
      <c r="D19164" s="25" t="s">
        <v>58684</v>
      </c>
      <c r="E19164" s="28">
        <v>1.00000</v>
      </c>
      <c r="F19164" s="29">
        <f ca="1">ROUND(21.000,3)</f>
        <v>0</v>
      </c>
      <c r="G19164" s="27">
        <f ca="1">ROUND(E19164*F19164,2)</f>
        <v>0</v>
      </c>
    </row>
    <row r="19165" spans="1:7" ht="24.36" thickBot="1" customHeight="1">
      <c r="A19165" s="24" t="s">
        <v>58685</v>
      </c>
      <c r="B19165" s="24" t="s">
        <v>58686</v>
      </c>
      <c r="C19165" s="24" t="s">
        <v>58687</v>
      </c>
      <c r="D19165" s="25" t="s">
        <v>58688</v>
      </c>
      <c r="E19165" s="28">
        <v>1.00000</v>
      </c>
      <c r="F19165" s="29">
        <f ca="1">ROUND(19.000,3)</f>
        <v>0</v>
      </c>
      <c r="G19165" s="27">
        <f ca="1">ROUND(E19165*F19165,2)</f>
        <v>0</v>
      </c>
    </row>
    <row r="19166" spans="1:7" ht="24.36" thickBot="1" customHeight="1">
      <c r="A19166" s="24" t="s">
        <v>58689</v>
      </c>
      <c r="B19166" s="24" t="s">
        <v>58690</v>
      </c>
      <c r="C19166" s="24" t="s">
        <v>58691</v>
      </c>
      <c r="D19166" s="25" t="s">
        <v>58692</v>
      </c>
      <c r="E19166" s="28">
        <v>0.20000</v>
      </c>
      <c r="F19166" s="29">
        <f ca="1">ROUND(19.000,3)</f>
        <v>0</v>
      </c>
      <c r="G19166" s="27">
        <f ca="1">ROUND(E19166*F19166,2)</f>
        <v>0</v>
      </c>
    </row>
    <row r="19167" spans="1:7" ht="15.12" thickBot="1" customHeight="1">
      <c r="A19167" s="26"/>
      <c r="B19167" s="26"/>
      <c r="C19167" s="26"/>
      <c r="D19167" s="24" t="s">
        <v>58693</v>
      </c>
      <c r="E19167" s="28">
        <v>0.15000</v>
      </c>
      <c r="F19167" s="29">
        <f ca="1">ROUND((G19164+G19165+G19166),3)</f>
        <v>0</v>
      </c>
      <c r="G19167" s="27">
        <f ca="1">ROUND(E19167*F19167,2)</f>
        <v>0</v>
      </c>
    </row>
    <row r="19168" spans="1:7" ht="15.12" thickBot="1" customHeight="1">
      <c r="A19168" s="24" t="s">
        <v>58694</v>
      </c>
      <c r="B19168" s="24"/>
      <c r="C19168" s="24" t="s">
        <v>58695</v>
      </c>
      <c r="D19168" s="25" t="s">
        <v>58696</v>
      </c>
      <c r="E19168" s="28">
        <v>4.00000</v>
      </c>
      <c r="F19168" s="29">
        <f ca="1">ROUND(6.570,3)</f>
        <v>0</v>
      </c>
      <c r="G19168" s="27">
        <f ca="1">ROUND((E19168*F19168)/100,2)</f>
        <v>0</v>
      </c>
    </row>
    <row r="19169" spans="1:7" ht="15.48" thickBot="1" customHeight="1">
      <c r="A19169" s="30"/>
      <c r="B19169" s="30"/>
      <c r="C19169" s="30"/>
      <c r="D19169" s="31" t="s">
        <v>58697</v>
      </c>
      <c r="E19169" s="30"/>
      <c r="F19169" s="33">
        <f ca="1">ROUND((G19160+G19161+G19162+G19163+G19168)*(1+G2/100),2)</f>
        <v>0</v>
      </c>
      <c r="G19169" s="30"/>
    </row>
    <row r="19170" spans="1:7" ht="39.84" thickBot="1" customHeight="1">
      <c r="A19170" s="34" t="s">
        <v>58698</v>
      </c>
      <c r="B19170" s="35" t="s">
        <v>58699</v>
      </c>
      <c r="C19170" s="35" t="s">
        <v>58700</v>
      </c>
      <c r="D19170" s="36" t="s">
        <v>58701</v>
      </c>
      <c r="E19170" s="37"/>
      <c r="F19170" s="38">
        <f ca="1">F19180</f>
        <v>0</v>
      </c>
      <c r="G19170" s="37"/>
    </row>
    <row r="19171" spans="1:7" ht="21.36" thickBot="1" customHeight="1">
      <c r="A19171" s="26"/>
      <c r="B19171" s="26"/>
      <c r="C19171" s="26"/>
      <c r="D19171" s="25" t="s">
        <v>58702</v>
      </c>
      <c r="E19171" s="25"/>
      <c r="F19171" s="25"/>
      <c r="G19171" s="25"/>
    </row>
    <row r="19172" spans="1:7" ht="21.36" thickBot="1" customHeight="1">
      <c r="A19172" s="24" t="s">
        <v>58703</v>
      </c>
      <c r="B19172" s="24" t="s">
        <v>58704</v>
      </c>
      <c r="C19172" s="24" t="s">
        <v>58705</v>
      </c>
      <c r="D19172" s="25" t="s">
        <v>58706</v>
      </c>
      <c r="E19172" s="28">
        <v>0.33300</v>
      </c>
      <c r="F19172" s="29">
        <f ca="1">ROUND(6.320,3)</f>
        <v>0</v>
      </c>
      <c r="G19172" s="27">
        <f ca="1">ROUND(E19172*F19172,2)</f>
        <v>0</v>
      </c>
    </row>
    <row r="19173" spans="1:7" ht="21.36" thickBot="1" customHeight="1">
      <c r="A19173" s="24" t="s">
        <v>58707</v>
      </c>
      <c r="B19173" s="24" t="s">
        <v>58708</v>
      </c>
      <c r="C19173" s="24" t="s">
        <v>58709</v>
      </c>
      <c r="D19173" s="25" t="s">
        <v>58710</v>
      </c>
      <c r="E19173" s="28">
        <v>0.20000</v>
      </c>
      <c r="F19173" s="29">
        <f ca="1">ROUND(1.320,3)</f>
        <v>0</v>
      </c>
      <c r="G19173" s="27">
        <f ca="1">ROUND(E19173*F19173,2)</f>
        <v>0</v>
      </c>
    </row>
    <row r="19174" spans="1:7" ht="21.36" thickBot="1" customHeight="1">
      <c r="A19174" s="24" t="s">
        <v>58711</v>
      </c>
      <c r="B19174" s="24" t="s">
        <v>58712</v>
      </c>
      <c r="C19174" s="24" t="s">
        <v>58713</v>
      </c>
      <c r="D19174" s="25" t="s">
        <v>58714</v>
      </c>
      <c r="E19174" s="28">
        <v>0.26666</v>
      </c>
      <c r="F19174" s="29">
        <f ca="1">F19178</f>
        <v>0</v>
      </c>
      <c r="G19174" s="27">
        <f ca="1">ROUND(E19174*F19174,2)</f>
        <v>0</v>
      </c>
    </row>
    <row r="19175" spans="1:7" ht="24.36" thickBot="1" customHeight="1">
      <c r="A19175" s="24" t="s">
        <v>58715</v>
      </c>
      <c r="B19175" s="24" t="s">
        <v>58716</v>
      </c>
      <c r="C19175" s="24" t="s">
        <v>58717</v>
      </c>
      <c r="D19175" s="25" t="s">
        <v>58718</v>
      </c>
      <c r="E19175" s="28">
        <v>1.00000</v>
      </c>
      <c r="F19175" s="29">
        <f ca="1">ROUND(21.000,3)</f>
        <v>0</v>
      </c>
      <c r="G19175" s="27">
        <f ca="1">ROUND(E19175*F19175,2)</f>
        <v>0</v>
      </c>
    </row>
    <row r="19176" spans="1:7" ht="24.36" thickBot="1" customHeight="1">
      <c r="A19176" s="24" t="s">
        <v>58719</v>
      </c>
      <c r="B19176" s="24" t="s">
        <v>58720</v>
      </c>
      <c r="C19176" s="24" t="s">
        <v>58721</v>
      </c>
      <c r="D19176" s="25" t="s">
        <v>58722</v>
      </c>
      <c r="E19176" s="28">
        <v>1.00000</v>
      </c>
      <c r="F19176" s="29">
        <f ca="1">ROUND(19.000,3)</f>
        <v>0</v>
      </c>
      <c r="G19176" s="27">
        <f ca="1">ROUND(E19176*F19176,2)</f>
        <v>0</v>
      </c>
    </row>
    <row r="19177" spans="1:7" ht="24.36" thickBot="1" customHeight="1">
      <c r="A19177" s="24" t="s">
        <v>58723</v>
      </c>
      <c r="B19177" s="24" t="s">
        <v>58724</v>
      </c>
      <c r="C19177" s="24" t="s">
        <v>58725</v>
      </c>
      <c r="D19177" s="25" t="s">
        <v>58726</v>
      </c>
      <c r="E19177" s="28">
        <v>0.20000</v>
      </c>
      <c r="F19177" s="29">
        <f ca="1">ROUND(19.000,3)</f>
        <v>0</v>
      </c>
      <c r="G19177" s="27">
        <f ca="1">ROUND(E19177*F19177,2)</f>
        <v>0</v>
      </c>
    </row>
    <row r="19178" spans="1:7" ht="15.12" thickBot="1" customHeight="1">
      <c r="A19178" s="26"/>
      <c r="B19178" s="26"/>
      <c r="C19178" s="26"/>
      <c r="D19178" s="24" t="s">
        <v>58727</v>
      </c>
      <c r="E19178" s="28">
        <v>0.26666</v>
      </c>
      <c r="F19178" s="29">
        <f ca="1">ROUND((G19175+G19176+G19177),3)</f>
        <v>0</v>
      </c>
      <c r="G19178" s="27">
        <f ca="1">ROUND(E19178*F19178,2)</f>
        <v>0</v>
      </c>
    </row>
    <row r="19179" spans="1:7" ht="15.12" thickBot="1" customHeight="1">
      <c r="A19179" s="24" t="s">
        <v>58728</v>
      </c>
      <c r="B19179" s="24"/>
      <c r="C19179" s="24" t="s">
        <v>58729</v>
      </c>
      <c r="D19179" s="25" t="s">
        <v>58730</v>
      </c>
      <c r="E19179" s="28">
        <v>3.00000</v>
      </c>
      <c r="F19179" s="29">
        <f ca="1">ROUND(11.680,3)</f>
        <v>0</v>
      </c>
      <c r="G19179" s="27">
        <f ca="1">ROUND((E19179*F19179)/100,2)</f>
        <v>0</v>
      </c>
    </row>
    <row r="19180" spans="1:7" ht="15.48" thickBot="1" customHeight="1">
      <c r="A19180" s="30"/>
      <c r="B19180" s="30"/>
      <c r="C19180" s="30"/>
      <c r="D19180" s="31" t="s">
        <v>58731</v>
      </c>
      <c r="E19180" s="30"/>
      <c r="F19180" s="33">
        <f ca="1">ROUND((G19172+G19173+G19174+G19179)*(1+G2/100),2)</f>
        <v>0</v>
      </c>
      <c r="G19180" s="30"/>
    </row>
    <row r="19181" spans="1:7" ht="30.60" thickBot="1" customHeight="1">
      <c r="A19181" s="34" t="s">
        <v>58732</v>
      </c>
      <c r="B19181" s="35" t="s">
        <v>58733</v>
      </c>
      <c r="C19181" s="35" t="s">
        <v>58734</v>
      </c>
      <c r="D19181" s="36" t="s">
        <v>58735</v>
      </c>
      <c r="E19181" s="37"/>
      <c r="F19181" s="38">
        <f ca="1">F19191</f>
        <v>0</v>
      </c>
      <c r="G19181" s="37"/>
    </row>
    <row r="19182" spans="1:7" ht="12.12" thickBot="1" customHeight="1">
      <c r="A19182" s="26"/>
      <c r="B19182" s="26"/>
      <c r="C19182" s="26"/>
      <c r="D19182" s="25" t="s">
        <v>58736</v>
      </c>
      <c r="E19182" s="25"/>
      <c r="F19182" s="25"/>
      <c r="G19182" s="25"/>
    </row>
    <row r="19183" spans="1:7" ht="21.36" thickBot="1" customHeight="1">
      <c r="A19183" s="24" t="s">
        <v>58737</v>
      </c>
      <c r="B19183" s="24" t="s">
        <v>58738</v>
      </c>
      <c r="C19183" s="24" t="s">
        <v>58739</v>
      </c>
      <c r="D19183" s="25" t="s">
        <v>58740</v>
      </c>
      <c r="E19183" s="28">
        <v>0.50000</v>
      </c>
      <c r="F19183" s="29">
        <f ca="1">ROUND(6.320,3)</f>
        <v>0</v>
      </c>
      <c r="G19183" s="27">
        <f ca="1">ROUND(E19183*F19183,2)</f>
        <v>0</v>
      </c>
    </row>
    <row r="19184" spans="1:7" ht="21.36" thickBot="1" customHeight="1">
      <c r="A19184" s="24" t="s">
        <v>58741</v>
      </c>
      <c r="B19184" s="24" t="s">
        <v>58742</v>
      </c>
      <c r="C19184" s="24" t="s">
        <v>58743</v>
      </c>
      <c r="D19184" s="25" t="s">
        <v>58744</v>
      </c>
      <c r="E19184" s="28">
        <v>0.13300</v>
      </c>
      <c r="F19184" s="29">
        <f ca="1">ROUND(1.320,3)</f>
        <v>0</v>
      </c>
      <c r="G19184" s="27">
        <f ca="1">ROUND(E19184*F19184,2)</f>
        <v>0</v>
      </c>
    </row>
    <row r="19185" spans="1:7" ht="21.36" thickBot="1" customHeight="1">
      <c r="A19185" s="24" t="s">
        <v>58745</v>
      </c>
      <c r="B19185" s="24" t="s">
        <v>58746</v>
      </c>
      <c r="C19185" s="24" t="s">
        <v>58747</v>
      </c>
      <c r="D19185" s="25" t="s">
        <v>58748</v>
      </c>
      <c r="E19185" s="28">
        <v>0.33300</v>
      </c>
      <c r="F19185" s="29">
        <f ca="1">F19189</f>
        <v>0</v>
      </c>
      <c r="G19185" s="27">
        <f ca="1">ROUND(E19185*F19185,2)</f>
        <v>0</v>
      </c>
    </row>
    <row r="19186" spans="1:7" ht="24.36" thickBot="1" customHeight="1">
      <c r="A19186" s="24" t="s">
        <v>58749</v>
      </c>
      <c r="B19186" s="24" t="s">
        <v>58750</v>
      </c>
      <c r="C19186" s="24" t="s">
        <v>58751</v>
      </c>
      <c r="D19186" s="25" t="s">
        <v>58752</v>
      </c>
      <c r="E19186" s="28">
        <v>1.00000</v>
      </c>
      <c r="F19186" s="29">
        <f ca="1">ROUND(21.000,3)</f>
        <v>0</v>
      </c>
      <c r="G19186" s="27">
        <f ca="1">ROUND(E19186*F19186,2)</f>
        <v>0</v>
      </c>
    </row>
    <row r="19187" spans="1:7" ht="24.36" thickBot="1" customHeight="1">
      <c r="A19187" s="24" t="s">
        <v>58753</v>
      </c>
      <c r="B19187" s="24" t="s">
        <v>58754</v>
      </c>
      <c r="C19187" s="24" t="s">
        <v>58755</v>
      </c>
      <c r="D19187" s="25" t="s">
        <v>58756</v>
      </c>
      <c r="E19187" s="28">
        <v>1.00000</v>
      </c>
      <c r="F19187" s="29">
        <f ca="1">ROUND(19.000,3)</f>
        <v>0</v>
      </c>
      <c r="G19187" s="27">
        <f ca="1">ROUND(E19187*F19187,2)</f>
        <v>0</v>
      </c>
    </row>
    <row r="19188" spans="1:7" ht="24.36" thickBot="1" customHeight="1">
      <c r="A19188" s="24" t="s">
        <v>58757</v>
      </c>
      <c r="B19188" s="24" t="s">
        <v>58758</v>
      </c>
      <c r="C19188" s="24" t="s">
        <v>58759</v>
      </c>
      <c r="D19188" s="25" t="s">
        <v>58760</v>
      </c>
      <c r="E19188" s="28">
        <v>0.20000</v>
      </c>
      <c r="F19188" s="29">
        <f ca="1">ROUND(19.000,3)</f>
        <v>0</v>
      </c>
      <c r="G19188" s="27">
        <f ca="1">ROUND(E19188*F19188,2)</f>
        <v>0</v>
      </c>
    </row>
    <row r="19189" spans="1:7" ht="15.12" thickBot="1" customHeight="1">
      <c r="A19189" s="26"/>
      <c r="B19189" s="26"/>
      <c r="C19189" s="26"/>
      <c r="D19189" s="24" t="s">
        <v>58761</v>
      </c>
      <c r="E19189" s="28">
        <v>0.33300</v>
      </c>
      <c r="F19189" s="29">
        <f ca="1">ROUND((G19186+G19187+G19188),3)</f>
        <v>0</v>
      </c>
      <c r="G19189" s="27">
        <f ca="1">ROUND(E19189*F19189,2)</f>
        <v>0</v>
      </c>
    </row>
    <row r="19190" spans="1:7" ht="15.12" thickBot="1" customHeight="1">
      <c r="A19190" s="24" t="s">
        <v>58762</v>
      </c>
      <c r="B19190" s="24"/>
      <c r="C19190" s="24" t="s">
        <v>58763</v>
      </c>
      <c r="D19190" s="25" t="s">
        <v>58764</v>
      </c>
      <c r="E19190" s="28">
        <v>3.00000</v>
      </c>
      <c r="F19190" s="29">
        <f ca="1">ROUND(14.590,3)</f>
        <v>0</v>
      </c>
      <c r="G19190" s="27">
        <f ca="1">ROUND((E19190*F19190)/100,2)</f>
        <v>0</v>
      </c>
    </row>
    <row r="19191" spans="1:7" ht="25.08" thickBot="1" customHeight="1">
      <c r="A19191" s="30"/>
      <c r="B19191" s="30"/>
      <c r="C19191" s="30"/>
      <c r="D19191" s="31" t="s">
        <v>58765</v>
      </c>
      <c r="E19191" s="30"/>
      <c r="F19191" s="33">
        <f ca="1">ROUND((G19183+G19184+G19185+G19190)*(1+G2/100),2)</f>
        <v>0</v>
      </c>
      <c r="G19191" s="30"/>
    </row>
    <row r="19192" spans="1:7" ht="25.08" thickBot="1" customHeight="1">
      <c r="A19192" s="34" t="s">
        <v>58766</v>
      </c>
      <c r="B19192" s="35" t="s">
        <v>58767</v>
      </c>
      <c r="C19192" s="35" t="s">
        <v>58768</v>
      </c>
      <c r="D19192" s="36" t="s">
        <v>58769</v>
      </c>
      <c r="E19192" s="37"/>
      <c r="F19192" s="38">
        <f ca="1">F19202</f>
        <v>0</v>
      </c>
      <c r="G19192" s="37"/>
    </row>
    <row r="19193" spans="1:7" ht="12.12" thickBot="1" customHeight="1">
      <c r="A19193" s="26"/>
      <c r="B19193" s="26"/>
      <c r="C19193" s="26"/>
      <c r="D19193" s="25" t="s">
        <v>58770</v>
      </c>
      <c r="E19193" s="25"/>
      <c r="F19193" s="25"/>
      <c r="G19193" s="25"/>
    </row>
    <row r="19194" spans="1:7" ht="21.36" thickBot="1" customHeight="1">
      <c r="A19194" s="24" t="s">
        <v>58771</v>
      </c>
      <c r="B19194" s="24" t="s">
        <v>58772</v>
      </c>
      <c r="C19194" s="24" t="s">
        <v>58773</v>
      </c>
      <c r="D19194" s="25" t="s">
        <v>58774</v>
      </c>
      <c r="E19194" s="28">
        <v>1.00000</v>
      </c>
      <c r="F19194" s="29">
        <f ca="1">ROUND(6.320,3)</f>
        <v>0</v>
      </c>
      <c r="G19194" s="27">
        <f ca="1">ROUND(E19194*F19194,2)</f>
        <v>0</v>
      </c>
    </row>
    <row r="19195" spans="1:7" ht="21.36" thickBot="1" customHeight="1">
      <c r="A19195" s="24" t="s">
        <v>58775</v>
      </c>
      <c r="B19195" s="24" t="s">
        <v>58776</v>
      </c>
      <c r="C19195" s="24" t="s">
        <v>58777</v>
      </c>
      <c r="D19195" s="25" t="s">
        <v>58778</v>
      </c>
      <c r="E19195" s="28">
        <v>0.25000</v>
      </c>
      <c r="F19195" s="29">
        <f ca="1">ROUND(1.320,3)</f>
        <v>0</v>
      </c>
      <c r="G19195" s="27">
        <f ca="1">ROUND(E19195*F19195,2)</f>
        <v>0</v>
      </c>
    </row>
    <row r="19196" spans="1:7" ht="21.36" thickBot="1" customHeight="1">
      <c r="A19196" s="24" t="s">
        <v>58779</v>
      </c>
      <c r="B19196" s="24" t="s">
        <v>58780</v>
      </c>
      <c r="C19196" s="24" t="s">
        <v>58781</v>
      </c>
      <c r="D19196" s="25" t="s">
        <v>58782</v>
      </c>
      <c r="E19196" s="28">
        <v>1.00000</v>
      </c>
      <c r="F19196" s="29">
        <f ca="1">F19200</f>
        <v>0</v>
      </c>
      <c r="G19196" s="27">
        <f ca="1">ROUND(E19196*F19196,2)</f>
        <v>0</v>
      </c>
    </row>
    <row r="19197" spans="1:7" ht="24.36" thickBot="1" customHeight="1">
      <c r="A19197" s="24" t="s">
        <v>58783</v>
      </c>
      <c r="B19197" s="24" t="s">
        <v>58784</v>
      </c>
      <c r="C19197" s="24" t="s">
        <v>58785</v>
      </c>
      <c r="D19197" s="25" t="s">
        <v>58786</v>
      </c>
      <c r="E19197" s="28">
        <v>1.00000</v>
      </c>
      <c r="F19197" s="29">
        <f ca="1">ROUND(21.000,3)</f>
        <v>0</v>
      </c>
      <c r="G19197" s="27">
        <f ca="1">ROUND(E19197*F19197,2)</f>
        <v>0</v>
      </c>
    </row>
    <row r="19198" spans="1:7" ht="24.36" thickBot="1" customHeight="1">
      <c r="A19198" s="24" t="s">
        <v>58787</v>
      </c>
      <c r="B19198" s="24" t="s">
        <v>58788</v>
      </c>
      <c r="C19198" s="24" t="s">
        <v>58789</v>
      </c>
      <c r="D19198" s="25" t="s">
        <v>58790</v>
      </c>
      <c r="E19198" s="28">
        <v>1.00000</v>
      </c>
      <c r="F19198" s="29">
        <f ca="1">ROUND(19.000,3)</f>
        <v>0</v>
      </c>
      <c r="G19198" s="27">
        <f ca="1">ROUND(E19198*F19198,2)</f>
        <v>0</v>
      </c>
    </row>
    <row r="19199" spans="1:7" ht="24.36" thickBot="1" customHeight="1">
      <c r="A19199" s="24" t="s">
        <v>58791</v>
      </c>
      <c r="B19199" s="24" t="s">
        <v>58792</v>
      </c>
      <c r="C19199" s="24" t="s">
        <v>58793</v>
      </c>
      <c r="D19199" s="25" t="s">
        <v>58794</v>
      </c>
      <c r="E19199" s="28">
        <v>0.20000</v>
      </c>
      <c r="F19199" s="29">
        <f ca="1">ROUND(19.000,3)</f>
        <v>0</v>
      </c>
      <c r="G19199" s="27">
        <f ca="1">ROUND(E19199*F19199,2)</f>
        <v>0</v>
      </c>
    </row>
    <row r="19200" spans="1:7" ht="15.12" thickBot="1" customHeight="1">
      <c r="A19200" s="26"/>
      <c r="B19200" s="26"/>
      <c r="C19200" s="26"/>
      <c r="D19200" s="24" t="s">
        <v>58795</v>
      </c>
      <c r="E19200" s="28">
        <v>1.00000</v>
      </c>
      <c r="F19200" s="29">
        <f ca="1">ROUND((G19197+G19198+G19199),3)</f>
        <v>0</v>
      </c>
      <c r="G19200" s="27">
        <f ca="1">ROUND(E19200*F19200,2)</f>
        <v>0</v>
      </c>
    </row>
    <row r="19201" spans="1:7" ht="15.12" thickBot="1" customHeight="1">
      <c r="A19201" s="24" t="s">
        <v>58796</v>
      </c>
      <c r="B19201" s="24"/>
      <c r="C19201" s="24" t="s">
        <v>58797</v>
      </c>
      <c r="D19201" s="25" t="s">
        <v>58798</v>
      </c>
      <c r="E19201" s="28">
        <v>3.00000</v>
      </c>
      <c r="F19201" s="29">
        <f ca="1">ROUND(43.800,3)</f>
        <v>0</v>
      </c>
      <c r="G19201" s="27">
        <f ca="1">ROUND((E19201*F19201)/100,2)</f>
        <v>0</v>
      </c>
    </row>
    <row r="19202" spans="1:7" ht="15.48" thickBot="1" customHeight="1">
      <c r="A19202" s="30"/>
      <c r="B19202" s="30"/>
      <c r="C19202" s="30"/>
      <c r="D19202" s="31" t="s">
        <v>58799</v>
      </c>
      <c r="E19202" s="30"/>
      <c r="F19202" s="33">
        <f ca="1">ROUND((G19194+G19195+G19196+G19201)*(1+G2/100),2)</f>
        <v>0</v>
      </c>
      <c r="G19202" s="30"/>
    </row>
    <row r="19203" spans="1:7" ht="30.60" thickBot="1" customHeight="1">
      <c r="A19203" s="34" t="s">
        <v>58800</v>
      </c>
      <c r="B19203" s="35" t="s">
        <v>58801</v>
      </c>
      <c r="C19203" s="35" t="s">
        <v>58802</v>
      </c>
      <c r="D19203" s="36" t="s">
        <v>58803</v>
      </c>
      <c r="E19203" s="37"/>
      <c r="F19203" s="38">
        <f ca="1">F19215</f>
        <v>0</v>
      </c>
      <c r="G19203" s="37"/>
    </row>
    <row r="19204" spans="1:7" ht="21.36" thickBot="1" customHeight="1">
      <c r="A19204" s="26"/>
      <c r="B19204" s="26"/>
      <c r="C19204" s="26"/>
      <c r="D19204" s="25" t="s">
        <v>58804</v>
      </c>
      <c r="E19204" s="25"/>
      <c r="F19204" s="25"/>
      <c r="G19204" s="25"/>
    </row>
    <row r="19205" spans="1:7" ht="39.84" thickBot="1" customHeight="1">
      <c r="A19205" s="24" t="s">
        <v>58805</v>
      </c>
      <c r="B19205" s="24" t="s">
        <v>58806</v>
      </c>
      <c r="C19205" s="24" t="s">
        <v>58807</v>
      </c>
      <c r="D19205" s="25" t="s">
        <v>58808</v>
      </c>
      <c r="E19205" s="28">
        <v>2.00000</v>
      </c>
      <c r="F19205" s="29">
        <f ca="1">ROUND(109.000,3)</f>
        <v>0</v>
      </c>
      <c r="G19205" s="27">
        <f ca="1">ROUND(E19205*F19205,2)</f>
        <v>0</v>
      </c>
    </row>
    <row r="19206" spans="1:7" ht="21.36" thickBot="1" customHeight="1">
      <c r="A19206" s="24" t="s">
        <v>58809</v>
      </c>
      <c r="B19206" s="24" t="s">
        <v>58810</v>
      </c>
      <c r="C19206" s="24" t="s">
        <v>58811</v>
      </c>
      <c r="D19206" s="25" t="s">
        <v>58812</v>
      </c>
      <c r="E19206" s="28">
        <v>0.12000</v>
      </c>
      <c r="F19206" s="29">
        <f ca="1">ROUND(6.490,3)</f>
        <v>0</v>
      </c>
      <c r="G19206" s="27">
        <f ca="1">ROUND(E19206*F19206,2)</f>
        <v>0</v>
      </c>
    </row>
    <row r="19207" spans="1:7" ht="21.36" thickBot="1" customHeight="1">
      <c r="A19207" s="24" t="s">
        <v>58813</v>
      </c>
      <c r="B19207" s="24" t="s">
        <v>58814</v>
      </c>
      <c r="C19207" s="24" t="s">
        <v>58815</v>
      </c>
      <c r="D19207" s="25" t="s">
        <v>58816</v>
      </c>
      <c r="E19207" s="28">
        <v>1.00000</v>
      </c>
      <c r="F19207" s="29">
        <f ca="1">ROUND(2.000,3)</f>
        <v>0</v>
      </c>
      <c r="G19207" s="27">
        <f ca="1">ROUND(E19207*F19207,2)</f>
        <v>0</v>
      </c>
    </row>
    <row r="19208" spans="1:7" ht="30.60" thickBot="1" customHeight="1">
      <c r="A19208" s="24" t="s">
        <v>58817</v>
      </c>
      <c r="B19208" s="24" t="s">
        <v>58818</v>
      </c>
      <c r="C19208" s="24" t="s">
        <v>58819</v>
      </c>
      <c r="D19208" s="25" t="s">
        <v>58820</v>
      </c>
      <c r="E19208" s="28">
        <v>0.30000</v>
      </c>
      <c r="F19208" s="29">
        <f ca="1">ROUND(4.920,3)</f>
        <v>0</v>
      </c>
      <c r="G19208" s="27">
        <f ca="1">ROUND(E19208*F19208,2)</f>
        <v>0</v>
      </c>
    </row>
    <row r="19209" spans="1:7" ht="21.36" thickBot="1" customHeight="1">
      <c r="A19209" s="24" t="s">
        <v>58821</v>
      </c>
      <c r="B19209" s="24" t="s">
        <v>58822</v>
      </c>
      <c r="C19209" s="24" t="s">
        <v>58823</v>
      </c>
      <c r="D19209" s="25" t="s">
        <v>58824</v>
      </c>
      <c r="E19209" s="28">
        <v>0.50000</v>
      </c>
      <c r="F19209" s="29">
        <f ca="1">F19213</f>
        <v>0</v>
      </c>
      <c r="G19209" s="27">
        <f ca="1">ROUND(E19209*F19209,2)</f>
        <v>0</v>
      </c>
    </row>
    <row r="19210" spans="1:7" ht="24.36" thickBot="1" customHeight="1">
      <c r="A19210" s="24" t="s">
        <v>58825</v>
      </c>
      <c r="B19210" s="24" t="s">
        <v>58826</v>
      </c>
      <c r="C19210" s="24" t="s">
        <v>58827</v>
      </c>
      <c r="D19210" s="25" t="s">
        <v>58828</v>
      </c>
      <c r="E19210" s="28">
        <v>1.00000</v>
      </c>
      <c r="F19210" s="29">
        <f ca="1">ROUND(21.000,3)</f>
        <v>0</v>
      </c>
      <c r="G19210" s="27">
        <f ca="1">ROUND(E19210*F19210,2)</f>
        <v>0</v>
      </c>
    </row>
    <row r="19211" spans="1:7" ht="24.36" thickBot="1" customHeight="1">
      <c r="A19211" s="24" t="s">
        <v>58829</v>
      </c>
      <c r="B19211" s="24" t="s">
        <v>58830</v>
      </c>
      <c r="C19211" s="24" t="s">
        <v>58831</v>
      </c>
      <c r="D19211" s="25" t="s">
        <v>58832</v>
      </c>
      <c r="E19211" s="28">
        <v>1.00000</v>
      </c>
      <c r="F19211" s="29">
        <f ca="1">ROUND(19.000,3)</f>
        <v>0</v>
      </c>
      <c r="G19211" s="27">
        <f ca="1">ROUND(E19211*F19211,2)</f>
        <v>0</v>
      </c>
    </row>
    <row r="19212" spans="1:7" ht="24.36" thickBot="1" customHeight="1">
      <c r="A19212" s="24" t="s">
        <v>58833</v>
      </c>
      <c r="B19212" s="24" t="s">
        <v>58834</v>
      </c>
      <c r="C19212" s="24" t="s">
        <v>58835</v>
      </c>
      <c r="D19212" s="25" t="s">
        <v>58836</v>
      </c>
      <c r="E19212" s="28">
        <v>0.20000</v>
      </c>
      <c r="F19212" s="29">
        <f ca="1">ROUND(19.000,3)</f>
        <v>0</v>
      </c>
      <c r="G19212" s="27">
        <f ca="1">ROUND(E19212*F19212,2)</f>
        <v>0</v>
      </c>
    </row>
    <row r="19213" spans="1:7" ht="15.12" thickBot="1" customHeight="1">
      <c r="A19213" s="26"/>
      <c r="B19213" s="26"/>
      <c r="C19213" s="26"/>
      <c r="D19213" s="24" t="s">
        <v>58837</v>
      </c>
      <c r="E19213" s="28">
        <v>0.50000</v>
      </c>
      <c r="F19213" s="29">
        <f ca="1">ROUND((G19210+G19211+G19212),3)</f>
        <v>0</v>
      </c>
      <c r="G19213" s="27">
        <f ca="1">ROUND(E19213*F19213,2)</f>
        <v>0</v>
      </c>
    </row>
    <row r="19214" spans="1:7" ht="15.12" thickBot="1" customHeight="1">
      <c r="A19214" s="24" t="s">
        <v>58838</v>
      </c>
      <c r="B19214" s="24"/>
      <c r="C19214" s="24" t="s">
        <v>58839</v>
      </c>
      <c r="D19214" s="25" t="s">
        <v>58840</v>
      </c>
      <c r="E19214" s="28">
        <v>3.00000</v>
      </c>
      <c r="F19214" s="29">
        <f ca="1">ROUND(21.900,3)</f>
        <v>0</v>
      </c>
      <c r="G19214" s="27">
        <f ca="1">ROUND((E19214*F19214)/100,2)</f>
        <v>0</v>
      </c>
    </row>
    <row r="19215" spans="1:7" ht="15.48" thickBot="1" customHeight="1">
      <c r="A19215" s="30"/>
      <c r="B19215" s="30"/>
      <c r="C19215" s="30"/>
      <c r="D19215" s="31" t="s">
        <v>58841</v>
      </c>
      <c r="E19215" s="30"/>
      <c r="F19215" s="33">
        <f ca="1">ROUND((G19205+G19206+G19207+G19208+G19209+G19214)*(1+G2/100),2)</f>
        <v>0</v>
      </c>
      <c r="G19215" s="30"/>
    </row>
    <row r="19216" spans="1:7" ht="39.84" thickBot="1" customHeight="1">
      <c r="A19216" s="34" t="s">
        <v>58842</v>
      </c>
      <c r="B19216" s="35" t="s">
        <v>58843</v>
      </c>
      <c r="C19216" s="35" t="s">
        <v>58844</v>
      </c>
      <c r="D19216" s="36" t="s">
        <v>58845</v>
      </c>
      <c r="E19216" s="37"/>
      <c r="F19216" s="38">
        <f ca="1">F19228</f>
        <v>0</v>
      </c>
      <c r="G19216" s="37"/>
    </row>
    <row r="19217" spans="1:7" ht="76.80" thickBot="1" customHeight="1">
      <c r="A19217" s="26"/>
      <c r="B19217" s="26"/>
      <c r="C19217" s="26"/>
      <c r="D19217" s="25" t="s">
        <v>58846</v>
      </c>
      <c r="E19217" s="25"/>
      <c r="F19217" s="25"/>
      <c r="G19217" s="25"/>
    </row>
    <row r="19218" spans="1:7" ht="58.32" thickBot="1" customHeight="1">
      <c r="A19218" s="24" t="s">
        <v>58847</v>
      </c>
      <c r="B19218" s="24" t="s">
        <v>58848</v>
      </c>
      <c r="C19218" s="24" t="s">
        <v>58849</v>
      </c>
      <c r="D19218" s="25" t="s">
        <v>58850</v>
      </c>
      <c r="E19218" s="28">
        <v>0.06000</v>
      </c>
      <c r="F19218" s="29">
        <f ca="1">ROUND(89.210,3)</f>
        <v>0</v>
      </c>
      <c r="G19218" s="27">
        <f ca="1">ROUND(E19218*F19218,2)</f>
        <v>0</v>
      </c>
    </row>
    <row r="19219" spans="1:7" ht="30.60" thickBot="1" customHeight="1">
      <c r="A19219" s="24" t="s">
        <v>58851</v>
      </c>
      <c r="B19219" s="24" t="s">
        <v>58852</v>
      </c>
      <c r="C19219" s="24" t="s">
        <v>58853</v>
      </c>
      <c r="D19219" s="25" t="s">
        <v>58854</v>
      </c>
      <c r="E19219" s="28">
        <v>0.04000</v>
      </c>
      <c r="F19219" s="29">
        <f ca="1">ROUND(29.840,3)</f>
        <v>0</v>
      </c>
      <c r="G19219" s="27">
        <f ca="1">ROUND(E19219*F19219,2)</f>
        <v>0</v>
      </c>
    </row>
    <row r="19220" spans="1:7" ht="58.32" thickBot="1" customHeight="1">
      <c r="A19220" s="24" t="s">
        <v>58855</v>
      </c>
      <c r="B19220" s="24" t="s">
        <v>58856</v>
      </c>
      <c r="C19220" s="24" t="s">
        <v>58857</v>
      </c>
      <c r="D19220" s="25" t="s">
        <v>58858</v>
      </c>
      <c r="E19220" s="28">
        <v>0.02000</v>
      </c>
      <c r="F19220" s="29">
        <f ca="1">ROUND(37.440,3)</f>
        <v>0</v>
      </c>
      <c r="G19220" s="27">
        <f ca="1">ROUND(E19220*F19220,2)</f>
        <v>0</v>
      </c>
    </row>
    <row r="19221" spans="1:7" ht="30.60" thickBot="1" customHeight="1">
      <c r="A19221" s="24" t="s">
        <v>58859</v>
      </c>
      <c r="B19221" s="24" t="s">
        <v>58860</v>
      </c>
      <c r="C19221" s="24" t="s">
        <v>58861</v>
      </c>
      <c r="D19221" s="25" t="s">
        <v>58862</v>
      </c>
      <c r="E19221" s="28">
        <v>0.01100</v>
      </c>
      <c r="F19221" s="29">
        <f ca="1">ROUND(27.500,3)</f>
        <v>0</v>
      </c>
      <c r="G19221" s="27">
        <f ca="1">ROUND(E19221*F19221,2)</f>
        <v>0</v>
      </c>
    </row>
    <row r="19222" spans="1:7" ht="21.36" thickBot="1" customHeight="1">
      <c r="A19222" s="24" t="s">
        <v>58863</v>
      </c>
      <c r="B19222" s="24" t="s">
        <v>58864</v>
      </c>
      <c r="C19222" s="24" t="s">
        <v>58865</v>
      </c>
      <c r="D19222" s="25" t="s">
        <v>58866</v>
      </c>
      <c r="E19222" s="28">
        <v>1.20000</v>
      </c>
      <c r="F19222" s="29">
        <f ca="1">F19226</f>
        <v>0</v>
      </c>
      <c r="G19222" s="27">
        <f ca="1">ROUND(E19222*F19222,2)</f>
        <v>0</v>
      </c>
    </row>
    <row r="19223" spans="1:7" ht="24.36" thickBot="1" customHeight="1">
      <c r="A19223" s="24" t="s">
        <v>58867</v>
      </c>
      <c r="B19223" s="24" t="s">
        <v>58868</v>
      </c>
      <c r="C19223" s="24" t="s">
        <v>58869</v>
      </c>
      <c r="D19223" s="25" t="s">
        <v>58870</v>
      </c>
      <c r="E19223" s="28">
        <v>1.00000</v>
      </c>
      <c r="F19223" s="29">
        <f ca="1">ROUND(21.000,3)</f>
        <v>0</v>
      </c>
      <c r="G19223" s="27">
        <f ca="1">ROUND(E19223*F19223,2)</f>
        <v>0</v>
      </c>
    </row>
    <row r="19224" spans="1:7" ht="24.36" thickBot="1" customHeight="1">
      <c r="A19224" s="24" t="s">
        <v>58871</v>
      </c>
      <c r="B19224" s="24" t="s">
        <v>58872</v>
      </c>
      <c r="C19224" s="24" t="s">
        <v>58873</v>
      </c>
      <c r="D19224" s="25" t="s">
        <v>58874</v>
      </c>
      <c r="E19224" s="28">
        <v>1.00000</v>
      </c>
      <c r="F19224" s="29">
        <f ca="1">ROUND(19.000,3)</f>
        <v>0</v>
      </c>
      <c r="G19224" s="27">
        <f ca="1">ROUND(E19224*F19224,2)</f>
        <v>0</v>
      </c>
    </row>
    <row r="19225" spans="1:7" ht="24.36" thickBot="1" customHeight="1">
      <c r="A19225" s="24" t="s">
        <v>58875</v>
      </c>
      <c r="B19225" s="24" t="s">
        <v>58876</v>
      </c>
      <c r="C19225" s="24" t="s">
        <v>58877</v>
      </c>
      <c r="D19225" s="25" t="s">
        <v>58878</v>
      </c>
      <c r="E19225" s="28">
        <v>0.20000</v>
      </c>
      <c r="F19225" s="29">
        <f ca="1">ROUND(19.000,3)</f>
        <v>0</v>
      </c>
      <c r="G19225" s="27">
        <f ca="1">ROUND(E19225*F19225,2)</f>
        <v>0</v>
      </c>
    </row>
    <row r="19226" spans="1:7" ht="15.12" thickBot="1" customHeight="1">
      <c r="A19226" s="26"/>
      <c r="B19226" s="26"/>
      <c r="C19226" s="26"/>
      <c r="D19226" s="24" t="s">
        <v>58879</v>
      </c>
      <c r="E19226" s="28">
        <v>1.20000</v>
      </c>
      <c r="F19226" s="29">
        <f ca="1">ROUND((G19223+G19224+G19225),3)</f>
        <v>0</v>
      </c>
      <c r="G19226" s="27">
        <f ca="1">ROUND(E19226*F19226,2)</f>
        <v>0</v>
      </c>
    </row>
    <row r="19227" spans="1:7" ht="15.12" thickBot="1" customHeight="1">
      <c r="A19227" s="24" t="s">
        <v>58880</v>
      </c>
      <c r="B19227" s="24"/>
      <c r="C19227" s="24" t="s">
        <v>58881</v>
      </c>
      <c r="D19227" s="25" t="s">
        <v>58882</v>
      </c>
      <c r="E19227" s="28">
        <v>3.00000</v>
      </c>
      <c r="F19227" s="29">
        <f ca="1">ROUND(52.560,3)</f>
        <v>0</v>
      </c>
      <c r="G19227" s="27">
        <f ca="1">ROUND((E19227*F19227)/100,2)</f>
        <v>0</v>
      </c>
    </row>
    <row r="19228" spans="1:7" ht="25.08" thickBot="1" customHeight="1">
      <c r="A19228" s="30"/>
      <c r="B19228" s="30"/>
      <c r="C19228" s="30"/>
      <c r="D19228" s="31" t="s">
        <v>58883</v>
      </c>
      <c r="E19228" s="30"/>
      <c r="F19228" s="33">
        <f ca="1">ROUND((G19218+G19219+G19220+G19221+G19222+G19227)*(1+G2/100),2)</f>
        <v>0</v>
      </c>
      <c r="G19228" s="30"/>
    </row>
    <row r="19229" spans="1:7" ht="39.84" thickBot="1" customHeight="1">
      <c r="A19229" s="34" t="s">
        <v>58884</v>
      </c>
      <c r="B19229" s="35" t="s">
        <v>58885</v>
      </c>
      <c r="C19229" s="35" t="s">
        <v>58886</v>
      </c>
      <c r="D19229" s="36" t="s">
        <v>58887</v>
      </c>
      <c r="E19229" s="37"/>
      <c r="F19229" s="38">
        <f ca="1">F19240</f>
        <v>0</v>
      </c>
      <c r="G19229" s="37"/>
    </row>
    <row r="19230" spans="1:7" ht="67.56" thickBot="1" customHeight="1">
      <c r="A19230" s="26"/>
      <c r="B19230" s="26"/>
      <c r="C19230" s="26"/>
      <c r="D19230" s="25" t="s">
        <v>58888</v>
      </c>
      <c r="E19230" s="25"/>
      <c r="F19230" s="25"/>
      <c r="G19230" s="25"/>
    </row>
    <row r="19231" spans="1:7" ht="24.36" thickBot="1" customHeight="1">
      <c r="A19231" s="24" t="s">
        <v>58889</v>
      </c>
      <c r="B19231" s="24" t="s">
        <v>58890</v>
      </c>
      <c r="C19231" s="24" t="s">
        <v>58891</v>
      </c>
      <c r="D19231" s="25" t="s">
        <v>58892</v>
      </c>
      <c r="E19231" s="28">
        <v>0.06300</v>
      </c>
      <c r="F19231" s="29">
        <f ca="1">ROUND(29.060,3)</f>
        <v>0</v>
      </c>
      <c r="G19231" s="27">
        <f ca="1">ROUND(E19231*F19231,2)</f>
        <v>0</v>
      </c>
    </row>
    <row r="19232" spans="1:7" ht="30.60" thickBot="1" customHeight="1">
      <c r="A19232" s="24" t="s">
        <v>58893</v>
      </c>
      <c r="B19232" s="24" t="s">
        <v>58894</v>
      </c>
      <c r="C19232" s="24" t="s">
        <v>58895</v>
      </c>
      <c r="D19232" s="25" t="s">
        <v>58896</v>
      </c>
      <c r="E19232" s="28">
        <v>0.20000</v>
      </c>
      <c r="F19232" s="29">
        <f ca="1">ROUND(29.840,3)</f>
        <v>0</v>
      </c>
      <c r="G19232" s="27">
        <f ca="1">ROUND(E19232*F19232,2)</f>
        <v>0</v>
      </c>
    </row>
    <row r="19233" spans="1:7" ht="30.60" thickBot="1" customHeight="1">
      <c r="A19233" s="24" t="s">
        <v>58897</v>
      </c>
      <c r="B19233" s="24" t="s">
        <v>58898</v>
      </c>
      <c r="C19233" s="24" t="s">
        <v>58899</v>
      </c>
      <c r="D19233" s="25" t="s">
        <v>58900</v>
      </c>
      <c r="E19233" s="28">
        <v>0.01100</v>
      </c>
      <c r="F19233" s="29">
        <f ca="1">ROUND(27.500,3)</f>
        <v>0</v>
      </c>
      <c r="G19233" s="27">
        <f ca="1">ROUND(E19233*F19233,2)</f>
        <v>0</v>
      </c>
    </row>
    <row r="19234" spans="1:7" ht="21.36" thickBot="1" customHeight="1">
      <c r="A19234" s="24" t="s">
        <v>58901</v>
      </c>
      <c r="B19234" s="24" t="s">
        <v>58902</v>
      </c>
      <c r="C19234" s="24" t="s">
        <v>58903</v>
      </c>
      <c r="D19234" s="25" t="s">
        <v>58904</v>
      </c>
      <c r="E19234" s="28">
        <v>0.50000</v>
      </c>
      <c r="F19234" s="29">
        <f ca="1">F19238</f>
        <v>0</v>
      </c>
      <c r="G19234" s="27">
        <f ca="1">ROUND(E19234*F19234,2)</f>
        <v>0</v>
      </c>
    </row>
    <row r="19235" spans="1:7" ht="24.36" thickBot="1" customHeight="1">
      <c r="A19235" s="24" t="s">
        <v>58905</v>
      </c>
      <c r="B19235" s="24" t="s">
        <v>58906</v>
      </c>
      <c r="C19235" s="24" t="s">
        <v>58907</v>
      </c>
      <c r="D19235" s="25" t="s">
        <v>58908</v>
      </c>
      <c r="E19235" s="28">
        <v>1.00000</v>
      </c>
      <c r="F19235" s="29">
        <f ca="1">ROUND(21.000,3)</f>
        <v>0</v>
      </c>
      <c r="G19235" s="27">
        <f ca="1">ROUND(E19235*F19235,2)</f>
        <v>0</v>
      </c>
    </row>
    <row r="19236" spans="1:7" ht="24.36" thickBot="1" customHeight="1">
      <c r="A19236" s="24" t="s">
        <v>58909</v>
      </c>
      <c r="B19236" s="24" t="s">
        <v>58910</v>
      </c>
      <c r="C19236" s="24" t="s">
        <v>58911</v>
      </c>
      <c r="D19236" s="25" t="s">
        <v>58912</v>
      </c>
      <c r="E19236" s="28">
        <v>1.00000</v>
      </c>
      <c r="F19236" s="29">
        <f ca="1">ROUND(19.000,3)</f>
        <v>0</v>
      </c>
      <c r="G19236" s="27">
        <f ca="1">ROUND(E19236*F19236,2)</f>
        <v>0</v>
      </c>
    </row>
    <row r="19237" spans="1:7" ht="24.36" thickBot="1" customHeight="1">
      <c r="A19237" s="24" t="s">
        <v>58913</v>
      </c>
      <c r="B19237" s="24" t="s">
        <v>58914</v>
      </c>
      <c r="C19237" s="24" t="s">
        <v>58915</v>
      </c>
      <c r="D19237" s="25" t="s">
        <v>58916</v>
      </c>
      <c r="E19237" s="28">
        <v>0.20000</v>
      </c>
      <c r="F19237" s="29">
        <f ca="1">ROUND(19.000,3)</f>
        <v>0</v>
      </c>
      <c r="G19237" s="27">
        <f ca="1">ROUND(E19237*F19237,2)</f>
        <v>0</v>
      </c>
    </row>
    <row r="19238" spans="1:7" ht="15.12" thickBot="1" customHeight="1">
      <c r="A19238" s="26"/>
      <c r="B19238" s="26"/>
      <c r="C19238" s="26"/>
      <c r="D19238" s="24" t="s">
        <v>58917</v>
      </c>
      <c r="E19238" s="28">
        <v>0.50000</v>
      </c>
      <c r="F19238" s="29">
        <f ca="1">ROUND((G19235+G19236+G19237),3)</f>
        <v>0</v>
      </c>
      <c r="G19238" s="27">
        <f ca="1">ROUND(E19238*F19238,2)</f>
        <v>0</v>
      </c>
    </row>
    <row r="19239" spans="1:7" ht="15.12" thickBot="1" customHeight="1">
      <c r="A19239" s="24" t="s">
        <v>58918</v>
      </c>
      <c r="B19239" s="24"/>
      <c r="C19239" s="24" t="s">
        <v>58919</v>
      </c>
      <c r="D19239" s="25" t="s">
        <v>58920</v>
      </c>
      <c r="E19239" s="28">
        <v>3.00000</v>
      </c>
      <c r="F19239" s="29">
        <f ca="1">ROUND(21.900,3)</f>
        <v>0</v>
      </c>
      <c r="G19239" s="27">
        <f ca="1">ROUND((E19239*F19239)/100,2)</f>
        <v>0</v>
      </c>
    </row>
    <row r="19240" spans="1:7" ht="15.48" thickBot="1" customHeight="1">
      <c r="A19240" s="30"/>
      <c r="B19240" s="30"/>
      <c r="C19240" s="30"/>
      <c r="D19240" s="31" t="s">
        <v>58921</v>
      </c>
      <c r="E19240" s="30"/>
      <c r="F19240" s="33">
        <f ca="1">ROUND((G19231+G19232+G19233+G19234+G19239)*(1+G2/100),2)</f>
        <v>0</v>
      </c>
      <c r="G19240" s="30"/>
    </row>
    <row r="19241" spans="1:7" ht="30.60" thickBot="1" customHeight="1">
      <c r="A19241" s="34" t="s">
        <v>58922</v>
      </c>
      <c r="B19241" s="35" t="s">
        <v>58923</v>
      </c>
      <c r="C19241" s="35" t="s">
        <v>58924</v>
      </c>
      <c r="D19241" s="36" t="s">
        <v>58925</v>
      </c>
      <c r="E19241" s="37"/>
      <c r="F19241" s="38">
        <f ca="1">F19249</f>
        <v>0</v>
      </c>
      <c r="G19241" s="37"/>
    </row>
    <row r="19242" spans="1:7" ht="67.56" thickBot="1" customHeight="1">
      <c r="A19242" s="26"/>
      <c r="B19242" s="26"/>
      <c r="C19242" s="26"/>
      <c r="D19242" s="25" t="s">
        <v>58926</v>
      </c>
      <c r="E19242" s="25"/>
      <c r="F19242" s="25"/>
      <c r="G19242" s="25"/>
    </row>
    <row r="19243" spans="1:7" ht="30.60" thickBot="1" customHeight="1">
      <c r="A19243" s="24" t="s">
        <v>58927</v>
      </c>
      <c r="B19243" s="24" t="s">
        <v>58928</v>
      </c>
      <c r="C19243" s="24" t="s">
        <v>58929</v>
      </c>
      <c r="D19243" s="25" t="s">
        <v>58930</v>
      </c>
      <c r="E19243" s="28">
        <v>0.04000</v>
      </c>
      <c r="F19243" s="29">
        <f ca="1">ROUND(16.810,3)</f>
        <v>0</v>
      </c>
      <c r="G19243" s="27">
        <f ca="1">ROUND(E19243*F19243,2)</f>
        <v>0</v>
      </c>
    </row>
    <row r="19244" spans="1:7" ht="39.84" thickBot="1" customHeight="1">
      <c r="A19244" s="24" t="s">
        <v>58931</v>
      </c>
      <c r="B19244" s="24" t="s">
        <v>58932</v>
      </c>
      <c r="C19244" s="24" t="s">
        <v>58933</v>
      </c>
      <c r="D19244" s="25" t="s">
        <v>58934</v>
      </c>
      <c r="E19244" s="28">
        <v>0.17600</v>
      </c>
      <c r="F19244" s="29">
        <f ca="1">ROUND(24.840,3)</f>
        <v>0</v>
      </c>
      <c r="G19244" s="27">
        <f ca="1">ROUND(E19244*F19244,2)</f>
        <v>0</v>
      </c>
    </row>
    <row r="19245" spans="1:7" ht="30.60" thickBot="1" customHeight="1">
      <c r="A19245" s="24" t="s">
        <v>58935</v>
      </c>
      <c r="B19245" s="24" t="s">
        <v>58936</v>
      </c>
      <c r="C19245" s="24" t="s">
        <v>58937</v>
      </c>
      <c r="D19245" s="25" t="s">
        <v>58938</v>
      </c>
      <c r="E19245" s="28">
        <v>0.00100</v>
      </c>
      <c r="F19245" s="29">
        <f ca="1">ROUND(27.500,3)</f>
        <v>0</v>
      </c>
      <c r="G19245" s="27">
        <f ca="1">ROUND(E19245*F19245,2)</f>
        <v>0</v>
      </c>
    </row>
    <row r="19246" spans="1:7" ht="30.60" thickBot="1" customHeight="1">
      <c r="A19246" s="24" t="s">
        <v>58939</v>
      </c>
      <c r="B19246" s="24" t="s">
        <v>58940</v>
      </c>
      <c r="C19246" s="24" t="s">
        <v>58941</v>
      </c>
      <c r="D19246" s="25" t="s">
        <v>58942</v>
      </c>
      <c r="E19246" s="28">
        <v>1.20000</v>
      </c>
      <c r="F19246" s="29">
        <f ca="1">F19247</f>
        <v>0</v>
      </c>
      <c r="G19246" s="27">
        <f ca="1">ROUND(E19246*F19246,2)</f>
        <v>0</v>
      </c>
    </row>
    <row r="19247" spans="1:7" ht="15.12" thickBot="1" customHeight="1">
      <c r="A19247" s="26"/>
      <c r="B19247" s="26"/>
      <c r="C19247" s="26"/>
      <c r="D19247" s="24" t="s">
        <v>58943</v>
      </c>
      <c r="E19247" s="28">
        <v>1.20000</v>
      </c>
      <c r="F19247" s="29">
        <f ca="1">ROUND((),3)</f>
        <v>0</v>
      </c>
      <c r="G19247" s="27">
        <f ca="1">ROUND(E19247*F19247,2)</f>
        <v>0</v>
      </c>
    </row>
    <row r="19248" spans="1:7" ht="15.12" thickBot="1" customHeight="1">
      <c r="A19248" s="24" t="s">
        <v>58944</v>
      </c>
      <c r="B19248" s="24"/>
      <c r="C19248" s="24" t="s">
        <v>58945</v>
      </c>
      <c r="D19248" s="25" t="s">
        <v>58946</v>
      </c>
      <c r="E19248" s="28">
        <v>3.00000</v>
      </c>
      <c r="F19248" s="29">
        <f ca="1">ROUND(59.400,3)</f>
        <v>0</v>
      </c>
      <c r="G19248" s="27">
        <f ca="1">ROUND((E19248*F19248)/100,2)</f>
        <v>0</v>
      </c>
    </row>
    <row r="19249" spans="1:7" ht="15.48" thickBot="1" customHeight="1">
      <c r="A19249" s="30"/>
      <c r="B19249" s="30"/>
      <c r="C19249" s="30"/>
      <c r="D19249" s="31" t="s">
        <v>58947</v>
      </c>
      <c r="E19249" s="30"/>
      <c r="F19249" s="33">
        <f ca="1">ROUND((G19243+G19244+G19245+G19246+G19248)*(1+G2/100),2)</f>
        <v>0</v>
      </c>
      <c r="G19249" s="30"/>
    </row>
    <row r="19250" spans="1:7" ht="25.08" thickBot="1" customHeight="1">
      <c r="A19250" s="34" t="s">
        <v>58948</v>
      </c>
      <c r="B19250" s="35" t="s">
        <v>58949</v>
      </c>
      <c r="C19250" s="35" t="s">
        <v>58950</v>
      </c>
      <c r="D19250" s="36" t="s">
        <v>58951</v>
      </c>
      <c r="E19250" s="37"/>
      <c r="F19250" s="38">
        <f ca="1">F19264</f>
        <v>0</v>
      </c>
      <c r="G19250" s="37"/>
    </row>
    <row r="19251" spans="1:7" ht="12.12" thickBot="1" customHeight="1">
      <c r="A19251" s="26"/>
      <c r="B19251" s="26"/>
      <c r="C19251" s="26"/>
      <c r="D19251" s="25" t="s">
        <v>58952</v>
      </c>
      <c r="E19251" s="25"/>
      <c r="F19251" s="25"/>
      <c r="G19251" s="25"/>
    </row>
    <row r="19252" spans="1:7" ht="24.36" thickBot="1" customHeight="1">
      <c r="A19252" s="24" t="s">
        <v>58953</v>
      </c>
      <c r="B19252" s="24" t="s">
        <v>58954</v>
      </c>
      <c r="C19252" s="24" t="s">
        <v>58955</v>
      </c>
      <c r="D19252" s="25" t="s">
        <v>58956</v>
      </c>
      <c r="E19252" s="28">
        <v>0.20000</v>
      </c>
      <c r="F19252" s="29">
        <f ca="1">ROUND(8.230,3)</f>
        <v>0</v>
      </c>
      <c r="G19252" s="27">
        <f ca="1">ROUND(E19252*F19252,2)</f>
        <v>0</v>
      </c>
    </row>
    <row r="19253" spans="1:7" ht="39.84" thickBot="1" customHeight="1">
      <c r="A19253" s="24" t="s">
        <v>58957</v>
      </c>
      <c r="B19253" s="24" t="s">
        <v>58958</v>
      </c>
      <c r="C19253" s="24" t="s">
        <v>58959</v>
      </c>
      <c r="D19253" s="25" t="s">
        <v>58960</v>
      </c>
      <c r="E19253" s="28">
        <v>0.10000</v>
      </c>
      <c r="F19253" s="29">
        <f ca="1">ROUND(17.820,3)</f>
        <v>0</v>
      </c>
      <c r="G19253" s="27">
        <f ca="1">ROUND(E19253*F19253,2)</f>
        <v>0</v>
      </c>
    </row>
    <row r="19254" spans="1:7" ht="30.60" thickBot="1" customHeight="1">
      <c r="A19254" s="24" t="s">
        <v>58961</v>
      </c>
      <c r="B19254" s="24" t="s">
        <v>58962</v>
      </c>
      <c r="C19254" s="24" t="s">
        <v>58963</v>
      </c>
      <c r="D19254" s="25" t="s">
        <v>58964</v>
      </c>
      <c r="E19254" s="28">
        <v>0.50000</v>
      </c>
      <c r="F19254" s="29">
        <f ca="1">ROUND(6.600,3)</f>
        <v>0</v>
      </c>
      <c r="G19254" s="27">
        <f ca="1">ROUND(E19254*F19254,2)</f>
        <v>0</v>
      </c>
    </row>
    <row r="19255" spans="1:7" ht="30.60" thickBot="1" customHeight="1">
      <c r="A19255" s="24" t="s">
        <v>58965</v>
      </c>
      <c r="B19255" s="24" t="s">
        <v>58966</v>
      </c>
      <c r="C19255" s="24" t="s">
        <v>58967</v>
      </c>
      <c r="D19255" s="25" t="s">
        <v>58968</v>
      </c>
      <c r="E19255" s="28">
        <v>0.33300</v>
      </c>
      <c r="F19255" s="29">
        <f ca="1">ROUND(5.980,3)</f>
        <v>0</v>
      </c>
      <c r="G19255" s="27">
        <f ca="1">ROUND(E19255*F19255,2)</f>
        <v>0</v>
      </c>
    </row>
    <row r="19256" spans="1:7" ht="30.60" thickBot="1" customHeight="1">
      <c r="A19256" s="24" t="s">
        <v>58969</v>
      </c>
      <c r="B19256" s="24" t="s">
        <v>58970</v>
      </c>
      <c r="C19256" s="24" t="s">
        <v>58971</v>
      </c>
      <c r="D19256" s="25" t="s">
        <v>58972</v>
      </c>
      <c r="E19256" s="28">
        <v>0.10000</v>
      </c>
      <c r="F19256" s="29">
        <f ca="1">ROUND(6.520,3)</f>
        <v>0</v>
      </c>
      <c r="G19256" s="27">
        <f ca="1">ROUND(E19256*F19256,2)</f>
        <v>0</v>
      </c>
    </row>
    <row r="19257" spans="1:7" ht="39.84" thickBot="1" customHeight="1">
      <c r="A19257" s="24" t="s">
        <v>58973</v>
      </c>
      <c r="B19257" s="24" t="s">
        <v>58974</v>
      </c>
      <c r="C19257" s="24" t="s">
        <v>58975</v>
      </c>
      <c r="D19257" s="25" t="s">
        <v>58976</v>
      </c>
      <c r="E19257" s="28">
        <v>0.32800</v>
      </c>
      <c r="F19257" s="29">
        <f ca="1">ROUND(19.530,3)</f>
        <v>0</v>
      </c>
      <c r="G19257" s="27">
        <f ca="1">ROUND(E19257*F19257,2)</f>
        <v>0</v>
      </c>
    </row>
    <row r="19258" spans="1:7" ht="21.36" thickBot="1" customHeight="1">
      <c r="A19258" s="24" t="s">
        <v>58977</v>
      </c>
      <c r="B19258" s="24" t="s">
        <v>58978</v>
      </c>
      <c r="C19258" s="24" t="s">
        <v>58979</v>
      </c>
      <c r="D19258" s="25" t="s">
        <v>58980</v>
      </c>
      <c r="E19258" s="28">
        <v>13.66600</v>
      </c>
      <c r="F19258" s="29">
        <f ca="1">ROUND(3.260,3)</f>
        <v>0</v>
      </c>
      <c r="G19258" s="27">
        <f ca="1">ROUND(E19258*F19258,2)</f>
        <v>0</v>
      </c>
    </row>
    <row r="19259" spans="1:7" ht="30.60" thickBot="1" customHeight="1">
      <c r="A19259" s="24" t="s">
        <v>58981</v>
      </c>
      <c r="B19259" s="24" t="s">
        <v>58982</v>
      </c>
      <c r="C19259" s="24" t="s">
        <v>58983</v>
      </c>
      <c r="D19259" s="25" t="s">
        <v>58984</v>
      </c>
      <c r="E19259" s="28">
        <v>0.60000</v>
      </c>
      <c r="F19259" s="29">
        <f ca="1">ROUND(82.560,3)</f>
        <v>0</v>
      </c>
      <c r="G19259" s="27">
        <f ca="1">ROUND(E19259*F19259,2)</f>
        <v>0</v>
      </c>
    </row>
    <row r="19260" spans="1:7" ht="21.36" thickBot="1" customHeight="1">
      <c r="A19260" s="24" t="s">
        <v>58985</v>
      </c>
      <c r="B19260" s="24" t="s">
        <v>58986</v>
      </c>
      <c r="C19260" s="24" t="s">
        <v>58987</v>
      </c>
      <c r="D19260" s="25" t="s">
        <v>58988</v>
      </c>
      <c r="E19260" s="28">
        <v>1.00000</v>
      </c>
      <c r="F19260" s="29">
        <f ca="1">ROUND(2.000,3)</f>
        <v>0</v>
      </c>
      <c r="G19260" s="27">
        <f ca="1">ROUND(E19260*F19260,2)</f>
        <v>0</v>
      </c>
    </row>
    <row r="19261" spans="1:7" ht="24.36" thickBot="1" customHeight="1">
      <c r="A19261" s="24" t="s">
        <v>58989</v>
      </c>
      <c r="B19261" s="24" t="s">
        <v>58990</v>
      </c>
      <c r="C19261" s="24" t="s">
        <v>58991</v>
      </c>
      <c r="D19261" s="25" t="s">
        <v>58992</v>
      </c>
      <c r="E19261" s="28">
        <v>3.00000</v>
      </c>
      <c r="F19261" s="29">
        <f ca="1">ROUND(3.500,3)</f>
        <v>0</v>
      </c>
      <c r="G19261" s="27">
        <f ca="1">ROUND(E19261*F19261,2)</f>
        <v>0</v>
      </c>
    </row>
    <row r="19262" spans="1:7" ht="24.36" thickBot="1" customHeight="1">
      <c r="A19262" s="24" t="s">
        <v>58993</v>
      </c>
      <c r="B19262" s="24" t="s">
        <v>58994</v>
      </c>
      <c r="C19262" s="24" t="s">
        <v>58995</v>
      </c>
      <c r="D19262" s="25" t="s">
        <v>58996</v>
      </c>
      <c r="E19262" s="28">
        <v>1.86700</v>
      </c>
      <c r="F19262" s="29">
        <f ca="1">ROUND(49.500,3)</f>
        <v>0</v>
      </c>
      <c r="G19262" s="27">
        <f ca="1">ROUND(E19262*F19262,2)</f>
        <v>0</v>
      </c>
    </row>
    <row r="19263" spans="1:7" ht="15.12" thickBot="1" customHeight="1">
      <c r="A19263" s="24" t="s">
        <v>58997</v>
      </c>
      <c r="B19263" s="24"/>
      <c r="C19263" s="24" t="s">
        <v>58998</v>
      </c>
      <c r="D19263" s="25" t="s">
        <v>58999</v>
      </c>
      <c r="E19263" s="28">
        <v>7.00000</v>
      </c>
      <c r="F19263" s="29">
        <f ca="1">ROUND(92.420,3)</f>
        <v>0</v>
      </c>
      <c r="G19263" s="27">
        <f ca="1">ROUND((E19263*F19263)/100,2)</f>
        <v>0</v>
      </c>
    </row>
    <row r="19264" spans="1:7" ht="15.48" thickBot="1" customHeight="1">
      <c r="A19264" s="30"/>
      <c r="B19264" s="30"/>
      <c r="C19264" s="30"/>
      <c r="D19264" s="31" t="s">
        <v>59000</v>
      </c>
      <c r="E19264" s="30"/>
      <c r="F19264" s="33">
        <f ca="1">ROUND((G19252+G19253+G19254+G19255+G19256+G19257+G19258+G19259+G19260+G19261+G19262+G19263)*(1+G2/100),2)</f>
        <v>0</v>
      </c>
      <c r="G19264" s="30"/>
    </row>
    <row r="19265" spans="1:7" ht="39.84" thickBot="1" customHeight="1">
      <c r="A19265" s="34" t="s">
        <v>59001</v>
      </c>
      <c r="B19265" s="35" t="s">
        <v>59002</v>
      </c>
      <c r="C19265" s="35" t="s">
        <v>59003</v>
      </c>
      <c r="D19265" s="36" t="s">
        <v>59004</v>
      </c>
      <c r="E19265" s="37"/>
      <c r="F19265" s="38">
        <f ca="1">F19274</f>
        <v>0</v>
      </c>
      <c r="G19265" s="37"/>
    </row>
    <row r="19266" spans="1:7" ht="113.76" thickBot="1" customHeight="1">
      <c r="A19266" s="26"/>
      <c r="B19266" s="26"/>
      <c r="C19266" s="26"/>
      <c r="D19266" s="25" t="s">
        <v>59005</v>
      </c>
      <c r="E19266" s="25"/>
      <c r="F19266" s="25"/>
      <c r="G19266" s="25"/>
    </row>
    <row r="19267" spans="1:7" ht="58.32" thickBot="1" customHeight="1">
      <c r="A19267" s="24" t="s">
        <v>59006</v>
      </c>
      <c r="B19267" s="24" t="s">
        <v>59007</v>
      </c>
      <c r="C19267" s="24" t="s">
        <v>59008</v>
      </c>
      <c r="D19267" s="25" t="s">
        <v>59009</v>
      </c>
      <c r="E19267" s="28">
        <v>0.66000</v>
      </c>
      <c r="F19267" s="29">
        <f ca="1">ROUND(146.160,3)</f>
        <v>0</v>
      </c>
      <c r="G19267" s="27">
        <f ca="1">ROUND(E19267*F19267,2)</f>
        <v>0</v>
      </c>
    </row>
    <row r="19268" spans="1:7" ht="21.36" thickBot="1" customHeight="1">
      <c r="A19268" s="24" t="s">
        <v>59010</v>
      </c>
      <c r="B19268" s="24" t="s">
        <v>59011</v>
      </c>
      <c r="C19268" s="24" t="s">
        <v>59012</v>
      </c>
      <c r="D19268" s="25" t="s">
        <v>59013</v>
      </c>
      <c r="E19268" s="28">
        <v>0.60000</v>
      </c>
      <c r="F19268" s="29">
        <f ca="1">F19272</f>
        <v>0</v>
      </c>
      <c r="G19268" s="27">
        <f ca="1">ROUND(E19268*F19268,2)</f>
        <v>0</v>
      </c>
    </row>
    <row r="19269" spans="1:7" ht="24.36" thickBot="1" customHeight="1">
      <c r="A19269" s="24" t="s">
        <v>59014</v>
      </c>
      <c r="B19269" s="24" t="s">
        <v>59015</v>
      </c>
      <c r="C19269" s="24" t="s">
        <v>59016</v>
      </c>
      <c r="D19269" s="25" t="s">
        <v>59017</v>
      </c>
      <c r="E19269" s="28">
        <v>1.00000</v>
      </c>
      <c r="F19269" s="29">
        <f ca="1">ROUND(21.000,3)</f>
        <v>0</v>
      </c>
      <c r="G19269" s="27">
        <f ca="1">ROUND(E19269*F19269,2)</f>
        <v>0</v>
      </c>
    </row>
    <row r="19270" spans="1:7" ht="24.36" thickBot="1" customHeight="1">
      <c r="A19270" s="24" t="s">
        <v>59018</v>
      </c>
      <c r="B19270" s="24" t="s">
        <v>59019</v>
      </c>
      <c r="C19270" s="24" t="s">
        <v>59020</v>
      </c>
      <c r="D19270" s="25" t="s">
        <v>59021</v>
      </c>
      <c r="E19270" s="28">
        <v>1.00000</v>
      </c>
      <c r="F19270" s="29">
        <f ca="1">ROUND(19.000,3)</f>
        <v>0</v>
      </c>
      <c r="G19270" s="27">
        <f ca="1">ROUND(E19270*F19270,2)</f>
        <v>0</v>
      </c>
    </row>
    <row r="19271" spans="1:7" ht="24.36" thickBot="1" customHeight="1">
      <c r="A19271" s="24" t="s">
        <v>59022</v>
      </c>
      <c r="B19271" s="24" t="s">
        <v>59023</v>
      </c>
      <c r="C19271" s="24" t="s">
        <v>59024</v>
      </c>
      <c r="D19271" s="25" t="s">
        <v>59025</v>
      </c>
      <c r="E19271" s="28">
        <v>0.20000</v>
      </c>
      <c r="F19271" s="29">
        <f ca="1">ROUND(19.000,3)</f>
        <v>0</v>
      </c>
      <c r="G19271" s="27">
        <f ca="1">ROUND(E19271*F19271,2)</f>
        <v>0</v>
      </c>
    </row>
    <row r="19272" spans="1:7" ht="15.12" thickBot="1" customHeight="1">
      <c r="A19272" s="26"/>
      <c r="B19272" s="26"/>
      <c r="C19272" s="26"/>
      <c r="D19272" s="24" t="s">
        <v>59026</v>
      </c>
      <c r="E19272" s="28">
        <v>0.60000</v>
      </c>
      <c r="F19272" s="29">
        <f ca="1">ROUND((G19269+G19270+G19271),3)</f>
        <v>0</v>
      </c>
      <c r="G19272" s="27">
        <f ca="1">ROUND(E19272*F19272,2)</f>
        <v>0</v>
      </c>
    </row>
    <row r="19273" spans="1:7" ht="15.12" thickBot="1" customHeight="1">
      <c r="A19273" s="24" t="s">
        <v>59027</v>
      </c>
      <c r="B19273" s="24"/>
      <c r="C19273" s="24" t="s">
        <v>59028</v>
      </c>
      <c r="D19273" s="25" t="s">
        <v>59029</v>
      </c>
      <c r="E19273" s="28">
        <v>3.00000</v>
      </c>
      <c r="F19273" s="29">
        <f ca="1">ROUND(26.280,3)</f>
        <v>0</v>
      </c>
      <c r="G19273" s="27">
        <f ca="1">ROUND((E19273*F19273)/100,2)</f>
        <v>0</v>
      </c>
    </row>
    <row r="19274" spans="1:7" ht="15.48" thickBot="1" customHeight="1">
      <c r="A19274" s="30"/>
      <c r="B19274" s="30"/>
      <c r="C19274" s="30"/>
      <c r="D19274" s="31" t="s">
        <v>59030</v>
      </c>
      <c r="E19274" s="30"/>
      <c r="F19274" s="33">
        <f ca="1">ROUND((G19267+G19268+G19273)*(1+G2/100),2)</f>
        <v>0</v>
      </c>
      <c r="G19274" s="30"/>
    </row>
    <row r="19275" spans="1:7" ht="39.84" thickBot="1" customHeight="1">
      <c r="A19275" s="34" t="s">
        <v>59031</v>
      </c>
      <c r="B19275" s="35" t="s">
        <v>59032</v>
      </c>
      <c r="C19275" s="35" t="s">
        <v>59033</v>
      </c>
      <c r="D19275" s="36" t="s">
        <v>59034</v>
      </c>
      <c r="E19275" s="37"/>
      <c r="F19275" s="38">
        <f ca="1">F19284</f>
        <v>0</v>
      </c>
      <c r="G19275" s="37"/>
    </row>
    <row r="19276" spans="1:7" ht="21.36" thickBot="1" customHeight="1">
      <c r="A19276" s="26"/>
      <c r="B19276" s="26"/>
      <c r="C19276" s="26"/>
      <c r="D19276" s="25" t="s">
        <v>59035</v>
      </c>
      <c r="E19276" s="25"/>
      <c r="F19276" s="25"/>
      <c r="G19276" s="25"/>
    </row>
    <row r="19277" spans="1:7" ht="58.32" thickBot="1" customHeight="1">
      <c r="A19277" s="24" t="s">
        <v>59036</v>
      </c>
      <c r="B19277" s="24" t="s">
        <v>59037</v>
      </c>
      <c r="C19277" s="24" t="s">
        <v>59038</v>
      </c>
      <c r="D19277" s="25" t="s">
        <v>59039</v>
      </c>
      <c r="E19277" s="28">
        <v>0.66000</v>
      </c>
      <c r="F19277" s="29">
        <f ca="1">ROUND(146.160,3)</f>
        <v>0</v>
      </c>
      <c r="G19277" s="27">
        <f ca="1">ROUND(E19277*F19277,2)</f>
        <v>0</v>
      </c>
    </row>
    <row r="19278" spans="1:7" ht="24.36" thickBot="1" customHeight="1">
      <c r="A19278" s="24" t="s">
        <v>59040</v>
      </c>
      <c r="B19278" s="24" t="s">
        <v>59041</v>
      </c>
      <c r="C19278" s="24" t="s">
        <v>59042</v>
      </c>
      <c r="D19278" s="25" t="s">
        <v>59043</v>
      </c>
      <c r="E19278" s="28">
        <v>0.80000</v>
      </c>
      <c r="F19278" s="29">
        <f ca="1">F19282</f>
        <v>0</v>
      </c>
      <c r="G19278" s="27">
        <f ca="1">ROUND(E19278*F19278,2)</f>
        <v>0</v>
      </c>
    </row>
    <row r="19279" spans="1:7" ht="24.36" thickBot="1" customHeight="1">
      <c r="A19279" s="24" t="s">
        <v>59044</v>
      </c>
      <c r="B19279" s="24" t="s">
        <v>59045</v>
      </c>
      <c r="C19279" s="24" t="s">
        <v>59046</v>
      </c>
      <c r="D19279" s="25" t="s">
        <v>59047</v>
      </c>
      <c r="E19279" s="28">
        <v>1.00000</v>
      </c>
      <c r="F19279" s="29">
        <f ca="1">ROUND(21.000,3)</f>
        <v>0</v>
      </c>
      <c r="G19279" s="27">
        <f ca="1">ROUND(E19279*F19279,2)</f>
        <v>0</v>
      </c>
    </row>
    <row r="19280" spans="1:7" ht="24.36" thickBot="1" customHeight="1">
      <c r="A19280" s="24" t="s">
        <v>59048</v>
      </c>
      <c r="B19280" s="24" t="s">
        <v>59049</v>
      </c>
      <c r="C19280" s="24" t="s">
        <v>59050</v>
      </c>
      <c r="D19280" s="25" t="s">
        <v>59051</v>
      </c>
      <c r="E19280" s="28">
        <v>1.00000</v>
      </c>
      <c r="F19280" s="29">
        <f ca="1">ROUND(19.000,3)</f>
        <v>0</v>
      </c>
      <c r="G19280" s="27">
        <f ca="1">ROUND(E19280*F19280,2)</f>
        <v>0</v>
      </c>
    </row>
    <row r="19281" spans="1:7" ht="24.36" thickBot="1" customHeight="1">
      <c r="A19281" s="24" t="s">
        <v>59052</v>
      </c>
      <c r="B19281" s="24" t="s">
        <v>59053</v>
      </c>
      <c r="C19281" s="24" t="s">
        <v>59054</v>
      </c>
      <c r="D19281" s="25" t="s">
        <v>59055</v>
      </c>
      <c r="E19281" s="28">
        <v>0.50000</v>
      </c>
      <c r="F19281" s="29">
        <f ca="1">ROUND(19.000,3)</f>
        <v>0</v>
      </c>
      <c r="G19281" s="27">
        <f ca="1">ROUND(E19281*F19281,2)</f>
        <v>0</v>
      </c>
    </row>
    <row r="19282" spans="1:7" ht="15.12" thickBot="1" customHeight="1">
      <c r="A19282" s="26"/>
      <c r="B19282" s="26"/>
      <c r="C19282" s="26"/>
      <c r="D19282" s="24" t="s">
        <v>59056</v>
      </c>
      <c r="E19282" s="28">
        <v>0.80000</v>
      </c>
      <c r="F19282" s="29">
        <f ca="1">ROUND((G19279+G19280+G19281),3)</f>
        <v>0</v>
      </c>
      <c r="G19282" s="27">
        <f ca="1">ROUND(E19282*F19282,2)</f>
        <v>0</v>
      </c>
    </row>
    <row r="19283" spans="1:7" ht="15.12" thickBot="1" customHeight="1">
      <c r="A19283" s="24" t="s">
        <v>59057</v>
      </c>
      <c r="B19283" s="24"/>
      <c r="C19283" s="24" t="s">
        <v>59058</v>
      </c>
      <c r="D19283" s="25" t="s">
        <v>59059</v>
      </c>
      <c r="E19283" s="28">
        <v>3.00000</v>
      </c>
      <c r="F19283" s="29">
        <f ca="1">ROUND(39.600,3)</f>
        <v>0</v>
      </c>
      <c r="G19283" s="27">
        <f ca="1">ROUND((E19283*F19283)/100,2)</f>
        <v>0</v>
      </c>
    </row>
    <row r="19284" spans="1:7" ht="15.48" thickBot="1" customHeight="1">
      <c r="A19284" s="30"/>
      <c r="B19284" s="30"/>
      <c r="C19284" s="30"/>
      <c r="D19284" s="31" t="s">
        <v>59060</v>
      </c>
      <c r="E19284" s="30"/>
      <c r="F19284" s="33">
        <f ca="1">ROUND((G19277+G19278+G19283)*(1+G2/100),2)</f>
        <v>0</v>
      </c>
      <c r="G19284" s="30"/>
    </row>
    <row r="19285" spans="1:7" ht="58.32" thickBot="1" customHeight="1">
      <c r="A19285" s="34" t="s">
        <v>59061</v>
      </c>
      <c r="B19285" s="35" t="s">
        <v>59062</v>
      </c>
      <c r="C19285" s="35" t="s">
        <v>59063</v>
      </c>
      <c r="D19285" s="36" t="s">
        <v>59064</v>
      </c>
      <c r="E19285" s="37"/>
      <c r="F19285" s="38">
        <f ca="1">F19296</f>
        <v>0</v>
      </c>
      <c r="G19285" s="37"/>
    </row>
    <row r="19286" spans="1:7" ht="21.36" thickBot="1" customHeight="1">
      <c r="A19286" s="26"/>
      <c r="B19286" s="26"/>
      <c r="C19286" s="26"/>
      <c r="D19286" s="25" t="s">
        <v>59065</v>
      </c>
      <c r="E19286" s="25"/>
      <c r="F19286" s="25"/>
      <c r="G19286" s="25"/>
    </row>
    <row r="19287" spans="1:7" ht="24.36" thickBot="1" customHeight="1">
      <c r="A19287" s="24" t="s">
        <v>59066</v>
      </c>
      <c r="B19287" s="24" t="s">
        <v>59067</v>
      </c>
      <c r="C19287" s="24" t="s">
        <v>59068</v>
      </c>
      <c r="D19287" s="25" t="s">
        <v>59069</v>
      </c>
      <c r="E19287" s="28">
        <v>0.00000</v>
      </c>
      <c r="F19287" s="29">
        <f ca="1">ROUND(29.060,3)</f>
        <v>0</v>
      </c>
      <c r="G19287" s="27">
        <f ca="1">ROUND(E19287*F19287,2)</f>
        <v>0</v>
      </c>
    </row>
    <row r="19288" spans="1:7" ht="39.84" thickBot="1" customHeight="1">
      <c r="A19288" s="24" t="s">
        <v>59070</v>
      </c>
      <c r="B19288" s="24" t="s">
        <v>59071</v>
      </c>
      <c r="C19288" s="24" t="s">
        <v>59072</v>
      </c>
      <c r="D19288" s="25" t="s">
        <v>59073</v>
      </c>
      <c r="E19288" s="28">
        <v>0.26000</v>
      </c>
      <c r="F19288" s="29">
        <f ca="1">ROUND(38.240,3)</f>
        <v>0</v>
      </c>
      <c r="G19288" s="27">
        <f ca="1">ROUND(E19288*F19288,2)</f>
        <v>0</v>
      </c>
    </row>
    <row r="19289" spans="1:7" ht="30.60" thickBot="1" customHeight="1">
      <c r="A19289" s="24" t="s">
        <v>59074</v>
      </c>
      <c r="B19289" s="24" t="s">
        <v>59075</v>
      </c>
      <c r="C19289" s="24" t="s">
        <v>59076</v>
      </c>
      <c r="D19289" s="25" t="s">
        <v>59077</v>
      </c>
      <c r="E19289" s="28">
        <v>0.02200</v>
      </c>
      <c r="F19289" s="29">
        <f ca="1">ROUND(27.500,3)</f>
        <v>0</v>
      </c>
      <c r="G19289" s="27">
        <f ca="1">ROUND(E19289*F19289,2)</f>
        <v>0</v>
      </c>
    </row>
    <row r="19290" spans="1:7" ht="21.36" thickBot="1" customHeight="1">
      <c r="A19290" s="24" t="s">
        <v>59078</v>
      </c>
      <c r="B19290" s="24" t="s">
        <v>59079</v>
      </c>
      <c r="C19290" s="24" t="s">
        <v>59080</v>
      </c>
      <c r="D19290" s="25" t="s">
        <v>59081</v>
      </c>
      <c r="E19290" s="28">
        <v>0.40000</v>
      </c>
      <c r="F19290" s="29">
        <f ca="1">F19294</f>
        <v>0</v>
      </c>
      <c r="G19290" s="27">
        <f ca="1">ROUND(E19290*F19290,2)</f>
        <v>0</v>
      </c>
    </row>
    <row r="19291" spans="1:7" ht="24.36" thickBot="1" customHeight="1">
      <c r="A19291" s="24" t="s">
        <v>59082</v>
      </c>
      <c r="B19291" s="24" t="s">
        <v>59083</v>
      </c>
      <c r="C19291" s="24" t="s">
        <v>59084</v>
      </c>
      <c r="D19291" s="25" t="s">
        <v>59085</v>
      </c>
      <c r="E19291" s="28">
        <v>1.00000</v>
      </c>
      <c r="F19291" s="29">
        <f ca="1">ROUND(21.000,3)</f>
        <v>0</v>
      </c>
      <c r="G19291" s="27">
        <f ca="1">ROUND(E19291*F19291,2)</f>
        <v>0</v>
      </c>
    </row>
    <row r="19292" spans="1:7" ht="24.36" thickBot="1" customHeight="1">
      <c r="A19292" s="24" t="s">
        <v>59086</v>
      </c>
      <c r="B19292" s="24" t="s">
        <v>59087</v>
      </c>
      <c r="C19292" s="24" t="s">
        <v>59088</v>
      </c>
      <c r="D19292" s="25" t="s">
        <v>59089</v>
      </c>
      <c r="E19292" s="28">
        <v>1.00000</v>
      </c>
      <c r="F19292" s="29">
        <f ca="1">ROUND(19.000,3)</f>
        <v>0</v>
      </c>
      <c r="G19292" s="27">
        <f ca="1">ROUND(E19292*F19292,2)</f>
        <v>0</v>
      </c>
    </row>
    <row r="19293" spans="1:7" ht="24.36" thickBot="1" customHeight="1">
      <c r="A19293" s="24" t="s">
        <v>59090</v>
      </c>
      <c r="B19293" s="24" t="s">
        <v>59091</v>
      </c>
      <c r="C19293" s="24" t="s">
        <v>59092</v>
      </c>
      <c r="D19293" s="25" t="s">
        <v>59093</v>
      </c>
      <c r="E19293" s="28">
        <v>0.20000</v>
      </c>
      <c r="F19293" s="29">
        <f ca="1">ROUND(19.000,3)</f>
        <v>0</v>
      </c>
      <c r="G19293" s="27">
        <f ca="1">ROUND(E19293*F19293,2)</f>
        <v>0</v>
      </c>
    </row>
    <row r="19294" spans="1:7" ht="15.12" thickBot="1" customHeight="1">
      <c r="A19294" s="26"/>
      <c r="B19294" s="26"/>
      <c r="C19294" s="26"/>
      <c r="D19294" s="24" t="s">
        <v>59094</v>
      </c>
      <c r="E19294" s="28">
        <v>0.40000</v>
      </c>
      <c r="F19294" s="29">
        <f ca="1">ROUND((G19291+G19292+G19293),3)</f>
        <v>0</v>
      </c>
      <c r="G19294" s="27">
        <f ca="1">ROUND(E19294*F19294,2)</f>
        <v>0</v>
      </c>
    </row>
    <row r="19295" spans="1:7" ht="15.12" thickBot="1" customHeight="1">
      <c r="A19295" s="24" t="s">
        <v>59095</v>
      </c>
      <c r="B19295" s="24"/>
      <c r="C19295" s="24" t="s">
        <v>59096</v>
      </c>
      <c r="D19295" s="25" t="s">
        <v>59097</v>
      </c>
      <c r="E19295" s="28">
        <v>3.00000</v>
      </c>
      <c r="F19295" s="29">
        <f ca="1">ROUND(17.520,3)</f>
        <v>0</v>
      </c>
      <c r="G19295" s="27">
        <f ca="1">ROUND((E19295*F19295)/100,2)</f>
        <v>0</v>
      </c>
    </row>
    <row r="19296" spans="1:7" ht="15.48" thickBot="1" customHeight="1">
      <c r="A19296" s="30"/>
      <c r="B19296" s="30"/>
      <c r="C19296" s="30"/>
      <c r="D19296" s="31" t="s">
        <v>59098</v>
      </c>
      <c r="E19296" s="30"/>
      <c r="F19296" s="33">
        <f ca="1">ROUND((G19287+G19288+G19289+G19290+G19295)*(1+G2/100),2)</f>
        <v>0</v>
      </c>
      <c r="G19296" s="30"/>
    </row>
    <row r="19297" spans="1:7" ht="25.08" thickBot="1" customHeight="1">
      <c r="A19297" s="34" t="s">
        <v>59099</v>
      </c>
      <c r="B19297" s="35" t="s">
        <v>59100</v>
      </c>
      <c r="C19297" s="35" t="s">
        <v>59101</v>
      </c>
      <c r="D19297" s="36" t="s">
        <v>59102</v>
      </c>
      <c r="E19297" s="37"/>
      <c r="F19297" s="38">
        <f ca="1">F19307</f>
        <v>0</v>
      </c>
      <c r="G19297" s="37"/>
    </row>
    <row r="19298" spans="1:7" ht="12.12" thickBot="1" customHeight="1">
      <c r="A19298" s="26"/>
      <c r="B19298" s="26"/>
      <c r="C19298" s="26"/>
      <c r="D19298" s="25" t="s">
        <v>59103</v>
      </c>
      <c r="E19298" s="25"/>
      <c r="F19298" s="25"/>
      <c r="G19298" s="25"/>
    </row>
    <row r="19299" spans="1:7" ht="21.36" thickBot="1" customHeight="1">
      <c r="A19299" s="24" t="s">
        <v>59104</v>
      </c>
      <c r="B19299" s="24" t="s">
        <v>59105</v>
      </c>
      <c r="C19299" s="24" t="s">
        <v>59106</v>
      </c>
      <c r="D19299" s="25" t="s">
        <v>59107</v>
      </c>
      <c r="E19299" s="28">
        <v>0.50000</v>
      </c>
      <c r="F19299" s="29">
        <f ca="1">ROUND(3.470,3)</f>
        <v>0</v>
      </c>
      <c r="G19299" s="27">
        <f ca="1">ROUND(E19299*F19299,2)</f>
        <v>0</v>
      </c>
    </row>
    <row r="19300" spans="1:7" ht="21.36" thickBot="1" customHeight="1">
      <c r="A19300" s="24" t="s">
        <v>59108</v>
      </c>
      <c r="B19300" s="24" t="s">
        <v>59109</v>
      </c>
      <c r="C19300" s="24" t="s">
        <v>59110</v>
      </c>
      <c r="D19300" s="25" t="s">
        <v>59111</v>
      </c>
      <c r="E19300" s="28">
        <v>0.10000</v>
      </c>
      <c r="F19300" s="29">
        <f ca="1">ROUND(1.320,3)</f>
        <v>0</v>
      </c>
      <c r="G19300" s="27">
        <f ca="1">ROUND(E19300*F19300,2)</f>
        <v>0</v>
      </c>
    </row>
    <row r="19301" spans="1:7" ht="21.36" thickBot="1" customHeight="1">
      <c r="A19301" s="24" t="s">
        <v>59112</v>
      </c>
      <c r="B19301" s="24" t="s">
        <v>59113</v>
      </c>
      <c r="C19301" s="24" t="s">
        <v>59114</v>
      </c>
      <c r="D19301" s="25" t="s">
        <v>59115</v>
      </c>
      <c r="E19301" s="28">
        <v>1.00000</v>
      </c>
      <c r="F19301" s="29">
        <f ca="1">F19305</f>
        <v>0</v>
      </c>
      <c r="G19301" s="27">
        <f ca="1">ROUND(E19301*F19301,2)</f>
        <v>0</v>
      </c>
    </row>
    <row r="19302" spans="1:7" ht="24.36" thickBot="1" customHeight="1">
      <c r="A19302" s="24" t="s">
        <v>59116</v>
      </c>
      <c r="B19302" s="24" t="s">
        <v>59117</v>
      </c>
      <c r="C19302" s="24" t="s">
        <v>59118</v>
      </c>
      <c r="D19302" s="25" t="s">
        <v>59119</v>
      </c>
      <c r="E19302" s="28">
        <v>1.00000</v>
      </c>
      <c r="F19302" s="29">
        <f ca="1">ROUND(21.000,3)</f>
        <v>0</v>
      </c>
      <c r="G19302" s="27">
        <f ca="1">ROUND(E19302*F19302,2)</f>
        <v>0</v>
      </c>
    </row>
    <row r="19303" spans="1:7" ht="24.36" thickBot="1" customHeight="1">
      <c r="A19303" s="24" t="s">
        <v>59120</v>
      </c>
      <c r="B19303" s="24" t="s">
        <v>59121</v>
      </c>
      <c r="C19303" s="24" t="s">
        <v>59122</v>
      </c>
      <c r="D19303" s="25" t="s">
        <v>59123</v>
      </c>
      <c r="E19303" s="28">
        <v>1.00000</v>
      </c>
      <c r="F19303" s="29">
        <f ca="1">ROUND(19.000,3)</f>
        <v>0</v>
      </c>
      <c r="G19303" s="27">
        <f ca="1">ROUND(E19303*F19303,2)</f>
        <v>0</v>
      </c>
    </row>
    <row r="19304" spans="1:7" ht="24.36" thickBot="1" customHeight="1">
      <c r="A19304" s="24" t="s">
        <v>59124</v>
      </c>
      <c r="B19304" s="24" t="s">
        <v>59125</v>
      </c>
      <c r="C19304" s="24" t="s">
        <v>59126</v>
      </c>
      <c r="D19304" s="25" t="s">
        <v>59127</v>
      </c>
      <c r="E19304" s="28">
        <v>0.20000</v>
      </c>
      <c r="F19304" s="29">
        <f ca="1">ROUND(19.000,3)</f>
        <v>0</v>
      </c>
      <c r="G19304" s="27">
        <f ca="1">ROUND(E19304*F19304,2)</f>
        <v>0</v>
      </c>
    </row>
    <row r="19305" spans="1:7" ht="15.12" thickBot="1" customHeight="1">
      <c r="A19305" s="26"/>
      <c r="B19305" s="26"/>
      <c r="C19305" s="26"/>
      <c r="D19305" s="24" t="s">
        <v>59128</v>
      </c>
      <c r="E19305" s="28">
        <v>1.00000</v>
      </c>
      <c r="F19305" s="29">
        <f ca="1">ROUND((G19302+G19303+G19304),3)</f>
        <v>0</v>
      </c>
      <c r="G19305" s="27">
        <f ca="1">ROUND(E19305*F19305,2)</f>
        <v>0</v>
      </c>
    </row>
    <row r="19306" spans="1:7" ht="15.12" thickBot="1" customHeight="1">
      <c r="A19306" s="24" t="s">
        <v>59129</v>
      </c>
      <c r="B19306" s="24"/>
      <c r="C19306" s="24" t="s">
        <v>59130</v>
      </c>
      <c r="D19306" s="25" t="s">
        <v>59131</v>
      </c>
      <c r="E19306" s="28">
        <v>3.00000</v>
      </c>
      <c r="F19306" s="29">
        <f ca="1">ROUND(43.800,3)</f>
        <v>0</v>
      </c>
      <c r="G19306" s="27">
        <f ca="1">ROUND((E19306*F19306)/100,2)</f>
        <v>0</v>
      </c>
    </row>
    <row r="19307" spans="1:7" ht="15.48" thickBot="1" customHeight="1">
      <c r="A19307" s="30"/>
      <c r="B19307" s="30"/>
      <c r="C19307" s="30"/>
      <c r="D19307" s="31" t="s">
        <v>59132</v>
      </c>
      <c r="E19307" s="30"/>
      <c r="F19307" s="33">
        <f ca="1">ROUND((G19299+G19300+G19301+G19306)*(1+G2/100),2)</f>
        <v>0</v>
      </c>
      <c r="G19307" s="30"/>
    </row>
    <row r="19308" spans="1:7" ht="30.60" thickBot="1" customHeight="1">
      <c r="A19308" s="34" t="s">
        <v>59133</v>
      </c>
      <c r="B19308" s="35" t="s">
        <v>59134</v>
      </c>
      <c r="C19308" s="35" t="s">
        <v>59135</v>
      </c>
      <c r="D19308" s="36" t="s">
        <v>59136</v>
      </c>
      <c r="E19308" s="37"/>
      <c r="F19308" s="38">
        <f ca="1">F19318</f>
        <v>0</v>
      </c>
      <c r="G19308" s="37"/>
    </row>
    <row r="19309" spans="1:7" ht="39.84" thickBot="1" customHeight="1">
      <c r="A19309" s="26"/>
      <c r="B19309" s="26"/>
      <c r="C19309" s="26"/>
      <c r="D19309" s="25" t="s">
        <v>59137</v>
      </c>
      <c r="E19309" s="25"/>
      <c r="F19309" s="25"/>
      <c r="G19309" s="25"/>
    </row>
    <row r="19310" spans="1:7" ht="30.60" thickBot="1" customHeight="1">
      <c r="A19310" s="24" t="s">
        <v>59138</v>
      </c>
      <c r="B19310" s="24" t="s">
        <v>59139</v>
      </c>
      <c r="C19310" s="24" t="s">
        <v>59140</v>
      </c>
      <c r="D19310" s="25" t="s">
        <v>59141</v>
      </c>
      <c r="E19310" s="28">
        <v>100.00000</v>
      </c>
      <c r="F19310" s="29">
        <f ca="1">ROUND(13.250,3)</f>
        <v>0</v>
      </c>
      <c r="G19310" s="27">
        <f ca="1">ROUND(E19310*F19310,2)</f>
        <v>0</v>
      </c>
    </row>
    <row r="19311" spans="1:7" ht="30.60" thickBot="1" customHeight="1">
      <c r="A19311" s="24" t="s">
        <v>59142</v>
      </c>
      <c r="B19311" s="24" t="s">
        <v>59143</v>
      </c>
      <c r="C19311" s="24" t="s">
        <v>59144</v>
      </c>
      <c r="D19311" s="25" t="s">
        <v>59145</v>
      </c>
      <c r="E19311" s="28">
        <v>1.00000</v>
      </c>
      <c r="F19311" s="29">
        <f ca="1">ROUND(20.000,3)</f>
        <v>0</v>
      </c>
      <c r="G19311" s="27">
        <f ca="1">ROUND(E19311*F19311,2)</f>
        <v>0</v>
      </c>
    </row>
    <row r="19312" spans="1:7" ht="30.60" thickBot="1" customHeight="1">
      <c r="A19312" s="24" t="s">
        <v>59146</v>
      </c>
      <c r="B19312" s="24" t="s">
        <v>59147</v>
      </c>
      <c r="C19312" s="24" t="s">
        <v>59148</v>
      </c>
      <c r="D19312" s="25" t="s">
        <v>59149</v>
      </c>
      <c r="E19312" s="28">
        <v>4.00000</v>
      </c>
      <c r="F19312" s="29">
        <f ca="1">ROUND(6.320,3)</f>
        <v>0</v>
      </c>
      <c r="G19312" s="27">
        <f ca="1">ROUND(E19312*F19312,2)</f>
        <v>0</v>
      </c>
    </row>
    <row r="19313" spans="1:7" ht="21.36" thickBot="1" customHeight="1">
      <c r="A19313" s="24" t="s">
        <v>59150</v>
      </c>
      <c r="B19313" s="24" t="s">
        <v>59151</v>
      </c>
      <c r="C19313" s="24" t="s">
        <v>59152</v>
      </c>
      <c r="D19313" s="25" t="s">
        <v>59153</v>
      </c>
      <c r="E19313" s="28">
        <v>4.00000</v>
      </c>
      <c r="F19313" s="29">
        <f ca="1">F19316</f>
        <v>0</v>
      </c>
      <c r="G19313" s="27">
        <f ca="1">ROUND(E19313*F19313,2)</f>
        <v>0</v>
      </c>
    </row>
    <row r="19314" spans="1:7" ht="24.36" thickBot="1" customHeight="1">
      <c r="A19314" s="24" t="s">
        <v>59154</v>
      </c>
      <c r="B19314" s="24" t="s">
        <v>59155</v>
      </c>
      <c r="C19314" s="24" t="s">
        <v>59156</v>
      </c>
      <c r="D19314" s="25" t="s">
        <v>59157</v>
      </c>
      <c r="E19314" s="28">
        <v>1.00000</v>
      </c>
      <c r="F19314" s="29">
        <f ca="1">ROUND(21.000,3)</f>
        <v>0</v>
      </c>
      <c r="G19314" s="27">
        <f ca="1">ROUND(E19314*F19314,2)</f>
        <v>0</v>
      </c>
    </row>
    <row r="19315" spans="1:7" ht="24.36" thickBot="1" customHeight="1">
      <c r="A19315" s="24" t="s">
        <v>59158</v>
      </c>
      <c r="B19315" s="24" t="s">
        <v>59159</v>
      </c>
      <c r="C19315" s="24" t="s">
        <v>59160</v>
      </c>
      <c r="D19315" s="25" t="s">
        <v>59161</v>
      </c>
      <c r="E19315" s="28">
        <v>1.00000</v>
      </c>
      <c r="F19315" s="29">
        <f ca="1">ROUND(19.000,3)</f>
        <v>0</v>
      </c>
      <c r="G19315" s="27">
        <f ca="1">ROUND(E19315*F19315,2)</f>
        <v>0</v>
      </c>
    </row>
    <row r="19316" spans="1:7" ht="15.12" thickBot="1" customHeight="1">
      <c r="A19316" s="26"/>
      <c r="B19316" s="26"/>
      <c r="C19316" s="26"/>
      <c r="D19316" s="24" t="s">
        <v>59162</v>
      </c>
      <c r="E19316" s="28">
        <v>4.00000</v>
      </c>
      <c r="F19316" s="29">
        <f ca="1">ROUND((G19314+G19315),3)</f>
        <v>0</v>
      </c>
      <c r="G19316" s="27">
        <f ca="1">ROUND(E19316*F19316,2)</f>
        <v>0</v>
      </c>
    </row>
    <row r="19317" spans="1:7" ht="15.12" thickBot="1" customHeight="1">
      <c r="A19317" s="24" t="s">
        <v>59163</v>
      </c>
      <c r="B19317" s="24"/>
      <c r="C19317" s="24" t="s">
        <v>59164</v>
      </c>
      <c r="D19317" s="25" t="s">
        <v>59165</v>
      </c>
      <c r="E19317" s="28">
        <v>5.00000</v>
      </c>
      <c r="F19317" s="29">
        <f ca="1">ROUND(160.000,3)</f>
        <v>0</v>
      </c>
      <c r="G19317" s="27">
        <f ca="1">ROUND((E19317*F19317)/100,2)</f>
        <v>0</v>
      </c>
    </row>
    <row r="19318" spans="1:7" ht="15.48" thickBot="1" customHeight="1">
      <c r="A19318" s="30"/>
      <c r="B19318" s="30"/>
      <c r="C19318" s="30"/>
      <c r="D19318" s="31" t="s">
        <v>59166</v>
      </c>
      <c r="E19318" s="30"/>
      <c r="F19318" s="33">
        <f ca="1">ROUND((G19310+G19311+G19312+G19313+G19317)*(1+G2/100),2)</f>
        <v>0</v>
      </c>
      <c r="G19318" s="30"/>
    </row>
    <row r="19319" spans="1:7" ht="34.68" thickBot="1" customHeight="1">
      <c r="A19319" s="34" t="s">
        <v>59167</v>
      </c>
      <c r="B19319" s="35" t="s">
        <v>59168</v>
      </c>
      <c r="C19319" s="35" t="s">
        <v>59169</v>
      </c>
      <c r="D19319" s="36" t="s">
        <v>59170</v>
      </c>
      <c r="E19319" s="37"/>
      <c r="F19319" s="38">
        <f ca="1">F19333</f>
        <v>0</v>
      </c>
      <c r="G19319" s="37"/>
    </row>
    <row r="19320" spans="1:7" ht="113.76" thickBot="1" customHeight="1">
      <c r="A19320" s="26"/>
      <c r="B19320" s="26"/>
      <c r="C19320" s="26"/>
      <c r="D19320" s="25" t="s">
        <v>59171</v>
      </c>
      <c r="E19320" s="25"/>
      <c r="F19320" s="25"/>
      <c r="G19320" s="25"/>
    </row>
    <row r="19321" spans="1:7" ht="21.36" thickBot="1" customHeight="1">
      <c r="A19321" s="24" t="s">
        <v>59172</v>
      </c>
      <c r="B19321" s="24" t="s">
        <v>59173</v>
      </c>
      <c r="C19321" s="24" t="s">
        <v>59174</v>
      </c>
      <c r="D19321" s="25" t="s">
        <v>59175</v>
      </c>
      <c r="E19321" s="28">
        <v>1.10000</v>
      </c>
      <c r="F19321" s="29">
        <f ca="1">ROUND(18.000,3)</f>
        <v>0</v>
      </c>
      <c r="G19321" s="27">
        <f ca="1">ROUND(E19321*F19321,2)</f>
        <v>0</v>
      </c>
    </row>
    <row r="19322" spans="1:7" ht="30.60" thickBot="1" customHeight="1">
      <c r="A19322" s="24" t="s">
        <v>59176</v>
      </c>
      <c r="B19322" s="24" t="s">
        <v>59177</v>
      </c>
      <c r="C19322" s="24" t="s">
        <v>59178</v>
      </c>
      <c r="D19322" s="25" t="s">
        <v>59179</v>
      </c>
      <c r="E19322" s="28">
        <v>0.00000</v>
      </c>
      <c r="F19322" s="29">
        <f ca="1">ROUND(38.090,3)</f>
        <v>0</v>
      </c>
      <c r="G19322" s="27">
        <f ca="1">ROUND(E19322*F19322,2)</f>
        <v>0</v>
      </c>
    </row>
    <row r="19323" spans="1:7" ht="30.60" thickBot="1" customHeight="1">
      <c r="A19323" s="24" t="s">
        <v>59180</v>
      </c>
      <c r="B19323" s="24" t="s">
        <v>59181</v>
      </c>
      <c r="C19323" s="24" t="s">
        <v>59182</v>
      </c>
      <c r="D19323" s="25" t="s">
        <v>59183</v>
      </c>
      <c r="E19323" s="28">
        <v>1.10000</v>
      </c>
      <c r="F19323" s="29">
        <f ca="1">ROUND(45.990,3)</f>
        <v>0</v>
      </c>
      <c r="G19323" s="27">
        <f ca="1">ROUND(E19323*F19323,2)</f>
        <v>0</v>
      </c>
    </row>
    <row r="19324" spans="1:7" ht="21.36" thickBot="1" customHeight="1">
      <c r="A19324" s="24" t="s">
        <v>59184</v>
      </c>
      <c r="B19324" s="24" t="s">
        <v>59185</v>
      </c>
      <c r="C19324" s="24" t="s">
        <v>59186</v>
      </c>
      <c r="D19324" s="25" t="s">
        <v>59187</v>
      </c>
      <c r="E19324" s="28">
        <v>0.00000</v>
      </c>
      <c r="F19324" s="29">
        <f ca="1">ROUND(11.570,3)</f>
        <v>0</v>
      </c>
      <c r="G19324" s="27">
        <f ca="1">ROUND(E19324*F19324,2)</f>
        <v>0</v>
      </c>
    </row>
    <row r="19325" spans="1:7" ht="21.36" thickBot="1" customHeight="1">
      <c r="A19325" s="24" t="s">
        <v>59188</v>
      </c>
      <c r="B19325" s="24" t="s">
        <v>59189</v>
      </c>
      <c r="C19325" s="24" t="s">
        <v>59190</v>
      </c>
      <c r="D19325" s="25" t="s">
        <v>59191</v>
      </c>
      <c r="E19325" s="28">
        <v>0.90000</v>
      </c>
      <c r="F19325" s="29">
        <f ca="1">ROUND(15.000,3)</f>
        <v>0</v>
      </c>
      <c r="G19325" s="27">
        <f ca="1">ROUND(E19325*F19325,2)</f>
        <v>0</v>
      </c>
    </row>
    <row r="19326" spans="1:7" ht="30.60" thickBot="1" customHeight="1">
      <c r="A19326" s="24" t="s">
        <v>59192</v>
      </c>
      <c r="B19326" s="24" t="s">
        <v>59193</v>
      </c>
      <c r="C19326" s="24" t="s">
        <v>59194</v>
      </c>
      <c r="D19326" s="25" t="s">
        <v>59195</v>
      </c>
      <c r="E19326" s="28">
        <v>0.17400</v>
      </c>
      <c r="F19326" s="29">
        <f ca="1">ROUND(4.760,3)</f>
        <v>0</v>
      </c>
      <c r="G19326" s="27">
        <f ca="1">ROUND(E19326*F19326,2)</f>
        <v>0</v>
      </c>
    </row>
    <row r="19327" spans="1:7" ht="21.36" thickBot="1" customHeight="1">
      <c r="A19327" s="24" t="s">
        <v>59196</v>
      </c>
      <c r="B19327" s="24" t="s">
        <v>59197</v>
      </c>
      <c r="C19327" s="24" t="s">
        <v>59198</v>
      </c>
      <c r="D19327" s="25" t="s">
        <v>59199</v>
      </c>
      <c r="E19327" s="28">
        <v>1.00000</v>
      </c>
      <c r="F19327" s="29">
        <f ca="1">F19331</f>
        <v>0</v>
      </c>
      <c r="G19327" s="27">
        <f ca="1">ROUND(E19327*F19327,2)</f>
        <v>0</v>
      </c>
    </row>
    <row r="19328" spans="1:7" ht="24.36" thickBot="1" customHeight="1">
      <c r="A19328" s="24" t="s">
        <v>59200</v>
      </c>
      <c r="B19328" s="24" t="s">
        <v>59201</v>
      </c>
      <c r="C19328" s="24" t="s">
        <v>59202</v>
      </c>
      <c r="D19328" s="25" t="s">
        <v>59203</v>
      </c>
      <c r="E19328" s="28">
        <v>1.00000</v>
      </c>
      <c r="F19328" s="29">
        <f ca="1">ROUND(21.000,3)</f>
        <v>0</v>
      </c>
      <c r="G19328" s="27">
        <f ca="1">ROUND(E19328*F19328,2)</f>
        <v>0</v>
      </c>
    </row>
    <row r="19329" spans="1:7" ht="24.36" thickBot="1" customHeight="1">
      <c r="A19329" s="24" t="s">
        <v>59204</v>
      </c>
      <c r="B19329" s="24" t="s">
        <v>59205</v>
      </c>
      <c r="C19329" s="24" t="s">
        <v>59206</v>
      </c>
      <c r="D19329" s="25" t="s">
        <v>59207</v>
      </c>
      <c r="E19329" s="28">
        <v>1.00000</v>
      </c>
      <c r="F19329" s="29">
        <f ca="1">ROUND(19.000,3)</f>
        <v>0</v>
      </c>
      <c r="G19329" s="27">
        <f ca="1">ROUND(E19329*F19329,2)</f>
        <v>0</v>
      </c>
    </row>
    <row r="19330" spans="1:7" ht="24.36" thickBot="1" customHeight="1">
      <c r="A19330" s="24" t="s">
        <v>59208</v>
      </c>
      <c r="B19330" s="24" t="s">
        <v>59209</v>
      </c>
      <c r="C19330" s="24" t="s">
        <v>59210</v>
      </c>
      <c r="D19330" s="25" t="s">
        <v>59211</v>
      </c>
      <c r="E19330" s="28">
        <v>0.20000</v>
      </c>
      <c r="F19330" s="29">
        <f ca="1">ROUND(19.000,3)</f>
        <v>0</v>
      </c>
      <c r="G19330" s="27">
        <f ca="1">ROUND(E19330*F19330,2)</f>
        <v>0</v>
      </c>
    </row>
    <row r="19331" spans="1:7" ht="15.12" thickBot="1" customHeight="1">
      <c r="A19331" s="26"/>
      <c r="B19331" s="26"/>
      <c r="C19331" s="26"/>
      <c r="D19331" s="24" t="s">
        <v>59212</v>
      </c>
      <c r="E19331" s="28">
        <v>1.00000</v>
      </c>
      <c r="F19331" s="29">
        <f ca="1">ROUND((G19328+G19329+G19330),3)</f>
        <v>0</v>
      </c>
      <c r="G19331" s="27">
        <f ca="1">ROUND(E19331*F19331,2)</f>
        <v>0</v>
      </c>
    </row>
    <row r="19332" spans="1:7" ht="15.12" thickBot="1" customHeight="1">
      <c r="A19332" s="24" t="s">
        <v>59213</v>
      </c>
      <c r="B19332" s="24"/>
      <c r="C19332" s="24" t="s">
        <v>59214</v>
      </c>
      <c r="D19332" s="25" t="s">
        <v>59215</v>
      </c>
      <c r="E19332" s="28">
        <v>3.00000</v>
      </c>
      <c r="F19332" s="29">
        <f ca="1">ROUND(128.520,3)</f>
        <v>0</v>
      </c>
      <c r="G19332" s="27">
        <f ca="1">ROUND((E19332*F19332)/100,2)</f>
        <v>0</v>
      </c>
    </row>
    <row r="19333" spans="1:7" ht="25.08" thickBot="1" customHeight="1">
      <c r="A19333" s="30"/>
      <c r="B19333" s="30"/>
      <c r="C19333" s="30"/>
      <c r="D19333" s="31" t="s">
        <v>59216</v>
      </c>
      <c r="E19333" s="30"/>
      <c r="F19333" s="33">
        <f ca="1">ROUND((G19321+G19322+G19323+G19324+G19325+G19326+G19327+G19332)*(1+G2/100),2)</f>
        <v>0</v>
      </c>
      <c r="G19333" s="30"/>
    </row>
    <row r="19334" spans="1:7" ht="49.08" thickBot="1" customHeight="1">
      <c r="A19334" s="34" t="s">
        <v>59217</v>
      </c>
      <c r="B19334" s="35" t="s">
        <v>59218</v>
      </c>
      <c r="C19334" s="35" t="s">
        <v>59219</v>
      </c>
      <c r="D19334" s="36" t="s">
        <v>59220</v>
      </c>
      <c r="E19334" s="37"/>
      <c r="F19334" s="38">
        <f ca="1">F19344</f>
        <v>0</v>
      </c>
      <c r="G19334" s="37"/>
    </row>
    <row r="19335" spans="1:7" ht="21.36" thickBot="1" customHeight="1">
      <c r="A19335" s="26"/>
      <c r="B19335" s="26"/>
      <c r="C19335" s="26"/>
      <c r="D19335" s="25" t="s">
        <v>59221</v>
      </c>
      <c r="E19335" s="25"/>
      <c r="F19335" s="25"/>
      <c r="G19335" s="25"/>
    </row>
    <row r="19336" spans="1:7" ht="39.84" thickBot="1" customHeight="1">
      <c r="A19336" s="24" t="s">
        <v>59222</v>
      </c>
      <c r="B19336" s="24" t="s">
        <v>59223</v>
      </c>
      <c r="C19336" s="24" t="s">
        <v>59224</v>
      </c>
      <c r="D19336" s="25" t="s">
        <v>59225</v>
      </c>
      <c r="E19336" s="28">
        <v>0.01400</v>
      </c>
      <c r="F19336" s="29">
        <f ca="1">ROUND(110.700,3)</f>
        <v>0</v>
      </c>
      <c r="G19336" s="27">
        <f ca="1">ROUND(E19336*F19336,2)</f>
        <v>0</v>
      </c>
    </row>
    <row r="19337" spans="1:7" ht="49.08" thickBot="1" customHeight="1">
      <c r="A19337" s="24" t="s">
        <v>59226</v>
      </c>
      <c r="B19337" s="24" t="s">
        <v>59227</v>
      </c>
      <c r="C19337" s="24" t="s">
        <v>59228</v>
      </c>
      <c r="D19337" s="25" t="s">
        <v>59229</v>
      </c>
      <c r="E19337" s="28">
        <v>0.03700</v>
      </c>
      <c r="F19337" s="29">
        <f ca="1">ROUND(123.720,3)</f>
        <v>0</v>
      </c>
      <c r="G19337" s="27">
        <f ca="1">ROUND(E19337*F19337,2)</f>
        <v>0</v>
      </c>
    </row>
    <row r="19338" spans="1:7" ht="21.36" thickBot="1" customHeight="1">
      <c r="A19338" s="24" t="s">
        <v>59230</v>
      </c>
      <c r="B19338" s="24" t="s">
        <v>59231</v>
      </c>
      <c r="C19338" s="24" t="s">
        <v>59232</v>
      </c>
      <c r="D19338" s="25" t="s">
        <v>59233</v>
      </c>
      <c r="E19338" s="28">
        <v>0.26700</v>
      </c>
      <c r="F19338" s="29">
        <f ca="1">F19342</f>
        <v>0</v>
      </c>
      <c r="G19338" s="27">
        <f ca="1">ROUND(E19338*F19338,2)</f>
        <v>0</v>
      </c>
    </row>
    <row r="19339" spans="1:7" ht="24.36" thickBot="1" customHeight="1">
      <c r="A19339" s="24" t="s">
        <v>59234</v>
      </c>
      <c r="B19339" s="24" t="s">
        <v>59235</v>
      </c>
      <c r="C19339" s="24" t="s">
        <v>59236</v>
      </c>
      <c r="D19339" s="25" t="s">
        <v>59237</v>
      </c>
      <c r="E19339" s="28">
        <v>1.00000</v>
      </c>
      <c r="F19339" s="29">
        <f ca="1">ROUND(21.000,3)</f>
        <v>0</v>
      </c>
      <c r="G19339" s="27">
        <f ca="1">ROUND(E19339*F19339,2)</f>
        <v>0</v>
      </c>
    </row>
    <row r="19340" spans="1:7" ht="24.36" thickBot="1" customHeight="1">
      <c r="A19340" s="24" t="s">
        <v>59238</v>
      </c>
      <c r="B19340" s="24" t="s">
        <v>59239</v>
      </c>
      <c r="C19340" s="24" t="s">
        <v>59240</v>
      </c>
      <c r="D19340" s="25" t="s">
        <v>59241</v>
      </c>
      <c r="E19340" s="28">
        <v>1.00000</v>
      </c>
      <c r="F19340" s="29">
        <f ca="1">ROUND(19.000,3)</f>
        <v>0</v>
      </c>
      <c r="G19340" s="27">
        <f ca="1">ROUND(E19340*F19340,2)</f>
        <v>0</v>
      </c>
    </row>
    <row r="19341" spans="1:7" ht="24.36" thickBot="1" customHeight="1">
      <c r="A19341" s="24" t="s">
        <v>59242</v>
      </c>
      <c r="B19341" s="24" t="s">
        <v>59243</v>
      </c>
      <c r="C19341" s="24" t="s">
        <v>59244</v>
      </c>
      <c r="D19341" s="25" t="s">
        <v>59245</v>
      </c>
      <c r="E19341" s="28">
        <v>0.20000</v>
      </c>
      <c r="F19341" s="29">
        <f ca="1">ROUND(19.000,3)</f>
        <v>0</v>
      </c>
      <c r="G19341" s="27">
        <f ca="1">ROUND(E19341*F19341,2)</f>
        <v>0</v>
      </c>
    </row>
    <row r="19342" spans="1:7" ht="15.12" thickBot="1" customHeight="1">
      <c r="A19342" s="26"/>
      <c r="B19342" s="26"/>
      <c r="C19342" s="26"/>
      <c r="D19342" s="24" t="s">
        <v>59246</v>
      </c>
      <c r="E19342" s="28">
        <v>0.26700</v>
      </c>
      <c r="F19342" s="29">
        <f ca="1">ROUND((G19339+G19340+G19341),3)</f>
        <v>0</v>
      </c>
      <c r="G19342" s="27">
        <f ca="1">ROUND(E19342*F19342,2)</f>
        <v>0</v>
      </c>
    </row>
    <row r="19343" spans="1:7" ht="15.12" thickBot="1" customHeight="1">
      <c r="A19343" s="24" t="s">
        <v>59247</v>
      </c>
      <c r="B19343" s="24"/>
      <c r="C19343" s="24" t="s">
        <v>59248</v>
      </c>
      <c r="D19343" s="25" t="s">
        <v>59249</v>
      </c>
      <c r="E19343" s="28">
        <v>3.00000</v>
      </c>
      <c r="F19343" s="29">
        <f ca="1">ROUND(11.690,3)</f>
        <v>0</v>
      </c>
      <c r="G19343" s="27">
        <f ca="1">ROUND((E19343*F19343)/100,2)</f>
        <v>0</v>
      </c>
    </row>
    <row r="19344" spans="1:7" ht="15.48" thickBot="1" customHeight="1">
      <c r="A19344" s="30"/>
      <c r="B19344" s="30"/>
      <c r="C19344" s="30"/>
      <c r="D19344" s="31" t="s">
        <v>59250</v>
      </c>
      <c r="E19344" s="30"/>
      <c r="F19344" s="33">
        <f ca="1">ROUND((G19336+G19337+G19338+G19343)*(1+G2/100),2)</f>
        <v>0</v>
      </c>
      <c r="G19344" s="30"/>
    </row>
    <row r="19345" spans="1:7" ht="49.08" thickBot="1" customHeight="1">
      <c r="A19345" s="34" t="s">
        <v>59251</v>
      </c>
      <c r="B19345" s="35" t="s">
        <v>59252</v>
      </c>
      <c r="C19345" s="35" t="s">
        <v>59253</v>
      </c>
      <c r="D19345" s="36" t="s">
        <v>59254</v>
      </c>
      <c r="E19345" s="37"/>
      <c r="F19345" s="38">
        <f ca="1">F19355</f>
        <v>0</v>
      </c>
      <c r="G19345" s="37"/>
    </row>
    <row r="19346" spans="1:7" ht="21.36" thickBot="1" customHeight="1">
      <c r="A19346" s="26"/>
      <c r="B19346" s="26"/>
      <c r="C19346" s="26"/>
      <c r="D19346" s="25" t="s">
        <v>59255</v>
      </c>
      <c r="E19346" s="25"/>
      <c r="F19346" s="25"/>
      <c r="G19346" s="25"/>
    </row>
    <row r="19347" spans="1:7" ht="39.84" thickBot="1" customHeight="1">
      <c r="A19347" s="24" t="s">
        <v>59256</v>
      </c>
      <c r="B19347" s="24" t="s">
        <v>59257</v>
      </c>
      <c r="C19347" s="24" t="s">
        <v>59258</v>
      </c>
      <c r="D19347" s="25" t="s">
        <v>59259</v>
      </c>
      <c r="E19347" s="28">
        <v>0.01400</v>
      </c>
      <c r="F19347" s="29">
        <f ca="1">ROUND(110.700,3)</f>
        <v>0</v>
      </c>
      <c r="G19347" s="27">
        <f ca="1">ROUND(E19347*F19347,2)</f>
        <v>0</v>
      </c>
    </row>
    <row r="19348" spans="1:7" ht="49.08" thickBot="1" customHeight="1">
      <c r="A19348" s="24" t="s">
        <v>59260</v>
      </c>
      <c r="B19348" s="24" t="s">
        <v>59261</v>
      </c>
      <c r="C19348" s="24" t="s">
        <v>59262</v>
      </c>
      <c r="D19348" s="25" t="s">
        <v>59263</v>
      </c>
      <c r="E19348" s="28">
        <v>0.03700</v>
      </c>
      <c r="F19348" s="29">
        <f ca="1">ROUND(123.720,3)</f>
        <v>0</v>
      </c>
      <c r="G19348" s="27">
        <f ca="1">ROUND(E19348*F19348,2)</f>
        <v>0</v>
      </c>
    </row>
    <row r="19349" spans="1:7" ht="21.36" thickBot="1" customHeight="1">
      <c r="A19349" s="24" t="s">
        <v>59264</v>
      </c>
      <c r="B19349" s="24" t="s">
        <v>59265</v>
      </c>
      <c r="C19349" s="24" t="s">
        <v>59266</v>
      </c>
      <c r="D19349" s="25" t="s">
        <v>59267</v>
      </c>
      <c r="E19349" s="28">
        <v>0.26700</v>
      </c>
      <c r="F19349" s="29">
        <f ca="1">F19353</f>
        <v>0</v>
      </c>
      <c r="G19349" s="27">
        <f ca="1">ROUND(E19349*F19349,2)</f>
        <v>0</v>
      </c>
    </row>
    <row r="19350" spans="1:7" ht="24.36" thickBot="1" customHeight="1">
      <c r="A19350" s="24" t="s">
        <v>59268</v>
      </c>
      <c r="B19350" s="24" t="s">
        <v>59269</v>
      </c>
      <c r="C19350" s="24" t="s">
        <v>59270</v>
      </c>
      <c r="D19350" s="25" t="s">
        <v>59271</v>
      </c>
      <c r="E19350" s="28">
        <v>1.00000</v>
      </c>
      <c r="F19350" s="29">
        <f ca="1">ROUND(21.000,3)</f>
        <v>0</v>
      </c>
      <c r="G19350" s="27">
        <f ca="1">ROUND(E19350*F19350,2)</f>
        <v>0</v>
      </c>
    </row>
    <row r="19351" spans="1:7" ht="24.36" thickBot="1" customHeight="1">
      <c r="A19351" s="24" t="s">
        <v>59272</v>
      </c>
      <c r="B19351" s="24" t="s">
        <v>59273</v>
      </c>
      <c r="C19351" s="24" t="s">
        <v>59274</v>
      </c>
      <c r="D19351" s="25" t="s">
        <v>59275</v>
      </c>
      <c r="E19351" s="28">
        <v>1.00000</v>
      </c>
      <c r="F19351" s="29">
        <f ca="1">ROUND(19.000,3)</f>
        <v>0</v>
      </c>
      <c r="G19351" s="27">
        <f ca="1">ROUND(E19351*F19351,2)</f>
        <v>0</v>
      </c>
    </row>
    <row r="19352" spans="1:7" ht="24.36" thickBot="1" customHeight="1">
      <c r="A19352" s="24" t="s">
        <v>59276</v>
      </c>
      <c r="B19352" s="24" t="s">
        <v>59277</v>
      </c>
      <c r="C19352" s="24" t="s">
        <v>59278</v>
      </c>
      <c r="D19352" s="25" t="s">
        <v>59279</v>
      </c>
      <c r="E19352" s="28">
        <v>0.20000</v>
      </c>
      <c r="F19352" s="29">
        <f ca="1">ROUND(19.000,3)</f>
        <v>0</v>
      </c>
      <c r="G19352" s="27">
        <f ca="1">ROUND(E19352*F19352,2)</f>
        <v>0</v>
      </c>
    </row>
    <row r="19353" spans="1:7" ht="15.12" thickBot="1" customHeight="1">
      <c r="A19353" s="26"/>
      <c r="B19353" s="26"/>
      <c r="C19353" s="26"/>
      <c r="D19353" s="24" t="s">
        <v>59280</v>
      </c>
      <c r="E19353" s="28">
        <v>0.26700</v>
      </c>
      <c r="F19353" s="29">
        <f ca="1">ROUND((G19350+G19351+G19352),3)</f>
        <v>0</v>
      </c>
      <c r="G19353" s="27">
        <f ca="1">ROUND(E19353*F19353,2)</f>
        <v>0</v>
      </c>
    </row>
    <row r="19354" spans="1:7" ht="15.12" thickBot="1" customHeight="1">
      <c r="A19354" s="24" t="s">
        <v>59281</v>
      </c>
      <c r="B19354" s="24"/>
      <c r="C19354" s="24" t="s">
        <v>59282</v>
      </c>
      <c r="D19354" s="25" t="s">
        <v>59283</v>
      </c>
      <c r="E19354" s="28">
        <v>3.00000</v>
      </c>
      <c r="F19354" s="29">
        <f ca="1">ROUND(11.690,3)</f>
        <v>0</v>
      </c>
      <c r="G19354" s="27">
        <f ca="1">ROUND((E19354*F19354)/100,2)</f>
        <v>0</v>
      </c>
    </row>
    <row r="19355" spans="1:7" ht="15.48" thickBot="1" customHeight="1">
      <c r="A19355" s="30"/>
      <c r="B19355" s="30"/>
      <c r="C19355" s="30"/>
      <c r="D19355" s="31" t="s">
        <v>59284</v>
      </c>
      <c r="E19355" s="30"/>
      <c r="F19355" s="33">
        <f ca="1">ROUND((G19347+G19348+G19349+G19354)*(1+G2/100),2)</f>
        <v>0</v>
      </c>
      <c r="G19355" s="30"/>
    </row>
    <row r="19356" spans="1:7" ht="49.08" thickBot="1" customHeight="1">
      <c r="A19356" s="34" t="s">
        <v>59285</v>
      </c>
      <c r="B19356" s="35" t="s">
        <v>59286</v>
      </c>
      <c r="C19356" s="35" t="s">
        <v>59287</v>
      </c>
      <c r="D19356" s="36" t="s">
        <v>59288</v>
      </c>
      <c r="E19356" s="37"/>
      <c r="F19356" s="38">
        <f ca="1">F19366</f>
        <v>0</v>
      </c>
      <c r="G19356" s="37"/>
    </row>
    <row r="19357" spans="1:7" ht="21.36" thickBot="1" customHeight="1">
      <c r="A19357" s="26"/>
      <c r="B19357" s="26"/>
      <c r="C19357" s="26"/>
      <c r="D19357" s="25" t="s">
        <v>59289</v>
      </c>
      <c r="E19357" s="25"/>
      <c r="F19357" s="25"/>
      <c r="G19357" s="25"/>
    </row>
    <row r="19358" spans="1:7" ht="39.84" thickBot="1" customHeight="1">
      <c r="A19358" s="24" t="s">
        <v>59290</v>
      </c>
      <c r="B19358" s="24" t="s">
        <v>59291</v>
      </c>
      <c r="C19358" s="24" t="s">
        <v>59292</v>
      </c>
      <c r="D19358" s="25" t="s">
        <v>59293</v>
      </c>
      <c r="E19358" s="28">
        <v>0.01400</v>
      </c>
      <c r="F19358" s="29">
        <f ca="1">ROUND(110.700,3)</f>
        <v>0</v>
      </c>
      <c r="G19358" s="27">
        <f ca="1">ROUND(E19358*F19358,2)</f>
        <v>0</v>
      </c>
    </row>
    <row r="19359" spans="1:7" ht="49.08" thickBot="1" customHeight="1">
      <c r="A19359" s="24" t="s">
        <v>59294</v>
      </c>
      <c r="B19359" s="24" t="s">
        <v>59295</v>
      </c>
      <c r="C19359" s="24" t="s">
        <v>59296</v>
      </c>
      <c r="D19359" s="25" t="s">
        <v>59297</v>
      </c>
      <c r="E19359" s="28">
        <v>0.03700</v>
      </c>
      <c r="F19359" s="29">
        <f ca="1">ROUND(123.720,3)</f>
        <v>0</v>
      </c>
      <c r="G19359" s="27">
        <f ca="1">ROUND(E19359*F19359,2)</f>
        <v>0</v>
      </c>
    </row>
    <row r="19360" spans="1:7" ht="24.36" thickBot="1" customHeight="1">
      <c r="A19360" s="24" t="s">
        <v>59298</v>
      </c>
      <c r="B19360" s="24" t="s">
        <v>59299</v>
      </c>
      <c r="C19360" s="24" t="s">
        <v>59300</v>
      </c>
      <c r="D19360" s="25" t="s">
        <v>59301</v>
      </c>
      <c r="E19360" s="28">
        <v>0.42000</v>
      </c>
      <c r="F19360" s="29">
        <f ca="1">F19364</f>
        <v>0</v>
      </c>
      <c r="G19360" s="27">
        <f ca="1">ROUND(E19360*F19360,2)</f>
        <v>0</v>
      </c>
    </row>
    <row r="19361" spans="1:7" ht="24.36" thickBot="1" customHeight="1">
      <c r="A19361" s="24" t="s">
        <v>59302</v>
      </c>
      <c r="B19361" s="24" t="s">
        <v>59303</v>
      </c>
      <c r="C19361" s="24" t="s">
        <v>59304</v>
      </c>
      <c r="D19361" s="25" t="s">
        <v>59305</v>
      </c>
      <c r="E19361" s="28">
        <v>1.00000</v>
      </c>
      <c r="F19361" s="29">
        <f ca="1">ROUND(21.000,3)</f>
        <v>0</v>
      </c>
      <c r="G19361" s="27">
        <f ca="1">ROUND(E19361*F19361,2)</f>
        <v>0</v>
      </c>
    </row>
    <row r="19362" spans="1:7" ht="24.36" thickBot="1" customHeight="1">
      <c r="A19362" s="24" t="s">
        <v>59306</v>
      </c>
      <c r="B19362" s="24" t="s">
        <v>59307</v>
      </c>
      <c r="C19362" s="24" t="s">
        <v>59308</v>
      </c>
      <c r="D19362" s="25" t="s">
        <v>59309</v>
      </c>
      <c r="E19362" s="28">
        <v>1.00000</v>
      </c>
      <c r="F19362" s="29">
        <f ca="1">ROUND(19.000,3)</f>
        <v>0</v>
      </c>
      <c r="G19362" s="27">
        <f ca="1">ROUND(E19362*F19362,2)</f>
        <v>0</v>
      </c>
    </row>
    <row r="19363" spans="1:7" ht="24.36" thickBot="1" customHeight="1">
      <c r="A19363" s="24" t="s">
        <v>59310</v>
      </c>
      <c r="B19363" s="24" t="s">
        <v>59311</v>
      </c>
      <c r="C19363" s="24" t="s">
        <v>59312</v>
      </c>
      <c r="D19363" s="25" t="s">
        <v>59313</v>
      </c>
      <c r="E19363" s="28">
        <v>0.50000</v>
      </c>
      <c r="F19363" s="29">
        <f ca="1">ROUND(19.000,3)</f>
        <v>0</v>
      </c>
      <c r="G19363" s="27">
        <f ca="1">ROUND(E19363*F19363,2)</f>
        <v>0</v>
      </c>
    </row>
    <row r="19364" spans="1:7" ht="15.12" thickBot="1" customHeight="1">
      <c r="A19364" s="26"/>
      <c r="B19364" s="26"/>
      <c r="C19364" s="26"/>
      <c r="D19364" s="24" t="s">
        <v>59314</v>
      </c>
      <c r="E19364" s="28">
        <v>0.42000</v>
      </c>
      <c r="F19364" s="29">
        <f ca="1">ROUND((G19361+G19362+G19363),3)</f>
        <v>0</v>
      </c>
      <c r="G19364" s="27">
        <f ca="1">ROUND(E19364*F19364,2)</f>
        <v>0</v>
      </c>
    </row>
    <row r="19365" spans="1:7" ht="15.12" thickBot="1" customHeight="1">
      <c r="A19365" s="24" t="s">
        <v>59315</v>
      </c>
      <c r="B19365" s="24"/>
      <c r="C19365" s="24" t="s">
        <v>59316</v>
      </c>
      <c r="D19365" s="25" t="s">
        <v>59317</v>
      </c>
      <c r="E19365" s="28">
        <v>3.00000</v>
      </c>
      <c r="F19365" s="29">
        <f ca="1">ROUND(20.790,3)</f>
        <v>0</v>
      </c>
      <c r="G19365" s="27">
        <f ca="1">ROUND((E19365*F19365)/100,2)</f>
        <v>0</v>
      </c>
    </row>
    <row r="19366" spans="1:7" ht="15.48" thickBot="1" customHeight="1">
      <c r="A19366" s="30"/>
      <c r="B19366" s="30"/>
      <c r="C19366" s="30"/>
      <c r="D19366" s="31" t="s">
        <v>59318</v>
      </c>
      <c r="E19366" s="30"/>
      <c r="F19366" s="33">
        <f ca="1">ROUND((G19358+G19359+G19360+G19365)*(1+G2/100),2)</f>
        <v>0</v>
      </c>
      <c r="G19366" s="30"/>
    </row>
    <row r="19367" spans="1:7" ht="39.84" thickBot="1" customHeight="1">
      <c r="A19367" s="34" t="s">
        <v>59319</v>
      </c>
      <c r="B19367" s="35" t="s">
        <v>59320</v>
      </c>
      <c r="C19367" s="35" t="s">
        <v>59321</v>
      </c>
      <c r="D19367" s="36" t="s">
        <v>59322</v>
      </c>
      <c r="E19367" s="37"/>
      <c r="F19367" s="38">
        <f ca="1">F19377</f>
        <v>0</v>
      </c>
      <c r="G19367" s="37"/>
    </row>
    <row r="19368" spans="1:7" ht="21.36" thickBot="1" customHeight="1">
      <c r="A19368" s="26"/>
      <c r="B19368" s="26"/>
      <c r="C19368" s="26"/>
      <c r="D19368" s="25" t="s">
        <v>59323</v>
      </c>
      <c r="E19368" s="25"/>
      <c r="F19368" s="25"/>
      <c r="G19368" s="25"/>
    </row>
    <row r="19369" spans="1:7" ht="39.84" thickBot="1" customHeight="1">
      <c r="A19369" s="24" t="s">
        <v>59324</v>
      </c>
      <c r="B19369" s="24" t="s">
        <v>59325</v>
      </c>
      <c r="C19369" s="24" t="s">
        <v>59326</v>
      </c>
      <c r="D19369" s="25" t="s">
        <v>59327</v>
      </c>
      <c r="E19369" s="28">
        <v>0.08800</v>
      </c>
      <c r="F19369" s="29">
        <f ca="1">ROUND(46.240,3)</f>
        <v>0</v>
      </c>
      <c r="G19369" s="27">
        <f ca="1">ROUND(E19369*F19369,2)</f>
        <v>0</v>
      </c>
    </row>
    <row r="19370" spans="1:7" ht="30.60" thickBot="1" customHeight="1">
      <c r="A19370" s="24" t="s">
        <v>59328</v>
      </c>
      <c r="B19370" s="24" t="s">
        <v>59329</v>
      </c>
      <c r="C19370" s="24" t="s">
        <v>59330</v>
      </c>
      <c r="D19370" s="25" t="s">
        <v>59331</v>
      </c>
      <c r="E19370" s="28">
        <v>0.10000</v>
      </c>
      <c r="F19370" s="29">
        <f ca="1">ROUND(8.670,3)</f>
        <v>0</v>
      </c>
      <c r="G19370" s="27">
        <f ca="1">ROUND(E19370*F19370,2)</f>
        <v>0</v>
      </c>
    </row>
    <row r="19371" spans="1:7" ht="21.36" thickBot="1" customHeight="1">
      <c r="A19371" s="24" t="s">
        <v>59332</v>
      </c>
      <c r="B19371" s="24" t="s">
        <v>59333</v>
      </c>
      <c r="C19371" s="24" t="s">
        <v>59334</v>
      </c>
      <c r="D19371" s="25" t="s">
        <v>59335</v>
      </c>
      <c r="E19371" s="28">
        <v>0.36000</v>
      </c>
      <c r="F19371" s="29">
        <f ca="1">F19375</f>
        <v>0</v>
      </c>
      <c r="G19371" s="27">
        <f ca="1">ROUND(E19371*F19371,2)</f>
        <v>0</v>
      </c>
    </row>
    <row r="19372" spans="1:7" ht="24.36" thickBot="1" customHeight="1">
      <c r="A19372" s="24" t="s">
        <v>59336</v>
      </c>
      <c r="B19372" s="24" t="s">
        <v>59337</v>
      </c>
      <c r="C19372" s="24" t="s">
        <v>59338</v>
      </c>
      <c r="D19372" s="25" t="s">
        <v>59339</v>
      </c>
      <c r="E19372" s="28">
        <v>1.00000</v>
      </c>
      <c r="F19372" s="29">
        <f ca="1">ROUND(21.000,3)</f>
        <v>0</v>
      </c>
      <c r="G19372" s="27">
        <f ca="1">ROUND(E19372*F19372,2)</f>
        <v>0</v>
      </c>
    </row>
    <row r="19373" spans="1:7" ht="24.36" thickBot="1" customHeight="1">
      <c r="A19373" s="24" t="s">
        <v>59340</v>
      </c>
      <c r="B19373" s="24" t="s">
        <v>59341</v>
      </c>
      <c r="C19373" s="24" t="s">
        <v>59342</v>
      </c>
      <c r="D19373" s="25" t="s">
        <v>59343</v>
      </c>
      <c r="E19373" s="28">
        <v>1.00000</v>
      </c>
      <c r="F19373" s="29">
        <f ca="1">ROUND(19.000,3)</f>
        <v>0</v>
      </c>
      <c r="G19373" s="27">
        <f ca="1">ROUND(E19373*F19373,2)</f>
        <v>0</v>
      </c>
    </row>
    <row r="19374" spans="1:7" ht="24.36" thickBot="1" customHeight="1">
      <c r="A19374" s="24" t="s">
        <v>59344</v>
      </c>
      <c r="B19374" s="24" t="s">
        <v>59345</v>
      </c>
      <c r="C19374" s="24" t="s">
        <v>59346</v>
      </c>
      <c r="D19374" s="25" t="s">
        <v>59347</v>
      </c>
      <c r="E19374" s="28">
        <v>0.20000</v>
      </c>
      <c r="F19374" s="29">
        <f ca="1">ROUND(19.000,3)</f>
        <v>0</v>
      </c>
      <c r="G19374" s="27">
        <f ca="1">ROUND(E19374*F19374,2)</f>
        <v>0</v>
      </c>
    </row>
    <row r="19375" spans="1:7" ht="15.12" thickBot="1" customHeight="1">
      <c r="A19375" s="26"/>
      <c r="B19375" s="26"/>
      <c r="C19375" s="26"/>
      <c r="D19375" s="24" t="s">
        <v>59348</v>
      </c>
      <c r="E19375" s="28">
        <v>0.36000</v>
      </c>
      <c r="F19375" s="29">
        <f ca="1">ROUND((G19372+G19373+G19374),3)</f>
        <v>0</v>
      </c>
      <c r="G19375" s="27">
        <f ca="1">ROUND(E19375*F19375,2)</f>
        <v>0</v>
      </c>
    </row>
    <row r="19376" spans="1:7" ht="15.12" thickBot="1" customHeight="1">
      <c r="A19376" s="24" t="s">
        <v>59349</v>
      </c>
      <c r="B19376" s="24"/>
      <c r="C19376" s="24" t="s">
        <v>59350</v>
      </c>
      <c r="D19376" s="25" t="s">
        <v>59351</v>
      </c>
      <c r="E19376" s="28">
        <v>3.00000</v>
      </c>
      <c r="F19376" s="29">
        <f ca="1">ROUND(15.770,3)</f>
        <v>0</v>
      </c>
      <c r="G19376" s="27">
        <f ca="1">ROUND((E19376*F19376)/100,2)</f>
        <v>0</v>
      </c>
    </row>
    <row r="19377" spans="1:7" ht="15.48" thickBot="1" customHeight="1">
      <c r="A19377" s="30"/>
      <c r="B19377" s="30"/>
      <c r="C19377" s="30"/>
      <c r="D19377" s="31" t="s">
        <v>59352</v>
      </c>
      <c r="E19377" s="30"/>
      <c r="F19377" s="33">
        <f ca="1">ROUND((G19369+G19370+G19371+G19376)*(1+G2/100),2)</f>
        <v>0</v>
      </c>
      <c r="G19377" s="30"/>
    </row>
    <row r="19378" spans="1:7" ht="39.84" thickBot="1" customHeight="1">
      <c r="A19378" s="34" t="s">
        <v>59353</v>
      </c>
      <c r="B19378" s="35" t="s">
        <v>59354</v>
      </c>
      <c r="C19378" s="35" t="s">
        <v>59355</v>
      </c>
      <c r="D19378" s="36" t="s">
        <v>59356</v>
      </c>
      <c r="E19378" s="37"/>
      <c r="F19378" s="38">
        <f ca="1">F19388</f>
        <v>0</v>
      </c>
      <c r="G19378" s="37"/>
    </row>
    <row r="19379" spans="1:7" ht="21.36" thickBot="1" customHeight="1">
      <c r="A19379" s="26"/>
      <c r="B19379" s="26"/>
      <c r="C19379" s="26"/>
      <c r="D19379" s="25" t="s">
        <v>59357</v>
      </c>
      <c r="E19379" s="25"/>
      <c r="F19379" s="25"/>
      <c r="G19379" s="25"/>
    </row>
    <row r="19380" spans="1:7" ht="39.84" thickBot="1" customHeight="1">
      <c r="A19380" s="24" t="s">
        <v>59358</v>
      </c>
      <c r="B19380" s="24" t="s">
        <v>59359</v>
      </c>
      <c r="C19380" s="24" t="s">
        <v>59360</v>
      </c>
      <c r="D19380" s="25" t="s">
        <v>59361</v>
      </c>
      <c r="E19380" s="28">
        <v>0.08800</v>
      </c>
      <c r="F19380" s="29">
        <f ca="1">ROUND(46.240,3)</f>
        <v>0</v>
      </c>
      <c r="G19380" s="27">
        <f ca="1">ROUND(E19380*F19380,2)</f>
        <v>0</v>
      </c>
    </row>
    <row r="19381" spans="1:7" ht="30.60" thickBot="1" customHeight="1">
      <c r="A19381" s="24" t="s">
        <v>59362</v>
      </c>
      <c r="B19381" s="24" t="s">
        <v>59363</v>
      </c>
      <c r="C19381" s="24" t="s">
        <v>59364</v>
      </c>
      <c r="D19381" s="25" t="s">
        <v>59365</v>
      </c>
      <c r="E19381" s="28">
        <v>0.10000</v>
      </c>
      <c r="F19381" s="29">
        <f ca="1">ROUND(8.670,3)</f>
        <v>0</v>
      </c>
      <c r="G19381" s="27">
        <f ca="1">ROUND(E19381*F19381,2)</f>
        <v>0</v>
      </c>
    </row>
    <row r="19382" spans="1:7" ht="24.36" thickBot="1" customHeight="1">
      <c r="A19382" s="24" t="s">
        <v>59366</v>
      </c>
      <c r="B19382" s="24" t="s">
        <v>59367</v>
      </c>
      <c r="C19382" s="24" t="s">
        <v>59368</v>
      </c>
      <c r="D19382" s="25" t="s">
        <v>59369</v>
      </c>
      <c r="E19382" s="28">
        <v>0.48000</v>
      </c>
      <c r="F19382" s="29">
        <f ca="1">F19386</f>
        <v>0</v>
      </c>
      <c r="G19382" s="27">
        <f ca="1">ROUND(E19382*F19382,2)</f>
        <v>0</v>
      </c>
    </row>
    <row r="19383" spans="1:7" ht="24.36" thickBot="1" customHeight="1">
      <c r="A19383" s="24" t="s">
        <v>59370</v>
      </c>
      <c r="B19383" s="24" t="s">
        <v>59371</v>
      </c>
      <c r="C19383" s="24" t="s">
        <v>59372</v>
      </c>
      <c r="D19383" s="25" t="s">
        <v>59373</v>
      </c>
      <c r="E19383" s="28">
        <v>1.00000</v>
      </c>
      <c r="F19383" s="29">
        <f ca="1">ROUND(21.000,3)</f>
        <v>0</v>
      </c>
      <c r="G19383" s="27">
        <f ca="1">ROUND(E19383*F19383,2)</f>
        <v>0</v>
      </c>
    </row>
    <row r="19384" spans="1:7" ht="24.36" thickBot="1" customHeight="1">
      <c r="A19384" s="24" t="s">
        <v>59374</v>
      </c>
      <c r="B19384" s="24" t="s">
        <v>59375</v>
      </c>
      <c r="C19384" s="24" t="s">
        <v>59376</v>
      </c>
      <c r="D19384" s="25" t="s">
        <v>59377</v>
      </c>
      <c r="E19384" s="28">
        <v>1.00000</v>
      </c>
      <c r="F19384" s="29">
        <f ca="1">ROUND(19.000,3)</f>
        <v>0</v>
      </c>
      <c r="G19384" s="27">
        <f ca="1">ROUND(E19384*F19384,2)</f>
        <v>0</v>
      </c>
    </row>
    <row r="19385" spans="1:7" ht="24.36" thickBot="1" customHeight="1">
      <c r="A19385" s="24" t="s">
        <v>59378</v>
      </c>
      <c r="B19385" s="24" t="s">
        <v>59379</v>
      </c>
      <c r="C19385" s="24" t="s">
        <v>59380</v>
      </c>
      <c r="D19385" s="25" t="s">
        <v>59381</v>
      </c>
      <c r="E19385" s="28">
        <v>0.50000</v>
      </c>
      <c r="F19385" s="29">
        <f ca="1">ROUND(19.000,3)</f>
        <v>0</v>
      </c>
      <c r="G19385" s="27">
        <f ca="1">ROUND(E19385*F19385,2)</f>
        <v>0</v>
      </c>
    </row>
    <row r="19386" spans="1:7" ht="15.12" thickBot="1" customHeight="1">
      <c r="A19386" s="26"/>
      <c r="B19386" s="26"/>
      <c r="C19386" s="26"/>
      <c r="D19386" s="24" t="s">
        <v>59382</v>
      </c>
      <c r="E19386" s="28">
        <v>0.48000</v>
      </c>
      <c r="F19386" s="29">
        <f ca="1">ROUND((G19383+G19384+G19385),3)</f>
        <v>0</v>
      </c>
      <c r="G19386" s="27">
        <f ca="1">ROUND(E19386*F19386,2)</f>
        <v>0</v>
      </c>
    </row>
    <row r="19387" spans="1:7" ht="15.12" thickBot="1" customHeight="1">
      <c r="A19387" s="24" t="s">
        <v>59383</v>
      </c>
      <c r="B19387" s="24"/>
      <c r="C19387" s="24" t="s">
        <v>59384</v>
      </c>
      <c r="D19387" s="25" t="s">
        <v>59385</v>
      </c>
      <c r="E19387" s="28">
        <v>3.00000</v>
      </c>
      <c r="F19387" s="29">
        <f ca="1">ROUND(23.760,3)</f>
        <v>0</v>
      </c>
      <c r="G19387" s="27">
        <f ca="1">ROUND((E19387*F19387)/100,2)</f>
        <v>0</v>
      </c>
    </row>
    <row r="19388" spans="1:7" ht="15.48" thickBot="1" customHeight="1">
      <c r="A19388" s="30"/>
      <c r="B19388" s="30"/>
      <c r="C19388" s="30"/>
      <c r="D19388" s="31" t="s">
        <v>59386</v>
      </c>
      <c r="E19388" s="30"/>
      <c r="F19388" s="33">
        <f ca="1">ROUND((G19380+G19381+G19382+G19387)*(1+G2/100),2)</f>
        <v>0</v>
      </c>
      <c r="G19388" s="30"/>
    </row>
    <row r="19389" spans="1:7" ht="39.84" thickBot="1" customHeight="1">
      <c r="A19389" s="34" t="s">
        <v>59387</v>
      </c>
      <c r="B19389" s="35" t="s">
        <v>59388</v>
      </c>
      <c r="C19389" s="35" t="s">
        <v>59389</v>
      </c>
      <c r="D19389" s="36" t="s">
        <v>59390</v>
      </c>
      <c r="E19389" s="37"/>
      <c r="F19389" s="38">
        <f ca="1">F19399</f>
        <v>0</v>
      </c>
      <c r="G19389" s="37"/>
    </row>
    <row r="19390" spans="1:7" ht="21.36" thickBot="1" customHeight="1">
      <c r="A19390" s="26"/>
      <c r="B19390" s="26"/>
      <c r="C19390" s="26"/>
      <c r="D19390" s="25" t="s">
        <v>59391</v>
      </c>
      <c r="E19390" s="25"/>
      <c r="F19390" s="25"/>
      <c r="G19390" s="25"/>
    </row>
    <row r="19391" spans="1:7" ht="39.84" thickBot="1" customHeight="1">
      <c r="A19391" s="24" t="s">
        <v>59392</v>
      </c>
      <c r="B19391" s="24" t="s">
        <v>59393</v>
      </c>
      <c r="C19391" s="24" t="s">
        <v>59394</v>
      </c>
      <c r="D19391" s="25" t="s">
        <v>59395</v>
      </c>
      <c r="E19391" s="28">
        <v>0.02000</v>
      </c>
      <c r="F19391" s="29">
        <f ca="1">ROUND(46.240,3)</f>
        <v>0</v>
      </c>
      <c r="G19391" s="27">
        <f ca="1">ROUND(E19391*F19391,2)</f>
        <v>0</v>
      </c>
    </row>
    <row r="19392" spans="1:7" ht="30.60" thickBot="1" customHeight="1">
      <c r="A19392" s="24" t="s">
        <v>59396</v>
      </c>
      <c r="B19392" s="24" t="s">
        <v>59397</v>
      </c>
      <c r="C19392" s="24" t="s">
        <v>59398</v>
      </c>
      <c r="D19392" s="25" t="s">
        <v>59399</v>
      </c>
      <c r="E19392" s="28">
        <v>0.10000</v>
      </c>
      <c r="F19392" s="29">
        <f ca="1">ROUND(8.670,3)</f>
        <v>0</v>
      </c>
      <c r="G19392" s="27">
        <f ca="1">ROUND(E19392*F19392,2)</f>
        <v>0</v>
      </c>
    </row>
    <row r="19393" spans="1:7" ht="21.36" thickBot="1" customHeight="1">
      <c r="A19393" s="24" t="s">
        <v>59400</v>
      </c>
      <c r="B19393" s="24" t="s">
        <v>59401</v>
      </c>
      <c r="C19393" s="24" t="s">
        <v>59402</v>
      </c>
      <c r="D19393" s="25" t="s">
        <v>59403</v>
      </c>
      <c r="E19393" s="28">
        <v>0.18000</v>
      </c>
      <c r="F19393" s="29">
        <f ca="1">F19397</f>
        <v>0</v>
      </c>
      <c r="G19393" s="27">
        <f ca="1">ROUND(E19393*F19393,2)</f>
        <v>0</v>
      </c>
    </row>
    <row r="19394" spans="1:7" ht="24.36" thickBot="1" customHeight="1">
      <c r="A19394" s="24" t="s">
        <v>59404</v>
      </c>
      <c r="B19394" s="24" t="s">
        <v>59405</v>
      </c>
      <c r="C19394" s="24" t="s">
        <v>59406</v>
      </c>
      <c r="D19394" s="25" t="s">
        <v>59407</v>
      </c>
      <c r="E19394" s="28">
        <v>1.00000</v>
      </c>
      <c r="F19394" s="29">
        <f ca="1">ROUND(21.000,3)</f>
        <v>0</v>
      </c>
      <c r="G19394" s="27">
        <f ca="1">ROUND(E19394*F19394,2)</f>
        <v>0</v>
      </c>
    </row>
    <row r="19395" spans="1:7" ht="24.36" thickBot="1" customHeight="1">
      <c r="A19395" s="24" t="s">
        <v>59408</v>
      </c>
      <c r="B19395" s="24" t="s">
        <v>59409</v>
      </c>
      <c r="C19395" s="24" t="s">
        <v>59410</v>
      </c>
      <c r="D19395" s="25" t="s">
        <v>59411</v>
      </c>
      <c r="E19395" s="28">
        <v>1.00000</v>
      </c>
      <c r="F19395" s="29">
        <f ca="1">ROUND(19.000,3)</f>
        <v>0</v>
      </c>
      <c r="G19395" s="27">
        <f ca="1">ROUND(E19395*F19395,2)</f>
        <v>0</v>
      </c>
    </row>
    <row r="19396" spans="1:7" ht="24.36" thickBot="1" customHeight="1">
      <c r="A19396" s="24" t="s">
        <v>59412</v>
      </c>
      <c r="B19396" s="24" t="s">
        <v>59413</v>
      </c>
      <c r="C19396" s="24" t="s">
        <v>59414</v>
      </c>
      <c r="D19396" s="25" t="s">
        <v>59415</v>
      </c>
      <c r="E19396" s="28">
        <v>0.20000</v>
      </c>
      <c r="F19396" s="29">
        <f ca="1">ROUND(19.000,3)</f>
        <v>0</v>
      </c>
      <c r="G19396" s="27">
        <f ca="1">ROUND(E19396*F19396,2)</f>
        <v>0</v>
      </c>
    </row>
    <row r="19397" spans="1:7" ht="15.12" thickBot="1" customHeight="1">
      <c r="A19397" s="26"/>
      <c r="B19397" s="26"/>
      <c r="C19397" s="26"/>
      <c r="D19397" s="24" t="s">
        <v>59416</v>
      </c>
      <c r="E19397" s="28">
        <v>0.18000</v>
      </c>
      <c r="F19397" s="29">
        <f ca="1">ROUND((G19394+G19395+G19396),3)</f>
        <v>0</v>
      </c>
      <c r="G19397" s="27">
        <f ca="1">ROUND(E19397*F19397,2)</f>
        <v>0</v>
      </c>
    </row>
    <row r="19398" spans="1:7" ht="15.12" thickBot="1" customHeight="1">
      <c r="A19398" s="24" t="s">
        <v>59417</v>
      </c>
      <c r="B19398" s="24"/>
      <c r="C19398" s="24" t="s">
        <v>59418</v>
      </c>
      <c r="D19398" s="25" t="s">
        <v>59419</v>
      </c>
      <c r="E19398" s="28">
        <v>3.00000</v>
      </c>
      <c r="F19398" s="29">
        <f ca="1">ROUND(7.880,3)</f>
        <v>0</v>
      </c>
      <c r="G19398" s="27">
        <f ca="1">ROUND((E19398*F19398)/100,2)</f>
        <v>0</v>
      </c>
    </row>
    <row r="19399" spans="1:7" ht="25.08" thickBot="1" customHeight="1">
      <c r="A19399" s="30"/>
      <c r="B19399" s="30"/>
      <c r="C19399" s="30"/>
      <c r="D19399" s="31" t="s">
        <v>59420</v>
      </c>
      <c r="E19399" s="30"/>
      <c r="F19399" s="33">
        <f ca="1">ROUND((G19391+G19392+G19393+G19398)*(1+G2/100),2)</f>
        <v>0</v>
      </c>
      <c r="G19399" s="30"/>
    </row>
    <row r="19400" spans="1:7" ht="49.08" thickBot="1" customHeight="1">
      <c r="A19400" s="34" t="s">
        <v>59421</v>
      </c>
      <c r="B19400" s="35" t="s">
        <v>59422</v>
      </c>
      <c r="C19400" s="35" t="s">
        <v>59423</v>
      </c>
      <c r="D19400" s="36" t="s">
        <v>59424</v>
      </c>
      <c r="E19400" s="37"/>
      <c r="F19400" s="38">
        <f ca="1">F19410</f>
        <v>0</v>
      </c>
      <c r="G19400" s="37"/>
    </row>
    <row r="19401" spans="1:7" ht="21.36" thickBot="1" customHeight="1">
      <c r="A19401" s="26"/>
      <c r="B19401" s="26"/>
      <c r="C19401" s="26"/>
      <c r="D19401" s="25" t="s">
        <v>59425</v>
      </c>
      <c r="E19401" s="25"/>
      <c r="F19401" s="25"/>
      <c r="G19401" s="25"/>
    </row>
    <row r="19402" spans="1:7" ht="39.84" thickBot="1" customHeight="1">
      <c r="A19402" s="24" t="s">
        <v>59426</v>
      </c>
      <c r="B19402" s="24" t="s">
        <v>59427</v>
      </c>
      <c r="C19402" s="24" t="s">
        <v>59428</v>
      </c>
      <c r="D19402" s="25" t="s">
        <v>59429</v>
      </c>
      <c r="E19402" s="28">
        <v>0.02000</v>
      </c>
      <c r="F19402" s="29">
        <f ca="1">ROUND(46.240,3)</f>
        <v>0</v>
      </c>
      <c r="G19402" s="27">
        <f ca="1">ROUND(E19402*F19402,2)</f>
        <v>0</v>
      </c>
    </row>
    <row r="19403" spans="1:7" ht="30.60" thickBot="1" customHeight="1">
      <c r="A19403" s="24" t="s">
        <v>59430</v>
      </c>
      <c r="B19403" s="24" t="s">
        <v>59431</v>
      </c>
      <c r="C19403" s="24" t="s">
        <v>59432</v>
      </c>
      <c r="D19403" s="25" t="s">
        <v>59433</v>
      </c>
      <c r="E19403" s="28">
        <v>0.10000</v>
      </c>
      <c r="F19403" s="29">
        <f ca="1">ROUND(8.670,3)</f>
        <v>0</v>
      </c>
      <c r="G19403" s="27">
        <f ca="1">ROUND(E19403*F19403,2)</f>
        <v>0</v>
      </c>
    </row>
    <row r="19404" spans="1:7" ht="24.36" thickBot="1" customHeight="1">
      <c r="A19404" s="24" t="s">
        <v>59434</v>
      </c>
      <c r="B19404" s="24" t="s">
        <v>59435</v>
      </c>
      <c r="C19404" s="24" t="s">
        <v>59436</v>
      </c>
      <c r="D19404" s="25" t="s">
        <v>59437</v>
      </c>
      <c r="E19404" s="28">
        <v>0.25000</v>
      </c>
      <c r="F19404" s="29">
        <f ca="1">F19408</f>
        <v>0</v>
      </c>
      <c r="G19404" s="27">
        <f ca="1">ROUND(E19404*F19404,2)</f>
        <v>0</v>
      </c>
    </row>
    <row r="19405" spans="1:7" ht="24.36" thickBot="1" customHeight="1">
      <c r="A19405" s="24" t="s">
        <v>59438</v>
      </c>
      <c r="B19405" s="24" t="s">
        <v>59439</v>
      </c>
      <c r="C19405" s="24" t="s">
        <v>59440</v>
      </c>
      <c r="D19405" s="25" t="s">
        <v>59441</v>
      </c>
      <c r="E19405" s="28">
        <v>1.00000</v>
      </c>
      <c r="F19405" s="29">
        <f ca="1">ROUND(21.000,3)</f>
        <v>0</v>
      </c>
      <c r="G19405" s="27">
        <f ca="1">ROUND(E19405*F19405,2)</f>
        <v>0</v>
      </c>
    </row>
    <row r="19406" spans="1:7" ht="24.36" thickBot="1" customHeight="1">
      <c r="A19406" s="24" t="s">
        <v>59442</v>
      </c>
      <c r="B19406" s="24" t="s">
        <v>59443</v>
      </c>
      <c r="C19406" s="24" t="s">
        <v>59444</v>
      </c>
      <c r="D19406" s="25" t="s">
        <v>59445</v>
      </c>
      <c r="E19406" s="28">
        <v>1.00000</v>
      </c>
      <c r="F19406" s="29">
        <f ca="1">ROUND(19.000,3)</f>
        <v>0</v>
      </c>
      <c r="G19406" s="27">
        <f ca="1">ROUND(E19406*F19406,2)</f>
        <v>0</v>
      </c>
    </row>
    <row r="19407" spans="1:7" ht="24.36" thickBot="1" customHeight="1">
      <c r="A19407" s="24" t="s">
        <v>59446</v>
      </c>
      <c r="B19407" s="24" t="s">
        <v>59447</v>
      </c>
      <c r="C19407" s="24" t="s">
        <v>59448</v>
      </c>
      <c r="D19407" s="25" t="s">
        <v>59449</v>
      </c>
      <c r="E19407" s="28">
        <v>0.50000</v>
      </c>
      <c r="F19407" s="29">
        <f ca="1">ROUND(19.000,3)</f>
        <v>0</v>
      </c>
      <c r="G19407" s="27">
        <f ca="1">ROUND(E19407*F19407,2)</f>
        <v>0</v>
      </c>
    </row>
    <row r="19408" spans="1:7" ht="15.12" thickBot="1" customHeight="1">
      <c r="A19408" s="26"/>
      <c r="B19408" s="26"/>
      <c r="C19408" s="26"/>
      <c r="D19408" s="24" t="s">
        <v>59450</v>
      </c>
      <c r="E19408" s="28">
        <v>0.25000</v>
      </c>
      <c r="F19408" s="29">
        <f ca="1">ROUND((G19405+G19406+G19407),3)</f>
        <v>0</v>
      </c>
      <c r="G19408" s="27">
        <f ca="1">ROUND(E19408*F19408,2)</f>
        <v>0</v>
      </c>
    </row>
    <row r="19409" spans="1:7" ht="15.12" thickBot="1" customHeight="1">
      <c r="A19409" s="24" t="s">
        <v>59451</v>
      </c>
      <c r="B19409" s="24"/>
      <c r="C19409" s="24" t="s">
        <v>59452</v>
      </c>
      <c r="D19409" s="25" t="s">
        <v>59453</v>
      </c>
      <c r="E19409" s="28">
        <v>3.00000</v>
      </c>
      <c r="F19409" s="29">
        <f ca="1">ROUND(12.380,3)</f>
        <v>0</v>
      </c>
      <c r="G19409" s="27">
        <f ca="1">ROUND((E19409*F19409)/100,2)</f>
        <v>0</v>
      </c>
    </row>
    <row r="19410" spans="1:7" ht="25.08" thickBot="1" customHeight="1">
      <c r="A19410" s="30"/>
      <c r="B19410" s="30"/>
      <c r="C19410" s="30"/>
      <c r="D19410" s="31" t="s">
        <v>59454</v>
      </c>
      <c r="E19410" s="30"/>
      <c r="F19410" s="33">
        <f ca="1">ROUND((G19402+G19403+G19404+G19409)*(1+G2/100),2)</f>
        <v>0</v>
      </c>
      <c r="G19410" s="30"/>
    </row>
    <row r="19411" spans="1:7" ht="39.84" thickBot="1" customHeight="1">
      <c r="A19411" s="34" t="s">
        <v>59455</v>
      </c>
      <c r="B19411" s="35" t="s">
        <v>59456</v>
      </c>
      <c r="C19411" s="35" t="s">
        <v>59457</v>
      </c>
      <c r="D19411" s="36" t="s">
        <v>59458</v>
      </c>
      <c r="E19411" s="37"/>
      <c r="F19411" s="38">
        <f ca="1">F19423</f>
        <v>0</v>
      </c>
      <c r="G19411" s="37"/>
    </row>
    <row r="19412" spans="1:7" ht="30.60" thickBot="1" customHeight="1">
      <c r="A19412" s="26"/>
      <c r="B19412" s="26"/>
      <c r="C19412" s="26"/>
      <c r="D19412" s="25" t="s">
        <v>59459</v>
      </c>
      <c r="E19412" s="25"/>
      <c r="F19412" s="25"/>
      <c r="G19412" s="25"/>
    </row>
    <row r="19413" spans="1:7" ht="30.60" thickBot="1" customHeight="1">
      <c r="A19413" s="24" t="s">
        <v>59460</v>
      </c>
      <c r="B19413" s="24" t="s">
        <v>59461</v>
      </c>
      <c r="C19413" s="24" t="s">
        <v>59462</v>
      </c>
      <c r="D19413" s="25" t="s">
        <v>59463</v>
      </c>
      <c r="E19413" s="28">
        <v>11.44000</v>
      </c>
      <c r="F19413" s="29">
        <f ca="1">ROUND(1.600,3)</f>
        <v>0</v>
      </c>
      <c r="G19413" s="27">
        <f ca="1">ROUND(E19413*F19413,2)</f>
        <v>0</v>
      </c>
    </row>
    <row r="19414" spans="1:7" ht="39.84" thickBot="1" customHeight="1">
      <c r="A19414" s="24" t="s">
        <v>59464</v>
      </c>
      <c r="B19414" s="24" t="s">
        <v>59465</v>
      </c>
      <c r="C19414" s="24" t="s">
        <v>59466</v>
      </c>
      <c r="D19414" s="25" t="s">
        <v>59467</v>
      </c>
      <c r="E19414" s="28">
        <v>0.01300</v>
      </c>
      <c r="F19414" s="29">
        <f ca="1">ROUND(41.280,3)</f>
        <v>0</v>
      </c>
      <c r="G19414" s="27">
        <f ca="1">ROUND(E19414*F19414,2)</f>
        <v>0</v>
      </c>
    </row>
    <row r="19415" spans="1:7" ht="39.84" thickBot="1" customHeight="1">
      <c r="A19415" s="24" t="s">
        <v>59468</v>
      </c>
      <c r="B19415" s="24" t="s">
        <v>59469</v>
      </c>
      <c r="C19415" s="24" t="s">
        <v>59470</v>
      </c>
      <c r="D19415" s="25" t="s">
        <v>59471</v>
      </c>
      <c r="E19415" s="28">
        <v>2.00000</v>
      </c>
      <c r="F19415" s="29">
        <f ca="1">ROUND(2.600,3)</f>
        <v>0</v>
      </c>
      <c r="G19415" s="27">
        <f ca="1">ROUND(E19415*F19415,2)</f>
        <v>0</v>
      </c>
    </row>
    <row r="19416" spans="1:7" ht="30.60" thickBot="1" customHeight="1">
      <c r="A19416" s="24" t="s">
        <v>59472</v>
      </c>
      <c r="B19416" s="24" t="s">
        <v>59473</v>
      </c>
      <c r="C19416" s="24" t="s">
        <v>59474</v>
      </c>
      <c r="D19416" s="25" t="s">
        <v>59475</v>
      </c>
      <c r="E19416" s="28">
        <v>1.00000</v>
      </c>
      <c r="F19416" s="29">
        <f ca="1">ROUND(4.620,3)</f>
        <v>0</v>
      </c>
      <c r="G19416" s="27">
        <f ca="1">ROUND(E19416*F19416,2)</f>
        <v>0</v>
      </c>
    </row>
    <row r="19417" spans="1:7" ht="21.36" thickBot="1" customHeight="1">
      <c r="A19417" s="24" t="s">
        <v>59476</v>
      </c>
      <c r="B19417" s="24" t="s">
        <v>59477</v>
      </c>
      <c r="C19417" s="24" t="s">
        <v>59478</v>
      </c>
      <c r="D19417" s="25" t="s">
        <v>59479</v>
      </c>
      <c r="E19417" s="28">
        <v>2.00000</v>
      </c>
      <c r="F19417" s="29">
        <f ca="1">F19421</f>
        <v>0</v>
      </c>
      <c r="G19417" s="27">
        <f ca="1">ROUND(E19417*F19417,2)</f>
        <v>0</v>
      </c>
    </row>
    <row r="19418" spans="1:7" ht="24.36" thickBot="1" customHeight="1">
      <c r="A19418" s="24" t="s">
        <v>59480</v>
      </c>
      <c r="B19418" s="24" t="s">
        <v>59481</v>
      </c>
      <c r="C19418" s="24" t="s">
        <v>59482</v>
      </c>
      <c r="D19418" s="25" t="s">
        <v>59483</v>
      </c>
      <c r="E19418" s="28">
        <v>1.00000</v>
      </c>
      <c r="F19418" s="29">
        <f ca="1">ROUND(21.000,3)</f>
        <v>0</v>
      </c>
      <c r="G19418" s="27">
        <f ca="1">ROUND(E19418*F19418,2)</f>
        <v>0</v>
      </c>
    </row>
    <row r="19419" spans="1:7" ht="24.36" thickBot="1" customHeight="1">
      <c r="A19419" s="24" t="s">
        <v>59484</v>
      </c>
      <c r="B19419" s="24" t="s">
        <v>59485</v>
      </c>
      <c r="C19419" s="24" t="s">
        <v>59486</v>
      </c>
      <c r="D19419" s="25" t="s">
        <v>59487</v>
      </c>
      <c r="E19419" s="28">
        <v>1.00000</v>
      </c>
      <c r="F19419" s="29">
        <f ca="1">ROUND(19.000,3)</f>
        <v>0</v>
      </c>
      <c r="G19419" s="27">
        <f ca="1">ROUND(E19419*F19419,2)</f>
        <v>0</v>
      </c>
    </row>
    <row r="19420" spans="1:7" ht="24.36" thickBot="1" customHeight="1">
      <c r="A19420" s="24" t="s">
        <v>59488</v>
      </c>
      <c r="B19420" s="24" t="s">
        <v>59489</v>
      </c>
      <c r="C19420" s="24" t="s">
        <v>59490</v>
      </c>
      <c r="D19420" s="25" t="s">
        <v>59491</v>
      </c>
      <c r="E19420" s="28">
        <v>0.20000</v>
      </c>
      <c r="F19420" s="29">
        <f ca="1">ROUND(19.000,3)</f>
        <v>0</v>
      </c>
      <c r="G19420" s="27">
        <f ca="1">ROUND(E19420*F19420,2)</f>
        <v>0</v>
      </c>
    </row>
    <row r="19421" spans="1:7" ht="15.12" thickBot="1" customHeight="1">
      <c r="A19421" s="26"/>
      <c r="B19421" s="26"/>
      <c r="C19421" s="26"/>
      <c r="D19421" s="24" t="s">
        <v>59492</v>
      </c>
      <c r="E19421" s="28">
        <v>2.00000</v>
      </c>
      <c r="F19421" s="29">
        <f ca="1">ROUND((G19418+G19419+G19420),3)</f>
        <v>0</v>
      </c>
      <c r="G19421" s="27">
        <f ca="1">ROUND(E19421*F19421,2)</f>
        <v>0</v>
      </c>
    </row>
    <row r="19422" spans="1:7" ht="15.12" thickBot="1" customHeight="1">
      <c r="A19422" s="24" t="s">
        <v>59493</v>
      </c>
      <c r="B19422" s="24"/>
      <c r="C19422" s="24" t="s">
        <v>59494</v>
      </c>
      <c r="D19422" s="25" t="s">
        <v>59495</v>
      </c>
      <c r="E19422" s="28">
        <v>5.00000</v>
      </c>
      <c r="F19422" s="29">
        <f ca="1">ROUND(87.600,3)</f>
        <v>0</v>
      </c>
      <c r="G19422" s="27">
        <f ca="1">ROUND((E19422*F19422)/100,2)</f>
        <v>0</v>
      </c>
    </row>
    <row r="19423" spans="1:7" ht="15.48" thickBot="1" customHeight="1">
      <c r="A19423" s="30"/>
      <c r="B19423" s="30"/>
      <c r="C19423" s="30"/>
      <c r="D19423" s="31" t="s">
        <v>59496</v>
      </c>
      <c r="E19423" s="30"/>
      <c r="F19423" s="33">
        <f ca="1">ROUND((G19413+G19414+G19415+G19416+G19417+G19422)*(1+G2/100),2)</f>
        <v>0</v>
      </c>
      <c r="G19423" s="30"/>
    </row>
    <row r="19424" spans="1:7" ht="39.84" thickBot="1" customHeight="1">
      <c r="A19424" s="34" t="s">
        <v>59497</v>
      </c>
      <c r="B19424" s="35" t="s">
        <v>59498</v>
      </c>
      <c r="C19424" s="35" t="s">
        <v>59499</v>
      </c>
      <c r="D19424" s="36" t="s">
        <v>59500</v>
      </c>
      <c r="E19424" s="37"/>
      <c r="F19424" s="38">
        <f ca="1">F19435</f>
        <v>0</v>
      </c>
      <c r="G19424" s="37"/>
    </row>
    <row r="19425" spans="1:7" ht="21.36" thickBot="1" customHeight="1">
      <c r="A19425" s="26"/>
      <c r="B19425" s="26"/>
      <c r="C19425" s="26"/>
      <c r="D19425" s="25" t="s">
        <v>59501</v>
      </c>
      <c r="E19425" s="25"/>
      <c r="F19425" s="25"/>
      <c r="G19425" s="25"/>
    </row>
    <row r="19426" spans="1:7" ht="30.60" thickBot="1" customHeight="1">
      <c r="A19426" s="24" t="s">
        <v>59502</v>
      </c>
      <c r="B19426" s="24" t="s">
        <v>59503</v>
      </c>
      <c r="C19426" s="24" t="s">
        <v>59504</v>
      </c>
      <c r="D19426" s="25" t="s">
        <v>59505</v>
      </c>
      <c r="E19426" s="28">
        <v>1.00000</v>
      </c>
      <c r="F19426" s="29">
        <f ca="1">ROUND(10.510,3)</f>
        <v>0</v>
      </c>
      <c r="G19426" s="27">
        <f ca="1">ROUND(E19426*F19426,2)</f>
        <v>0</v>
      </c>
    </row>
    <row r="19427" spans="1:7" ht="39.84" thickBot="1" customHeight="1">
      <c r="A19427" s="24" t="s">
        <v>59506</v>
      </c>
      <c r="B19427" s="24" t="s">
        <v>59507</v>
      </c>
      <c r="C19427" s="24" t="s">
        <v>59508</v>
      </c>
      <c r="D19427" s="25" t="s">
        <v>59509</v>
      </c>
      <c r="E19427" s="28">
        <v>0.00600</v>
      </c>
      <c r="F19427" s="29">
        <f ca="1">ROUND(41.280,3)</f>
        <v>0</v>
      </c>
      <c r="G19427" s="27">
        <f ca="1">ROUND(E19427*F19427,2)</f>
        <v>0</v>
      </c>
    </row>
    <row r="19428" spans="1:7" ht="21.36" thickBot="1" customHeight="1">
      <c r="A19428" s="24" t="s">
        <v>59510</v>
      </c>
      <c r="B19428" s="24" t="s">
        <v>59511</v>
      </c>
      <c r="C19428" s="24" t="s">
        <v>59512</v>
      </c>
      <c r="D19428" s="25" t="s">
        <v>59513</v>
      </c>
      <c r="E19428" s="28">
        <v>0.10000</v>
      </c>
      <c r="F19428" s="29">
        <f ca="1">ROUND(2.000,3)</f>
        <v>0</v>
      </c>
      <c r="G19428" s="27">
        <f ca="1">ROUND(E19428*F19428,2)</f>
        <v>0</v>
      </c>
    </row>
    <row r="19429" spans="1:7" ht="21.36" thickBot="1" customHeight="1">
      <c r="A19429" s="24" t="s">
        <v>59514</v>
      </c>
      <c r="B19429" s="24" t="s">
        <v>59515</v>
      </c>
      <c r="C19429" s="24" t="s">
        <v>59516</v>
      </c>
      <c r="D19429" s="25" t="s">
        <v>59517</v>
      </c>
      <c r="E19429" s="28">
        <v>0.20000</v>
      </c>
      <c r="F19429" s="29">
        <f ca="1">ROUND(5.520,3)</f>
        <v>0</v>
      </c>
      <c r="G19429" s="27">
        <f ca="1">ROUND(E19429*F19429,2)</f>
        <v>0</v>
      </c>
    </row>
    <row r="19430" spans="1:7" ht="21.36" thickBot="1" customHeight="1">
      <c r="A19430" s="24" t="s">
        <v>59518</v>
      </c>
      <c r="B19430" s="24" t="s">
        <v>59519</v>
      </c>
      <c r="C19430" s="24" t="s">
        <v>59520</v>
      </c>
      <c r="D19430" s="25" t="s">
        <v>59521</v>
      </c>
      <c r="E19430" s="28">
        <v>0.15000</v>
      </c>
      <c r="F19430" s="29">
        <f ca="1">F19433</f>
        <v>0</v>
      </c>
      <c r="G19430" s="27">
        <f ca="1">ROUND(E19430*F19430,2)</f>
        <v>0</v>
      </c>
    </row>
    <row r="19431" spans="1:7" ht="24.36" thickBot="1" customHeight="1">
      <c r="A19431" s="24" t="s">
        <v>59522</v>
      </c>
      <c r="B19431" s="24" t="s">
        <v>59523</v>
      </c>
      <c r="C19431" s="24" t="s">
        <v>59524</v>
      </c>
      <c r="D19431" s="25" t="s">
        <v>59525</v>
      </c>
      <c r="E19431" s="28">
        <v>1.00000</v>
      </c>
      <c r="F19431" s="29">
        <f ca="1">ROUND(21.000,3)</f>
        <v>0</v>
      </c>
      <c r="G19431" s="27">
        <f ca="1">ROUND(E19431*F19431,2)</f>
        <v>0</v>
      </c>
    </row>
    <row r="19432" spans="1:7" ht="24.36" thickBot="1" customHeight="1">
      <c r="A19432" s="24" t="s">
        <v>59526</v>
      </c>
      <c r="B19432" s="24" t="s">
        <v>59527</v>
      </c>
      <c r="C19432" s="24" t="s">
        <v>59528</v>
      </c>
      <c r="D19432" s="25" t="s">
        <v>59529</v>
      </c>
      <c r="E19432" s="28">
        <v>1.00000</v>
      </c>
      <c r="F19432" s="29">
        <f ca="1">ROUND(19.000,3)</f>
        <v>0</v>
      </c>
      <c r="G19432" s="27">
        <f ca="1">ROUND(E19432*F19432,2)</f>
        <v>0</v>
      </c>
    </row>
    <row r="19433" spans="1:7" ht="15.12" thickBot="1" customHeight="1">
      <c r="A19433" s="26"/>
      <c r="B19433" s="26"/>
      <c r="C19433" s="26"/>
      <c r="D19433" s="24" t="s">
        <v>59530</v>
      </c>
      <c r="E19433" s="28">
        <v>0.15000</v>
      </c>
      <c r="F19433" s="29">
        <f ca="1">ROUND((G19431+G19432),3)</f>
        <v>0</v>
      </c>
      <c r="G19433" s="27">
        <f ca="1">ROUND(E19433*F19433,2)</f>
        <v>0</v>
      </c>
    </row>
    <row r="19434" spans="1:7" ht="15.12" thickBot="1" customHeight="1">
      <c r="A19434" s="24" t="s">
        <v>59531</v>
      </c>
      <c r="B19434" s="24"/>
      <c r="C19434" s="24" t="s">
        <v>59532</v>
      </c>
      <c r="D19434" s="25" t="s">
        <v>59533</v>
      </c>
      <c r="E19434" s="28">
        <v>5.00000</v>
      </c>
      <c r="F19434" s="29">
        <f ca="1">ROUND(6.000,3)</f>
        <v>0</v>
      </c>
      <c r="G19434" s="27">
        <f ca="1">ROUND((E19434*F19434)/100,2)</f>
        <v>0</v>
      </c>
    </row>
    <row r="19435" spans="1:7" ht="15.48" thickBot="1" customHeight="1">
      <c r="A19435" s="30"/>
      <c r="B19435" s="30"/>
      <c r="C19435" s="30"/>
      <c r="D19435" s="31" t="s">
        <v>59534</v>
      </c>
      <c r="E19435" s="30"/>
      <c r="F19435" s="33">
        <f ca="1">ROUND((G19426+G19427+G19428+G19429+G19430+G19434)*(1+G2/100),2)</f>
        <v>0</v>
      </c>
      <c r="G19435" s="30"/>
    </row>
    <row r="19436" spans="1:7" ht="39.84" thickBot="1" customHeight="1">
      <c r="A19436" s="34" t="s">
        <v>59535</v>
      </c>
      <c r="B19436" s="35" t="s">
        <v>59536</v>
      </c>
      <c r="C19436" s="35" t="s">
        <v>59537</v>
      </c>
      <c r="D19436" s="36" t="s">
        <v>59538</v>
      </c>
      <c r="E19436" s="37"/>
      <c r="F19436" s="38">
        <f ca="1">F19447</f>
        <v>0</v>
      </c>
      <c r="G19436" s="37"/>
    </row>
    <row r="19437" spans="1:7" ht="21.36" thickBot="1" customHeight="1">
      <c r="A19437" s="26"/>
      <c r="B19437" s="26"/>
      <c r="C19437" s="26"/>
      <c r="D19437" s="25" t="s">
        <v>59539</v>
      </c>
      <c r="E19437" s="25"/>
      <c r="F19437" s="25"/>
      <c r="G19437" s="25"/>
    </row>
    <row r="19438" spans="1:7" ht="30.60" thickBot="1" customHeight="1">
      <c r="A19438" s="24" t="s">
        <v>59540</v>
      </c>
      <c r="B19438" s="24" t="s">
        <v>59541</v>
      </c>
      <c r="C19438" s="24" t="s">
        <v>59542</v>
      </c>
      <c r="D19438" s="25" t="s">
        <v>59543</v>
      </c>
      <c r="E19438" s="28">
        <v>1.00000</v>
      </c>
      <c r="F19438" s="29">
        <f ca="1">ROUND(18.000,3)</f>
        <v>0</v>
      </c>
      <c r="G19438" s="27">
        <f ca="1">ROUND(E19438*F19438,2)</f>
        <v>0</v>
      </c>
    </row>
    <row r="19439" spans="1:7" ht="39.84" thickBot="1" customHeight="1">
      <c r="A19439" s="24" t="s">
        <v>59544</v>
      </c>
      <c r="B19439" s="24" t="s">
        <v>59545</v>
      </c>
      <c r="C19439" s="24" t="s">
        <v>59546</v>
      </c>
      <c r="D19439" s="25" t="s">
        <v>59547</v>
      </c>
      <c r="E19439" s="28">
        <v>0.00600</v>
      </c>
      <c r="F19439" s="29">
        <f ca="1">ROUND(41.280,3)</f>
        <v>0</v>
      </c>
      <c r="G19439" s="27">
        <f ca="1">ROUND(E19439*F19439,2)</f>
        <v>0</v>
      </c>
    </row>
    <row r="19440" spans="1:7" ht="21.36" thickBot="1" customHeight="1">
      <c r="A19440" s="24" t="s">
        <v>59548</v>
      </c>
      <c r="B19440" s="24" t="s">
        <v>59549</v>
      </c>
      <c r="C19440" s="24" t="s">
        <v>59550</v>
      </c>
      <c r="D19440" s="25" t="s">
        <v>59551</v>
      </c>
      <c r="E19440" s="28">
        <v>0.10000</v>
      </c>
      <c r="F19440" s="29">
        <f ca="1">ROUND(2.000,3)</f>
        <v>0</v>
      </c>
      <c r="G19440" s="27">
        <f ca="1">ROUND(E19440*F19440,2)</f>
        <v>0</v>
      </c>
    </row>
    <row r="19441" spans="1:7" ht="21.36" thickBot="1" customHeight="1">
      <c r="A19441" s="24" t="s">
        <v>59552</v>
      </c>
      <c r="B19441" s="24" t="s">
        <v>59553</v>
      </c>
      <c r="C19441" s="24" t="s">
        <v>59554</v>
      </c>
      <c r="D19441" s="25" t="s">
        <v>59555</v>
      </c>
      <c r="E19441" s="28">
        <v>0.20000</v>
      </c>
      <c r="F19441" s="29">
        <f ca="1">ROUND(5.520,3)</f>
        <v>0</v>
      </c>
      <c r="G19441" s="27">
        <f ca="1">ROUND(E19441*F19441,2)</f>
        <v>0</v>
      </c>
    </row>
    <row r="19442" spans="1:7" ht="21.36" thickBot="1" customHeight="1">
      <c r="A19442" s="24" t="s">
        <v>59556</v>
      </c>
      <c r="B19442" s="24" t="s">
        <v>59557</v>
      </c>
      <c r="C19442" s="24" t="s">
        <v>59558</v>
      </c>
      <c r="D19442" s="25" t="s">
        <v>59559</v>
      </c>
      <c r="E19442" s="28">
        <v>0.15000</v>
      </c>
      <c r="F19442" s="29">
        <f ca="1">F19445</f>
        <v>0</v>
      </c>
      <c r="G19442" s="27">
        <f ca="1">ROUND(E19442*F19442,2)</f>
        <v>0</v>
      </c>
    </row>
    <row r="19443" spans="1:7" ht="24.36" thickBot="1" customHeight="1">
      <c r="A19443" s="24" t="s">
        <v>59560</v>
      </c>
      <c r="B19443" s="24" t="s">
        <v>59561</v>
      </c>
      <c r="C19443" s="24" t="s">
        <v>59562</v>
      </c>
      <c r="D19443" s="25" t="s">
        <v>59563</v>
      </c>
      <c r="E19443" s="28">
        <v>1.00000</v>
      </c>
      <c r="F19443" s="29">
        <f ca="1">ROUND(21.000,3)</f>
        <v>0</v>
      </c>
      <c r="G19443" s="27">
        <f ca="1">ROUND(E19443*F19443,2)</f>
        <v>0</v>
      </c>
    </row>
    <row r="19444" spans="1:7" ht="24.36" thickBot="1" customHeight="1">
      <c r="A19444" s="24" t="s">
        <v>59564</v>
      </c>
      <c r="B19444" s="24" t="s">
        <v>59565</v>
      </c>
      <c r="C19444" s="24" t="s">
        <v>59566</v>
      </c>
      <c r="D19444" s="25" t="s">
        <v>59567</v>
      </c>
      <c r="E19444" s="28">
        <v>1.00000</v>
      </c>
      <c r="F19444" s="29">
        <f ca="1">ROUND(19.000,3)</f>
        <v>0</v>
      </c>
      <c r="G19444" s="27">
        <f ca="1">ROUND(E19444*F19444,2)</f>
        <v>0</v>
      </c>
    </row>
    <row r="19445" spans="1:7" ht="15.12" thickBot="1" customHeight="1">
      <c r="A19445" s="26"/>
      <c r="B19445" s="26"/>
      <c r="C19445" s="26"/>
      <c r="D19445" s="24" t="s">
        <v>59568</v>
      </c>
      <c r="E19445" s="28">
        <v>0.15000</v>
      </c>
      <c r="F19445" s="29">
        <f ca="1">ROUND((G19443+G19444),3)</f>
        <v>0</v>
      </c>
      <c r="G19445" s="27">
        <f ca="1">ROUND(E19445*F19445,2)</f>
        <v>0</v>
      </c>
    </row>
    <row r="19446" spans="1:7" ht="15.12" thickBot="1" customHeight="1">
      <c r="A19446" s="24" t="s">
        <v>59569</v>
      </c>
      <c r="B19446" s="24"/>
      <c r="C19446" s="24" t="s">
        <v>59570</v>
      </c>
      <c r="D19446" s="25" t="s">
        <v>59571</v>
      </c>
      <c r="E19446" s="28">
        <v>5.00000</v>
      </c>
      <c r="F19446" s="29">
        <f ca="1">ROUND(6.000,3)</f>
        <v>0</v>
      </c>
      <c r="G19446" s="27">
        <f ca="1">ROUND((E19446*F19446)/100,2)</f>
        <v>0</v>
      </c>
    </row>
    <row r="19447" spans="1:7" ht="15.48" thickBot="1" customHeight="1">
      <c r="A19447" s="30"/>
      <c r="B19447" s="30"/>
      <c r="C19447" s="30"/>
      <c r="D19447" s="31" t="s">
        <v>59572</v>
      </c>
      <c r="E19447" s="30"/>
      <c r="F19447" s="33">
        <f ca="1">ROUND((G19438+G19439+G19440+G19441+G19442+G19446)*(1+G2/100),2)</f>
        <v>0</v>
      </c>
      <c r="G19447" s="30"/>
    </row>
    <row r="19448" spans="1:7" ht="39.84" thickBot="1" customHeight="1">
      <c r="A19448" s="34" t="s">
        <v>59573</v>
      </c>
      <c r="B19448" s="35" t="s">
        <v>59574</v>
      </c>
      <c r="C19448" s="35" t="s">
        <v>59575</v>
      </c>
      <c r="D19448" s="36" t="s">
        <v>59576</v>
      </c>
      <c r="E19448" s="37"/>
      <c r="F19448" s="38">
        <f ca="1">F19459</f>
        <v>0</v>
      </c>
      <c r="G19448" s="37"/>
    </row>
    <row r="19449" spans="1:7" ht="21.36" thickBot="1" customHeight="1">
      <c r="A19449" s="26"/>
      <c r="B19449" s="26"/>
      <c r="C19449" s="26"/>
      <c r="D19449" s="25" t="s">
        <v>59577</v>
      </c>
      <c r="E19449" s="25"/>
      <c r="F19449" s="25"/>
      <c r="G19449" s="25"/>
    </row>
    <row r="19450" spans="1:7" ht="30.60" thickBot="1" customHeight="1">
      <c r="A19450" s="24" t="s">
        <v>59578</v>
      </c>
      <c r="B19450" s="24" t="s">
        <v>59579</v>
      </c>
      <c r="C19450" s="24" t="s">
        <v>59580</v>
      </c>
      <c r="D19450" s="25" t="s">
        <v>59581</v>
      </c>
      <c r="E19450" s="28">
        <v>1.10000</v>
      </c>
      <c r="F19450" s="29">
        <f ca="1">ROUND(14.400,3)</f>
        <v>0</v>
      </c>
      <c r="G19450" s="27">
        <f ca="1">ROUND(E19450*F19450,2)</f>
        <v>0</v>
      </c>
    </row>
    <row r="19451" spans="1:7" ht="39.84" thickBot="1" customHeight="1">
      <c r="A19451" s="24" t="s">
        <v>59582</v>
      </c>
      <c r="B19451" s="24" t="s">
        <v>59583</v>
      </c>
      <c r="C19451" s="24" t="s">
        <v>59584</v>
      </c>
      <c r="D19451" s="25" t="s">
        <v>59585</v>
      </c>
      <c r="E19451" s="28">
        <v>0.00700</v>
      </c>
      <c r="F19451" s="29">
        <f ca="1">ROUND(41.280,3)</f>
        <v>0</v>
      </c>
      <c r="G19451" s="27">
        <f ca="1">ROUND(E19451*F19451,2)</f>
        <v>0</v>
      </c>
    </row>
    <row r="19452" spans="1:7" ht="21.36" thickBot="1" customHeight="1">
      <c r="A19452" s="24" t="s">
        <v>59586</v>
      </c>
      <c r="B19452" s="24" t="s">
        <v>59587</v>
      </c>
      <c r="C19452" s="24" t="s">
        <v>59588</v>
      </c>
      <c r="D19452" s="25" t="s">
        <v>59589</v>
      </c>
      <c r="E19452" s="28">
        <v>0.10000</v>
      </c>
      <c r="F19452" s="29">
        <f ca="1">ROUND(2.000,3)</f>
        <v>0</v>
      </c>
      <c r="G19452" s="27">
        <f ca="1">ROUND(E19452*F19452,2)</f>
        <v>0</v>
      </c>
    </row>
    <row r="19453" spans="1:7" ht="21.36" thickBot="1" customHeight="1">
      <c r="A19453" s="24" t="s">
        <v>59590</v>
      </c>
      <c r="B19453" s="24" t="s">
        <v>59591</v>
      </c>
      <c r="C19453" s="24" t="s">
        <v>59592</v>
      </c>
      <c r="D19453" s="25" t="s">
        <v>59593</v>
      </c>
      <c r="E19453" s="28">
        <v>0.20000</v>
      </c>
      <c r="F19453" s="29">
        <f ca="1">ROUND(5.520,3)</f>
        <v>0</v>
      </c>
      <c r="G19453" s="27">
        <f ca="1">ROUND(E19453*F19453,2)</f>
        <v>0</v>
      </c>
    </row>
    <row r="19454" spans="1:7" ht="21.36" thickBot="1" customHeight="1">
      <c r="A19454" s="24" t="s">
        <v>59594</v>
      </c>
      <c r="B19454" s="24" t="s">
        <v>59595</v>
      </c>
      <c r="C19454" s="24" t="s">
        <v>59596</v>
      </c>
      <c r="D19454" s="25" t="s">
        <v>59597</v>
      </c>
      <c r="E19454" s="28">
        <v>0.15000</v>
      </c>
      <c r="F19454" s="29">
        <f ca="1">F19457</f>
        <v>0</v>
      </c>
      <c r="G19454" s="27">
        <f ca="1">ROUND(E19454*F19454,2)</f>
        <v>0</v>
      </c>
    </row>
    <row r="19455" spans="1:7" ht="24.36" thickBot="1" customHeight="1">
      <c r="A19455" s="24" t="s">
        <v>59598</v>
      </c>
      <c r="B19455" s="24" t="s">
        <v>59599</v>
      </c>
      <c r="C19455" s="24" t="s">
        <v>59600</v>
      </c>
      <c r="D19455" s="25" t="s">
        <v>59601</v>
      </c>
      <c r="E19455" s="28">
        <v>1.00000</v>
      </c>
      <c r="F19455" s="29">
        <f ca="1">ROUND(21.000,3)</f>
        <v>0</v>
      </c>
      <c r="G19455" s="27">
        <f ca="1">ROUND(E19455*F19455,2)</f>
        <v>0</v>
      </c>
    </row>
    <row r="19456" spans="1:7" ht="24.36" thickBot="1" customHeight="1">
      <c r="A19456" s="24" t="s">
        <v>59602</v>
      </c>
      <c r="B19456" s="24" t="s">
        <v>59603</v>
      </c>
      <c r="C19456" s="24" t="s">
        <v>59604</v>
      </c>
      <c r="D19456" s="25" t="s">
        <v>59605</v>
      </c>
      <c r="E19456" s="28">
        <v>1.00000</v>
      </c>
      <c r="F19456" s="29">
        <f ca="1">ROUND(19.000,3)</f>
        <v>0</v>
      </c>
      <c r="G19456" s="27">
        <f ca="1">ROUND(E19456*F19456,2)</f>
        <v>0</v>
      </c>
    </row>
    <row r="19457" spans="1:7" ht="15.12" thickBot="1" customHeight="1">
      <c r="A19457" s="26"/>
      <c r="B19457" s="26"/>
      <c r="C19457" s="26"/>
      <c r="D19457" s="24" t="s">
        <v>59606</v>
      </c>
      <c r="E19457" s="28">
        <v>0.15000</v>
      </c>
      <c r="F19457" s="29">
        <f ca="1">ROUND((G19455+G19456),3)</f>
        <v>0</v>
      </c>
      <c r="G19457" s="27">
        <f ca="1">ROUND(E19457*F19457,2)</f>
        <v>0</v>
      </c>
    </row>
    <row r="19458" spans="1:7" ht="15.12" thickBot="1" customHeight="1">
      <c r="A19458" s="24" t="s">
        <v>59607</v>
      </c>
      <c r="B19458" s="24"/>
      <c r="C19458" s="24" t="s">
        <v>59608</v>
      </c>
      <c r="D19458" s="25" t="s">
        <v>59609</v>
      </c>
      <c r="E19458" s="28">
        <v>5.00000</v>
      </c>
      <c r="F19458" s="29">
        <f ca="1">ROUND(6.000,3)</f>
        <v>0</v>
      </c>
      <c r="G19458" s="27">
        <f ca="1">ROUND((E19458*F19458)/100,2)</f>
        <v>0</v>
      </c>
    </row>
    <row r="19459" spans="1:7" ht="15.48" thickBot="1" customHeight="1">
      <c r="A19459" s="30"/>
      <c r="B19459" s="30"/>
      <c r="C19459" s="30"/>
      <c r="D19459" s="31" t="s">
        <v>59610</v>
      </c>
      <c r="E19459" s="30"/>
      <c r="F19459" s="33">
        <f ca="1">ROUND((G19450+G19451+G19452+G19453+G19454+G19458)*(1+G2/100),2)</f>
        <v>0</v>
      </c>
      <c r="G19459" s="30"/>
    </row>
    <row r="19460" spans="1:7" ht="49.08" thickBot="1" customHeight="1">
      <c r="A19460" s="34" t="s">
        <v>59611</v>
      </c>
      <c r="B19460" s="35" t="s">
        <v>59612</v>
      </c>
      <c r="C19460" s="35" t="s">
        <v>59613</v>
      </c>
      <c r="D19460" s="36" t="s">
        <v>59614</v>
      </c>
      <c r="E19460" s="37"/>
      <c r="F19460" s="38">
        <f ca="1">F19474</f>
        <v>0</v>
      </c>
      <c r="G19460" s="37"/>
    </row>
    <row r="19461" spans="1:7" ht="21.36" thickBot="1" customHeight="1">
      <c r="A19461" s="26"/>
      <c r="B19461" s="26"/>
      <c r="C19461" s="26"/>
      <c r="D19461" s="25" t="s">
        <v>59615</v>
      </c>
      <c r="E19461" s="25"/>
      <c r="F19461" s="25"/>
      <c r="G19461" s="25"/>
    </row>
    <row r="19462" spans="1:7" ht="30.60" thickBot="1" customHeight="1">
      <c r="A19462" s="24" t="s">
        <v>59616</v>
      </c>
      <c r="B19462" s="24" t="s">
        <v>59617</v>
      </c>
      <c r="C19462" s="24" t="s">
        <v>59618</v>
      </c>
      <c r="D19462" s="25" t="s">
        <v>59619</v>
      </c>
      <c r="E19462" s="28">
        <v>1.00000</v>
      </c>
      <c r="F19462" s="29">
        <f ca="1">ROUND(18.000,3)</f>
        <v>0</v>
      </c>
      <c r="G19462" s="27">
        <f ca="1">ROUND(E19462*F19462,2)</f>
        <v>0</v>
      </c>
    </row>
    <row r="19463" spans="1:7" ht="39.84" thickBot="1" customHeight="1">
      <c r="A19463" s="24" t="s">
        <v>59620</v>
      </c>
      <c r="B19463" s="24" t="s">
        <v>59621</v>
      </c>
      <c r="C19463" s="24" t="s">
        <v>59622</v>
      </c>
      <c r="D19463" s="25" t="s">
        <v>59623</v>
      </c>
      <c r="E19463" s="28">
        <v>0.00600</v>
      </c>
      <c r="F19463" s="29">
        <f ca="1">ROUND(41.280,3)</f>
        <v>0</v>
      </c>
      <c r="G19463" s="27">
        <f ca="1">ROUND(E19463*F19463,2)</f>
        <v>0</v>
      </c>
    </row>
    <row r="19464" spans="1:7" ht="39.84" thickBot="1" customHeight="1">
      <c r="A19464" s="24" t="s">
        <v>59624</v>
      </c>
      <c r="B19464" s="24" t="s">
        <v>59625</v>
      </c>
      <c r="C19464" s="24" t="s">
        <v>59626</v>
      </c>
      <c r="D19464" s="25" t="s">
        <v>59627</v>
      </c>
      <c r="E19464" s="28">
        <v>0.50000</v>
      </c>
      <c r="F19464" s="29">
        <f ca="1">ROUND(16.670,3)</f>
        <v>0</v>
      </c>
      <c r="G19464" s="27">
        <f ca="1">ROUND(E19464*F19464,2)</f>
        <v>0</v>
      </c>
    </row>
    <row r="19465" spans="1:7" ht="30.60" thickBot="1" customHeight="1">
      <c r="A19465" s="24" t="s">
        <v>59628</v>
      </c>
      <c r="B19465" s="24" t="s">
        <v>59629</v>
      </c>
      <c r="C19465" s="24" t="s">
        <v>59630</v>
      </c>
      <c r="D19465" s="25" t="s">
        <v>59631</v>
      </c>
      <c r="E19465" s="28">
        <v>0.25000</v>
      </c>
      <c r="F19465" s="29">
        <f ca="1">ROUND(6.140,3)</f>
        <v>0</v>
      </c>
      <c r="G19465" s="27">
        <f ca="1">ROUND(E19465*F19465,2)</f>
        <v>0</v>
      </c>
    </row>
    <row r="19466" spans="1:7" ht="30.60" thickBot="1" customHeight="1">
      <c r="A19466" s="24" t="s">
        <v>59632</v>
      </c>
      <c r="B19466" s="24" t="s">
        <v>59633</v>
      </c>
      <c r="C19466" s="24" t="s">
        <v>59634</v>
      </c>
      <c r="D19466" s="25" t="s">
        <v>59635</v>
      </c>
      <c r="E19466" s="28">
        <v>0.80000</v>
      </c>
      <c r="F19466" s="29">
        <f ca="1">ROUND(12.310,3)</f>
        <v>0</v>
      </c>
      <c r="G19466" s="27">
        <f ca="1">ROUND(E19466*F19466,2)</f>
        <v>0</v>
      </c>
    </row>
    <row r="19467" spans="1:7" ht="21.36" thickBot="1" customHeight="1">
      <c r="A19467" s="24" t="s">
        <v>59636</v>
      </c>
      <c r="B19467" s="24" t="s">
        <v>59637</v>
      </c>
      <c r="C19467" s="24" t="s">
        <v>59638</v>
      </c>
      <c r="D19467" s="25" t="s">
        <v>59639</v>
      </c>
      <c r="E19467" s="28">
        <v>0.10000</v>
      </c>
      <c r="F19467" s="29">
        <f ca="1">ROUND(2.000,3)</f>
        <v>0</v>
      </c>
      <c r="G19467" s="27">
        <f ca="1">ROUND(E19467*F19467,2)</f>
        <v>0</v>
      </c>
    </row>
    <row r="19468" spans="1:7" ht="21.36" thickBot="1" customHeight="1">
      <c r="A19468" s="24" t="s">
        <v>59640</v>
      </c>
      <c r="B19468" s="24" t="s">
        <v>59641</v>
      </c>
      <c r="C19468" s="24" t="s">
        <v>59642</v>
      </c>
      <c r="D19468" s="25" t="s">
        <v>59643</v>
      </c>
      <c r="E19468" s="28">
        <v>0.20000</v>
      </c>
      <c r="F19468" s="29">
        <f ca="1">ROUND(5.520,3)</f>
        <v>0</v>
      </c>
      <c r="G19468" s="27">
        <f ca="1">ROUND(E19468*F19468,2)</f>
        <v>0</v>
      </c>
    </row>
    <row r="19469" spans="1:7" ht="21.36" thickBot="1" customHeight="1">
      <c r="A19469" s="24" t="s">
        <v>59644</v>
      </c>
      <c r="B19469" s="24" t="s">
        <v>59645</v>
      </c>
      <c r="C19469" s="24" t="s">
        <v>59646</v>
      </c>
      <c r="D19469" s="25" t="s">
        <v>59647</v>
      </c>
      <c r="E19469" s="28">
        <v>0.25000</v>
      </c>
      <c r="F19469" s="29">
        <f ca="1">F19472</f>
        <v>0</v>
      </c>
      <c r="G19469" s="27">
        <f ca="1">ROUND(E19469*F19469,2)</f>
        <v>0</v>
      </c>
    </row>
    <row r="19470" spans="1:7" ht="24.36" thickBot="1" customHeight="1">
      <c r="A19470" s="24" t="s">
        <v>59648</v>
      </c>
      <c r="B19470" s="24" t="s">
        <v>59649</v>
      </c>
      <c r="C19470" s="24" t="s">
        <v>59650</v>
      </c>
      <c r="D19470" s="25" t="s">
        <v>59651</v>
      </c>
      <c r="E19470" s="28">
        <v>1.00000</v>
      </c>
      <c r="F19470" s="29">
        <f ca="1">ROUND(21.000,3)</f>
        <v>0</v>
      </c>
      <c r="G19470" s="27">
        <f ca="1">ROUND(E19470*F19470,2)</f>
        <v>0</v>
      </c>
    </row>
    <row r="19471" spans="1:7" ht="24.36" thickBot="1" customHeight="1">
      <c r="A19471" s="24" t="s">
        <v>59652</v>
      </c>
      <c r="B19471" s="24" t="s">
        <v>59653</v>
      </c>
      <c r="C19471" s="24" t="s">
        <v>59654</v>
      </c>
      <c r="D19471" s="25" t="s">
        <v>59655</v>
      </c>
      <c r="E19471" s="28">
        <v>1.00000</v>
      </c>
      <c r="F19471" s="29">
        <f ca="1">ROUND(19.000,3)</f>
        <v>0</v>
      </c>
      <c r="G19471" s="27">
        <f ca="1">ROUND(E19471*F19471,2)</f>
        <v>0</v>
      </c>
    </row>
    <row r="19472" spans="1:7" ht="15.12" thickBot="1" customHeight="1">
      <c r="A19472" s="26"/>
      <c r="B19472" s="26"/>
      <c r="C19472" s="26"/>
      <c r="D19472" s="24" t="s">
        <v>59656</v>
      </c>
      <c r="E19472" s="28">
        <v>0.25000</v>
      </c>
      <c r="F19472" s="29">
        <f ca="1">ROUND((G19470+G19471),3)</f>
        <v>0</v>
      </c>
      <c r="G19472" s="27">
        <f ca="1">ROUND(E19472*F19472,2)</f>
        <v>0</v>
      </c>
    </row>
    <row r="19473" spans="1:7" ht="15.12" thickBot="1" customHeight="1">
      <c r="A19473" s="24" t="s">
        <v>59657</v>
      </c>
      <c r="B19473" s="24"/>
      <c r="C19473" s="24" t="s">
        <v>59658</v>
      </c>
      <c r="D19473" s="25" t="s">
        <v>59659</v>
      </c>
      <c r="E19473" s="28">
        <v>7.00000</v>
      </c>
      <c r="F19473" s="29">
        <f ca="1">ROUND(10.000,3)</f>
        <v>0</v>
      </c>
      <c r="G19473" s="27">
        <f ca="1">ROUND((E19473*F19473)/100,2)</f>
        <v>0</v>
      </c>
    </row>
    <row r="19474" spans="1:7" ht="15.48" thickBot="1" customHeight="1">
      <c r="A19474" s="30"/>
      <c r="B19474" s="30"/>
      <c r="C19474" s="30"/>
      <c r="D19474" s="31" t="s">
        <v>59660</v>
      </c>
      <c r="E19474" s="30"/>
      <c r="F19474" s="33">
        <f ca="1">ROUND((G19462+G19463+G19464+G19465+G19466+G19467+G19468+G19469+G19473)*(1+G2/100),2)</f>
        <v>0</v>
      </c>
      <c r="G19474" s="30"/>
    </row>
    <row r="19475" spans="1:7" ht="30.60" thickBot="1" customHeight="1">
      <c r="A19475" s="34" t="s">
        <v>59661</v>
      </c>
      <c r="B19475" s="35" t="s">
        <v>59662</v>
      </c>
      <c r="C19475" s="35" t="s">
        <v>59663</v>
      </c>
      <c r="D19475" s="36" t="s">
        <v>59664</v>
      </c>
      <c r="E19475" s="37"/>
      <c r="F19475" s="38">
        <f ca="1">F19485</f>
        <v>0</v>
      </c>
      <c r="G19475" s="37"/>
    </row>
    <row r="19476" spans="1:7" ht="21.36" thickBot="1" customHeight="1">
      <c r="A19476" s="26"/>
      <c r="B19476" s="26"/>
      <c r="C19476" s="26"/>
      <c r="D19476" s="25" t="s">
        <v>59665</v>
      </c>
      <c r="E19476" s="25"/>
      <c r="F19476" s="25"/>
      <c r="G19476" s="25"/>
    </row>
    <row r="19477" spans="1:7" ht="30.60" thickBot="1" customHeight="1">
      <c r="A19477" s="24" t="s">
        <v>59666</v>
      </c>
      <c r="B19477" s="24" t="s">
        <v>59667</v>
      </c>
      <c r="C19477" s="24" t="s">
        <v>59668</v>
      </c>
      <c r="D19477" s="25" t="s">
        <v>59669</v>
      </c>
      <c r="E19477" s="28">
        <v>0.20000</v>
      </c>
      <c r="F19477" s="29">
        <f ca="1">ROUND(3.080,3)</f>
        <v>0</v>
      </c>
      <c r="G19477" s="27">
        <f ca="1">ROUND(E19477*F19477,2)</f>
        <v>0</v>
      </c>
    </row>
    <row r="19478" spans="1:7" ht="21.36" thickBot="1" customHeight="1">
      <c r="A19478" s="24" t="s">
        <v>59670</v>
      </c>
      <c r="B19478" s="24" t="s">
        <v>59671</v>
      </c>
      <c r="C19478" s="24" t="s">
        <v>59672</v>
      </c>
      <c r="D19478" s="25" t="s">
        <v>59673</v>
      </c>
      <c r="E19478" s="28">
        <v>0.10000</v>
      </c>
      <c r="F19478" s="29">
        <f ca="1">ROUND(2.000,3)</f>
        <v>0</v>
      </c>
      <c r="G19478" s="27">
        <f ca="1">ROUND(E19478*F19478,2)</f>
        <v>0</v>
      </c>
    </row>
    <row r="19479" spans="1:7" ht="30.60" thickBot="1" customHeight="1">
      <c r="A19479" s="24" t="s">
        <v>59674</v>
      </c>
      <c r="B19479" s="24" t="s">
        <v>59675</v>
      </c>
      <c r="C19479" s="24" t="s">
        <v>59676</v>
      </c>
      <c r="D19479" s="25" t="s">
        <v>59677</v>
      </c>
      <c r="E19479" s="28">
        <v>0.02500</v>
      </c>
      <c r="F19479" s="29">
        <f ca="1">ROUND(4.920,3)</f>
        <v>0</v>
      </c>
      <c r="G19479" s="27">
        <f ca="1">ROUND(E19479*F19479,2)</f>
        <v>0</v>
      </c>
    </row>
    <row r="19480" spans="1:7" ht="21.36" thickBot="1" customHeight="1">
      <c r="A19480" s="24" t="s">
        <v>59678</v>
      </c>
      <c r="B19480" s="24" t="s">
        <v>59679</v>
      </c>
      <c r="C19480" s="24" t="s">
        <v>59680</v>
      </c>
      <c r="D19480" s="25" t="s">
        <v>59681</v>
      </c>
      <c r="E19480" s="28">
        <v>0.15000</v>
      </c>
      <c r="F19480" s="29">
        <f ca="1">F19483</f>
        <v>0</v>
      </c>
      <c r="G19480" s="27">
        <f ca="1">ROUND(E19480*F19480,2)</f>
        <v>0</v>
      </c>
    </row>
    <row r="19481" spans="1:7" ht="24.36" thickBot="1" customHeight="1">
      <c r="A19481" s="24" t="s">
        <v>59682</v>
      </c>
      <c r="B19481" s="24" t="s">
        <v>59683</v>
      </c>
      <c r="C19481" s="24" t="s">
        <v>59684</v>
      </c>
      <c r="D19481" s="25" t="s">
        <v>59685</v>
      </c>
      <c r="E19481" s="28">
        <v>1.00000</v>
      </c>
      <c r="F19481" s="29">
        <f ca="1">ROUND(21.000,3)</f>
        <v>0</v>
      </c>
      <c r="G19481" s="27">
        <f ca="1">ROUND(E19481*F19481,2)</f>
        <v>0</v>
      </c>
    </row>
    <row r="19482" spans="1:7" ht="24.36" thickBot="1" customHeight="1">
      <c r="A19482" s="24" t="s">
        <v>59686</v>
      </c>
      <c r="B19482" s="24" t="s">
        <v>59687</v>
      </c>
      <c r="C19482" s="24" t="s">
        <v>59688</v>
      </c>
      <c r="D19482" s="25" t="s">
        <v>59689</v>
      </c>
      <c r="E19482" s="28">
        <v>1.00000</v>
      </c>
      <c r="F19482" s="29">
        <f ca="1">ROUND(19.000,3)</f>
        <v>0</v>
      </c>
      <c r="G19482" s="27">
        <f ca="1">ROUND(E19482*F19482,2)</f>
        <v>0</v>
      </c>
    </row>
    <row r="19483" spans="1:7" ht="15.12" thickBot="1" customHeight="1">
      <c r="A19483" s="26"/>
      <c r="B19483" s="26"/>
      <c r="C19483" s="26"/>
      <c r="D19483" s="24" t="s">
        <v>59690</v>
      </c>
      <c r="E19483" s="28">
        <v>0.15000</v>
      </c>
      <c r="F19483" s="29">
        <f ca="1">ROUND((G19481+G19482),3)</f>
        <v>0</v>
      </c>
      <c r="G19483" s="27">
        <f ca="1">ROUND(E19483*F19483,2)</f>
        <v>0</v>
      </c>
    </row>
    <row r="19484" spans="1:7" ht="15.12" thickBot="1" customHeight="1">
      <c r="A19484" s="24" t="s">
        <v>59691</v>
      </c>
      <c r="B19484" s="24"/>
      <c r="C19484" s="24" t="s">
        <v>59692</v>
      </c>
      <c r="D19484" s="25" t="s">
        <v>59693</v>
      </c>
      <c r="E19484" s="28">
        <v>5.00000</v>
      </c>
      <c r="F19484" s="29">
        <f ca="1">ROUND(6.000,3)</f>
        <v>0</v>
      </c>
      <c r="G19484" s="27">
        <f ca="1">ROUND((E19484*F19484)/100,2)</f>
        <v>0</v>
      </c>
    </row>
    <row r="19485" spans="1:7" ht="15.48" thickBot="1" customHeight="1">
      <c r="A19485" s="30"/>
      <c r="B19485" s="30"/>
      <c r="C19485" s="30"/>
      <c r="D19485" s="31" t="s">
        <v>59694</v>
      </c>
      <c r="E19485" s="30"/>
      <c r="F19485" s="33">
        <f ca="1">ROUND((G19477+G19478+G19479+G19480+G19484)*(1+G2/100),2)</f>
        <v>0</v>
      </c>
      <c r="G19485" s="30"/>
    </row>
    <row r="19486" spans="1:7" ht="30.60" thickBot="1" customHeight="1">
      <c r="A19486" s="34" t="s">
        <v>59695</v>
      </c>
      <c r="B19486" s="35" t="s">
        <v>59696</v>
      </c>
      <c r="C19486" s="35" t="s">
        <v>59697</v>
      </c>
      <c r="D19486" s="36" t="s">
        <v>59698</v>
      </c>
      <c r="E19486" s="37"/>
      <c r="F19486" s="38">
        <f ca="1">F19495</f>
        <v>0</v>
      </c>
      <c r="G19486" s="37"/>
    </row>
    <row r="19487" spans="1:7" ht="12.12" thickBot="1" customHeight="1">
      <c r="A19487" s="26"/>
      <c r="B19487" s="26"/>
      <c r="C19487" s="26"/>
      <c r="D19487" s="25" t="s">
        <v>59699</v>
      </c>
      <c r="E19487" s="25"/>
      <c r="F19487" s="25"/>
      <c r="G19487" s="25"/>
    </row>
    <row r="19488" spans="1:7" ht="15.12" thickBot="1" customHeight="1">
      <c r="A19488" s="24" t="s">
        <v>59700</v>
      </c>
      <c r="B19488" s="24" t="s">
        <v>59701</v>
      </c>
      <c r="C19488" s="24" t="s">
        <v>59702</v>
      </c>
      <c r="D19488" s="25" t="s">
        <v>59703</v>
      </c>
      <c r="E19488" s="28">
        <v>0.50000</v>
      </c>
      <c r="F19488" s="29">
        <f ca="1">ROUND(140.000,3)</f>
        <v>0</v>
      </c>
      <c r="G19488" s="27">
        <f ca="1">ROUND(E19488*F19488,2)</f>
        <v>0</v>
      </c>
    </row>
    <row r="19489" spans="1:7" ht="15.12" thickBot="1" customHeight="1">
      <c r="A19489" s="24" t="s">
        <v>59704</v>
      </c>
      <c r="B19489" s="24" t="s">
        <v>59705</v>
      </c>
      <c r="C19489" s="24" t="s">
        <v>59706</v>
      </c>
      <c r="D19489" s="25" t="s">
        <v>59707</v>
      </c>
      <c r="E19489" s="28">
        <v>0.50000</v>
      </c>
      <c r="F19489" s="29">
        <f ca="1">ROUND(140.000,3)</f>
        <v>0</v>
      </c>
      <c r="G19489" s="27">
        <f ca="1">ROUND(E19489*F19489,2)</f>
        <v>0</v>
      </c>
    </row>
    <row r="19490" spans="1:7" ht="21.36" thickBot="1" customHeight="1">
      <c r="A19490" s="24" t="s">
        <v>59708</v>
      </c>
      <c r="B19490" s="24" t="s">
        <v>59709</v>
      </c>
      <c r="C19490" s="24" t="s">
        <v>59710</v>
      </c>
      <c r="D19490" s="25" t="s">
        <v>59711</v>
      </c>
      <c r="E19490" s="28">
        <v>2.00000</v>
      </c>
      <c r="F19490" s="29">
        <f ca="1">F19494</f>
        <v>0</v>
      </c>
      <c r="G19490" s="27">
        <f ca="1">ROUND(E19490*F19490,2)</f>
        <v>0</v>
      </c>
    </row>
    <row r="19491" spans="1:7" ht="24.36" thickBot="1" customHeight="1">
      <c r="A19491" s="24" t="s">
        <v>59712</v>
      </c>
      <c r="B19491" s="24" t="s">
        <v>59713</v>
      </c>
      <c r="C19491" s="24" t="s">
        <v>59714</v>
      </c>
      <c r="D19491" s="25" t="s">
        <v>59715</v>
      </c>
      <c r="E19491" s="28">
        <v>1.00000</v>
      </c>
      <c r="F19491" s="29">
        <f ca="1">ROUND(21.000,3)</f>
        <v>0</v>
      </c>
      <c r="G19491" s="27">
        <f ca="1">ROUND(E19491*F19491,2)</f>
        <v>0</v>
      </c>
    </row>
    <row r="19492" spans="1:7" ht="24.36" thickBot="1" customHeight="1">
      <c r="A19492" s="24" t="s">
        <v>59716</v>
      </c>
      <c r="B19492" s="24" t="s">
        <v>59717</v>
      </c>
      <c r="C19492" s="24" t="s">
        <v>59718</v>
      </c>
      <c r="D19492" s="25" t="s">
        <v>59719</v>
      </c>
      <c r="E19492" s="28">
        <v>1.00000</v>
      </c>
      <c r="F19492" s="29">
        <f ca="1">ROUND(19.000,3)</f>
        <v>0</v>
      </c>
      <c r="G19492" s="27">
        <f ca="1">ROUND(E19492*F19492,2)</f>
        <v>0</v>
      </c>
    </row>
    <row r="19493" spans="1:7" ht="24.36" thickBot="1" customHeight="1">
      <c r="A19493" s="24" t="s">
        <v>59720</v>
      </c>
      <c r="B19493" s="24" t="s">
        <v>59721</v>
      </c>
      <c r="C19493" s="24" t="s">
        <v>59722</v>
      </c>
      <c r="D19493" s="25" t="s">
        <v>59723</v>
      </c>
      <c r="E19493" s="28">
        <v>0.20000</v>
      </c>
      <c r="F19493" s="29">
        <f ca="1">ROUND(19.000,3)</f>
        <v>0</v>
      </c>
      <c r="G19493" s="27">
        <f ca="1">ROUND(E19493*F19493,2)</f>
        <v>0</v>
      </c>
    </row>
    <row r="19494" spans="1:7" ht="15.12" thickBot="1" customHeight="1">
      <c r="A19494" s="26"/>
      <c r="B19494" s="26"/>
      <c r="C19494" s="26"/>
      <c r="D19494" s="24" t="s">
        <v>59724</v>
      </c>
      <c r="E19494" s="28">
        <v>2.00000</v>
      </c>
      <c r="F19494" s="29">
        <f ca="1">ROUND((G19491+G19492+G19493),3)</f>
        <v>0</v>
      </c>
      <c r="G19494" s="27">
        <f ca="1">ROUND(E19494*F19494,2)</f>
        <v>0</v>
      </c>
    </row>
    <row r="19495" spans="1:7" ht="15.48" thickBot="1" customHeight="1">
      <c r="A19495" s="30"/>
      <c r="B19495" s="30"/>
      <c r="C19495" s="30"/>
      <c r="D19495" s="31" t="s">
        <v>59725</v>
      </c>
      <c r="E19495" s="30"/>
      <c r="F19495" s="33">
        <f ca="1">ROUND((G19488+G19489+G19490)*(1+G2/100),2)</f>
        <v>0</v>
      </c>
      <c r="G19495" s="30"/>
    </row>
    <row r="19496" spans="1:7" ht="34.68" thickBot="1" customHeight="1">
      <c r="A19496" s="34" t="s">
        <v>59726</v>
      </c>
      <c r="B19496" s="35" t="s">
        <v>59727</v>
      </c>
      <c r="C19496" s="35" t="s">
        <v>59728</v>
      </c>
      <c r="D19496" s="36" t="s">
        <v>59729</v>
      </c>
      <c r="E19496" s="37"/>
      <c r="F19496" s="38">
        <f ca="1">F19514</f>
        <v>0</v>
      </c>
      <c r="G19496" s="37"/>
    </row>
    <row r="19497" spans="1:7" ht="243.12" thickBot="1" customHeight="1">
      <c r="A19497" s="26"/>
      <c r="B19497" s="26"/>
      <c r="C19497" s="26"/>
      <c r="D19497" s="25" t="s">
        <v>59730</v>
      </c>
      <c r="E19497" s="25"/>
      <c r="F19497" s="25"/>
      <c r="G19497" s="25"/>
    </row>
    <row r="19498" spans="1:7" ht="30.60" thickBot="1" customHeight="1">
      <c r="A19498" s="24" t="s">
        <v>59731</v>
      </c>
      <c r="B19498" s="24" t="s">
        <v>59732</v>
      </c>
      <c r="C19498" s="24" t="s">
        <v>59733</v>
      </c>
      <c r="D19498" s="25" t="s">
        <v>59734</v>
      </c>
      <c r="E19498" s="28">
        <v>0.95000</v>
      </c>
      <c r="F19498" s="29">
        <f ca="1">ROUND(1.220,3)</f>
        <v>0</v>
      </c>
      <c r="G19498" s="27">
        <f ca="1">ROUND(E19498*F19498,2)</f>
        <v>0</v>
      </c>
    </row>
    <row r="19499" spans="1:7" ht="39.84" thickBot="1" customHeight="1">
      <c r="A19499" s="24" t="s">
        <v>59735</v>
      </c>
      <c r="B19499" s="24" t="s">
        <v>59736</v>
      </c>
      <c r="C19499" s="24" t="s">
        <v>59737</v>
      </c>
      <c r="D19499" s="25" t="s">
        <v>59738</v>
      </c>
      <c r="E19499" s="28">
        <v>3.50000</v>
      </c>
      <c r="F19499" s="29">
        <f ca="1">ROUND(1.450,3)</f>
        <v>0</v>
      </c>
      <c r="G19499" s="27">
        <f ca="1">ROUND(E19499*F19499,2)</f>
        <v>0</v>
      </c>
    </row>
    <row r="19500" spans="1:7" ht="58.32" thickBot="1" customHeight="1">
      <c r="A19500" s="24" t="s">
        <v>59739</v>
      </c>
      <c r="B19500" s="24" t="s">
        <v>59740</v>
      </c>
      <c r="C19500" s="24" t="s">
        <v>59741</v>
      </c>
      <c r="D19500" s="25" t="s">
        <v>59742</v>
      </c>
      <c r="E19500" s="28">
        <v>1.72000</v>
      </c>
      <c r="F19500" s="29">
        <f ca="1">ROUND(0.220,3)</f>
        <v>0</v>
      </c>
      <c r="G19500" s="27">
        <f ca="1">ROUND(E19500*F19500,2)</f>
        <v>0</v>
      </c>
    </row>
    <row r="19501" spans="1:7" ht="58.32" thickBot="1" customHeight="1">
      <c r="A19501" s="24" t="s">
        <v>59743</v>
      </c>
      <c r="B19501" s="24" t="s">
        <v>59744</v>
      </c>
      <c r="C19501" s="24" t="s">
        <v>59745</v>
      </c>
      <c r="D19501" s="25" t="s">
        <v>59746</v>
      </c>
      <c r="E19501" s="28">
        <v>2.10000</v>
      </c>
      <c r="F19501" s="29">
        <f ca="1">ROUND(12.500,3)</f>
        <v>0</v>
      </c>
      <c r="G19501" s="27">
        <f ca="1">ROUND(E19501*F19501,2)</f>
        <v>0</v>
      </c>
    </row>
    <row r="19502" spans="1:7" ht="49.08" thickBot="1" customHeight="1">
      <c r="A19502" s="24" t="s">
        <v>59747</v>
      </c>
      <c r="B19502" s="24" t="s">
        <v>59748</v>
      </c>
      <c r="C19502" s="24" t="s">
        <v>59749</v>
      </c>
      <c r="D19502" s="25" t="s">
        <v>59750</v>
      </c>
      <c r="E19502" s="28">
        <v>3.00000</v>
      </c>
      <c r="F19502" s="29">
        <f ca="1">ROUND(0.010,3)</f>
        <v>0</v>
      </c>
      <c r="G19502" s="27">
        <f ca="1">ROUND(E19502*F19502,2)</f>
        <v>0</v>
      </c>
    </row>
    <row r="19503" spans="1:7" ht="67.56" thickBot="1" customHeight="1">
      <c r="A19503" s="24" t="s">
        <v>59751</v>
      </c>
      <c r="B19503" s="24" t="s">
        <v>59752</v>
      </c>
      <c r="C19503" s="24" t="s">
        <v>59753</v>
      </c>
      <c r="D19503" s="25" t="s">
        <v>59754</v>
      </c>
      <c r="E19503" s="28">
        <v>11.00000</v>
      </c>
      <c r="F19503" s="29">
        <f ca="1">ROUND(0.010,3)</f>
        <v>0</v>
      </c>
      <c r="G19503" s="27">
        <f ca="1">ROUND(E19503*F19503,2)</f>
        <v>0</v>
      </c>
    </row>
    <row r="19504" spans="1:7" ht="67.56" thickBot="1" customHeight="1">
      <c r="A19504" s="24" t="s">
        <v>59755</v>
      </c>
      <c r="B19504" s="24" t="s">
        <v>59756</v>
      </c>
      <c r="C19504" s="24" t="s">
        <v>59757</v>
      </c>
      <c r="D19504" s="25" t="s">
        <v>59758</v>
      </c>
      <c r="E19504" s="28">
        <v>21.00000</v>
      </c>
      <c r="F19504" s="29">
        <f ca="1">ROUND(0.010,3)</f>
        <v>0</v>
      </c>
      <c r="G19504" s="27">
        <f ca="1">ROUND(E19504*F19504,2)</f>
        <v>0</v>
      </c>
    </row>
    <row r="19505" spans="1:7" ht="76.80" thickBot="1" customHeight="1">
      <c r="A19505" s="24" t="s">
        <v>59759</v>
      </c>
      <c r="B19505" s="24" t="s">
        <v>59760</v>
      </c>
      <c r="C19505" s="24" t="s">
        <v>59761</v>
      </c>
      <c r="D19505" s="25" t="s">
        <v>59762</v>
      </c>
      <c r="E19505" s="28">
        <v>0.79200</v>
      </c>
      <c r="F19505" s="29">
        <f ca="1">ROUND(0.890,3)</f>
        <v>0</v>
      </c>
      <c r="G19505" s="27">
        <f ca="1">ROUND(E19505*F19505,2)</f>
        <v>0</v>
      </c>
    </row>
    <row r="19506" spans="1:7" ht="39.84" thickBot="1" customHeight="1">
      <c r="A19506" s="24" t="s">
        <v>59763</v>
      </c>
      <c r="B19506" s="24" t="s">
        <v>59764</v>
      </c>
      <c r="C19506" s="24" t="s">
        <v>59765</v>
      </c>
      <c r="D19506" s="25" t="s">
        <v>59766</v>
      </c>
      <c r="E19506" s="28">
        <v>2.60000</v>
      </c>
      <c r="F19506" s="29">
        <f ca="1">ROUND(0.040,3)</f>
        <v>0</v>
      </c>
      <c r="G19506" s="27">
        <f ca="1">ROUND(E19506*F19506,2)</f>
        <v>0</v>
      </c>
    </row>
    <row r="19507" spans="1:7" ht="39.84" thickBot="1" customHeight="1">
      <c r="A19507" s="24" t="s">
        <v>59767</v>
      </c>
      <c r="B19507" s="24" t="s">
        <v>59768</v>
      </c>
      <c r="C19507" s="24" t="s">
        <v>59769</v>
      </c>
      <c r="D19507" s="25" t="s">
        <v>59770</v>
      </c>
      <c r="E19507" s="28">
        <v>0.15000</v>
      </c>
      <c r="F19507" s="29">
        <f ca="1">ROUND(0.380,3)</f>
        <v>0</v>
      </c>
      <c r="G19507" s="27">
        <f ca="1">ROUND(E19507*F19507,2)</f>
        <v>0</v>
      </c>
    </row>
    <row r="19508" spans="1:7" ht="21.36" thickBot="1" customHeight="1">
      <c r="A19508" s="24" t="s">
        <v>59771</v>
      </c>
      <c r="B19508" s="24" t="s">
        <v>59772</v>
      </c>
      <c r="C19508" s="24" t="s">
        <v>59773</v>
      </c>
      <c r="D19508" s="25" t="s">
        <v>59774</v>
      </c>
      <c r="E19508" s="28">
        <v>0.50000</v>
      </c>
      <c r="F19508" s="29">
        <f ca="1">F19512</f>
        <v>0</v>
      </c>
      <c r="G19508" s="27">
        <f ca="1">ROUND(E19508*F19508,2)</f>
        <v>0</v>
      </c>
    </row>
    <row r="19509" spans="1:7" ht="24.36" thickBot="1" customHeight="1">
      <c r="A19509" s="24" t="s">
        <v>59775</v>
      </c>
      <c r="B19509" s="24" t="s">
        <v>59776</v>
      </c>
      <c r="C19509" s="24" t="s">
        <v>59777</v>
      </c>
      <c r="D19509" s="25" t="s">
        <v>59778</v>
      </c>
      <c r="E19509" s="28">
        <v>1.00000</v>
      </c>
      <c r="F19509" s="29">
        <f ca="1">ROUND(21.000,3)</f>
        <v>0</v>
      </c>
      <c r="G19509" s="27">
        <f ca="1">ROUND(E19509*F19509,2)</f>
        <v>0</v>
      </c>
    </row>
    <row r="19510" spans="1:7" ht="24.36" thickBot="1" customHeight="1">
      <c r="A19510" s="24" t="s">
        <v>59779</v>
      </c>
      <c r="B19510" s="24" t="s">
        <v>59780</v>
      </c>
      <c r="C19510" s="24" t="s">
        <v>59781</v>
      </c>
      <c r="D19510" s="25" t="s">
        <v>59782</v>
      </c>
      <c r="E19510" s="28">
        <v>1.00000</v>
      </c>
      <c r="F19510" s="29">
        <f ca="1">ROUND(19.000,3)</f>
        <v>0</v>
      </c>
      <c r="G19510" s="27">
        <f ca="1">ROUND(E19510*F19510,2)</f>
        <v>0</v>
      </c>
    </row>
    <row r="19511" spans="1:7" ht="24.36" thickBot="1" customHeight="1">
      <c r="A19511" s="24" t="s">
        <v>59783</v>
      </c>
      <c r="B19511" s="24" t="s">
        <v>59784</v>
      </c>
      <c r="C19511" s="24" t="s">
        <v>59785</v>
      </c>
      <c r="D19511" s="25" t="s">
        <v>59786</v>
      </c>
      <c r="E19511" s="28">
        <v>0.20000</v>
      </c>
      <c r="F19511" s="29">
        <f ca="1">ROUND(19.000,3)</f>
        <v>0</v>
      </c>
      <c r="G19511" s="27">
        <f ca="1">ROUND(E19511*F19511,2)</f>
        <v>0</v>
      </c>
    </row>
    <row r="19512" spans="1:7" ht="15.12" thickBot="1" customHeight="1">
      <c r="A19512" s="26"/>
      <c r="B19512" s="26"/>
      <c r="C19512" s="26"/>
      <c r="D19512" s="24" t="s">
        <v>59787</v>
      </c>
      <c r="E19512" s="28">
        <v>0.50000</v>
      </c>
      <c r="F19512" s="29">
        <f ca="1">ROUND((G19509+G19510+G19511),3)</f>
        <v>0</v>
      </c>
      <c r="G19512" s="27">
        <f ca="1">ROUND(E19512*F19512,2)</f>
        <v>0</v>
      </c>
    </row>
    <row r="19513" spans="1:7" ht="15.12" thickBot="1" customHeight="1">
      <c r="A19513" s="24" t="s">
        <v>59788</v>
      </c>
      <c r="B19513" s="24"/>
      <c r="C19513" s="24" t="s">
        <v>59789</v>
      </c>
      <c r="D19513" s="25" t="s">
        <v>59790</v>
      </c>
      <c r="E19513" s="28">
        <v>3.00000</v>
      </c>
      <c r="F19513" s="29">
        <f ca="1">ROUND(55.980,3)</f>
        <v>0</v>
      </c>
      <c r="G19513" s="27">
        <f ca="1">ROUND((E19513*F19513)/100,2)</f>
        <v>0</v>
      </c>
    </row>
    <row r="19514" spans="1:7" ht="25.08" thickBot="1" customHeight="1">
      <c r="A19514" s="30"/>
      <c r="B19514" s="30"/>
      <c r="C19514" s="30"/>
      <c r="D19514" s="31" t="s">
        <v>59791</v>
      </c>
      <c r="E19514" s="30"/>
      <c r="F19514" s="33">
        <f ca="1">ROUND((G19498+G19499+G19500+G19501+G19502+G19503+G19504+G19505+G19506+G19507+G19508+G19513)*(1+G2/100),2)</f>
        <v>0</v>
      </c>
      <c r="G19514" s="30"/>
    </row>
    <row r="19515" spans="1:7" ht="39.84" thickBot="1" customHeight="1">
      <c r="A19515" s="34" t="s">
        <v>59792</v>
      </c>
      <c r="B19515" s="35" t="s">
        <v>59793</v>
      </c>
      <c r="C19515" s="35" t="s">
        <v>59794</v>
      </c>
      <c r="D19515" s="36" t="s">
        <v>59795</v>
      </c>
      <c r="E19515" s="37"/>
      <c r="F19515" s="38">
        <f ca="1">F19526</f>
        <v>0</v>
      </c>
      <c r="G19515" s="37"/>
    </row>
    <row r="19516" spans="1:7" ht="21.36" thickBot="1" customHeight="1">
      <c r="A19516" s="26"/>
      <c r="B19516" s="26"/>
      <c r="C19516" s="26"/>
      <c r="D19516" s="25" t="s">
        <v>59796</v>
      </c>
      <c r="E19516" s="25"/>
      <c r="F19516" s="25"/>
      <c r="G19516" s="25"/>
    </row>
    <row r="19517" spans="1:7" ht="30.60" thickBot="1" customHeight="1">
      <c r="A19517" s="24" t="s">
        <v>59797</v>
      </c>
      <c r="B19517" s="24" t="s">
        <v>59798</v>
      </c>
      <c r="C19517" s="24" t="s">
        <v>59799</v>
      </c>
      <c r="D19517" s="25" t="s">
        <v>59800</v>
      </c>
      <c r="E19517" s="28">
        <v>1.10000</v>
      </c>
      <c r="F19517" s="29">
        <f ca="1">ROUND(37.140,3)</f>
        <v>0</v>
      </c>
      <c r="G19517" s="27">
        <f ca="1">ROUND(E19517*F19517,2)</f>
        <v>0</v>
      </c>
    </row>
    <row r="19518" spans="1:7" ht="30.60" thickBot="1" customHeight="1">
      <c r="A19518" s="24" t="s">
        <v>59801</v>
      </c>
      <c r="B19518" s="24" t="s">
        <v>59802</v>
      </c>
      <c r="C19518" s="24" t="s">
        <v>59803</v>
      </c>
      <c r="D19518" s="25" t="s">
        <v>59804</v>
      </c>
      <c r="E19518" s="28">
        <v>0.06000</v>
      </c>
      <c r="F19518" s="29">
        <f ca="1">ROUND(82.110,3)</f>
        <v>0</v>
      </c>
      <c r="G19518" s="27">
        <f ca="1">ROUND(E19518*F19518,2)</f>
        <v>0</v>
      </c>
    </row>
    <row r="19519" spans="1:7" ht="30.60" thickBot="1" customHeight="1">
      <c r="A19519" s="24" t="s">
        <v>59805</v>
      </c>
      <c r="B19519" s="24" t="s">
        <v>59806</v>
      </c>
      <c r="C19519" s="24" t="s">
        <v>59807</v>
      </c>
      <c r="D19519" s="25" t="s">
        <v>59808</v>
      </c>
      <c r="E19519" s="28">
        <v>0.12500</v>
      </c>
      <c r="F19519" s="29">
        <f ca="1">ROUND(6.320,3)</f>
        <v>0</v>
      </c>
      <c r="G19519" s="27">
        <f ca="1">ROUND(E19519*F19519,2)</f>
        <v>0</v>
      </c>
    </row>
    <row r="19520" spans="1:7" ht="21.36" thickBot="1" customHeight="1">
      <c r="A19520" s="24" t="s">
        <v>59809</v>
      </c>
      <c r="B19520" s="24" t="s">
        <v>59810</v>
      </c>
      <c r="C19520" s="24" t="s">
        <v>59811</v>
      </c>
      <c r="D19520" s="25" t="s">
        <v>59812</v>
      </c>
      <c r="E19520" s="28">
        <v>0.28000</v>
      </c>
      <c r="F19520" s="29">
        <f ca="1">F19524</f>
        <v>0</v>
      </c>
      <c r="G19520" s="27">
        <f ca="1">ROUND(E19520*F19520,2)</f>
        <v>0</v>
      </c>
    </row>
    <row r="19521" spans="1:7" ht="24.36" thickBot="1" customHeight="1">
      <c r="A19521" s="24" t="s">
        <v>59813</v>
      </c>
      <c r="B19521" s="24" t="s">
        <v>59814</v>
      </c>
      <c r="C19521" s="24" t="s">
        <v>59815</v>
      </c>
      <c r="D19521" s="25" t="s">
        <v>59816</v>
      </c>
      <c r="E19521" s="28">
        <v>1.00000</v>
      </c>
      <c r="F19521" s="29">
        <f ca="1">ROUND(21.000,3)</f>
        <v>0</v>
      </c>
      <c r="G19521" s="27">
        <f ca="1">ROUND(E19521*F19521,2)</f>
        <v>0</v>
      </c>
    </row>
    <row r="19522" spans="1:7" ht="24.36" thickBot="1" customHeight="1">
      <c r="A19522" s="24" t="s">
        <v>59817</v>
      </c>
      <c r="B19522" s="24" t="s">
        <v>59818</v>
      </c>
      <c r="C19522" s="24" t="s">
        <v>59819</v>
      </c>
      <c r="D19522" s="25" t="s">
        <v>59820</v>
      </c>
      <c r="E19522" s="28">
        <v>1.00000</v>
      </c>
      <c r="F19522" s="29">
        <f ca="1">ROUND(19.000,3)</f>
        <v>0</v>
      </c>
      <c r="G19522" s="27">
        <f ca="1">ROUND(E19522*F19522,2)</f>
        <v>0</v>
      </c>
    </row>
    <row r="19523" spans="1:7" ht="24.36" thickBot="1" customHeight="1">
      <c r="A19523" s="24" t="s">
        <v>59821</v>
      </c>
      <c r="B19523" s="24" t="s">
        <v>59822</v>
      </c>
      <c r="C19523" s="24" t="s">
        <v>59823</v>
      </c>
      <c r="D19523" s="25" t="s">
        <v>59824</v>
      </c>
      <c r="E19523" s="28">
        <v>0.20000</v>
      </c>
      <c r="F19523" s="29">
        <f ca="1">ROUND(19.000,3)</f>
        <v>0</v>
      </c>
      <c r="G19523" s="27">
        <f ca="1">ROUND(E19523*F19523,2)</f>
        <v>0</v>
      </c>
    </row>
    <row r="19524" spans="1:7" ht="15.12" thickBot="1" customHeight="1">
      <c r="A19524" s="26"/>
      <c r="B19524" s="26"/>
      <c r="C19524" s="26"/>
      <c r="D19524" s="24" t="s">
        <v>59825</v>
      </c>
      <c r="E19524" s="28">
        <v>0.28000</v>
      </c>
      <c r="F19524" s="29">
        <f ca="1">ROUND((G19521+G19522+G19523),3)</f>
        <v>0</v>
      </c>
      <c r="G19524" s="27">
        <f ca="1">ROUND(E19524*F19524,2)</f>
        <v>0</v>
      </c>
    </row>
    <row r="19525" spans="1:7" ht="15.12" thickBot="1" customHeight="1">
      <c r="A19525" s="24" t="s">
        <v>59826</v>
      </c>
      <c r="B19525" s="24"/>
      <c r="C19525" s="24" t="s">
        <v>59827</v>
      </c>
      <c r="D19525" s="25" t="s">
        <v>59828</v>
      </c>
      <c r="E19525" s="28">
        <v>5.00000</v>
      </c>
      <c r="F19525" s="29">
        <f ca="1">ROUND(12.260,3)</f>
        <v>0</v>
      </c>
      <c r="G19525" s="27">
        <f ca="1">ROUND((E19525*F19525)/100,2)</f>
        <v>0</v>
      </c>
    </row>
    <row r="19526" spans="1:7" ht="15.48" thickBot="1" customHeight="1">
      <c r="A19526" s="30"/>
      <c r="B19526" s="30"/>
      <c r="C19526" s="30"/>
      <c r="D19526" s="31" t="s">
        <v>59829</v>
      </c>
      <c r="E19526" s="30"/>
      <c r="F19526" s="33">
        <f ca="1">ROUND((G19517+G19518+G19519+G19520+G19525)*(1+G2/100),2)</f>
        <v>0</v>
      </c>
      <c r="G19526" s="30"/>
    </row>
    <row r="19527" spans="1:7" ht="25.08" thickBot="1" customHeight="1">
      <c r="A19527" s="34" t="s">
        <v>59830</v>
      </c>
      <c r="B19527" s="35" t="s">
        <v>59831</v>
      </c>
      <c r="C19527" s="35" t="s">
        <v>59832</v>
      </c>
      <c r="D19527" s="36" t="s">
        <v>59833</v>
      </c>
      <c r="E19527" s="37"/>
      <c r="F19527" s="38">
        <f ca="1">F19537</f>
        <v>0</v>
      </c>
      <c r="G19527" s="37"/>
    </row>
    <row r="19528" spans="1:7" ht="86.04" thickBot="1" customHeight="1">
      <c r="A19528" s="26"/>
      <c r="B19528" s="26"/>
      <c r="C19528" s="26"/>
      <c r="D19528" s="25" t="s">
        <v>59834</v>
      </c>
      <c r="E19528" s="25"/>
      <c r="F19528" s="25"/>
      <c r="G19528" s="25"/>
    </row>
    <row r="19529" spans="1:7" ht="30.60" thickBot="1" customHeight="1">
      <c r="A19529" s="24" t="s">
        <v>59835</v>
      </c>
      <c r="B19529" s="24" t="s">
        <v>59836</v>
      </c>
      <c r="C19529" s="24" t="s">
        <v>59837</v>
      </c>
      <c r="D19529" s="25" t="s">
        <v>59838</v>
      </c>
      <c r="E19529" s="28">
        <v>0.00000</v>
      </c>
      <c r="F19529" s="29">
        <f ca="1">ROUND(5.150,3)</f>
        <v>0</v>
      </c>
      <c r="G19529" s="27">
        <f ca="1">ROUND(E19529*F19529,2)</f>
        <v>0</v>
      </c>
    </row>
    <row r="19530" spans="1:7" ht="21.36" thickBot="1" customHeight="1">
      <c r="A19530" s="24" t="s">
        <v>59839</v>
      </c>
      <c r="B19530" s="24" t="s">
        <v>59840</v>
      </c>
      <c r="C19530" s="24" t="s">
        <v>59841</v>
      </c>
      <c r="D19530" s="25" t="s">
        <v>59842</v>
      </c>
      <c r="E19530" s="28">
        <v>0.05000</v>
      </c>
      <c r="F19530" s="29">
        <f ca="1">ROUND(7.000,3)</f>
        <v>0</v>
      </c>
      <c r="G19530" s="27">
        <f ca="1">ROUND(E19530*F19530,2)</f>
        <v>0</v>
      </c>
    </row>
    <row r="19531" spans="1:7" ht="21.36" thickBot="1" customHeight="1">
      <c r="A19531" s="24" t="s">
        <v>59843</v>
      </c>
      <c r="B19531" s="24" t="s">
        <v>59844</v>
      </c>
      <c r="C19531" s="24" t="s">
        <v>59845</v>
      </c>
      <c r="D19531" s="25" t="s">
        <v>59846</v>
      </c>
      <c r="E19531" s="28">
        <v>0.12000</v>
      </c>
      <c r="F19531" s="29">
        <f ca="1">F19535</f>
        <v>0</v>
      </c>
      <c r="G19531" s="27">
        <f ca="1">ROUND(E19531*F19531,2)</f>
        <v>0</v>
      </c>
    </row>
    <row r="19532" spans="1:7" ht="24.36" thickBot="1" customHeight="1">
      <c r="A19532" s="24" t="s">
        <v>59847</v>
      </c>
      <c r="B19532" s="24" t="s">
        <v>59848</v>
      </c>
      <c r="C19532" s="24" t="s">
        <v>59849</v>
      </c>
      <c r="D19532" s="25" t="s">
        <v>59850</v>
      </c>
      <c r="E19532" s="28">
        <v>1.00000</v>
      </c>
      <c r="F19532" s="29">
        <f ca="1">ROUND(21.000,3)</f>
        <v>0</v>
      </c>
      <c r="G19532" s="27">
        <f ca="1">ROUND(E19532*F19532,2)</f>
        <v>0</v>
      </c>
    </row>
    <row r="19533" spans="1:7" ht="24.36" thickBot="1" customHeight="1">
      <c r="A19533" s="24" t="s">
        <v>59851</v>
      </c>
      <c r="B19533" s="24" t="s">
        <v>59852</v>
      </c>
      <c r="C19533" s="24" t="s">
        <v>59853</v>
      </c>
      <c r="D19533" s="25" t="s">
        <v>59854</v>
      </c>
      <c r="E19533" s="28">
        <v>1.00000</v>
      </c>
      <c r="F19533" s="29">
        <f ca="1">ROUND(19.000,3)</f>
        <v>0</v>
      </c>
      <c r="G19533" s="27">
        <f ca="1">ROUND(E19533*F19533,2)</f>
        <v>0</v>
      </c>
    </row>
    <row r="19534" spans="1:7" ht="24.36" thickBot="1" customHeight="1">
      <c r="A19534" s="24" t="s">
        <v>59855</v>
      </c>
      <c r="B19534" s="24" t="s">
        <v>59856</v>
      </c>
      <c r="C19534" s="24" t="s">
        <v>59857</v>
      </c>
      <c r="D19534" s="25" t="s">
        <v>59858</v>
      </c>
      <c r="E19534" s="28">
        <v>0.20000</v>
      </c>
      <c r="F19534" s="29">
        <f ca="1">ROUND(19.000,3)</f>
        <v>0</v>
      </c>
      <c r="G19534" s="27">
        <f ca="1">ROUND(E19534*F19534,2)</f>
        <v>0</v>
      </c>
    </row>
    <row r="19535" spans="1:7" ht="15.12" thickBot="1" customHeight="1">
      <c r="A19535" s="26"/>
      <c r="B19535" s="26"/>
      <c r="C19535" s="26"/>
      <c r="D19535" s="24" t="s">
        <v>59859</v>
      </c>
      <c r="E19535" s="28">
        <v>0.12000</v>
      </c>
      <c r="F19535" s="29">
        <f ca="1">ROUND((G19532+G19533+G19534),3)</f>
        <v>0</v>
      </c>
      <c r="G19535" s="27">
        <f ca="1">ROUND(E19535*F19535,2)</f>
        <v>0</v>
      </c>
    </row>
    <row r="19536" spans="1:7" ht="15.12" thickBot="1" customHeight="1">
      <c r="A19536" s="24" t="s">
        <v>59860</v>
      </c>
      <c r="B19536" s="24"/>
      <c r="C19536" s="24" t="s">
        <v>59861</v>
      </c>
      <c r="D19536" s="25" t="s">
        <v>59862</v>
      </c>
      <c r="E19536" s="28">
        <v>2.00000</v>
      </c>
      <c r="F19536" s="29">
        <f ca="1">ROUND(5.610,3)</f>
        <v>0</v>
      </c>
      <c r="G19536" s="27">
        <f ca="1">ROUND((E19536*F19536)/100,2)</f>
        <v>0</v>
      </c>
    </row>
    <row r="19537" spans="1:7" ht="15.48" thickBot="1" customHeight="1">
      <c r="A19537" s="30"/>
      <c r="B19537" s="30"/>
      <c r="C19537" s="30"/>
      <c r="D19537" s="31" t="s">
        <v>59863</v>
      </c>
      <c r="E19537" s="30"/>
      <c r="F19537" s="33">
        <f ca="1">ROUND((G19529+G19530+G19531+G19536)*(1+G2/100),2)</f>
        <v>0</v>
      </c>
      <c r="G19537" s="30"/>
    </row>
    <row r="19538" spans="1:7" ht="15.48" thickBot="1" customHeight="1">
      <c r="A19538" s="39"/>
      <c r="B19538" s="39"/>
      <c r="C19538" s="39"/>
      <c r="D19538" s="55" t="s">
        <v>59864</v>
      </c>
      <c r="E19538" s="56"/>
      <c r="F19538" s="56"/>
      <c r="G19538" s="56"/>
    </row>
    <row r="19539" spans="1:7" ht="15.48" thickBot="1" customHeight="1">
      <c r="A19539" s="57" t="s">
        <v>59865</v>
      </c>
      <c r="B19539" s="57" t="s">
        <v>59866</v>
      </c>
      <c r="C19539" s="58"/>
      <c r="D19539" s="59" t="s">
        <v>59867</v>
      </c>
      <c r="E19539" s="58"/>
      <c r="F19539" s="58"/>
      <c r="G19539" s="58"/>
    </row>
    <row r="19540" spans="1:7" ht="21.36" thickBot="1" customHeight="1">
      <c r="A19540" s="10" t="s">
        <v>59868</v>
      </c>
      <c r="B19540" s="24" t="s">
        <v>59869</v>
      </c>
      <c r="C19540" s="24" t="s">
        <v>59870</v>
      </c>
      <c r="D19540" s="25" t="s">
        <v>59871</v>
      </c>
      <c r="E19540" s="26"/>
      <c r="F19540" s="27">
        <f ca="1">F19543</f>
        <v>0</v>
      </c>
      <c r="G19540" s="26"/>
    </row>
    <row r="19541" spans="1:7" ht="30.60" thickBot="1" customHeight="1">
      <c r="A19541" s="26"/>
      <c r="B19541" s="26"/>
      <c r="C19541" s="26"/>
      <c r="D19541" s="25" t="s">
        <v>59872</v>
      </c>
      <c r="E19541" s="25"/>
      <c r="F19541" s="25"/>
      <c r="G19541" s="25"/>
    </row>
    <row r="19542" spans="1:7" ht="15.12" thickBot="1" customHeight="1">
      <c r="A19542" s="24" t="s">
        <v>59873</v>
      </c>
      <c r="B19542" s="24" t="s">
        <v>59874</v>
      </c>
      <c r="C19542" s="24" t="s">
        <v>59875</v>
      </c>
      <c r="D19542" s="25" t="s">
        <v>59876</v>
      </c>
      <c r="E19542" s="28">
        <v>0.01500</v>
      </c>
      <c r="F19542" s="29">
        <f ca="1">ROUND(0.000,3)</f>
        <v>0</v>
      </c>
      <c r="G19542" s="27">
        <f ca="1">ROUND(E19542*F19542,2)</f>
        <v>0</v>
      </c>
    </row>
    <row r="19543" spans="1:7" ht="15.48" thickBot="1" customHeight="1">
      <c r="A19543" s="30"/>
      <c r="B19543" s="30"/>
      <c r="C19543" s="30"/>
      <c r="D19543" s="31" t="s">
        <v>59877</v>
      </c>
      <c r="E19543" s="30"/>
      <c r="F19543" s="33">
        <f ca="1">ROUND((G19542)*(1+G2/100),2)</f>
        <v>0</v>
      </c>
      <c r="G19543" s="30"/>
    </row>
    <row r="19544" spans="1:7" ht="21.36" thickBot="1" customHeight="1">
      <c r="A19544" s="34" t="s">
        <v>59878</v>
      </c>
      <c r="B19544" s="35" t="s">
        <v>59879</v>
      </c>
      <c r="C19544" s="35" t="s">
        <v>59880</v>
      </c>
      <c r="D19544" s="36" t="s">
        <v>59881</v>
      </c>
      <c r="E19544" s="37"/>
      <c r="F19544" s="38">
        <f ca="1">F19547</f>
        <v>0</v>
      </c>
      <c r="G19544" s="37"/>
    </row>
    <row r="19545" spans="1:7" ht="21.36" thickBot="1" customHeight="1">
      <c r="A19545" s="26"/>
      <c r="B19545" s="26"/>
      <c r="C19545" s="26"/>
      <c r="D19545" s="25" t="s">
        <v>59882</v>
      </c>
      <c r="E19545" s="25"/>
      <c r="F19545" s="25"/>
      <c r="G19545" s="25"/>
    </row>
    <row r="19546" spans="1:7" ht="21.36" thickBot="1" customHeight="1">
      <c r="A19546" s="24" t="s">
        <v>59883</v>
      </c>
      <c r="B19546" s="24" t="s">
        <v>59884</v>
      </c>
      <c r="C19546" s="24" t="s">
        <v>59885</v>
      </c>
      <c r="D19546" s="25" t="s">
        <v>59886</v>
      </c>
      <c r="E19546" s="28">
        <v>1.00000</v>
      </c>
      <c r="F19546" s="29">
        <f ca="1">ROUND(300.000,3)</f>
        <v>0</v>
      </c>
      <c r="G19546" s="27">
        <f ca="1">ROUND(E19546*F19546,2)</f>
        <v>0</v>
      </c>
    </row>
    <row r="19547" spans="1:7" ht="15.48" thickBot="1" customHeight="1">
      <c r="A19547" s="30"/>
      <c r="B19547" s="30"/>
      <c r="C19547" s="30"/>
      <c r="D19547" s="31" t="s">
        <v>59887</v>
      </c>
      <c r="E19547" s="30"/>
      <c r="F19547" s="33">
        <f ca="1">ROUND((G19546)*(1+G2/100),2)</f>
        <v>0</v>
      </c>
      <c r="G19547" s="30"/>
    </row>
    <row r="19548" spans="1:7" ht="15.48" thickBot="1" customHeight="1">
      <c r="A19548" s="34" t="s">
        <v>59888</v>
      </c>
      <c r="B19548" s="35" t="s">
        <v>59889</v>
      </c>
      <c r="C19548" s="35" t="s">
        <v>59890</v>
      </c>
      <c r="D19548" s="36" t="s">
        <v>59891</v>
      </c>
      <c r="E19548" s="37"/>
      <c r="F19548" s="38">
        <f ca="1">F19557</f>
        <v>0</v>
      </c>
      <c r="G19548" s="37"/>
    </row>
    <row r="19549" spans="1:7" ht="49.08" thickBot="1" customHeight="1">
      <c r="A19549" s="26"/>
      <c r="B19549" s="26"/>
      <c r="C19549" s="26"/>
      <c r="D19549" s="25" t="s">
        <v>59892</v>
      </c>
      <c r="E19549" s="25"/>
      <c r="F19549" s="25"/>
      <c r="G19549" s="25"/>
    </row>
    <row r="19550" spans="1:7" ht="113.76" thickBot="1" customHeight="1">
      <c r="A19550" s="24" t="s">
        <v>59893</v>
      </c>
      <c r="B19550" s="24" t="s">
        <v>59894</v>
      </c>
      <c r="C19550" s="24" t="s">
        <v>59895</v>
      </c>
      <c r="D19550" s="25" t="s">
        <v>59896</v>
      </c>
      <c r="E19550" s="28">
        <v>1.00000</v>
      </c>
      <c r="F19550" s="29">
        <f ca="1">ROUND(125.000,3)</f>
        <v>0</v>
      </c>
      <c r="G19550" s="27">
        <f ca="1">ROUND(E19550*F19550,2)</f>
        <v>0</v>
      </c>
    </row>
    <row r="19551" spans="1:7" ht="21.36" thickBot="1" customHeight="1">
      <c r="A19551" s="24" t="s">
        <v>59897</v>
      </c>
      <c r="B19551" s="24" t="s">
        <v>59898</v>
      </c>
      <c r="C19551" s="24" t="s">
        <v>59899</v>
      </c>
      <c r="D19551" s="25" t="s">
        <v>59900</v>
      </c>
      <c r="E19551" s="28">
        <v>0.15000</v>
      </c>
      <c r="F19551" s="29">
        <f ca="1">F19555</f>
        <v>0</v>
      </c>
      <c r="G19551" s="27">
        <f ca="1">ROUND(E19551*F19551,2)</f>
        <v>0</v>
      </c>
    </row>
    <row r="19552" spans="1:7" ht="24.36" thickBot="1" customHeight="1">
      <c r="A19552" s="24" t="s">
        <v>59901</v>
      </c>
      <c r="B19552" s="24" t="s">
        <v>59902</v>
      </c>
      <c r="C19552" s="24" t="s">
        <v>59903</v>
      </c>
      <c r="D19552" s="25" t="s">
        <v>59904</v>
      </c>
      <c r="E19552" s="28">
        <v>1.00000</v>
      </c>
      <c r="F19552" s="29">
        <f ca="1">ROUND(21.000,3)</f>
        <v>0</v>
      </c>
      <c r="G19552" s="27">
        <f ca="1">ROUND(E19552*F19552,2)</f>
        <v>0</v>
      </c>
    </row>
    <row r="19553" spans="1:7" ht="24.36" thickBot="1" customHeight="1">
      <c r="A19553" s="24" t="s">
        <v>59905</v>
      </c>
      <c r="B19553" s="24" t="s">
        <v>59906</v>
      </c>
      <c r="C19553" s="24" t="s">
        <v>59907</v>
      </c>
      <c r="D19553" s="25" t="s">
        <v>59908</v>
      </c>
      <c r="E19553" s="28">
        <v>1.00000</v>
      </c>
      <c r="F19553" s="29">
        <f ca="1">ROUND(19.000,3)</f>
        <v>0</v>
      </c>
      <c r="G19553" s="27">
        <f ca="1">ROUND(E19553*F19553,2)</f>
        <v>0</v>
      </c>
    </row>
    <row r="19554" spans="1:7" ht="24.36" thickBot="1" customHeight="1">
      <c r="A19554" s="24" t="s">
        <v>59909</v>
      </c>
      <c r="B19554" s="24" t="s">
        <v>59910</v>
      </c>
      <c r="C19554" s="24" t="s">
        <v>59911</v>
      </c>
      <c r="D19554" s="25" t="s">
        <v>59912</v>
      </c>
      <c r="E19554" s="28">
        <v>0.20000</v>
      </c>
      <c r="F19554" s="29">
        <f ca="1">ROUND(19.000,3)</f>
        <v>0</v>
      </c>
      <c r="G19554" s="27">
        <f ca="1">ROUND(E19554*F19554,2)</f>
        <v>0</v>
      </c>
    </row>
    <row r="19555" spans="1:7" ht="15.12" thickBot="1" customHeight="1">
      <c r="A19555" s="26"/>
      <c r="B19555" s="26"/>
      <c r="C19555" s="26"/>
      <c r="D19555" s="24" t="s">
        <v>59913</v>
      </c>
      <c r="E19555" s="28">
        <v>0.15000</v>
      </c>
      <c r="F19555" s="29">
        <f ca="1">ROUND((G19552+G19553+G19554),3)</f>
        <v>0</v>
      </c>
      <c r="G19555" s="27">
        <f ca="1">ROUND(E19555*F19555,2)</f>
        <v>0</v>
      </c>
    </row>
    <row r="19556" spans="1:7" ht="15.12" thickBot="1" customHeight="1">
      <c r="A19556" s="24" t="s">
        <v>59914</v>
      </c>
      <c r="B19556" s="24"/>
      <c r="C19556" s="24" t="s">
        <v>59915</v>
      </c>
      <c r="D19556" s="25" t="s">
        <v>59916</v>
      </c>
      <c r="E19556" s="28">
        <v>2.00000</v>
      </c>
      <c r="F19556" s="29">
        <f ca="1">ROUND(131.570,3)</f>
        <v>0</v>
      </c>
      <c r="G19556" s="27">
        <f ca="1">ROUND((E19556*F19556)/100,2)</f>
        <v>0</v>
      </c>
    </row>
    <row r="19557" spans="1:7" ht="15.48" thickBot="1" customHeight="1">
      <c r="A19557" s="30"/>
      <c r="B19557" s="30"/>
      <c r="C19557" s="30"/>
      <c r="D19557" s="31" t="s">
        <v>59917</v>
      </c>
      <c r="E19557" s="30"/>
      <c r="F19557" s="33">
        <f ca="1">ROUND((G19550+G19551+G19556)*(1+G2/100),2)</f>
        <v>0</v>
      </c>
      <c r="G19557" s="30"/>
    </row>
    <row r="19558" spans="1:7" ht="15.48" thickBot="1" customHeight="1">
      <c r="A19558" s="39"/>
      <c r="B19558" s="39"/>
      <c r="C19558" s="39"/>
      <c r="D19558" s="55" t="s">
        <v>59918</v>
      </c>
      <c r="E19558" s="56"/>
      <c r="F19558" s="56"/>
      <c r="G19558" s="56"/>
    </row>
    <row r="19559" spans="1:7" ht="15.48" thickBot="1" customHeight="1">
      <c r="A19559" s="39"/>
      <c r="B19559" s="39"/>
      <c r="C19559" s="39"/>
      <c r="D19559" s="86" t="s">
        <v>59919</v>
      </c>
      <c r="E19559" s="87"/>
      <c r="F19559" s="87"/>
      <c r="G19559" s="87"/>
    </row>
  </sheetData>
  <mergeCells count="2807">
    <mergeCell ref="B1:G1"/>
    <mergeCell ref="A2:D2"/>
    <mergeCell ref="D9:G9"/>
    <mergeCell ref="D18:G18"/>
    <mergeCell ref="D27:G27"/>
    <mergeCell ref="D37:G37"/>
    <mergeCell ref="D47:G47"/>
    <mergeCell ref="D57:G57"/>
    <mergeCell ref="D67:G67"/>
    <mergeCell ref="D76:G76"/>
    <mergeCell ref="D85:G85"/>
    <mergeCell ref="D95:G95"/>
    <mergeCell ref="D105:G105"/>
    <mergeCell ref="D115:G115"/>
    <mergeCell ref="D125:G125"/>
    <mergeCell ref="D134:G134"/>
    <mergeCell ref="D143:G143"/>
    <mergeCell ref="D153:G153"/>
    <mergeCell ref="D163:G163"/>
    <mergeCell ref="D173:G173"/>
    <mergeCell ref="D183:G183"/>
    <mergeCell ref="D192:G192"/>
    <mergeCell ref="D201:G201"/>
    <mergeCell ref="D211:G211"/>
    <mergeCell ref="D221:G221"/>
    <mergeCell ref="D231:G231"/>
    <mergeCell ref="D241:G241"/>
    <mergeCell ref="D251:G251"/>
    <mergeCell ref="D261:G261"/>
    <mergeCell ref="D272:G272"/>
    <mergeCell ref="D283:G283"/>
    <mergeCell ref="D294:G294"/>
    <mergeCell ref="D305:G305"/>
    <mergeCell ref="D315:G315"/>
    <mergeCell ref="D325:G325"/>
    <mergeCell ref="D336:G336"/>
    <mergeCell ref="D347:G347"/>
    <mergeCell ref="D358:G358"/>
    <mergeCell ref="D369:G369"/>
    <mergeCell ref="D379:G379"/>
    <mergeCell ref="D389:G389"/>
    <mergeCell ref="D400:G400"/>
    <mergeCell ref="D411:G411"/>
    <mergeCell ref="D422:G422"/>
    <mergeCell ref="D433:G433"/>
    <mergeCell ref="D443:G443"/>
    <mergeCell ref="D453:G453"/>
    <mergeCell ref="D464:G464"/>
    <mergeCell ref="D475:G475"/>
    <mergeCell ref="D486:G486"/>
    <mergeCell ref="D497:G497"/>
    <mergeCell ref="D509:G509"/>
    <mergeCell ref="D521:G521"/>
    <mergeCell ref="D535:G535"/>
    <mergeCell ref="D549:G549"/>
    <mergeCell ref="D560:G560"/>
    <mergeCell ref="D575:G575"/>
    <mergeCell ref="D577:G577"/>
    <mergeCell ref="D579:G579"/>
    <mergeCell ref="D594:G594"/>
    <mergeCell ref="D607:G607"/>
    <mergeCell ref="D616:G616"/>
    <mergeCell ref="D629:G629"/>
    <mergeCell ref="D641:G641"/>
    <mergeCell ref="D651:G651"/>
    <mergeCell ref="D662:G662"/>
    <mergeCell ref="D672:G672"/>
    <mergeCell ref="D682:G682"/>
    <mergeCell ref="D694:G694"/>
    <mergeCell ref="D706:G706"/>
    <mergeCell ref="D717:G717"/>
    <mergeCell ref="D727:G727"/>
    <mergeCell ref="D737:G737"/>
    <mergeCell ref="D747:G747"/>
    <mergeCell ref="D758:G758"/>
    <mergeCell ref="D766:G766"/>
    <mergeCell ref="D783:G783"/>
    <mergeCell ref="D795:G795"/>
    <mergeCell ref="D801:G801"/>
    <mergeCell ref="D818:G818"/>
    <mergeCell ref="D826:G826"/>
    <mergeCell ref="D837:G837"/>
    <mergeCell ref="D847:G847"/>
    <mergeCell ref="D857:G857"/>
    <mergeCell ref="D871:G871"/>
    <mergeCell ref="D882:G882"/>
    <mergeCell ref="D892:G892"/>
    <mergeCell ref="D900:G900"/>
    <mergeCell ref="D904:G904"/>
    <mergeCell ref="D908:G908"/>
    <mergeCell ref="D913:G913"/>
    <mergeCell ref="D919:G919"/>
    <mergeCell ref="D927:G927"/>
    <mergeCell ref="D935:G935"/>
    <mergeCell ref="D939:G939"/>
    <mergeCell ref="D943:G943"/>
    <mergeCell ref="D953:G953"/>
    <mergeCell ref="D969:G969"/>
    <mergeCell ref="D973:G973"/>
    <mergeCell ref="D982:G982"/>
    <mergeCell ref="D987:G987"/>
    <mergeCell ref="D993:G993"/>
    <mergeCell ref="D1002:G1002"/>
    <mergeCell ref="D1014:G1014"/>
    <mergeCell ref="D1025:G1025"/>
    <mergeCell ref="D1030:G1030"/>
    <mergeCell ref="D1034:G1034"/>
    <mergeCell ref="D1047:G1047"/>
    <mergeCell ref="D1055:G1055"/>
    <mergeCell ref="D1060:G1060"/>
    <mergeCell ref="D1065:G1065"/>
    <mergeCell ref="D1074:G1074"/>
    <mergeCell ref="D1082:G1082"/>
    <mergeCell ref="D1090:G1090"/>
    <mergeCell ref="D1096:G1096"/>
    <mergeCell ref="D1100:G1100"/>
    <mergeCell ref="D1104:G1104"/>
    <mergeCell ref="D1115:G1115"/>
    <mergeCell ref="D1126:G1126"/>
    <mergeCell ref="D1137:G1137"/>
    <mergeCell ref="D1148:G1148"/>
    <mergeCell ref="D1159:G1159"/>
    <mergeCell ref="D1168:G1168"/>
    <mergeCell ref="D1177:G1177"/>
    <mergeCell ref="D1186:G1186"/>
    <mergeCell ref="D1195:G1195"/>
    <mergeCell ref="D1207:G1207"/>
    <mergeCell ref="D1219:G1219"/>
    <mergeCell ref="D1231:G1231"/>
    <mergeCell ref="D1240:G1240"/>
    <mergeCell ref="D1260:G1260"/>
    <mergeCell ref="D1269:G1269"/>
    <mergeCell ref="D1278:G1278"/>
    <mergeCell ref="D1290:G1290"/>
    <mergeCell ref="D1302:G1302"/>
    <mergeCell ref="D1314:G1314"/>
    <mergeCell ref="D1328:G1328"/>
    <mergeCell ref="D1337:G1337"/>
    <mergeCell ref="D1346:G1346"/>
    <mergeCell ref="D1358:G1358"/>
    <mergeCell ref="D1370:G1370"/>
    <mergeCell ref="D1379:G1379"/>
    <mergeCell ref="D1388:G1388"/>
    <mergeCell ref="D1400:G1400"/>
    <mergeCell ref="D1416:G1416"/>
    <mergeCell ref="D1425:G1425"/>
    <mergeCell ref="D1434:G1434"/>
    <mergeCell ref="D1443:G1443"/>
    <mergeCell ref="D1458:G1458"/>
    <mergeCell ref="D1470:G1470"/>
    <mergeCell ref="D1472:G1472"/>
    <mergeCell ref="D1474:G1474"/>
    <mergeCell ref="D1476:G1476"/>
    <mergeCell ref="D1480:G1480"/>
    <mergeCell ref="D1494:G1494"/>
    <mergeCell ref="D1518:G1518"/>
    <mergeCell ref="D1527:G1527"/>
    <mergeCell ref="D1536:G1536"/>
    <mergeCell ref="D1545:G1545"/>
    <mergeCell ref="D1554:G1554"/>
    <mergeCell ref="D1563:G1563"/>
    <mergeCell ref="D1572:G1572"/>
    <mergeCell ref="D1580:G1580"/>
    <mergeCell ref="D1589:G1589"/>
    <mergeCell ref="D1598:G1598"/>
    <mergeCell ref="D1608:G1608"/>
    <mergeCell ref="D1618:G1618"/>
    <mergeCell ref="D1627:G1627"/>
    <mergeCell ref="D1636:G1636"/>
    <mergeCell ref="D1645:G1645"/>
    <mergeCell ref="D1654:G1654"/>
    <mergeCell ref="D1662:G1662"/>
    <mergeCell ref="D1670:G1670"/>
    <mergeCell ref="D1678:G1678"/>
    <mergeCell ref="D1686:G1686"/>
    <mergeCell ref="D1698:G1698"/>
    <mergeCell ref="D1708:G1708"/>
    <mergeCell ref="D1720:G1720"/>
    <mergeCell ref="D1733:G1733"/>
    <mergeCell ref="D1745:G1745"/>
    <mergeCell ref="D1755:G1755"/>
    <mergeCell ref="D1764:G1764"/>
    <mergeCell ref="D1773:G1773"/>
    <mergeCell ref="D1782:G1782"/>
    <mergeCell ref="D1792:G1792"/>
    <mergeCell ref="D1805:G1805"/>
    <mergeCell ref="D1816:G1816"/>
    <mergeCell ref="D1825:G1825"/>
    <mergeCell ref="D1837:G1837"/>
    <mergeCell ref="D1845:G1845"/>
    <mergeCell ref="D1853:G1853"/>
    <mergeCell ref="D1861:G1861"/>
    <mergeCell ref="D1870:G1870"/>
    <mergeCell ref="D1881:G1881"/>
    <mergeCell ref="D1892:G1892"/>
    <mergeCell ref="D1903:G1903"/>
    <mergeCell ref="D1914:G1914"/>
    <mergeCell ref="D1925:G1925"/>
    <mergeCell ref="D1934:G1934"/>
    <mergeCell ref="D1943:G1943"/>
    <mergeCell ref="D1952:G1952"/>
    <mergeCell ref="D1961:G1961"/>
    <mergeCell ref="D1973:G1973"/>
    <mergeCell ref="D1982:G1982"/>
    <mergeCell ref="D1995:G1995"/>
    <mergeCell ref="D2006:G2006"/>
    <mergeCell ref="D2015:G2015"/>
    <mergeCell ref="D2029:G2029"/>
    <mergeCell ref="D2043:G2043"/>
    <mergeCell ref="D2052:G2052"/>
    <mergeCell ref="D2063:G2063"/>
    <mergeCell ref="D2072:G2072"/>
    <mergeCell ref="D2082:G2082"/>
    <mergeCell ref="D2092:G2092"/>
    <mergeCell ref="D2104:G2104"/>
    <mergeCell ref="D2115:G2115"/>
    <mergeCell ref="D2131:G2131"/>
    <mergeCell ref="D2142:G2142"/>
    <mergeCell ref="D2153:G2153"/>
    <mergeCell ref="D2164:G2164"/>
    <mergeCell ref="D2178:G2178"/>
    <mergeCell ref="D2191:G2191"/>
    <mergeCell ref="D2202:G2202"/>
    <mergeCell ref="D2215:G2215"/>
    <mergeCell ref="D2229:G2229"/>
    <mergeCell ref="D2239:G2239"/>
    <mergeCell ref="D2250:G2250"/>
    <mergeCell ref="D2261:G2261"/>
    <mergeCell ref="D2272:G2272"/>
    <mergeCell ref="D2283:G2283"/>
    <mergeCell ref="D2294:G2294"/>
    <mergeCell ref="D2305:G2305"/>
    <mergeCell ref="D2315:G2315"/>
    <mergeCell ref="D2325:G2325"/>
    <mergeCell ref="D2336:G2336"/>
    <mergeCell ref="D2347:G2347"/>
    <mergeCell ref="D2358:G2358"/>
    <mergeCell ref="D2369:G2369"/>
    <mergeCell ref="D2380:G2380"/>
    <mergeCell ref="D2391:G2391"/>
    <mergeCell ref="D2402:G2402"/>
    <mergeCell ref="D2413:G2413"/>
    <mergeCell ref="D2424:G2424"/>
    <mergeCell ref="D2435:G2435"/>
    <mergeCell ref="D2447:G2447"/>
    <mergeCell ref="D2459:G2459"/>
    <mergeCell ref="D2474:G2474"/>
    <mergeCell ref="D2487:G2487"/>
    <mergeCell ref="D2497:G2497"/>
    <mergeCell ref="D2510:G2510"/>
    <mergeCell ref="D2524:G2524"/>
    <mergeCell ref="D2535:G2535"/>
    <mergeCell ref="D2541:G2541"/>
    <mergeCell ref="D2550:G2550"/>
    <mergeCell ref="D2562:G2562"/>
    <mergeCell ref="D2571:G2571"/>
    <mergeCell ref="D2583:G2583"/>
    <mergeCell ref="D2595:G2595"/>
    <mergeCell ref="D2601:G2601"/>
    <mergeCell ref="D2609:G2609"/>
    <mergeCell ref="D2616:G2616"/>
    <mergeCell ref="D2624:G2624"/>
    <mergeCell ref="D2639:G2639"/>
    <mergeCell ref="D2654:G2654"/>
    <mergeCell ref="D2669:G2669"/>
    <mergeCell ref="D2686:G2686"/>
    <mergeCell ref="D2703:G2703"/>
    <mergeCell ref="D2713:G2713"/>
    <mergeCell ref="D2723:G2723"/>
    <mergeCell ref="D2734:G2734"/>
    <mergeCell ref="D2745:G2745"/>
    <mergeCell ref="D2756:G2756"/>
    <mergeCell ref="D2768:G2768"/>
    <mergeCell ref="D2778:G2778"/>
    <mergeCell ref="D2788:G2788"/>
    <mergeCell ref="D2798:G2798"/>
    <mergeCell ref="D2808:G2808"/>
    <mergeCell ref="D2819:G2819"/>
    <mergeCell ref="D2830:G2830"/>
    <mergeCell ref="D2841:G2841"/>
    <mergeCell ref="D2853:G2853"/>
    <mergeCell ref="D2865:G2865"/>
    <mergeCell ref="D2875:G2875"/>
    <mergeCell ref="D2880:G2880"/>
    <mergeCell ref="D2895:G2895"/>
    <mergeCell ref="D2908:G2908"/>
    <mergeCell ref="D2918:G2918"/>
    <mergeCell ref="D2930:G2930"/>
    <mergeCell ref="D2943:G2943"/>
    <mergeCell ref="D2965:G2965"/>
    <mergeCell ref="D2984:G2984"/>
    <mergeCell ref="D2989:G2989"/>
    <mergeCell ref="D2998:G2998"/>
    <mergeCell ref="D3002:G3002"/>
    <mergeCell ref="D3014:G3014"/>
    <mergeCell ref="D3018:G3018"/>
    <mergeCell ref="D3028:G3028"/>
    <mergeCell ref="D3042:G3042"/>
    <mergeCell ref="D3052:G3052"/>
    <mergeCell ref="D3064:G3064"/>
    <mergeCell ref="D3076:G3076"/>
    <mergeCell ref="D3088:G3088"/>
    <mergeCell ref="D3103:G3103"/>
    <mergeCell ref="D3118:G3118"/>
    <mergeCell ref="D3133:G3133"/>
    <mergeCell ref="D3145:G3145"/>
    <mergeCell ref="D3156:G3156"/>
    <mergeCell ref="D3171:G3171"/>
    <mergeCell ref="D3186:G3186"/>
    <mergeCell ref="D3201:G3201"/>
    <mergeCell ref="D3215:G3215"/>
    <mergeCell ref="D3229:G3229"/>
    <mergeCell ref="D3243:G3243"/>
    <mergeCell ref="D3261:G3261"/>
    <mergeCell ref="D3279:G3279"/>
    <mergeCell ref="D3289:G3289"/>
    <mergeCell ref="D3307:G3307"/>
    <mergeCell ref="D3325:G3325"/>
    <mergeCell ref="D3344:G3344"/>
    <mergeCell ref="D3363:G3363"/>
    <mergeCell ref="D3382:G3382"/>
    <mergeCell ref="D3401:G3401"/>
    <mergeCell ref="D3420:G3420"/>
    <mergeCell ref="D3439:G3439"/>
    <mergeCell ref="D3458:G3458"/>
    <mergeCell ref="D3477:G3477"/>
    <mergeCell ref="D3488:G3488"/>
    <mergeCell ref="D3499:G3499"/>
    <mergeCell ref="D3512:G3512"/>
    <mergeCell ref="D3556:G3556"/>
    <mergeCell ref="D3585:G3585"/>
    <mergeCell ref="D3593:G3593"/>
    <mergeCell ref="D3610:G3610"/>
    <mergeCell ref="D3630:G3630"/>
    <mergeCell ref="D3635:G3635"/>
    <mergeCell ref="D3705:G3705"/>
    <mergeCell ref="D3766:G3766"/>
    <mergeCell ref="D3778:G3778"/>
    <mergeCell ref="D3788:G3788"/>
    <mergeCell ref="D3817:G3817"/>
    <mergeCell ref="D3831:G3831"/>
    <mergeCell ref="D3844:G3844"/>
    <mergeCell ref="D3857:G3857"/>
    <mergeCell ref="D3870:G3870"/>
    <mergeCell ref="D3883:G3883"/>
    <mergeCell ref="D3896:G3896"/>
    <mergeCell ref="D3909:G3909"/>
    <mergeCell ref="D3926:G3926"/>
    <mergeCell ref="D3937:G3937"/>
    <mergeCell ref="D3950:G3950"/>
    <mergeCell ref="D3960:G3960"/>
    <mergeCell ref="D3980:G3980"/>
    <mergeCell ref="D4000:G4000"/>
    <mergeCell ref="D4019:G4019"/>
    <mergeCell ref="D4044:G4044"/>
    <mergeCell ref="D4069:G4069"/>
    <mergeCell ref="D4094:G4094"/>
    <mergeCell ref="D4119:G4119"/>
    <mergeCell ref="D4142:G4142"/>
    <mergeCell ref="D4155:G4155"/>
    <mergeCell ref="D4161:G4161"/>
    <mergeCell ref="D4172:G4172"/>
    <mergeCell ref="D4183:G4183"/>
    <mergeCell ref="D4195:G4195"/>
    <mergeCell ref="D4207:G4207"/>
    <mergeCell ref="D4226:G4226"/>
    <mergeCell ref="D4237:G4237"/>
    <mergeCell ref="D4248:G4248"/>
    <mergeCell ref="D4260:G4260"/>
    <mergeCell ref="D4271:G4271"/>
    <mergeCell ref="D4282:G4282"/>
    <mergeCell ref="D4294:G4294"/>
    <mergeCell ref="D4307:G4307"/>
    <mergeCell ref="D4317:G4317"/>
    <mergeCell ref="D4328:G4328"/>
    <mergeCell ref="D4340:G4340"/>
    <mergeCell ref="D4350:G4350"/>
    <mergeCell ref="D4359:G4359"/>
    <mergeCell ref="D4369:G4369"/>
    <mergeCell ref="D4380:G4380"/>
    <mergeCell ref="D4391:G4391"/>
    <mergeCell ref="D4402:G4402"/>
    <mergeCell ref="D4417:G4417"/>
    <mergeCell ref="D4428:G4428"/>
    <mergeCell ref="D4439:G4439"/>
    <mergeCell ref="D4450:G4450"/>
    <mergeCell ref="D4461:G4461"/>
    <mergeCell ref="D4472:G4472"/>
    <mergeCell ref="D4483:G4483"/>
    <mergeCell ref="D4494:G4494"/>
    <mergeCell ref="D4511:G4511"/>
    <mergeCell ref="D4528:G4528"/>
    <mergeCell ref="D4542:G4542"/>
    <mergeCell ref="D4556:G4556"/>
    <mergeCell ref="D4572:G4572"/>
    <mergeCell ref="D4590:G4590"/>
    <mergeCell ref="D4603:G4603"/>
    <mergeCell ref="D4618:G4618"/>
    <mergeCell ref="D4631:G4631"/>
    <mergeCell ref="D4644:G4644"/>
    <mergeCell ref="D4657:G4657"/>
    <mergeCell ref="D4672:G4672"/>
    <mergeCell ref="D4684:G4684"/>
    <mergeCell ref="D4696:G4696"/>
    <mergeCell ref="D4710:G4710"/>
    <mergeCell ref="D4727:G4727"/>
    <mergeCell ref="D4741:G4741"/>
    <mergeCell ref="D4758:G4758"/>
    <mergeCell ref="D4774:G4774"/>
    <mergeCell ref="D4792:G4792"/>
    <mergeCell ref="D4814:G4814"/>
    <mergeCell ref="D4836:G4836"/>
    <mergeCell ref="D4848:G4848"/>
    <mergeCell ref="D4865:G4865"/>
    <mergeCell ref="D4883:G4883"/>
    <mergeCell ref="D4905:G4905"/>
    <mergeCell ref="D4933:G4933"/>
    <mergeCell ref="D4961:G4961"/>
    <mergeCell ref="D4987:G4987"/>
    <mergeCell ref="D5010:G5010"/>
    <mergeCell ref="D5037:G5037"/>
    <mergeCell ref="D5046:G5046"/>
    <mergeCell ref="D5056:G5056"/>
    <mergeCell ref="D5073:G5073"/>
    <mergeCell ref="D5090:G5090"/>
    <mergeCell ref="D5102:G5102"/>
    <mergeCell ref="D5111:G5111"/>
    <mergeCell ref="D5120:G5120"/>
    <mergeCell ref="D5129:G5129"/>
    <mergeCell ref="D5134:G5134"/>
    <mergeCell ref="D5139:G5139"/>
    <mergeCell ref="D5144:G5144"/>
    <mergeCell ref="D5150:G5150"/>
    <mergeCell ref="D5157:G5157"/>
    <mergeCell ref="D5179:G5179"/>
    <mergeCell ref="D5194:G5194"/>
    <mergeCell ref="D5216:G5216"/>
    <mergeCell ref="D5231:G5231"/>
    <mergeCell ref="D5253:G5253"/>
    <mergeCell ref="D5270:G5270"/>
    <mergeCell ref="D5290:G5290"/>
    <mergeCell ref="D5306:G5306"/>
    <mergeCell ref="D5326:G5326"/>
    <mergeCell ref="D5342:G5342"/>
    <mergeCell ref="D5364:G5364"/>
    <mergeCell ref="D5379:G5379"/>
    <mergeCell ref="D5397:G5397"/>
    <mergeCell ref="D5406:G5406"/>
    <mergeCell ref="D5428:G5428"/>
    <mergeCell ref="D5450:G5450"/>
    <mergeCell ref="D5462:G5462"/>
    <mergeCell ref="D5474:G5474"/>
    <mergeCell ref="D5487:G5487"/>
    <mergeCell ref="D5506:G5506"/>
    <mergeCell ref="D5516:G5516"/>
    <mergeCell ref="D5527:G5527"/>
    <mergeCell ref="D5546:G5546"/>
    <mergeCell ref="D5566:G5566"/>
    <mergeCell ref="D5577:G5577"/>
    <mergeCell ref="D5588:G5588"/>
    <mergeCell ref="D5602:G5602"/>
    <mergeCell ref="D5606:G5606"/>
    <mergeCell ref="D5610:G5610"/>
    <mergeCell ref="D5614:G5614"/>
    <mergeCell ref="D5623:G5623"/>
    <mergeCell ref="D5632:G5632"/>
    <mergeCell ref="D5642:G5642"/>
    <mergeCell ref="D5652:G5652"/>
    <mergeCell ref="D5664:G5664"/>
    <mergeCell ref="D5679:G5679"/>
    <mergeCell ref="D5692:G5692"/>
    <mergeCell ref="D5702:G5702"/>
    <mergeCell ref="D5715:G5715"/>
    <mergeCell ref="D5728:G5728"/>
    <mergeCell ref="D5738:G5738"/>
    <mergeCell ref="D5749:G5749"/>
    <mergeCell ref="D5760:G5760"/>
    <mergeCell ref="D5765:G5765"/>
    <mergeCell ref="D5770:G5770"/>
    <mergeCell ref="D5776:G5776"/>
    <mergeCell ref="D5786:G5786"/>
    <mergeCell ref="D5796:G5796"/>
    <mergeCell ref="D5800:G5800"/>
    <mergeCell ref="D5807:G5807"/>
    <mergeCell ref="D5828:G5828"/>
    <mergeCell ref="D5839:G5839"/>
    <mergeCell ref="D5850:G5850"/>
    <mergeCell ref="D5862:G5862"/>
    <mergeCell ref="D5875:G5875"/>
    <mergeCell ref="D5888:G5888"/>
    <mergeCell ref="D5901:G5901"/>
    <mergeCell ref="D5917:G5917"/>
    <mergeCell ref="D5927:G5927"/>
    <mergeCell ref="D5937:G5937"/>
    <mergeCell ref="D5949:G5949"/>
    <mergeCell ref="D5961:G5961"/>
    <mergeCell ref="D5973:G5973"/>
    <mergeCell ref="D5985:G5985"/>
    <mergeCell ref="D5997:G5997"/>
    <mergeCell ref="D6009:G6009"/>
    <mergeCell ref="D6021:G6021"/>
    <mergeCell ref="D6035:G6035"/>
    <mergeCell ref="D6049:G6049"/>
    <mergeCell ref="D6061:G6061"/>
    <mergeCell ref="D6073:G6073"/>
    <mergeCell ref="D6085:G6085"/>
    <mergeCell ref="D6097:G6097"/>
    <mergeCell ref="D6111:G6111"/>
    <mergeCell ref="D6125:G6125"/>
    <mergeCell ref="D6137:G6137"/>
    <mergeCell ref="D6151:G6151"/>
    <mergeCell ref="D6163:G6163"/>
    <mergeCell ref="D6175:G6175"/>
    <mergeCell ref="D6187:G6187"/>
    <mergeCell ref="D6199:G6199"/>
    <mergeCell ref="D6211:G6211"/>
    <mergeCell ref="D6227:G6227"/>
    <mergeCell ref="D6239:G6239"/>
    <mergeCell ref="D6251:G6251"/>
    <mergeCell ref="D6263:G6263"/>
    <mergeCell ref="D6275:G6275"/>
    <mergeCell ref="D6287:G6287"/>
    <mergeCell ref="D6299:G6299"/>
    <mergeCell ref="D6313:G6313"/>
    <mergeCell ref="D6327:G6327"/>
    <mergeCell ref="D6341:G6341"/>
    <mergeCell ref="D6355:G6355"/>
    <mergeCell ref="D6367:G6367"/>
    <mergeCell ref="D6379:G6379"/>
    <mergeCell ref="D6391:G6391"/>
    <mergeCell ref="D6403:G6403"/>
    <mergeCell ref="D6417:G6417"/>
    <mergeCell ref="D6429:G6429"/>
    <mergeCell ref="D6441:G6441"/>
    <mergeCell ref="D6453:G6453"/>
    <mergeCell ref="D6465:G6465"/>
    <mergeCell ref="D6478:G6478"/>
    <mergeCell ref="D6491:G6491"/>
    <mergeCell ref="D6503:G6503"/>
    <mergeCell ref="D6515:G6515"/>
    <mergeCell ref="D6528:G6528"/>
    <mergeCell ref="D6541:G6541"/>
    <mergeCell ref="D6554:G6554"/>
    <mergeCell ref="D6568:G6568"/>
    <mergeCell ref="D6580:G6580"/>
    <mergeCell ref="D6592:G6592"/>
    <mergeCell ref="D6606:G6606"/>
    <mergeCell ref="D6618:G6618"/>
    <mergeCell ref="D6630:G6630"/>
    <mergeCell ref="D6642:G6642"/>
    <mergeCell ref="D6654:G6654"/>
    <mergeCell ref="D6666:G6666"/>
    <mergeCell ref="D6678:G6678"/>
    <mergeCell ref="D6690:G6690"/>
    <mergeCell ref="D6702:G6702"/>
    <mergeCell ref="D6714:G6714"/>
    <mergeCell ref="D6726:G6726"/>
    <mergeCell ref="D6738:G6738"/>
    <mergeCell ref="D6750:G6750"/>
    <mergeCell ref="D6762:G6762"/>
    <mergeCell ref="D6774:G6774"/>
    <mergeCell ref="D6787:G6787"/>
    <mergeCell ref="D6800:G6800"/>
    <mergeCell ref="D6812:G6812"/>
    <mergeCell ref="D6826:G6826"/>
    <mergeCell ref="D6838:G6838"/>
    <mergeCell ref="D6849:G6849"/>
    <mergeCell ref="D6861:G6861"/>
    <mergeCell ref="D6873:G6873"/>
    <mergeCell ref="D6885:G6885"/>
    <mergeCell ref="D6900:G6900"/>
    <mergeCell ref="D6912:G6912"/>
    <mergeCell ref="D6923:G6923"/>
    <mergeCell ref="D6934:G6934"/>
    <mergeCell ref="D6945:G6945"/>
    <mergeCell ref="D6954:G6954"/>
    <mergeCell ref="D6963:G6963"/>
    <mergeCell ref="D6974:G6974"/>
    <mergeCell ref="D6985:G6985"/>
    <mergeCell ref="D6994:G6994"/>
    <mergeCell ref="D7003:G7003"/>
    <mergeCell ref="D7012:G7012"/>
    <mergeCell ref="D7023:G7023"/>
    <mergeCell ref="D7033:G7033"/>
    <mergeCell ref="D7057:G7057"/>
    <mergeCell ref="D7081:G7081"/>
    <mergeCell ref="D7100:G7100"/>
    <mergeCell ref="D7119:G7119"/>
    <mergeCell ref="D7132:G7132"/>
    <mergeCell ref="D7145:G7145"/>
    <mergeCell ref="D7160:G7160"/>
    <mergeCell ref="D7173:G7173"/>
    <mergeCell ref="D7186:G7186"/>
    <mergeCell ref="D7200:G7200"/>
    <mergeCell ref="D7214:G7214"/>
    <mergeCell ref="D7224:G7224"/>
    <mergeCell ref="D7234:G7234"/>
    <mergeCell ref="D7242:G7242"/>
    <mergeCell ref="D7253:G7253"/>
    <mergeCell ref="D7263:G7263"/>
    <mergeCell ref="D7271:G7271"/>
    <mergeCell ref="D7280:G7280"/>
    <mergeCell ref="D7288:G7288"/>
    <mergeCell ref="D7296:G7296"/>
    <mergeCell ref="D7307:G7307"/>
    <mergeCell ref="D7316:G7316"/>
    <mergeCell ref="D7328:G7328"/>
    <mergeCell ref="D7342:G7342"/>
    <mergeCell ref="D7356:G7356"/>
    <mergeCell ref="D7370:G7370"/>
    <mergeCell ref="D7384:G7384"/>
    <mergeCell ref="D7395:G7395"/>
    <mergeCell ref="D7405:G7405"/>
    <mergeCell ref="D7417:G7417"/>
    <mergeCell ref="D7433:G7433"/>
    <mergeCell ref="D7448:G7448"/>
    <mergeCell ref="D7452:G7452"/>
    <mergeCell ref="D7456:G7456"/>
    <mergeCell ref="D7460:G7460"/>
    <mergeCell ref="D7464:G7464"/>
    <mergeCell ref="D7468:G7468"/>
    <mergeCell ref="D7472:G7472"/>
    <mergeCell ref="D7476:G7476"/>
    <mergeCell ref="D7480:G7480"/>
    <mergeCell ref="D7484:G7484"/>
    <mergeCell ref="D7492:G7492"/>
    <mergeCell ref="D7505:G7505"/>
    <mergeCell ref="D7522:G7522"/>
    <mergeCell ref="D7543:G7543"/>
    <mergeCell ref="D7547:G7547"/>
    <mergeCell ref="D7552:G7552"/>
    <mergeCell ref="D7560:G7560"/>
    <mergeCell ref="D7567:G7567"/>
    <mergeCell ref="D7571:G7571"/>
    <mergeCell ref="D7580:G7580"/>
    <mergeCell ref="D7596:G7596"/>
    <mergeCell ref="D7601:G7601"/>
    <mergeCell ref="D7608:G7608"/>
    <mergeCell ref="D7621:G7621"/>
    <mergeCell ref="D7629:G7629"/>
    <mergeCell ref="D7639:G7639"/>
    <mergeCell ref="D7648:G7648"/>
    <mergeCell ref="D7656:G7656"/>
    <mergeCell ref="D7661:G7661"/>
    <mergeCell ref="D7665:G7665"/>
    <mergeCell ref="D7672:G7672"/>
    <mergeCell ref="D7680:G7680"/>
    <mergeCell ref="D7684:G7684"/>
    <mergeCell ref="D7696:G7696"/>
    <mergeCell ref="D7702:G7702"/>
    <mergeCell ref="D7708:G7708"/>
    <mergeCell ref="D7714:G7714"/>
    <mergeCell ref="D7723:G7723"/>
    <mergeCell ref="D7732:G7732"/>
    <mergeCell ref="D7741:G7741"/>
    <mergeCell ref="D7761:G7761"/>
    <mergeCell ref="D7781:G7781"/>
    <mergeCell ref="D7801:G7801"/>
    <mergeCell ref="D7821:G7821"/>
    <mergeCell ref="D7845:G7845"/>
    <mergeCell ref="D7869:G7869"/>
    <mergeCell ref="D7893:G7893"/>
    <mergeCell ref="D7905:G7905"/>
    <mergeCell ref="D7917:G7917"/>
    <mergeCell ref="D7928:G7928"/>
    <mergeCell ref="D7947:G7947"/>
    <mergeCell ref="D7957:G7957"/>
    <mergeCell ref="D7966:G7966"/>
    <mergeCell ref="D7992:G7992"/>
    <mergeCell ref="D8018:G8018"/>
    <mergeCell ref="D8031:G8031"/>
    <mergeCell ref="D8043:G8043"/>
    <mergeCell ref="D8053:G8053"/>
    <mergeCell ref="D8059:G8059"/>
    <mergeCell ref="D8064:G8064"/>
    <mergeCell ref="D8070:G8070"/>
    <mergeCell ref="D8078:G8078"/>
    <mergeCell ref="D8093:G8093"/>
    <mergeCell ref="D8104:G8104"/>
    <mergeCell ref="D8114:G8114"/>
    <mergeCell ref="D8136:G8136"/>
    <mergeCell ref="D8159:G8159"/>
    <mergeCell ref="D8194:G8194"/>
    <mergeCell ref="D8227:G8227"/>
    <mergeCell ref="D8239:G8239"/>
    <mergeCell ref="D8249:G8249"/>
    <mergeCell ref="D8258:G8258"/>
    <mergeCell ref="D8267:G8267"/>
    <mergeCell ref="D8276:G8276"/>
    <mergeCell ref="D8296:G8296"/>
    <mergeCell ref="D8316:G8316"/>
    <mergeCell ref="D8336:G8336"/>
    <mergeCell ref="D8352:G8352"/>
    <mergeCell ref="D8368:G8368"/>
    <mergeCell ref="D8384:G8384"/>
    <mergeCell ref="D8396:G8396"/>
    <mergeCell ref="D8407:G8407"/>
    <mergeCell ref="D8418:G8418"/>
    <mergeCell ref="D8428:G8428"/>
    <mergeCell ref="D8438:G8438"/>
    <mergeCell ref="D8451:G8451"/>
    <mergeCell ref="D8461:G8461"/>
    <mergeCell ref="D8473:G8473"/>
    <mergeCell ref="D8486:G8486"/>
    <mergeCell ref="D8499:G8499"/>
    <mergeCell ref="D8512:G8512"/>
    <mergeCell ref="D8525:G8525"/>
    <mergeCell ref="D8529:G8529"/>
    <mergeCell ref="D8543:G8543"/>
    <mergeCell ref="D8555:G8555"/>
    <mergeCell ref="D8557:G8557"/>
    <mergeCell ref="D8581:G8581"/>
    <mergeCell ref="D8605:G8605"/>
    <mergeCell ref="D8627:G8627"/>
    <mergeCell ref="D8649:G8649"/>
    <mergeCell ref="D8671:G8671"/>
    <mergeCell ref="D8695:G8695"/>
    <mergeCell ref="D8719:G8719"/>
    <mergeCell ref="D8741:G8741"/>
    <mergeCell ref="D8761:G8761"/>
    <mergeCell ref="D8781:G8781"/>
    <mergeCell ref="D8813:G8813"/>
    <mergeCell ref="D8829:G8829"/>
    <mergeCell ref="D8842:G8842"/>
    <mergeCell ref="D8860:G8860"/>
    <mergeCell ref="D8870:G8870"/>
    <mergeCell ref="D8881:G8881"/>
    <mergeCell ref="D8892:G8892"/>
    <mergeCell ref="D8903:G8903"/>
    <mergeCell ref="D8913:G8913"/>
    <mergeCell ref="D8918:G8918"/>
    <mergeCell ref="D8923:G8923"/>
    <mergeCell ref="D8929:G8929"/>
    <mergeCell ref="D8939:G8939"/>
    <mergeCell ref="D8945:G8945"/>
    <mergeCell ref="D8951:G8951"/>
    <mergeCell ref="D8962:G8962"/>
    <mergeCell ref="D8967:G8967"/>
    <mergeCell ref="D8978:G8978"/>
    <mergeCell ref="D8987:G8987"/>
    <mergeCell ref="D8998:G8998"/>
    <mergeCell ref="D9009:G9009"/>
    <mergeCell ref="D9020:G9020"/>
    <mergeCell ref="D9030:G9030"/>
    <mergeCell ref="D9036:G9036"/>
    <mergeCell ref="D9047:G9047"/>
    <mergeCell ref="D9060:G9060"/>
    <mergeCell ref="D9071:G9071"/>
    <mergeCell ref="D9080:G9080"/>
    <mergeCell ref="D9091:G9091"/>
    <mergeCell ref="D9101:G9101"/>
    <mergeCell ref="D9112:G9112"/>
    <mergeCell ref="D9122:G9122"/>
    <mergeCell ref="D9134:G9134"/>
    <mergeCell ref="D9149:G9149"/>
    <mergeCell ref="D9161:G9161"/>
    <mergeCell ref="D9173:G9173"/>
    <mergeCell ref="D9184:G9184"/>
    <mergeCell ref="D9195:G9195"/>
    <mergeCell ref="D9206:G9206"/>
    <mergeCell ref="D9217:G9217"/>
    <mergeCell ref="D9228:G9228"/>
    <mergeCell ref="D9238:G9238"/>
    <mergeCell ref="D9249:G9249"/>
    <mergeCell ref="D9260:G9260"/>
    <mergeCell ref="D9273:G9273"/>
    <mergeCell ref="D9285:G9285"/>
    <mergeCell ref="D9296:G9296"/>
    <mergeCell ref="D9307:G9307"/>
    <mergeCell ref="D9318:G9318"/>
    <mergeCell ref="D9329:G9329"/>
    <mergeCell ref="D9340:G9340"/>
    <mergeCell ref="D9351:G9351"/>
    <mergeCell ref="D9363:G9363"/>
    <mergeCell ref="D9375:G9375"/>
    <mergeCell ref="D9385:G9385"/>
    <mergeCell ref="D9396:G9396"/>
    <mergeCell ref="D9407:G9407"/>
    <mergeCell ref="D9418:G9418"/>
    <mergeCell ref="D9429:G9429"/>
    <mergeCell ref="D9440:G9440"/>
    <mergeCell ref="D9465:G9465"/>
    <mergeCell ref="D9478:G9478"/>
    <mergeCell ref="D9489:G9489"/>
    <mergeCell ref="D9500:G9500"/>
    <mergeCell ref="D9518:G9518"/>
    <mergeCell ref="D9536:G9536"/>
    <mergeCell ref="D9554:G9554"/>
    <mergeCell ref="D9567:G9567"/>
    <mergeCell ref="D9579:G9579"/>
    <mergeCell ref="D9589:G9589"/>
    <mergeCell ref="D9600:G9600"/>
    <mergeCell ref="D9611:G9611"/>
    <mergeCell ref="D9622:G9622"/>
    <mergeCell ref="D9656:G9656"/>
    <mergeCell ref="D9676:G9676"/>
    <mergeCell ref="D9688:G9688"/>
    <mergeCell ref="D9700:G9700"/>
    <mergeCell ref="D9712:G9712"/>
    <mergeCell ref="D9724:G9724"/>
    <mergeCell ref="D9736:G9736"/>
    <mergeCell ref="D9748:G9748"/>
    <mergeCell ref="D9766:G9766"/>
    <mergeCell ref="D9825:G9825"/>
    <mergeCell ref="D9836:G9836"/>
    <mergeCell ref="D9850:G9850"/>
    <mergeCell ref="D9860:G9860"/>
    <mergeCell ref="D9870:G9870"/>
    <mergeCell ref="D9882:G9882"/>
    <mergeCell ref="D9893:G9893"/>
    <mergeCell ref="D9904:G9904"/>
    <mergeCell ref="D9914:G9914"/>
    <mergeCell ref="D9924:G9924"/>
    <mergeCell ref="D9948:G9948"/>
    <mergeCell ref="D9960:G9960"/>
    <mergeCell ref="D9971:G9971"/>
    <mergeCell ref="D9982:G9982"/>
    <mergeCell ref="D9993:G9993"/>
    <mergeCell ref="D10004:G10004"/>
    <mergeCell ref="D10016:G10016"/>
    <mergeCell ref="D10020:G10020"/>
    <mergeCell ref="D10033:G10033"/>
    <mergeCell ref="D10047:G10047"/>
    <mergeCell ref="D10058:G10058"/>
    <mergeCell ref="D10069:G10069"/>
    <mergeCell ref="D10080:G10080"/>
    <mergeCell ref="D10091:G10091"/>
    <mergeCell ref="D10102:G10102"/>
    <mergeCell ref="D10113:G10113"/>
    <mergeCell ref="D10124:G10124"/>
    <mergeCell ref="D10137:G10137"/>
    <mergeCell ref="D10149:G10149"/>
    <mergeCell ref="D10161:G10161"/>
    <mergeCell ref="D10173:G10173"/>
    <mergeCell ref="D10185:G10185"/>
    <mergeCell ref="D10197:G10197"/>
    <mergeCell ref="D10209:G10209"/>
    <mergeCell ref="D10219:G10219"/>
    <mergeCell ref="D10230:G10230"/>
    <mergeCell ref="D10240:G10240"/>
    <mergeCell ref="D10253:G10253"/>
    <mergeCell ref="D10266:G10266"/>
    <mergeCell ref="D10279:G10279"/>
    <mergeCell ref="D10292:G10292"/>
    <mergeCell ref="D10303:G10303"/>
    <mergeCell ref="D10314:G10314"/>
    <mergeCell ref="D10325:G10325"/>
    <mergeCell ref="D10336:G10336"/>
    <mergeCell ref="D10347:G10347"/>
    <mergeCell ref="D10358:G10358"/>
    <mergeCell ref="D10369:G10369"/>
    <mergeCell ref="D10380:G10380"/>
    <mergeCell ref="D10391:G10391"/>
    <mergeCell ref="D10402:G10402"/>
    <mergeCell ref="D10413:G10413"/>
    <mergeCell ref="D10424:G10424"/>
    <mergeCell ref="D10442:G10442"/>
    <mergeCell ref="D10455:G10455"/>
    <mergeCell ref="D10470:G10470"/>
    <mergeCell ref="D10484:G10484"/>
    <mergeCell ref="D10498:G10498"/>
    <mergeCell ref="D10510:G10510"/>
    <mergeCell ref="D10524:G10524"/>
    <mergeCell ref="D10535:G10535"/>
    <mergeCell ref="D10546:G10546"/>
    <mergeCell ref="D10557:G10557"/>
    <mergeCell ref="D10568:G10568"/>
    <mergeCell ref="D10579:G10579"/>
    <mergeCell ref="D10590:G10590"/>
    <mergeCell ref="D10601:G10601"/>
    <mergeCell ref="D10613:G10613"/>
    <mergeCell ref="D10627:G10627"/>
    <mergeCell ref="D10640:G10640"/>
    <mergeCell ref="D10650:G10650"/>
    <mergeCell ref="D10663:G10663"/>
    <mergeCell ref="D10673:G10673"/>
    <mergeCell ref="D10702:G10702"/>
    <mergeCell ref="D10715:G10715"/>
    <mergeCell ref="D10720:G10720"/>
    <mergeCell ref="D10726:G10726"/>
    <mergeCell ref="D10760:G10760"/>
    <mergeCell ref="D10771:G10771"/>
    <mergeCell ref="D10785:G10785"/>
    <mergeCell ref="D10796:G10796"/>
    <mergeCell ref="D10809:G10809"/>
    <mergeCell ref="D10821:G10821"/>
    <mergeCell ref="D10833:G10833"/>
    <mergeCell ref="D10845:G10845"/>
    <mergeCell ref="D10857:G10857"/>
    <mergeCell ref="D10869:G10869"/>
    <mergeCell ref="D10881:G10881"/>
    <mergeCell ref="D10893:G10893"/>
    <mergeCell ref="D10905:G10905"/>
    <mergeCell ref="D10917:G10917"/>
    <mergeCell ref="D10927:G10927"/>
    <mergeCell ref="D10939:G10939"/>
    <mergeCell ref="D10951:G10951"/>
    <mergeCell ref="D10963:G10963"/>
    <mergeCell ref="D10975:G10975"/>
    <mergeCell ref="D10983:G10983"/>
    <mergeCell ref="D10991:G10991"/>
    <mergeCell ref="D11003:G11003"/>
    <mergeCell ref="D11010:G11010"/>
    <mergeCell ref="D11017:G11017"/>
    <mergeCell ref="D11024:G11024"/>
    <mergeCell ref="D11032:G11032"/>
    <mergeCell ref="D11039:G11039"/>
    <mergeCell ref="D11051:G11051"/>
    <mergeCell ref="D11063:G11063"/>
    <mergeCell ref="D11075:G11075"/>
    <mergeCell ref="D11087:G11087"/>
    <mergeCell ref="D11099:G11099"/>
    <mergeCell ref="D11115:G11115"/>
    <mergeCell ref="D11126:G11126"/>
    <mergeCell ref="D11137:G11137"/>
    <mergeCell ref="D11148:G11148"/>
    <mergeCell ref="D11159:G11159"/>
    <mergeCell ref="D11170:G11170"/>
    <mergeCell ref="D11180:G11180"/>
    <mergeCell ref="D11190:G11190"/>
    <mergeCell ref="D11200:G11200"/>
    <mergeCell ref="D11209:G11209"/>
    <mergeCell ref="D11224:G11224"/>
    <mergeCell ref="D11239:G11239"/>
    <mergeCell ref="D11254:G11254"/>
    <mergeCell ref="D11269:G11269"/>
    <mergeCell ref="D11284:G11284"/>
    <mergeCell ref="D11299:G11299"/>
    <mergeCell ref="D11314:G11314"/>
    <mergeCell ref="D11329:G11329"/>
    <mergeCell ref="D11344:G11344"/>
    <mergeCell ref="D11358:G11358"/>
    <mergeCell ref="D11369:G11369"/>
    <mergeCell ref="D11380:G11380"/>
    <mergeCell ref="D11391:G11391"/>
    <mergeCell ref="D11402:G11402"/>
    <mergeCell ref="D11413:G11413"/>
    <mergeCell ref="D11424:G11424"/>
    <mergeCell ref="D11435:G11435"/>
    <mergeCell ref="D11446:G11446"/>
    <mergeCell ref="D11456:G11456"/>
    <mergeCell ref="D11467:G11467"/>
    <mergeCell ref="D11478:G11478"/>
    <mergeCell ref="D11489:G11489"/>
    <mergeCell ref="D11500:G11500"/>
    <mergeCell ref="D11511:G11511"/>
    <mergeCell ref="D11521:G11521"/>
    <mergeCell ref="D11531:G11531"/>
    <mergeCell ref="D11541:G11541"/>
    <mergeCell ref="D11555:G11555"/>
    <mergeCell ref="D11569:G11569"/>
    <mergeCell ref="D11580:G11580"/>
    <mergeCell ref="D11591:G11591"/>
    <mergeCell ref="D11602:G11602"/>
    <mergeCell ref="D11613:G11613"/>
    <mergeCell ref="D11624:G11624"/>
    <mergeCell ref="D11635:G11635"/>
    <mergeCell ref="D11650:G11650"/>
    <mergeCell ref="D11660:G11660"/>
    <mergeCell ref="D11670:G11670"/>
    <mergeCell ref="D11680:G11680"/>
    <mergeCell ref="D11690:G11690"/>
    <mergeCell ref="D11700:G11700"/>
    <mergeCell ref="D11710:G11710"/>
    <mergeCell ref="D11720:G11720"/>
    <mergeCell ref="D11730:G11730"/>
    <mergeCell ref="D11740:G11740"/>
    <mergeCell ref="D11750:G11750"/>
    <mergeCell ref="D11760:G11760"/>
    <mergeCell ref="D11770:G11770"/>
    <mergeCell ref="D11780:G11780"/>
    <mergeCell ref="D11792:G11792"/>
    <mergeCell ref="D11804:G11804"/>
    <mergeCell ref="D11815:G11815"/>
    <mergeCell ref="D11826:G11826"/>
    <mergeCell ref="D11837:G11837"/>
    <mergeCell ref="D11849:G11849"/>
    <mergeCell ref="D11860:G11860"/>
    <mergeCell ref="D11872:G11872"/>
    <mergeCell ref="D11883:G11883"/>
    <mergeCell ref="D11895:G11895"/>
    <mergeCell ref="D11907:G11907"/>
    <mergeCell ref="D11918:G11918"/>
    <mergeCell ref="D11929:G11929"/>
    <mergeCell ref="D11939:G11939"/>
    <mergeCell ref="D11949:G11949"/>
    <mergeCell ref="D11960:G11960"/>
    <mergeCell ref="D11971:G11971"/>
    <mergeCell ref="D11982:G11982"/>
    <mergeCell ref="D11993:G11993"/>
    <mergeCell ref="D12004:G12004"/>
    <mergeCell ref="D12015:G12015"/>
    <mergeCell ref="D12026:G12026"/>
    <mergeCell ref="D12037:G12037"/>
    <mergeCell ref="D12048:G12048"/>
    <mergeCell ref="D12059:G12059"/>
    <mergeCell ref="D12064:G12064"/>
    <mergeCell ref="D12069:G12069"/>
    <mergeCell ref="D12080:G12080"/>
    <mergeCell ref="D12091:G12091"/>
    <mergeCell ref="D12102:G12102"/>
    <mergeCell ref="D12113:G12113"/>
    <mergeCell ref="D12124:G12124"/>
    <mergeCell ref="D12135:G12135"/>
    <mergeCell ref="D12146:G12146"/>
    <mergeCell ref="D12156:G12156"/>
    <mergeCell ref="D12167:G12167"/>
    <mergeCell ref="D12178:G12178"/>
    <mergeCell ref="D12188:G12188"/>
    <mergeCell ref="D12198:G12198"/>
    <mergeCell ref="D12209:G12209"/>
    <mergeCell ref="D12220:G12220"/>
    <mergeCell ref="D12230:G12230"/>
    <mergeCell ref="D12241:G12241"/>
    <mergeCell ref="D12252:G12252"/>
    <mergeCell ref="D12263:G12263"/>
    <mergeCell ref="D12274:G12274"/>
    <mergeCell ref="D12280:G12280"/>
    <mergeCell ref="D12291:G12291"/>
    <mergeCell ref="D12302:G12302"/>
    <mergeCell ref="D12313:G12313"/>
    <mergeCell ref="D12324:G12324"/>
    <mergeCell ref="D12335:G12335"/>
    <mergeCell ref="D12346:G12346"/>
    <mergeCell ref="D12351:G12351"/>
    <mergeCell ref="D12361:G12361"/>
    <mergeCell ref="D12373:G12373"/>
    <mergeCell ref="D12384:G12384"/>
    <mergeCell ref="D12395:G12395"/>
    <mergeCell ref="D12406:G12406"/>
    <mergeCell ref="D12417:G12417"/>
    <mergeCell ref="D12428:G12428"/>
    <mergeCell ref="D12440:G12440"/>
    <mergeCell ref="D12452:G12452"/>
    <mergeCell ref="D12463:G12463"/>
    <mergeCell ref="D12474:G12474"/>
    <mergeCell ref="D12485:G12485"/>
    <mergeCell ref="D12496:G12496"/>
    <mergeCell ref="D12508:G12508"/>
    <mergeCell ref="D12520:G12520"/>
    <mergeCell ref="D12531:G12531"/>
    <mergeCell ref="D12541:G12541"/>
    <mergeCell ref="D12552:G12552"/>
    <mergeCell ref="D12564:G12564"/>
    <mergeCell ref="D12574:G12574"/>
    <mergeCell ref="D12584:G12584"/>
    <mergeCell ref="D12596:G12596"/>
    <mergeCell ref="D12609:G12609"/>
    <mergeCell ref="D12622:G12622"/>
    <mergeCell ref="D12634:G12634"/>
    <mergeCell ref="D12645:G12645"/>
    <mergeCell ref="D12656:G12656"/>
    <mergeCell ref="D12667:G12667"/>
    <mergeCell ref="D12678:G12678"/>
    <mergeCell ref="D12689:G12689"/>
    <mergeCell ref="D12700:G12700"/>
    <mergeCell ref="D12711:G12711"/>
    <mergeCell ref="D12722:G12722"/>
    <mergeCell ref="D12733:G12733"/>
    <mergeCell ref="D12744:G12744"/>
    <mergeCell ref="D12754:G12754"/>
    <mergeCell ref="D12764:G12764"/>
    <mergeCell ref="D12774:G12774"/>
    <mergeCell ref="D12784:G12784"/>
    <mergeCell ref="D12794:G12794"/>
    <mergeCell ref="D12804:G12804"/>
    <mergeCell ref="D12814:G12814"/>
    <mergeCell ref="D12824:G12824"/>
    <mergeCell ref="D12834:G12834"/>
    <mergeCell ref="D12845:G12845"/>
    <mergeCell ref="D12855:G12855"/>
    <mergeCell ref="D12865:G12865"/>
    <mergeCell ref="D12875:G12875"/>
    <mergeCell ref="D12885:G12885"/>
    <mergeCell ref="D12896:G12896"/>
    <mergeCell ref="D12907:G12907"/>
    <mergeCell ref="D12920:G12920"/>
    <mergeCell ref="D12932:G12932"/>
    <mergeCell ref="D12945:G12945"/>
    <mergeCell ref="D12957:G12957"/>
    <mergeCell ref="D12969:G12969"/>
    <mergeCell ref="D12981:G12981"/>
    <mergeCell ref="D12993:G12993"/>
    <mergeCell ref="D13005:G13005"/>
    <mergeCell ref="D13017:G13017"/>
    <mergeCell ref="D13029:G13029"/>
    <mergeCell ref="D13043:G13043"/>
    <mergeCell ref="D13056:G13056"/>
    <mergeCell ref="D13069:G13069"/>
    <mergeCell ref="D13080:G13080"/>
    <mergeCell ref="D13091:G13091"/>
    <mergeCell ref="D13102:G13102"/>
    <mergeCell ref="D13117:G13117"/>
    <mergeCell ref="D13133:G13133"/>
    <mergeCell ref="D13149:G13149"/>
    <mergeCell ref="D13166:G13166"/>
    <mergeCell ref="D13184:G13184"/>
    <mergeCell ref="D13195:G13195"/>
    <mergeCell ref="D13206:G13206"/>
    <mergeCell ref="D13219:G13219"/>
    <mergeCell ref="D13232:G13232"/>
    <mergeCell ref="D13245:G13245"/>
    <mergeCell ref="D13258:G13258"/>
    <mergeCell ref="D13273:G13273"/>
    <mergeCell ref="D13286:G13286"/>
    <mergeCell ref="D13299:G13299"/>
    <mergeCell ref="D13313:G13313"/>
    <mergeCell ref="D13327:G13327"/>
    <mergeCell ref="D13341:G13341"/>
    <mergeCell ref="D13354:G13354"/>
    <mergeCell ref="D13367:G13367"/>
    <mergeCell ref="D13382:G13382"/>
    <mergeCell ref="D13394:G13394"/>
    <mergeCell ref="D13408:G13408"/>
    <mergeCell ref="D13419:G13419"/>
    <mergeCell ref="D13431:G13431"/>
    <mergeCell ref="D13446:G13446"/>
    <mergeCell ref="D13458:G13458"/>
    <mergeCell ref="D13473:G13473"/>
    <mergeCell ref="D13484:G13484"/>
    <mergeCell ref="D13496:G13496"/>
    <mergeCell ref="D13508:G13508"/>
    <mergeCell ref="D13520:G13520"/>
    <mergeCell ref="D13532:G13532"/>
    <mergeCell ref="D13543:G13543"/>
    <mergeCell ref="D13554:G13554"/>
    <mergeCell ref="D13565:G13565"/>
    <mergeCell ref="D13577:G13577"/>
    <mergeCell ref="D13589:G13589"/>
    <mergeCell ref="D13601:G13601"/>
    <mergeCell ref="D13613:G13613"/>
    <mergeCell ref="D13625:G13625"/>
    <mergeCell ref="D13637:G13637"/>
    <mergeCell ref="D13650:G13650"/>
    <mergeCell ref="D13663:G13663"/>
    <mergeCell ref="D13676:G13676"/>
    <mergeCell ref="D13689:G13689"/>
    <mergeCell ref="D13701:G13701"/>
    <mergeCell ref="D13713:G13713"/>
    <mergeCell ref="D13725:G13725"/>
    <mergeCell ref="D13737:G13737"/>
    <mergeCell ref="D13749:G13749"/>
    <mergeCell ref="D13762:G13762"/>
    <mergeCell ref="D13775:G13775"/>
    <mergeCell ref="D13788:G13788"/>
    <mergeCell ref="D13801:G13801"/>
    <mergeCell ref="D13812:G13812"/>
    <mergeCell ref="D13823:G13823"/>
    <mergeCell ref="D13834:G13834"/>
    <mergeCell ref="D13845:G13845"/>
    <mergeCell ref="D13856:G13856"/>
    <mergeCell ref="D13868:G13868"/>
    <mergeCell ref="D13880:G13880"/>
    <mergeCell ref="D13892:G13892"/>
    <mergeCell ref="D13903:G13903"/>
    <mergeCell ref="D13914:G13914"/>
    <mergeCell ref="D13925:G13925"/>
    <mergeCell ref="D13936:G13936"/>
    <mergeCell ref="D13947:G13947"/>
    <mergeCell ref="D13959:G13959"/>
    <mergeCell ref="D13971:G13971"/>
    <mergeCell ref="D13983:G13983"/>
    <mergeCell ref="D13997:G13997"/>
    <mergeCell ref="D14010:G14010"/>
    <mergeCell ref="D14023:G14023"/>
    <mergeCell ref="D14036:G14036"/>
    <mergeCell ref="D14049:G14049"/>
    <mergeCell ref="D14064:G14064"/>
    <mergeCell ref="D14079:G14079"/>
    <mergeCell ref="D14094:G14094"/>
    <mergeCell ref="D14109:G14109"/>
    <mergeCell ref="D14124:G14124"/>
    <mergeCell ref="D14138:G14138"/>
    <mergeCell ref="D14153:G14153"/>
    <mergeCell ref="D14167:G14167"/>
    <mergeCell ref="D14181:G14181"/>
    <mergeCell ref="D14194:G14194"/>
    <mergeCell ref="D14209:G14209"/>
    <mergeCell ref="D14224:G14224"/>
    <mergeCell ref="D14239:G14239"/>
    <mergeCell ref="D14254:G14254"/>
    <mergeCell ref="D14267:G14267"/>
    <mergeCell ref="D14281:G14281"/>
    <mergeCell ref="D14295:G14295"/>
    <mergeCell ref="D14310:G14310"/>
    <mergeCell ref="D14325:G14325"/>
    <mergeCell ref="D14340:G14340"/>
    <mergeCell ref="D14355:G14355"/>
    <mergeCell ref="D14370:G14370"/>
    <mergeCell ref="D14384:G14384"/>
    <mergeCell ref="D14398:G14398"/>
    <mergeCell ref="D14414:G14414"/>
    <mergeCell ref="D14430:G14430"/>
    <mergeCell ref="D14446:G14446"/>
    <mergeCell ref="D14462:G14462"/>
    <mergeCell ref="D14478:G14478"/>
    <mergeCell ref="D14494:G14494"/>
    <mergeCell ref="D14510:G14510"/>
    <mergeCell ref="D14526:G14526"/>
    <mergeCell ref="D14541:G14541"/>
    <mergeCell ref="D14556:G14556"/>
    <mergeCell ref="D14572:G14572"/>
    <mergeCell ref="D14588:G14588"/>
    <mergeCell ref="D14604:G14604"/>
    <mergeCell ref="D14620:G14620"/>
    <mergeCell ref="D14636:G14636"/>
    <mergeCell ref="D14652:G14652"/>
    <mergeCell ref="D14668:G14668"/>
    <mergeCell ref="D14684:G14684"/>
    <mergeCell ref="D14699:G14699"/>
    <mergeCell ref="D14714:G14714"/>
    <mergeCell ref="D14731:G14731"/>
    <mergeCell ref="D14748:G14748"/>
    <mergeCell ref="D14765:G14765"/>
    <mergeCell ref="D14782:G14782"/>
    <mergeCell ref="D14799:G14799"/>
    <mergeCell ref="D14816:G14816"/>
    <mergeCell ref="D14833:G14833"/>
    <mergeCell ref="D14850:G14850"/>
    <mergeCell ref="D14866:G14866"/>
    <mergeCell ref="D14887:G14887"/>
    <mergeCell ref="D14903:G14903"/>
    <mergeCell ref="D14942:G14942"/>
    <mergeCell ref="D14951:G14951"/>
    <mergeCell ref="D14962:G14962"/>
    <mergeCell ref="D14968:G14968"/>
    <mergeCell ref="D14982:G14982"/>
    <mergeCell ref="D14994:G14994"/>
    <mergeCell ref="D14998:G14998"/>
    <mergeCell ref="D15025:G15025"/>
    <mergeCell ref="D15029:G15029"/>
    <mergeCell ref="D15035:G15035"/>
    <mergeCell ref="D15047:G15047"/>
    <mergeCell ref="D15058:G15058"/>
    <mergeCell ref="D15060:G15060"/>
    <mergeCell ref="D15075:G15075"/>
    <mergeCell ref="D15082:G15082"/>
    <mergeCell ref="D15094:G15094"/>
    <mergeCell ref="D15096:G15096"/>
    <mergeCell ref="D15098:G15098"/>
    <mergeCell ref="D15100:G15100"/>
    <mergeCell ref="D15102:G15102"/>
    <mergeCell ref="D15104:G15104"/>
    <mergeCell ref="D15106:G15106"/>
    <mergeCell ref="D15108:G15108"/>
    <mergeCell ref="D15110:G15110"/>
    <mergeCell ref="D15112:G15112"/>
    <mergeCell ref="D15114:G15114"/>
    <mergeCell ref="D15116:G15116"/>
    <mergeCell ref="D15118:G15118"/>
    <mergeCell ref="D15120:G15120"/>
    <mergeCell ref="D15122:G15122"/>
    <mergeCell ref="D15124:G15124"/>
    <mergeCell ref="D15128:G15128"/>
    <mergeCell ref="D15132:G15132"/>
    <mergeCell ref="D15134:G15134"/>
    <mergeCell ref="D15136:G15136"/>
    <mergeCell ref="D15138:G15138"/>
    <mergeCell ref="D15140:G15140"/>
    <mergeCell ref="D15142:G15142"/>
    <mergeCell ref="D15144:G15144"/>
    <mergeCell ref="D15146:G15146"/>
    <mergeCell ref="D15148:G15148"/>
    <mergeCell ref="D15150:G15150"/>
    <mergeCell ref="D15152:G15152"/>
    <mergeCell ref="D15154:G15154"/>
    <mergeCell ref="D15156:G15156"/>
    <mergeCell ref="D15158:G15158"/>
    <mergeCell ref="D15160:G15160"/>
    <mergeCell ref="D15162:G15162"/>
    <mergeCell ref="D15166:G15166"/>
    <mergeCell ref="D15168:G15168"/>
    <mergeCell ref="D15170:G15170"/>
    <mergeCell ref="D15172:G15172"/>
    <mergeCell ref="D15174:G15174"/>
    <mergeCell ref="D15178:G15178"/>
    <mergeCell ref="D15180:G15180"/>
    <mergeCell ref="D15182:G15182"/>
    <mergeCell ref="D15184:G15184"/>
    <mergeCell ref="D15189:G15189"/>
    <mergeCell ref="D15208:G15208"/>
    <mergeCell ref="D15227:G15227"/>
    <mergeCell ref="D15246:G15246"/>
    <mergeCell ref="D15264:G15264"/>
    <mergeCell ref="D15283:G15283"/>
    <mergeCell ref="D15301:G15301"/>
    <mergeCell ref="D15313:G15313"/>
    <mergeCell ref="D15325:G15325"/>
    <mergeCell ref="D15332:G15332"/>
    <mergeCell ref="D15339:G15339"/>
    <mergeCell ref="D15350:G15350"/>
    <mergeCell ref="D15365:G15365"/>
    <mergeCell ref="D15367:G15367"/>
    <mergeCell ref="D15369:G15369"/>
    <mergeCell ref="D15371:G15371"/>
    <mergeCell ref="D15376:G15376"/>
    <mergeCell ref="D15378:G15378"/>
    <mergeCell ref="D15380:G15380"/>
    <mergeCell ref="D15382:G15382"/>
    <mergeCell ref="D15384:G15384"/>
    <mergeCell ref="D15386:G15386"/>
    <mergeCell ref="D15388:G15388"/>
    <mergeCell ref="D15390:G15390"/>
    <mergeCell ref="D15392:G15392"/>
    <mergeCell ref="D15394:G15394"/>
    <mergeCell ref="D15396:G15396"/>
    <mergeCell ref="D15398:G15398"/>
    <mergeCell ref="D15400:G15400"/>
    <mergeCell ref="D15402:G15402"/>
    <mergeCell ref="D15404:G15404"/>
    <mergeCell ref="D15406:G15406"/>
    <mergeCell ref="D15408:G15408"/>
    <mergeCell ref="D15410:G15410"/>
    <mergeCell ref="D15412:G15412"/>
    <mergeCell ref="D15414:G15414"/>
    <mergeCell ref="D15416:G15416"/>
    <mergeCell ref="D15418:G15418"/>
    <mergeCell ref="D15420:G15420"/>
    <mergeCell ref="D15422:G15422"/>
    <mergeCell ref="D15424:G15424"/>
    <mergeCell ref="D15426:G15426"/>
    <mergeCell ref="D15428:G15428"/>
    <mergeCell ref="D15430:G15430"/>
    <mergeCell ref="D15432:G15432"/>
    <mergeCell ref="D15434:G15434"/>
    <mergeCell ref="D15436:G15436"/>
    <mergeCell ref="D15438:G15438"/>
    <mergeCell ref="D15440:G15440"/>
    <mergeCell ref="D15442:G15442"/>
    <mergeCell ref="D15444:G15444"/>
    <mergeCell ref="D15446:G15446"/>
    <mergeCell ref="D15448:G15448"/>
    <mergeCell ref="D15450:G15450"/>
    <mergeCell ref="D15452:G15452"/>
    <mergeCell ref="D15454:G15454"/>
    <mergeCell ref="D15458:G15458"/>
    <mergeCell ref="D15460:G15460"/>
    <mergeCell ref="D15462:G15462"/>
    <mergeCell ref="D15464:G15464"/>
    <mergeCell ref="D15466:G15466"/>
    <mergeCell ref="D15468:G15468"/>
    <mergeCell ref="D15470:G15470"/>
    <mergeCell ref="D15472:G15472"/>
    <mergeCell ref="D15474:G15474"/>
    <mergeCell ref="D15476:G15476"/>
    <mergeCell ref="D15478:G15478"/>
    <mergeCell ref="D15480:G15480"/>
    <mergeCell ref="D15482:G15482"/>
    <mergeCell ref="D15484:G15484"/>
    <mergeCell ref="D15486:G15486"/>
    <mergeCell ref="D15488:G15488"/>
    <mergeCell ref="D15490:G15490"/>
    <mergeCell ref="D15492:G15492"/>
    <mergeCell ref="D15494:G15494"/>
    <mergeCell ref="D15496:G15496"/>
    <mergeCell ref="D15498:G15498"/>
    <mergeCell ref="D15500:G15500"/>
    <mergeCell ref="D15502:G15502"/>
    <mergeCell ref="D15504:G15504"/>
    <mergeCell ref="D15506:G15506"/>
    <mergeCell ref="D15508:G15508"/>
    <mergeCell ref="D15512:G15512"/>
    <mergeCell ref="D15514:G15514"/>
    <mergeCell ref="D15516:G15516"/>
    <mergeCell ref="D15518:G15518"/>
    <mergeCell ref="D15520:G15520"/>
    <mergeCell ref="D15522:G15522"/>
    <mergeCell ref="D15524:G15524"/>
    <mergeCell ref="D15526:G15526"/>
    <mergeCell ref="D15528:G15528"/>
    <mergeCell ref="D15530:G15530"/>
    <mergeCell ref="D15532:G15532"/>
    <mergeCell ref="D15534:G15534"/>
    <mergeCell ref="D15536:G15536"/>
    <mergeCell ref="D15538:G15538"/>
    <mergeCell ref="D15540:G15540"/>
    <mergeCell ref="D15542:G15542"/>
    <mergeCell ref="D15544:G15544"/>
    <mergeCell ref="D15546:G15546"/>
    <mergeCell ref="D15548:G15548"/>
    <mergeCell ref="D15550:G15550"/>
    <mergeCell ref="D15552:G15552"/>
    <mergeCell ref="D15554:G15554"/>
    <mergeCell ref="D15556:G15556"/>
    <mergeCell ref="D15558:G15558"/>
    <mergeCell ref="D15560:G15560"/>
    <mergeCell ref="D15562:G15562"/>
    <mergeCell ref="D15564:G15564"/>
    <mergeCell ref="D15566:G15566"/>
    <mergeCell ref="D15570:G15570"/>
    <mergeCell ref="D15572:G15572"/>
    <mergeCell ref="D15574:G15574"/>
    <mergeCell ref="D15576:G15576"/>
    <mergeCell ref="D15578:G15578"/>
    <mergeCell ref="D15580:G15580"/>
    <mergeCell ref="D15582:G15582"/>
    <mergeCell ref="D15584:G15584"/>
    <mergeCell ref="D15586:G15586"/>
    <mergeCell ref="D15588:G15588"/>
    <mergeCell ref="D15590:G15590"/>
    <mergeCell ref="D15592:G15592"/>
    <mergeCell ref="D15594:G15594"/>
    <mergeCell ref="D15598:G15598"/>
    <mergeCell ref="D15600:G15600"/>
    <mergeCell ref="D15602:G15602"/>
    <mergeCell ref="D15604:G15604"/>
    <mergeCell ref="D15606:G15606"/>
    <mergeCell ref="D15610:G15610"/>
    <mergeCell ref="D15612:G15612"/>
    <mergeCell ref="D15614:G15614"/>
    <mergeCell ref="D15616:G15616"/>
    <mergeCell ref="D15618:G15618"/>
    <mergeCell ref="D15620:G15620"/>
    <mergeCell ref="D15622:G15622"/>
    <mergeCell ref="D15624:G15624"/>
    <mergeCell ref="D15626:G15626"/>
    <mergeCell ref="D15628:G15628"/>
    <mergeCell ref="D15630:G15630"/>
    <mergeCell ref="D15632:G15632"/>
    <mergeCell ref="D15634:G15634"/>
    <mergeCell ref="D15636:G15636"/>
    <mergeCell ref="D15638:G15638"/>
    <mergeCell ref="D15640:G15640"/>
    <mergeCell ref="D15642:G15642"/>
    <mergeCell ref="D15644:G15644"/>
    <mergeCell ref="D15646:G15646"/>
    <mergeCell ref="D15648:G15648"/>
    <mergeCell ref="D15650:G15650"/>
    <mergeCell ref="D15652:G15652"/>
    <mergeCell ref="D15654:G15654"/>
    <mergeCell ref="D15656:G15656"/>
    <mergeCell ref="D15658:G15658"/>
    <mergeCell ref="D15660:G15660"/>
    <mergeCell ref="D15662:G15662"/>
    <mergeCell ref="D15664:G15664"/>
    <mergeCell ref="D15666:G15666"/>
    <mergeCell ref="D15668:G15668"/>
    <mergeCell ref="D15670:G15670"/>
    <mergeCell ref="D15672:G15672"/>
    <mergeCell ref="D15674:G15674"/>
    <mergeCell ref="D15676:G15676"/>
    <mergeCell ref="D15678:G15678"/>
    <mergeCell ref="D15680:G15680"/>
    <mergeCell ref="D15682:G15682"/>
    <mergeCell ref="D15684:G15684"/>
    <mergeCell ref="D15686:G15686"/>
    <mergeCell ref="D15688:G15688"/>
    <mergeCell ref="D15690:G15690"/>
    <mergeCell ref="D15692:G15692"/>
    <mergeCell ref="D15694:G15694"/>
    <mergeCell ref="D15696:G15696"/>
    <mergeCell ref="D15698:G15698"/>
    <mergeCell ref="D15700:G15700"/>
    <mergeCell ref="D15702:G15702"/>
    <mergeCell ref="D15704:G15704"/>
    <mergeCell ref="D15706:G15706"/>
    <mergeCell ref="D15708:G15708"/>
    <mergeCell ref="D15710:G15710"/>
    <mergeCell ref="D15712:G15712"/>
    <mergeCell ref="D15714:G15714"/>
    <mergeCell ref="D15716:G15716"/>
    <mergeCell ref="D15718:G15718"/>
    <mergeCell ref="D15720:G15720"/>
    <mergeCell ref="D15722:G15722"/>
    <mergeCell ref="D15724:G15724"/>
    <mergeCell ref="D15726:G15726"/>
    <mergeCell ref="D15728:G15728"/>
    <mergeCell ref="D15730:G15730"/>
    <mergeCell ref="D15732:G15732"/>
    <mergeCell ref="D15734:G15734"/>
    <mergeCell ref="D15736:G15736"/>
    <mergeCell ref="D15738:G15738"/>
    <mergeCell ref="D15740:G15740"/>
    <mergeCell ref="D15742:G15742"/>
    <mergeCell ref="D15744:G15744"/>
    <mergeCell ref="D15746:G15746"/>
    <mergeCell ref="D15748:G15748"/>
    <mergeCell ref="D15750:G15750"/>
    <mergeCell ref="D15752:G15752"/>
    <mergeCell ref="D15754:G15754"/>
    <mergeCell ref="D15756:G15756"/>
    <mergeCell ref="D15758:G15758"/>
    <mergeCell ref="D15760:G15760"/>
    <mergeCell ref="D15762:G15762"/>
    <mergeCell ref="D15764:G15764"/>
    <mergeCell ref="D15766:G15766"/>
    <mergeCell ref="D15768:G15768"/>
    <mergeCell ref="D15770:G15770"/>
    <mergeCell ref="D15772:G15772"/>
    <mergeCell ref="D15774:G15774"/>
    <mergeCell ref="D15776:G15776"/>
    <mergeCell ref="D15778:G15778"/>
    <mergeCell ref="D15780:G15780"/>
    <mergeCell ref="D15782:G15782"/>
    <mergeCell ref="D15784:G15784"/>
    <mergeCell ref="D15786:G15786"/>
    <mergeCell ref="D15788:G15788"/>
    <mergeCell ref="D15790:G15790"/>
    <mergeCell ref="D15792:G15792"/>
    <mergeCell ref="D15794:G15794"/>
    <mergeCell ref="D15796:G15796"/>
    <mergeCell ref="D15798:G15798"/>
    <mergeCell ref="D15800:G15800"/>
    <mergeCell ref="D15804:G15804"/>
    <mergeCell ref="D15806:G15806"/>
    <mergeCell ref="D15808:G15808"/>
    <mergeCell ref="D15810:G15810"/>
    <mergeCell ref="D15814:G15814"/>
    <mergeCell ref="D15816:G15816"/>
    <mergeCell ref="D15818:G15818"/>
    <mergeCell ref="D15820:G15820"/>
    <mergeCell ref="D15824:G15824"/>
    <mergeCell ref="D15826:G15826"/>
    <mergeCell ref="D15828:G15828"/>
    <mergeCell ref="D15830:G15830"/>
    <mergeCell ref="D15832:G15832"/>
    <mergeCell ref="D15834:G15834"/>
    <mergeCell ref="D15836:G15836"/>
    <mergeCell ref="D15838:G15838"/>
    <mergeCell ref="D15840:G15840"/>
    <mergeCell ref="D15842:G15842"/>
    <mergeCell ref="D15844:G15844"/>
    <mergeCell ref="D15846:G15846"/>
    <mergeCell ref="D15848:G15848"/>
    <mergeCell ref="D15850:G15850"/>
    <mergeCell ref="D15852:G15852"/>
    <mergeCell ref="D15854:G15854"/>
    <mergeCell ref="D15856:G15856"/>
    <mergeCell ref="D15858:G15858"/>
    <mergeCell ref="D15860:G15860"/>
    <mergeCell ref="D15864:G15864"/>
    <mergeCell ref="D15866:G15866"/>
    <mergeCell ref="D15868:G15868"/>
    <mergeCell ref="D15870:G15870"/>
    <mergeCell ref="D15874:G15874"/>
    <mergeCell ref="D15876:G15876"/>
    <mergeCell ref="D15878:G15878"/>
    <mergeCell ref="D15880:G15880"/>
    <mergeCell ref="D15882:G15882"/>
    <mergeCell ref="D15884:G15884"/>
    <mergeCell ref="D15886:G15886"/>
    <mergeCell ref="D15888:G15888"/>
    <mergeCell ref="D15890:G15890"/>
    <mergeCell ref="D15892:G15892"/>
    <mergeCell ref="D15894:G15894"/>
    <mergeCell ref="D15896:G15896"/>
    <mergeCell ref="D15898:G15898"/>
    <mergeCell ref="D15900:G15900"/>
    <mergeCell ref="D15902:G15902"/>
    <mergeCell ref="D15904:G15904"/>
    <mergeCell ref="D15906:G15906"/>
    <mergeCell ref="D15908:G15908"/>
    <mergeCell ref="D15910:G15910"/>
    <mergeCell ref="D15912:G15912"/>
    <mergeCell ref="D15914:G15914"/>
    <mergeCell ref="D15916:G15916"/>
    <mergeCell ref="D15918:G15918"/>
    <mergeCell ref="D15920:G15920"/>
    <mergeCell ref="D15922:G15922"/>
    <mergeCell ref="D15924:G15924"/>
    <mergeCell ref="D15926:G15926"/>
    <mergeCell ref="D15928:G15928"/>
    <mergeCell ref="D15930:G15930"/>
    <mergeCell ref="D15932:G15932"/>
    <mergeCell ref="D15934:G15934"/>
    <mergeCell ref="D15936:G15936"/>
    <mergeCell ref="D15938:G15938"/>
    <mergeCell ref="D15940:G15940"/>
    <mergeCell ref="D15942:G15942"/>
    <mergeCell ref="D15944:G15944"/>
    <mergeCell ref="D15946:G15946"/>
    <mergeCell ref="D15948:G15948"/>
    <mergeCell ref="D15950:G15950"/>
    <mergeCell ref="D15952:G15952"/>
    <mergeCell ref="D15954:G15954"/>
    <mergeCell ref="D15956:G15956"/>
    <mergeCell ref="D15958:G15958"/>
    <mergeCell ref="D15960:G15960"/>
    <mergeCell ref="D15962:G15962"/>
    <mergeCell ref="D15964:G15964"/>
    <mergeCell ref="D15966:G15966"/>
    <mergeCell ref="D15968:G15968"/>
    <mergeCell ref="D15970:G15970"/>
    <mergeCell ref="D15972:G15972"/>
    <mergeCell ref="D15977:G15977"/>
    <mergeCell ref="D15979:G15979"/>
    <mergeCell ref="D15981:G15981"/>
    <mergeCell ref="D15983:G15983"/>
    <mergeCell ref="D15985:G15985"/>
    <mergeCell ref="D15987:G15987"/>
    <mergeCell ref="D15989:G15989"/>
    <mergeCell ref="D15991:G15991"/>
    <mergeCell ref="D15993:G15993"/>
    <mergeCell ref="D15995:G15995"/>
    <mergeCell ref="D15997:G15997"/>
    <mergeCell ref="D15999:G15999"/>
    <mergeCell ref="D16001:G16001"/>
    <mergeCell ref="D16003:G16003"/>
    <mergeCell ref="D16005:G16005"/>
    <mergeCell ref="D16007:G16007"/>
    <mergeCell ref="D16009:G16009"/>
    <mergeCell ref="D16011:G16011"/>
    <mergeCell ref="D16013:G16013"/>
    <mergeCell ref="D16015:G16015"/>
    <mergeCell ref="D16017:G16017"/>
    <mergeCell ref="D16019:G16019"/>
    <mergeCell ref="D16021:G16021"/>
    <mergeCell ref="D16023:G16023"/>
    <mergeCell ref="D16025:G16025"/>
    <mergeCell ref="D16027:G16027"/>
    <mergeCell ref="D16029:G16029"/>
    <mergeCell ref="D16031:G16031"/>
    <mergeCell ref="D16033:G16033"/>
    <mergeCell ref="D16035:G16035"/>
    <mergeCell ref="D16037:G16037"/>
    <mergeCell ref="D16039:G16039"/>
    <mergeCell ref="D16041:G16041"/>
    <mergeCell ref="D16043:G16043"/>
    <mergeCell ref="D16045:G16045"/>
    <mergeCell ref="D16047:G16047"/>
    <mergeCell ref="D16049:G16049"/>
    <mergeCell ref="D16051:G16051"/>
    <mergeCell ref="D16053:G16053"/>
    <mergeCell ref="D16055:G16055"/>
    <mergeCell ref="D16057:G16057"/>
    <mergeCell ref="D16059:G16059"/>
    <mergeCell ref="D16061:G16061"/>
    <mergeCell ref="D16063:G16063"/>
    <mergeCell ref="D16065:G16065"/>
    <mergeCell ref="D16067:G16067"/>
    <mergeCell ref="D16069:G16069"/>
    <mergeCell ref="D16071:G16071"/>
    <mergeCell ref="D16073:G16073"/>
    <mergeCell ref="D16076:G16076"/>
    <mergeCell ref="D16078:G16078"/>
    <mergeCell ref="D16080:G16080"/>
    <mergeCell ref="D16082:G16082"/>
    <mergeCell ref="D16084:G16084"/>
    <mergeCell ref="D16086:G16086"/>
    <mergeCell ref="D16088:G16088"/>
    <mergeCell ref="D16090:G16090"/>
    <mergeCell ref="D16092:G16092"/>
    <mergeCell ref="D16094:G16094"/>
    <mergeCell ref="D16096:G16096"/>
    <mergeCell ref="D16098:G16098"/>
    <mergeCell ref="D16100:G16100"/>
    <mergeCell ref="D16102:G16102"/>
    <mergeCell ref="D16104:G16104"/>
    <mergeCell ref="D16106:G16106"/>
    <mergeCell ref="D16108:G16108"/>
    <mergeCell ref="D16110:G16110"/>
    <mergeCell ref="D16112:G16112"/>
    <mergeCell ref="D16114:G16114"/>
    <mergeCell ref="D16116:G16116"/>
    <mergeCell ref="D16118:G16118"/>
    <mergeCell ref="D16120:G16120"/>
    <mergeCell ref="D16122:G16122"/>
    <mergeCell ref="D16124:G16124"/>
    <mergeCell ref="D16126:G16126"/>
    <mergeCell ref="D16128:G16128"/>
    <mergeCell ref="D16130:G16130"/>
    <mergeCell ref="D16132:G16132"/>
    <mergeCell ref="D16134:G16134"/>
    <mergeCell ref="D16136:G16136"/>
    <mergeCell ref="D16138:G16138"/>
    <mergeCell ref="D16140:G16140"/>
    <mergeCell ref="D16142:G16142"/>
    <mergeCell ref="D16144:G16144"/>
    <mergeCell ref="D16146:G16146"/>
    <mergeCell ref="D16148:G16148"/>
    <mergeCell ref="D16150:G16150"/>
    <mergeCell ref="D16152:G16152"/>
    <mergeCell ref="D16154:G16154"/>
    <mergeCell ref="D16156:G16156"/>
    <mergeCell ref="D16158:G16158"/>
    <mergeCell ref="D16160:G16160"/>
    <mergeCell ref="D16162:G16162"/>
    <mergeCell ref="D16164:G16164"/>
    <mergeCell ref="D16166:G16166"/>
    <mergeCell ref="D16168:G16168"/>
    <mergeCell ref="D16170:G16170"/>
    <mergeCell ref="D16172:G16172"/>
    <mergeCell ref="D16174:G16174"/>
    <mergeCell ref="D16176:G16176"/>
    <mergeCell ref="D16178:G16178"/>
    <mergeCell ref="D16180:G16180"/>
    <mergeCell ref="D16182:G16182"/>
    <mergeCell ref="D16184:G16184"/>
    <mergeCell ref="D16186:G16186"/>
    <mergeCell ref="D16188:G16188"/>
    <mergeCell ref="D16190:G16190"/>
    <mergeCell ref="D16192:G16192"/>
    <mergeCell ref="D16194:G16194"/>
    <mergeCell ref="D16196:G16196"/>
    <mergeCell ref="D16198:G16198"/>
    <mergeCell ref="D16200:G16200"/>
    <mergeCell ref="D16202:G16202"/>
    <mergeCell ref="D16204:G16204"/>
    <mergeCell ref="D16206:G16206"/>
    <mergeCell ref="D16208:G16208"/>
    <mergeCell ref="D16210:G16210"/>
    <mergeCell ref="D16212:G16212"/>
    <mergeCell ref="D16214:G16214"/>
    <mergeCell ref="D16216:G16216"/>
    <mergeCell ref="D16218:G16218"/>
    <mergeCell ref="D16220:G16220"/>
    <mergeCell ref="D16222:G16222"/>
    <mergeCell ref="D16224:G16224"/>
    <mergeCell ref="D16226:G16226"/>
    <mergeCell ref="D16228:G16228"/>
    <mergeCell ref="D16230:G16230"/>
    <mergeCell ref="D16232:G16232"/>
    <mergeCell ref="D16234:G16234"/>
    <mergeCell ref="D16236:G16236"/>
    <mergeCell ref="D16238:G16238"/>
    <mergeCell ref="D16240:G16240"/>
    <mergeCell ref="D16242:G16242"/>
    <mergeCell ref="D16244:G16244"/>
    <mergeCell ref="D16246:G16246"/>
    <mergeCell ref="D16248:G16248"/>
    <mergeCell ref="D16250:G16250"/>
    <mergeCell ref="D16252:G16252"/>
    <mergeCell ref="D16254:G16254"/>
    <mergeCell ref="D16256:G16256"/>
    <mergeCell ref="D16258:G16258"/>
    <mergeCell ref="D16260:G16260"/>
    <mergeCell ref="D16262:G16262"/>
    <mergeCell ref="D16264:G16264"/>
    <mergeCell ref="D16266:G16266"/>
    <mergeCell ref="D16268:G16268"/>
    <mergeCell ref="D16270:G16270"/>
    <mergeCell ref="D16272:G16272"/>
    <mergeCell ref="D16274:G16274"/>
    <mergeCell ref="D16276:G16276"/>
    <mergeCell ref="D16278:G16278"/>
    <mergeCell ref="D16280:G16280"/>
    <mergeCell ref="D16282:G16282"/>
    <mergeCell ref="D16284:G16284"/>
    <mergeCell ref="D16286:G16286"/>
    <mergeCell ref="D16288:G16288"/>
    <mergeCell ref="D16290:G16290"/>
    <mergeCell ref="D16292:G16292"/>
    <mergeCell ref="D16294:G16294"/>
    <mergeCell ref="D16296:G16296"/>
    <mergeCell ref="D16298:G16298"/>
    <mergeCell ref="D16300:G16300"/>
    <mergeCell ref="D16302:G16302"/>
    <mergeCell ref="D16304:G16304"/>
    <mergeCell ref="D16306:G16306"/>
    <mergeCell ref="D16308:G16308"/>
    <mergeCell ref="D16310:G16310"/>
    <mergeCell ref="D16312:G16312"/>
    <mergeCell ref="D16314:G16314"/>
    <mergeCell ref="D16316:G16316"/>
    <mergeCell ref="D16318:G16318"/>
    <mergeCell ref="D16320:G16320"/>
    <mergeCell ref="D16322:G16322"/>
    <mergeCell ref="D16324:G16324"/>
    <mergeCell ref="D16326:G16326"/>
    <mergeCell ref="D16328:G16328"/>
    <mergeCell ref="D16330:G16330"/>
    <mergeCell ref="D16332:G16332"/>
    <mergeCell ref="D16334:G16334"/>
    <mergeCell ref="D16339:G16339"/>
    <mergeCell ref="D16341:G16341"/>
    <mergeCell ref="D16343:G16343"/>
    <mergeCell ref="D16345:G16345"/>
    <mergeCell ref="D16347:G16347"/>
    <mergeCell ref="D16349:G16349"/>
    <mergeCell ref="D16351:G16351"/>
    <mergeCell ref="D16353:G16353"/>
    <mergeCell ref="D16355:G16355"/>
    <mergeCell ref="D16357:G16357"/>
    <mergeCell ref="D16359:G16359"/>
    <mergeCell ref="D16361:G16361"/>
    <mergeCell ref="D16363:G16363"/>
    <mergeCell ref="D16366:G16366"/>
    <mergeCell ref="D16368:G16368"/>
    <mergeCell ref="D16370:G16370"/>
    <mergeCell ref="D16372:G16372"/>
    <mergeCell ref="D16374:G16374"/>
    <mergeCell ref="D16376:G16376"/>
    <mergeCell ref="D16378:G16378"/>
    <mergeCell ref="D16380:G16380"/>
    <mergeCell ref="D16382:G16382"/>
    <mergeCell ref="D16384:G16384"/>
    <mergeCell ref="D16386:G16386"/>
    <mergeCell ref="D16388:G16388"/>
    <mergeCell ref="D16390:G16390"/>
    <mergeCell ref="D16392:G16392"/>
    <mergeCell ref="D16394:G16394"/>
    <mergeCell ref="D16396:G16396"/>
    <mergeCell ref="D16398:G16398"/>
    <mergeCell ref="D16400:G16400"/>
    <mergeCell ref="D16402:G16402"/>
    <mergeCell ref="D16404:G16404"/>
    <mergeCell ref="D16406:G16406"/>
    <mergeCell ref="D16408:G16408"/>
    <mergeCell ref="D16410:G16410"/>
    <mergeCell ref="D16412:G16412"/>
    <mergeCell ref="D16414:G16414"/>
    <mergeCell ref="D16416:G16416"/>
    <mergeCell ref="D16418:G16418"/>
    <mergeCell ref="D16420:G16420"/>
    <mergeCell ref="D16422:G16422"/>
    <mergeCell ref="D16424:G16424"/>
    <mergeCell ref="D16426:G16426"/>
    <mergeCell ref="D16428:G16428"/>
    <mergeCell ref="D16430:G16430"/>
    <mergeCell ref="D16432:G16432"/>
    <mergeCell ref="D16434:G16434"/>
    <mergeCell ref="D16436:G16436"/>
    <mergeCell ref="D16438:G16438"/>
    <mergeCell ref="D16442:G16442"/>
    <mergeCell ref="D16444:G16444"/>
    <mergeCell ref="D16446:G16446"/>
    <mergeCell ref="D16448:G16448"/>
    <mergeCell ref="D16450:G16450"/>
    <mergeCell ref="D16452:G16452"/>
    <mergeCell ref="D16454:G16454"/>
    <mergeCell ref="D16456:G16456"/>
    <mergeCell ref="D16459:G16459"/>
    <mergeCell ref="D16462:G16462"/>
    <mergeCell ref="D16464:G16464"/>
    <mergeCell ref="D16466:G16466"/>
    <mergeCell ref="D16468:G16468"/>
    <mergeCell ref="D16470:G16470"/>
    <mergeCell ref="D16472:G16472"/>
    <mergeCell ref="D16474:G16474"/>
    <mergeCell ref="D16476:G16476"/>
    <mergeCell ref="D16478:G16478"/>
    <mergeCell ref="D16480:G16480"/>
    <mergeCell ref="D16482:G16482"/>
    <mergeCell ref="D16484:G16484"/>
    <mergeCell ref="D16486:G16486"/>
    <mergeCell ref="D16488:G16488"/>
    <mergeCell ref="D16490:G16490"/>
    <mergeCell ref="D16492:G16492"/>
    <mergeCell ref="D16494:G16494"/>
    <mergeCell ref="D16496:G16496"/>
    <mergeCell ref="D16498:G16498"/>
    <mergeCell ref="D16500:G16500"/>
    <mergeCell ref="D16502:G16502"/>
    <mergeCell ref="D16504:G16504"/>
    <mergeCell ref="D16506:G16506"/>
    <mergeCell ref="D16508:G16508"/>
    <mergeCell ref="D16510:G16510"/>
    <mergeCell ref="D16512:G16512"/>
    <mergeCell ref="D16514:G16514"/>
    <mergeCell ref="D16516:G16516"/>
    <mergeCell ref="D16518:G16518"/>
    <mergeCell ref="D16520:G16520"/>
    <mergeCell ref="D16522:G16522"/>
    <mergeCell ref="D16524:G16524"/>
    <mergeCell ref="D16526:G16526"/>
    <mergeCell ref="D16528:G16528"/>
    <mergeCell ref="D16530:G16530"/>
    <mergeCell ref="D16532:G16532"/>
    <mergeCell ref="D16534:G16534"/>
    <mergeCell ref="D16536:G16536"/>
    <mergeCell ref="D16538:G16538"/>
    <mergeCell ref="D16540:G16540"/>
    <mergeCell ref="D16542:G16542"/>
    <mergeCell ref="D16544:G16544"/>
    <mergeCell ref="D16546:G16546"/>
    <mergeCell ref="D16548:G16548"/>
    <mergeCell ref="D16550:G16550"/>
    <mergeCell ref="D16552:G16552"/>
    <mergeCell ref="D16554:G16554"/>
    <mergeCell ref="D16556:G16556"/>
    <mergeCell ref="D16558:G16558"/>
    <mergeCell ref="D16560:G16560"/>
    <mergeCell ref="D16562:G16562"/>
    <mergeCell ref="D16564:G16564"/>
    <mergeCell ref="D16566:G16566"/>
    <mergeCell ref="D16568:G16568"/>
    <mergeCell ref="D16570:G16570"/>
    <mergeCell ref="D16572:G16572"/>
    <mergeCell ref="D16574:G16574"/>
    <mergeCell ref="D16576:G16576"/>
    <mergeCell ref="D16578:G16578"/>
    <mergeCell ref="D16580:G16580"/>
    <mergeCell ref="D16582:G16582"/>
    <mergeCell ref="D16586:G16586"/>
    <mergeCell ref="D16588:G16588"/>
    <mergeCell ref="D16590:G16590"/>
    <mergeCell ref="D16592:G16592"/>
    <mergeCell ref="D16594:G16594"/>
    <mergeCell ref="D16596:G16596"/>
    <mergeCell ref="D16598:G16598"/>
    <mergeCell ref="D16600:G16600"/>
    <mergeCell ref="D16602:G16602"/>
    <mergeCell ref="D16604:G16604"/>
    <mergeCell ref="D16606:G16606"/>
    <mergeCell ref="D16608:G16608"/>
    <mergeCell ref="D16610:G16610"/>
    <mergeCell ref="D16612:G16612"/>
    <mergeCell ref="D16614:G16614"/>
    <mergeCell ref="D16616:G16616"/>
    <mergeCell ref="D16618:G16618"/>
    <mergeCell ref="D16620:G16620"/>
    <mergeCell ref="D16622:G16622"/>
    <mergeCell ref="D16624:G16624"/>
    <mergeCell ref="D16626:G16626"/>
    <mergeCell ref="D16628:G16628"/>
    <mergeCell ref="D16630:G16630"/>
    <mergeCell ref="D16632:G16632"/>
    <mergeCell ref="D16634:G16634"/>
    <mergeCell ref="D16636:G16636"/>
    <mergeCell ref="D16638:G16638"/>
    <mergeCell ref="D16640:G16640"/>
    <mergeCell ref="D16644:G16644"/>
    <mergeCell ref="D16646:G16646"/>
    <mergeCell ref="D16648:G16648"/>
    <mergeCell ref="D16650:G16650"/>
    <mergeCell ref="D16652:G16652"/>
    <mergeCell ref="D16654:G16654"/>
    <mergeCell ref="D16656:G16656"/>
    <mergeCell ref="D16658:G16658"/>
    <mergeCell ref="D16660:G16660"/>
    <mergeCell ref="D16662:G16662"/>
    <mergeCell ref="D16664:G16664"/>
    <mergeCell ref="D16666:G16666"/>
    <mergeCell ref="D16668:G16668"/>
    <mergeCell ref="D16670:G16670"/>
    <mergeCell ref="D16672:G16672"/>
    <mergeCell ref="D16674:G16674"/>
    <mergeCell ref="D16676:G16676"/>
    <mergeCell ref="D16678:G16678"/>
    <mergeCell ref="D16680:G16680"/>
    <mergeCell ref="D16682:G16682"/>
    <mergeCell ref="D16684:G16684"/>
    <mergeCell ref="D16686:G16686"/>
    <mergeCell ref="D16688:G16688"/>
    <mergeCell ref="D16690:G16690"/>
    <mergeCell ref="D16694:G16694"/>
    <mergeCell ref="D16696:G16696"/>
    <mergeCell ref="D16698:G16698"/>
    <mergeCell ref="D16700:G16700"/>
    <mergeCell ref="D16702:G16702"/>
    <mergeCell ref="D16704:G16704"/>
    <mergeCell ref="D16706:G16706"/>
    <mergeCell ref="D16708:G16708"/>
    <mergeCell ref="D16710:G16710"/>
    <mergeCell ref="D16712:G16712"/>
    <mergeCell ref="D16714:G16714"/>
    <mergeCell ref="D16716:G16716"/>
    <mergeCell ref="D16718:G16718"/>
    <mergeCell ref="D16720:G16720"/>
    <mergeCell ref="D16722:G16722"/>
    <mergeCell ref="D16726:G16726"/>
    <mergeCell ref="D16728:G16728"/>
    <mergeCell ref="D16730:G16730"/>
    <mergeCell ref="D16732:G16732"/>
    <mergeCell ref="D16734:G16734"/>
    <mergeCell ref="D16736:G16736"/>
    <mergeCell ref="D16738:G16738"/>
    <mergeCell ref="D16740:G16740"/>
    <mergeCell ref="D16742:G16742"/>
    <mergeCell ref="D16744:G16744"/>
    <mergeCell ref="D16746:G16746"/>
    <mergeCell ref="D16748:G16748"/>
    <mergeCell ref="D16750:G16750"/>
    <mergeCell ref="D16752:G16752"/>
    <mergeCell ref="D16754:G16754"/>
    <mergeCell ref="D16756:G16756"/>
    <mergeCell ref="D16758:G16758"/>
    <mergeCell ref="D16760:G16760"/>
    <mergeCell ref="D16762:G16762"/>
    <mergeCell ref="D16765:G16765"/>
    <mergeCell ref="D16768:G16768"/>
    <mergeCell ref="D16770:G16770"/>
    <mergeCell ref="D16772:G16772"/>
    <mergeCell ref="D16774:G16774"/>
    <mergeCell ref="D16776:G16776"/>
    <mergeCell ref="D16778:G16778"/>
    <mergeCell ref="D16780:G16780"/>
    <mergeCell ref="D16782:G16782"/>
    <mergeCell ref="D16784:G16784"/>
    <mergeCell ref="D16786:G16786"/>
    <mergeCell ref="D16788:G16788"/>
    <mergeCell ref="D16790:G16790"/>
    <mergeCell ref="D16792:G16792"/>
    <mergeCell ref="D16794:G16794"/>
    <mergeCell ref="D16796:G16796"/>
    <mergeCell ref="D16798:G16798"/>
    <mergeCell ref="D16800:G16800"/>
    <mergeCell ref="D16802:G16802"/>
    <mergeCell ref="D16804:G16804"/>
    <mergeCell ref="D16806:G16806"/>
    <mergeCell ref="D16808:G16808"/>
    <mergeCell ref="D16810:G16810"/>
    <mergeCell ref="D16812:G16812"/>
    <mergeCell ref="D16814:G16814"/>
    <mergeCell ref="D16816:G16816"/>
    <mergeCell ref="D16818:G16818"/>
    <mergeCell ref="D16820:G16820"/>
    <mergeCell ref="D16822:G16822"/>
    <mergeCell ref="D16824:G16824"/>
    <mergeCell ref="D16826:G16826"/>
    <mergeCell ref="D16828:G16828"/>
    <mergeCell ref="D16830:G16830"/>
    <mergeCell ref="D16832:G16832"/>
    <mergeCell ref="D16834:G16834"/>
    <mergeCell ref="D16836:G16836"/>
    <mergeCell ref="D16838:G16838"/>
    <mergeCell ref="D16840:G16840"/>
    <mergeCell ref="D16842:G16842"/>
    <mergeCell ref="D16844:G16844"/>
    <mergeCell ref="D16846:G16846"/>
    <mergeCell ref="D16848:G16848"/>
    <mergeCell ref="D16850:G16850"/>
    <mergeCell ref="D16852:G16852"/>
    <mergeCell ref="D16854:G16854"/>
    <mergeCell ref="D16856:G16856"/>
    <mergeCell ref="D16858:G16858"/>
    <mergeCell ref="D16860:G16860"/>
    <mergeCell ref="D16862:G16862"/>
    <mergeCell ref="D16864:G16864"/>
    <mergeCell ref="D16866:G16866"/>
    <mergeCell ref="D16868:G16868"/>
    <mergeCell ref="D16870:G16870"/>
    <mergeCell ref="D16872:G16872"/>
    <mergeCell ref="D16874:G16874"/>
    <mergeCell ref="D16876:G16876"/>
    <mergeCell ref="D16878:G16878"/>
    <mergeCell ref="D16880:G16880"/>
    <mergeCell ref="D16882:G16882"/>
    <mergeCell ref="D16884:G16884"/>
    <mergeCell ref="D16886:G16886"/>
    <mergeCell ref="D16888:G16888"/>
    <mergeCell ref="D16890:G16890"/>
    <mergeCell ref="D16892:G16892"/>
    <mergeCell ref="D16894:G16894"/>
    <mergeCell ref="D16896:G16896"/>
    <mergeCell ref="D16898:G16898"/>
    <mergeCell ref="D16900:G16900"/>
    <mergeCell ref="D16902:G16902"/>
    <mergeCell ref="D16904:G16904"/>
    <mergeCell ref="D16906:G16906"/>
    <mergeCell ref="D16908:G16908"/>
    <mergeCell ref="D16910:G16910"/>
    <mergeCell ref="D16912:G16912"/>
    <mergeCell ref="D16914:G16914"/>
    <mergeCell ref="D16916:G16916"/>
    <mergeCell ref="D16918:G16918"/>
    <mergeCell ref="D16920:G16920"/>
    <mergeCell ref="D16922:G16922"/>
    <mergeCell ref="D16924:G16924"/>
    <mergeCell ref="D16926:G16926"/>
    <mergeCell ref="D16928:G16928"/>
    <mergeCell ref="D16930:G16930"/>
    <mergeCell ref="D16932:G16932"/>
    <mergeCell ref="D16934:G16934"/>
    <mergeCell ref="D16936:G16936"/>
    <mergeCell ref="D16938:G16938"/>
    <mergeCell ref="D16940:G16940"/>
    <mergeCell ref="D16942:G16942"/>
    <mergeCell ref="D16944:G16944"/>
    <mergeCell ref="D16946:G16946"/>
    <mergeCell ref="D16948:G16948"/>
    <mergeCell ref="D16950:G16950"/>
    <mergeCell ref="D16952:G16952"/>
    <mergeCell ref="D16954:G16954"/>
    <mergeCell ref="D16956:G16956"/>
    <mergeCell ref="D16958:G16958"/>
    <mergeCell ref="D16960:G16960"/>
    <mergeCell ref="D16962:G16962"/>
    <mergeCell ref="D16964:G16964"/>
    <mergeCell ref="D16966:G16966"/>
    <mergeCell ref="D16968:G16968"/>
    <mergeCell ref="D16970:G16970"/>
    <mergeCell ref="D16972:G16972"/>
    <mergeCell ref="D16974:G16974"/>
    <mergeCell ref="D16976:G16976"/>
    <mergeCell ref="D16978:G16978"/>
    <mergeCell ref="D16981:G16981"/>
    <mergeCell ref="D16983:G16983"/>
    <mergeCell ref="D16986:G16986"/>
    <mergeCell ref="D16988:G16988"/>
    <mergeCell ref="D16990:G16990"/>
    <mergeCell ref="D16992:G16992"/>
    <mergeCell ref="D16994:G16994"/>
    <mergeCell ref="D16996:G16996"/>
    <mergeCell ref="D16998:G16998"/>
    <mergeCell ref="D17000:G17000"/>
    <mergeCell ref="D17002:G17002"/>
    <mergeCell ref="D17004:G17004"/>
    <mergeCell ref="D17006:G17006"/>
    <mergeCell ref="D17008:G17008"/>
    <mergeCell ref="D17010:G17010"/>
    <mergeCell ref="D17012:G17012"/>
    <mergeCell ref="D17014:G17014"/>
    <mergeCell ref="D17016:G17016"/>
    <mergeCell ref="D17018:G17018"/>
    <mergeCell ref="D17020:G17020"/>
    <mergeCell ref="D17022:G17022"/>
    <mergeCell ref="D17024:G17024"/>
    <mergeCell ref="D17026:G17026"/>
    <mergeCell ref="D17028:G17028"/>
    <mergeCell ref="D17030:G17030"/>
    <mergeCell ref="D17032:G17032"/>
    <mergeCell ref="D17034:G17034"/>
    <mergeCell ref="D17036:G17036"/>
    <mergeCell ref="D17038:G17038"/>
    <mergeCell ref="D17040:G17040"/>
    <mergeCell ref="D17042:G17042"/>
    <mergeCell ref="D17044:G17044"/>
    <mergeCell ref="D17046:G17046"/>
    <mergeCell ref="D17048:G17048"/>
    <mergeCell ref="D17050:G17050"/>
    <mergeCell ref="D17052:G17052"/>
    <mergeCell ref="D17054:G17054"/>
    <mergeCell ref="D17056:G17056"/>
    <mergeCell ref="D17058:G17058"/>
    <mergeCell ref="D17060:G17060"/>
    <mergeCell ref="D17062:G17062"/>
    <mergeCell ref="D17064:G17064"/>
    <mergeCell ref="D17066:G17066"/>
    <mergeCell ref="D17068:G17068"/>
    <mergeCell ref="D17070:G17070"/>
    <mergeCell ref="D17072:G17072"/>
    <mergeCell ref="D17074:G17074"/>
    <mergeCell ref="D17076:G17076"/>
    <mergeCell ref="D17078:G17078"/>
    <mergeCell ref="D17080:G17080"/>
    <mergeCell ref="D17082:G17082"/>
    <mergeCell ref="D17084:G17084"/>
    <mergeCell ref="D17086:G17086"/>
    <mergeCell ref="D17088:G17088"/>
    <mergeCell ref="D17090:G17090"/>
    <mergeCell ref="D17092:G17092"/>
    <mergeCell ref="D17094:G17094"/>
    <mergeCell ref="D17096:G17096"/>
    <mergeCell ref="D17098:G17098"/>
    <mergeCell ref="D17100:G17100"/>
    <mergeCell ref="D17102:G17102"/>
    <mergeCell ref="D17104:G17104"/>
    <mergeCell ref="D17106:G17106"/>
    <mergeCell ref="D17108:G17108"/>
    <mergeCell ref="D17110:G17110"/>
    <mergeCell ref="D17112:G17112"/>
    <mergeCell ref="D17114:G17114"/>
    <mergeCell ref="D17116:G17116"/>
    <mergeCell ref="D17118:G17118"/>
    <mergeCell ref="D17120:G17120"/>
    <mergeCell ref="D17122:G17122"/>
    <mergeCell ref="D17124:G17124"/>
    <mergeCell ref="D17126:G17126"/>
    <mergeCell ref="D17128:G17128"/>
    <mergeCell ref="D17130:G17130"/>
    <mergeCell ref="D17132:G17132"/>
    <mergeCell ref="D17134:G17134"/>
    <mergeCell ref="D17136:G17136"/>
    <mergeCell ref="D17138:G17138"/>
    <mergeCell ref="D17140:G17140"/>
    <mergeCell ref="D17142:G17142"/>
    <mergeCell ref="D17144:G17144"/>
    <mergeCell ref="D17146:G17146"/>
    <mergeCell ref="D17148:G17148"/>
    <mergeCell ref="D17150:G17150"/>
    <mergeCell ref="D17152:G17152"/>
    <mergeCell ref="D17154:G17154"/>
    <mergeCell ref="D17156:G17156"/>
    <mergeCell ref="D17158:G17158"/>
    <mergeCell ref="D17160:G17160"/>
    <mergeCell ref="D17162:G17162"/>
    <mergeCell ref="D17164:G17164"/>
    <mergeCell ref="D17166:G17166"/>
    <mergeCell ref="D17168:G17168"/>
    <mergeCell ref="D17170:G17170"/>
    <mergeCell ref="D17172:G17172"/>
    <mergeCell ref="D17174:G17174"/>
    <mergeCell ref="D17176:G17176"/>
    <mergeCell ref="D17178:G17178"/>
    <mergeCell ref="D17180:G17180"/>
    <mergeCell ref="D17182:G17182"/>
    <mergeCell ref="D17184:G17184"/>
    <mergeCell ref="D17186:G17186"/>
    <mergeCell ref="D17188:G17188"/>
    <mergeCell ref="D17190:G17190"/>
    <mergeCell ref="D17192:G17192"/>
    <mergeCell ref="D17194:G17194"/>
    <mergeCell ref="D17196:G17196"/>
    <mergeCell ref="D17198:G17198"/>
    <mergeCell ref="D17200:G17200"/>
    <mergeCell ref="D17202:G17202"/>
    <mergeCell ref="D17204:G17204"/>
    <mergeCell ref="D17206:G17206"/>
    <mergeCell ref="D17208:G17208"/>
    <mergeCell ref="D17210:G17210"/>
    <mergeCell ref="D17214:G17214"/>
    <mergeCell ref="D17216:G17216"/>
    <mergeCell ref="D17218:G17218"/>
    <mergeCell ref="D17220:G17220"/>
    <mergeCell ref="D17222:G17222"/>
    <mergeCell ref="D17224:G17224"/>
    <mergeCell ref="D17226:G17226"/>
    <mergeCell ref="D17228:G17228"/>
    <mergeCell ref="D17230:G17230"/>
    <mergeCell ref="D17232:G17232"/>
    <mergeCell ref="D17234:G17234"/>
    <mergeCell ref="D17236:G17236"/>
    <mergeCell ref="D17238:G17238"/>
    <mergeCell ref="D17240:G17240"/>
    <mergeCell ref="D17242:G17242"/>
    <mergeCell ref="D17244:G17244"/>
    <mergeCell ref="D17246:G17246"/>
    <mergeCell ref="D17248:G17248"/>
    <mergeCell ref="D17250:G17250"/>
    <mergeCell ref="D17252:G17252"/>
    <mergeCell ref="D17254:G17254"/>
    <mergeCell ref="D17256:G17256"/>
    <mergeCell ref="D17258:G17258"/>
    <mergeCell ref="D17260:G17260"/>
    <mergeCell ref="D17262:G17262"/>
    <mergeCell ref="D17264:G17264"/>
    <mergeCell ref="D17266:G17266"/>
    <mergeCell ref="D17268:G17268"/>
    <mergeCell ref="D17270:G17270"/>
    <mergeCell ref="D17272:G17272"/>
    <mergeCell ref="D17274:G17274"/>
    <mergeCell ref="D17276:G17276"/>
    <mergeCell ref="D17278:G17278"/>
    <mergeCell ref="D17280:G17280"/>
    <mergeCell ref="D17282:G17282"/>
    <mergeCell ref="D17284:G17284"/>
    <mergeCell ref="D17286:G17286"/>
    <mergeCell ref="D17288:G17288"/>
    <mergeCell ref="D17290:G17290"/>
    <mergeCell ref="D17292:G17292"/>
    <mergeCell ref="D17294:G17294"/>
    <mergeCell ref="D17296:G17296"/>
    <mergeCell ref="D17298:G17298"/>
    <mergeCell ref="D17300:G17300"/>
    <mergeCell ref="D17302:G17302"/>
    <mergeCell ref="D17309:G17309"/>
    <mergeCell ref="D17311:G17311"/>
    <mergeCell ref="D17313:G17313"/>
    <mergeCell ref="D17315:G17315"/>
    <mergeCell ref="D17317:G17317"/>
    <mergeCell ref="D17319:G17319"/>
    <mergeCell ref="D17321:G17321"/>
    <mergeCell ref="D17323:G17323"/>
    <mergeCell ref="D17327:G17327"/>
    <mergeCell ref="D17329:G17329"/>
    <mergeCell ref="D17331:G17331"/>
    <mergeCell ref="D17333:G17333"/>
    <mergeCell ref="D17335:G17335"/>
    <mergeCell ref="D17337:G17337"/>
    <mergeCell ref="D17339:G17339"/>
    <mergeCell ref="D17341:G17341"/>
    <mergeCell ref="D17343:G17343"/>
    <mergeCell ref="D17345:G17345"/>
    <mergeCell ref="D17347:G17347"/>
    <mergeCell ref="D17349:G17349"/>
    <mergeCell ref="D17351:G17351"/>
    <mergeCell ref="D17354:G17354"/>
    <mergeCell ref="D17356:G17356"/>
    <mergeCell ref="D17358:G17358"/>
    <mergeCell ref="D17360:G17360"/>
    <mergeCell ref="D17362:G17362"/>
    <mergeCell ref="D17364:G17364"/>
    <mergeCell ref="D17366:G17366"/>
    <mergeCell ref="D17368:G17368"/>
    <mergeCell ref="D17370:G17370"/>
    <mergeCell ref="D17372:G17372"/>
    <mergeCell ref="D17374:G17374"/>
    <mergeCell ref="D17376:G17376"/>
    <mergeCell ref="D17378:G17378"/>
    <mergeCell ref="D17380:G17380"/>
    <mergeCell ref="D17382:G17382"/>
    <mergeCell ref="D17384:G17384"/>
    <mergeCell ref="D17386:G17386"/>
    <mergeCell ref="D17388:G17388"/>
    <mergeCell ref="D17390:G17390"/>
    <mergeCell ref="D17392:G17392"/>
    <mergeCell ref="D17394:G17394"/>
    <mergeCell ref="D17396:G17396"/>
    <mergeCell ref="D17398:G17398"/>
    <mergeCell ref="D17400:G17400"/>
    <mergeCell ref="D17402:G17402"/>
    <mergeCell ref="D17404:G17404"/>
    <mergeCell ref="D17406:G17406"/>
    <mergeCell ref="D17408:G17408"/>
    <mergeCell ref="D17410:G17410"/>
    <mergeCell ref="D17412:G17412"/>
    <mergeCell ref="D17414:G17414"/>
    <mergeCell ref="D17416:G17416"/>
    <mergeCell ref="D17418:G17418"/>
    <mergeCell ref="D17420:G17420"/>
    <mergeCell ref="D17422:G17422"/>
    <mergeCell ref="D17424:G17424"/>
    <mergeCell ref="D17426:G17426"/>
    <mergeCell ref="D17428:G17428"/>
    <mergeCell ref="D17430:G17430"/>
    <mergeCell ref="D17432:G17432"/>
    <mergeCell ref="D17434:G17434"/>
    <mergeCell ref="D17436:G17436"/>
    <mergeCell ref="D17438:G17438"/>
    <mergeCell ref="D17440:G17440"/>
    <mergeCell ref="D17442:G17442"/>
    <mergeCell ref="D17444:G17444"/>
    <mergeCell ref="D17449:G17449"/>
    <mergeCell ref="D17451:G17451"/>
    <mergeCell ref="D17453:G17453"/>
    <mergeCell ref="D17455:G17455"/>
    <mergeCell ref="D17457:G17457"/>
    <mergeCell ref="D17459:G17459"/>
    <mergeCell ref="D17463:G17463"/>
    <mergeCell ref="D17465:G17465"/>
    <mergeCell ref="D17467:G17467"/>
    <mergeCell ref="D17469:G17469"/>
    <mergeCell ref="D17471:G17471"/>
    <mergeCell ref="D17473:G17473"/>
    <mergeCell ref="D17475:G17475"/>
    <mergeCell ref="D17477:G17477"/>
    <mergeCell ref="D17479:G17479"/>
    <mergeCell ref="D17481:G17481"/>
    <mergeCell ref="D17483:G17483"/>
    <mergeCell ref="D17485:G17485"/>
    <mergeCell ref="D17487:G17487"/>
    <mergeCell ref="D17489:G17489"/>
    <mergeCell ref="D17491:G17491"/>
    <mergeCell ref="D17493:G17493"/>
    <mergeCell ref="D17495:G17495"/>
    <mergeCell ref="D17497:G17497"/>
    <mergeCell ref="D17499:G17499"/>
    <mergeCell ref="D17501:G17501"/>
    <mergeCell ref="D17503:G17503"/>
    <mergeCell ref="D17505:G17505"/>
    <mergeCell ref="D17507:G17507"/>
    <mergeCell ref="D17509:G17509"/>
    <mergeCell ref="D17511:G17511"/>
    <mergeCell ref="D17513:G17513"/>
    <mergeCell ref="D17515:G17515"/>
    <mergeCell ref="D17517:G17517"/>
    <mergeCell ref="D17519:G17519"/>
    <mergeCell ref="D17521:G17521"/>
    <mergeCell ref="D17523:G17523"/>
    <mergeCell ref="D17527:G17527"/>
    <mergeCell ref="D17529:G17529"/>
    <mergeCell ref="D17531:G17531"/>
    <mergeCell ref="D17533:G17533"/>
    <mergeCell ref="D17535:G17535"/>
    <mergeCell ref="D17537:G17537"/>
    <mergeCell ref="D17539:G17539"/>
    <mergeCell ref="D17541:G17541"/>
    <mergeCell ref="D17543:G17543"/>
    <mergeCell ref="D17545:G17545"/>
    <mergeCell ref="D17547:G17547"/>
    <mergeCell ref="D17549:G17549"/>
    <mergeCell ref="D17551:G17551"/>
    <mergeCell ref="D17553:G17553"/>
    <mergeCell ref="D17555:G17555"/>
    <mergeCell ref="D17557:G17557"/>
    <mergeCell ref="D17559:G17559"/>
    <mergeCell ref="D17561:G17561"/>
    <mergeCell ref="D17563:G17563"/>
    <mergeCell ref="D17565:G17565"/>
    <mergeCell ref="D17567:G17567"/>
    <mergeCell ref="D17569:G17569"/>
    <mergeCell ref="D17571:G17571"/>
    <mergeCell ref="D17573:G17573"/>
    <mergeCell ref="D17575:G17575"/>
    <mergeCell ref="D17579:G17579"/>
    <mergeCell ref="D17581:G17581"/>
    <mergeCell ref="D17583:G17583"/>
    <mergeCell ref="D17585:G17585"/>
    <mergeCell ref="D17587:G17587"/>
    <mergeCell ref="D17589:G17589"/>
    <mergeCell ref="D17591:G17591"/>
    <mergeCell ref="D17593:G17593"/>
    <mergeCell ref="D17595:G17595"/>
    <mergeCell ref="D17597:G17597"/>
    <mergeCell ref="D17599:G17599"/>
    <mergeCell ref="D17601:G17601"/>
    <mergeCell ref="D17603:G17603"/>
    <mergeCell ref="D17605:G17605"/>
    <mergeCell ref="D17607:G17607"/>
    <mergeCell ref="D17609:G17609"/>
    <mergeCell ref="D17611:G17611"/>
    <mergeCell ref="D17613:G17613"/>
    <mergeCell ref="D17615:G17615"/>
    <mergeCell ref="D17617:G17617"/>
    <mergeCell ref="D17619:G17619"/>
    <mergeCell ref="D17621:G17621"/>
    <mergeCell ref="D17623:G17623"/>
    <mergeCell ref="D17625:G17625"/>
    <mergeCell ref="D17627:G17627"/>
    <mergeCell ref="D17629:G17629"/>
    <mergeCell ref="D17631:G17631"/>
    <mergeCell ref="D17633:G17633"/>
    <mergeCell ref="D17635:G17635"/>
    <mergeCell ref="D17637:G17637"/>
    <mergeCell ref="D17639:G17639"/>
    <mergeCell ref="D17641:G17641"/>
    <mergeCell ref="D17643:G17643"/>
    <mergeCell ref="D17646:G17646"/>
    <mergeCell ref="D17648:G17648"/>
    <mergeCell ref="D17650:G17650"/>
    <mergeCell ref="D17652:G17652"/>
    <mergeCell ref="D17654:G17654"/>
    <mergeCell ref="D17656:G17656"/>
    <mergeCell ref="D17658:G17658"/>
    <mergeCell ref="D17660:G17660"/>
    <mergeCell ref="D17662:G17662"/>
    <mergeCell ref="D17664:G17664"/>
    <mergeCell ref="D17666:G17666"/>
    <mergeCell ref="D17668:G17668"/>
    <mergeCell ref="D17670:G17670"/>
    <mergeCell ref="D17672:G17672"/>
    <mergeCell ref="D17674:G17674"/>
    <mergeCell ref="D17676:G17676"/>
    <mergeCell ref="D17678:G17678"/>
    <mergeCell ref="D17680:G17680"/>
    <mergeCell ref="D17682:G17682"/>
    <mergeCell ref="D17684:G17684"/>
    <mergeCell ref="D17686:G17686"/>
    <mergeCell ref="D17688:G17688"/>
    <mergeCell ref="D17690:G17690"/>
    <mergeCell ref="D17692:G17692"/>
    <mergeCell ref="D17694:G17694"/>
    <mergeCell ref="D17696:G17696"/>
    <mergeCell ref="D17698:G17698"/>
    <mergeCell ref="D17700:G17700"/>
    <mergeCell ref="D17704:G17704"/>
    <mergeCell ref="D17706:G17706"/>
    <mergeCell ref="D17708:G17708"/>
    <mergeCell ref="D17712:G17712"/>
    <mergeCell ref="D17714:G17714"/>
    <mergeCell ref="D17716:G17716"/>
    <mergeCell ref="D17718:G17718"/>
    <mergeCell ref="D17720:G17720"/>
    <mergeCell ref="D17722:G17722"/>
    <mergeCell ref="D17724:G17724"/>
    <mergeCell ref="D17726:G17726"/>
    <mergeCell ref="D17728:G17728"/>
    <mergeCell ref="D17730:G17730"/>
    <mergeCell ref="D17732:G17732"/>
    <mergeCell ref="D17734:G17734"/>
    <mergeCell ref="D17736:G17736"/>
    <mergeCell ref="D17738:G17738"/>
    <mergeCell ref="D17740:G17740"/>
    <mergeCell ref="D17742:G17742"/>
    <mergeCell ref="D17744:G17744"/>
    <mergeCell ref="D17746:G17746"/>
    <mergeCell ref="D17748:G17748"/>
    <mergeCell ref="D17750:G17750"/>
    <mergeCell ref="D17752:G17752"/>
    <mergeCell ref="D17754:G17754"/>
    <mergeCell ref="D17756:G17756"/>
    <mergeCell ref="D17758:G17758"/>
    <mergeCell ref="D17760:G17760"/>
    <mergeCell ref="D17762:G17762"/>
    <mergeCell ref="D17764:G17764"/>
    <mergeCell ref="D17766:G17766"/>
    <mergeCell ref="D17768:G17768"/>
    <mergeCell ref="D17770:G17770"/>
    <mergeCell ref="D17772:G17772"/>
    <mergeCell ref="D17774:G17774"/>
    <mergeCell ref="D17776:G17776"/>
    <mergeCell ref="D17780:G17780"/>
    <mergeCell ref="D17782:G17782"/>
    <mergeCell ref="D17784:G17784"/>
    <mergeCell ref="D17786:G17786"/>
    <mergeCell ref="D17788:G17788"/>
    <mergeCell ref="D17790:G17790"/>
    <mergeCell ref="D17792:G17792"/>
    <mergeCell ref="D17794:G17794"/>
    <mergeCell ref="D17796:G17796"/>
    <mergeCell ref="D17798:G17798"/>
    <mergeCell ref="D17800:G17800"/>
    <mergeCell ref="D17802:G17802"/>
    <mergeCell ref="D17804:G17804"/>
    <mergeCell ref="D17806:G17806"/>
    <mergeCell ref="D17808:G17808"/>
    <mergeCell ref="D17810:G17810"/>
    <mergeCell ref="D17812:G17812"/>
    <mergeCell ref="D17814:G17814"/>
    <mergeCell ref="D17816:G17816"/>
    <mergeCell ref="D17818:G17818"/>
    <mergeCell ref="D17820:G17820"/>
    <mergeCell ref="D17822:G17822"/>
    <mergeCell ref="D17824:G17824"/>
    <mergeCell ref="D17826:G17826"/>
    <mergeCell ref="D17828:G17828"/>
    <mergeCell ref="D17830:G17830"/>
    <mergeCell ref="D17832:G17832"/>
    <mergeCell ref="D17834:G17834"/>
    <mergeCell ref="D17836:G17836"/>
    <mergeCell ref="D17838:G17838"/>
    <mergeCell ref="D17840:G17840"/>
    <mergeCell ref="D17842:G17842"/>
    <mergeCell ref="D17844:G17844"/>
    <mergeCell ref="D17846:G17846"/>
    <mergeCell ref="D17848:G17848"/>
    <mergeCell ref="D17850:G17850"/>
    <mergeCell ref="D17852:G17852"/>
    <mergeCell ref="D17856:G17856"/>
    <mergeCell ref="D17858:G17858"/>
    <mergeCell ref="D17860:G17860"/>
    <mergeCell ref="D17862:G17862"/>
    <mergeCell ref="D17864:G17864"/>
    <mergeCell ref="D17866:G17866"/>
    <mergeCell ref="D17868:G17868"/>
    <mergeCell ref="D17870:G17870"/>
    <mergeCell ref="D17872:G17872"/>
    <mergeCell ref="D17874:G17874"/>
    <mergeCell ref="D17876:G17876"/>
    <mergeCell ref="D17878:G17878"/>
    <mergeCell ref="D17880:G17880"/>
    <mergeCell ref="D17882:G17882"/>
    <mergeCell ref="D17884:G17884"/>
    <mergeCell ref="D17886:G17886"/>
    <mergeCell ref="D17888:G17888"/>
    <mergeCell ref="D17890:G17890"/>
    <mergeCell ref="D17892:G17892"/>
    <mergeCell ref="D17894:G17894"/>
    <mergeCell ref="D17896:G17896"/>
    <mergeCell ref="D17898:G17898"/>
    <mergeCell ref="D17900:G17900"/>
    <mergeCell ref="D17902:G17902"/>
    <mergeCell ref="D17904:G17904"/>
    <mergeCell ref="D17906:G17906"/>
    <mergeCell ref="D17908:G17908"/>
    <mergeCell ref="D17910:G17910"/>
    <mergeCell ref="D17912:G17912"/>
    <mergeCell ref="D17914:G17914"/>
    <mergeCell ref="D17916:G17916"/>
    <mergeCell ref="D17918:G17918"/>
    <mergeCell ref="D17920:G17920"/>
    <mergeCell ref="D17922:G17922"/>
    <mergeCell ref="D17924:G17924"/>
    <mergeCell ref="D17926:G17926"/>
    <mergeCell ref="D17928:G17928"/>
    <mergeCell ref="D17930:G17930"/>
    <mergeCell ref="D17932:G17932"/>
    <mergeCell ref="D17934:G17934"/>
    <mergeCell ref="D17936:G17936"/>
    <mergeCell ref="D17938:G17938"/>
    <mergeCell ref="D17940:G17940"/>
    <mergeCell ref="D17942:G17942"/>
    <mergeCell ref="D17944:G17944"/>
    <mergeCell ref="D17946:G17946"/>
    <mergeCell ref="D17948:G17948"/>
    <mergeCell ref="D17950:G17950"/>
    <mergeCell ref="D17952:G17952"/>
    <mergeCell ref="D17954:G17954"/>
    <mergeCell ref="D17956:G17956"/>
    <mergeCell ref="D17958:G17958"/>
    <mergeCell ref="D17960:G17960"/>
    <mergeCell ref="D17962:G17962"/>
    <mergeCell ref="D17964:G17964"/>
    <mergeCell ref="D17966:G17966"/>
    <mergeCell ref="D17968:G17968"/>
    <mergeCell ref="D17970:G17970"/>
    <mergeCell ref="D17972:G17972"/>
    <mergeCell ref="D17974:G17974"/>
    <mergeCell ref="D17976:G17976"/>
    <mergeCell ref="D17978:G17978"/>
    <mergeCell ref="D17980:G17980"/>
    <mergeCell ref="D17982:G17982"/>
    <mergeCell ref="D17984:G17984"/>
    <mergeCell ref="D17986:G17986"/>
    <mergeCell ref="D17988:G17988"/>
    <mergeCell ref="D17990:G17990"/>
    <mergeCell ref="D17993:G17993"/>
    <mergeCell ref="D17995:G17995"/>
    <mergeCell ref="D17997:G17997"/>
    <mergeCell ref="D17999:G17999"/>
    <mergeCell ref="D18001:G18001"/>
    <mergeCell ref="D18003:G18003"/>
    <mergeCell ref="D18005:G18005"/>
    <mergeCell ref="D18007:G18007"/>
    <mergeCell ref="D18009:G18009"/>
    <mergeCell ref="D18011:G18011"/>
    <mergeCell ref="D18013:G18013"/>
    <mergeCell ref="D18015:G18015"/>
    <mergeCell ref="D18017:G18017"/>
    <mergeCell ref="D18019:G18019"/>
    <mergeCell ref="D18021:G18021"/>
    <mergeCell ref="D18023:G18023"/>
    <mergeCell ref="D18025:G18025"/>
    <mergeCell ref="D18027:G18027"/>
    <mergeCell ref="D18029:G18029"/>
    <mergeCell ref="D18031:G18031"/>
    <mergeCell ref="D18033:G18033"/>
    <mergeCell ref="D18035:G18035"/>
    <mergeCell ref="D18037:G18037"/>
    <mergeCell ref="D18039:G18039"/>
    <mergeCell ref="D18041:G18041"/>
    <mergeCell ref="D18043:G18043"/>
    <mergeCell ref="D18045:G18045"/>
    <mergeCell ref="D18047:G18047"/>
    <mergeCell ref="D18049:G18049"/>
    <mergeCell ref="D18051:G18051"/>
    <mergeCell ref="D18053:G18053"/>
    <mergeCell ref="D18055:G18055"/>
    <mergeCell ref="D18057:G18057"/>
    <mergeCell ref="D18059:G18059"/>
    <mergeCell ref="D18061:G18061"/>
    <mergeCell ref="D18063:G18063"/>
    <mergeCell ref="D18065:G18065"/>
    <mergeCell ref="D18067:G18067"/>
    <mergeCell ref="D18069:G18069"/>
    <mergeCell ref="D18071:G18071"/>
    <mergeCell ref="D18073:G18073"/>
    <mergeCell ref="D18075:G18075"/>
    <mergeCell ref="D18077:G18077"/>
    <mergeCell ref="D18079:G18079"/>
    <mergeCell ref="D18081:G18081"/>
    <mergeCell ref="D18083:G18083"/>
    <mergeCell ref="D18085:G18085"/>
    <mergeCell ref="D18087:G18087"/>
    <mergeCell ref="D18089:G18089"/>
    <mergeCell ref="D18091:G18091"/>
    <mergeCell ref="D18093:G18093"/>
    <mergeCell ref="D18095:G18095"/>
    <mergeCell ref="D18097:G18097"/>
    <mergeCell ref="D18099:G18099"/>
    <mergeCell ref="D18101:G18101"/>
    <mergeCell ref="D18103:G18103"/>
    <mergeCell ref="D18105:G18105"/>
    <mergeCell ref="D18107:G18107"/>
    <mergeCell ref="D18109:G18109"/>
    <mergeCell ref="D18111:G18111"/>
    <mergeCell ref="D18113:G18113"/>
    <mergeCell ref="D18115:G18115"/>
    <mergeCell ref="D18117:G18117"/>
    <mergeCell ref="D18119:G18119"/>
    <mergeCell ref="D18121:G18121"/>
    <mergeCell ref="D18123:G18123"/>
    <mergeCell ref="D18125:G18125"/>
    <mergeCell ref="D18127:G18127"/>
    <mergeCell ref="D18129:G18129"/>
    <mergeCell ref="D18131:G18131"/>
    <mergeCell ref="D18133:G18133"/>
    <mergeCell ref="D18135:G18135"/>
    <mergeCell ref="D18137:G18137"/>
    <mergeCell ref="D18139:G18139"/>
    <mergeCell ref="D18141:G18141"/>
    <mergeCell ref="D18143:G18143"/>
    <mergeCell ref="D18145:G18145"/>
    <mergeCell ref="D18147:G18147"/>
    <mergeCell ref="D18149:G18149"/>
    <mergeCell ref="D18151:G18151"/>
    <mergeCell ref="D18153:G18153"/>
    <mergeCell ref="D18155:G18155"/>
    <mergeCell ref="D18157:G18157"/>
    <mergeCell ref="D18159:G18159"/>
    <mergeCell ref="D18161:G18161"/>
    <mergeCell ref="D18163:G18163"/>
    <mergeCell ref="D18165:G18165"/>
    <mergeCell ref="D18167:G18167"/>
    <mergeCell ref="D18169:G18169"/>
    <mergeCell ref="D18176:G18176"/>
    <mergeCell ref="D18178:G18178"/>
    <mergeCell ref="D18180:G18180"/>
    <mergeCell ref="D18182:G18182"/>
    <mergeCell ref="D18184:G18184"/>
    <mergeCell ref="D18186:G18186"/>
    <mergeCell ref="D18188:G18188"/>
    <mergeCell ref="D18190:G18190"/>
    <mergeCell ref="D18192:G18192"/>
    <mergeCell ref="D18194:G18194"/>
    <mergeCell ref="D18196:G18196"/>
    <mergeCell ref="D18198:G18198"/>
    <mergeCell ref="D18200:G18200"/>
    <mergeCell ref="D18202:G18202"/>
    <mergeCell ref="D18204:G18204"/>
    <mergeCell ref="D18206:G18206"/>
    <mergeCell ref="D18208:G18208"/>
    <mergeCell ref="D18210:G18210"/>
    <mergeCell ref="D18212:G18212"/>
    <mergeCell ref="D18214:G18214"/>
    <mergeCell ref="D18216:G18216"/>
    <mergeCell ref="D18218:G18218"/>
    <mergeCell ref="D18222:G18222"/>
    <mergeCell ref="D18227:G18227"/>
    <mergeCell ref="D18232:G18232"/>
    <mergeCell ref="D18237:G18237"/>
    <mergeCell ref="D18242:G18242"/>
    <mergeCell ref="D18248:G18248"/>
    <mergeCell ref="D18254:G18254"/>
    <mergeCell ref="D18257:G18257"/>
    <mergeCell ref="D18262:G18262"/>
    <mergeCell ref="D18267:G18267"/>
    <mergeCell ref="D18277:G18277"/>
    <mergeCell ref="D18291:G18291"/>
    <mergeCell ref="D18305:G18305"/>
    <mergeCell ref="D18320:G18320"/>
    <mergeCell ref="D18335:G18335"/>
    <mergeCell ref="D18347:G18347"/>
    <mergeCell ref="D18359:G18359"/>
    <mergeCell ref="D18372:G18372"/>
    <mergeCell ref="D18385:G18385"/>
    <mergeCell ref="D18398:G18398"/>
    <mergeCell ref="D18416:G18416"/>
    <mergeCell ref="D18427:G18427"/>
    <mergeCell ref="D18443:G18443"/>
    <mergeCell ref="D18461:G18461"/>
    <mergeCell ref="D18472:G18472"/>
    <mergeCell ref="D18484:G18484"/>
    <mergeCell ref="D18493:G18493"/>
    <mergeCell ref="D18505:G18505"/>
    <mergeCell ref="D18515:G18515"/>
    <mergeCell ref="D18525:G18525"/>
    <mergeCell ref="D18542:G18542"/>
    <mergeCell ref="D18544:G18544"/>
    <mergeCell ref="D18546:G18546"/>
    <mergeCell ref="D18548:G18548"/>
    <mergeCell ref="D18550:G18550"/>
    <mergeCell ref="D18552:G18552"/>
    <mergeCell ref="D18554:G18554"/>
    <mergeCell ref="D18558:G18558"/>
    <mergeCell ref="D18560:G18560"/>
    <mergeCell ref="D18562:G18562"/>
    <mergeCell ref="D18564:G18564"/>
    <mergeCell ref="D18566:G18566"/>
    <mergeCell ref="D18568:G18568"/>
    <mergeCell ref="D18570:G18570"/>
    <mergeCell ref="D18572:G18572"/>
    <mergeCell ref="D18577:G18577"/>
    <mergeCell ref="D18581:G18581"/>
    <mergeCell ref="D18587:G18587"/>
    <mergeCell ref="D18600:G18600"/>
    <mergeCell ref="D18613:G18613"/>
    <mergeCell ref="D18626:G18626"/>
    <mergeCell ref="D18639:G18639"/>
    <mergeCell ref="D18650:G18650"/>
    <mergeCell ref="D18659:G18659"/>
    <mergeCell ref="D18672:G18672"/>
    <mergeCell ref="D18685:G18685"/>
    <mergeCell ref="D18697:G18697"/>
    <mergeCell ref="D18707:G18707"/>
    <mergeCell ref="D18719:G18719"/>
    <mergeCell ref="D18734:G18734"/>
    <mergeCell ref="D18749:G18749"/>
    <mergeCell ref="D18761:G18761"/>
    <mergeCell ref="D18771:G18771"/>
    <mergeCell ref="D18783:G18783"/>
    <mergeCell ref="D18798:G18798"/>
    <mergeCell ref="D18809:G18809"/>
    <mergeCell ref="D18817:G18817"/>
    <mergeCell ref="D18829:G18829"/>
    <mergeCell ref="D18842:G18842"/>
    <mergeCell ref="D18851:G18851"/>
    <mergeCell ref="D18862:G18862"/>
    <mergeCell ref="D18875:G18875"/>
    <mergeCell ref="D18888:G18888"/>
    <mergeCell ref="D18896:G18896"/>
    <mergeCell ref="D18905:G18905"/>
    <mergeCell ref="D18914:G18914"/>
    <mergeCell ref="D18934:G18934"/>
    <mergeCell ref="D18949:G18949"/>
    <mergeCell ref="D18958:G18958"/>
    <mergeCell ref="D18970:G18970"/>
    <mergeCell ref="D18980:G18980"/>
    <mergeCell ref="D18991:G18991"/>
    <mergeCell ref="D19002:G19002"/>
    <mergeCell ref="D19010:G19010"/>
    <mergeCell ref="D19034:G19034"/>
    <mergeCell ref="D19043:G19043"/>
    <mergeCell ref="D19054:G19054"/>
    <mergeCell ref="D19073:G19073"/>
    <mergeCell ref="D19087:G19087"/>
    <mergeCell ref="D19101:G19101"/>
    <mergeCell ref="D19118:G19118"/>
    <mergeCell ref="D19129:G19129"/>
    <mergeCell ref="D19140:G19140"/>
    <mergeCell ref="D19151:G19151"/>
    <mergeCell ref="D19159:G19159"/>
    <mergeCell ref="D19171:G19171"/>
    <mergeCell ref="D19182:G19182"/>
    <mergeCell ref="D19193:G19193"/>
    <mergeCell ref="D19204:G19204"/>
    <mergeCell ref="D19217:G19217"/>
    <mergeCell ref="D19230:G19230"/>
    <mergeCell ref="D19242:G19242"/>
    <mergeCell ref="D19251:G19251"/>
    <mergeCell ref="D19266:G19266"/>
    <mergeCell ref="D19276:G19276"/>
    <mergeCell ref="D19286:G19286"/>
    <mergeCell ref="D19298:G19298"/>
    <mergeCell ref="D19309:G19309"/>
    <mergeCell ref="D19320:G19320"/>
    <mergeCell ref="D19335:G19335"/>
    <mergeCell ref="D19346:G19346"/>
    <mergeCell ref="D19357:G19357"/>
    <mergeCell ref="D19368:G19368"/>
    <mergeCell ref="D19379:G19379"/>
    <mergeCell ref="D19390:G19390"/>
    <mergeCell ref="D19401:G19401"/>
    <mergeCell ref="D19412:G19412"/>
    <mergeCell ref="D19425:G19425"/>
    <mergeCell ref="D19437:G19437"/>
    <mergeCell ref="D19449:G19449"/>
    <mergeCell ref="D19461:G19461"/>
    <mergeCell ref="D19476:G19476"/>
    <mergeCell ref="D19487:G19487"/>
    <mergeCell ref="D19497:G19497"/>
    <mergeCell ref="D19516:G19516"/>
    <mergeCell ref="D19528:G19528"/>
    <mergeCell ref="D19541:G19541"/>
    <mergeCell ref="D19545:G19545"/>
    <mergeCell ref="D19549:G19549"/>
  </mergeCells>
  <pageMargins left="0.620079" right="0.472441" top="0.472441" bottom="0.472441" header="0.0" footer="0.0"/>
  <pageSetup paperSize="9" orientation="portrait"/>
  <rowBreaks count="2" manualBreakCount="2">
    <brk id="0" max="16383" man="1"/>
    <brk id="0" max="16383" man="1"/>
  </rowBreaks>
</worksheet>
</file>